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770" yWindow="180" windowWidth="15795" windowHeight="12015" tabRatio="864" firstSheet="1" activeTab="1"/>
  </bookViews>
  <sheets>
    <sheet name="예산총칙" sheetId="161" state="hidden" r:id="rId1"/>
    <sheet name="수입예산 총괄" sheetId="164" r:id="rId2"/>
    <sheet name="지출예산 총괄" sheetId="165" r:id="rId3"/>
    <sheet name="1.목적(수입)" sheetId="120" state="hidden" r:id="rId4"/>
    <sheet name="1.목적(지출총괄)" sheetId="121" state="hidden" r:id="rId5"/>
    <sheet name="1-1목적(정책실)" sheetId="152" state="hidden" r:id="rId6"/>
    <sheet name="1-2목적(경영관리비)" sheetId="113" state="hidden" r:id="rId7"/>
    <sheet name="1-3목적(경영본부사업)" sheetId="125" state="hidden" r:id="rId8"/>
    <sheet name="1-4목적(문예본부)" sheetId="106" state="hidden" r:id="rId9"/>
    <sheet name="1-5목적(연구원)" sheetId="154" state="hidden" r:id="rId10"/>
    <sheet name="1-6목적(도박)" sheetId="134" state="hidden" r:id="rId11"/>
    <sheet name="1-7목적(미술관)" sheetId="135" state="hidden" r:id="rId12"/>
    <sheet name="1-8목적(백남준)" sheetId="144" state="hidden" r:id="rId13"/>
    <sheet name="1-9목적(실학)" sheetId="136" state="hidden" r:id="rId14"/>
    <sheet name="1-10목적(선사)" sheetId="137" state="hidden" r:id="rId15"/>
    <sheet name="1-11목적(어박)" sheetId="138" state="hidden" r:id="rId16"/>
    <sheet name="1-12예비비" sheetId="150" state="hidden" r:id="rId17"/>
    <sheet name="2.외부(수입)" sheetId="157" state="hidden" r:id="rId18"/>
    <sheet name="2-1외부지출(공기관,보조금,지원)" sheetId="158" state="hidden" r:id="rId19"/>
    <sheet name="공기관,보조금,지원(세부산출)" sheetId="162" state="hidden" r:id="rId20"/>
    <sheet name="2-2외부지출(위탁)" sheetId="159" state="hidden" r:id="rId21"/>
    <sheet name="위탁(세부산출)" sheetId="163" state="hidden" r:id="rId22"/>
    <sheet name="3.반납비" sheetId="160" state="hidden" r:id="rId23"/>
    <sheet name="4.명시이월" sheetId="153" state="hidden" r:id="rId24"/>
  </sheets>
  <definedNames>
    <definedName name="_xlnm._FilterDatabase" localSheetId="14" hidden="1">'1-10목적(선사)'!$A$4:$AE$353</definedName>
    <definedName name="_xlnm._FilterDatabase" localSheetId="15" hidden="1">'1-11목적(어박)'!$A$4:$AJ$256</definedName>
    <definedName name="_xlnm._FilterDatabase" localSheetId="16" hidden="1">'1-12예비비'!$A$4:$AJ$9</definedName>
    <definedName name="_xlnm._FilterDatabase" localSheetId="5" hidden="1">'1-1목적(정책실)'!$A$4:$MB$132</definedName>
    <definedName name="_xlnm._FilterDatabase" localSheetId="6" hidden="1">'1-2목적(경영관리비)'!#REF!</definedName>
    <definedName name="_xlnm._FilterDatabase" localSheetId="7" hidden="1">'1-3목적(경영본부사업)'!$A$4:$Z$222</definedName>
    <definedName name="_xlnm._FilterDatabase" localSheetId="8" hidden="1">'1-4목적(문예본부)'!$A$4:$AB$633</definedName>
    <definedName name="_xlnm._FilterDatabase" localSheetId="10" hidden="1">'1-6목적(도박)'!$A$4:$MB$327</definedName>
    <definedName name="_xlnm._FilterDatabase" localSheetId="11" hidden="1">'1-7목적(미술관)'!$A$4:$AG$335</definedName>
    <definedName name="_xlnm._FilterDatabase" localSheetId="12" hidden="1">'1-8목적(백남준)'!$A$4:$AG$401</definedName>
    <definedName name="_xlnm._FilterDatabase" localSheetId="13" hidden="1">'1-9목적(실학)'!$A$4:$AE$290</definedName>
    <definedName name="_xlnm._FilterDatabase" localSheetId="18" hidden="1">'2-1외부지출(공기관,보조금,지원)'!$B$4:$AF$180</definedName>
    <definedName name="_xlnm._FilterDatabase" localSheetId="20" hidden="1">'2-2외부지출(위탁)'!$B$4:$AF$35</definedName>
    <definedName name="_xlnm._FilterDatabase" localSheetId="22" hidden="1">'3.반납비'!$A$4:$AJ$9</definedName>
    <definedName name="_xlnm._FilterDatabase" localSheetId="19" hidden="1">'공기관,보조금,지원(세부산출)'!$A$4:$AE$982</definedName>
    <definedName name="_xlnm._FilterDatabase" localSheetId="21" hidden="1">'위탁(세부산출)'!$B$4:$AF$235</definedName>
    <definedName name="_xlnm.Print_Area" localSheetId="3">'1.목적(수입)'!$A$1:$T$58</definedName>
    <definedName name="_xlnm.Print_Area" localSheetId="4">'1.목적(지출총괄)'!$A$1:$G$54</definedName>
    <definedName name="_xlnm.Print_Area" localSheetId="14">'1-10목적(선사)'!$A$1:$Y$373</definedName>
    <definedName name="_xlnm.Print_Area" localSheetId="15">'1-11목적(어박)'!$A$1:$Y$273</definedName>
    <definedName name="_xlnm.Print_Area" localSheetId="16">'1-12예비비'!$A$1:$Y$9</definedName>
    <definedName name="_xlnm.Print_Area" localSheetId="5">'1-1목적(정책실)'!$A$1:$Y$160</definedName>
    <definedName name="_xlnm.Print_Area" localSheetId="6">'1-2목적(경영관리비)'!$A$1:$Y$143</definedName>
    <definedName name="_xlnm.Print_Area" localSheetId="7">'1-3목적(경영본부사업)'!$A$1:$Y$224</definedName>
    <definedName name="_xlnm.Print_Area" localSheetId="8">'1-4목적(문예본부)'!$A$1:$Y$906</definedName>
    <definedName name="_xlnm.Print_Area" localSheetId="9">'1-5목적(연구원)'!$A$1:$Y$286</definedName>
    <definedName name="_xlnm.Print_Area" localSheetId="10">'1-6목적(도박)'!$A$1:$Y$385</definedName>
    <definedName name="_xlnm.Print_Area" localSheetId="11">'1-7목적(미술관)'!$A$1:$Y$335</definedName>
    <definedName name="_xlnm.Print_Area" localSheetId="12">'1-8목적(백남준)'!$A$1:$Y$413</definedName>
    <definedName name="_xlnm.Print_Area" localSheetId="13">'1-9목적(실학)'!$A$1:$Y$293</definedName>
    <definedName name="_xlnm.Print_Area" localSheetId="17">'2.외부(수입)'!$A$1:$T$64</definedName>
    <definedName name="_xlnm.Print_Area" localSheetId="18">'2-1외부지출(공기관,보조금,지원)'!$B$1:$Z$188</definedName>
    <definedName name="_xlnm.Print_Area" localSheetId="20">'2-2외부지출(위탁)'!$B$1:$I$46</definedName>
    <definedName name="_xlnm.Print_Area" localSheetId="22">'3.반납비'!$A$1:$Y$19</definedName>
    <definedName name="_xlnm.Print_Area" localSheetId="23">'4.명시이월'!$A$1:$K$60</definedName>
    <definedName name="_xlnm.Print_Area" localSheetId="19">'공기관,보조금,지원(세부산출)'!$A$1:$Y$1042</definedName>
    <definedName name="_xlnm.Print_Area" localSheetId="1">'수입예산 총괄'!$A$1:$F$28</definedName>
    <definedName name="_xlnm.Print_Area" localSheetId="0">예산총칙!$A$1:$F$10</definedName>
    <definedName name="_xlnm.Print_Area" localSheetId="21">'위탁(세부산출)'!$B$1:$Z$310</definedName>
    <definedName name="_xlnm.Print_Area" localSheetId="2">'지출예산 총괄'!$A$1:$F$32</definedName>
    <definedName name="_xlnm.Print_Titles" localSheetId="3">'1.목적(수입)'!$3:$5</definedName>
    <definedName name="_xlnm.Print_Titles" localSheetId="4">'1.목적(지출총괄)'!$1:$4</definedName>
    <definedName name="_xlnm.Print_Titles" localSheetId="14">'1-10목적(선사)'!$2:$4</definedName>
    <definedName name="_xlnm.Print_Titles" localSheetId="15">'1-11목적(어박)'!$2:$4</definedName>
    <definedName name="_xlnm.Print_Titles" localSheetId="16">'1-12예비비'!$2:$4</definedName>
    <definedName name="_xlnm.Print_Titles" localSheetId="5">'1-1목적(정책실)'!$2:$4</definedName>
    <definedName name="_xlnm.Print_Titles" localSheetId="6">'1-2목적(경영관리비)'!$2:$4</definedName>
    <definedName name="_xlnm.Print_Titles" localSheetId="7">'1-3목적(경영본부사업)'!$2:$4</definedName>
    <definedName name="_xlnm.Print_Titles" localSheetId="8">'1-4목적(문예본부)'!$2:$4</definedName>
    <definedName name="_xlnm.Print_Titles" localSheetId="9">'1-5목적(연구원)'!$2:$4</definedName>
    <definedName name="_xlnm.Print_Titles" localSheetId="10">'1-6목적(도박)'!$2:$4</definedName>
    <definedName name="_xlnm.Print_Titles" localSheetId="11">'1-7목적(미술관)'!$2:$4</definedName>
    <definedName name="_xlnm.Print_Titles" localSheetId="12">'1-8목적(백남준)'!$2:$4</definedName>
    <definedName name="_xlnm.Print_Titles" localSheetId="13">'1-9목적(실학)'!$2:$4</definedName>
    <definedName name="_xlnm.Print_Titles" localSheetId="17">'2.외부(수입)'!$3:$5</definedName>
    <definedName name="_xlnm.Print_Titles" localSheetId="18">'2-1외부지출(공기관,보조금,지원)'!$2:$4</definedName>
    <definedName name="_xlnm.Print_Titles" localSheetId="20">'2-2외부지출(위탁)'!$2:$4</definedName>
    <definedName name="_xlnm.Print_Titles" localSheetId="22">'3.반납비'!$2:$4</definedName>
    <definedName name="_xlnm.Print_Titles" localSheetId="23">'4.명시이월'!$2:$4</definedName>
    <definedName name="_xlnm.Print_Titles" localSheetId="19">'공기관,보조금,지원(세부산출)'!$2:$4</definedName>
    <definedName name="_xlnm.Print_Titles" localSheetId="21">'위탁(세부산출)'!$2:$4</definedName>
    <definedName name="_xlnm.Print_Titles" localSheetId="2">'지출예산 총괄'!$1:$4</definedName>
  </definedNames>
  <calcPr calcId="125725"/>
</workbook>
</file>

<file path=xl/calcChain.xml><?xml version="1.0" encoding="utf-8"?>
<calcChain xmlns="http://schemas.openxmlformats.org/spreadsheetml/2006/main">
  <c r="W58" i="157"/>
  <c r="X58"/>
  <c r="X6" s="1"/>
  <c r="Y58"/>
  <c r="Z58"/>
  <c r="Y6"/>
  <c r="X41"/>
  <c r="Y41"/>
  <c r="Z41"/>
  <c r="W41"/>
  <c r="W48"/>
  <c r="W6" s="1"/>
  <c r="X48"/>
  <c r="Y48"/>
  <c r="Z48"/>
  <c r="V51"/>
  <c r="V50"/>
  <c r="X7"/>
  <c r="Y7"/>
  <c r="Z7"/>
  <c r="W7"/>
  <c r="V5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2"/>
  <c r="V41" s="1"/>
  <c r="V43"/>
  <c r="V44"/>
  <c r="V45"/>
  <c r="V46"/>
  <c r="V47"/>
  <c r="V49"/>
  <c r="V48" s="1"/>
  <c r="V52"/>
  <c r="V53"/>
  <c r="V54"/>
  <c r="V55"/>
  <c r="V56"/>
  <c r="V57"/>
  <c r="V59"/>
  <c r="V58" s="1"/>
  <c r="V60"/>
  <c r="V61"/>
  <c r="V62"/>
  <c r="V63"/>
  <c r="V64"/>
  <c r="V4"/>
  <c r="AA145" i="163"/>
  <c r="Z145" s="1"/>
  <c r="G140" i="162"/>
  <c r="F149"/>
  <c r="Z149"/>
  <c r="Y149" s="1"/>
  <c r="Z148"/>
  <c r="Y148" s="1"/>
  <c r="Z147"/>
  <c r="Y147" s="1"/>
  <c r="Z145"/>
  <c r="Y145" s="1"/>
  <c r="F145" s="1"/>
  <c r="Z144"/>
  <c r="Y144" s="1"/>
  <c r="Z143"/>
  <c r="Y143" s="1"/>
  <c r="Z141"/>
  <c r="Y141" s="1"/>
  <c r="F141" s="1"/>
  <c r="V6" i="157" l="1"/>
  <c r="V7"/>
  <c r="Z6"/>
  <c r="Z142" i="162"/>
  <c r="Y142" s="1"/>
  <c r="F142" s="1"/>
  <c r="F140" s="1"/>
  <c r="Z146"/>
  <c r="Y146" s="1"/>
  <c r="F146" s="1"/>
  <c r="G35" l="1"/>
  <c r="G34" s="1"/>
  <c r="H250" i="137"/>
  <c r="H249"/>
  <c r="H245"/>
  <c r="H237"/>
  <c r="G404" i="144"/>
  <c r="H286" i="135"/>
  <c r="H285"/>
  <c r="G237"/>
  <c r="F237"/>
  <c r="H261"/>
  <c r="H41" i="152"/>
  <c r="G81"/>
  <c r="F81"/>
  <c r="G96"/>
  <c r="F96"/>
  <c r="H154"/>
  <c r="C29" i="165" l="1"/>
  <c r="H5" i="158"/>
  <c r="H32"/>
  <c r="G32"/>
  <c r="H42"/>
  <c r="G42"/>
  <c r="G36"/>
  <c r="H43"/>
  <c r="G43"/>
  <c r="J44"/>
  <c r="Z55" i="162"/>
  <c r="Y55" s="1"/>
  <c r="Z59"/>
  <c r="Y59" s="1"/>
  <c r="Z56"/>
  <c r="Y56" s="1"/>
  <c r="Z54"/>
  <c r="Z58"/>
  <c r="Y58" s="1"/>
  <c r="Z57"/>
  <c r="Y57" s="1"/>
  <c r="G52"/>
  <c r="F7" i="157"/>
  <c r="E10"/>
  <c r="G10" s="1"/>
  <c r="AA641" i="106"/>
  <c r="AB641" s="1"/>
  <c r="AA639"/>
  <c r="AB639" s="1"/>
  <c r="AC11" i="138"/>
  <c r="AA15" i="134"/>
  <c r="AB15" s="1"/>
  <c r="AA13"/>
  <c r="AB13" s="1"/>
  <c r="AC11"/>
  <c r="AA11"/>
  <c r="Y18" i="113"/>
  <c r="AA935" i="162"/>
  <c r="AA936"/>
  <c r="AA937"/>
  <c r="AA944"/>
  <c r="AA945"/>
  <c r="AA946"/>
  <c r="AA957"/>
  <c r="AA958"/>
  <c r="AA10" i="154"/>
  <c r="AA11"/>
  <c r="AA12"/>
  <c r="AA13"/>
  <c r="AA14"/>
  <c r="AA15"/>
  <c r="AA18"/>
  <c r="AA19"/>
  <c r="AA22"/>
  <c r="AA23"/>
  <c r="AA24"/>
  <c r="AA28"/>
  <c r="AA29"/>
  <c r="AA30"/>
  <c r="AA32"/>
  <c r="AA33"/>
  <c r="AA35"/>
  <c r="AA36"/>
  <c r="AA37"/>
  <c r="AA38"/>
  <c r="AA39"/>
  <c r="AA41"/>
  <c r="AA42"/>
  <c r="AA43"/>
  <c r="AA44"/>
  <c r="AA45"/>
  <c r="AA46"/>
  <c r="AA47"/>
  <c r="AA49"/>
  <c r="AA50"/>
  <c r="AA52"/>
  <c r="AA53"/>
  <c r="AA55"/>
  <c r="AA56"/>
  <c r="AA57"/>
  <c r="AA58"/>
  <c r="AA59"/>
  <c r="AA61"/>
  <c r="AA62"/>
  <c r="AA64"/>
  <c r="AA65"/>
  <c r="AA66"/>
  <c r="AA68"/>
  <c r="AA69"/>
  <c r="AA70"/>
  <c r="AA71"/>
  <c r="AA73"/>
  <c r="AA74"/>
  <c r="AA75"/>
  <c r="AA77"/>
  <c r="AA78"/>
  <c r="AA80"/>
  <c r="AA81"/>
  <c r="AA82"/>
  <c r="AA83"/>
  <c r="AA92"/>
  <c r="AA93"/>
  <c r="AA94"/>
  <c r="AA95"/>
  <c r="AA99"/>
  <c r="AA100"/>
  <c r="AA101"/>
  <c r="AA102"/>
  <c r="AA103"/>
  <c r="AA104"/>
  <c r="AA107"/>
  <c r="AA108"/>
  <c r="AA109"/>
  <c r="AA112"/>
  <c r="AA113"/>
  <c r="AA114"/>
  <c r="AA116"/>
  <c r="AA117"/>
  <c r="AA118"/>
  <c r="AA119"/>
  <c r="AA120"/>
  <c r="AA121"/>
  <c r="AA122"/>
  <c r="AA123"/>
  <c r="AA124"/>
  <c r="AA125"/>
  <c r="AA126"/>
  <c r="AA127"/>
  <c r="AA128"/>
  <c r="AA129"/>
  <c r="AA131"/>
  <c r="AA132"/>
  <c r="AA133"/>
  <c r="AA134"/>
  <c r="AA135"/>
  <c r="AA136"/>
  <c r="AA137"/>
  <c r="AA138"/>
  <c r="AA139"/>
  <c r="AA140"/>
  <c r="AA141"/>
  <c r="AA143"/>
  <c r="AA145"/>
  <c r="AA146"/>
  <c r="AA147"/>
  <c r="AA149"/>
  <c r="AA153"/>
  <c r="AA154"/>
  <c r="AA158"/>
  <c r="AA159"/>
  <c r="AA160"/>
  <c r="AA174"/>
  <c r="AA175"/>
  <c r="AA178"/>
  <c r="AA179"/>
  <c r="AA180"/>
  <c r="AA181"/>
  <c r="AA183"/>
  <c r="AA184"/>
  <c r="AA185"/>
  <c r="AA187"/>
  <c r="AA188"/>
  <c r="AA189"/>
  <c r="AA190"/>
  <c r="AA196"/>
  <c r="AA197"/>
  <c r="AA201"/>
  <c r="AA202"/>
  <c r="AA203"/>
  <c r="AA204"/>
  <c r="AA205"/>
  <c r="AA206"/>
  <c r="AA207"/>
  <c r="AA208"/>
  <c r="AA210"/>
  <c r="AA217"/>
  <c r="AA218"/>
  <c r="AA219"/>
  <c r="AA221"/>
  <c r="AA222"/>
  <c r="AA223"/>
  <c r="AA224"/>
  <c r="AA225"/>
  <c r="AA226"/>
  <c r="AA227"/>
  <c r="AA229"/>
  <c r="AA230"/>
  <c r="AA231"/>
  <c r="AA232"/>
  <c r="AA233"/>
  <c r="AA234"/>
  <c r="AA235"/>
  <c r="AA236"/>
  <c r="AA238"/>
  <c r="AA248"/>
  <c r="AA249"/>
  <c r="AA250"/>
  <c r="AA251"/>
  <c r="AA252"/>
  <c r="AA255"/>
  <c r="AA256"/>
  <c r="AA263"/>
  <c r="AA264"/>
  <c r="AA267"/>
  <c r="AA268"/>
  <c r="AA271"/>
  <c r="AA272"/>
  <c r="AA279"/>
  <c r="AA280"/>
  <c r="AA282"/>
  <c r="AA283"/>
  <c r="Z140"/>
  <c r="Z141"/>
  <c r="Z142"/>
  <c r="Z143"/>
  <c r="Z145"/>
  <c r="Z146"/>
  <c r="Z147"/>
  <c r="Z151"/>
  <c r="Z152"/>
  <c r="Z153"/>
  <c r="Z154"/>
  <c r="Z155"/>
  <c r="Z156"/>
  <c r="Z158"/>
  <c r="Z159"/>
  <c r="Z160"/>
  <c r="Z161"/>
  <c r="Z162"/>
  <c r="Z163"/>
  <c r="Z164"/>
  <c r="Z165"/>
  <c r="Z166"/>
  <c r="Z167"/>
  <c r="Z169"/>
  <c r="Z173"/>
  <c r="Z174"/>
  <c r="Z175"/>
  <c r="Z176"/>
  <c r="Z177"/>
  <c r="Z179"/>
  <c r="Z180"/>
  <c r="Z181"/>
  <c r="Z183"/>
  <c r="Z184"/>
  <c r="Z185"/>
  <c r="Z186"/>
  <c r="Z188"/>
  <c r="Z189"/>
  <c r="Z190"/>
  <c r="Z191"/>
  <c r="Z193"/>
  <c r="AC147" i="125"/>
  <c r="G55" i="152"/>
  <c r="Z11" i="136"/>
  <c r="Z10" s="1"/>
  <c r="Z13"/>
  <c r="Z12" s="1"/>
  <c r="Z15"/>
  <c r="Z14" s="1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8"/>
  <c r="Z69"/>
  <c r="Z70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4"/>
  <c r="Z95"/>
  <c r="Z98"/>
  <c r="Z110"/>
  <c r="Z113"/>
  <c r="Z114"/>
  <c r="Z115"/>
  <c r="Z116"/>
  <c r="Z117"/>
  <c r="Z118"/>
  <c r="Z120"/>
  <c r="Z119" s="1"/>
  <c r="Z121"/>
  <c r="Z122"/>
  <c r="Z123"/>
  <c r="Z124"/>
  <c r="Z125"/>
  <c r="Z126"/>
  <c r="Z127"/>
  <c r="Z128"/>
  <c r="Z129"/>
  <c r="Z130"/>
  <c r="Z131"/>
  <c r="Z133"/>
  <c r="Z135"/>
  <c r="Z136"/>
  <c r="Z142"/>
  <c r="Z143"/>
  <c r="Z144"/>
  <c r="Z158"/>
  <c r="Z159"/>
  <c r="Z160"/>
  <c r="Z161"/>
  <c r="Z162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5"/>
  <c r="Z196"/>
  <c r="Z197"/>
  <c r="Z199"/>
  <c r="Z200"/>
  <c r="Z201"/>
  <c r="Z203"/>
  <c r="Z204"/>
  <c r="Z205"/>
  <c r="Z206"/>
  <c r="Z207"/>
  <c r="Z211"/>
  <c r="Z212"/>
  <c r="Z215"/>
  <c r="Z216"/>
  <c r="Z217"/>
  <c r="Z221"/>
  <c r="Z222"/>
  <c r="Z223"/>
  <c r="Z224"/>
  <c r="Z225"/>
  <c r="Z226"/>
  <c r="Z227"/>
  <c r="Z228"/>
  <c r="Z229"/>
  <c r="Z230"/>
  <c r="Z231"/>
  <c r="Z232"/>
  <c r="Z233"/>
  <c r="Z234"/>
  <c r="Z237"/>
  <c r="Z238"/>
  <c r="Z239"/>
  <c r="Z240"/>
  <c r="Z242"/>
  <c r="Z241" s="1"/>
  <c r="Z243"/>
  <c r="Z244"/>
  <c r="Z246"/>
  <c r="Z245" s="1"/>
  <c r="Z247"/>
  <c r="Z248"/>
  <c r="Z249"/>
  <c r="Z250"/>
  <c r="Z251"/>
  <c r="Z252"/>
  <c r="Z253"/>
  <c r="Z254"/>
  <c r="Z256"/>
  <c r="Z255" s="1"/>
  <c r="Z257"/>
  <c r="Z258"/>
  <c r="Z259"/>
  <c r="Z260"/>
  <c r="Z261"/>
  <c r="Z262"/>
  <c r="Z263"/>
  <c r="Z265"/>
  <c r="Z264" s="1"/>
  <c r="Z266"/>
  <c r="Z267"/>
  <c r="Z268"/>
  <c r="Z269"/>
  <c r="Z270"/>
  <c r="Z283"/>
  <c r="Z284"/>
  <c r="Z285"/>
  <c r="Z286"/>
  <c r="Z287"/>
  <c r="Z288"/>
  <c r="Z289"/>
  <c r="Z290"/>
  <c r="Z291"/>
  <c r="Z292"/>
  <c r="Z293"/>
  <c r="J30" i="121"/>
  <c r="J37"/>
  <c r="J53"/>
  <c r="I14"/>
  <c r="I15"/>
  <c r="I16"/>
  <c r="I17"/>
  <c r="I18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V45" i="120"/>
  <c r="I28" i="164"/>
  <c r="Z53" i="162" l="1"/>
  <c r="Y53" s="1"/>
  <c r="F53" s="1"/>
  <c r="Z194" i="136"/>
  <c r="Y54" i="162"/>
  <c r="G51"/>
  <c r="G50" s="1"/>
  <c r="Z182" i="154"/>
  <c r="Z187"/>
  <c r="Z144"/>
  <c r="Z178"/>
  <c r="Z157"/>
  <c r="Z9" i="136"/>
  <c r="H53" i="162" l="1"/>
  <c r="F52"/>
  <c r="G28" i="164"/>
  <c r="H28"/>
  <c r="I187" i="158"/>
  <c r="I188"/>
  <c r="H187"/>
  <c r="G187"/>
  <c r="I170"/>
  <c r="H169"/>
  <c r="G169"/>
  <c r="I161"/>
  <c r="I160"/>
  <c r="H159"/>
  <c r="G159"/>
  <c r="I159" s="1"/>
  <c r="G329" i="144"/>
  <c r="Z331"/>
  <c r="Y331"/>
  <c r="F331" s="1"/>
  <c r="F329" s="1"/>
  <c r="H329" s="1"/>
  <c r="Z330"/>
  <c r="Y330"/>
  <c r="F330" s="1"/>
  <c r="H330" s="1"/>
  <c r="H52" i="162" l="1"/>
  <c r="I52" s="1"/>
  <c r="F51"/>
  <c r="H331" i="144"/>
  <c r="I169" i="158"/>
  <c r="G1025" i="162"/>
  <c r="G1024" s="1"/>
  <c r="Y1039"/>
  <c r="Z1038"/>
  <c r="Y1038" s="1"/>
  <c r="Z1039"/>
  <c r="Z1040"/>
  <c r="Y1040" s="1"/>
  <c r="Z1041"/>
  <c r="Y1041" s="1"/>
  <c r="Z1042"/>
  <c r="Y1042" s="1"/>
  <c r="Z1036"/>
  <c r="Y1036" s="1"/>
  <c r="Z1035"/>
  <c r="Y1035" s="1"/>
  <c r="Z1034"/>
  <c r="Y1034" s="1"/>
  <c r="Z1031"/>
  <c r="Y1031" s="1"/>
  <c r="Z1032"/>
  <c r="Y1032" s="1"/>
  <c r="Z1030"/>
  <c r="Y1030" s="1"/>
  <c r="Z1029"/>
  <c r="Y1029" s="1"/>
  <c r="Z1027"/>
  <c r="Y1027"/>
  <c r="F1027" s="1"/>
  <c r="H1027" s="1"/>
  <c r="Z1026"/>
  <c r="Y1026"/>
  <c r="F1026" s="1"/>
  <c r="H1026" s="1"/>
  <c r="G918"/>
  <c r="Z927"/>
  <c r="Z926"/>
  <c r="Y926" s="1"/>
  <c r="Z925"/>
  <c r="Y925" s="1"/>
  <c r="Z923"/>
  <c r="Y923" s="1"/>
  <c r="Z922"/>
  <c r="Y922" s="1"/>
  <c r="Z921"/>
  <c r="Z919"/>
  <c r="Y919" s="1"/>
  <c r="F919" s="1"/>
  <c r="H919" s="1"/>
  <c r="G907"/>
  <c r="Z917"/>
  <c r="Y917" s="1"/>
  <c r="F917" s="1"/>
  <c r="H917" s="1"/>
  <c r="Z916"/>
  <c r="Y916" s="1"/>
  <c r="Z915"/>
  <c r="Y915" s="1"/>
  <c r="Z914"/>
  <c r="Y914" s="1"/>
  <c r="Z913"/>
  <c r="Y913" s="1"/>
  <c r="Z912"/>
  <c r="Y912" s="1"/>
  <c r="Z911"/>
  <c r="Z909"/>
  <c r="Y909" s="1"/>
  <c r="F909" s="1"/>
  <c r="H909" s="1"/>
  <c r="Z908"/>
  <c r="Y908" s="1"/>
  <c r="F908" s="1"/>
  <c r="G331"/>
  <c r="G205"/>
  <c r="G954"/>
  <c r="G953" s="1"/>
  <c r="Z959"/>
  <c r="Y959" s="1"/>
  <c r="F959" s="1"/>
  <c r="Z958"/>
  <c r="Z957"/>
  <c r="Y958"/>
  <c r="Y957"/>
  <c r="Z955"/>
  <c r="Y955" s="1"/>
  <c r="F955" s="1"/>
  <c r="H855"/>
  <c r="G855"/>
  <c r="G839"/>
  <c r="Z853"/>
  <c r="Y853"/>
  <c r="Z920" l="1"/>
  <c r="Y920" s="1"/>
  <c r="F920" s="1"/>
  <c r="H920" s="1"/>
  <c r="F50"/>
  <c r="H50" s="1"/>
  <c r="H51"/>
  <c r="H959"/>
  <c r="AA959"/>
  <c r="Z1033"/>
  <c r="H955"/>
  <c r="AA955"/>
  <c r="G906"/>
  <c r="Z1037"/>
  <c r="Y1037" s="1"/>
  <c r="F1037" s="1"/>
  <c r="H1037" s="1"/>
  <c r="Z1028"/>
  <c r="Y1028" s="1"/>
  <c r="F1028" s="1"/>
  <c r="H1028" s="1"/>
  <c r="Z910"/>
  <c r="Y910" s="1"/>
  <c r="F910" s="1"/>
  <c r="H910" s="1"/>
  <c r="Z956"/>
  <c r="Y956" s="1"/>
  <c r="F956" s="1"/>
  <c r="Y1033"/>
  <c r="F1033" s="1"/>
  <c r="H1033" s="1"/>
  <c r="H908"/>
  <c r="Y921"/>
  <c r="Z924"/>
  <c r="Y924" s="1"/>
  <c r="F924" s="1"/>
  <c r="H924" s="1"/>
  <c r="Y927"/>
  <c r="Y911"/>
  <c r="H956" l="1"/>
  <c r="AA956"/>
  <c r="F1025"/>
  <c r="F918"/>
  <c r="F954"/>
  <c r="F907"/>
  <c r="H907" s="1"/>
  <c r="H918"/>
  <c r="F953" l="1"/>
  <c r="AA954"/>
  <c r="H1025"/>
  <c r="F1024"/>
  <c r="H1024" s="1"/>
  <c r="F906"/>
  <c r="H906" s="1"/>
  <c r="H954"/>
  <c r="H953" l="1"/>
  <c r="AA953"/>
  <c r="G341" i="137"/>
  <c r="F341"/>
  <c r="G118"/>
  <c r="F118"/>
  <c r="G342"/>
  <c r="F342"/>
  <c r="H348"/>
  <c r="H344"/>
  <c r="H343"/>
  <c r="F348"/>
  <c r="Y351"/>
  <c r="Z351"/>
  <c r="Y348"/>
  <c r="Y350"/>
  <c r="Y349"/>
  <c r="Z345"/>
  <c r="Z346"/>
  <c r="Y347"/>
  <c r="Z347"/>
  <c r="Y346"/>
  <c r="Y345"/>
  <c r="Y343"/>
  <c r="F343" s="1"/>
  <c r="Z343"/>
  <c r="G276"/>
  <c r="F277"/>
  <c r="Y279"/>
  <c r="F279" s="1"/>
  <c r="H279" s="1"/>
  <c r="Y278"/>
  <c r="F278" s="1"/>
  <c r="H278" s="1"/>
  <c r="Y277"/>
  <c r="G89" i="154"/>
  <c r="Y141"/>
  <c r="Y140"/>
  <c r="Z139"/>
  <c r="Y139"/>
  <c r="Z138"/>
  <c r="Y138" s="1"/>
  <c r="Z137"/>
  <c r="Y137" s="1"/>
  <c r="Z136"/>
  <c r="Y136" s="1"/>
  <c r="Z135"/>
  <c r="Y135" s="1"/>
  <c r="Z134"/>
  <c r="Y134" s="1"/>
  <c r="Z133"/>
  <c r="Y133"/>
  <c r="Z132"/>
  <c r="Y132" s="1"/>
  <c r="Z131"/>
  <c r="Y131"/>
  <c r="Z130"/>
  <c r="Y130" s="1"/>
  <c r="Z129"/>
  <c r="Y129"/>
  <c r="Z128"/>
  <c r="Y128" s="1"/>
  <c r="Z127"/>
  <c r="Y127" s="1"/>
  <c r="Z126"/>
  <c r="Y126" s="1"/>
  <c r="Z125"/>
  <c r="Y125"/>
  <c r="Z124"/>
  <c r="Y124" s="1"/>
  <c r="Z123"/>
  <c r="Y123"/>
  <c r="Z122"/>
  <c r="Y122" s="1"/>
  <c r="Z121"/>
  <c r="Y121" s="1"/>
  <c r="Z120"/>
  <c r="Y120" s="1"/>
  <c r="Z119"/>
  <c r="Y119" s="1"/>
  <c r="Z118"/>
  <c r="Y118" s="1"/>
  <c r="Z117"/>
  <c r="Y117"/>
  <c r="Z116"/>
  <c r="Z104"/>
  <c r="Z103"/>
  <c r="Y104"/>
  <c r="Z107"/>
  <c r="Z115" l="1"/>
  <c r="Y115" s="1"/>
  <c r="F276" i="137"/>
  <c r="H277"/>
  <c r="Y344"/>
  <c r="F344" s="1"/>
  <c r="Y116" i="154"/>
  <c r="G171" l="1"/>
  <c r="Z203"/>
  <c r="Y203" s="1"/>
  <c r="Z208"/>
  <c r="Y208" s="1"/>
  <c r="Z207"/>
  <c r="Y207" s="1"/>
  <c r="Z206"/>
  <c r="Y206" s="1"/>
  <c r="Z205"/>
  <c r="Y205" s="1"/>
  <c r="Z204"/>
  <c r="Y204" s="1"/>
  <c r="Z202"/>
  <c r="Y202" s="1"/>
  <c r="Z201"/>
  <c r="Y201" s="1"/>
  <c r="G192"/>
  <c r="Z194"/>
  <c r="Y194" s="1"/>
  <c r="F194" s="1"/>
  <c r="Z199"/>
  <c r="Y199" s="1"/>
  <c r="F199" s="1"/>
  <c r="Z198"/>
  <c r="Y198" s="1"/>
  <c r="F198" s="1"/>
  <c r="Z197"/>
  <c r="Y197" s="1"/>
  <c r="Z196"/>
  <c r="Y193"/>
  <c r="F193" s="1"/>
  <c r="AA193" s="1"/>
  <c r="F48" i="157"/>
  <c r="E57"/>
  <c r="G57" s="1"/>
  <c r="E56"/>
  <c r="G56" s="1"/>
  <c r="E55"/>
  <c r="G55" s="1"/>
  <c r="G40"/>
  <c r="F8" i="120"/>
  <c r="F7" s="1"/>
  <c r="G112" i="134"/>
  <c r="Y133"/>
  <c r="F133" s="1"/>
  <c r="H133" s="1"/>
  <c r="Y132"/>
  <c r="Y131"/>
  <c r="Y129"/>
  <c r="Y128"/>
  <c r="Y127"/>
  <c r="Y126"/>
  <c r="Y125"/>
  <c r="Y124"/>
  <c r="Y122"/>
  <c r="Y121"/>
  <c r="Y120"/>
  <c r="Y119"/>
  <c r="Y117"/>
  <c r="Y116"/>
  <c r="Y115"/>
  <c r="Y113"/>
  <c r="Y130" l="1"/>
  <c r="Y114"/>
  <c r="Y118"/>
  <c r="Y123"/>
  <c r="H194" i="154"/>
  <c r="AA194"/>
  <c r="H198"/>
  <c r="H199"/>
  <c r="AA199"/>
  <c r="G170"/>
  <c r="Z195"/>
  <c r="H193"/>
  <c r="Z200"/>
  <c r="Y200" s="1"/>
  <c r="F200" s="1"/>
  <c r="Y195"/>
  <c r="F195" s="1"/>
  <c r="Y196"/>
  <c r="Y272" i="134"/>
  <c r="Z272" s="1"/>
  <c r="Y271"/>
  <c r="Y270"/>
  <c r="Z270" s="1"/>
  <c r="Z269"/>
  <c r="Y269"/>
  <c r="Y267"/>
  <c r="Z267" s="1"/>
  <c r="F267" l="1"/>
  <c r="Y268"/>
  <c r="F272"/>
  <c r="H272" s="1"/>
  <c r="H200" i="154"/>
  <c r="AA200"/>
  <c r="F192"/>
  <c r="AA195"/>
  <c r="H195"/>
  <c r="Y168" i="134"/>
  <c r="Y169"/>
  <c r="Y171"/>
  <c r="Y170" s="1"/>
  <c r="Y172"/>
  <c r="Y174"/>
  <c r="Y175"/>
  <c r="Y177"/>
  <c r="Y178"/>
  <c r="Y179"/>
  <c r="Y181"/>
  <c r="Y182"/>
  <c r="Y184"/>
  <c r="Y185"/>
  <c r="Y186"/>
  <c r="Y183" l="1"/>
  <c r="Y173"/>
  <c r="Z268"/>
  <c r="F268"/>
  <c r="H268" s="1"/>
  <c r="Y180"/>
  <c r="H192" i="154"/>
  <c r="AA192"/>
  <c r="Y176" i="134"/>
  <c r="Z295" l="1"/>
  <c r="Y295"/>
  <c r="Z294"/>
  <c r="Y294"/>
  <c r="Z293"/>
  <c r="Y293"/>
  <c r="Z292"/>
  <c r="Y292"/>
  <c r="Z291"/>
  <c r="Y291"/>
  <c r="Z290"/>
  <c r="Y290"/>
  <c r="Z289"/>
  <c r="Y289"/>
  <c r="Z288"/>
  <c r="Y288"/>
  <c r="Z287"/>
  <c r="Z286" s="1"/>
  <c r="Y287"/>
  <c r="Y286" l="1"/>
  <c r="G135"/>
  <c r="Y153"/>
  <c r="F153" s="1"/>
  <c r="Y152"/>
  <c r="F152" s="1"/>
  <c r="Y151"/>
  <c r="Y150"/>
  <c r="Y149"/>
  <c r="Y148"/>
  <c r="Y146"/>
  <c r="Y145"/>
  <c r="Y144"/>
  <c r="Y143"/>
  <c r="Y141"/>
  <c r="Y140"/>
  <c r="Y138"/>
  <c r="Y137"/>
  <c r="Y142" l="1"/>
  <c r="F142" s="1"/>
  <c r="H142" s="1"/>
  <c r="Y136"/>
  <c r="F136" s="1"/>
  <c r="Y147"/>
  <c r="F147" s="1"/>
  <c r="H147" s="1"/>
  <c r="Y139"/>
  <c r="F139" s="1"/>
  <c r="H139" s="1"/>
  <c r="F135" l="1"/>
  <c r="H136"/>
  <c r="G221" l="1"/>
  <c r="Z139" i="113" l="1"/>
  <c r="Z143"/>
  <c r="Z142"/>
  <c r="Z141"/>
  <c r="Z140"/>
  <c r="Z41" i="125"/>
  <c r="Z44"/>
  <c r="Z45"/>
  <c r="Z47"/>
  <c r="Z46"/>
  <c r="Z43"/>
  <c r="Z42"/>
  <c r="Z37"/>
  <c r="Z33"/>
  <c r="Z30"/>
  <c r="Z29"/>
  <c r="Z40"/>
  <c r="Z39"/>
  <c r="Z38"/>
  <c r="Z36"/>
  <c r="Z35"/>
  <c r="Z34"/>
  <c r="Z32"/>
  <c r="Z31"/>
  <c r="Z15"/>
  <c r="Z18"/>
  <c r="Z25"/>
  <c r="Z27"/>
  <c r="Z26"/>
  <c r="Z24"/>
  <c r="Z23"/>
  <c r="Z22"/>
  <c r="Z21"/>
  <c r="Z20"/>
  <c r="Z19"/>
  <c r="Z17"/>
  <c r="Z16"/>
  <c r="Z14"/>
  <c r="Z13"/>
  <c r="H15" l="1"/>
  <c r="H14"/>
  <c r="H13"/>
  <c r="H12"/>
  <c r="H45"/>
  <c r="H37"/>
  <c r="H29"/>
  <c r="Y47"/>
  <c r="Y46"/>
  <c r="Y45" s="1"/>
  <c r="Y44"/>
  <c r="Y43"/>
  <c r="Y42"/>
  <c r="Y41" s="1"/>
  <c r="Y40"/>
  <c r="Y39"/>
  <c r="Y38"/>
  <c r="Y37" s="1"/>
  <c r="Y36"/>
  <c r="Y35"/>
  <c r="Y34"/>
  <c r="Y33" s="1"/>
  <c r="Y32"/>
  <c r="Y31"/>
  <c r="Y30"/>
  <c r="Y29"/>
  <c r="S27"/>
  <c r="Y27" s="1"/>
  <c r="Y26"/>
  <c r="Y25" s="1"/>
  <c r="Y24"/>
  <c r="Y23"/>
  <c r="Y22"/>
  <c r="Y21"/>
  <c r="Y20"/>
  <c r="Y19"/>
  <c r="Y18" s="1"/>
  <c r="Y17"/>
  <c r="Y16"/>
  <c r="Y15"/>
  <c r="Y14"/>
  <c r="Y13"/>
  <c r="G22" i="113" l="1"/>
  <c r="H31"/>
  <c r="H55"/>
  <c r="H80"/>
  <c r="H115"/>
  <c r="H105"/>
  <c r="H123"/>
  <c r="Z128"/>
  <c r="Y128"/>
  <c r="Z127"/>
  <c r="Y127" s="1"/>
  <c r="Z126"/>
  <c r="Y126"/>
  <c r="Z125"/>
  <c r="Y125" s="1"/>
  <c r="Z124"/>
  <c r="Y124"/>
  <c r="Z123"/>
  <c r="Y123" s="1"/>
  <c r="Z117"/>
  <c r="Y117"/>
  <c r="Z116"/>
  <c r="Z115" s="1"/>
  <c r="Y115" s="1"/>
  <c r="Z114"/>
  <c r="Y114"/>
  <c r="Z113"/>
  <c r="Y113" s="1"/>
  <c r="Z112"/>
  <c r="Y112"/>
  <c r="Z111"/>
  <c r="Y111" s="1"/>
  <c r="S110"/>
  <c r="Z110" s="1"/>
  <c r="Y110" s="1"/>
  <c r="Z109"/>
  <c r="Y109" s="1"/>
  <c r="Z108"/>
  <c r="Y108" s="1"/>
  <c r="Z107"/>
  <c r="Y107" s="1"/>
  <c r="Z106"/>
  <c r="Z105" s="1"/>
  <c r="Y105" s="1"/>
  <c r="Z89"/>
  <c r="Y89"/>
  <c r="Z88"/>
  <c r="Z87" s="1"/>
  <c r="Z86"/>
  <c r="Z85" s="1"/>
  <c r="Y85" s="1"/>
  <c r="Z84"/>
  <c r="Y84" s="1"/>
  <c r="Z83"/>
  <c r="Y83" s="1"/>
  <c r="Z82"/>
  <c r="Z65"/>
  <c r="Y65"/>
  <c r="Z64"/>
  <c r="Y64" s="1"/>
  <c r="Z63"/>
  <c r="Y63" s="1"/>
  <c r="Z62"/>
  <c r="Y62" s="1"/>
  <c r="Z61"/>
  <c r="Y61" s="1"/>
  <c r="Z60"/>
  <c r="Y60" s="1"/>
  <c r="Z59"/>
  <c r="Y59" s="1"/>
  <c r="Z58"/>
  <c r="Y58" s="1"/>
  <c r="Z57"/>
  <c r="Y57" s="1"/>
  <c r="Z56"/>
  <c r="Z34"/>
  <c r="Y34" s="1"/>
  <c r="Z33"/>
  <c r="Y33" s="1"/>
  <c r="Z32"/>
  <c r="Y116" l="1"/>
  <c r="Y106"/>
  <c r="Z81"/>
  <c r="Z80"/>
  <c r="Y80" s="1"/>
  <c r="Y81"/>
  <c r="Y82"/>
  <c r="Y86"/>
  <c r="Y88"/>
  <c r="Y87" s="1"/>
  <c r="Z31"/>
  <c r="Y31" s="1"/>
  <c r="Z55"/>
  <c r="Y55" s="1"/>
  <c r="Y56"/>
  <c r="Y32"/>
  <c r="H73" i="125" l="1"/>
  <c r="H63"/>
  <c r="F62"/>
  <c r="F73"/>
  <c r="Z73" l="1"/>
  <c r="Y73"/>
  <c r="Z72"/>
  <c r="Y72"/>
  <c r="Z71"/>
  <c r="Y71"/>
  <c r="Z70"/>
  <c r="Y70"/>
  <c r="Y69" s="1"/>
  <c r="Z68"/>
  <c r="Y68"/>
  <c r="Z67"/>
  <c r="Y67"/>
  <c r="Z66"/>
  <c r="Y66"/>
  <c r="Z65"/>
  <c r="Y65"/>
  <c r="Z64"/>
  <c r="Y64"/>
  <c r="Y63" s="1"/>
  <c r="G138" l="1"/>
  <c r="F148"/>
  <c r="H148" s="1"/>
  <c r="Z150"/>
  <c r="Y150" s="1"/>
  <c r="F150" s="1"/>
  <c r="AB150" s="1"/>
  <c r="Z149"/>
  <c r="Y149" s="1"/>
  <c r="F149" s="1"/>
  <c r="AB149" s="1"/>
  <c r="Z148"/>
  <c r="Y148" s="1"/>
  <c r="Z147"/>
  <c r="Y147" s="1"/>
  <c r="AB146"/>
  <c r="Z146"/>
  <c r="Z145" s="1"/>
  <c r="Y145" s="1"/>
  <c r="F145" s="1"/>
  <c r="Z144"/>
  <c r="Y144" s="1"/>
  <c r="F144" s="1"/>
  <c r="AB144" s="1"/>
  <c r="Z143"/>
  <c r="Y143" s="1"/>
  <c r="F143" s="1"/>
  <c r="AB143" s="1"/>
  <c r="Z142"/>
  <c r="Y142" s="1"/>
  <c r="F142" s="1"/>
  <c r="Z141"/>
  <c r="Y141" s="1"/>
  <c r="F141" s="1"/>
  <c r="AB141" s="1"/>
  <c r="Z140"/>
  <c r="Y140" s="1"/>
  <c r="F140" s="1"/>
  <c r="AB140" s="1"/>
  <c r="Z139"/>
  <c r="Y139" s="1"/>
  <c r="F139" s="1"/>
  <c r="H145" l="1"/>
  <c r="AB145"/>
  <c r="AB139"/>
  <c r="F138"/>
  <c r="H142"/>
  <c r="AB142"/>
  <c r="AB148"/>
  <c r="H140"/>
  <c r="Y146"/>
  <c r="Z56" i="152" l="1"/>
  <c r="Y56" s="1"/>
  <c r="Z55"/>
  <c r="Y55" s="1"/>
  <c r="G25" l="1"/>
  <c r="G61"/>
  <c r="Z77"/>
  <c r="Y77" s="1"/>
  <c r="F77" s="1"/>
  <c r="H77" s="1"/>
  <c r="Z40" l="1"/>
  <c r="Y40" s="1"/>
  <c r="Z39"/>
  <c r="Y39" s="1"/>
  <c r="Z38"/>
  <c r="Y38"/>
  <c r="Z37"/>
  <c r="Y37" s="1"/>
  <c r="Z36"/>
  <c r="Y36" s="1"/>
  <c r="Z35"/>
  <c r="Z34" s="1"/>
  <c r="Y34" s="1"/>
  <c r="Z33"/>
  <c r="Y33" s="1"/>
  <c r="Z32"/>
  <c r="Y32" s="1"/>
  <c r="Z30"/>
  <c r="Y30" s="1"/>
  <c r="Z29"/>
  <c r="Z27"/>
  <c r="Y27" s="1"/>
  <c r="Z26"/>
  <c r="Y26" s="1"/>
  <c r="Z31" l="1"/>
  <c r="Y31" s="1"/>
  <c r="Z28"/>
  <c r="Y28" s="1"/>
  <c r="Y29"/>
  <c r="Y35"/>
  <c r="Z60" l="1"/>
  <c r="Y60" s="1"/>
  <c r="Z59"/>
  <c r="Y59" s="1"/>
  <c r="Z58"/>
  <c r="Y58" s="1"/>
  <c r="Z57"/>
  <c r="Y57" s="1"/>
  <c r="F40" l="1"/>
  <c r="H40" s="1"/>
  <c r="F39"/>
  <c r="H39" s="1"/>
  <c r="F38"/>
  <c r="H38" s="1"/>
  <c r="F37"/>
  <c r="F34"/>
  <c r="F31"/>
  <c r="H31" s="1"/>
  <c r="F28"/>
  <c r="F27"/>
  <c r="H27" s="1"/>
  <c r="F26"/>
  <c r="F25" s="1"/>
  <c r="Z51" l="1"/>
  <c r="Y51" s="1"/>
  <c r="Z50"/>
  <c r="Z46"/>
  <c r="Y46" s="1"/>
  <c r="Z49" l="1"/>
  <c r="Y49" s="1"/>
  <c r="Y50"/>
  <c r="G54" l="1"/>
  <c r="F60"/>
  <c r="F59"/>
  <c r="F58"/>
  <c r="F57"/>
  <c r="F55"/>
  <c r="H55" s="1"/>
  <c r="Z115" l="1"/>
  <c r="Y115" s="1"/>
  <c r="Z52" l="1"/>
  <c r="Y52" s="1"/>
  <c r="F52" s="1"/>
  <c r="F49"/>
  <c r="H49" s="1"/>
  <c r="Z48"/>
  <c r="Y48" s="1"/>
  <c r="F48" s="1"/>
  <c r="Z47"/>
  <c r="Y47" s="1"/>
  <c r="F47" s="1"/>
  <c r="F46"/>
  <c r="H46" s="1"/>
  <c r="Z45"/>
  <c r="Y45" s="1"/>
  <c r="F45" s="1"/>
  <c r="Z44"/>
  <c r="Y44" s="1"/>
  <c r="F44" s="1"/>
  <c r="Z43"/>
  <c r="Y43" s="1"/>
  <c r="F43" s="1"/>
  <c r="Z42"/>
  <c r="Y42" s="1"/>
  <c r="F42" s="1"/>
  <c r="F199" i="135" l="1"/>
  <c r="G199"/>
  <c r="H199"/>
  <c r="H208"/>
  <c r="H207"/>
  <c r="H204"/>
  <c r="H202"/>
  <c r="H200"/>
  <c r="H201"/>
  <c r="H124" i="136"/>
  <c r="I141" i="158"/>
  <c r="I143"/>
  <c r="G121" i="106"/>
  <c r="Z122"/>
  <c r="Y122" s="1"/>
  <c r="F122" s="1"/>
  <c r="Z123"/>
  <c r="Y123" s="1"/>
  <c r="F123" s="1"/>
  <c r="Z124"/>
  <c r="Y124" s="1"/>
  <c r="F124" s="1"/>
  <c r="Z125"/>
  <c r="Y125" s="1"/>
  <c r="F125" s="1"/>
  <c r="Z126"/>
  <c r="Y126" s="1"/>
  <c r="F126" s="1"/>
  <c r="Z127"/>
  <c r="Y127" s="1"/>
  <c r="F127" s="1"/>
  <c r="H149" i="154"/>
  <c r="G67" i="162"/>
  <c r="Z47" i="138"/>
  <c r="Y266" i="137"/>
  <c r="Z266"/>
  <c r="Y178"/>
  <c r="Y284"/>
  <c r="Y272"/>
  <c r="G103" i="144"/>
  <c r="G89"/>
  <c r="H237" i="135"/>
  <c r="H263"/>
  <c r="H264"/>
  <c r="G263"/>
  <c r="F263"/>
  <c r="Y99" i="134"/>
  <c r="G984" i="162"/>
  <c r="Z986"/>
  <c r="Z987"/>
  <c r="Y987" s="1"/>
  <c r="Z988"/>
  <c r="Y988" s="1"/>
  <c r="Z990"/>
  <c r="Y990" s="1"/>
  <c r="Z991"/>
  <c r="Y991" s="1"/>
  <c r="Z992"/>
  <c r="Y992" s="1"/>
  <c r="Z993"/>
  <c r="Y993" s="1"/>
  <c r="Z1001"/>
  <c r="Y1001" s="1"/>
  <c r="Z1002"/>
  <c r="Y1002" s="1"/>
  <c r="Z121" i="106" l="1"/>
  <c r="F121"/>
  <c r="Z1000" i="162"/>
  <c r="Y1000" s="1"/>
  <c r="Z985"/>
  <c r="Y985" s="1"/>
  <c r="Y986"/>
  <c r="Z989"/>
  <c r="Y989" s="1"/>
  <c r="H121" i="106" l="1"/>
  <c r="Y869"/>
  <c r="Z869" s="1"/>
  <c r="Y854"/>
  <c r="Z854" s="1"/>
  <c r="Y852"/>
  <c r="Z852" s="1"/>
  <c r="Z545" i="162" l="1"/>
  <c r="Y545" s="1"/>
  <c r="S544"/>
  <c r="Z544" s="1"/>
  <c r="Y544" s="1"/>
  <c r="Z543"/>
  <c r="Y543" s="1"/>
  <c r="Z542"/>
  <c r="Y542" s="1"/>
  <c r="Z540"/>
  <c r="Y540" s="1"/>
  <c r="Z539"/>
  <c r="Y539" s="1"/>
  <c r="Z538"/>
  <c r="Y538" s="1"/>
  <c r="Z537"/>
  <c r="Y537" s="1"/>
  <c r="Z541" l="1"/>
  <c r="Y541" s="1"/>
  <c r="Y267" i="137"/>
  <c r="F267" s="1"/>
  <c r="H267" s="1"/>
  <c r="G265"/>
  <c r="F272"/>
  <c r="H272" s="1"/>
  <c r="G234"/>
  <c r="Y236"/>
  <c r="F236" s="1"/>
  <c r="H236" s="1"/>
  <c r="Y404" i="106" l="1"/>
  <c r="F404" s="1"/>
  <c r="H404" s="1"/>
  <c r="Y403"/>
  <c r="F403" s="1"/>
  <c r="H403" s="1"/>
  <c r="Y401"/>
  <c r="F401" s="1"/>
  <c r="H401" s="1"/>
  <c r="Y402"/>
  <c r="F402" s="1"/>
  <c r="H402" s="1"/>
  <c r="G370" i="144"/>
  <c r="Z401"/>
  <c r="Z376"/>
  <c r="Y376" s="1"/>
  <c r="Z379"/>
  <c r="Y379" s="1"/>
  <c r="Z402"/>
  <c r="Y402" s="1"/>
  <c r="Z400"/>
  <c r="Y400" s="1"/>
  <c r="Z398"/>
  <c r="Y398" s="1"/>
  <c r="Z397"/>
  <c r="Y397" s="1"/>
  <c r="Z396"/>
  <c r="Y396" s="1"/>
  <c r="Z394"/>
  <c r="Y394" s="1"/>
  <c r="Z393"/>
  <c r="Y393" s="1"/>
  <c r="Z392"/>
  <c r="Y392" s="1"/>
  <c r="Z391"/>
  <c r="Y391" s="1"/>
  <c r="Z390"/>
  <c r="Y390" s="1"/>
  <c r="Z389"/>
  <c r="Y389" s="1"/>
  <c r="Z388"/>
  <c r="Y388" s="1"/>
  <c r="Z387"/>
  <c r="Y387" s="1"/>
  <c r="Z386"/>
  <c r="Y386" s="1"/>
  <c r="Z384"/>
  <c r="Y384" s="1"/>
  <c r="Z383"/>
  <c r="Y383" s="1"/>
  <c r="Z382"/>
  <c r="Y382" s="1"/>
  <c r="Z381"/>
  <c r="Z378"/>
  <c r="Y378" s="1"/>
  <c r="Z377"/>
  <c r="Y377" s="1"/>
  <c r="Z375"/>
  <c r="Y375" s="1"/>
  <c r="Z374"/>
  <c r="Y374" s="1"/>
  <c r="X373"/>
  <c r="Z372"/>
  <c r="Z371" l="1"/>
  <c r="Z380"/>
  <c r="Z385"/>
  <c r="Y385" s="1"/>
  <c r="Z395"/>
  <c r="Y395" s="1"/>
  <c r="Z399"/>
  <c r="Y399" s="1"/>
  <c r="Y381"/>
  <c r="Y380" s="1"/>
  <c r="Y372"/>
  <c r="Y371" s="1"/>
  <c r="Z599" i="162" l="1"/>
  <c r="Y599" s="1"/>
  <c r="Z598"/>
  <c r="Y598" s="1"/>
  <c r="Z597"/>
  <c r="Y597" s="1"/>
  <c r="Z596"/>
  <c r="Y596" s="1"/>
  <c r="Z595"/>
  <c r="Y595" s="1"/>
  <c r="Z592"/>
  <c r="Y592" s="1"/>
  <c r="Z591"/>
  <c r="Y591" s="1"/>
  <c r="Z590"/>
  <c r="Y590" s="1"/>
  <c r="Z589"/>
  <c r="Y589" s="1"/>
  <c r="Z575"/>
  <c r="Y575" s="1"/>
  <c r="Z574"/>
  <c r="Y574" s="1"/>
  <c r="Z573"/>
  <c r="Y573" s="1"/>
  <c r="Z572"/>
  <c r="Y572" s="1"/>
  <c r="Z571"/>
  <c r="Y571" s="1"/>
  <c r="Z570"/>
  <c r="Y570" s="1"/>
  <c r="Z563"/>
  <c r="Y563" s="1"/>
  <c r="Z587"/>
  <c r="Y587" s="1"/>
  <c r="Z586"/>
  <c r="Y586" s="1"/>
  <c r="Z585"/>
  <c r="Y585" s="1"/>
  <c r="Z584"/>
  <c r="Y584" s="1"/>
  <c r="Z583"/>
  <c r="Y583" s="1"/>
  <c r="Z582"/>
  <c r="Y582" s="1"/>
  <c r="Z581"/>
  <c r="Y581" s="1"/>
  <c r="Z580"/>
  <c r="Y580" s="1"/>
  <c r="Z579"/>
  <c r="Y579" s="1"/>
  <c r="Z578"/>
  <c r="Y578" s="1"/>
  <c r="Z577"/>
  <c r="Z594" l="1"/>
  <c r="Y594" s="1"/>
  <c r="Z576"/>
  <c r="Y576" s="1"/>
  <c r="Z588"/>
  <c r="Y588" s="1"/>
  <c r="Y569"/>
  <c r="Z569"/>
  <c r="Y577"/>
  <c r="Z69" i="113" l="1"/>
  <c r="Y69" s="1"/>
  <c r="Z68"/>
  <c r="Y68" s="1"/>
  <c r="Z67"/>
  <c r="Z54"/>
  <c r="Y54" s="1"/>
  <c r="Z53"/>
  <c r="Y53" s="1"/>
  <c r="Z52"/>
  <c r="Y52" s="1"/>
  <c r="Z51"/>
  <c r="Y51" s="1"/>
  <c r="Z50"/>
  <c r="Y50" s="1"/>
  <c r="Z49"/>
  <c r="Y49" s="1"/>
  <c r="Z48"/>
  <c r="Y48" s="1"/>
  <c r="Z47"/>
  <c r="Y47" s="1"/>
  <c r="Z46"/>
  <c r="Y46" s="1"/>
  <c r="Z45"/>
  <c r="Z44" s="1"/>
  <c r="Z66" l="1"/>
  <c r="Y66" s="1"/>
  <c r="Y67"/>
  <c r="Y45"/>
  <c r="Y44" s="1"/>
  <c r="G270" i="136"/>
  <c r="Y282"/>
  <c r="Y281"/>
  <c r="Y280"/>
  <c r="Y279"/>
  <c r="Y277"/>
  <c r="Y276"/>
  <c r="Y275"/>
  <c r="Y274"/>
  <c r="Y273"/>
  <c r="Y272"/>
  <c r="Y278" l="1"/>
  <c r="Y271"/>
  <c r="H280" i="135"/>
  <c r="G280"/>
  <c r="H288"/>
  <c r="H287"/>
  <c r="H284"/>
  <c r="H283"/>
  <c r="H282"/>
  <c r="H281"/>
  <c r="F280"/>
  <c r="F284"/>
  <c r="F288"/>
  <c r="F287"/>
  <c r="F286"/>
  <c r="F285"/>
  <c r="F283"/>
  <c r="F282"/>
  <c r="F281"/>
  <c r="AA288"/>
  <c r="AA287"/>
  <c r="AA286"/>
  <c r="Z286"/>
  <c r="Y286" s="1"/>
  <c r="AA285"/>
  <c r="Z285"/>
  <c r="Y285" s="1"/>
  <c r="AA284"/>
  <c r="Z284"/>
  <c r="AA283"/>
  <c r="Z283"/>
  <c r="Y283" s="1"/>
  <c r="AA282"/>
  <c r="AA281"/>
  <c r="Z281"/>
  <c r="Y281" s="1"/>
  <c r="G317" i="144" l="1"/>
  <c r="AA325"/>
  <c r="Z325"/>
  <c r="Y325"/>
  <c r="AA324"/>
  <c r="Z324"/>
  <c r="Y324"/>
  <c r="Z327"/>
  <c r="Y327"/>
  <c r="Z326"/>
  <c r="Y326"/>
  <c r="Y323" l="1"/>
  <c r="Z323"/>
  <c r="G735" i="162"/>
  <c r="Z742"/>
  <c r="Y742"/>
  <c r="Z741"/>
  <c r="Y741"/>
  <c r="Z740"/>
  <c r="Y740"/>
  <c r="Z739"/>
  <c r="Y739"/>
  <c r="Z738"/>
  <c r="Y738"/>
  <c r="Z737"/>
  <c r="Y737"/>
  <c r="Z736" l="1"/>
  <c r="Z735" s="1"/>
  <c r="Y736"/>
  <c r="G332" i="137"/>
  <c r="Y340"/>
  <c r="Y339"/>
  <c r="Y338"/>
  <c r="Y337" s="1"/>
  <c r="Y336"/>
  <c r="Y335"/>
  <c r="Y334" l="1"/>
  <c r="G646" i="106"/>
  <c r="G8" i="152"/>
  <c r="H18" i="164"/>
  <c r="H157" i="158"/>
  <c r="G157"/>
  <c r="AC158"/>
  <c r="H307" i="163"/>
  <c r="Y268" i="136"/>
  <c r="Y266"/>
  <c r="Y265"/>
  <c r="Y263"/>
  <c r="Y267"/>
  <c r="Y261"/>
  <c r="Y260"/>
  <c r="Y258"/>
  <c r="Y257"/>
  <c r="Y253"/>
  <c r="Y259"/>
  <c r="Y254"/>
  <c r="Y252"/>
  <c r="Y256"/>
  <c r="Y250"/>
  <c r="Y248"/>
  <c r="Y243"/>
  <c r="Y242"/>
  <c r="Y249"/>
  <c r="Y244"/>
  <c r="Y247"/>
  <c r="Y240"/>
  <c r="AD220"/>
  <c r="Y207"/>
  <c r="G203"/>
  <c r="E26" i="157"/>
  <c r="H79" i="158"/>
  <c r="G79"/>
  <c r="Z98" i="106"/>
  <c r="Y98" s="1"/>
  <c r="Z97"/>
  <c r="Y97" s="1"/>
  <c r="Z86"/>
  <c r="Y86" s="1"/>
  <c r="E18" i="157"/>
  <c r="G18" s="1"/>
  <c r="E52"/>
  <c r="G52" s="1"/>
  <c r="U35" i="120"/>
  <c r="L13"/>
  <c r="G41" i="152"/>
  <c r="Y264" i="136" l="1"/>
  <c r="Y255"/>
  <c r="Y241"/>
  <c r="Y245"/>
  <c r="Y246"/>
  <c r="I79" i="158"/>
  <c r="AC80"/>
  <c r="Z96" i="106"/>
  <c r="Y96" s="1"/>
  <c r="G713" l="1"/>
  <c r="H227" i="135" l="1"/>
  <c r="H224"/>
  <c r="H221"/>
  <c r="F228"/>
  <c r="Z229"/>
  <c r="Y229" s="1"/>
  <c r="Z227"/>
  <c r="Y227"/>
  <c r="AA226"/>
  <c r="Z226"/>
  <c r="Y226" s="1"/>
  <c r="AA225"/>
  <c r="Z225"/>
  <c r="Y225" s="1"/>
  <c r="Z224"/>
  <c r="Y224" s="1"/>
  <c r="Z223"/>
  <c r="Y223"/>
  <c r="Z222"/>
  <c r="Y222" s="1"/>
  <c r="Z221"/>
  <c r="Y221" s="1"/>
  <c r="G220"/>
  <c r="G776" i="162" l="1"/>
  <c r="Z779"/>
  <c r="Z778"/>
  <c r="Y778" s="1"/>
  <c r="G127" i="135" l="1"/>
  <c r="H142"/>
  <c r="H141"/>
  <c r="H135"/>
  <c r="H134"/>
  <c r="H133"/>
  <c r="H130"/>
  <c r="H129"/>
  <c r="F133"/>
  <c r="AA133"/>
  <c r="Z133"/>
  <c r="Y133" s="1"/>
  <c r="Z129"/>
  <c r="Y129" s="1"/>
  <c r="Z788" i="162" l="1"/>
  <c r="Y788" s="1"/>
  <c r="Z787"/>
  <c r="Y787"/>
  <c r="Z786"/>
  <c r="Y786"/>
  <c r="Z785"/>
  <c r="Y785"/>
  <c r="Z784"/>
  <c r="Y784"/>
  <c r="Z783"/>
  <c r="Y783"/>
  <c r="Z782"/>
  <c r="Y782"/>
  <c r="Z781"/>
  <c r="Y781"/>
  <c r="Y779"/>
  <c r="Z777"/>
  <c r="Y777" s="1"/>
  <c r="Z780" l="1"/>
  <c r="Y780" s="1"/>
  <c r="G325"/>
  <c r="G319"/>
  <c r="G293"/>
  <c r="G288"/>
  <c r="G262"/>
  <c r="G248"/>
  <c r="G232"/>
  <c r="G212"/>
  <c r="G150"/>
  <c r="G9"/>
  <c r="G18"/>
  <c r="G8" i="138"/>
  <c r="G265"/>
  <c r="G264" s="1"/>
  <c r="G258"/>
  <c r="G257" s="1"/>
  <c r="G245"/>
  <c r="G231"/>
  <c r="G220"/>
  <c r="G207"/>
  <c r="G206" s="1"/>
  <c r="G161"/>
  <c r="G170"/>
  <c r="G177"/>
  <c r="G144"/>
  <c r="G131"/>
  <c r="G93"/>
  <c r="G85" s="1"/>
  <c r="G86"/>
  <c r="G20"/>
  <c r="G80"/>
  <c r="G353" i="137"/>
  <c r="G352" s="1"/>
  <c r="G293"/>
  <c r="G292" s="1"/>
  <c r="G281"/>
  <c r="G251"/>
  <c r="G221"/>
  <c r="G213"/>
  <c r="G200"/>
  <c r="G189"/>
  <c r="G170"/>
  <c r="G157"/>
  <c r="G137"/>
  <c r="G121"/>
  <c r="G20"/>
  <c r="G114"/>
  <c r="G8"/>
  <c r="G222" i="136"/>
  <c r="Y235"/>
  <c r="F235" s="1"/>
  <c r="H235" s="1"/>
  <c r="G136"/>
  <c r="Y144"/>
  <c r="Y143"/>
  <c r="Y142"/>
  <c r="Y137"/>
  <c r="F137" s="1"/>
  <c r="G110"/>
  <c r="Y117"/>
  <c r="F117" s="1"/>
  <c r="Y122"/>
  <c r="Y121"/>
  <c r="Y120"/>
  <c r="F112"/>
  <c r="H112" s="1"/>
  <c r="G299" i="144"/>
  <c r="G270"/>
  <c r="G255"/>
  <c r="G221"/>
  <c r="G204"/>
  <c r="G192"/>
  <c r="G156"/>
  <c r="G136"/>
  <c r="G327" i="135"/>
  <c r="G209"/>
  <c r="G361" i="134"/>
  <c r="G351"/>
  <c r="G339"/>
  <c r="G242"/>
  <c r="G237"/>
  <c r="G187"/>
  <c r="G93"/>
  <c r="G86"/>
  <c r="G150" i="154"/>
  <c r="G874" i="106"/>
  <c r="G826"/>
  <c r="G818"/>
  <c r="G810"/>
  <c r="G788"/>
  <c r="G778"/>
  <c r="G765"/>
  <c r="G634"/>
  <c r="G609"/>
  <c r="G601"/>
  <c r="G592"/>
  <c r="G374"/>
  <c r="G357"/>
  <c r="G342"/>
  <c r="G235"/>
  <c r="G215"/>
  <c r="G199"/>
  <c r="G175"/>
  <c r="G167"/>
  <c r="G90"/>
  <c r="G101"/>
  <c r="G47"/>
  <c r="G21"/>
  <c r="G8"/>
  <c r="G122" i="125"/>
  <c r="G85"/>
  <c r="G12"/>
  <c r="G190" i="136"/>
  <c r="Y201"/>
  <c r="Y197"/>
  <c r="Y200"/>
  <c r="Y199"/>
  <c r="Y196"/>
  <c r="Y195"/>
  <c r="Y193"/>
  <c r="Y192"/>
  <c r="G188" i="137" l="1"/>
  <c r="G156"/>
  <c r="G80" i="152"/>
  <c r="G7" i="137"/>
  <c r="G7" i="106"/>
  <c r="Y191" i="136"/>
  <c r="Y198"/>
  <c r="I34" i="158" l="1"/>
  <c r="G17" i="162"/>
  <c r="G897" i="106"/>
  <c r="G20" i="135"/>
  <c r="G8"/>
  <c r="G312" i="134"/>
  <c r="G306"/>
  <c r="G296"/>
  <c r="G285"/>
  <c r="G273"/>
  <c r="G266"/>
  <c r="G253"/>
  <c r="G220"/>
  <c r="G202"/>
  <c r="F187"/>
  <c r="Y189"/>
  <c r="Y188"/>
  <c r="G166"/>
  <c r="G154"/>
  <c r="G92"/>
  <c r="G246" i="154"/>
  <c r="G240"/>
  <c r="G228"/>
  <c r="G168"/>
  <c r="G148" s="1"/>
  <c r="G88"/>
  <c r="G85"/>
  <c r="G251" i="106"/>
  <c r="G268"/>
  <c r="G429"/>
  <c r="G460"/>
  <c r="G463"/>
  <c r="G477"/>
  <c r="G486"/>
  <c r="G540"/>
  <c r="G565"/>
  <c r="G577"/>
  <c r="G709"/>
  <c r="G764"/>
  <c r="G809"/>
  <c r="G817"/>
  <c r="G846"/>
  <c r="G870"/>
  <c r="G890"/>
  <c r="G134" i="152"/>
  <c r="G127"/>
  <c r="G24"/>
  <c r="G138" i="113"/>
  <c r="D14" i="164"/>
  <c r="H14" s="1"/>
  <c r="U36" i="120"/>
  <c r="U33" s="1"/>
  <c r="T33" s="1"/>
  <c r="E33" s="1"/>
  <c r="T34"/>
  <c r="Z392" i="162"/>
  <c r="Y392" s="1"/>
  <c r="Z391"/>
  <c r="Z352"/>
  <c r="Y352" s="1"/>
  <c r="Z351"/>
  <c r="Y351" s="1"/>
  <c r="Z350"/>
  <c r="Y350" s="1"/>
  <c r="Z390" l="1"/>
  <c r="Y390" s="1"/>
  <c r="G284" i="134"/>
  <c r="G252"/>
  <c r="G576" i="106"/>
  <c r="G873"/>
  <c r="G633"/>
  <c r="G539"/>
  <c r="G234"/>
  <c r="Z349" i="162"/>
  <c r="Y349" s="1"/>
  <c r="G134" i="134"/>
  <c r="Y391" i="162"/>
  <c r="E19" i="121" l="1"/>
  <c r="I19" s="1"/>
  <c r="G735" i="106"/>
  <c r="G902" i="162" l="1"/>
  <c r="G901" s="1"/>
  <c r="Z904"/>
  <c r="Z905"/>
  <c r="Z906" i="106"/>
  <c r="Y906" s="1"/>
  <c r="Z904"/>
  <c r="Y904" s="1"/>
  <c r="Z899"/>
  <c r="Y899" s="1"/>
  <c r="F899" s="1"/>
  <c r="Z898"/>
  <c r="Y898" s="1"/>
  <c r="Z905"/>
  <c r="Y905" s="1"/>
  <c r="F905" s="1"/>
  <c r="Z903"/>
  <c r="Y903" s="1"/>
  <c r="Z902"/>
  <c r="Z900"/>
  <c r="Y900" s="1"/>
  <c r="F900" s="1"/>
  <c r="H899" l="1"/>
  <c r="H900"/>
  <c r="H905"/>
  <c r="Z903" i="162"/>
  <c r="Y903" s="1"/>
  <c r="F903" s="1"/>
  <c r="Y905"/>
  <c r="Y904"/>
  <c r="Z901" i="106"/>
  <c r="Y902"/>
  <c r="F898"/>
  <c r="H898" s="1"/>
  <c r="F906"/>
  <c r="H906" l="1"/>
  <c r="F902" i="162"/>
  <c r="F901" s="1"/>
  <c r="Y901" i="106"/>
  <c r="F901" s="1"/>
  <c r="H901" l="1"/>
  <c r="F897"/>
  <c r="H897" s="1"/>
  <c r="H902" i="162"/>
  <c r="G189" i="138"/>
  <c r="G143" s="1"/>
  <c r="H201"/>
  <c r="H198"/>
  <c r="H193"/>
  <c r="H190"/>
  <c r="Z203"/>
  <c r="Z204"/>
  <c r="Y204" s="1"/>
  <c r="Y203"/>
  <c r="Z202"/>
  <c r="Y202" s="1"/>
  <c r="Z200"/>
  <c r="Y200" s="1"/>
  <c r="Z199"/>
  <c r="Z198" s="1"/>
  <c r="Z197"/>
  <c r="Y197" s="1"/>
  <c r="Z196"/>
  <c r="Y196" s="1"/>
  <c r="Z192"/>
  <c r="Y192" s="1"/>
  <c r="Z191"/>
  <c r="Z205"/>
  <c r="Z189" s="1"/>
  <c r="Z195"/>
  <c r="Z194"/>
  <c r="Y194" s="1"/>
  <c r="G204" i="162"/>
  <c r="Z207"/>
  <c r="Y207" s="1"/>
  <c r="F207" s="1"/>
  <c r="Z206"/>
  <c r="Y206" s="1"/>
  <c r="F206" s="1"/>
  <c r="G62" i="125"/>
  <c r="G700" i="162"/>
  <c r="G710"/>
  <c r="G755"/>
  <c r="G797"/>
  <c r="G819"/>
  <c r="G870"/>
  <c r="G886"/>
  <c r="G931"/>
  <c r="G951"/>
  <c r="G941"/>
  <c r="G966"/>
  <c r="G976"/>
  <c r="G1009"/>
  <c r="G269" i="136"/>
  <c r="G262"/>
  <c r="G251"/>
  <c r="G239"/>
  <c r="G159"/>
  <c r="G126"/>
  <c r="G95"/>
  <c r="G98"/>
  <c r="F106"/>
  <c r="H106" s="1"/>
  <c r="F100"/>
  <c r="H100" s="1"/>
  <c r="Y109"/>
  <c r="F109" s="1"/>
  <c r="Y108"/>
  <c r="F108" s="1"/>
  <c r="H108" s="1"/>
  <c r="Y107"/>
  <c r="F107" s="1"/>
  <c r="H107" s="1"/>
  <c r="Y105"/>
  <c r="Y104"/>
  <c r="Y103"/>
  <c r="Y102"/>
  <c r="Y99"/>
  <c r="Y97"/>
  <c r="Y96"/>
  <c r="G238" l="1"/>
  <c r="Y101"/>
  <c r="F101" s="1"/>
  <c r="H101" s="1"/>
  <c r="F205" i="162"/>
  <c r="Z193" i="138"/>
  <c r="Y201"/>
  <c r="F201" s="1"/>
  <c r="Z201"/>
  <c r="Y195"/>
  <c r="Y193" s="1"/>
  <c r="F193" s="1"/>
  <c r="Y199"/>
  <c r="Y198" s="1"/>
  <c r="F198" s="1"/>
  <c r="Y205"/>
  <c r="F205" s="1"/>
  <c r="Z190"/>
  <c r="Y191"/>
  <c r="Y190" s="1"/>
  <c r="F190" s="1"/>
  <c r="G838" i="162"/>
  <c r="H205" i="138" l="1"/>
  <c r="F189"/>
  <c r="H189" s="1"/>
  <c r="F204" i="162"/>
  <c r="H204" s="1"/>
  <c r="H205"/>
  <c r="G230" i="135" l="1"/>
  <c r="G189"/>
  <c r="G167"/>
  <c r="G28" i="125"/>
  <c r="G11" s="1"/>
  <c r="G49"/>
  <c r="G74"/>
  <c r="G77"/>
  <c r="G112"/>
  <c r="G323" i="135"/>
  <c r="G318"/>
  <c r="G317" s="1"/>
  <c r="F208"/>
  <c r="F207"/>
  <c r="AA207" s="1"/>
  <c r="F203"/>
  <c r="F202"/>
  <c r="AA202" s="1"/>
  <c r="F200"/>
  <c r="AA200" s="1"/>
  <c r="Z202"/>
  <c r="AA208"/>
  <c r="Z208"/>
  <c r="Z207"/>
  <c r="Z206"/>
  <c r="Z205"/>
  <c r="AA203"/>
  <c r="Z203"/>
  <c r="G61" i="125" l="1"/>
  <c r="Z204" i="135"/>
  <c r="Y204" s="1"/>
  <c r="F204" s="1"/>
  <c r="AA204" s="1"/>
  <c r="Z258" l="1"/>
  <c r="Y258" s="1"/>
  <c r="Z261"/>
  <c r="Y261" s="1"/>
  <c r="F261" s="1"/>
  <c r="AA261" s="1"/>
  <c r="AA256"/>
  <c r="AA253"/>
  <c r="AA245"/>
  <c r="AA244"/>
  <c r="F241"/>
  <c r="AA241" s="1"/>
  <c r="Y260"/>
  <c r="F260" s="1"/>
  <c r="H260" s="1"/>
  <c r="Y259"/>
  <c r="F259" s="1"/>
  <c r="H259" s="1"/>
  <c r="AA257"/>
  <c r="Z257"/>
  <c r="Y257" s="1"/>
  <c r="Z256"/>
  <c r="Y256" s="1"/>
  <c r="AA255"/>
  <c r="Z255"/>
  <c r="Y255" s="1"/>
  <c r="AA254"/>
  <c r="Z254"/>
  <c r="Z253"/>
  <c r="Y253" s="1"/>
  <c r="Y251"/>
  <c r="Y250"/>
  <c r="Y249"/>
  <c r="Z246"/>
  <c r="Y246" s="1"/>
  <c r="F246" s="1"/>
  <c r="AA246" s="1"/>
  <c r="Z245"/>
  <c r="Z244"/>
  <c r="Z242"/>
  <c r="Y242" s="1"/>
  <c r="F242" s="1"/>
  <c r="H242" s="1"/>
  <c r="Z241"/>
  <c r="AA240"/>
  <c r="Z240"/>
  <c r="Y240" s="1"/>
  <c r="AA239"/>
  <c r="Z239"/>
  <c r="Y239" s="1"/>
  <c r="Y247" l="1"/>
  <c r="F247" s="1"/>
  <c r="H247" s="1"/>
  <c r="H246"/>
  <c r="H241"/>
  <c r="Z243"/>
  <c r="Y243" s="1"/>
  <c r="F243" s="1"/>
  <c r="Z238"/>
  <c r="Y238" s="1"/>
  <c r="F238" s="1"/>
  <c r="Z252"/>
  <c r="Y252" s="1"/>
  <c r="F252" s="1"/>
  <c r="F258"/>
  <c r="Y244"/>
  <c r="Y254"/>
  <c r="AA247" l="1"/>
  <c r="AA248"/>
  <c r="AA238"/>
  <c r="H238"/>
  <c r="AA252"/>
  <c r="H252"/>
  <c r="AA243"/>
  <c r="H243"/>
  <c r="AA258"/>
  <c r="H258"/>
  <c r="F211" l="1"/>
  <c r="H211" s="1"/>
  <c r="Z219"/>
  <c r="Y219" s="1"/>
  <c r="F219" s="1"/>
  <c r="Z218"/>
  <c r="Y218" s="1"/>
  <c r="Z217"/>
  <c r="Y217" s="1"/>
  <c r="F217" s="1"/>
  <c r="H217" s="1"/>
  <c r="AA216"/>
  <c r="Z216"/>
  <c r="Y216" s="1"/>
  <c r="AA215"/>
  <c r="Z215"/>
  <c r="Z213"/>
  <c r="Y213" s="1"/>
  <c r="F213" s="1"/>
  <c r="H213" s="1"/>
  <c r="Z212"/>
  <c r="Y212" s="1"/>
  <c r="F212" s="1"/>
  <c r="H212" s="1"/>
  <c r="Z211"/>
  <c r="Z210"/>
  <c r="Y210" s="1"/>
  <c r="F210" s="1"/>
  <c r="AA211" l="1"/>
  <c r="H219"/>
  <c r="AA219"/>
  <c r="Z214"/>
  <c r="Y214" s="1"/>
  <c r="F214" s="1"/>
  <c r="H214" s="1"/>
  <c r="Y215"/>
  <c r="Y92" i="137" l="1"/>
  <c r="Y89"/>
  <c r="Y85"/>
  <c r="Y79"/>
  <c r="Y78"/>
  <c r="Y54"/>
  <c r="Y53"/>
  <c r="Y51"/>
  <c r="Y50"/>
  <c r="Y49"/>
  <c r="Y40"/>
  <c r="Y39"/>
  <c r="Y38"/>
  <c r="Y37"/>
  <c r="Y36"/>
  <c r="Y35"/>
  <c r="Y34"/>
  <c r="Y28"/>
  <c r="Y27"/>
  <c r="G302"/>
  <c r="Y264"/>
  <c r="Y261"/>
  <c r="Y260"/>
  <c r="Y259"/>
  <c r="Y258"/>
  <c r="Y268"/>
  <c r="Y275"/>
  <c r="Y274"/>
  <c r="Y273"/>
  <c r="Y291"/>
  <c r="Y290"/>
  <c r="Y285"/>
  <c r="Y288"/>
  <c r="Y287"/>
  <c r="Y294"/>
  <c r="Y300"/>
  <c r="Y299"/>
  <c r="Y331"/>
  <c r="Y330"/>
  <c r="Y328"/>
  <c r="Y327"/>
  <c r="Y321"/>
  <c r="Y320"/>
  <c r="Y319" s="1"/>
  <c r="Y318" s="1"/>
  <c r="Y325"/>
  <c r="Y324"/>
  <c r="Y323"/>
  <c r="Y317"/>
  <c r="Y316"/>
  <c r="Y315"/>
  <c r="Y314"/>
  <c r="Y313"/>
  <c r="Y311"/>
  <c r="Y310"/>
  <c r="Y309"/>
  <c r="Y308"/>
  <c r="Y307"/>
  <c r="Y306"/>
  <c r="Y304"/>
  <c r="Y303"/>
  <c r="F303" s="1"/>
  <c r="Y222"/>
  <c r="G292" i="136"/>
  <c r="G289"/>
  <c r="G284"/>
  <c r="Y237"/>
  <c r="Y234"/>
  <c r="Y233"/>
  <c r="Y232"/>
  <c r="Y231"/>
  <c r="Y230"/>
  <c r="Y229"/>
  <c r="Y227"/>
  <c r="Y226"/>
  <c r="Y225"/>
  <c r="Y224"/>
  <c r="G20"/>
  <c r="G8"/>
  <c r="G8" i="113"/>
  <c r="G7" s="1"/>
  <c r="Z144" i="152"/>
  <c r="Z145"/>
  <c r="Z154"/>
  <c r="H72" i="163"/>
  <c r="H21"/>
  <c r="G9"/>
  <c r="H9"/>
  <c r="G536" i="162"/>
  <c r="G1008"/>
  <c r="G983"/>
  <c r="G975"/>
  <c r="G963"/>
  <c r="G789"/>
  <c r="G744"/>
  <c r="G682"/>
  <c r="G676"/>
  <c r="G655"/>
  <c r="G648"/>
  <c r="G628"/>
  <c r="G619"/>
  <c r="G602"/>
  <c r="G552"/>
  <c r="G547"/>
  <c r="G524"/>
  <c r="G502"/>
  <c r="G460"/>
  <c r="G416"/>
  <c r="G399"/>
  <c r="G394"/>
  <c r="G434"/>
  <c r="G438"/>
  <c r="G210"/>
  <c r="G209" s="1"/>
  <c r="G194"/>
  <c r="G183"/>
  <c r="G157"/>
  <c r="G128"/>
  <c r="G118"/>
  <c r="G117" s="1"/>
  <c r="F245" i="138"/>
  <c r="F133"/>
  <c r="G133"/>
  <c r="G129"/>
  <c r="G122"/>
  <c r="G104"/>
  <c r="G210" i="154"/>
  <c r="G216"/>
  <c r="Z235"/>
  <c r="Y235" s="1"/>
  <c r="H609" i="106"/>
  <c r="G378"/>
  <c r="G291"/>
  <c r="G153"/>
  <c r="G136"/>
  <c r="G128"/>
  <c r="G109"/>
  <c r="G64"/>
  <c r="G55"/>
  <c r="G1007" i="162" l="1"/>
  <c r="G1006" s="1"/>
  <c r="G209" i="154"/>
  <c r="G103" i="138"/>
  <c r="G135" i="106"/>
  <c r="Y52" i="137"/>
  <c r="Y228" i="136"/>
  <c r="Z114" i="152" l="1"/>
  <c r="Y114" s="1"/>
  <c r="Z113"/>
  <c r="Y113" s="1"/>
  <c r="Z112"/>
  <c r="Y112" s="1"/>
  <c r="Z111"/>
  <c r="Z110" l="1"/>
  <c r="Y111"/>
  <c r="Y110" s="1"/>
  <c r="Z777" i="106" l="1"/>
  <c r="Y777" s="1"/>
  <c r="F777" s="1"/>
  <c r="Z776"/>
  <c r="Y776" s="1"/>
  <c r="F776" s="1"/>
  <c r="Z775"/>
  <c r="Y775" s="1"/>
  <c r="F775" s="1"/>
  <c r="Z774"/>
  <c r="Y774" s="1"/>
  <c r="F774" s="1"/>
  <c r="Z773"/>
  <c r="Y773" s="1"/>
  <c r="Z772"/>
  <c r="Z770"/>
  <c r="Y770" s="1"/>
  <c r="F770" s="1"/>
  <c r="Z769"/>
  <c r="Y769" s="1"/>
  <c r="Z768"/>
  <c r="Y768" s="1"/>
  <c r="Z767"/>
  <c r="H775" l="1"/>
  <c r="H777"/>
  <c r="H776"/>
  <c r="H770"/>
  <c r="H774"/>
  <c r="Z766"/>
  <c r="Y766" s="1"/>
  <c r="F766" s="1"/>
  <c r="Y767"/>
  <c r="Z771"/>
  <c r="Y772"/>
  <c r="Y771" s="1"/>
  <c r="F771" s="1"/>
  <c r="F765" l="1"/>
  <c r="H766"/>
  <c r="H771"/>
  <c r="Z106" i="162"/>
  <c r="Y106" s="1"/>
  <c r="F106" s="1"/>
  <c r="Z105"/>
  <c r="Y105" s="1"/>
  <c r="F105" s="1"/>
  <c r="Z104"/>
  <c r="Y104" s="1"/>
  <c r="F104" s="1"/>
  <c r="Z103"/>
  <c r="Y103" s="1"/>
  <c r="Z102"/>
  <c r="Z100"/>
  <c r="Y100" s="1"/>
  <c r="Z99"/>
  <c r="Y99" s="1"/>
  <c r="Z98"/>
  <c r="Y98" s="1"/>
  <c r="Z97"/>
  <c r="Y97" s="1"/>
  <c r="Z96"/>
  <c r="Y96" s="1"/>
  <c r="Z95"/>
  <c r="Y95" s="1"/>
  <c r="Z93"/>
  <c r="Y93" s="1"/>
  <c r="Z92"/>
  <c r="Y92" s="1"/>
  <c r="Z91"/>
  <c r="Y91" s="1"/>
  <c r="Z90"/>
  <c r="Z88"/>
  <c r="Y88" s="1"/>
  <c r="Z87"/>
  <c r="Y87" s="1"/>
  <c r="Z86"/>
  <c r="Y86" s="1"/>
  <c r="Z85"/>
  <c r="Y85" s="1"/>
  <c r="Z82"/>
  <c r="Y82" s="1"/>
  <c r="F82" s="1"/>
  <c r="H82" s="1"/>
  <c r="Z81"/>
  <c r="Y81" s="1"/>
  <c r="F81" s="1"/>
  <c r="H81" s="1"/>
  <c r="Z80"/>
  <c r="Y80" s="1"/>
  <c r="Z79"/>
  <c r="Y79" s="1"/>
  <c r="Z77"/>
  <c r="Y77" s="1"/>
  <c r="F77" s="1"/>
  <c r="Z76"/>
  <c r="Y76" s="1"/>
  <c r="F76" s="1"/>
  <c r="Z75"/>
  <c r="Y75" s="1"/>
  <c r="F75" s="1"/>
  <c r="H75" s="1"/>
  <c r="Z74"/>
  <c r="Y74" s="1"/>
  <c r="Z73"/>
  <c r="Y73" s="1"/>
  <c r="Z71"/>
  <c r="Y71" s="1"/>
  <c r="F71" s="1"/>
  <c r="Z70"/>
  <c r="Y70" s="1"/>
  <c r="Z69"/>
  <c r="Y69" s="1"/>
  <c r="Y94" l="1"/>
  <c r="Z94"/>
  <c r="Y72"/>
  <c r="F72" s="1"/>
  <c r="Y78"/>
  <c r="F78" s="1"/>
  <c r="Z101"/>
  <c r="Y101" s="1"/>
  <c r="Z72"/>
  <c r="Z78"/>
  <c r="Z84"/>
  <c r="Y84" s="1"/>
  <c r="Z89"/>
  <c r="Y89" s="1"/>
  <c r="Y102"/>
  <c r="Z68"/>
  <c r="Y68" s="1"/>
  <c r="F68" s="1"/>
  <c r="Y90"/>
  <c r="Z83" l="1"/>
  <c r="Y83" s="1"/>
  <c r="F83" s="1"/>
  <c r="F67" s="1"/>
  <c r="Z102" i="138"/>
  <c r="Y102" s="1"/>
  <c r="F102" s="1"/>
  <c r="F101"/>
  <c r="H101" s="1"/>
  <c r="Y100"/>
  <c r="Y99"/>
  <c r="Y98"/>
  <c r="F98" s="1"/>
  <c r="Y97"/>
  <c r="Z96"/>
  <c r="Y96" s="1"/>
  <c r="Y95"/>
  <c r="Z94" l="1"/>
  <c r="Y94" s="1"/>
  <c r="F94" s="1"/>
  <c r="Y157" i="136"/>
  <c r="F157" s="1"/>
  <c r="Y156"/>
  <c r="F156" s="1"/>
  <c r="Y155"/>
  <c r="F155" s="1"/>
  <c r="Y154"/>
  <c r="Y153"/>
  <c r="Y152"/>
  <c r="Y151"/>
  <c r="Y150"/>
  <c r="Y149"/>
  <c r="Y148"/>
  <c r="Y147"/>
  <c r="Y146"/>
  <c r="Y141"/>
  <c r="F141" s="1"/>
  <c r="Y139"/>
  <c r="F139" s="1"/>
  <c r="Y138"/>
  <c r="F138" s="1"/>
  <c r="H138" l="1"/>
  <c r="H141"/>
  <c r="H157"/>
  <c r="H156"/>
  <c r="H139"/>
  <c r="F154"/>
  <c r="Y145"/>
  <c r="F145" s="1"/>
  <c r="F93" i="138"/>
  <c r="H94"/>
  <c r="Z198" i="106"/>
  <c r="Y198" s="1"/>
  <c r="F198" s="1"/>
  <c r="Z197"/>
  <c r="Y197" s="1"/>
  <c r="F197" s="1"/>
  <c r="Z196"/>
  <c r="Y196" s="1"/>
  <c r="F196" s="1"/>
  <c r="Z195"/>
  <c r="Y195" s="1"/>
  <c r="Z194"/>
  <c r="Y194" s="1"/>
  <c r="Z193"/>
  <c r="Z191"/>
  <c r="Y191" s="1"/>
  <c r="F191" s="1"/>
  <c r="Z190"/>
  <c r="Y190" s="1"/>
  <c r="Z189"/>
  <c r="Z187"/>
  <c r="Y187" s="1"/>
  <c r="Z186"/>
  <c r="Y186" s="1"/>
  <c r="Z185"/>
  <c r="Z183"/>
  <c r="Y183" s="1"/>
  <c r="Z182"/>
  <c r="Y182" s="1"/>
  <c r="Z181"/>
  <c r="Z179"/>
  <c r="Y179" s="1"/>
  <c r="F179" s="1"/>
  <c r="Z178"/>
  <c r="Y178" s="1"/>
  <c r="Z177"/>
  <c r="H191" l="1"/>
  <c r="H196"/>
  <c r="H154" i="136"/>
  <c r="H145"/>
  <c r="Z176" i="106"/>
  <c r="Y176" s="1"/>
  <c r="F176" s="1"/>
  <c r="Z180"/>
  <c r="Y180" s="1"/>
  <c r="F180" s="1"/>
  <c r="Z184"/>
  <c r="Y184" s="1"/>
  <c r="F184" s="1"/>
  <c r="Z188"/>
  <c r="Y188" s="1"/>
  <c r="F188" s="1"/>
  <c r="Z192"/>
  <c r="Y192" s="1"/>
  <c r="F192" s="1"/>
  <c r="Y177"/>
  <c r="Y181"/>
  <c r="Y185"/>
  <c r="Y189"/>
  <c r="Y193"/>
  <c r="H180" l="1"/>
  <c r="H188"/>
  <c r="H192"/>
  <c r="H176"/>
  <c r="Z413" i="144"/>
  <c r="Y413" s="1"/>
  <c r="Z411"/>
  <c r="Y411" s="1"/>
  <c r="Z410"/>
  <c r="Y410" s="1"/>
  <c r="Z409"/>
  <c r="Y409" s="1"/>
  <c r="AA407"/>
  <c r="Z407"/>
  <c r="Y407" s="1"/>
  <c r="AA406"/>
  <c r="Z406"/>
  <c r="Y406" s="1"/>
  <c r="Z405" l="1"/>
  <c r="Y405" s="1"/>
  <c r="Y267" i="106"/>
  <c r="Y266"/>
  <c r="Y265"/>
  <c r="F265" s="1"/>
  <c r="Y264"/>
  <c r="F264" s="1"/>
  <c r="Y263"/>
  <c r="F263" s="1"/>
  <c r="Y262"/>
  <c r="Y261"/>
  <c r="Y260"/>
  <c r="Y259"/>
  <c r="Y258"/>
  <c r="Y256"/>
  <c r="Y255"/>
  <c r="Y254"/>
  <c r="Y253"/>
  <c r="H265" l="1"/>
  <c r="H264"/>
  <c r="Y257"/>
  <c r="Y252"/>
  <c r="F896"/>
  <c r="F895"/>
  <c r="F894"/>
  <c r="Z892"/>
  <c r="Y892" s="1"/>
  <c r="F892" s="1"/>
  <c r="Z891"/>
  <c r="Y891" s="1"/>
  <c r="F891" s="1"/>
  <c r="Z180" i="125" l="1"/>
  <c r="Y180" s="1"/>
  <c r="Z179"/>
  <c r="Y179" s="1"/>
  <c r="Z178"/>
  <c r="Y178"/>
  <c r="Z177"/>
  <c r="Z176" s="1"/>
  <c r="Y176" s="1"/>
  <c r="Z175"/>
  <c r="Y175" s="1"/>
  <c r="Z174"/>
  <c r="Y174"/>
  <c r="Z173"/>
  <c r="Y173" s="1"/>
  <c r="Z172"/>
  <c r="Y172" s="1"/>
  <c r="Z171"/>
  <c r="Z169"/>
  <c r="Y169" s="1"/>
  <c r="Z168"/>
  <c r="Y168" s="1"/>
  <c r="Z166"/>
  <c r="Y166" s="1"/>
  <c r="Z165"/>
  <c r="Y165" s="1"/>
  <c r="Z164"/>
  <c r="Y164" s="1"/>
  <c r="Z163"/>
  <c r="Z161"/>
  <c r="Y161" s="1"/>
  <c r="Z160"/>
  <c r="Z159"/>
  <c r="Y159" s="1"/>
  <c r="Z158"/>
  <c r="Y158" s="1"/>
  <c r="Z156"/>
  <c r="Y156" s="1"/>
  <c r="Z155"/>
  <c r="Y155" s="1"/>
  <c r="Z154"/>
  <c r="Z157" l="1"/>
  <c r="Y157" s="1"/>
  <c r="Z162"/>
  <c r="Y162" s="1"/>
  <c r="Z167"/>
  <c r="Y167" s="1"/>
  <c r="Z153"/>
  <c r="Y153" s="1"/>
  <c r="Z170"/>
  <c r="Y170" s="1"/>
  <c r="Y160"/>
  <c r="Y154"/>
  <c r="Y163"/>
  <c r="Y171"/>
  <c r="Y177"/>
  <c r="Z346" i="134" l="1"/>
  <c r="Y346" l="1"/>
  <c r="F346" s="1"/>
  <c r="Z348"/>
  <c r="Y348" s="1"/>
  <c r="F348" s="1"/>
  <c r="Z347"/>
  <c r="Y347" s="1"/>
  <c r="F347" s="1"/>
  <c r="Z345"/>
  <c r="Y345" s="1"/>
  <c r="F345" s="1"/>
  <c r="Z344"/>
  <c r="Y344" s="1"/>
  <c r="F344" s="1"/>
  <c r="Z343"/>
  <c r="Y343" s="1"/>
  <c r="F343" s="1"/>
  <c r="Z342"/>
  <c r="Y342" s="1"/>
  <c r="Z341"/>
  <c r="Y341" s="1"/>
  <c r="Z340" l="1"/>
  <c r="Y340" s="1"/>
  <c r="F340" s="1"/>
  <c r="Z234" i="135"/>
  <c r="Z236"/>
  <c r="Y236" s="1"/>
  <c r="Z235"/>
  <c r="Y235" s="1"/>
  <c r="Y234"/>
  <c r="Z233"/>
  <c r="Y233" s="1"/>
  <c r="Z232"/>
  <c r="Y232" s="1"/>
  <c r="Z231"/>
  <c r="Y231" s="1"/>
  <c r="G312" i="106" l="1"/>
  <c r="F341"/>
  <c r="Y340"/>
  <c r="F340" s="1"/>
  <c r="Y339"/>
  <c r="Y338"/>
  <c r="Y336"/>
  <c r="F336" s="1"/>
  <c r="Y335"/>
  <c r="F335" s="1"/>
  <c r="Y334"/>
  <c r="Y333"/>
  <c r="Y332"/>
  <c r="Y331"/>
  <c r="Y330"/>
  <c r="Y328"/>
  <c r="Y327"/>
  <c r="Y326"/>
  <c r="Y325"/>
  <c r="Y324"/>
  <c r="Y322"/>
  <c r="F322" s="1"/>
  <c r="Y321"/>
  <c r="Y320"/>
  <c r="Y318"/>
  <c r="F318" s="1"/>
  <c r="Y317"/>
  <c r="Y316"/>
  <c r="Y314"/>
  <c r="F314" s="1"/>
  <c r="Y313"/>
  <c r="F313" s="1"/>
  <c r="H341" l="1"/>
  <c r="Y319"/>
  <c r="F319" s="1"/>
  <c r="Y315"/>
  <c r="F315" s="1"/>
  <c r="Y337"/>
  <c r="F337" s="1"/>
  <c r="Y329"/>
  <c r="F329" s="1"/>
  <c r="Y323"/>
  <c r="F323" s="1"/>
  <c r="F111" i="136"/>
  <c r="H111" s="1"/>
  <c r="Y113"/>
  <c r="F113" s="1"/>
  <c r="Y123"/>
  <c r="F123" s="1"/>
  <c r="Y118"/>
  <c r="F118" s="1"/>
  <c r="H118" s="1"/>
  <c r="Y116"/>
  <c r="Y115"/>
  <c r="H113" l="1"/>
  <c r="H319" i="106"/>
  <c r="H329"/>
  <c r="Y114" i="136"/>
  <c r="F114" s="1"/>
  <c r="H114" s="1"/>
  <c r="F312" i="106"/>
  <c r="Y119" i="136"/>
  <c r="F119" s="1"/>
  <c r="F236"/>
  <c r="H236" s="1"/>
  <c r="F237"/>
  <c r="F228"/>
  <c r="F227"/>
  <c r="Y223"/>
  <c r="F223" s="1"/>
  <c r="H119" l="1"/>
  <c r="H237"/>
  <c r="F222"/>
  <c r="H228"/>
  <c r="F110"/>
  <c r="Z869" i="162"/>
  <c r="Z868"/>
  <c r="Z867"/>
  <c r="Z866"/>
  <c r="Z865"/>
  <c r="Z864"/>
  <c r="Z863"/>
  <c r="Z861"/>
  <c r="Z860"/>
  <c r="Z859"/>
  <c r="Z854"/>
  <c r="Y854" s="1"/>
  <c r="F854" s="1"/>
  <c r="Z852"/>
  <c r="Y852"/>
  <c r="Z851"/>
  <c r="Y851"/>
  <c r="Z850"/>
  <c r="Y850"/>
  <c r="Z849"/>
  <c r="Y849"/>
  <c r="Z848"/>
  <c r="Y848"/>
  <c r="Z847"/>
  <c r="Y847"/>
  <c r="Z846"/>
  <c r="Y846"/>
  <c r="Z844"/>
  <c r="Y844" s="1"/>
  <c r="Z843"/>
  <c r="Z841"/>
  <c r="Y841" s="1"/>
  <c r="F841" s="1"/>
  <c r="Z840"/>
  <c r="Y840" s="1"/>
  <c r="F840" s="1"/>
  <c r="Z845" l="1"/>
  <c r="Y845" s="1"/>
  <c r="F845" s="1"/>
  <c r="H845" s="1"/>
  <c r="Z842"/>
  <c r="Y842" s="1"/>
  <c r="F842" s="1"/>
  <c r="H842" s="1"/>
  <c r="Y843"/>
  <c r="F839" l="1"/>
  <c r="H839" s="1"/>
  <c r="F790"/>
  <c r="H790" s="1"/>
  <c r="Z791"/>
  <c r="Y791" s="1"/>
  <c r="F791" s="1"/>
  <c r="H791" s="1"/>
  <c r="Z796"/>
  <c r="Y796" s="1"/>
  <c r="F796" s="1"/>
  <c r="H796" s="1"/>
  <c r="Z795"/>
  <c r="Y795" s="1"/>
  <c r="F795" s="1"/>
  <c r="Z794"/>
  <c r="Y794" s="1"/>
  <c r="Z793"/>
  <c r="Z790"/>
  <c r="Z792" l="1"/>
  <c r="Y792" s="1"/>
  <c r="F792" s="1"/>
  <c r="F789" s="1"/>
  <c r="Y793"/>
  <c r="Z369" i="144" l="1"/>
  <c r="Y369" s="1"/>
  <c r="F369" s="1"/>
  <c r="H369" s="1"/>
  <c r="AA368"/>
  <c r="Z368"/>
  <c r="AA367"/>
  <c r="Z367"/>
  <c r="Y367" s="1"/>
  <c r="Z365"/>
  <c r="Y365" s="1"/>
  <c r="F365" s="1"/>
  <c r="H365" s="1"/>
  <c r="Z364"/>
  <c r="Y364" s="1"/>
  <c r="F364" s="1"/>
  <c r="AA364" s="1"/>
  <c r="AA363"/>
  <c r="Z363"/>
  <c r="Y363" s="1"/>
  <c r="Z362"/>
  <c r="Y362" s="1"/>
  <c r="AA360"/>
  <c r="Z360"/>
  <c r="Y360" s="1"/>
  <c r="AA359"/>
  <c r="Z359"/>
  <c r="Y359" s="1"/>
  <c r="AA358"/>
  <c r="Z358"/>
  <c r="Y358" s="1"/>
  <c r="AA357"/>
  <c r="Z357"/>
  <c r="Y357" s="1"/>
  <c r="AA356"/>
  <c r="Z356"/>
  <c r="Y356" s="1"/>
  <c r="AA355"/>
  <c r="Z355"/>
  <c r="Y355" s="1"/>
  <c r="AA354"/>
  <c r="Z354"/>
  <c r="Y354" s="1"/>
  <c r="Z353"/>
  <c r="AA351"/>
  <c r="Z351"/>
  <c r="Y351" s="1"/>
  <c r="AA350"/>
  <c r="Z350"/>
  <c r="Y350" s="1"/>
  <c r="AA349"/>
  <c r="Z349"/>
  <c r="Y349" s="1"/>
  <c r="Z348"/>
  <c r="Y348" s="1"/>
  <c r="AA346"/>
  <c r="Z346"/>
  <c r="Y346" s="1"/>
  <c r="AA345"/>
  <c r="Z345"/>
  <c r="Y345" s="1"/>
  <c r="Z344"/>
  <c r="Y344" s="1"/>
  <c r="Z342"/>
  <c r="Y342" s="1"/>
  <c r="F342" s="1"/>
  <c r="Z341"/>
  <c r="Y341" s="1"/>
  <c r="F341" s="1"/>
  <c r="AA341" s="1"/>
  <c r="AA340"/>
  <c r="Z340"/>
  <c r="Y340" s="1"/>
  <c r="Z339"/>
  <c r="AA337"/>
  <c r="Z337"/>
  <c r="Y337" s="1"/>
  <c r="AA336"/>
  <c r="Z336"/>
  <c r="Y336" s="1"/>
  <c r="Z338" l="1"/>
  <c r="Y338" s="1"/>
  <c r="F338" s="1"/>
  <c r="H338" s="1"/>
  <c r="Z352"/>
  <c r="Y352" s="1"/>
  <c r="F352" s="1"/>
  <c r="AA352" s="1"/>
  <c r="Z335"/>
  <c r="Y353"/>
  <c r="Y347"/>
  <c r="F347" s="1"/>
  <c r="AA347" s="1"/>
  <c r="Z347"/>
  <c r="Z366"/>
  <c r="Y366" s="1"/>
  <c r="F366" s="1"/>
  <c r="H366" s="1"/>
  <c r="Y335"/>
  <c r="F335" s="1"/>
  <c r="Y343"/>
  <c r="F343" s="1"/>
  <c r="Z343"/>
  <c r="Y339"/>
  <c r="Z361"/>
  <c r="Y361" s="1"/>
  <c r="F361" s="1"/>
  <c r="Y368"/>
  <c r="AA338" l="1"/>
  <c r="F334"/>
  <c r="H335"/>
  <c r="H361"/>
  <c r="AA361"/>
  <c r="F41" i="152" l="1"/>
  <c r="Z66" i="144"/>
  <c r="Y66" s="1"/>
  <c r="Z65"/>
  <c r="Y65" s="1"/>
  <c r="Z64"/>
  <c r="Y64" s="1"/>
  <c r="Z63"/>
  <c r="Y63" s="1"/>
  <c r="Z62"/>
  <c r="Y62" s="1"/>
  <c r="Z61"/>
  <c r="Y61" s="1"/>
  <c r="Z35"/>
  <c r="Y35" s="1"/>
  <c r="Z34"/>
  <c r="Y34" s="1"/>
  <c r="Z33"/>
  <c r="Y33" s="1"/>
  <c r="Z32"/>
  <c r="Z31" l="1"/>
  <c r="Y31" s="1"/>
  <c r="Z60"/>
  <c r="Y60" s="1"/>
  <c r="Y32"/>
  <c r="Z274" i="135" l="1"/>
  <c r="Y274" s="1"/>
  <c r="F274" s="1"/>
  <c r="Z273"/>
  <c r="Y273" s="1"/>
  <c r="F273" s="1"/>
  <c r="Z272"/>
  <c r="Y272" s="1"/>
  <c r="Z271"/>
  <c r="Y271" s="1"/>
  <c r="Z269"/>
  <c r="Y269" s="1"/>
  <c r="F269" s="1"/>
  <c r="AA268"/>
  <c r="Z268"/>
  <c r="Y268" s="1"/>
  <c r="Z267"/>
  <c r="Y267" s="1"/>
  <c r="Z265"/>
  <c r="Y265" s="1"/>
  <c r="F265" s="1"/>
  <c r="H265" s="1"/>
  <c r="Z264"/>
  <c r="Y264" s="1"/>
  <c r="F264" s="1"/>
  <c r="Z266" l="1"/>
  <c r="Y266" s="1"/>
  <c r="F266" s="1"/>
  <c r="H274"/>
  <c r="AA274"/>
  <c r="H273"/>
  <c r="AA273"/>
  <c r="AA269"/>
  <c r="H269"/>
  <c r="Z270"/>
  <c r="Y270" s="1"/>
  <c r="F270" s="1"/>
  <c r="Z152" i="106"/>
  <c r="Y152" s="1"/>
  <c r="F152" s="1"/>
  <c r="Z151"/>
  <c r="Y151" s="1"/>
  <c r="F151" s="1"/>
  <c r="Z150"/>
  <c r="Y150" s="1"/>
  <c r="F150" s="1"/>
  <c r="Z149"/>
  <c r="Y149" s="1"/>
  <c r="Z148"/>
  <c r="Z146"/>
  <c r="Y146" s="1"/>
  <c r="Z145"/>
  <c r="Z143"/>
  <c r="Y143" s="1"/>
  <c r="Z142"/>
  <c r="Y142" s="1"/>
  <c r="Z141"/>
  <c r="Z139"/>
  <c r="Y139" s="1"/>
  <c r="F139" s="1"/>
  <c r="Z138"/>
  <c r="Y138" s="1"/>
  <c r="F138" s="1"/>
  <c r="Z137"/>
  <c r="Y137" s="1"/>
  <c r="H151" l="1"/>
  <c r="H138"/>
  <c r="H139"/>
  <c r="H150"/>
  <c r="H266" i="135"/>
  <c r="Z147" i="106"/>
  <c r="Y147" s="1"/>
  <c r="F147" s="1"/>
  <c r="H270" i="135"/>
  <c r="AA270"/>
  <c r="Z140" i="106"/>
  <c r="Y140" s="1"/>
  <c r="F140" s="1"/>
  <c r="Z144"/>
  <c r="Y144" s="1"/>
  <c r="F144" s="1"/>
  <c r="Y148"/>
  <c r="Y141"/>
  <c r="Y145"/>
  <c r="H144" l="1"/>
  <c r="H147"/>
  <c r="Y311"/>
  <c r="F311" s="1"/>
  <c r="Y310"/>
  <c r="F310" s="1"/>
  <c r="Y309"/>
  <c r="F309" s="1"/>
  <c r="Y308"/>
  <c r="Y307"/>
  <c r="Y306"/>
  <c r="Y305"/>
  <c r="Y304"/>
  <c r="Y303"/>
  <c r="Y301"/>
  <c r="Y300"/>
  <c r="Y299"/>
  <c r="Y298"/>
  <c r="Y296"/>
  <c r="F296" s="1"/>
  <c r="Y295"/>
  <c r="Y294"/>
  <c r="Y293"/>
  <c r="H311" l="1"/>
  <c r="H296"/>
  <c r="H309"/>
  <c r="Y292"/>
  <c r="F292" s="1"/>
  <c r="Y297"/>
  <c r="F297" s="1"/>
  <c r="Y302"/>
  <c r="F302" s="1"/>
  <c r="Z23" i="152"/>
  <c r="Y23" s="1"/>
  <c r="Z22"/>
  <c r="Y22" s="1"/>
  <c r="Z21"/>
  <c r="Y21" s="1"/>
  <c r="Z20"/>
  <c r="Z18"/>
  <c r="Y18" s="1"/>
  <c r="F18" s="1"/>
  <c r="Z17"/>
  <c r="Y17" s="1"/>
  <c r="F17" s="1"/>
  <c r="Z16"/>
  <c r="Y16" s="1"/>
  <c r="F16" s="1"/>
  <c r="Z15"/>
  <c r="Y15" s="1"/>
  <c r="Z14"/>
  <c r="Z12"/>
  <c r="Y12" s="1"/>
  <c r="F12" s="1"/>
  <c r="Z11"/>
  <c r="Y11" s="1"/>
  <c r="Z10"/>
  <c r="Y10" s="1"/>
  <c r="F10" s="1"/>
  <c r="H10" s="1"/>
  <c r="Z9"/>
  <c r="Y9" s="1"/>
  <c r="F9" s="1"/>
  <c r="H302" i="106" l="1"/>
  <c r="Z19" i="152"/>
  <c r="Y19" s="1"/>
  <c r="F19" s="1"/>
  <c r="H19" s="1"/>
  <c r="Z13"/>
  <c r="Y13" s="1"/>
  <c r="F13" s="1"/>
  <c r="H13" s="1"/>
  <c r="Y14"/>
  <c r="Y20"/>
  <c r="Z213" i="106" l="1"/>
  <c r="Y213" s="1"/>
  <c r="F213" s="1"/>
  <c r="Z212"/>
  <c r="Y212" s="1"/>
  <c r="F212" s="1"/>
  <c r="Z211"/>
  <c r="Y211" s="1"/>
  <c r="Z210"/>
  <c r="Z208"/>
  <c r="Y208" s="1"/>
  <c r="Z207"/>
  <c r="Z205"/>
  <c r="Y205" s="1"/>
  <c r="F205" s="1"/>
  <c r="Z204"/>
  <c r="Y204" s="1"/>
  <c r="Z203"/>
  <c r="Y203" s="1"/>
  <c r="Z202"/>
  <c r="Z200"/>
  <c r="Y200" s="1"/>
  <c r="F200" s="1"/>
  <c r="Z206" l="1"/>
  <c r="Y206" s="1"/>
  <c r="F206" s="1"/>
  <c r="Z209"/>
  <c r="Y209" s="1"/>
  <c r="F209" s="1"/>
  <c r="Y207"/>
  <c r="Z201"/>
  <c r="Y201" s="1"/>
  <c r="F201" s="1"/>
  <c r="Y202"/>
  <c r="Y210"/>
  <c r="H201" l="1"/>
  <c r="Z522" i="162"/>
  <c r="Y522" s="1"/>
  <c r="F522" s="1"/>
  <c r="Z521"/>
  <c r="Y521" s="1"/>
  <c r="F521" s="1"/>
  <c r="Z520"/>
  <c r="Y520" s="1"/>
  <c r="Z519"/>
  <c r="Y519" s="1"/>
  <c r="Z518"/>
  <c r="Y518" s="1"/>
  <c r="Z516"/>
  <c r="Y516" s="1"/>
  <c r="F516" s="1"/>
  <c r="Z515"/>
  <c r="Y515" s="1"/>
  <c r="Z514"/>
  <c r="Y514" s="1"/>
  <c r="Z513"/>
  <c r="Z511"/>
  <c r="Y511" s="1"/>
  <c r="Z510"/>
  <c r="Y510" s="1"/>
  <c r="Z509"/>
  <c r="Y509" s="1"/>
  <c r="Z508"/>
  <c r="Y508" s="1"/>
  <c r="Z506"/>
  <c r="Y506" s="1"/>
  <c r="F506" s="1"/>
  <c r="Z505"/>
  <c r="Y505" s="1"/>
  <c r="F505" s="1"/>
  <c r="Z504"/>
  <c r="Y504" s="1"/>
  <c r="F504" s="1"/>
  <c r="H504" s="1"/>
  <c r="Z503"/>
  <c r="Y503" s="1"/>
  <c r="F503" s="1"/>
  <c r="Z512" l="1"/>
  <c r="Y512" s="1"/>
  <c r="F512" s="1"/>
  <c r="H512" s="1"/>
  <c r="Z517"/>
  <c r="Y517" s="1"/>
  <c r="F517" s="1"/>
  <c r="H517" s="1"/>
  <c r="Z507"/>
  <c r="Y507" s="1"/>
  <c r="F507" s="1"/>
  <c r="H507" s="1"/>
  <c r="Y513"/>
  <c r="F502" l="1"/>
  <c r="H502" s="1"/>
  <c r="Y216" i="136"/>
  <c r="Y214" s="1"/>
  <c r="F214" s="1"/>
  <c r="Y215"/>
  <c r="Y219"/>
  <c r="Z219" s="1"/>
  <c r="Y218"/>
  <c r="Z218" s="1"/>
  <c r="Y220"/>
  <c r="Z220" s="1"/>
  <c r="Y213"/>
  <c r="Z213" s="1"/>
  <c r="Y211"/>
  <c r="F211" s="1"/>
  <c r="Y212"/>
  <c r="F212" s="1"/>
  <c r="Y217" l="1"/>
  <c r="F217" s="1"/>
  <c r="H214"/>
  <c r="F220"/>
  <c r="F213"/>
  <c r="H211"/>
  <c r="H212"/>
  <c r="Z681" i="162"/>
  <c r="Y681" s="1"/>
  <c r="F681" s="1"/>
  <c r="H681" s="1"/>
  <c r="Z680"/>
  <c r="Y680" s="1"/>
  <c r="F680" s="1"/>
  <c r="Z679"/>
  <c r="Y679" s="1"/>
  <c r="Z678"/>
  <c r="Y678" s="1"/>
  <c r="Z677"/>
  <c r="Y677" s="1"/>
  <c r="G671"/>
  <c r="Z675"/>
  <c r="Y675" s="1"/>
  <c r="G675" s="1"/>
  <c r="Z674"/>
  <c r="Y674" s="1"/>
  <c r="F674" s="1"/>
  <c r="H674" s="1"/>
  <c r="Z673"/>
  <c r="Y673" s="1"/>
  <c r="F673" s="1"/>
  <c r="H673" s="1"/>
  <c r="S672"/>
  <c r="Z672" s="1"/>
  <c r="Y672" s="1"/>
  <c r="F672" s="1"/>
  <c r="Z671"/>
  <c r="Y671" s="1"/>
  <c r="F671" s="1"/>
  <c r="Z670"/>
  <c r="Y670" s="1"/>
  <c r="F670" s="1"/>
  <c r="H670" s="1"/>
  <c r="Z669"/>
  <c r="Y669" s="1"/>
  <c r="H671" l="1"/>
  <c r="H220" i="136"/>
  <c r="H213"/>
  <c r="F210"/>
  <c r="F675" i="162"/>
  <c r="AA680"/>
  <c r="H680"/>
  <c r="G672"/>
  <c r="G668" s="1"/>
  <c r="Z427"/>
  <c r="Y427" s="1"/>
  <c r="Z426"/>
  <c r="Y426" s="1"/>
  <c r="Z425"/>
  <c r="Y425" s="1"/>
  <c r="Z424"/>
  <c r="Z422"/>
  <c r="Y422" s="1"/>
  <c r="Z421"/>
  <c r="Y421" s="1"/>
  <c r="Z420"/>
  <c r="Z419" l="1"/>
  <c r="Y419" s="1"/>
  <c r="Z423"/>
  <c r="Y423" s="1"/>
  <c r="Y420"/>
  <c r="Y424"/>
  <c r="Z102" i="144" l="1"/>
  <c r="Y102" s="1"/>
  <c r="F101"/>
  <c r="H101" s="1"/>
  <c r="AA99"/>
  <c r="Z99"/>
  <c r="Y99" s="1"/>
  <c r="AA98"/>
  <c r="Z98"/>
  <c r="AA97"/>
  <c r="Z97"/>
  <c r="Y97" s="1"/>
  <c r="AA95"/>
  <c r="Z95"/>
  <c r="Y95" s="1"/>
  <c r="AA94"/>
  <c r="Z94"/>
  <c r="Z93"/>
  <c r="Y93" s="1"/>
  <c r="Z91"/>
  <c r="Y91" s="1"/>
  <c r="Z92" l="1"/>
  <c r="Y92" s="1"/>
  <c r="Z96"/>
  <c r="F100"/>
  <c r="Y94"/>
  <c r="Y98"/>
  <c r="H100" l="1"/>
  <c r="Y96"/>
  <c r="F96"/>
  <c r="Z31" i="162"/>
  <c r="Y31" s="1"/>
  <c r="Z30"/>
  <c r="Y30" s="1"/>
  <c r="Z29"/>
  <c r="Y29" s="1"/>
  <c r="Z28"/>
  <c r="Y28" s="1"/>
  <c r="Z27"/>
  <c r="Y27" s="1"/>
  <c r="Z26"/>
  <c r="Y26" s="1"/>
  <c r="Z24"/>
  <c r="Y24" s="1"/>
  <c r="Z23"/>
  <c r="Y23" s="1"/>
  <c r="Z22"/>
  <c r="Y22" s="1"/>
  <c r="Z21"/>
  <c r="Y21" s="1"/>
  <c r="Z20"/>
  <c r="H96" i="144" l="1"/>
  <c r="AA96"/>
  <c r="Z19" i="162"/>
  <c r="Y25"/>
  <c r="Y20"/>
  <c r="Y19" s="1"/>
  <c r="Z88" i="152" l="1"/>
  <c r="Y88" s="1"/>
  <c r="F88" s="1"/>
  <c r="Z79"/>
  <c r="Y79" s="1"/>
  <c r="Z78"/>
  <c r="Y78" s="1"/>
  <c r="Z71"/>
  <c r="Y71" s="1"/>
  <c r="Z70"/>
  <c r="Z63"/>
  <c r="Y63" s="1"/>
  <c r="Z62"/>
  <c r="Y62" s="1"/>
  <c r="AF141"/>
  <c r="F11"/>
  <c r="F8" s="1"/>
  <c r="F152"/>
  <c r="Z160"/>
  <c r="Y160" s="1"/>
  <c r="Z159"/>
  <c r="Y159" s="1"/>
  <c r="Z157"/>
  <c r="Y157" s="1"/>
  <c r="F157" s="1"/>
  <c r="Z156"/>
  <c r="Y156" s="1"/>
  <c r="F156" s="1"/>
  <c r="Z155"/>
  <c r="Y155" s="1"/>
  <c r="F155" s="1"/>
  <c r="Y154"/>
  <c r="F154" s="1"/>
  <c r="Z153"/>
  <c r="Y153" s="1"/>
  <c r="F153" s="1"/>
  <c r="X152"/>
  <c r="Z151"/>
  <c r="Y151" s="1"/>
  <c r="Z150"/>
  <c r="Y150" s="1"/>
  <c r="Z149"/>
  <c r="Y149" s="1"/>
  <c r="Z147"/>
  <c r="Y147" s="1"/>
  <c r="F147" s="1"/>
  <c r="Z146"/>
  <c r="Y146" s="1"/>
  <c r="F146" s="1"/>
  <c r="Y145"/>
  <c r="Y144"/>
  <c r="Z143"/>
  <c r="Z142"/>
  <c r="Y142" s="1"/>
  <c r="F142" s="1"/>
  <c r="Z141"/>
  <c r="Y141" s="1"/>
  <c r="F141" s="1"/>
  <c r="X141"/>
  <c r="Z140"/>
  <c r="Y140" s="1"/>
  <c r="Z139"/>
  <c r="Y139" s="1"/>
  <c r="Z138"/>
  <c r="Y138" s="1"/>
  <c r="Z137"/>
  <c r="Y137" s="1"/>
  <c r="Z136"/>
  <c r="Y136" s="1"/>
  <c r="AC44" i="135"/>
  <c r="AC45"/>
  <c r="AC33"/>
  <c r="AA10"/>
  <c r="AA11"/>
  <c r="AA12"/>
  <c r="AA13"/>
  <c r="AA14"/>
  <c r="AA15"/>
  <c r="AA18"/>
  <c r="AA19"/>
  <c r="AA24"/>
  <c r="AA25"/>
  <c r="AA27"/>
  <c r="AA28"/>
  <c r="AA30"/>
  <c r="AA31"/>
  <c r="AA32"/>
  <c r="AA33"/>
  <c r="AA34"/>
  <c r="AA36"/>
  <c r="AA37"/>
  <c r="AA38"/>
  <c r="AA39"/>
  <c r="AA40"/>
  <c r="AA41"/>
  <c r="AA42"/>
  <c r="AA44"/>
  <c r="AA45"/>
  <c r="AA47"/>
  <c r="AA48"/>
  <c r="AA50"/>
  <c r="AA51"/>
  <c r="AA52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2"/>
  <c r="AA83"/>
  <c r="AA85"/>
  <c r="AA86"/>
  <c r="AA87"/>
  <c r="AA89"/>
  <c r="AA90"/>
  <c r="AA91"/>
  <c r="AA92"/>
  <c r="AA93"/>
  <c r="AA95"/>
  <c r="AA96"/>
  <c r="AA97"/>
  <c r="AA99"/>
  <c r="AA100"/>
  <c r="AA102"/>
  <c r="AA103"/>
  <c r="AA104"/>
  <c r="AA105"/>
  <c r="AA116"/>
  <c r="AA117"/>
  <c r="AA118"/>
  <c r="AA119"/>
  <c r="AA122"/>
  <c r="AA123"/>
  <c r="AA124"/>
  <c r="AA131"/>
  <c r="AA132"/>
  <c r="AA136"/>
  <c r="AA137"/>
  <c r="AA138"/>
  <c r="AA139"/>
  <c r="AA140"/>
  <c r="AA147"/>
  <c r="AA148"/>
  <c r="AA152"/>
  <c r="AA153"/>
  <c r="AA154"/>
  <c r="AA155"/>
  <c r="AA157"/>
  <c r="AA158"/>
  <c r="AA159"/>
  <c r="AA160"/>
  <c r="AA161"/>
  <c r="AA162"/>
  <c r="AA169"/>
  <c r="AA170"/>
  <c r="AA175"/>
  <c r="AA176"/>
  <c r="AA177"/>
  <c r="AA179"/>
  <c r="AA180"/>
  <c r="AA181"/>
  <c r="AA182"/>
  <c r="AA183"/>
  <c r="AA184"/>
  <c r="AA193"/>
  <c r="AA194"/>
  <c r="AA195"/>
  <c r="AA294"/>
  <c r="AA295"/>
  <c r="AA298"/>
  <c r="AA299"/>
  <c r="AA300"/>
  <c r="AA303"/>
  <c r="AA304"/>
  <c r="AA305"/>
  <c r="AA306"/>
  <c r="AA309"/>
  <c r="AA310"/>
  <c r="AD144" i="144"/>
  <c r="AD143"/>
  <c r="AC144"/>
  <c r="AC143"/>
  <c r="AA107"/>
  <c r="AA108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8"/>
  <c r="AA139"/>
  <c r="AA143"/>
  <c r="AA144"/>
  <c r="AA146"/>
  <c r="AA147"/>
  <c r="AA149"/>
  <c r="AA150"/>
  <c r="AA151"/>
  <c r="AA152"/>
  <c r="AA153"/>
  <c r="AA158"/>
  <c r="AA159"/>
  <c r="AA162"/>
  <c r="AA163"/>
  <c r="AA166"/>
  <c r="AA167"/>
  <c r="AA168"/>
  <c r="AA169"/>
  <c r="AA171"/>
  <c r="AA172"/>
  <c r="AA173"/>
  <c r="AA174"/>
  <c r="AA176"/>
  <c r="AA177"/>
  <c r="AA178"/>
  <c r="AA179"/>
  <c r="AA180"/>
  <c r="AA181"/>
  <c r="AA182"/>
  <c r="AA183"/>
  <c r="AA185"/>
  <c r="AA186"/>
  <c r="AA189"/>
  <c r="AA190"/>
  <c r="AA193"/>
  <c r="AA194"/>
  <c r="AA195"/>
  <c r="AA196"/>
  <c r="AA197"/>
  <c r="AA198"/>
  <c r="AA199"/>
  <c r="AA200"/>
  <c r="AA201"/>
  <c r="AA202"/>
  <c r="AA206"/>
  <c r="AA207"/>
  <c r="AA211"/>
  <c r="AA213"/>
  <c r="AA214"/>
  <c r="AA215"/>
  <c r="AA218"/>
  <c r="AA219"/>
  <c r="AA223"/>
  <c r="AA224"/>
  <c r="AA225"/>
  <c r="AA229"/>
  <c r="AA230"/>
  <c r="AA231"/>
  <c r="AA232"/>
  <c r="AA234"/>
  <c r="AA235"/>
  <c r="AA239"/>
  <c r="AA240"/>
  <c r="AA243"/>
  <c r="AA244"/>
  <c r="AA245"/>
  <c r="AA246"/>
  <c r="AA248"/>
  <c r="AA249"/>
  <c r="AA251"/>
  <c r="AA252"/>
  <c r="AA257"/>
  <c r="AA258"/>
  <c r="AA261"/>
  <c r="AA262"/>
  <c r="AA264"/>
  <c r="AA265"/>
  <c r="AA267"/>
  <c r="AA268"/>
  <c r="AA274"/>
  <c r="AA275"/>
  <c r="AA276"/>
  <c r="AA277"/>
  <c r="AA278"/>
  <c r="AA284"/>
  <c r="AA285"/>
  <c r="AA287"/>
  <c r="AA288"/>
  <c r="AA290"/>
  <c r="AA291"/>
  <c r="AA294"/>
  <c r="AA295"/>
  <c r="AA301"/>
  <c r="AA302"/>
  <c r="AA303"/>
  <c r="AA305"/>
  <c r="AA306"/>
  <c r="AA307"/>
  <c r="AA309"/>
  <c r="AA310"/>
  <c r="AA319"/>
  <c r="AA320"/>
  <c r="AA333"/>
  <c r="AA65" i="152"/>
  <c r="AA66"/>
  <c r="AA68"/>
  <c r="AA69"/>
  <c r="AA73"/>
  <c r="AA74"/>
  <c r="AA75"/>
  <c r="AA76"/>
  <c r="H403" i="162"/>
  <c r="Y388" i="106"/>
  <c r="F388" s="1"/>
  <c r="Y387"/>
  <c r="F387" s="1"/>
  <c r="Y386"/>
  <c r="Y385"/>
  <c r="Y384"/>
  <c r="Y382"/>
  <c r="F382" s="1"/>
  <c r="Y381"/>
  <c r="Y380"/>
  <c r="Y143" i="152" l="1"/>
  <c r="F143" s="1"/>
  <c r="Z135"/>
  <c r="Y135" s="1"/>
  <c r="F135" s="1"/>
  <c r="Z148"/>
  <c r="Y148" s="1"/>
  <c r="F148" s="1"/>
  <c r="Z158"/>
  <c r="Y158" s="1"/>
  <c r="F158" s="1"/>
  <c r="Y383" i="106"/>
  <c r="F383" s="1"/>
  <c r="Y379"/>
  <c r="F379" s="1"/>
  <c r="F134" i="152" l="1"/>
  <c r="F378" i="106"/>
  <c r="Y99"/>
  <c r="F99" s="1"/>
  <c r="Z95"/>
  <c r="AA235" i="163"/>
  <c r="Z235" s="1"/>
  <c r="AA234"/>
  <c r="Z234" s="1"/>
  <c r="AA233"/>
  <c r="Z233" s="1"/>
  <c r="AA232"/>
  <c r="AA230"/>
  <c r="Z230" s="1"/>
  <c r="AA229"/>
  <c r="Z229" s="1"/>
  <c r="AA228"/>
  <c r="Z228" s="1"/>
  <c r="AA227"/>
  <c r="Z227" s="1"/>
  <c r="AA225"/>
  <c r="Z225" s="1"/>
  <c r="AA224"/>
  <c r="Z224" s="1"/>
  <c r="AA223"/>
  <c r="AA221"/>
  <c r="Z221" s="1"/>
  <c r="AA220"/>
  <c r="Z220" s="1"/>
  <c r="AA219"/>
  <c r="Z219" s="1"/>
  <c r="AA218"/>
  <c r="Z218" s="1"/>
  <c r="AA217"/>
  <c r="AA215"/>
  <c r="Z215" s="1"/>
  <c r="AA214"/>
  <c r="AA212"/>
  <c r="Z212" s="1"/>
  <c r="AA211"/>
  <c r="Z211" s="1"/>
  <c r="AA210"/>
  <c r="Z210" s="1"/>
  <c r="AA209"/>
  <c r="Z209" s="1"/>
  <c r="AA208"/>
  <c r="Z208" s="1"/>
  <c r="AA207"/>
  <c r="Z207" s="1"/>
  <c r="AA205"/>
  <c r="Z205" s="1"/>
  <c r="AA204"/>
  <c r="Z204" s="1"/>
  <c r="AA203"/>
  <c r="Z203" s="1"/>
  <c r="AA202"/>
  <c r="Z202" s="1"/>
  <c r="AA201"/>
  <c r="Z201" s="1"/>
  <c r="AA199"/>
  <c r="Z199" s="1"/>
  <c r="AA198"/>
  <c r="Z198" s="1"/>
  <c r="AA197"/>
  <c r="AA195"/>
  <c r="Z195" s="1"/>
  <c r="AA194"/>
  <c r="Z194" s="1"/>
  <c r="AA193"/>
  <c r="Z193" s="1"/>
  <c r="AA226" l="1"/>
  <c r="Z226" s="1"/>
  <c r="AA200"/>
  <c r="Z200" s="1"/>
  <c r="AA231"/>
  <c r="Z231" s="1"/>
  <c r="AA206"/>
  <c r="Z206" s="1"/>
  <c r="AA222"/>
  <c r="Z222" s="1"/>
  <c r="AA196"/>
  <c r="Z196" s="1"/>
  <c r="AA216"/>
  <c r="Z216" s="1"/>
  <c r="AA192"/>
  <c r="Z192" s="1"/>
  <c r="Z223"/>
  <c r="Z197"/>
  <c r="AA213"/>
  <c r="Z213" s="1"/>
  <c r="Z217"/>
  <c r="Z214"/>
  <c r="Z232"/>
  <c r="H133" l="1"/>
  <c r="AA187"/>
  <c r="Z187" s="1"/>
  <c r="G187" s="1"/>
  <c r="AA186"/>
  <c r="Z186" s="1"/>
  <c r="AA185"/>
  <c r="Z185" s="1"/>
  <c r="AA184"/>
  <c r="Z184" s="1"/>
  <c r="AA183"/>
  <c r="Z183" s="1"/>
  <c r="AA182"/>
  <c r="Z182" s="1"/>
  <c r="AA181"/>
  <c r="Z181" s="1"/>
  <c r="AA180"/>
  <c r="Z180" s="1"/>
  <c r="AA179"/>
  <c r="Z179" s="1"/>
  <c r="AA177"/>
  <c r="Z177" s="1"/>
  <c r="G177" s="1"/>
  <c r="AA176"/>
  <c r="Z176" s="1"/>
  <c r="AA175"/>
  <c r="Z175" s="1"/>
  <c r="AA174"/>
  <c r="AA172"/>
  <c r="Z172" s="1"/>
  <c r="AA171"/>
  <c r="Z171" s="1"/>
  <c r="AA170"/>
  <c r="Z170" s="1"/>
  <c r="AA169"/>
  <c r="Z169" s="1"/>
  <c r="AA168"/>
  <c r="Z168" s="1"/>
  <c r="AA167"/>
  <c r="Z167" s="1"/>
  <c r="AA166"/>
  <c r="Z166" s="1"/>
  <c r="AA165"/>
  <c r="Z165" s="1"/>
  <c r="AA164"/>
  <c r="Z164" s="1"/>
  <c r="AA163"/>
  <c r="Z163" s="1"/>
  <c r="AA162"/>
  <c r="Z162" s="1"/>
  <c r="AA161"/>
  <c r="AA159"/>
  <c r="Z159" s="1"/>
  <c r="AA158"/>
  <c r="Z158" s="1"/>
  <c r="AA157"/>
  <c r="Z157" s="1"/>
  <c r="AA156"/>
  <c r="Z156" s="1"/>
  <c r="AA155"/>
  <c r="Z155" s="1"/>
  <c r="AA154"/>
  <c r="Z154" s="1"/>
  <c r="AA153"/>
  <c r="Z153" s="1"/>
  <c r="AA152"/>
  <c r="Z152" s="1"/>
  <c r="AA151"/>
  <c r="AA149"/>
  <c r="Z149" s="1"/>
  <c r="AA148"/>
  <c r="Z148" s="1"/>
  <c r="AA147"/>
  <c r="G145"/>
  <c r="AA144"/>
  <c r="Z144" s="1"/>
  <c r="G144" s="1"/>
  <c r="AA143"/>
  <c r="Z143" s="1"/>
  <c r="G143" s="1"/>
  <c r="AA142"/>
  <c r="Z142" s="1"/>
  <c r="AA141"/>
  <c r="Z141" s="1"/>
  <c r="AA140"/>
  <c r="AA137"/>
  <c r="Z137" s="1"/>
  <c r="AA136"/>
  <c r="Z136" s="1"/>
  <c r="AA135"/>
  <c r="AA160" l="1"/>
  <c r="Z160" s="1"/>
  <c r="G160" s="1"/>
  <c r="AA178"/>
  <c r="Z178" s="1"/>
  <c r="G178" s="1"/>
  <c r="AA139"/>
  <c r="Z139" s="1"/>
  <c r="G139" s="1"/>
  <c r="AA146"/>
  <c r="Z146" s="1"/>
  <c r="G146" s="1"/>
  <c r="AA150"/>
  <c r="Z150" s="1"/>
  <c r="G150" s="1"/>
  <c r="AA173"/>
  <c r="Z173" s="1"/>
  <c r="G173" s="1"/>
  <c r="Z140"/>
  <c r="Z147"/>
  <c r="Z151"/>
  <c r="Z161"/>
  <c r="Z174"/>
  <c r="T138"/>
  <c r="AA138" s="1"/>
  <c r="Z138" s="1"/>
  <c r="Z135"/>
  <c r="AA134" l="1"/>
  <c r="Z134" s="1"/>
  <c r="G134" s="1"/>
  <c r="G133" l="1"/>
  <c r="I133"/>
  <c r="Z124" l="1"/>
  <c r="G124" s="1"/>
  <c r="Z775" i="162"/>
  <c r="Y775" s="1"/>
  <c r="F775" s="1"/>
  <c r="Z774"/>
  <c r="Y774"/>
  <c r="Z773"/>
  <c r="Y773"/>
  <c r="Z772"/>
  <c r="Y772"/>
  <c r="Z771"/>
  <c r="Y771"/>
  <c r="Z770"/>
  <c r="Y770"/>
  <c r="Z769"/>
  <c r="Y769"/>
  <c r="Z768"/>
  <c r="Y768"/>
  <c r="Z767"/>
  <c r="Y767"/>
  <c r="Z766"/>
  <c r="Y766"/>
  <c r="Z765"/>
  <c r="Y765"/>
  <c r="Z763"/>
  <c r="Y763" s="1"/>
  <c r="Z762"/>
  <c r="Y762" s="1"/>
  <c r="Z761"/>
  <c r="Z759"/>
  <c r="Y759" s="1"/>
  <c r="Z758"/>
  <c r="Y758" s="1"/>
  <c r="Z756"/>
  <c r="Y756" s="1"/>
  <c r="Z764" l="1"/>
  <c r="Y764" s="1"/>
  <c r="Z760"/>
  <c r="Y760" s="1"/>
  <c r="Y761"/>
  <c r="Z321" l="1"/>
  <c r="Y321" s="1"/>
  <c r="Z320"/>
  <c r="Y320" s="1"/>
  <c r="Z315" l="1"/>
  <c r="Z294"/>
  <c r="Y294" s="1"/>
  <c r="Z312"/>
  <c r="Z311"/>
  <c r="Y311" s="1"/>
  <c r="Z310"/>
  <c r="Y310" s="1"/>
  <c r="Z309"/>
  <c r="Z308"/>
  <c r="Y308" s="1"/>
  <c r="Z304"/>
  <c r="Y304" s="1"/>
  <c r="Z303"/>
  <c r="Y303" s="1"/>
  <c r="Z302"/>
  <c r="Y302" s="1"/>
  <c r="Z270"/>
  <c r="Y270" s="1"/>
  <c r="F270" s="1"/>
  <c r="H270" s="1"/>
  <c r="Z286"/>
  <c r="Y286" s="1"/>
  <c r="F286" s="1"/>
  <c r="H286" s="1"/>
  <c r="Z269"/>
  <c r="Y269" s="1"/>
  <c r="F269" s="1"/>
  <c r="H269" s="1"/>
  <c r="Z287"/>
  <c r="Y287" s="1"/>
  <c r="F287" s="1"/>
  <c r="H287" s="1"/>
  <c r="Z285"/>
  <c r="Y285" s="1"/>
  <c r="Z284"/>
  <c r="Z282"/>
  <c r="Y282" s="1"/>
  <c r="Z281"/>
  <c r="Y281" s="1"/>
  <c r="Z279"/>
  <c r="Y279" s="1"/>
  <c r="Z278"/>
  <c r="Y278" s="1"/>
  <c r="Z276"/>
  <c r="Y276" s="1"/>
  <c r="Z275"/>
  <c r="Y275" s="1"/>
  <c r="Z274"/>
  <c r="Y274" s="1"/>
  <c r="Z273"/>
  <c r="Y273" s="1"/>
  <c r="Z272"/>
  <c r="Y272" s="1"/>
  <c r="Z268"/>
  <c r="Y268" s="1"/>
  <c r="Z267"/>
  <c r="Z265"/>
  <c r="Y265" s="1"/>
  <c r="Z264"/>
  <c r="Y312" l="1"/>
  <c r="F312" s="1"/>
  <c r="Z307"/>
  <c r="Y307" s="1"/>
  <c r="F307" s="1"/>
  <c r="H307" s="1"/>
  <c r="Y309"/>
  <c r="Z271"/>
  <c r="Y271" s="1"/>
  <c r="F271" s="1"/>
  <c r="H271" s="1"/>
  <c r="Z280"/>
  <c r="Y280" s="1"/>
  <c r="F280" s="1"/>
  <c r="H280" s="1"/>
  <c r="Z263"/>
  <c r="Y277"/>
  <c r="F277" s="1"/>
  <c r="H277" s="1"/>
  <c r="Z283"/>
  <c r="Y283" s="1"/>
  <c r="F283" s="1"/>
  <c r="H283" s="1"/>
  <c r="Z266"/>
  <c r="Z277"/>
  <c r="Y267"/>
  <c r="Y266" s="1"/>
  <c r="F266" s="1"/>
  <c r="H266" s="1"/>
  <c r="Y264"/>
  <c r="Y263" s="1"/>
  <c r="F263" s="1"/>
  <c r="Y284"/>
  <c r="H263" l="1"/>
  <c r="H262" s="1"/>
  <c r="F262"/>
  <c r="Z261"/>
  <c r="Y261" s="1"/>
  <c r="F261" s="1"/>
  <c r="H261" s="1"/>
  <c r="Z260"/>
  <c r="Y260" s="1"/>
  <c r="F260" s="1"/>
  <c r="H260" s="1"/>
  <c r="Z259"/>
  <c r="Y259" s="1"/>
  <c r="F259" s="1"/>
  <c r="Z258"/>
  <c r="Y258" s="1"/>
  <c r="F258" s="1"/>
  <c r="Z257"/>
  <c r="Y257" s="1"/>
  <c r="F257" s="1"/>
  <c r="Z256"/>
  <c r="Y256" s="1"/>
  <c r="F256" s="1"/>
  <c r="Z255"/>
  <c r="Y255" s="1"/>
  <c r="Z254"/>
  <c r="Y254" s="1"/>
  <c r="Z253"/>
  <c r="Y253" s="1"/>
  <c r="Z251"/>
  <c r="Y251" s="1"/>
  <c r="F251" s="1"/>
  <c r="Z250"/>
  <c r="Y250" s="1"/>
  <c r="F250" s="1"/>
  <c r="H250" s="1"/>
  <c r="Z249"/>
  <c r="Y249" s="1"/>
  <c r="F249" s="1"/>
  <c r="H249" l="1"/>
  <c r="F248"/>
  <c r="H248" s="1"/>
  <c r="Z252"/>
  <c r="Y252" s="1"/>
  <c r="F252" s="1"/>
  <c r="H252" s="1"/>
  <c r="Z230" l="1"/>
  <c r="Y230" s="1"/>
  <c r="Z229"/>
  <c r="Y229" s="1"/>
  <c r="Z228"/>
  <c r="Y228" s="1"/>
  <c r="Z227"/>
  <c r="Y227" s="1"/>
  <c r="Z226"/>
  <c r="Y226" s="1"/>
  <c r="Z225"/>
  <c r="Y225" s="1"/>
  <c r="Z224"/>
  <c r="Y224" s="1"/>
  <c r="Z223"/>
  <c r="Y223" s="1"/>
  <c r="Z222"/>
  <c r="Y222" s="1"/>
  <c r="Z221"/>
  <c r="Y221" s="1"/>
  <c r="Z220"/>
  <c r="Y220" s="1"/>
  <c r="Z219"/>
  <c r="Z217"/>
  <c r="Y217" s="1"/>
  <c r="Z215"/>
  <c r="Y215" s="1"/>
  <c r="Z214"/>
  <c r="Z211"/>
  <c r="Y211" s="1"/>
  <c r="Z216" l="1"/>
  <c r="Y216" s="1"/>
  <c r="Z218"/>
  <c r="Y218" s="1"/>
  <c r="Z213"/>
  <c r="Y213" s="1"/>
  <c r="Y219"/>
  <c r="Y214"/>
  <c r="H105" l="1"/>
  <c r="H76"/>
  <c r="H71"/>
  <c r="H67" l="1"/>
  <c r="H78"/>
  <c r="Y326" i="137" l="1"/>
  <c r="F326" s="1"/>
  <c r="Y329"/>
  <c r="F329" s="1"/>
  <c r="F318"/>
  <c r="F325"/>
  <c r="F304"/>
  <c r="Y305"/>
  <c r="F305" s="1"/>
  <c r="F302" l="1"/>
  <c r="Y312"/>
  <c r="F312" s="1"/>
  <c r="Y322"/>
  <c r="F322" s="1"/>
  <c r="F409" i="144" l="1"/>
  <c r="F408"/>
  <c r="AA409" l="1"/>
  <c r="H409"/>
  <c r="H408"/>
  <c r="Z191" l="1"/>
  <c r="Y191" s="1"/>
  <c r="F191" s="1"/>
  <c r="AA191" s="1"/>
  <c r="Z190"/>
  <c r="Y190" s="1"/>
  <c r="Z189"/>
  <c r="Y189" s="1"/>
  <c r="Z187"/>
  <c r="Y187" s="1"/>
  <c r="F187" s="1"/>
  <c r="AA187" s="1"/>
  <c r="Z186"/>
  <c r="Y186" s="1"/>
  <c r="Z185"/>
  <c r="Z183"/>
  <c r="Y183" s="1"/>
  <c r="Z182"/>
  <c r="Y182" s="1"/>
  <c r="Z181"/>
  <c r="Y181" s="1"/>
  <c r="Z180"/>
  <c r="Y180" s="1"/>
  <c r="Z179"/>
  <c r="Y179" s="1"/>
  <c r="Z178"/>
  <c r="Y178" s="1"/>
  <c r="Z177"/>
  <c r="Y177" s="1"/>
  <c r="Z176"/>
  <c r="Z174"/>
  <c r="Y174" s="1"/>
  <c r="Z173"/>
  <c r="Y173" s="1"/>
  <c r="Z172"/>
  <c r="Y172" s="1"/>
  <c r="Z171"/>
  <c r="Y171" s="1"/>
  <c r="Z169"/>
  <c r="Y169" s="1"/>
  <c r="Z168"/>
  <c r="Y168" s="1"/>
  <c r="Z167"/>
  <c r="Y167" s="1"/>
  <c r="Z166"/>
  <c r="Z164"/>
  <c r="Y164" s="1"/>
  <c r="F164" s="1"/>
  <c r="AA164" s="1"/>
  <c r="Z163"/>
  <c r="Y163" s="1"/>
  <c r="Z162"/>
  <c r="Y162" s="1"/>
  <c r="Z160"/>
  <c r="Y160" s="1"/>
  <c r="F160" s="1"/>
  <c r="AA160" s="1"/>
  <c r="Z159"/>
  <c r="Y159" s="1"/>
  <c r="Z158"/>
  <c r="Z184" l="1"/>
  <c r="Y184" s="1"/>
  <c r="F184" s="1"/>
  <c r="Z188"/>
  <c r="Y188" s="1"/>
  <c r="F188" s="1"/>
  <c r="Y170"/>
  <c r="F170" s="1"/>
  <c r="Z170"/>
  <c r="Y185"/>
  <c r="Z175"/>
  <c r="Y175" s="1"/>
  <c r="F175" s="1"/>
  <c r="Z157"/>
  <c r="Y157" s="1"/>
  <c r="F157" s="1"/>
  <c r="Z165"/>
  <c r="Y158"/>
  <c r="Y166"/>
  <c r="Y165" s="1"/>
  <c r="F165" s="1"/>
  <c r="AA165" s="1"/>
  <c r="Y176"/>
  <c r="Z161"/>
  <c r="Y161" s="1"/>
  <c r="F161" s="1"/>
  <c r="AA161" s="1"/>
  <c r="F156" l="1"/>
  <c r="AA184"/>
  <c r="AA175"/>
  <c r="AA170"/>
  <c r="AA188"/>
  <c r="AA157"/>
  <c r="Z155"/>
  <c r="Y155" s="1"/>
  <c r="Z154"/>
  <c r="Y154" s="1"/>
  <c r="Z153"/>
  <c r="Y153" s="1"/>
  <c r="Z152"/>
  <c r="Y152" s="1"/>
  <c r="Z151"/>
  <c r="Y151" s="1"/>
  <c r="Z150"/>
  <c r="Y150" s="1"/>
  <c r="Z149"/>
  <c r="Z147"/>
  <c r="Y147" s="1"/>
  <c r="Z146"/>
  <c r="Z144"/>
  <c r="Y144" s="1"/>
  <c r="Z143"/>
  <c r="Y143" s="1"/>
  <c r="Z141"/>
  <c r="Y141" s="1"/>
  <c r="Z140"/>
  <c r="Y140" s="1"/>
  <c r="Z139"/>
  <c r="Y139" s="1"/>
  <c r="Z138"/>
  <c r="Y142" l="1"/>
  <c r="Z142"/>
  <c r="Z145"/>
  <c r="Y145" s="1"/>
  <c r="Z137"/>
  <c r="Y137" s="1"/>
  <c r="Z148"/>
  <c r="Y148" s="1"/>
  <c r="Y138"/>
  <c r="Y146"/>
  <c r="Y149"/>
  <c r="G111" i="135" l="1"/>
  <c r="G110" s="1"/>
  <c r="F229" l="1"/>
  <c r="AA229" s="1"/>
  <c r="F227"/>
  <c r="AA227" s="1"/>
  <c r="F223"/>
  <c r="AA223" s="1"/>
  <c r="F222"/>
  <c r="AA222" s="1"/>
  <c r="F221"/>
  <c r="AA221" s="1"/>
  <c r="F218"/>
  <c r="AA217"/>
  <c r="AA213"/>
  <c r="AA212"/>
  <c r="AA210"/>
  <c r="AA218" l="1"/>
  <c r="F209"/>
  <c r="AA214"/>
  <c r="F224"/>
  <c r="AA224" s="1"/>
  <c r="F220" l="1"/>
  <c r="AA220" s="1"/>
  <c r="F186" i="134"/>
  <c r="F180"/>
  <c r="H180" s="1"/>
  <c r="F183" l="1"/>
  <c r="H17" i="152" l="1"/>
  <c r="H8" s="1"/>
  <c r="Z656" i="106" l="1"/>
  <c r="Y656" s="1"/>
  <c r="Z655"/>
  <c r="Y655" s="1"/>
  <c r="Z654"/>
  <c r="Z653" l="1"/>
  <c r="Y653" s="1"/>
  <c r="Y654"/>
  <c r="Y290"/>
  <c r="F290" s="1"/>
  <c r="Y289"/>
  <c r="F289" s="1"/>
  <c r="Y288"/>
  <c r="F288" s="1"/>
  <c r="Y287"/>
  <c r="Y286"/>
  <c r="Y284"/>
  <c r="Y283"/>
  <c r="Y282"/>
  <c r="Y281"/>
  <c r="Y280"/>
  <c r="Y279"/>
  <c r="Y277"/>
  <c r="F277" s="1"/>
  <c r="Y276"/>
  <c r="F276" s="1"/>
  <c r="Y285" l="1"/>
  <c r="F285" s="1"/>
  <c r="Y278"/>
  <c r="F278" s="1"/>
  <c r="AA44" i="163" l="1"/>
  <c r="Z44" s="1"/>
  <c r="AA48"/>
  <c r="Z48" s="1"/>
  <c r="G48" s="1"/>
  <c r="AA32"/>
  <c r="Z32" s="1"/>
  <c r="AA31"/>
  <c r="Z31" s="1"/>
  <c r="AA47"/>
  <c r="Z47" s="1"/>
  <c r="G47" s="1"/>
  <c r="AA46"/>
  <c r="Z46" s="1"/>
  <c r="G46" s="1"/>
  <c r="AA45"/>
  <c r="Z45" s="1"/>
  <c r="AA42"/>
  <c r="Z42" s="1"/>
  <c r="G42" s="1"/>
  <c r="AA41"/>
  <c r="Z41" s="1"/>
  <c r="G41" s="1"/>
  <c r="AA40"/>
  <c r="Z40" s="1"/>
  <c r="AA39"/>
  <c r="Z39" s="1"/>
  <c r="AA37"/>
  <c r="Z37" s="1"/>
  <c r="G37" s="1"/>
  <c r="AA35"/>
  <c r="Z35" s="1"/>
  <c r="AA36"/>
  <c r="Z36" s="1"/>
  <c r="G36" s="1"/>
  <c r="AA34"/>
  <c r="Z34" s="1"/>
  <c r="AA22"/>
  <c r="Z22" s="1"/>
  <c r="G22" s="1"/>
  <c r="AA26"/>
  <c r="Z26" s="1"/>
  <c r="G26" s="1"/>
  <c r="AA25"/>
  <c r="Z25" s="1"/>
  <c r="AA24"/>
  <c r="AA29"/>
  <c r="Z29" s="1"/>
  <c r="AA28"/>
  <c r="Z20"/>
  <c r="Z16"/>
  <c r="Z14"/>
  <c r="Z12"/>
  <c r="Z10" l="1"/>
  <c r="T17" s="1"/>
  <c r="T19" s="1"/>
  <c r="Z19" s="1"/>
  <c r="Z18" s="1"/>
  <c r="AA23"/>
  <c r="Z23" s="1"/>
  <c r="G23" s="1"/>
  <c r="Z24"/>
  <c r="AA27"/>
  <c r="Z27" s="1"/>
  <c r="G27" s="1"/>
  <c r="AA33"/>
  <c r="Z33" s="1"/>
  <c r="G33" s="1"/>
  <c r="Z28"/>
  <c r="AA38"/>
  <c r="Z38" s="1"/>
  <c r="G38" s="1"/>
  <c r="AA43"/>
  <c r="Z43" s="1"/>
  <c r="G43" s="1"/>
  <c r="AA30"/>
  <c r="Z30" s="1"/>
  <c r="Z17" l="1"/>
  <c r="G21"/>
  <c r="F264" i="137"/>
  <c r="F261"/>
  <c r="F260"/>
  <c r="F259"/>
  <c r="F258"/>
  <c r="Y257"/>
  <c r="Y256"/>
  <c r="Y254"/>
  <c r="F254" s="1"/>
  <c r="Y253"/>
  <c r="F253" s="1"/>
  <c r="Y252"/>
  <c r="F252" s="1"/>
  <c r="H251" l="1"/>
  <c r="Y255"/>
  <c r="F255" s="1"/>
  <c r="F251" s="1"/>
  <c r="Y201" i="134" l="1"/>
  <c r="Y200"/>
  <c r="Y199"/>
  <c r="Y197"/>
  <c r="Y196"/>
  <c r="Y194"/>
  <c r="Y193"/>
  <c r="Y192"/>
  <c r="Y191"/>
  <c r="Y195" l="1"/>
  <c r="Y198"/>
  <c r="Y190"/>
  <c r="Z642" i="162"/>
  <c r="Y642" s="1"/>
  <c r="F642" s="1"/>
  <c r="H642" s="1"/>
  <c r="Z643"/>
  <c r="Y643" s="1"/>
  <c r="F643" s="1"/>
  <c r="H643" s="1"/>
  <c r="Z640"/>
  <c r="Y640" s="1"/>
  <c r="Z639"/>
  <c r="Y639" s="1"/>
  <c r="H629"/>
  <c r="Z644"/>
  <c r="Y644" s="1"/>
  <c r="F644" s="1"/>
  <c r="H644" s="1"/>
  <c r="Z641"/>
  <c r="Z637"/>
  <c r="Y637" s="1"/>
  <c r="Z636"/>
  <c r="Y636" s="1"/>
  <c r="Z635"/>
  <c r="Z633"/>
  <c r="Y633" s="1"/>
  <c r="F633" s="1"/>
  <c r="H633" s="1"/>
  <c r="Z632"/>
  <c r="Y632" s="1"/>
  <c r="F632" s="1"/>
  <c r="H632" s="1"/>
  <c r="Z631"/>
  <c r="Y631" s="1"/>
  <c r="F631" s="1"/>
  <c r="H631" s="1"/>
  <c r="Z630"/>
  <c r="Y630" s="1"/>
  <c r="F630" s="1"/>
  <c r="H630" l="1"/>
  <c r="Z638"/>
  <c r="Y638" s="1"/>
  <c r="F638" s="1"/>
  <c r="H638" s="1"/>
  <c r="Y641"/>
  <c r="F641" s="1"/>
  <c r="H641" s="1"/>
  <c r="Z634"/>
  <c r="Y634" s="1"/>
  <c r="F634" s="1"/>
  <c r="H634" s="1"/>
  <c r="Y635"/>
  <c r="F628" l="1"/>
  <c r="H628"/>
  <c r="Y250" i="106"/>
  <c r="Z249"/>
  <c r="Y249"/>
  <c r="Y248"/>
  <c r="Z247"/>
  <c r="Y247"/>
  <c r="Y246"/>
  <c r="Y245"/>
  <c r="Z244"/>
  <c r="Y243"/>
  <c r="Y242"/>
  <c r="Z241"/>
  <c r="Y240"/>
  <c r="Y239"/>
  <c r="Y237"/>
  <c r="Y236"/>
  <c r="Z236" l="1"/>
  <c r="Y244"/>
  <c r="Y241"/>
  <c r="Y238"/>
  <c r="Y103" i="125"/>
  <c r="Z103" s="1"/>
  <c r="Y102"/>
  <c r="Y101"/>
  <c r="Z101" s="1"/>
  <c r="Y100"/>
  <c r="Z100" s="1"/>
  <c r="Y99"/>
  <c r="Z99" s="1"/>
  <c r="Y98"/>
  <c r="Z98" s="1"/>
  <c r="Y97"/>
  <c r="Z97" s="1"/>
  <c r="Y96"/>
  <c r="Z96" s="1"/>
  <c r="Y95"/>
  <c r="Z95" s="1"/>
  <c r="Y94"/>
  <c r="Y92"/>
  <c r="Z92" s="1"/>
  <c r="Y91"/>
  <c r="Z91" s="1"/>
  <c r="Y89"/>
  <c r="Z89" s="1"/>
  <c r="Y88"/>
  <c r="F88" s="1"/>
  <c r="Y87"/>
  <c r="Z87" s="1"/>
  <c r="Y86"/>
  <c r="Z86" s="1"/>
  <c r="F103" l="1"/>
  <c r="F87"/>
  <c r="Z88"/>
  <c r="F86"/>
  <c r="F89"/>
  <c r="Y93"/>
  <c r="Z93" s="1"/>
  <c r="Y90"/>
  <c r="Z94"/>
  <c r="Z90" l="1"/>
  <c r="F90"/>
  <c r="Z600" i="106"/>
  <c r="Y600" s="1"/>
  <c r="F600" s="1"/>
  <c r="Z599"/>
  <c r="Y599" s="1"/>
  <c r="F599" s="1"/>
  <c r="Z598"/>
  <c r="Y598" s="1"/>
  <c r="F598" s="1"/>
  <c r="Z597"/>
  <c r="Y597" s="1"/>
  <c r="Z596"/>
  <c r="Z594"/>
  <c r="Y594" s="1"/>
  <c r="F594" s="1"/>
  <c r="Z593"/>
  <c r="Y593" s="1"/>
  <c r="F593" s="1"/>
  <c r="Z595" l="1"/>
  <c r="Y595" s="1"/>
  <c r="F595" s="1"/>
  <c r="Y596"/>
  <c r="Z631"/>
  <c r="Y631" s="1"/>
  <c r="F631" s="1"/>
  <c r="Z630"/>
  <c r="Y630" s="1"/>
  <c r="Z629"/>
  <c r="Y629" s="1"/>
  <c r="Z628"/>
  <c r="Z626"/>
  <c r="Y626" s="1"/>
  <c r="Z625"/>
  <c r="Z623"/>
  <c r="Y623" s="1"/>
  <c r="Z622"/>
  <c r="Y622" s="1"/>
  <c r="Z621"/>
  <c r="Y621" s="1"/>
  <c r="Z620"/>
  <c r="Y620" s="1"/>
  <c r="Z619"/>
  <c r="Z617"/>
  <c r="Y617" s="1"/>
  <c r="F617" s="1"/>
  <c r="Z616"/>
  <c r="Y616" s="1"/>
  <c r="Z615"/>
  <c r="Y615" s="1"/>
  <c r="Z614"/>
  <c r="Y614" s="1"/>
  <c r="Z613"/>
  <c r="Y613" s="1"/>
  <c r="Z611"/>
  <c r="Y611" s="1"/>
  <c r="F611" s="1"/>
  <c r="Z610"/>
  <c r="Y610" s="1"/>
  <c r="F610" s="1"/>
  <c r="F592" l="1"/>
  <c r="Z618"/>
  <c r="Y618" s="1"/>
  <c r="F618" s="1"/>
  <c r="Z627"/>
  <c r="Y627" s="1"/>
  <c r="F627" s="1"/>
  <c r="Z612"/>
  <c r="Y612" s="1"/>
  <c r="F612" s="1"/>
  <c r="Y619"/>
  <c r="Y628"/>
  <c r="Z624"/>
  <c r="Y624" s="1"/>
  <c r="F624" s="1"/>
  <c r="Y625"/>
  <c r="F609" l="1"/>
  <c r="Z224" i="144"/>
  <c r="Y224"/>
  <c r="Z223"/>
  <c r="Y223" s="1"/>
  <c r="Z220" l="1"/>
  <c r="Y220" s="1"/>
  <c r="Z219"/>
  <c r="Y219" s="1"/>
  <c r="Z218"/>
  <c r="Y218" s="1"/>
  <c r="Z216"/>
  <c r="Y216" s="1"/>
  <c r="Z215"/>
  <c r="Y215" s="1"/>
  <c r="Z214"/>
  <c r="Y214" s="1"/>
  <c r="Z213"/>
  <c r="Z210"/>
  <c r="Y210" s="1"/>
  <c r="Z209"/>
  <c r="Y209" s="1"/>
  <c r="Z208"/>
  <c r="Y208" s="1"/>
  <c r="Z207"/>
  <c r="Y207"/>
  <c r="Z206"/>
  <c r="Z205" s="1"/>
  <c r="F205" s="1"/>
  <c r="AA205" s="1"/>
  <c r="Y206"/>
  <c r="F208" l="1"/>
  <c r="AA208" s="1"/>
  <c r="F216"/>
  <c r="AA216" s="1"/>
  <c r="Z217"/>
  <c r="F217" s="1"/>
  <c r="AA217" s="1"/>
  <c r="F210"/>
  <c r="AA210" s="1"/>
  <c r="F220"/>
  <c r="AA220" s="1"/>
  <c r="F209"/>
  <c r="AA209" s="1"/>
  <c r="Y205"/>
  <c r="Z212"/>
  <c r="Y217"/>
  <c r="Y213"/>
  <c r="Y212" l="1"/>
  <c r="F212"/>
  <c r="AA212" s="1"/>
  <c r="Z280"/>
  <c r="Y280" s="1"/>
  <c r="Z279"/>
  <c r="Y279" s="1"/>
  <c r="Z278"/>
  <c r="Y278" s="1"/>
  <c r="Z277"/>
  <c r="Y277" s="1"/>
  <c r="Z276"/>
  <c r="Y276" s="1"/>
  <c r="Z275"/>
  <c r="Y275" s="1"/>
  <c r="Z274"/>
  <c r="Y274" s="1"/>
  <c r="Z272"/>
  <c r="Y272" s="1"/>
  <c r="Z271"/>
  <c r="Y271" s="1"/>
  <c r="Z273" l="1"/>
  <c r="Y273" s="1"/>
  <c r="Z885" i="162" l="1"/>
  <c r="Y885" s="1"/>
  <c r="F885" s="1"/>
  <c r="Z883"/>
  <c r="Y883"/>
  <c r="Z882"/>
  <c r="Y882"/>
  <c r="Z881"/>
  <c r="Y881"/>
  <c r="Z880"/>
  <c r="Y880"/>
  <c r="Z879"/>
  <c r="Y879"/>
  <c r="Z878"/>
  <c r="Y878"/>
  <c r="Z884"/>
  <c r="Y884" s="1"/>
  <c r="F884" s="1"/>
  <c r="Z876"/>
  <c r="Y876" s="1"/>
  <c r="F876" s="1"/>
  <c r="Z875"/>
  <c r="Y875" s="1"/>
  <c r="Z874"/>
  <c r="Y874" s="1"/>
  <c r="Z873"/>
  <c r="Z871"/>
  <c r="Y871" s="1"/>
  <c r="F871" s="1"/>
  <c r="AA882"/>
  <c r="Y869"/>
  <c r="Y868"/>
  <c r="Y867"/>
  <c r="Y866"/>
  <c r="Y865"/>
  <c r="Y864"/>
  <c r="Y863"/>
  <c r="Y861"/>
  <c r="Y860"/>
  <c r="Z857"/>
  <c r="Y857" s="1"/>
  <c r="Z856"/>
  <c r="Y856" s="1"/>
  <c r="Z877" l="1"/>
  <c r="Y877" s="1"/>
  <c r="F877" s="1"/>
  <c r="Z858"/>
  <c r="Y858" s="1"/>
  <c r="F858" s="1"/>
  <c r="Z862"/>
  <c r="Y862" s="1"/>
  <c r="Z872"/>
  <c r="Y872" s="1"/>
  <c r="F872" s="1"/>
  <c r="Y859"/>
  <c r="Y873"/>
  <c r="F870" l="1"/>
  <c r="H870"/>
  <c r="F869" i="106" l="1"/>
  <c r="H869" s="1"/>
  <c r="Y143" i="113"/>
  <c r="Y142"/>
  <c r="Y141"/>
  <c r="Y140"/>
  <c r="Y139" s="1"/>
  <c r="Z188" i="138"/>
  <c r="Y188" s="1"/>
  <c r="Z187"/>
  <c r="Y187" s="1"/>
  <c r="Z186"/>
  <c r="Y186" s="1"/>
  <c r="Z185"/>
  <c r="Y185" s="1"/>
  <c r="Z184"/>
  <c r="Y184" s="1"/>
  <c r="Z182"/>
  <c r="Y182" s="1"/>
  <c r="Z181"/>
  <c r="Y181" s="1"/>
  <c r="Z180"/>
  <c r="Y180" s="1"/>
  <c r="Z179"/>
  <c r="Z178" s="1"/>
  <c r="Z183" l="1"/>
  <c r="Y183"/>
  <c r="Y179"/>
  <c r="Y178" s="1"/>
  <c r="F402" i="144" l="1"/>
  <c r="H402" s="1"/>
  <c r="F398"/>
  <c r="H398" s="1"/>
  <c r="F378"/>
  <c r="F377"/>
  <c r="F376"/>
  <c r="F375"/>
  <c r="F385" l="1"/>
  <c r="H385" s="1"/>
  <c r="F399"/>
  <c r="H399" s="1"/>
  <c r="F395"/>
  <c r="H395" s="1"/>
  <c r="F379"/>
  <c r="H379" s="1"/>
  <c r="F380"/>
  <c r="H380" s="1"/>
  <c r="F371"/>
  <c r="H371" l="1"/>
  <c r="F370"/>
  <c r="H370" s="1"/>
  <c r="F36" i="125"/>
  <c r="F29"/>
  <c r="F14"/>
  <c r="F13"/>
  <c r="F15" l="1"/>
  <c r="F25"/>
  <c r="F37"/>
  <c r="F45"/>
  <c r="F30"/>
  <c r="F41"/>
  <c r="F33"/>
  <c r="F18"/>
  <c r="F12" l="1"/>
  <c r="F68"/>
  <c r="F69" l="1"/>
  <c r="Z666" i="106"/>
  <c r="Y666" s="1"/>
  <c r="Z665"/>
  <c r="Y665" s="1"/>
  <c r="Z664"/>
  <c r="Y664" s="1"/>
  <c r="Z700"/>
  <c r="Y700" s="1"/>
  <c r="Z699"/>
  <c r="Y699" s="1"/>
  <c r="Z698"/>
  <c r="Z697" l="1"/>
  <c r="Z663"/>
  <c r="Y663" s="1"/>
  <c r="Y698"/>
  <c r="Y697" s="1"/>
  <c r="Y155" i="137" l="1"/>
  <c r="Y154"/>
  <c r="Y153"/>
  <c r="Y152"/>
  <c r="Y151"/>
  <c r="Y150"/>
  <c r="Y148"/>
  <c r="Y147"/>
  <c r="Y146"/>
  <c r="Y145"/>
  <c r="Y144"/>
  <c r="Y143"/>
  <c r="Y141"/>
  <c r="Y140"/>
  <c r="Y139"/>
  <c r="Y138" l="1"/>
  <c r="Y142"/>
  <c r="Y149"/>
  <c r="Y167" i="154"/>
  <c r="F167" s="1"/>
  <c r="AA167" s="1"/>
  <c r="Y166"/>
  <c r="F166" s="1"/>
  <c r="AA166" s="1"/>
  <c r="Y165"/>
  <c r="F165" s="1"/>
  <c r="AA165" s="1"/>
  <c r="Y164"/>
  <c r="F164" s="1"/>
  <c r="AA164" s="1"/>
  <c r="Y163"/>
  <c r="F163" s="1"/>
  <c r="AA163" s="1"/>
  <c r="Y162"/>
  <c r="F162" s="1"/>
  <c r="AA162" s="1"/>
  <c r="Y161"/>
  <c r="F161" s="1"/>
  <c r="AA161" s="1"/>
  <c r="Y160"/>
  <c r="Y159"/>
  <c r="Y156"/>
  <c r="F156" s="1"/>
  <c r="AA156" s="1"/>
  <c r="Y155"/>
  <c r="F155" s="1"/>
  <c r="AA155" s="1"/>
  <c r="Y154"/>
  <c r="Y151"/>
  <c r="F151" s="1"/>
  <c r="AA151" s="1"/>
  <c r="Y152" l="1"/>
  <c r="F152" s="1"/>
  <c r="Y153"/>
  <c r="H150"/>
  <c r="Y157"/>
  <c r="F157" s="1"/>
  <c r="AA157" s="1"/>
  <c r="Y158"/>
  <c r="F150" l="1"/>
  <c r="AA150" s="1"/>
  <c r="AA152"/>
  <c r="Z236" i="144"/>
  <c r="Y236" s="1"/>
  <c r="Z235"/>
  <c r="Y235" s="1"/>
  <c r="Z234"/>
  <c r="Z232"/>
  <c r="Y232" s="1"/>
  <c r="Z231"/>
  <c r="Y231" s="1"/>
  <c r="Z230"/>
  <c r="Y230" s="1"/>
  <c r="Z229"/>
  <c r="Z227"/>
  <c r="Y227" s="1"/>
  <c r="Z226"/>
  <c r="Y226" s="1"/>
  <c r="Z225"/>
  <c r="Y225" l="1"/>
  <c r="Z222"/>
  <c r="Y222" s="1"/>
  <c r="Z228"/>
  <c r="Y228" s="1"/>
  <c r="Z233"/>
  <c r="F233" s="1"/>
  <c r="Y234"/>
  <c r="Y229"/>
  <c r="AA233" l="1"/>
  <c r="Y233"/>
  <c r="Y106" i="106"/>
  <c r="Y105"/>
  <c r="Y102"/>
  <c r="Y108"/>
  <c r="Y107"/>
  <c r="Y103"/>
  <c r="Y104" l="1"/>
  <c r="Z34" i="135"/>
  <c r="Z29" s="1"/>
  <c r="Y29" s="1"/>
  <c r="Z33"/>
  <c r="Y33" s="1"/>
  <c r="Z32"/>
  <c r="Y32" s="1"/>
  <c r="Z31"/>
  <c r="Y31" s="1"/>
  <c r="Z30"/>
  <c r="Y30" s="1"/>
  <c r="Y34" l="1"/>
  <c r="Y219" i="134" l="1"/>
  <c r="F219" s="1"/>
  <c r="Y218"/>
  <c r="F218" s="1"/>
  <c r="Z134" i="144" l="1"/>
  <c r="Y134" s="1"/>
  <c r="Z133"/>
  <c r="Y133" s="1"/>
  <c r="Z132"/>
  <c r="Y132" s="1"/>
  <c r="Z131"/>
  <c r="Y131" s="1"/>
  <c r="Z130"/>
  <c r="Z128"/>
  <c r="Y128" s="1"/>
  <c r="Z127"/>
  <c r="Y127" s="1"/>
  <c r="Z126"/>
  <c r="Y126" s="1"/>
  <c r="Z124"/>
  <c r="Y124" s="1"/>
  <c r="Z123"/>
  <c r="Y123" s="1"/>
  <c r="Z122"/>
  <c r="Y122" s="1"/>
  <c r="Z121"/>
  <c r="Z119"/>
  <c r="Y119" s="1"/>
  <c r="Z118"/>
  <c r="Y118" s="1"/>
  <c r="Z117"/>
  <c r="Z115"/>
  <c r="Y115" s="1"/>
  <c r="Z114"/>
  <c r="Y114" s="1"/>
  <c r="Z113"/>
  <c r="Z120" l="1"/>
  <c r="Y120" s="1"/>
  <c r="Z112"/>
  <c r="F112" s="1"/>
  <c r="AA112" s="1"/>
  <c r="Z116"/>
  <c r="Y116" s="1"/>
  <c r="Z129"/>
  <c r="Y129" s="1"/>
  <c r="Z125"/>
  <c r="Y125" s="1"/>
  <c r="Y113"/>
  <c r="Y117"/>
  <c r="Y121"/>
  <c r="Y130"/>
  <c r="F79" i="152" l="1"/>
  <c r="H79" s="1"/>
  <c r="Z76"/>
  <c r="Y76" s="1"/>
  <c r="Z75"/>
  <c r="Y75" s="1"/>
  <c r="Z74"/>
  <c r="Y74" s="1"/>
  <c r="Z73"/>
  <c r="F71"/>
  <c r="Y70"/>
  <c r="Z69"/>
  <c r="Y69" s="1"/>
  <c r="Z68"/>
  <c r="Z66"/>
  <c r="Y66" s="1"/>
  <c r="Z65"/>
  <c r="F63"/>
  <c r="AA63" s="1"/>
  <c r="AA79" l="1"/>
  <c r="Z72"/>
  <c r="Z64"/>
  <c r="Z67"/>
  <c r="AA71"/>
  <c r="F62"/>
  <c r="Y65"/>
  <c r="Y64" s="1"/>
  <c r="F64" s="1"/>
  <c r="Y68"/>
  <c r="Y67" s="1"/>
  <c r="F67" s="1"/>
  <c r="F70"/>
  <c r="AA70" s="1"/>
  <c r="Y73"/>
  <c r="Y72" s="1"/>
  <c r="F72" s="1"/>
  <c r="F78"/>
  <c r="AA78" s="1"/>
  <c r="F61" l="1"/>
  <c r="AA62"/>
  <c r="AA64"/>
  <c r="AA67"/>
  <c r="AA72"/>
  <c r="Y426" i="106"/>
  <c r="Y425"/>
  <c r="Y423"/>
  <c r="Y422"/>
  <c r="Y420"/>
  <c r="Y419"/>
  <c r="Y418"/>
  <c r="Y417"/>
  <c r="Y415"/>
  <c r="Y414"/>
  <c r="Y413"/>
  <c r="Y410"/>
  <c r="Y409"/>
  <c r="Y408"/>
  <c r="Y407"/>
  <c r="AA61" i="152" l="1"/>
  <c r="H61"/>
  <c r="Y424" i="106"/>
  <c r="Y421"/>
  <c r="Y416"/>
  <c r="F416" s="1"/>
  <c r="Y406"/>
  <c r="Y411"/>
  <c r="F261" i="136" l="1"/>
  <c r="F260"/>
  <c r="F259"/>
  <c r="F254"/>
  <c r="F253"/>
  <c r="F252"/>
  <c r="F255" l="1"/>
  <c r="Y373" i="137"/>
  <c r="Y372"/>
  <c r="Y370"/>
  <c r="F370" s="1"/>
  <c r="Y369"/>
  <c r="Y368"/>
  <c r="Y365"/>
  <c r="Y364"/>
  <c r="Y362"/>
  <c r="Y361"/>
  <c r="Y360"/>
  <c r="Y359"/>
  <c r="Y358"/>
  <c r="Y357"/>
  <c r="Y356"/>
  <c r="Y355"/>
  <c r="F251" i="136" l="1"/>
  <c r="Y367" i="137"/>
  <c r="F367" s="1"/>
  <c r="Y371"/>
  <c r="F371" s="1"/>
  <c r="Y354"/>
  <c r="F354" s="1"/>
  <c r="Y363"/>
  <c r="F353" l="1"/>
  <c r="H353" s="1"/>
  <c r="F236" i="134"/>
  <c r="F235"/>
  <c r="F234"/>
  <c r="F233"/>
  <c r="H233" s="1"/>
  <c r="F230"/>
  <c r="F227"/>
  <c r="H227" s="1"/>
  <c r="F224"/>
  <c r="H224" s="1"/>
  <c r="F223"/>
  <c r="F222"/>
  <c r="F221" l="1"/>
  <c r="H221" s="1"/>
  <c r="Y220" i="135"/>
  <c r="F56" i="152" l="1"/>
  <c r="H56" s="1"/>
  <c r="AA56" l="1"/>
  <c r="F54"/>
  <c r="H54" s="1"/>
  <c r="Z763" i="106"/>
  <c r="Y763" s="1"/>
  <c r="F763" s="1"/>
  <c r="H763" s="1"/>
  <c r="Z762"/>
  <c r="Y762" s="1"/>
  <c r="Z761"/>
  <c r="Z759"/>
  <c r="Y759" s="1"/>
  <c r="Z758"/>
  <c r="Y758" s="1"/>
  <c r="Z757"/>
  <c r="Y757" s="1"/>
  <c r="Z755"/>
  <c r="Y755" s="1"/>
  <c r="Z754"/>
  <c r="Y754" s="1"/>
  <c r="Z753"/>
  <c r="Z751"/>
  <c r="Y751" s="1"/>
  <c r="Z750"/>
  <c r="Y750"/>
  <c r="Z749"/>
  <c r="Y749" s="1"/>
  <c r="Z748"/>
  <c r="Y748" s="1"/>
  <c r="Z747"/>
  <c r="Z745"/>
  <c r="Y745" s="1"/>
  <c r="Z744"/>
  <c r="Y744" s="1"/>
  <c r="Z743"/>
  <c r="Z741"/>
  <c r="Y741" s="1"/>
  <c r="Z740"/>
  <c r="Z738"/>
  <c r="Y738" s="1"/>
  <c r="Z737"/>
  <c r="Z734"/>
  <c r="Y734" s="1"/>
  <c r="F734" s="1"/>
  <c r="H734" s="1"/>
  <c r="Z733"/>
  <c r="Y733" s="1"/>
  <c r="Z732"/>
  <c r="Y732" s="1"/>
  <c r="Z731"/>
  <c r="Z729"/>
  <c r="Y729" s="1"/>
  <c r="F729" s="1"/>
  <c r="Z728"/>
  <c r="Y728" s="1"/>
  <c r="Z727"/>
  <c r="Y727" s="1"/>
  <c r="Z725"/>
  <c r="Y725" s="1"/>
  <c r="Z724"/>
  <c r="Y724" s="1"/>
  <c r="Z723"/>
  <c r="Z721"/>
  <c r="Y721" s="1"/>
  <c r="F721" s="1"/>
  <c r="H721" s="1"/>
  <c r="Z720"/>
  <c r="Y720" s="1"/>
  <c r="F720" s="1"/>
  <c r="Z719"/>
  <c r="Y719" s="1"/>
  <c r="F719" s="1"/>
  <c r="H719" s="1"/>
  <c r="Z718"/>
  <c r="Y718" s="1"/>
  <c r="F718" s="1"/>
  <c r="H718" s="1"/>
  <c r="Z717"/>
  <c r="Y717" s="1"/>
  <c r="Z716"/>
  <c r="Y716" s="1"/>
  <c r="Z715"/>
  <c r="Y715" s="1"/>
  <c r="H729" l="1"/>
  <c r="H720"/>
  <c r="AA55" i="152"/>
  <c r="Z736" i="106"/>
  <c r="Y736" s="1"/>
  <c r="F736" s="1"/>
  <c r="H736" s="1"/>
  <c r="Z746"/>
  <c r="Z752"/>
  <c r="Y752" s="1"/>
  <c r="F752" s="1"/>
  <c r="Z756"/>
  <c r="Y756" s="1"/>
  <c r="F756" s="1"/>
  <c r="Z730"/>
  <c r="Z739"/>
  <c r="Y739" s="1"/>
  <c r="F739" s="1"/>
  <c r="Y747"/>
  <c r="Y746" s="1"/>
  <c r="F746" s="1"/>
  <c r="Z742"/>
  <c r="Y742" s="1"/>
  <c r="F742" s="1"/>
  <c r="H742" s="1"/>
  <c r="Z760"/>
  <c r="Y737"/>
  <c r="Y740"/>
  <c r="Y743"/>
  <c r="Y753"/>
  <c r="Y761"/>
  <c r="Y760" s="1"/>
  <c r="F760" s="1"/>
  <c r="Z722"/>
  <c r="Y731"/>
  <c r="Y730" s="1"/>
  <c r="F730" s="1"/>
  <c r="H730" s="1"/>
  <c r="Z714"/>
  <c r="Y714" s="1"/>
  <c r="F714" s="1"/>
  <c r="H714" s="1"/>
  <c r="Z726"/>
  <c r="Y726"/>
  <c r="F726" s="1"/>
  <c r="H726" s="1"/>
  <c r="Y723"/>
  <c r="Y722" s="1"/>
  <c r="F722" s="1"/>
  <c r="H752" l="1"/>
  <c r="H722"/>
  <c r="H756"/>
  <c r="F713"/>
  <c r="F735"/>
  <c r="H760"/>
  <c r="H739"/>
  <c r="H746"/>
  <c r="Z316" i="144"/>
  <c r="F316" s="1"/>
  <c r="AA316" s="1"/>
  <c r="Z315"/>
  <c r="Y315" s="1"/>
  <c r="Z314"/>
  <c r="Y314" s="1"/>
  <c r="Z313"/>
  <c r="Y313" s="1"/>
  <c r="Z312"/>
  <c r="Y312" s="1"/>
  <c r="Z311"/>
  <c r="Y311" s="1"/>
  <c r="Z310"/>
  <c r="Y310" s="1"/>
  <c r="Z309"/>
  <c r="Z307"/>
  <c r="Y307" s="1"/>
  <c r="Z306"/>
  <c r="Y306" s="1"/>
  <c r="Z305"/>
  <c r="Y305" s="1"/>
  <c r="Z303"/>
  <c r="Y303" s="1"/>
  <c r="Z302"/>
  <c r="Y302"/>
  <c r="Z301"/>
  <c r="Y301" s="1"/>
  <c r="Y111" i="134"/>
  <c r="Y110"/>
  <c r="Y109"/>
  <c r="Y107"/>
  <c r="Y106"/>
  <c r="Y105"/>
  <c r="Y104"/>
  <c r="Y102"/>
  <c r="Y101"/>
  <c r="Y100"/>
  <c r="Y98"/>
  <c r="Y97"/>
  <c r="Y96"/>
  <c r="Y94"/>
  <c r="F94" s="1"/>
  <c r="H713" i="106" l="1"/>
  <c r="Z308" i="144"/>
  <c r="Y308" s="1"/>
  <c r="F99" i="134"/>
  <c r="Y309" i="144"/>
  <c r="F314"/>
  <c r="AA314" s="1"/>
  <c r="Y316"/>
  <c r="Z300"/>
  <c r="Y300"/>
  <c r="F300" s="1"/>
  <c r="F311"/>
  <c r="AA311" s="1"/>
  <c r="F312"/>
  <c r="AA312" s="1"/>
  <c r="F315"/>
  <c r="Z304"/>
  <c r="F313"/>
  <c r="Y95" i="134"/>
  <c r="F95" s="1"/>
  <c r="Y103"/>
  <c r="F103" s="1"/>
  <c r="Y108"/>
  <c r="F108" s="1"/>
  <c r="F308" i="144" l="1"/>
  <c r="AA308" s="1"/>
  <c r="F93" i="134"/>
  <c r="AA313" i="144"/>
  <c r="AA315"/>
  <c r="AA300"/>
  <c r="Z299"/>
  <c r="F304"/>
  <c r="Y304"/>
  <c r="F299" l="1"/>
  <c r="AA304"/>
  <c r="Z95" i="152"/>
  <c r="Y95" s="1"/>
  <c r="Z94"/>
  <c r="F93"/>
  <c r="Z92"/>
  <c r="Y92" s="1"/>
  <c r="Z91"/>
  <c r="Y91" s="1"/>
  <c r="Z90"/>
  <c r="F89"/>
  <c r="Z87"/>
  <c r="Y87" s="1"/>
  <c r="Z86"/>
  <c r="Z84"/>
  <c r="Y84" s="1"/>
  <c r="Z83"/>
  <c r="Y83" s="1"/>
  <c r="Y90" l="1"/>
  <c r="Y89" s="1"/>
  <c r="Z89"/>
  <c r="Z85"/>
  <c r="Z82"/>
  <c r="Z93"/>
  <c r="Y82"/>
  <c r="F82" s="1"/>
  <c r="Y86"/>
  <c r="Y85" s="1"/>
  <c r="F85" s="1"/>
  <c r="Y94"/>
  <c r="Y93" s="1"/>
  <c r="Z166" i="135" l="1"/>
  <c r="Y166" s="1"/>
  <c r="F166" s="1"/>
  <c r="Z165"/>
  <c r="Y165" s="1"/>
  <c r="F165" s="1"/>
  <c r="AA165" s="1"/>
  <c r="Z164"/>
  <c r="Y164" s="1"/>
  <c r="F164" s="1"/>
  <c r="Z163"/>
  <c r="Y163" s="1"/>
  <c r="F163" s="1"/>
  <c r="AA163" s="1"/>
  <c r="Z162"/>
  <c r="Y162" s="1"/>
  <c r="Z161"/>
  <c r="Y161" s="1"/>
  <c r="Z160"/>
  <c r="Y160" s="1"/>
  <c r="Z159"/>
  <c r="Y159" s="1"/>
  <c r="Z158"/>
  <c r="Y158" s="1"/>
  <c r="Z157"/>
  <c r="Z155"/>
  <c r="Y155" s="1"/>
  <c r="Z154"/>
  <c r="Y154" s="1"/>
  <c r="Z153"/>
  <c r="Y153" s="1"/>
  <c r="Z152"/>
  <c r="Z150"/>
  <c r="Y150" s="1"/>
  <c r="F150" s="1"/>
  <c r="Z149"/>
  <c r="Y149" s="1"/>
  <c r="F149" s="1"/>
  <c r="AA149" s="1"/>
  <c r="Z148"/>
  <c r="Y148" s="1"/>
  <c r="Z147"/>
  <c r="Z146" s="1"/>
  <c r="Y146" s="1"/>
  <c r="F146" s="1"/>
  <c r="AA146" s="1"/>
  <c r="Z145"/>
  <c r="Y145" s="1"/>
  <c r="F145" s="1"/>
  <c r="AA145" s="1"/>
  <c r="Z188"/>
  <c r="Y188" s="1"/>
  <c r="F188" s="1"/>
  <c r="Z187"/>
  <c r="Y187" s="1"/>
  <c r="F187" s="1"/>
  <c r="H187" s="1"/>
  <c r="Z186"/>
  <c r="Y186" s="1"/>
  <c r="F186" s="1"/>
  <c r="Z185"/>
  <c r="Y185" s="1"/>
  <c r="F185" s="1"/>
  <c r="Z184"/>
  <c r="Y184" s="1"/>
  <c r="Z183"/>
  <c r="Y183" s="1"/>
  <c r="Z182"/>
  <c r="Y182" s="1"/>
  <c r="Z181"/>
  <c r="Y181" s="1"/>
  <c r="Z180"/>
  <c r="Y180" s="1"/>
  <c r="Z179"/>
  <c r="Z177"/>
  <c r="Y177" s="1"/>
  <c r="Z176"/>
  <c r="Y176" s="1"/>
  <c r="Z175"/>
  <c r="Y175" s="1"/>
  <c r="Z173"/>
  <c r="Y173" s="1"/>
  <c r="F173" s="1"/>
  <c r="Z172"/>
  <c r="Y172" s="1"/>
  <c r="F172" s="1"/>
  <c r="Z171"/>
  <c r="Y171" s="1"/>
  <c r="F171" s="1"/>
  <c r="Z170"/>
  <c r="Y170" s="1"/>
  <c r="Z169"/>
  <c r="Y169" s="1"/>
  <c r="AA173" l="1"/>
  <c r="AA187"/>
  <c r="AA166"/>
  <c r="AA186"/>
  <c r="AA185"/>
  <c r="AA150"/>
  <c r="AA164"/>
  <c r="AA188"/>
  <c r="AA171"/>
  <c r="AA172"/>
  <c r="Z151"/>
  <c r="Y151" s="1"/>
  <c r="F151" s="1"/>
  <c r="Z156"/>
  <c r="Y156" s="1"/>
  <c r="F156" s="1"/>
  <c r="Z174"/>
  <c r="Y174" s="1"/>
  <c r="F174" s="1"/>
  <c r="Z178"/>
  <c r="Y178" s="1"/>
  <c r="F178" s="1"/>
  <c r="Y147"/>
  <c r="Y152"/>
  <c r="Y157"/>
  <c r="Z168"/>
  <c r="Y179"/>
  <c r="AA151" l="1"/>
  <c r="AA156"/>
  <c r="H174"/>
  <c r="AA174"/>
  <c r="AA178"/>
  <c r="Z144"/>
  <c r="Y168"/>
  <c r="F168" s="1"/>
  <c r="Z167"/>
  <c r="H83" i="163"/>
  <c r="H76" s="1"/>
  <c r="Z82"/>
  <c r="G82" s="1"/>
  <c r="H52"/>
  <c r="H86"/>
  <c r="Z90"/>
  <c r="G90" s="1"/>
  <c r="Z99"/>
  <c r="Z98"/>
  <c r="Z96"/>
  <c r="Z97"/>
  <c r="H105"/>
  <c r="Z110"/>
  <c r="G110" s="1"/>
  <c r="Z108"/>
  <c r="Z107"/>
  <c r="Z109"/>
  <c r="G109" s="1"/>
  <c r="J108"/>
  <c r="H60"/>
  <c r="Z64"/>
  <c r="G64" s="1"/>
  <c r="Z68"/>
  <c r="G68" s="1"/>
  <c r="AA168" i="135" l="1"/>
  <c r="F167"/>
  <c r="AA167" s="1"/>
  <c r="H167"/>
  <c r="Z106" i="163"/>
  <c r="G106" s="1"/>
  <c r="Z95"/>
  <c r="G95" s="1"/>
  <c r="Z49" i="162"/>
  <c r="Y49" s="1"/>
  <c r="Z48"/>
  <c r="Y48" s="1"/>
  <c r="G105" i="163" l="1"/>
  <c r="Y47" i="162"/>
  <c r="Z829" l="1"/>
  <c r="Y829" s="1"/>
  <c r="Z836"/>
  <c r="Y836" s="1"/>
  <c r="Z835"/>
  <c r="Y835" s="1"/>
  <c r="Z832"/>
  <c r="Y832" s="1"/>
  <c r="Z824"/>
  <c r="Y824" s="1"/>
  <c r="Z823"/>
  <c r="Y823" s="1"/>
  <c r="Z820"/>
  <c r="Z837"/>
  <c r="Y837" s="1"/>
  <c r="F837" s="1"/>
  <c r="Z834"/>
  <c r="Y834" s="1"/>
  <c r="Z833"/>
  <c r="Y833" s="1"/>
  <c r="Z831"/>
  <c r="Y831"/>
  <c r="Z828"/>
  <c r="Y828" s="1"/>
  <c r="Z827"/>
  <c r="Y827" s="1"/>
  <c r="Z826"/>
  <c r="Y826"/>
  <c r="Z821"/>
  <c r="Y821" s="1"/>
  <c r="H15" i="159"/>
  <c r="G15"/>
  <c r="AC19"/>
  <c r="AC18"/>
  <c r="Z830" i="162" l="1"/>
  <c r="Y830" s="1"/>
  <c r="F830" s="1"/>
  <c r="Y820"/>
  <c r="F820" s="1"/>
  <c r="F821"/>
  <c r="Z825"/>
  <c r="Y825" s="1"/>
  <c r="F825" s="1"/>
  <c r="Z822"/>
  <c r="Y822" s="1"/>
  <c r="F822" s="1"/>
  <c r="AC25" i="152"/>
  <c r="AC26"/>
  <c r="AC27"/>
  <c r="AC28"/>
  <c r="AB29"/>
  <c r="AC29"/>
  <c r="AB30"/>
  <c r="AC30"/>
  <c r="AC31"/>
  <c r="AB32"/>
  <c r="AC32"/>
  <c r="AB33"/>
  <c r="AC33"/>
  <c r="AC38"/>
  <c r="AC42"/>
  <c r="AC43"/>
  <c r="AC44"/>
  <c r="AC52"/>
  <c r="AC55"/>
  <c r="AB56"/>
  <c r="AC56"/>
  <c r="AC80"/>
  <c r="AB82"/>
  <c r="AC82"/>
  <c r="AC83"/>
  <c r="AB84"/>
  <c r="AC84"/>
  <c r="AB85"/>
  <c r="AC85"/>
  <c r="AB86"/>
  <c r="AC86"/>
  <c r="AC87"/>
  <c r="AB88"/>
  <c r="AC88"/>
  <c r="AB89"/>
  <c r="AC89"/>
  <c r="AB90"/>
  <c r="AC90"/>
  <c r="AC91"/>
  <c r="AB92"/>
  <c r="AC92"/>
  <c r="AB93"/>
  <c r="AC93"/>
  <c r="AB95"/>
  <c r="AC95"/>
  <c r="AC97"/>
  <c r="AB98"/>
  <c r="AC98"/>
  <c r="AB99"/>
  <c r="AC99"/>
  <c r="AC100"/>
  <c r="AB101"/>
  <c r="AC101"/>
  <c r="AB102"/>
  <c r="AC102"/>
  <c r="AC103"/>
  <c r="AB104"/>
  <c r="AC104"/>
  <c r="AB105"/>
  <c r="AC105"/>
  <c r="AB106"/>
  <c r="AC106"/>
  <c r="AC107"/>
  <c r="AC108"/>
  <c r="AC109"/>
  <c r="AC110"/>
  <c r="AB111"/>
  <c r="AC111"/>
  <c r="AB112"/>
  <c r="AC112"/>
  <c r="AB114"/>
  <c r="AC114"/>
  <c r="AC115"/>
  <c r="AC116"/>
  <c r="AB117"/>
  <c r="AC117"/>
  <c r="AB118"/>
  <c r="AC118"/>
  <c r="AC119"/>
  <c r="AC120"/>
  <c r="AB121"/>
  <c r="AC121"/>
  <c r="AB122"/>
  <c r="AC122"/>
  <c r="AC123"/>
  <c r="AB124"/>
  <c r="AC124"/>
  <c r="AB125"/>
  <c r="AC125"/>
  <c r="AC127"/>
  <c r="AC128"/>
  <c r="AB129"/>
  <c r="AC129"/>
  <c r="AB130"/>
  <c r="AC130"/>
  <c r="AB131"/>
  <c r="AC131"/>
  <c r="AB132"/>
  <c r="AC132"/>
  <c r="AC135"/>
  <c r="AB136"/>
  <c r="AC136"/>
  <c r="AB137"/>
  <c r="AC137"/>
  <c r="AB138"/>
  <c r="AC138"/>
  <c r="AB139"/>
  <c r="AC139"/>
  <c r="AB140"/>
  <c r="AC140"/>
  <c r="AC141"/>
  <c r="AC142"/>
  <c r="AC143"/>
  <c r="AC144"/>
  <c r="AC145"/>
  <c r="AB146"/>
  <c r="AC146"/>
  <c r="AB147"/>
  <c r="AC147"/>
  <c r="AB148"/>
  <c r="AC148"/>
  <c r="AC149"/>
  <c r="AB150"/>
  <c r="AC150"/>
  <c r="AB151"/>
  <c r="AC151"/>
  <c r="AC152"/>
  <c r="AC153"/>
  <c r="AC154"/>
  <c r="AC155"/>
  <c r="AC156"/>
  <c r="AC157"/>
  <c r="AB158"/>
  <c r="AC158"/>
  <c r="AB159"/>
  <c r="AC159"/>
  <c r="AC113" i="125"/>
  <c r="AC114"/>
  <c r="AC115"/>
  <c r="AC116"/>
  <c r="AB117"/>
  <c r="AC117"/>
  <c r="AB118"/>
  <c r="AC118"/>
  <c r="AB119"/>
  <c r="AC119"/>
  <c r="AC120"/>
  <c r="AC121"/>
  <c r="AC123"/>
  <c r="AC124"/>
  <c r="AC125"/>
  <c r="AC126"/>
  <c r="AB127"/>
  <c r="AC127"/>
  <c r="AB128"/>
  <c r="AC128"/>
  <c r="AB129"/>
  <c r="AC129"/>
  <c r="AC130"/>
  <c r="AB131"/>
  <c r="AC131"/>
  <c r="AB132"/>
  <c r="AC132"/>
  <c r="AC133"/>
  <c r="AB134"/>
  <c r="AC134"/>
  <c r="AB135"/>
  <c r="AC135"/>
  <c r="AC136"/>
  <c r="AC137"/>
  <c r="AC139"/>
  <c r="AC140"/>
  <c r="AC141"/>
  <c r="AC142"/>
  <c r="AC143"/>
  <c r="AC144"/>
  <c r="AC145"/>
  <c r="AC146"/>
  <c r="AC148"/>
  <c r="AC149"/>
  <c r="AC150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9"/>
  <c r="AC212"/>
  <c r="AC213"/>
  <c r="AC214"/>
  <c r="AC215"/>
  <c r="AC216"/>
  <c r="AC217"/>
  <c r="AC218"/>
  <c r="AC219"/>
  <c r="AC220"/>
  <c r="AC221"/>
  <c r="AC222"/>
  <c r="AC223"/>
  <c r="AC224"/>
  <c r="H30" i="121"/>
  <c r="H37"/>
  <c r="H53"/>
  <c r="AB14" i="125"/>
  <c r="AB16"/>
  <c r="AB17"/>
  <c r="AB18"/>
  <c r="AB19"/>
  <c r="AB21"/>
  <c r="AB22"/>
  <c r="AB23"/>
  <c r="AB24"/>
  <c r="AB25"/>
  <c r="AB26"/>
  <c r="AB52"/>
  <c r="AB53"/>
  <c r="AB58"/>
  <c r="AB59"/>
  <c r="AB79"/>
  <c r="AB80"/>
  <c r="AB81"/>
  <c r="AB82"/>
  <c r="AB5"/>
  <c r="AD128" l="1"/>
  <c r="AD142"/>
  <c r="AD114" i="152"/>
  <c r="AD105"/>
  <c r="AD98"/>
  <c r="AD118"/>
  <c r="AD92"/>
  <c r="AD150"/>
  <c r="AD102"/>
  <c r="AD99"/>
  <c r="AD93"/>
  <c r="AD90"/>
  <c r="AD138"/>
  <c r="AD118" i="125"/>
  <c r="AD125" i="152"/>
  <c r="AD149" i="125"/>
  <c r="AD141"/>
  <c r="AD134"/>
  <c r="AD129"/>
  <c r="AD119"/>
  <c r="AD117"/>
  <c r="AD132" i="152"/>
  <c r="AD124"/>
  <c r="AD111"/>
  <c r="AD82"/>
  <c r="F819" i="162"/>
  <c r="AD88" i="152"/>
  <c r="AD86"/>
  <c r="AD84"/>
  <c r="AD131"/>
  <c r="AD129"/>
  <c r="AD140"/>
  <c r="AD121"/>
  <c r="AD136"/>
  <c r="AD122"/>
  <c r="AD117"/>
  <c r="AD112"/>
  <c r="AD106"/>
  <c r="AD104"/>
  <c r="AD146"/>
  <c r="AD89"/>
  <c r="AD85"/>
  <c r="AD56"/>
  <c r="AD32"/>
  <c r="AD148"/>
  <c r="AD158"/>
  <c r="AD30"/>
  <c r="AD148" i="125"/>
  <c r="AD131"/>
  <c r="AD151" i="152"/>
  <c r="AD159"/>
  <c r="AD139"/>
  <c r="AD101"/>
  <c r="AD95"/>
  <c r="AD147"/>
  <c r="AD137"/>
  <c r="AD29"/>
  <c r="AD130"/>
  <c r="AD33"/>
  <c r="AD135" i="125"/>
  <c r="AD132"/>
  <c r="AD127"/>
  <c r="AA31" i="158"/>
  <c r="Z31" s="1"/>
  <c r="G31" s="1"/>
  <c r="I31" s="1"/>
  <c r="AA30"/>
  <c r="Z30" s="1"/>
  <c r="G30" s="1"/>
  <c r="I30" s="1"/>
  <c r="AA29"/>
  <c r="Z29" s="1"/>
  <c r="G29" s="1"/>
  <c r="I29" s="1"/>
  <c r="AA28"/>
  <c r="Z28" s="1"/>
  <c r="AA27"/>
  <c r="Z27" s="1"/>
  <c r="AA26"/>
  <c r="Z26" s="1"/>
  <c r="AA24"/>
  <c r="Z24" s="1"/>
  <c r="G24" s="1"/>
  <c r="I24" s="1"/>
  <c r="AA23"/>
  <c r="Z23" s="1"/>
  <c r="G23" s="1"/>
  <c r="I23" s="1"/>
  <c r="AA22"/>
  <c r="Z22" s="1"/>
  <c r="G22" s="1"/>
  <c r="I22" s="1"/>
  <c r="AA21"/>
  <c r="Z21" s="1"/>
  <c r="AA20"/>
  <c r="Z20" s="1"/>
  <c r="F31" i="162"/>
  <c r="H31" s="1"/>
  <c r="F30"/>
  <c r="H30" s="1"/>
  <c r="F29"/>
  <c r="H29" s="1"/>
  <c r="F24"/>
  <c r="F23"/>
  <c r="H23" s="1"/>
  <c r="F22"/>
  <c r="H22" s="1"/>
  <c r="Z39"/>
  <c r="Y39" s="1"/>
  <c r="H18" l="1"/>
  <c r="F25"/>
  <c r="Z25" i="158"/>
  <c r="G25" s="1"/>
  <c r="I25" s="1"/>
  <c r="AA19"/>
  <c r="Z19"/>
  <c r="G19" s="1"/>
  <c r="I19" s="1"/>
  <c r="F19" i="162"/>
  <c r="F18" s="1"/>
  <c r="F17" s="1"/>
  <c r="AB18" l="1"/>
  <c r="I18"/>
  <c r="H17" l="1"/>
  <c r="AB17"/>
  <c r="AC18" i="158" l="1"/>
  <c r="J18"/>
  <c r="G17"/>
  <c r="Z160" i="138"/>
  <c r="Y160" s="1"/>
  <c r="F160" s="1"/>
  <c r="Z159"/>
  <c r="Y159" s="1"/>
  <c r="F159" s="1"/>
  <c r="Z158"/>
  <c r="Y158" s="1"/>
  <c r="Z157"/>
  <c r="Y157" s="1"/>
  <c r="Z156"/>
  <c r="Y156" s="1"/>
  <c r="Z155"/>
  <c r="Y155" s="1"/>
  <c r="Z154"/>
  <c r="Y154" s="1"/>
  <c r="Z153"/>
  <c r="Y153" s="1"/>
  <c r="Z151"/>
  <c r="Y151" s="1"/>
  <c r="F151" s="1"/>
  <c r="Z150"/>
  <c r="Y150" s="1"/>
  <c r="Z149"/>
  <c r="Y149" s="1"/>
  <c r="Z148"/>
  <c r="Z146"/>
  <c r="Y146" s="1"/>
  <c r="F146" s="1"/>
  <c r="Z145"/>
  <c r="Y145" s="1"/>
  <c r="F145" s="1"/>
  <c r="AB156" i="152"/>
  <c r="AD156" s="1"/>
  <c r="AB155"/>
  <c r="AD155" s="1"/>
  <c r="AB154"/>
  <c r="AD154" s="1"/>
  <c r="AB152"/>
  <c r="AD152" s="1"/>
  <c r="AB144"/>
  <c r="AD144" s="1"/>
  <c r="AB143"/>
  <c r="AD143" s="1"/>
  <c r="AB142"/>
  <c r="AD142" s="1"/>
  <c r="AB141"/>
  <c r="AD141" s="1"/>
  <c r="Z147" i="138" l="1"/>
  <c r="Y152"/>
  <c r="F152" s="1"/>
  <c r="AB135" i="152"/>
  <c r="AD135" s="1"/>
  <c r="AB153"/>
  <c r="AD153" s="1"/>
  <c r="G133"/>
  <c r="AC133" s="1"/>
  <c r="AC134"/>
  <c r="I17" i="158"/>
  <c r="AC17"/>
  <c r="Y148" i="138"/>
  <c r="Y147" s="1"/>
  <c r="F147" s="1"/>
  <c r="F144" s="1"/>
  <c r="AB157" i="152" l="1"/>
  <c r="AD157" s="1"/>
  <c r="AB134"/>
  <c r="AD134" s="1"/>
  <c r="AB145"/>
  <c r="AD145" s="1"/>
  <c r="AB149"/>
  <c r="AD149" s="1"/>
  <c r="H134" l="1"/>
  <c r="H133" s="1"/>
  <c r="F133"/>
  <c r="G144" i="135"/>
  <c r="AB133" i="152" l="1"/>
  <c r="AD133" s="1"/>
  <c r="G53"/>
  <c r="AC54" l="1"/>
  <c r="AB55" l="1"/>
  <c r="AD55" s="1"/>
  <c r="Y273" i="106" l="1"/>
  <c r="F273" s="1"/>
  <c r="Y272"/>
  <c r="F272" s="1"/>
  <c r="Y271"/>
  <c r="F271" s="1"/>
  <c r="Y270"/>
  <c r="F270" s="1"/>
  <c r="Y269"/>
  <c r="F269" s="1"/>
  <c r="F267"/>
  <c r="F266"/>
  <c r="F262"/>
  <c r="F261"/>
  <c r="F260"/>
  <c r="F256"/>
  <c r="F250"/>
  <c r="F249"/>
  <c r="F248"/>
  <c r="F247"/>
  <c r="F237"/>
  <c r="F236"/>
  <c r="F268" l="1"/>
  <c r="H260"/>
  <c r="H266"/>
  <c r="H261"/>
  <c r="F252"/>
  <c r="F238"/>
  <c r="F244"/>
  <c r="F257"/>
  <c r="F241"/>
  <c r="F251" l="1"/>
  <c r="F235"/>
  <c r="AC96" i="152"/>
  <c r="G437" i="162"/>
  <c r="Z457"/>
  <c r="Y457" s="1"/>
  <c r="F457" s="1"/>
  <c r="Z456"/>
  <c r="Y456" s="1"/>
  <c r="Z455"/>
  <c r="Y455" s="1"/>
  <c r="Z454"/>
  <c r="Z452"/>
  <c r="Y452" s="1"/>
  <c r="F452" s="1"/>
  <c r="Z451"/>
  <c r="Y451" s="1"/>
  <c r="F451" s="1"/>
  <c r="Z450"/>
  <c r="Y450" s="1"/>
  <c r="F450" s="1"/>
  <c r="Z449"/>
  <c r="Y449" s="1"/>
  <c r="Z448"/>
  <c r="Y448" s="1"/>
  <c r="Z447"/>
  <c r="Y447" s="1"/>
  <c r="Z446"/>
  <c r="Y446" s="1"/>
  <c r="Z444"/>
  <c r="Y444" s="1"/>
  <c r="F444" s="1"/>
  <c r="Z443"/>
  <c r="Y443" s="1"/>
  <c r="F443" s="1"/>
  <c r="Z442"/>
  <c r="Y442" s="1"/>
  <c r="Z441"/>
  <c r="Y441" s="1"/>
  <c r="Z440"/>
  <c r="F234" i="106" l="1"/>
  <c r="Z453" i="162"/>
  <c r="Y453" s="1"/>
  <c r="F453" s="1"/>
  <c r="Z445"/>
  <c r="Y445" s="1"/>
  <c r="F445" s="1"/>
  <c r="Y454"/>
  <c r="Z439"/>
  <c r="Y439" s="1"/>
  <c r="F439" s="1"/>
  <c r="Y440"/>
  <c r="F438" l="1"/>
  <c r="H438" s="1"/>
  <c r="H146" i="158"/>
  <c r="G146"/>
  <c r="AC148"/>
  <c r="H167"/>
  <c r="G167"/>
  <c r="AC168"/>
  <c r="H136"/>
  <c r="H124" s="1"/>
  <c r="AC135"/>
  <c r="G134"/>
  <c r="AC134" s="1"/>
  <c r="AC103"/>
  <c r="H102"/>
  <c r="G102"/>
  <c r="H305" i="163"/>
  <c r="G309"/>
  <c r="G307"/>
  <c r="G305"/>
  <c r="H309"/>
  <c r="H43" i="159"/>
  <c r="G43"/>
  <c r="G42" s="1"/>
  <c r="AC44"/>
  <c r="AC45"/>
  <c r="AC41"/>
  <c r="H40"/>
  <c r="H39" s="1"/>
  <c r="G40"/>
  <c r="I102" i="158" l="1"/>
  <c r="F437" i="162"/>
  <c r="AB437" s="1"/>
  <c r="I40" i="159"/>
  <c r="G304" i="163"/>
  <c r="G303" s="1"/>
  <c r="G39" i="159"/>
  <c r="AC40"/>
  <c r="I167" i="158"/>
  <c r="AC167"/>
  <c r="AC102"/>
  <c r="H304" i="163"/>
  <c r="H303" s="1"/>
  <c r="I309"/>
  <c r="I307"/>
  <c r="Z952" i="162"/>
  <c r="Y952" s="1"/>
  <c r="F952" s="1"/>
  <c r="Z951"/>
  <c r="Z950" s="1"/>
  <c r="G950"/>
  <c r="F951" l="1"/>
  <c r="AA952"/>
  <c r="H437"/>
  <c r="I39" i="159"/>
  <c r="AC39"/>
  <c r="H819" i="162"/>
  <c r="H951" l="1"/>
  <c r="AA951"/>
  <c r="I305" i="163"/>
  <c r="F950" i="162"/>
  <c r="H950" l="1"/>
  <c r="AA950"/>
  <c r="I304" i="163"/>
  <c r="I303"/>
  <c r="AB950" i="162"/>
  <c r="G721" l="1"/>
  <c r="G720" s="1"/>
  <c r="Z727"/>
  <c r="Z723"/>
  <c r="Z731"/>
  <c r="Y731" s="1"/>
  <c r="F731" s="1"/>
  <c r="Z730"/>
  <c r="Y730" s="1"/>
  <c r="F730" s="1"/>
  <c r="Z729"/>
  <c r="Y729" s="1"/>
  <c r="F729" s="1"/>
  <c r="Z728"/>
  <c r="Y728" s="1"/>
  <c r="Z725"/>
  <c r="Y725" s="1"/>
  <c r="Z724"/>
  <c r="Y724" s="1"/>
  <c r="Z726" l="1"/>
  <c r="Y726" s="1"/>
  <c r="F726" s="1"/>
  <c r="Z722"/>
  <c r="Y723"/>
  <c r="Y722" s="1"/>
  <c r="F722" s="1"/>
  <c r="Y727"/>
  <c r="F721" l="1"/>
  <c r="F720" s="1"/>
  <c r="H720" s="1"/>
  <c r="H721" l="1"/>
  <c r="E63" i="157"/>
  <c r="G63" s="1"/>
  <c r="E51"/>
  <c r="G51" s="1"/>
  <c r="F41"/>
  <c r="E46"/>
  <c r="G46" s="1"/>
  <c r="E45"/>
  <c r="G45" s="1"/>
  <c r="E47"/>
  <c r="G47" s="1"/>
  <c r="E33"/>
  <c r="G33" s="1"/>
  <c r="G709" i="162"/>
  <c r="G699"/>
  <c r="G286" i="136"/>
  <c r="F155" i="144"/>
  <c r="AA155" s="1"/>
  <c r="F154"/>
  <c r="AA154" s="1"/>
  <c r="G302" i="135"/>
  <c r="G317" i="134"/>
  <c r="G515" i="106"/>
  <c r="G523"/>
  <c r="F523"/>
  <c r="G494"/>
  <c r="E32" i="121"/>
  <c r="E21"/>
  <c r="I21" s="1"/>
  <c r="I59" i="153"/>
  <c r="H59"/>
  <c r="G59"/>
  <c r="I56"/>
  <c r="H56"/>
  <c r="G56"/>
  <c r="I53"/>
  <c r="H53"/>
  <c r="I52"/>
  <c r="H52"/>
  <c r="I50"/>
  <c r="H50"/>
  <c r="G50"/>
  <c r="J48"/>
  <c r="I48"/>
  <c r="H48"/>
  <c r="G48"/>
  <c r="I46"/>
  <c r="H46"/>
  <c r="G46"/>
  <c r="I42"/>
  <c r="H42"/>
  <c r="G42"/>
  <c r="G41" s="1"/>
  <c r="I39"/>
  <c r="I38" s="1"/>
  <c r="H39"/>
  <c r="G39"/>
  <c r="G38" s="1"/>
  <c r="H38"/>
  <c r="I37"/>
  <c r="I35" s="1"/>
  <c r="H35"/>
  <c r="G35"/>
  <c r="I32"/>
  <c r="H32"/>
  <c r="G32"/>
  <c r="I26"/>
  <c r="H26"/>
  <c r="G26"/>
  <c r="I23"/>
  <c r="H23"/>
  <c r="G23"/>
  <c r="I14"/>
  <c r="H14"/>
  <c r="G14"/>
  <c r="G13" s="1"/>
  <c r="I11"/>
  <c r="H11"/>
  <c r="G11"/>
  <c r="I9"/>
  <c r="H9"/>
  <c r="G9"/>
  <c r="I7"/>
  <c r="H7"/>
  <c r="H6" s="1"/>
  <c r="G7"/>
  <c r="G6" s="1"/>
  <c r="I6" l="1"/>
  <c r="H13"/>
  <c r="I41"/>
  <c r="H5"/>
  <c r="H41"/>
  <c r="G283" i="136"/>
  <c r="AC53" i="152"/>
  <c r="G5" i="153"/>
  <c r="I13"/>
  <c r="I5" l="1"/>
  <c r="AC46" i="159"/>
  <c r="I43"/>
  <c r="H42"/>
  <c r="I42"/>
  <c r="AC38"/>
  <c r="H37"/>
  <c r="H36" s="1"/>
  <c r="G37"/>
  <c r="I37" s="1"/>
  <c r="G35"/>
  <c r="H34"/>
  <c r="H33" s="1"/>
  <c r="G34"/>
  <c r="AC34" s="1"/>
  <c r="AC31"/>
  <c r="H30"/>
  <c r="H29" s="1"/>
  <c r="H28" s="1"/>
  <c r="D30" i="165" s="1"/>
  <c r="H30" s="1"/>
  <c r="G30" i="159"/>
  <c r="G29" s="1"/>
  <c r="AC27"/>
  <c r="I26"/>
  <c r="H26"/>
  <c r="G26"/>
  <c r="AC25"/>
  <c r="I25"/>
  <c r="AC24"/>
  <c r="AC23"/>
  <c r="AC22"/>
  <c r="H21"/>
  <c r="G21"/>
  <c r="I21" s="1"/>
  <c r="AC20"/>
  <c r="AC17"/>
  <c r="AC16"/>
  <c r="AC14"/>
  <c r="AC13"/>
  <c r="AC12"/>
  <c r="H11"/>
  <c r="G11"/>
  <c r="AC10"/>
  <c r="J10"/>
  <c r="AC9"/>
  <c r="J9"/>
  <c r="G8"/>
  <c r="AC8" s="1"/>
  <c r="AC26" l="1"/>
  <c r="G7"/>
  <c r="H32"/>
  <c r="D31" i="165" s="1"/>
  <c r="H31" s="1"/>
  <c r="H7" i="159"/>
  <c r="H6" s="1"/>
  <c r="D29" i="165" s="1"/>
  <c r="H29" s="1"/>
  <c r="I15" i="159"/>
  <c r="AC11"/>
  <c r="I29"/>
  <c r="AC42"/>
  <c r="AC43"/>
  <c r="AC15"/>
  <c r="AC21"/>
  <c r="I8"/>
  <c r="G28"/>
  <c r="I28" s="1"/>
  <c r="I30"/>
  <c r="G33"/>
  <c r="I33" s="1"/>
  <c r="G36"/>
  <c r="I36" s="1"/>
  <c r="I11"/>
  <c r="AC29"/>
  <c r="AC30"/>
  <c r="I34"/>
  <c r="AC35"/>
  <c r="AC37"/>
  <c r="AC36" l="1"/>
  <c r="H5"/>
  <c r="AC33"/>
  <c r="G32"/>
  <c r="I32" s="1"/>
  <c r="AC28"/>
  <c r="G6"/>
  <c r="I7"/>
  <c r="AC7"/>
  <c r="G5" l="1"/>
  <c r="I6"/>
  <c r="I5" s="1"/>
  <c r="AC6"/>
  <c r="Y156" i="134" l="1"/>
  <c r="G210" i="136"/>
  <c r="G208"/>
  <c r="G403" i="144"/>
  <c r="G334"/>
  <c r="G282"/>
  <c r="G281" s="1"/>
  <c r="G237"/>
  <c r="G111"/>
  <c r="G88" s="1"/>
  <c r="G8"/>
  <c r="G307" i="135"/>
  <c r="G289"/>
  <c r="G276"/>
  <c r="Y283" i="134"/>
  <c r="F283" s="1"/>
  <c r="Y281"/>
  <c r="Y282"/>
  <c r="Y280"/>
  <c r="Y278"/>
  <c r="F278" s="1"/>
  <c r="Y277"/>
  <c r="Y276"/>
  <c r="Y207"/>
  <c r="Y315"/>
  <c r="Y274"/>
  <c r="F274" s="1"/>
  <c r="AC138" i="125"/>
  <c r="AC81" i="152"/>
  <c r="F208" i="136"/>
  <c r="F413" i="144"/>
  <c r="F412"/>
  <c r="F411"/>
  <c r="F410"/>
  <c r="F405"/>
  <c r="F404" l="1"/>
  <c r="AA405"/>
  <c r="H405"/>
  <c r="H404"/>
  <c r="AA413"/>
  <c r="H413"/>
  <c r="H412"/>
  <c r="AA411"/>
  <c r="H411"/>
  <c r="AA410"/>
  <c r="H410"/>
  <c r="G202" i="136"/>
  <c r="G125"/>
  <c r="Z404" i="144"/>
  <c r="Z403" s="1"/>
  <c r="Y275" i="134"/>
  <c r="F275" s="1"/>
  <c r="F7" i="152"/>
  <c r="AB8"/>
  <c r="G221" i="136"/>
  <c r="Y279" i="134"/>
  <c r="F279" s="1"/>
  <c r="AB7" i="152" l="1"/>
  <c r="F403" i="144"/>
  <c r="AA403" s="1"/>
  <c r="AA404"/>
  <c r="H403" l="1"/>
  <c r="Z125" i="135"/>
  <c r="Y125" s="1"/>
  <c r="F125" s="1"/>
  <c r="AA125" s="1"/>
  <c r="Z227" i="154"/>
  <c r="Y227" s="1"/>
  <c r="Z226"/>
  <c r="Y226" s="1"/>
  <c r="Z225"/>
  <c r="Y225" s="1"/>
  <c r="Z224"/>
  <c r="Y224" s="1"/>
  <c r="Z223"/>
  <c r="Y223" s="1"/>
  <c r="Z222"/>
  <c r="Y222" s="1"/>
  <c r="Z221"/>
  <c r="Y221" s="1"/>
  <c r="Z219"/>
  <c r="Y219" s="1"/>
  <c r="Y218"/>
  <c r="Y217"/>
  <c r="Y220" l="1"/>
  <c r="Z662" i="106" l="1"/>
  <c r="Y662" s="1"/>
  <c r="Z661"/>
  <c r="Y661" s="1"/>
  <c r="Z660"/>
  <c r="Y660" s="1"/>
  <c r="Z659"/>
  <c r="Y659" s="1"/>
  <c r="Z658"/>
  <c r="Y658" s="1"/>
  <c r="Z657" l="1"/>
  <c r="Y657"/>
  <c r="Z215" i="154"/>
  <c r="Y215" s="1"/>
  <c r="Z214"/>
  <c r="Y214" s="1"/>
  <c r="Z213"/>
  <c r="Y213" s="1"/>
  <c r="Z212"/>
  <c r="Y212" s="1"/>
  <c r="Z211"/>
  <c r="Y211"/>
  <c r="Y219" i="137" l="1"/>
  <c r="Z893" i="106" l="1"/>
  <c r="Y893" s="1"/>
  <c r="F893" s="1"/>
  <c r="Z889"/>
  <c r="Y889" s="1"/>
  <c r="Z888"/>
  <c r="Y888" s="1"/>
  <c r="Z886"/>
  <c r="Y886" s="1"/>
  <c r="F886" s="1"/>
  <c r="Z885"/>
  <c r="Y885" s="1"/>
  <c r="F885" s="1"/>
  <c r="Z884"/>
  <c r="Y884" s="1"/>
  <c r="F884" s="1"/>
  <c r="Z883"/>
  <c r="Y883" s="1"/>
  <c r="F883" s="1"/>
  <c r="Z882"/>
  <c r="Y882" s="1"/>
  <c r="Z881"/>
  <c r="Z879"/>
  <c r="Y879" s="1"/>
  <c r="F879" s="1"/>
  <c r="Z878"/>
  <c r="Y878" s="1"/>
  <c r="F878" s="1"/>
  <c r="Z877"/>
  <c r="Y877" s="1"/>
  <c r="Z876"/>
  <c r="Y876" s="1"/>
  <c r="G872"/>
  <c r="Y871"/>
  <c r="F871" s="1"/>
  <c r="Z870"/>
  <c r="H870"/>
  <c r="Y868"/>
  <c r="Z868" s="1"/>
  <c r="Y867"/>
  <c r="Z867" s="1"/>
  <c r="Y866"/>
  <c r="F866" s="1"/>
  <c r="Y865"/>
  <c r="Z865" s="1"/>
  <c r="Y864"/>
  <c r="Z864" s="1"/>
  <c r="Y863"/>
  <c r="Y861"/>
  <c r="Z861" s="1"/>
  <c r="Y860"/>
  <c r="Z860" s="1"/>
  <c r="Y859"/>
  <c r="Z859" s="1"/>
  <c r="Y857"/>
  <c r="Z857" s="1"/>
  <c r="Y856"/>
  <c r="F854"/>
  <c r="H854" s="1"/>
  <c r="Y853"/>
  <c r="F853" s="1"/>
  <c r="Y851"/>
  <c r="Z851" s="1"/>
  <c r="Y850"/>
  <c r="Z850" s="1"/>
  <c r="Y849"/>
  <c r="Z849" s="1"/>
  <c r="Y848"/>
  <c r="Z848" s="1"/>
  <c r="Y847"/>
  <c r="Z847" s="1"/>
  <c r="Z846"/>
  <c r="Y845"/>
  <c r="Z845" s="1"/>
  <c r="Y841"/>
  <c r="Y840" s="1"/>
  <c r="Z840" s="1"/>
  <c r="Y839"/>
  <c r="Y838" s="1"/>
  <c r="Z838" s="1"/>
  <c r="Y837"/>
  <c r="Y836" s="1"/>
  <c r="G834"/>
  <c r="Z831"/>
  <c r="Y831" s="1"/>
  <c r="Z830"/>
  <c r="Y830" s="1"/>
  <c r="Z829"/>
  <c r="Y829" s="1"/>
  <c r="Z828"/>
  <c r="Y828" s="1"/>
  <c r="G825"/>
  <c r="Z825"/>
  <c r="Z824"/>
  <c r="Y824" s="1"/>
  <c r="F824" s="1"/>
  <c r="Z823"/>
  <c r="Y823" s="1"/>
  <c r="Z822"/>
  <c r="Y822" s="1"/>
  <c r="Z821"/>
  <c r="Z819"/>
  <c r="Y819" s="1"/>
  <c r="F819" s="1"/>
  <c r="Z816"/>
  <c r="Y816" s="1"/>
  <c r="F816" s="1"/>
  <c r="Z815"/>
  <c r="Y815" s="1"/>
  <c r="F815" s="1"/>
  <c r="Z814"/>
  <c r="Y814" s="1"/>
  <c r="F814" s="1"/>
  <c r="Z812"/>
  <c r="Y812" s="1"/>
  <c r="Y808"/>
  <c r="Z807"/>
  <c r="Y807" s="1"/>
  <c r="Y806"/>
  <c r="F806" s="1"/>
  <c r="Z805"/>
  <c r="Y805" s="1"/>
  <c r="F805" s="1"/>
  <c r="Z804"/>
  <c r="Y804" s="1"/>
  <c r="Z803"/>
  <c r="Y803" s="1"/>
  <c r="Z802"/>
  <c r="Y802" s="1"/>
  <c r="Y801"/>
  <c r="Z799"/>
  <c r="Y799" s="1"/>
  <c r="Z798"/>
  <c r="Y798" s="1"/>
  <c r="Y797"/>
  <c r="Z796"/>
  <c r="Y796" s="1"/>
  <c r="Z795"/>
  <c r="Y795" s="1"/>
  <c r="Y793"/>
  <c r="Z792"/>
  <c r="Y792" s="1"/>
  <c r="Z791"/>
  <c r="Y791" s="1"/>
  <c r="Z789"/>
  <c r="Y789" s="1"/>
  <c r="F789" s="1"/>
  <c r="Z787"/>
  <c r="Y787" s="1"/>
  <c r="Z786"/>
  <c r="Y786" s="1"/>
  <c r="Z785"/>
  <c r="Y785" s="1"/>
  <c r="Z782"/>
  <c r="Y782" s="1"/>
  <c r="F782" s="1"/>
  <c r="Z781"/>
  <c r="Y781" s="1"/>
  <c r="Z780"/>
  <c r="Y780" s="1"/>
  <c r="G712"/>
  <c r="S710"/>
  <c r="Z710" s="1"/>
  <c r="Z708"/>
  <c r="Y708" s="1"/>
  <c r="Z707"/>
  <c r="Y707" s="1"/>
  <c r="Z705"/>
  <c r="Y705" s="1"/>
  <c r="S704"/>
  <c r="Z704" s="1"/>
  <c r="Z703"/>
  <c r="Y703" s="1"/>
  <c r="Z701"/>
  <c r="Y701" s="1"/>
  <c r="F701" s="1"/>
  <c r="S696"/>
  <c r="Z696" s="1"/>
  <c r="Y696" s="1"/>
  <c r="S695"/>
  <c r="Z695" s="1"/>
  <c r="S694"/>
  <c r="Y694" s="1"/>
  <c r="Z692"/>
  <c r="Y692" s="1"/>
  <c r="Z691"/>
  <c r="Y691" s="1"/>
  <c r="Z690"/>
  <c r="Z688"/>
  <c r="Y688" s="1"/>
  <c r="Z687"/>
  <c r="Y687" s="1"/>
  <c r="S685"/>
  <c r="Z685" s="1"/>
  <c r="Y685" s="1"/>
  <c r="S684"/>
  <c r="Z684" s="1"/>
  <c r="Z683"/>
  <c r="Y683" s="1"/>
  <c r="Z682"/>
  <c r="Y682" s="1"/>
  <c r="Z681"/>
  <c r="Y681" s="1"/>
  <c r="Z680"/>
  <c r="Y680" s="1"/>
  <c r="Z679"/>
  <c r="Y679" s="1"/>
  <c r="Z678"/>
  <c r="Y678" s="1"/>
  <c r="Z677"/>
  <c r="Y677" s="1"/>
  <c r="Z676"/>
  <c r="Y676" s="1"/>
  <c r="Z675"/>
  <c r="Y675" s="1"/>
  <c r="Z673"/>
  <c r="Y673" s="1"/>
  <c r="Z672"/>
  <c r="Y672" s="1"/>
  <c r="Z671"/>
  <c r="Y671" s="1"/>
  <c r="Z669"/>
  <c r="Y669" s="1"/>
  <c r="Z668"/>
  <c r="Y668" s="1"/>
  <c r="F657"/>
  <c r="Z652"/>
  <c r="Y652" s="1"/>
  <c r="F652" s="1"/>
  <c r="Z651"/>
  <c r="Y651" s="1"/>
  <c r="Z650"/>
  <c r="Z648"/>
  <c r="Y648" s="1"/>
  <c r="F648" s="1"/>
  <c r="Z647"/>
  <c r="Y647" s="1"/>
  <c r="F647" s="1"/>
  <c r="Z645"/>
  <c r="Y645" s="1"/>
  <c r="Z641"/>
  <c r="Y641" s="1"/>
  <c r="Z639"/>
  <c r="Y639" s="1"/>
  <c r="Z637"/>
  <c r="Z636" s="1"/>
  <c r="Z608"/>
  <c r="Y608" s="1"/>
  <c r="F608" s="1"/>
  <c r="Z607"/>
  <c r="Y607" s="1"/>
  <c r="F607" s="1"/>
  <c r="Z606"/>
  <c r="Y606" s="1"/>
  <c r="F606" s="1"/>
  <c r="Z605"/>
  <c r="Y605" s="1"/>
  <c r="F605" s="1"/>
  <c r="Z604"/>
  <c r="Y604" s="1"/>
  <c r="F604" s="1"/>
  <c r="Z603"/>
  <c r="Y603" s="1"/>
  <c r="F603" s="1"/>
  <c r="Z602"/>
  <c r="Y602" s="1"/>
  <c r="F602" s="1"/>
  <c r="Z591"/>
  <c r="Y591" s="1"/>
  <c r="F591" s="1"/>
  <c r="Z590"/>
  <c r="Y590" s="1"/>
  <c r="F590" s="1"/>
  <c r="Z589"/>
  <c r="Y589" s="1"/>
  <c r="F589" s="1"/>
  <c r="Z588"/>
  <c r="Y588" s="1"/>
  <c r="Z587"/>
  <c r="Y587" s="1"/>
  <c r="Z585"/>
  <c r="Y585" s="1"/>
  <c r="F585" s="1"/>
  <c r="Z584"/>
  <c r="Y584" s="1"/>
  <c r="F584" s="1"/>
  <c r="Z583"/>
  <c r="Y583" s="1"/>
  <c r="F583" s="1"/>
  <c r="Z582"/>
  <c r="Y582" s="1"/>
  <c r="Z581"/>
  <c r="Y581" s="1"/>
  <c r="Z580"/>
  <c r="Y580" s="1"/>
  <c r="Z579"/>
  <c r="Y579" s="1"/>
  <c r="Z575"/>
  <c r="Y575" s="1"/>
  <c r="F575" s="1"/>
  <c r="Z574"/>
  <c r="Y574" s="1"/>
  <c r="F574" s="1"/>
  <c r="Z573"/>
  <c r="Y573" s="1"/>
  <c r="F573" s="1"/>
  <c r="Z572"/>
  <c r="Y572" s="1"/>
  <c r="Z571"/>
  <c r="Y571" s="1"/>
  <c r="Z570"/>
  <c r="Y570" s="1"/>
  <c r="Z568"/>
  <c r="Y568" s="1"/>
  <c r="F568" s="1"/>
  <c r="Z567"/>
  <c r="Y567" s="1"/>
  <c r="F567" s="1"/>
  <c r="Z566"/>
  <c r="Y566" s="1"/>
  <c r="F566" s="1"/>
  <c r="Z564"/>
  <c r="Y564" s="1"/>
  <c r="F564" s="1"/>
  <c r="Z563"/>
  <c r="Y563" s="1"/>
  <c r="Z562"/>
  <c r="Y562" s="1"/>
  <c r="Z561"/>
  <c r="Y561" s="1"/>
  <c r="Z560"/>
  <c r="Y560" s="1"/>
  <c r="Z559"/>
  <c r="Z557"/>
  <c r="Y557" s="1"/>
  <c r="F557" s="1"/>
  <c r="Z556"/>
  <c r="Y556" s="1"/>
  <c r="Z555"/>
  <c r="Z553"/>
  <c r="Y553" s="1"/>
  <c r="Z552"/>
  <c r="Y552" s="1"/>
  <c r="Z551"/>
  <c r="Y551" s="1"/>
  <c r="Z550"/>
  <c r="Y550" s="1"/>
  <c r="Z549"/>
  <c r="Y549" s="1"/>
  <c r="Z548"/>
  <c r="Y548" s="1"/>
  <c r="Z546"/>
  <c r="Y546" s="1"/>
  <c r="F546" s="1"/>
  <c r="Z545"/>
  <c r="Y545" s="1"/>
  <c r="Z544"/>
  <c r="Y544" s="1"/>
  <c r="Z542"/>
  <c r="Y542" s="1"/>
  <c r="F542" s="1"/>
  <c r="Z541"/>
  <c r="Y541" s="1"/>
  <c r="F541" s="1"/>
  <c r="Z538"/>
  <c r="Y538" s="1"/>
  <c r="Z537"/>
  <c r="Y537" s="1"/>
  <c r="Z536"/>
  <c r="Y536" s="1"/>
  <c r="Z535"/>
  <c r="Y535" s="1"/>
  <c r="Z534"/>
  <c r="Y534" s="1"/>
  <c r="Z533"/>
  <c r="Y533" s="1"/>
  <c r="Z532"/>
  <c r="Y532" s="1"/>
  <c r="Z531"/>
  <c r="Z529"/>
  <c r="Y529" s="1"/>
  <c r="Z528"/>
  <c r="Y528" s="1"/>
  <c r="Z527"/>
  <c r="Y527" s="1"/>
  <c r="Z526"/>
  <c r="Y526" s="1"/>
  <c r="Z525"/>
  <c r="Y525" s="1"/>
  <c r="Z524"/>
  <c r="H523"/>
  <c r="Z522"/>
  <c r="Y522" s="1"/>
  <c r="F522" s="1"/>
  <c r="Z521"/>
  <c r="Y521" s="1"/>
  <c r="F521" s="1"/>
  <c r="Z520"/>
  <c r="Y520" s="1"/>
  <c r="F520" s="1"/>
  <c r="Z519"/>
  <c r="Y519" s="1"/>
  <c r="F519" s="1"/>
  <c r="Z518"/>
  <c r="Y518" s="1"/>
  <c r="F518" s="1"/>
  <c r="Z517"/>
  <c r="Z516"/>
  <c r="Y516" s="1"/>
  <c r="F516" s="1"/>
  <c r="Z514"/>
  <c r="Y514" s="1"/>
  <c r="F514" s="1"/>
  <c r="Z513"/>
  <c r="Y513" s="1"/>
  <c r="F513" s="1"/>
  <c r="Z512"/>
  <c r="Y512" s="1"/>
  <c r="F512" s="1"/>
  <c r="Z511"/>
  <c r="Y511" s="1"/>
  <c r="Z510"/>
  <c r="Y510" s="1"/>
  <c r="Z508"/>
  <c r="Y508" s="1"/>
  <c r="F508" s="1"/>
  <c r="Z507"/>
  <c r="Y507" s="1"/>
  <c r="F507" s="1"/>
  <c r="Z506"/>
  <c r="Y506" s="1"/>
  <c r="F506" s="1"/>
  <c r="Z505"/>
  <c r="G505"/>
  <c r="Z504"/>
  <c r="Y504" s="1"/>
  <c r="Z503"/>
  <c r="Y503" s="1"/>
  <c r="Z502"/>
  <c r="Z500"/>
  <c r="Y500" s="1"/>
  <c r="Z499"/>
  <c r="Z497"/>
  <c r="Y497" s="1"/>
  <c r="F497" s="1"/>
  <c r="Z496"/>
  <c r="Y496" s="1"/>
  <c r="F496" s="1"/>
  <c r="Z495"/>
  <c r="Y495" s="1"/>
  <c r="Z493"/>
  <c r="Y493" s="1"/>
  <c r="F493" s="1"/>
  <c r="Z492"/>
  <c r="Y492" s="1"/>
  <c r="F492" s="1"/>
  <c r="Z491"/>
  <c r="Y491" s="1"/>
  <c r="Z490"/>
  <c r="Z488"/>
  <c r="Y488" s="1"/>
  <c r="F488" s="1"/>
  <c r="Z487"/>
  <c r="Z485"/>
  <c r="Y485" s="1"/>
  <c r="F485" s="1"/>
  <c r="Z484"/>
  <c r="Y484" s="1"/>
  <c r="F484" s="1"/>
  <c r="Z483"/>
  <c r="Y483" s="1"/>
  <c r="Z482"/>
  <c r="Y482" s="1"/>
  <c r="Z480"/>
  <c r="Y480" s="1"/>
  <c r="F480" s="1"/>
  <c r="Z479"/>
  <c r="Y479" s="1"/>
  <c r="F479" s="1"/>
  <c r="Z478"/>
  <c r="Y478" s="1"/>
  <c r="F478" s="1"/>
  <c r="Z476"/>
  <c r="Y476" s="1"/>
  <c r="F476" s="1"/>
  <c r="Z475"/>
  <c r="Y475" s="1"/>
  <c r="F475" s="1"/>
  <c r="Z474"/>
  <c r="Y474" s="1"/>
  <c r="Z473"/>
  <c r="Y473" s="1"/>
  <c r="Z471"/>
  <c r="Y471" s="1"/>
  <c r="F471" s="1"/>
  <c r="Z470"/>
  <c r="Y470" s="1"/>
  <c r="F470" s="1"/>
  <c r="Z469"/>
  <c r="Y469" s="1"/>
  <c r="F469" s="1"/>
  <c r="Z468"/>
  <c r="Y468" s="1"/>
  <c r="Z467"/>
  <c r="Y467" s="1"/>
  <c r="Z466"/>
  <c r="Y466" s="1"/>
  <c r="Z465"/>
  <c r="Y465" s="1"/>
  <c r="Z461"/>
  <c r="Y461" s="1"/>
  <c r="F461" s="1"/>
  <c r="Z459"/>
  <c r="Y459" s="1"/>
  <c r="F459" s="1"/>
  <c r="Z458"/>
  <c r="Y458" s="1"/>
  <c r="Z457"/>
  <c r="Y457" s="1"/>
  <c r="Z455"/>
  <c r="Y455" s="1"/>
  <c r="F455" s="1"/>
  <c r="Z454"/>
  <c r="Y454" s="1"/>
  <c r="Z453"/>
  <c r="Y453" s="1"/>
  <c r="Z452"/>
  <c r="Y452" s="1"/>
  <c r="Z451"/>
  <c r="Z449"/>
  <c r="Y449" s="1"/>
  <c r="F449" s="1"/>
  <c r="Z448"/>
  <c r="Y448" s="1"/>
  <c r="Z447"/>
  <c r="Z445"/>
  <c r="Y445" s="1"/>
  <c r="Z444"/>
  <c r="Z442"/>
  <c r="Y442" s="1"/>
  <c r="Z441"/>
  <c r="Y441" s="1"/>
  <c r="Z439"/>
  <c r="Y439" s="1"/>
  <c r="F439" s="1"/>
  <c r="Z438"/>
  <c r="Y438" s="1"/>
  <c r="Z437"/>
  <c r="Y437" s="1"/>
  <c r="Z436"/>
  <c r="Z434"/>
  <c r="Y434" s="1"/>
  <c r="F434" s="1"/>
  <c r="Z433"/>
  <c r="Y433" s="1"/>
  <c r="F433" s="1"/>
  <c r="Z432"/>
  <c r="Y432" s="1"/>
  <c r="Z431"/>
  <c r="Y431" s="1"/>
  <c r="G428"/>
  <c r="G405"/>
  <c r="G400"/>
  <c r="Y399"/>
  <c r="F399" s="1"/>
  <c r="Y398"/>
  <c r="F398" s="1"/>
  <c r="Y397"/>
  <c r="F397" s="1"/>
  <c r="Y396"/>
  <c r="F396" s="1"/>
  <c r="Y395"/>
  <c r="F395" s="1"/>
  <c r="Y394"/>
  <c r="F394" s="1"/>
  <c r="G393"/>
  <c r="Y392"/>
  <c r="F392" s="1"/>
  <c r="Y391"/>
  <c r="F391" s="1"/>
  <c r="Y390"/>
  <c r="F390" s="1"/>
  <c r="G389"/>
  <c r="Y377"/>
  <c r="F377" s="1"/>
  <c r="Y376"/>
  <c r="F376" s="1"/>
  <c r="Y375"/>
  <c r="F375" s="1"/>
  <c r="Y373"/>
  <c r="F373" s="1"/>
  <c r="Y372"/>
  <c r="Y371"/>
  <c r="Y370"/>
  <c r="Y368"/>
  <c r="Y367"/>
  <c r="Y365"/>
  <c r="F365" s="1"/>
  <c r="Y364"/>
  <c r="F364" s="1"/>
  <c r="Y363"/>
  <c r="F363" s="1"/>
  <c r="Y362"/>
  <c r="Y361"/>
  <c r="Y359"/>
  <c r="F359" s="1"/>
  <c r="Y358"/>
  <c r="F358" s="1"/>
  <c r="Y356"/>
  <c r="F356" s="1"/>
  <c r="Y355"/>
  <c r="Y354"/>
  <c r="Y352"/>
  <c r="F352" s="1"/>
  <c r="Y351"/>
  <c r="Y350"/>
  <c r="Y348"/>
  <c r="F348" s="1"/>
  <c r="Y347"/>
  <c r="F347" s="1"/>
  <c r="Y346"/>
  <c r="F346" s="1"/>
  <c r="Y345"/>
  <c r="F345" s="1"/>
  <c r="Y344"/>
  <c r="F344" s="1"/>
  <c r="Y343"/>
  <c r="F343" s="1"/>
  <c r="G275"/>
  <c r="H268"/>
  <c r="Z232"/>
  <c r="Y232" s="1"/>
  <c r="F232" s="1"/>
  <c r="Z231"/>
  <c r="Y231" s="1"/>
  <c r="F231" s="1"/>
  <c r="Z230"/>
  <c r="Y230" s="1"/>
  <c r="Z229"/>
  <c r="Y229" s="1"/>
  <c r="Z228"/>
  <c r="Y228" s="1"/>
  <c r="Z227"/>
  <c r="Y227" s="1"/>
  <c r="Z225"/>
  <c r="Y225" s="1"/>
  <c r="F225" s="1"/>
  <c r="Z224"/>
  <c r="Y224" s="1"/>
  <c r="Z223"/>
  <c r="Y223" s="1"/>
  <c r="Z222"/>
  <c r="Z220"/>
  <c r="Y220" s="1"/>
  <c r="F220" s="1"/>
  <c r="Z219"/>
  <c r="Y219" s="1"/>
  <c r="F219" s="1"/>
  <c r="Z218"/>
  <c r="Y218" s="1"/>
  <c r="Z217"/>
  <c r="G214"/>
  <c r="G174"/>
  <c r="Z173"/>
  <c r="Y173" s="1"/>
  <c r="F173" s="1"/>
  <c r="Z172"/>
  <c r="Y172" s="1"/>
  <c r="F172" s="1"/>
  <c r="Z171"/>
  <c r="Y171" s="1"/>
  <c r="F171" s="1"/>
  <c r="Z170"/>
  <c r="Y170" s="1"/>
  <c r="F170" s="1"/>
  <c r="Z169"/>
  <c r="Y169" s="1"/>
  <c r="F169" s="1"/>
  <c r="Z168"/>
  <c r="Y168" s="1"/>
  <c r="F168" s="1"/>
  <c r="Z166"/>
  <c r="Y166" s="1"/>
  <c r="Z165"/>
  <c r="Z163"/>
  <c r="Y163" s="1"/>
  <c r="F163" s="1"/>
  <c r="Z162"/>
  <c r="Y162" s="1"/>
  <c r="F162" s="1"/>
  <c r="Z161"/>
  <c r="Y161" s="1"/>
  <c r="F161" s="1"/>
  <c r="Z160"/>
  <c r="Y160" s="1"/>
  <c r="Z159"/>
  <c r="Y159" s="1"/>
  <c r="Z158"/>
  <c r="Y158" s="1"/>
  <c r="Z157"/>
  <c r="Z155"/>
  <c r="Y155" s="1"/>
  <c r="F155" s="1"/>
  <c r="Z154"/>
  <c r="Y154" s="1"/>
  <c r="F154" s="1"/>
  <c r="F137"/>
  <c r="Z134"/>
  <c r="Y134" s="1"/>
  <c r="F134" s="1"/>
  <c r="Z133"/>
  <c r="Y133" s="1"/>
  <c r="F133" s="1"/>
  <c r="Z132"/>
  <c r="Y132" s="1"/>
  <c r="F132" s="1"/>
  <c r="Z131"/>
  <c r="Y131" s="1"/>
  <c r="F131" s="1"/>
  <c r="Z130"/>
  <c r="Z129"/>
  <c r="Y129" s="1"/>
  <c r="F129" s="1"/>
  <c r="Z120"/>
  <c r="Y120" s="1"/>
  <c r="F120" s="1"/>
  <c r="Z119"/>
  <c r="Y119" s="1"/>
  <c r="F119" s="1"/>
  <c r="Z118"/>
  <c r="Y118" s="1"/>
  <c r="F118" s="1"/>
  <c r="Z117"/>
  <c r="Y117" s="1"/>
  <c r="F117" s="1"/>
  <c r="Z116"/>
  <c r="Y116" s="1"/>
  <c r="F116" s="1"/>
  <c r="Z115"/>
  <c r="Y115" s="1"/>
  <c r="F115" s="1"/>
  <c r="Z114"/>
  <c r="Y114" s="1"/>
  <c r="F114" s="1"/>
  <c r="G113"/>
  <c r="Z110"/>
  <c r="Y110" s="1"/>
  <c r="F110" s="1"/>
  <c r="F108"/>
  <c r="F107"/>
  <c r="F103"/>
  <c r="F102"/>
  <c r="Z100"/>
  <c r="Y100" s="1"/>
  <c r="F100" s="1"/>
  <c r="F96"/>
  <c r="Y95"/>
  <c r="Z94"/>
  <c r="Y94" s="1"/>
  <c r="Z92"/>
  <c r="Y92" s="1"/>
  <c r="F92" s="1"/>
  <c r="Z91"/>
  <c r="Y91" s="1"/>
  <c r="F91" s="1"/>
  <c r="Z89"/>
  <c r="Y89" s="1"/>
  <c r="F89" s="1"/>
  <c r="Z88"/>
  <c r="Y88" s="1"/>
  <c r="F88" s="1"/>
  <c r="Z87"/>
  <c r="Y87" s="1"/>
  <c r="F87" s="1"/>
  <c r="Z85"/>
  <c r="Y85" s="1"/>
  <c r="Z84"/>
  <c r="Y84" s="1"/>
  <c r="Z83"/>
  <c r="Y83" s="1"/>
  <c r="Z82"/>
  <c r="Y82" s="1"/>
  <c r="Z81"/>
  <c r="Z79"/>
  <c r="Y79" s="1"/>
  <c r="F79" s="1"/>
  <c r="Z78"/>
  <c r="Y78" s="1"/>
  <c r="F78" s="1"/>
  <c r="Z77"/>
  <c r="Y77" s="1"/>
  <c r="Z76"/>
  <c r="Y76" s="1"/>
  <c r="Z74"/>
  <c r="Y74" s="1"/>
  <c r="F74" s="1"/>
  <c r="Z73"/>
  <c r="Y73" s="1"/>
  <c r="F73" s="1"/>
  <c r="Z72"/>
  <c r="Y72" s="1"/>
  <c r="F72" s="1"/>
  <c r="Z71"/>
  <c r="Y71" s="1"/>
  <c r="F71" s="1"/>
  <c r="Z70"/>
  <c r="Y70" s="1"/>
  <c r="S69"/>
  <c r="Z69" s="1"/>
  <c r="Y69" s="1"/>
  <c r="Z68"/>
  <c r="Y68" s="1"/>
  <c r="Z67"/>
  <c r="Y67" s="1"/>
  <c r="Z66"/>
  <c r="Y66" s="1"/>
  <c r="G46"/>
  <c r="Z63"/>
  <c r="Y63" s="1"/>
  <c r="F63" s="1"/>
  <c r="Z62"/>
  <c r="Y62" s="1"/>
  <c r="F62" s="1"/>
  <c r="Z61"/>
  <c r="Y61" s="1"/>
  <c r="F61" s="1"/>
  <c r="Z60"/>
  <c r="Y60" s="1"/>
  <c r="Z59"/>
  <c r="Y59" s="1"/>
  <c r="Z57"/>
  <c r="Y57" s="1"/>
  <c r="F57" s="1"/>
  <c r="Z56"/>
  <c r="Y56" s="1"/>
  <c r="F56" s="1"/>
  <c r="Z54"/>
  <c r="Y54" s="1"/>
  <c r="F54" s="1"/>
  <c r="Z53"/>
  <c r="Y53" s="1"/>
  <c r="F53" s="1"/>
  <c r="Z52"/>
  <c r="Y52" s="1"/>
  <c r="Z51"/>
  <c r="Z49"/>
  <c r="Y49" s="1"/>
  <c r="F49" s="1"/>
  <c r="Z48"/>
  <c r="Y48" s="1"/>
  <c r="F48" s="1"/>
  <c r="Z46"/>
  <c r="Z45"/>
  <c r="Y45" s="1"/>
  <c r="F45" s="1"/>
  <c r="Z44"/>
  <c r="Y44" s="1"/>
  <c r="Z43"/>
  <c r="Y43" s="1"/>
  <c r="F43" s="1"/>
  <c r="Z42"/>
  <c r="Y42" s="1"/>
  <c r="F42" s="1"/>
  <c r="Z41"/>
  <c r="Y41" s="1"/>
  <c r="F41" s="1"/>
  <c r="Z40"/>
  <c r="Y40" s="1"/>
  <c r="Z39"/>
  <c r="Y39" s="1"/>
  <c r="Z38"/>
  <c r="Y38" s="1"/>
  <c r="Z36"/>
  <c r="Y36" s="1"/>
  <c r="Z35"/>
  <c r="Y35" s="1"/>
  <c r="Z33"/>
  <c r="Y33" s="1"/>
  <c r="F33" s="1"/>
  <c r="Z32"/>
  <c r="Y32" s="1"/>
  <c r="Z31"/>
  <c r="Z29"/>
  <c r="Y29" s="1"/>
  <c r="F29" s="1"/>
  <c r="Z28"/>
  <c r="Y28" s="1"/>
  <c r="Z27"/>
  <c r="Y27" s="1"/>
  <c r="S26"/>
  <c r="Z26" s="1"/>
  <c r="Y26" s="1"/>
  <c r="Z25"/>
  <c r="Y25" s="1"/>
  <c r="Z24"/>
  <c r="Y24" s="1"/>
  <c r="Z23"/>
  <c r="Y23" s="1"/>
  <c r="Z20"/>
  <c r="Y20" s="1"/>
  <c r="F20" s="1"/>
  <c r="Y19"/>
  <c r="Y18"/>
  <c r="Z17"/>
  <c r="Y17" s="1"/>
  <c r="F17" s="1"/>
  <c r="Z16"/>
  <c r="Y16" s="1"/>
  <c r="Z15"/>
  <c r="Z13"/>
  <c r="Y13" s="1"/>
  <c r="Z12"/>
  <c r="Z10"/>
  <c r="Y10" s="1"/>
  <c r="F10" s="1"/>
  <c r="Z9"/>
  <c r="Y9" s="1"/>
  <c r="F9" s="1"/>
  <c r="Y81" l="1"/>
  <c r="Z80"/>
  <c r="Y80" s="1"/>
  <c r="F80" s="1"/>
  <c r="H96"/>
  <c r="F109"/>
  <c r="H110"/>
  <c r="F890"/>
  <c r="G833"/>
  <c r="G832" s="1"/>
  <c r="F870"/>
  <c r="H137"/>
  <c r="G462"/>
  <c r="G427" s="1"/>
  <c r="F601"/>
  <c r="G112"/>
  <c r="G274"/>
  <c r="F460"/>
  <c r="Y360"/>
  <c r="F360" s="1"/>
  <c r="Y855"/>
  <c r="F855" s="1"/>
  <c r="Z498"/>
  <c r="Y498" s="1"/>
  <c r="F498" s="1"/>
  <c r="Z501"/>
  <c r="Y501" s="1"/>
  <c r="F501" s="1"/>
  <c r="Z446"/>
  <c r="Y446" s="1"/>
  <c r="F446" s="1"/>
  <c r="Z530"/>
  <c r="Y530" s="1"/>
  <c r="Z784"/>
  <c r="Z783" s="1"/>
  <c r="Y783" s="1"/>
  <c r="F783" s="1"/>
  <c r="Z875"/>
  <c r="F405"/>
  <c r="Z14"/>
  <c r="Y14" s="1"/>
  <c r="F14" s="1"/>
  <c r="Z686"/>
  <c r="Y686" s="1"/>
  <c r="F686" s="1"/>
  <c r="Y875"/>
  <c r="F875" s="1"/>
  <c r="Z880"/>
  <c r="Z670"/>
  <c r="Z827"/>
  <c r="Y827" s="1"/>
  <c r="F827" s="1"/>
  <c r="Z887"/>
  <c r="Z460"/>
  <c r="Z428" s="1"/>
  <c r="Y366"/>
  <c r="F366" s="1"/>
  <c r="Z50"/>
  <c r="Y50" s="1"/>
  <c r="F50" s="1"/>
  <c r="Y349"/>
  <c r="F349" s="1"/>
  <c r="Z435"/>
  <c r="Y435" s="1"/>
  <c r="F435" s="1"/>
  <c r="Z450"/>
  <c r="Y450" s="1"/>
  <c r="F450" s="1"/>
  <c r="Y502"/>
  <c r="Z800"/>
  <c r="Y800" s="1"/>
  <c r="F800" s="1"/>
  <c r="Z839"/>
  <c r="F111" i="144"/>
  <c r="Z30" i="106"/>
  <c r="Y30" s="1"/>
  <c r="F30" s="1"/>
  <c r="Z34"/>
  <c r="Y34" s="1"/>
  <c r="F34" s="1"/>
  <c r="H251"/>
  <c r="Z515"/>
  <c r="G711"/>
  <c r="G6"/>
  <c r="Z58"/>
  <c r="Y58" s="1"/>
  <c r="F58" s="1"/>
  <c r="Z93"/>
  <c r="Y93" s="1"/>
  <c r="F93" s="1"/>
  <c r="Z156"/>
  <c r="Y156" s="1"/>
  <c r="F156" s="1"/>
  <c r="Z547"/>
  <c r="Y547" s="1"/>
  <c r="F547" s="1"/>
  <c r="Z649"/>
  <c r="Y649" s="1"/>
  <c r="F649" s="1"/>
  <c r="Y695"/>
  <c r="Y693" s="1"/>
  <c r="F693" s="1"/>
  <c r="S813"/>
  <c r="Z813" s="1"/>
  <c r="Y813" s="1"/>
  <c r="Y858"/>
  <c r="Z858" s="1"/>
  <c r="Y862"/>
  <c r="F862" s="1"/>
  <c r="Z164"/>
  <c r="Y164" s="1"/>
  <c r="F164" s="1"/>
  <c r="Z509"/>
  <c r="Y509" s="1"/>
  <c r="F509" s="1"/>
  <c r="F653"/>
  <c r="Z820"/>
  <c r="Y820" s="1"/>
  <c r="F820" s="1"/>
  <c r="F851"/>
  <c r="Y670"/>
  <c r="F670" s="1"/>
  <c r="F697"/>
  <c r="F868"/>
  <c r="F852"/>
  <c r="Z11"/>
  <c r="Y11" s="1"/>
  <c r="F11" s="1"/>
  <c r="Z128"/>
  <c r="Y451"/>
  <c r="Z472"/>
  <c r="Y472" s="1"/>
  <c r="F472" s="1"/>
  <c r="Z481"/>
  <c r="Y481" s="1"/>
  <c r="F481" s="1"/>
  <c r="Z523"/>
  <c r="Z543"/>
  <c r="Y543" s="1"/>
  <c r="F543" s="1"/>
  <c r="Z554"/>
  <c r="Y554" s="1"/>
  <c r="F554" s="1"/>
  <c r="Z569"/>
  <c r="Y569" s="1"/>
  <c r="F569" s="1"/>
  <c r="Z578"/>
  <c r="Y578" s="1"/>
  <c r="F578" s="1"/>
  <c r="Z640"/>
  <c r="Y640" s="1"/>
  <c r="Z667"/>
  <c r="Y667" s="1"/>
  <c r="F667" s="1"/>
  <c r="Z689"/>
  <c r="Z706"/>
  <c r="Y706" s="1"/>
  <c r="F706" s="1"/>
  <c r="Z779"/>
  <c r="Y779" s="1"/>
  <c r="F779" s="1"/>
  <c r="Z790"/>
  <c r="Y790" s="1"/>
  <c r="F790" s="1"/>
  <c r="Z794"/>
  <c r="Y794" s="1"/>
  <c r="F794" s="1"/>
  <c r="F847"/>
  <c r="F848"/>
  <c r="Z853"/>
  <c r="Z871"/>
  <c r="F204"/>
  <c r="Z216"/>
  <c r="Y216" s="1"/>
  <c r="F216" s="1"/>
  <c r="Z221"/>
  <c r="Y221" s="1"/>
  <c r="F221" s="1"/>
  <c r="Z464"/>
  <c r="Y464" s="1"/>
  <c r="F464" s="1"/>
  <c r="Z837"/>
  <c r="Z841"/>
  <c r="Z856"/>
  <c r="Z863"/>
  <c r="Z75"/>
  <c r="Y75" s="1"/>
  <c r="F75" s="1"/>
  <c r="F175"/>
  <c r="Y353"/>
  <c r="F353" s="1"/>
  <c r="Z430"/>
  <c r="Y430" s="1"/>
  <c r="F430" s="1"/>
  <c r="Z558"/>
  <c r="Y558" s="1"/>
  <c r="F558" s="1"/>
  <c r="Z586"/>
  <c r="Y586" s="1"/>
  <c r="F586" s="1"/>
  <c r="Z638"/>
  <c r="Y638" s="1"/>
  <c r="Y369"/>
  <c r="F369" s="1"/>
  <c r="Z440"/>
  <c r="Y440" s="1"/>
  <c r="F440" s="1"/>
  <c r="Z443"/>
  <c r="Y443" s="1"/>
  <c r="F443" s="1"/>
  <c r="Z456"/>
  <c r="Y456" s="1"/>
  <c r="F456" s="1"/>
  <c r="Z489"/>
  <c r="Y489" s="1"/>
  <c r="F489" s="1"/>
  <c r="Z565"/>
  <c r="S642"/>
  <c r="Z642" s="1"/>
  <c r="Y642" s="1"/>
  <c r="F642" s="1"/>
  <c r="H642" s="1"/>
  <c r="F663"/>
  <c r="Z693"/>
  <c r="Y821"/>
  <c r="F867"/>
  <c r="Y881"/>
  <c r="Y880" s="1"/>
  <c r="F880" s="1"/>
  <c r="F113"/>
  <c r="F167"/>
  <c r="Z22"/>
  <c r="Y22" s="1"/>
  <c r="F22" s="1"/>
  <c r="Z37"/>
  <c r="Y37" s="1"/>
  <c r="F37" s="1"/>
  <c r="Y15"/>
  <c r="Z65"/>
  <c r="Y65" s="1"/>
  <c r="F65" s="1"/>
  <c r="Z113"/>
  <c r="F104"/>
  <c r="Y887"/>
  <c r="F887" s="1"/>
  <c r="F400"/>
  <c r="Y684"/>
  <c r="Y674" s="1"/>
  <c r="F674" s="1"/>
  <c r="Z674"/>
  <c r="Y704"/>
  <c r="Z702"/>
  <c r="Y702" s="1"/>
  <c r="F702" s="1"/>
  <c r="F374"/>
  <c r="Z836"/>
  <c r="Y835"/>
  <c r="Y130"/>
  <c r="F130" s="1"/>
  <c r="Y157"/>
  <c r="Y165"/>
  <c r="Y710"/>
  <c r="F710" s="1"/>
  <c r="Z709"/>
  <c r="Y12"/>
  <c r="Y31"/>
  <c r="Y51"/>
  <c r="Z226"/>
  <c r="Y226" s="1"/>
  <c r="F226" s="1"/>
  <c r="Y436"/>
  <c r="Y217"/>
  <c r="Y222"/>
  <c r="Y444"/>
  <c r="Y487"/>
  <c r="F487" s="1"/>
  <c r="Y490"/>
  <c r="Z494"/>
  <c r="Y499"/>
  <c r="Y517"/>
  <c r="F517" s="1"/>
  <c r="Y524"/>
  <c r="Y531"/>
  <c r="Y555"/>
  <c r="Y559"/>
  <c r="Y636"/>
  <c r="Y650"/>
  <c r="Y690"/>
  <c r="Y689" s="1"/>
  <c r="F689" s="1"/>
  <c r="F849"/>
  <c r="Z866"/>
  <c r="F389"/>
  <c r="F393"/>
  <c r="Y447"/>
  <c r="F850"/>
  <c r="Y637"/>
  <c r="H601" l="1"/>
  <c r="H852"/>
  <c r="H80"/>
  <c r="G111"/>
  <c r="H109"/>
  <c r="H890"/>
  <c r="F778"/>
  <c r="H778" s="1"/>
  <c r="G632"/>
  <c r="E20" i="121"/>
  <c r="I20" s="1"/>
  <c r="H167" i="106"/>
  <c r="F505"/>
  <c r="F826"/>
  <c r="H826" s="1"/>
  <c r="F788"/>
  <c r="F565"/>
  <c r="H565" s="1"/>
  <c r="H389"/>
  <c r="F128"/>
  <c r="F112" s="1"/>
  <c r="H400"/>
  <c r="F429"/>
  <c r="F428" s="1"/>
  <c r="F463"/>
  <c r="H463" s="1"/>
  <c r="G233"/>
  <c r="F477"/>
  <c r="H477" s="1"/>
  <c r="H460"/>
  <c r="F709"/>
  <c r="H393"/>
  <c r="F515"/>
  <c r="F486"/>
  <c r="H374"/>
  <c r="F577"/>
  <c r="H405"/>
  <c r="F540"/>
  <c r="F818"/>
  <c r="F817" s="1"/>
  <c r="F55"/>
  <c r="F21"/>
  <c r="H21" s="1"/>
  <c r="F8"/>
  <c r="H8" s="1"/>
  <c r="F47"/>
  <c r="F874"/>
  <c r="H234"/>
  <c r="Z855"/>
  <c r="H204"/>
  <c r="F199"/>
  <c r="H199" s="1"/>
  <c r="H111" i="144"/>
  <c r="AA111"/>
  <c r="F90" i="106"/>
  <c r="H90"/>
  <c r="S842"/>
  <c r="Y842" s="1"/>
  <c r="F842" s="1"/>
  <c r="Y784"/>
  <c r="F342"/>
  <c r="Z862"/>
  <c r="F101"/>
  <c r="F858"/>
  <c r="H378"/>
  <c r="H312"/>
  <c r="F494"/>
  <c r="Z609"/>
  <c r="Z601" s="1"/>
  <c r="F291"/>
  <c r="F275"/>
  <c r="Z826"/>
  <c r="Y826" s="1"/>
  <c r="S644"/>
  <c r="Z644" s="1"/>
  <c r="Z643" s="1"/>
  <c r="Z153"/>
  <c r="Z811"/>
  <c r="Z810" s="1"/>
  <c r="H235"/>
  <c r="F136"/>
  <c r="Z486"/>
  <c r="Z635"/>
  <c r="Y635" s="1"/>
  <c r="F635" s="1"/>
  <c r="H635" s="1"/>
  <c r="Z429"/>
  <c r="Z540"/>
  <c r="Z539" s="1"/>
  <c r="Z136"/>
  <c r="F357"/>
  <c r="Z463"/>
  <c r="Z577"/>
  <c r="H592"/>
  <c r="Z592"/>
  <c r="F646"/>
  <c r="F835"/>
  <c r="Z835"/>
  <c r="H113"/>
  <c r="H175"/>
  <c r="F215"/>
  <c r="F153"/>
  <c r="F64"/>
  <c r="H818" l="1"/>
  <c r="G5"/>
  <c r="F846"/>
  <c r="H846" s="1"/>
  <c r="H486"/>
  <c r="H540"/>
  <c r="F873"/>
  <c r="F872" s="1"/>
  <c r="H646"/>
  <c r="H153"/>
  <c r="H494"/>
  <c r="F576"/>
  <c r="H357"/>
  <c r="H128"/>
  <c r="F764"/>
  <c r="H577"/>
  <c r="H291"/>
  <c r="H342"/>
  <c r="H709"/>
  <c r="H817"/>
  <c r="H136"/>
  <c r="H275"/>
  <c r="H515"/>
  <c r="H505"/>
  <c r="H101"/>
  <c r="H55"/>
  <c r="H47"/>
  <c r="F7"/>
  <c r="Z842"/>
  <c r="F825"/>
  <c r="F174"/>
  <c r="S844"/>
  <c r="Y844" s="1"/>
  <c r="Z844" s="1"/>
  <c r="Z843" s="1"/>
  <c r="Y843" s="1"/>
  <c r="F843" s="1"/>
  <c r="H429"/>
  <c r="Y811"/>
  <c r="F811" s="1"/>
  <c r="H874"/>
  <c r="F539"/>
  <c r="Y644"/>
  <c r="H765"/>
  <c r="H735"/>
  <c r="Z576"/>
  <c r="F274"/>
  <c r="Z462"/>
  <c r="F462"/>
  <c r="H576"/>
  <c r="H64"/>
  <c r="F46"/>
  <c r="Y643"/>
  <c r="F643" s="1"/>
  <c r="H643" s="1"/>
  <c r="Z634"/>
  <c r="H112"/>
  <c r="Y810"/>
  <c r="Z809"/>
  <c r="H215"/>
  <c r="F214"/>
  <c r="H428"/>
  <c r="F135"/>
  <c r="H873" l="1"/>
  <c r="H764"/>
  <c r="F834"/>
  <c r="H135"/>
  <c r="H214"/>
  <c r="H462"/>
  <c r="H539"/>
  <c r="H274"/>
  <c r="F810"/>
  <c r="H810" s="1"/>
  <c r="H825"/>
  <c r="H174"/>
  <c r="F634"/>
  <c r="H46"/>
  <c r="H7"/>
  <c r="F233"/>
  <c r="F712"/>
  <c r="Z427"/>
  <c r="H872"/>
  <c r="D23" i="121"/>
  <c r="F427" i="106"/>
  <c r="F111"/>
  <c r="F6"/>
  <c r="F833" l="1"/>
  <c r="D22" i="121" s="1"/>
  <c r="H22" s="1"/>
  <c r="J22" s="1"/>
  <c r="H23"/>
  <c r="J23" s="1"/>
  <c r="G23"/>
  <c r="H834" i="106"/>
  <c r="H233"/>
  <c r="H712"/>
  <c r="F809"/>
  <c r="H111"/>
  <c r="H427"/>
  <c r="D17" i="121"/>
  <c r="H17" s="1"/>
  <c r="J17" s="1"/>
  <c r="H6" i="106"/>
  <c r="H634"/>
  <c r="F633"/>
  <c r="H833" l="1"/>
  <c r="F832"/>
  <c r="F711"/>
  <c r="H809"/>
  <c r="D19" i="121"/>
  <c r="H19" s="1"/>
  <c r="J19" s="1"/>
  <c r="H633" i="106"/>
  <c r="H832" l="1"/>
  <c r="D20" i="121"/>
  <c r="H20" s="1"/>
  <c r="J20" s="1"/>
  <c r="F632" i="106"/>
  <c r="H711"/>
  <c r="F5" l="1"/>
  <c r="H632"/>
  <c r="Z273" i="138"/>
  <c r="Y273" s="1"/>
  <c r="F273" s="1"/>
  <c r="Z272"/>
  <c r="Y272" s="1"/>
  <c r="F272" s="1"/>
  <c r="Z271"/>
  <c r="Y271" s="1"/>
  <c r="F271" s="1"/>
  <c r="Z270"/>
  <c r="Y270" s="1"/>
  <c r="F270" s="1"/>
  <c r="Z269"/>
  <c r="Y269" s="1"/>
  <c r="F269" s="1"/>
  <c r="Z268"/>
  <c r="Y268" s="1"/>
  <c r="F268" s="1"/>
  <c r="Z267"/>
  <c r="Y267" s="1"/>
  <c r="F267" s="1"/>
  <c r="Z266"/>
  <c r="Y266" s="1"/>
  <c r="F266" s="1"/>
  <c r="Z265"/>
  <c r="Z263"/>
  <c r="Y263" s="1"/>
  <c r="F263" s="1"/>
  <c r="Z262"/>
  <c r="Y262" s="1"/>
  <c r="Z261"/>
  <c r="Z260" s="1"/>
  <c r="Y260" s="1"/>
  <c r="F260" s="1"/>
  <c r="Z259"/>
  <c r="Y259" s="1"/>
  <c r="F259" s="1"/>
  <c r="Z256"/>
  <c r="Y256" s="1"/>
  <c r="Z254"/>
  <c r="Y254" s="1"/>
  <c r="Z251"/>
  <c r="Y251" s="1"/>
  <c r="Z250"/>
  <c r="Z249"/>
  <c r="Y249" s="1"/>
  <c r="Z248"/>
  <c r="Y248" s="1"/>
  <c r="H245"/>
  <c r="Z244"/>
  <c r="Y244" s="1"/>
  <c r="F244" s="1"/>
  <c r="Z243"/>
  <c r="Y243" s="1"/>
  <c r="Z242"/>
  <c r="Y242" s="1"/>
  <c r="Z241"/>
  <c r="Y241" s="1"/>
  <c r="Z239"/>
  <c r="Y239" s="1"/>
  <c r="Z238"/>
  <c r="Y238" s="1"/>
  <c r="Z236"/>
  <c r="Y236" s="1"/>
  <c r="F236" s="1"/>
  <c r="Z235"/>
  <c r="Y235" s="1"/>
  <c r="F235" s="1"/>
  <c r="Z234"/>
  <c r="Y234" s="1"/>
  <c r="Z233"/>
  <c r="Y233" s="1"/>
  <c r="Z230"/>
  <c r="Y230" s="1"/>
  <c r="F230" s="1"/>
  <c r="Z229"/>
  <c r="Y229" s="1"/>
  <c r="F229" s="1"/>
  <c r="Z228"/>
  <c r="Y228" s="1"/>
  <c r="F228" s="1"/>
  <c r="Z227"/>
  <c r="Y227" s="1"/>
  <c r="F227" s="1"/>
  <c r="Z226"/>
  <c r="Y226" s="1"/>
  <c r="F226" s="1"/>
  <c r="Z225"/>
  <c r="Y225" s="1"/>
  <c r="F225" s="1"/>
  <c r="Z224"/>
  <c r="Y224" s="1"/>
  <c r="F224" s="1"/>
  <c r="Z223"/>
  <c r="Y223" s="1"/>
  <c r="Z222"/>
  <c r="Y222" s="1"/>
  <c r="Z219"/>
  <c r="Y219" s="1"/>
  <c r="Z218"/>
  <c r="Y218" s="1"/>
  <c r="F218" s="1"/>
  <c r="Z217"/>
  <c r="Y217" s="1"/>
  <c r="F217" s="1"/>
  <c r="Z216"/>
  <c r="Y216" s="1"/>
  <c r="F216" s="1"/>
  <c r="Z215"/>
  <c r="Y215" s="1"/>
  <c r="F215" s="1"/>
  <c r="Z214"/>
  <c r="Y214" s="1"/>
  <c r="Z213"/>
  <c r="Y213" s="1"/>
  <c r="Z211"/>
  <c r="Y211" s="1"/>
  <c r="F211" s="1"/>
  <c r="Z210"/>
  <c r="Y210" s="1"/>
  <c r="Z208"/>
  <c r="Y208" s="1"/>
  <c r="F208" s="1"/>
  <c r="Z177"/>
  <c r="F187"/>
  <c r="F186"/>
  <c r="F182"/>
  <c r="F181"/>
  <c r="F178"/>
  <c r="Z176"/>
  <c r="Y176" s="1"/>
  <c r="F176" s="1"/>
  <c r="Z175"/>
  <c r="Y175" s="1"/>
  <c r="F175" s="1"/>
  <c r="Z174"/>
  <c r="Y174" s="1"/>
  <c r="F174" s="1"/>
  <c r="Z173"/>
  <c r="Y173" s="1"/>
  <c r="F173" s="1"/>
  <c r="Z172"/>
  <c r="Y172" s="1"/>
  <c r="F172" s="1"/>
  <c r="Z171"/>
  <c r="Y171" s="1"/>
  <c r="F171" s="1"/>
  <c r="Z169"/>
  <c r="Y169" s="1"/>
  <c r="F169" s="1"/>
  <c r="Z168"/>
  <c r="Y168" s="1"/>
  <c r="F168" s="1"/>
  <c r="Z167"/>
  <c r="Y167" s="1"/>
  <c r="Z166"/>
  <c r="Z164"/>
  <c r="Y164" s="1"/>
  <c r="F164" s="1"/>
  <c r="Z163"/>
  <c r="Y163" s="1"/>
  <c r="F163" s="1"/>
  <c r="Z162"/>
  <c r="Y162" s="1"/>
  <c r="F162" s="1"/>
  <c r="H133"/>
  <c r="Z132"/>
  <c r="Z130"/>
  <c r="Y130" s="1"/>
  <c r="F130" s="1"/>
  <c r="Z128"/>
  <c r="Y128" s="1"/>
  <c r="F128" s="1"/>
  <c r="Z127"/>
  <c r="Y127" s="1"/>
  <c r="F127" s="1"/>
  <c r="Z126"/>
  <c r="Y126" s="1"/>
  <c r="F126" s="1"/>
  <c r="Z125"/>
  <c r="Y125" s="1"/>
  <c r="F125" s="1"/>
  <c r="Z124"/>
  <c r="Y124" s="1"/>
  <c r="F124" s="1"/>
  <c r="Z123"/>
  <c r="Y123" s="1"/>
  <c r="Z121"/>
  <c r="Y121" s="1"/>
  <c r="F121" s="1"/>
  <c r="Z120"/>
  <c r="Y120" s="1"/>
  <c r="F120" s="1"/>
  <c r="Z119"/>
  <c r="Y119" s="1"/>
  <c r="F119" s="1"/>
  <c r="Z118"/>
  <c r="Y118" s="1"/>
  <c r="F118" s="1"/>
  <c r="Z117"/>
  <c r="Y117" s="1"/>
  <c r="F117" s="1"/>
  <c r="Z116"/>
  <c r="Y116" s="1"/>
  <c r="Z115"/>
  <c r="Y115" s="1"/>
  <c r="Z114"/>
  <c r="Y114" s="1"/>
  <c r="Z113"/>
  <c r="Y113" s="1"/>
  <c r="Z112"/>
  <c r="Y112" s="1"/>
  <c r="Z110"/>
  <c r="Y110" s="1"/>
  <c r="F110" s="1"/>
  <c r="Z109"/>
  <c r="Y109" s="1"/>
  <c r="F109" s="1"/>
  <c r="Z108"/>
  <c r="Y108" s="1"/>
  <c r="F108" s="1"/>
  <c r="Z107"/>
  <c r="Y107"/>
  <c r="Z106"/>
  <c r="Z92"/>
  <c r="Y92" s="1"/>
  <c r="F92" s="1"/>
  <c r="Z91"/>
  <c r="Y91" s="1"/>
  <c r="F91" s="1"/>
  <c r="Z90"/>
  <c r="Y90" s="1"/>
  <c r="Z89"/>
  <c r="Y89" s="1"/>
  <c r="Z87"/>
  <c r="Y87" s="1"/>
  <c r="F87" s="1"/>
  <c r="Z83"/>
  <c r="Y83" s="1"/>
  <c r="Z82"/>
  <c r="Z79"/>
  <c r="Y79" s="1"/>
  <c r="F79" s="1"/>
  <c r="Z78"/>
  <c r="Y78" s="1"/>
  <c r="Z77"/>
  <c r="Y77" s="1"/>
  <c r="Z76"/>
  <c r="Y76" s="1"/>
  <c r="Z75"/>
  <c r="Y75" s="1"/>
  <c r="Z73"/>
  <c r="Y73" s="1"/>
  <c r="Z72"/>
  <c r="Y72" s="1"/>
  <c r="Z70"/>
  <c r="Y70" s="1"/>
  <c r="Z69"/>
  <c r="Y69" s="1"/>
  <c r="Z67"/>
  <c r="Y67" s="1"/>
  <c r="Z66"/>
  <c r="Y66" s="1"/>
  <c r="Z65"/>
  <c r="Y65" s="1"/>
  <c r="Z63"/>
  <c r="Y63" s="1"/>
  <c r="Z62"/>
  <c r="Y62" s="1"/>
  <c r="Z61"/>
  <c r="Y61" s="1"/>
  <c r="Z60"/>
  <c r="Y60" s="1"/>
  <c r="Z58"/>
  <c r="Y58" s="1"/>
  <c r="Z57"/>
  <c r="Y57" s="1"/>
  <c r="Z55"/>
  <c r="Y55" s="1"/>
  <c r="Z54"/>
  <c r="Z52"/>
  <c r="Y52" s="1"/>
  <c r="Z51"/>
  <c r="Y51" s="1"/>
  <c r="Z50"/>
  <c r="Z48"/>
  <c r="Y48" s="1"/>
  <c r="Y47"/>
  <c r="Z45"/>
  <c r="Y45" s="1"/>
  <c r="Z44"/>
  <c r="Y44" s="1"/>
  <c r="Z43"/>
  <c r="Y43" s="1"/>
  <c r="Z41"/>
  <c r="Y41" s="1"/>
  <c r="Z40"/>
  <c r="Y40" s="1"/>
  <c r="Z39"/>
  <c r="Y39" s="1"/>
  <c r="Z38"/>
  <c r="Y38" s="1"/>
  <c r="Z37"/>
  <c r="Y37" s="1"/>
  <c r="Z35"/>
  <c r="Y35" s="1"/>
  <c r="Z34"/>
  <c r="Y34" s="1"/>
  <c r="Z33"/>
  <c r="Y33" s="1"/>
  <c r="Z32"/>
  <c r="Z30"/>
  <c r="Y30" s="1"/>
  <c r="Z29"/>
  <c r="Z27"/>
  <c r="Y27" s="1"/>
  <c r="F27" s="1"/>
  <c r="Z26"/>
  <c r="Y26" s="1"/>
  <c r="Z25"/>
  <c r="Y25" s="1"/>
  <c r="Z24"/>
  <c r="Y24" s="1"/>
  <c r="Z22"/>
  <c r="Y22" s="1"/>
  <c r="F22" s="1"/>
  <c r="Z21"/>
  <c r="Y21" s="1"/>
  <c r="F21" s="1"/>
  <c r="Z19"/>
  <c r="Y19" s="1"/>
  <c r="Z15"/>
  <c r="AA15" s="1"/>
  <c r="Z13"/>
  <c r="Z11"/>
  <c r="Z14" l="1"/>
  <c r="Y14" s="1"/>
  <c r="AB15"/>
  <c r="Z10"/>
  <c r="AA11"/>
  <c r="AD11"/>
  <c r="AD9" s="1"/>
  <c r="Z12"/>
  <c r="Y12" s="1"/>
  <c r="AD13"/>
  <c r="AB13" s="1"/>
  <c r="H5" i="106"/>
  <c r="Z53" i="138"/>
  <c r="G7"/>
  <c r="F258"/>
  <c r="F129"/>
  <c r="H129" s="1"/>
  <c r="Z161"/>
  <c r="F170"/>
  <c r="F265"/>
  <c r="Z59"/>
  <c r="Y166"/>
  <c r="G84"/>
  <c r="Y42"/>
  <c r="F42" s="1"/>
  <c r="Z31"/>
  <c r="Y31" s="1"/>
  <c r="F31" s="1"/>
  <c r="Z46"/>
  <c r="Y54"/>
  <c r="Y53" s="1"/>
  <c r="F53" s="1"/>
  <c r="Y132"/>
  <c r="F132" s="1"/>
  <c r="Y64"/>
  <c r="F64" s="1"/>
  <c r="Y46"/>
  <c r="F46" s="1"/>
  <c r="Z56"/>
  <c r="Y59"/>
  <c r="F59" s="1"/>
  <c r="Z64"/>
  <c r="Z28"/>
  <c r="Y28" s="1"/>
  <c r="F28" s="1"/>
  <c r="Z49"/>
  <c r="Z68"/>
  <c r="Z221"/>
  <c r="Z71"/>
  <c r="Z23"/>
  <c r="Y23" s="1"/>
  <c r="Y32"/>
  <c r="Z36"/>
  <c r="Y36" s="1"/>
  <c r="F36" s="1"/>
  <c r="Z42"/>
  <c r="Y56"/>
  <c r="F56" s="1"/>
  <c r="Z74"/>
  <c r="Z81"/>
  <c r="Y81" s="1"/>
  <c r="F81" s="1"/>
  <c r="F80" s="1"/>
  <c r="H80" s="1"/>
  <c r="Y88"/>
  <c r="F88" s="1"/>
  <c r="F86" s="1"/>
  <c r="Z165"/>
  <c r="Y165" s="1"/>
  <c r="F165" s="1"/>
  <c r="F161" s="1"/>
  <c r="F188"/>
  <c r="Z105"/>
  <c r="Y105" s="1"/>
  <c r="F105" s="1"/>
  <c r="Z131"/>
  <c r="Z232"/>
  <c r="Y232" s="1"/>
  <c r="Z240"/>
  <c r="Y240" s="1"/>
  <c r="F240" s="1"/>
  <c r="Y10"/>
  <c r="F123"/>
  <c r="F122" s="1"/>
  <c r="H122" s="1"/>
  <c r="Y68"/>
  <c r="F68" s="1"/>
  <c r="F183"/>
  <c r="Y71"/>
  <c r="F71" s="1"/>
  <c r="Y111"/>
  <c r="F111" s="1"/>
  <c r="H170"/>
  <c r="Y221"/>
  <c r="F221" s="1"/>
  <c r="F220" s="1"/>
  <c r="Y74"/>
  <c r="F74" s="1"/>
  <c r="H93"/>
  <c r="Z129"/>
  <c r="Z209"/>
  <c r="Z212"/>
  <c r="Y212" s="1"/>
  <c r="F212" s="1"/>
  <c r="Z237"/>
  <c r="Y237" s="1"/>
  <c r="F237" s="1"/>
  <c r="Z247"/>
  <c r="Y247" s="1"/>
  <c r="Y11"/>
  <c r="Y13"/>
  <c r="Y15"/>
  <c r="S16"/>
  <c r="Y29"/>
  <c r="Y50"/>
  <c r="Y49" s="1"/>
  <c r="F49" s="1"/>
  <c r="Z80"/>
  <c r="Y82"/>
  <c r="Y106"/>
  <c r="Y261"/>
  <c r="Z9" l="1"/>
  <c r="Y9" s="1"/>
  <c r="F9" s="1"/>
  <c r="H9" s="1"/>
  <c r="F143"/>
  <c r="G6"/>
  <c r="F23"/>
  <c r="F20" s="1"/>
  <c r="H20" s="1"/>
  <c r="F231"/>
  <c r="H231" s="1"/>
  <c r="F104"/>
  <c r="F131"/>
  <c r="H131" s="1"/>
  <c r="F177"/>
  <c r="H161"/>
  <c r="H144"/>
  <c r="Z16"/>
  <c r="Y16" s="1"/>
  <c r="F16" s="1"/>
  <c r="H16" s="1"/>
  <c r="S18"/>
  <c r="Z18" s="1"/>
  <c r="H258"/>
  <c r="F257"/>
  <c r="H257" s="1"/>
  <c r="Y209"/>
  <c r="F209" s="1"/>
  <c r="F207" s="1"/>
  <c r="F85"/>
  <c r="H86"/>
  <c r="F264"/>
  <c r="H264" s="1"/>
  <c r="H265"/>
  <c r="F103" l="1"/>
  <c r="H103" s="1"/>
  <c r="H143"/>
  <c r="H177"/>
  <c r="H104"/>
  <c r="Z17"/>
  <c r="Y17" s="1"/>
  <c r="F17" s="1"/>
  <c r="H17" s="1"/>
  <c r="Y18"/>
  <c r="F206"/>
  <c r="H206" s="1"/>
  <c r="H207"/>
  <c r="H85"/>
  <c r="F84" l="1"/>
  <c r="H84" s="1"/>
  <c r="H8"/>
  <c r="F8"/>
  <c r="F7" s="1"/>
  <c r="H7" l="1"/>
  <c r="H6" s="1"/>
  <c r="F6"/>
  <c r="F340" i="137" l="1"/>
  <c r="H340" s="1"/>
  <c r="F337"/>
  <c r="H337" s="1"/>
  <c r="F334"/>
  <c r="H334" s="1"/>
  <c r="F333"/>
  <c r="G301"/>
  <c r="F300"/>
  <c r="Y298"/>
  <c r="Y297"/>
  <c r="Y296"/>
  <c r="F294"/>
  <c r="F285"/>
  <c r="F284"/>
  <c r="G283"/>
  <c r="G280" s="1"/>
  <c r="Y282"/>
  <c r="F282" s="1"/>
  <c r="F281" s="1"/>
  <c r="F275"/>
  <c r="F274"/>
  <c r="F273"/>
  <c r="H273" s="1"/>
  <c r="Y271"/>
  <c r="Y270"/>
  <c r="F268"/>
  <c r="H268" s="1"/>
  <c r="F266"/>
  <c r="Y250"/>
  <c r="F250" s="1"/>
  <c r="Y249"/>
  <c r="F249" s="1"/>
  <c r="Y248"/>
  <c r="Y247"/>
  <c r="Y245"/>
  <c r="F245" s="1"/>
  <c r="Y244"/>
  <c r="Y242"/>
  <c r="F240"/>
  <c r="H240" s="1"/>
  <c r="Y239"/>
  <c r="Y238"/>
  <c r="Y235"/>
  <c r="F235" s="1"/>
  <c r="Y233"/>
  <c r="Y232"/>
  <c r="Y230"/>
  <c r="Y229"/>
  <c r="Y228"/>
  <c r="Y226"/>
  <c r="Y225"/>
  <c r="Y223"/>
  <c r="F223" s="1"/>
  <c r="F222"/>
  <c r="Y220"/>
  <c r="Y218" s="1"/>
  <c r="Y216"/>
  <c r="Y215"/>
  <c r="F215" s="1"/>
  <c r="Y214"/>
  <c r="F214" s="1"/>
  <c r="Y212"/>
  <c r="F212" s="1"/>
  <c r="Y211"/>
  <c r="F211" s="1"/>
  <c r="Y210"/>
  <c r="Y209"/>
  <c r="Y207"/>
  <c r="F207" s="1"/>
  <c r="Y206"/>
  <c r="Y205"/>
  <c r="Y203"/>
  <c r="Y202"/>
  <c r="Y199"/>
  <c r="F199" s="1"/>
  <c r="Y198"/>
  <c r="F198" s="1"/>
  <c r="Y195"/>
  <c r="Y194"/>
  <c r="F190"/>
  <c r="Y187"/>
  <c r="F187" s="1"/>
  <c r="Y186"/>
  <c r="F186" s="1"/>
  <c r="Y185"/>
  <c r="Y184"/>
  <c r="Y183"/>
  <c r="Y182"/>
  <c r="Y181"/>
  <c r="Y180"/>
  <c r="Y179"/>
  <c r="Y176"/>
  <c r="Y175"/>
  <c r="F175" s="1"/>
  <c r="Y174"/>
  <c r="Y173"/>
  <c r="Y171"/>
  <c r="Y169"/>
  <c r="F169" s="1"/>
  <c r="Y168"/>
  <c r="Y167"/>
  <c r="Y165"/>
  <c r="Y164"/>
  <c r="Y162"/>
  <c r="Y161"/>
  <c r="Y159"/>
  <c r="F159" s="1"/>
  <c r="Y158"/>
  <c r="F158" s="1"/>
  <c r="F155"/>
  <c r="F148"/>
  <c r="F147"/>
  <c r="F146"/>
  <c r="F141"/>
  <c r="Y136"/>
  <c r="Y135"/>
  <c r="Y134"/>
  <c r="Y133"/>
  <c r="Y132"/>
  <c r="Y129"/>
  <c r="Y128"/>
  <c r="Y126"/>
  <c r="Y125"/>
  <c r="Y124"/>
  <c r="Y122"/>
  <c r="F122" s="1"/>
  <c r="H120"/>
  <c r="G119"/>
  <c r="Y117"/>
  <c r="Y116"/>
  <c r="Y113"/>
  <c r="Y112"/>
  <c r="Y110"/>
  <c r="Y109"/>
  <c r="Y108"/>
  <c r="Y107"/>
  <c r="Y105"/>
  <c r="Y104"/>
  <c r="Y102"/>
  <c r="Y101"/>
  <c r="Y100"/>
  <c r="Y99"/>
  <c r="Y98"/>
  <c r="S96"/>
  <c r="Y96" s="1"/>
  <c r="Y95"/>
  <c r="Y94"/>
  <c r="Y93"/>
  <c r="S91"/>
  <c r="Y91" s="1"/>
  <c r="Y88"/>
  <c r="Y87"/>
  <c r="Y86"/>
  <c r="Y83"/>
  <c r="Y82"/>
  <c r="Y80"/>
  <c r="Y76"/>
  <c r="Y74"/>
  <c r="Y72"/>
  <c r="Y71"/>
  <c r="Y70"/>
  <c r="Y69"/>
  <c r="Y67"/>
  <c r="Y66"/>
  <c r="Y65"/>
  <c r="Y63"/>
  <c r="Y62"/>
  <c r="Y61"/>
  <c r="Y58"/>
  <c r="Y57"/>
  <c r="Y56"/>
  <c r="Y47"/>
  <c r="Y46"/>
  <c r="Y45"/>
  <c r="Y44"/>
  <c r="Y43"/>
  <c r="Y42"/>
  <c r="Y32"/>
  <c r="Y31"/>
  <c r="Y29"/>
  <c r="Y26" s="1"/>
  <c r="F26" s="1"/>
  <c r="Y25"/>
  <c r="Y24"/>
  <c r="Y22"/>
  <c r="F22" s="1"/>
  <c r="Y21"/>
  <c r="F21" s="1"/>
  <c r="Z19"/>
  <c r="Y19" s="1"/>
  <c r="Z15"/>
  <c r="Z14" s="1"/>
  <c r="Y14" s="1"/>
  <c r="Z13"/>
  <c r="Z12" s="1"/>
  <c r="Y12" s="1"/>
  <c r="Z11"/>
  <c r="Z10" s="1"/>
  <c r="H235" l="1"/>
  <c r="H333"/>
  <c r="F332"/>
  <c r="H332" s="1"/>
  <c r="Y23"/>
  <c r="F23" s="1"/>
  <c r="Y30"/>
  <c r="F30" s="1"/>
  <c r="Y81"/>
  <c r="F81" s="1"/>
  <c r="Y208"/>
  <c r="F208" s="1"/>
  <c r="Y177"/>
  <c r="Y84"/>
  <c r="F84" s="1"/>
  <c r="Y90"/>
  <c r="F90" s="1"/>
  <c r="Y246"/>
  <c r="F246" s="1"/>
  <c r="H246" s="1"/>
  <c r="Y241"/>
  <c r="F241" s="1"/>
  <c r="H241" s="1"/>
  <c r="Y289"/>
  <c r="F289" s="1"/>
  <c r="Y123"/>
  <c r="F123" s="1"/>
  <c r="Y131"/>
  <c r="F131" s="1"/>
  <c r="Y163"/>
  <c r="F163" s="1"/>
  <c r="Y204"/>
  <c r="F204" s="1"/>
  <c r="Y33"/>
  <c r="F33" s="1"/>
  <c r="Y55"/>
  <c r="F55" s="1"/>
  <c r="Y103"/>
  <c r="F103" s="1"/>
  <c r="Y127"/>
  <c r="F127" s="1"/>
  <c r="F138"/>
  <c r="Y160"/>
  <c r="F160" s="1"/>
  <c r="Y166"/>
  <c r="F166" s="1"/>
  <c r="Y231"/>
  <c r="F231" s="1"/>
  <c r="Y286"/>
  <c r="F286" s="1"/>
  <c r="Y59"/>
  <c r="F59" s="1"/>
  <c r="F149"/>
  <c r="Y224"/>
  <c r="F224" s="1"/>
  <c r="Y237"/>
  <c r="F237" s="1"/>
  <c r="F234" s="1"/>
  <c r="H234" s="1"/>
  <c r="Y201"/>
  <c r="F201" s="1"/>
  <c r="Y227"/>
  <c r="F227" s="1"/>
  <c r="Y48"/>
  <c r="F48" s="1"/>
  <c r="Y115"/>
  <c r="F115" s="1"/>
  <c r="F114" s="1"/>
  <c r="H114" s="1"/>
  <c r="H302"/>
  <c r="F52"/>
  <c r="Y97"/>
  <c r="F97" s="1"/>
  <c r="Y172"/>
  <c r="F172" s="1"/>
  <c r="F189"/>
  <c r="Y41"/>
  <c r="F41" s="1"/>
  <c r="Y106"/>
  <c r="F106" s="1"/>
  <c r="Y111"/>
  <c r="F111" s="1"/>
  <c r="F142"/>
  <c r="F184"/>
  <c r="F213"/>
  <c r="H213" s="1"/>
  <c r="Y269"/>
  <c r="F269" s="1"/>
  <c r="Y295"/>
  <c r="F295" s="1"/>
  <c r="F293" s="1"/>
  <c r="Y10"/>
  <c r="Z9"/>
  <c r="H281"/>
  <c r="Y11"/>
  <c r="Y13"/>
  <c r="Y15"/>
  <c r="S16"/>
  <c r="F121" l="1"/>
  <c r="H189"/>
  <c r="F221"/>
  <c r="H221" s="1"/>
  <c r="F265"/>
  <c r="H265" s="1"/>
  <c r="H269"/>
  <c r="F200"/>
  <c r="H200" s="1"/>
  <c r="F20"/>
  <c r="H20" s="1"/>
  <c r="F283"/>
  <c r="F137"/>
  <c r="H137" s="1"/>
  <c r="F157"/>
  <c r="H157" s="1"/>
  <c r="F292"/>
  <c r="H292" s="1"/>
  <c r="H293"/>
  <c r="F170"/>
  <c r="H170" s="1"/>
  <c r="F301"/>
  <c r="H301" s="1"/>
  <c r="F352"/>
  <c r="Z16"/>
  <c r="Y16" s="1"/>
  <c r="F16" s="1"/>
  <c r="S18"/>
  <c r="Z18" s="1"/>
  <c r="H121"/>
  <c r="Y9"/>
  <c r="F9" s="1"/>
  <c r="H352" l="1"/>
  <c r="F188"/>
  <c r="H283"/>
  <c r="F280"/>
  <c r="F156"/>
  <c r="H156" s="1"/>
  <c r="F119"/>
  <c r="H119" s="1"/>
  <c r="Z17"/>
  <c r="Y18"/>
  <c r="H342" l="1"/>
  <c r="H341"/>
  <c r="H280"/>
  <c r="H276"/>
  <c r="Y17"/>
  <c r="F17" s="1"/>
  <c r="F8" s="1"/>
  <c r="Z8"/>
  <c r="F7" l="1"/>
  <c r="F6" s="1"/>
  <c r="H8"/>
  <c r="H7" l="1"/>
  <c r="Y293" i="136" l="1"/>
  <c r="F293" s="1"/>
  <c r="F292" s="1"/>
  <c r="Y290"/>
  <c r="F290" s="1"/>
  <c r="F289" s="1"/>
  <c r="Y288"/>
  <c r="F288" s="1"/>
  <c r="Y287"/>
  <c r="F287" s="1"/>
  <c r="Y285"/>
  <c r="F285" s="1"/>
  <c r="F284" s="1"/>
  <c r="F282"/>
  <c r="F281"/>
  <c r="F277"/>
  <c r="F276"/>
  <c r="F250"/>
  <c r="F248"/>
  <c r="F245"/>
  <c r="H208"/>
  <c r="Y206"/>
  <c r="F206" s="1"/>
  <c r="F207"/>
  <c r="Y204"/>
  <c r="F204" s="1"/>
  <c r="F201"/>
  <c r="H201" s="1"/>
  <c r="F197"/>
  <c r="H197" s="1"/>
  <c r="F194"/>
  <c r="H194" s="1"/>
  <c r="Y189"/>
  <c r="F189" s="1"/>
  <c r="Y188"/>
  <c r="Y187"/>
  <c r="Y186"/>
  <c r="Y185"/>
  <c r="Y184"/>
  <c r="Y182"/>
  <c r="F182" s="1"/>
  <c r="Y181"/>
  <c r="F181" s="1"/>
  <c r="Y180"/>
  <c r="Y179"/>
  <c r="Y178"/>
  <c r="Y177"/>
  <c r="Y176"/>
  <c r="Y174"/>
  <c r="Y173"/>
  <c r="Y172"/>
  <c r="Y171"/>
  <c r="Y170"/>
  <c r="Y168"/>
  <c r="Y167"/>
  <c r="Y166"/>
  <c r="Y165"/>
  <c r="Y164"/>
  <c r="Y162"/>
  <c r="Y161"/>
  <c r="G158"/>
  <c r="F140"/>
  <c r="Y135"/>
  <c r="F135" s="1"/>
  <c r="F132"/>
  <c r="Y131"/>
  <c r="F131" s="1"/>
  <c r="Y130"/>
  <c r="F130" s="1"/>
  <c r="Y129"/>
  <c r="Y128"/>
  <c r="F97"/>
  <c r="F96"/>
  <c r="Y92"/>
  <c r="Y91"/>
  <c r="Y90"/>
  <c r="Y89"/>
  <c r="Y88"/>
  <c r="Y85"/>
  <c r="F85" s="1"/>
  <c r="Y84"/>
  <c r="Y83"/>
  <c r="Y82"/>
  <c r="Y80"/>
  <c r="Y79"/>
  <c r="Y77"/>
  <c r="Y76"/>
  <c r="Y75"/>
  <c r="Y74"/>
  <c r="Y73"/>
  <c r="S71"/>
  <c r="Y70"/>
  <c r="Y69"/>
  <c r="Y68"/>
  <c r="S67"/>
  <c r="Z67" s="1"/>
  <c r="Y65"/>
  <c r="Y64"/>
  <c r="Y63"/>
  <c r="Y61"/>
  <c r="Y60"/>
  <c r="Y58"/>
  <c r="Y57"/>
  <c r="Y56"/>
  <c r="Y55"/>
  <c r="Y54"/>
  <c r="Y52"/>
  <c r="Y51"/>
  <c r="Y49"/>
  <c r="Y48"/>
  <c r="Y46"/>
  <c r="Y45"/>
  <c r="Y43"/>
  <c r="Y42"/>
  <c r="Y41"/>
  <c r="Y40"/>
  <c r="Y39"/>
  <c r="Y38"/>
  <c r="Y37"/>
  <c r="Y36"/>
  <c r="Y35"/>
  <c r="Y33"/>
  <c r="Y32"/>
  <c r="Y31"/>
  <c r="Y29"/>
  <c r="Y28"/>
  <c r="Y26"/>
  <c r="Y25"/>
  <c r="Y24"/>
  <c r="Y22"/>
  <c r="F22" s="1"/>
  <c r="Y21"/>
  <c r="F21" s="1"/>
  <c r="Y19"/>
  <c r="Y15"/>
  <c r="Y13"/>
  <c r="Y71" l="1"/>
  <c r="Z71"/>
  <c r="F278"/>
  <c r="F136"/>
  <c r="Y163"/>
  <c r="F163" s="1"/>
  <c r="F239"/>
  <c r="H140"/>
  <c r="H136" s="1"/>
  <c r="Y205"/>
  <c r="F205" s="1"/>
  <c r="Y169"/>
  <c r="F169" s="1"/>
  <c r="H96"/>
  <c r="F95"/>
  <c r="Y175"/>
  <c r="F175" s="1"/>
  <c r="Y183"/>
  <c r="F183" s="1"/>
  <c r="S16"/>
  <c r="G291"/>
  <c r="F198"/>
  <c r="H198" s="1"/>
  <c r="Y44"/>
  <c r="F44" s="1"/>
  <c r="Y127"/>
  <c r="F127" s="1"/>
  <c r="Y53"/>
  <c r="F53" s="1"/>
  <c r="Y30"/>
  <c r="F30" s="1"/>
  <c r="Y78"/>
  <c r="F78" s="1"/>
  <c r="Y87"/>
  <c r="F87" s="1"/>
  <c r="F86" s="1"/>
  <c r="Y50"/>
  <c r="F50" s="1"/>
  <c r="Y81"/>
  <c r="F81" s="1"/>
  <c r="Y160"/>
  <c r="F160" s="1"/>
  <c r="H288"/>
  <c r="Y47"/>
  <c r="F47" s="1"/>
  <c r="Y27"/>
  <c r="F27" s="1"/>
  <c r="H287"/>
  <c r="F264"/>
  <c r="F271"/>
  <c r="G7"/>
  <c r="Y23"/>
  <c r="F23" s="1"/>
  <c r="Y62"/>
  <c r="F62" s="1"/>
  <c r="Y67"/>
  <c r="Y72"/>
  <c r="F72" s="1"/>
  <c r="F99"/>
  <c r="F191"/>
  <c r="Y34"/>
  <c r="F34" s="1"/>
  <c r="Y59"/>
  <c r="F59" s="1"/>
  <c r="F291"/>
  <c r="H292"/>
  <c r="Y12"/>
  <c r="Y14"/>
  <c r="F286"/>
  <c r="Y11"/>
  <c r="F190" l="1"/>
  <c r="Y66"/>
  <c r="F66" s="1"/>
  <c r="H278"/>
  <c r="S18"/>
  <c r="Z18" s="1"/>
  <c r="Z17" s="1"/>
  <c r="Y17" s="1"/>
  <c r="F17" s="1"/>
  <c r="H17" s="1"/>
  <c r="Z16"/>
  <c r="Y16" s="1"/>
  <c r="F16" s="1"/>
  <c r="H16" s="1"/>
  <c r="F203"/>
  <c r="F270"/>
  <c r="H271"/>
  <c r="H99"/>
  <c r="F98"/>
  <c r="H98" s="1"/>
  <c r="F20"/>
  <c r="F262"/>
  <c r="F126"/>
  <c r="F125" s="1"/>
  <c r="F159"/>
  <c r="G93"/>
  <c r="G6" s="1"/>
  <c r="H284"/>
  <c r="H210"/>
  <c r="H86"/>
  <c r="H95"/>
  <c r="H291"/>
  <c r="H289"/>
  <c r="H286"/>
  <c r="H251"/>
  <c r="H239"/>
  <c r="Y10"/>
  <c r="Y9"/>
  <c r="F9" s="1"/>
  <c r="H9" s="1"/>
  <c r="F283"/>
  <c r="H270" l="1"/>
  <c r="Y18"/>
  <c r="F202"/>
  <c r="H203"/>
  <c r="H262"/>
  <c r="F238"/>
  <c r="F8"/>
  <c r="F158"/>
  <c r="H158" s="1"/>
  <c r="H159"/>
  <c r="F94"/>
  <c r="H110"/>
  <c r="H126"/>
  <c r="F269"/>
  <c r="H190"/>
  <c r="H20"/>
  <c r="H283"/>
  <c r="F221"/>
  <c r="H222"/>
  <c r="H238" l="1"/>
  <c r="H202"/>
  <c r="H94"/>
  <c r="H269"/>
  <c r="H125"/>
  <c r="H221"/>
  <c r="F93"/>
  <c r="F7"/>
  <c r="H8"/>
  <c r="Z93" l="1"/>
  <c r="Z6"/>
  <c r="H93"/>
  <c r="F6"/>
  <c r="H7"/>
  <c r="H6" l="1"/>
  <c r="AA369" i="144"/>
  <c r="AA365"/>
  <c r="G332"/>
  <c r="H333"/>
  <c r="Z328"/>
  <c r="Y328"/>
  <c r="F328" s="1"/>
  <c r="F327"/>
  <c r="F326"/>
  <c r="Z322"/>
  <c r="Y322"/>
  <c r="F322" s="1"/>
  <c r="Z321"/>
  <c r="Y321"/>
  <c r="F321" s="1"/>
  <c r="Z320"/>
  <c r="Y320"/>
  <c r="Z319"/>
  <c r="Y319"/>
  <c r="Z298"/>
  <c r="Y298" s="1"/>
  <c r="Z297"/>
  <c r="F297" s="1"/>
  <c r="AA297" s="1"/>
  <c r="Z296"/>
  <c r="Y296" s="1"/>
  <c r="Z295"/>
  <c r="Y295" s="1"/>
  <c r="Z294"/>
  <c r="Z292"/>
  <c r="Y292" s="1"/>
  <c r="F292" s="1"/>
  <c r="AA292" s="1"/>
  <c r="Z291"/>
  <c r="Y291" s="1"/>
  <c r="Z290"/>
  <c r="Y290" s="1"/>
  <c r="F289"/>
  <c r="AA289" s="1"/>
  <c r="Z288"/>
  <c r="Y288" s="1"/>
  <c r="Z287"/>
  <c r="Z285"/>
  <c r="Y285" s="1"/>
  <c r="Z284"/>
  <c r="Y284" s="1"/>
  <c r="F280"/>
  <c r="F279"/>
  <c r="F271"/>
  <c r="Z269"/>
  <c r="Y269" s="1"/>
  <c r="Z268"/>
  <c r="Y268" s="1"/>
  <c r="Z267"/>
  <c r="Y267" s="1"/>
  <c r="Z265"/>
  <c r="Y265" s="1"/>
  <c r="Z264"/>
  <c r="Y264" s="1"/>
  <c r="Z262"/>
  <c r="Y262" s="1"/>
  <c r="Z261"/>
  <c r="Y261" s="1"/>
  <c r="Z259"/>
  <c r="F259" s="1"/>
  <c r="AA259" s="1"/>
  <c r="Z258"/>
  <c r="Y258" s="1"/>
  <c r="Z257"/>
  <c r="Y257" s="1"/>
  <c r="Z253"/>
  <c r="Y253" s="1"/>
  <c r="Z252"/>
  <c r="Y252" s="1"/>
  <c r="Z251"/>
  <c r="Y251" s="1"/>
  <c r="Z249"/>
  <c r="Y249" s="1"/>
  <c r="Z248"/>
  <c r="Y248" s="1"/>
  <c r="Z246"/>
  <c r="Y246" s="1"/>
  <c r="Z245"/>
  <c r="Y245" s="1"/>
  <c r="Z244"/>
  <c r="Y244" s="1"/>
  <c r="Z243"/>
  <c r="Y243" s="1"/>
  <c r="Z241"/>
  <c r="F241" s="1"/>
  <c r="AA241" s="1"/>
  <c r="Z240"/>
  <c r="Y240" s="1"/>
  <c r="Z239"/>
  <c r="Y239" s="1"/>
  <c r="F226"/>
  <c r="AA226" s="1"/>
  <c r="F222"/>
  <c r="AA222" s="1"/>
  <c r="Z199"/>
  <c r="Y199" s="1"/>
  <c r="Y197"/>
  <c r="Y195"/>
  <c r="F192"/>
  <c r="AA192" s="1"/>
  <c r="F140"/>
  <c r="AA140" s="1"/>
  <c r="G135"/>
  <c r="Z110"/>
  <c r="F110" s="1"/>
  <c r="AA110" s="1"/>
  <c r="Z109"/>
  <c r="F109" s="1"/>
  <c r="AA109" s="1"/>
  <c r="Z108"/>
  <c r="Y108" s="1"/>
  <c r="Z107"/>
  <c r="Z105"/>
  <c r="Y105" s="1"/>
  <c r="Z104"/>
  <c r="Y104" s="1"/>
  <c r="F91"/>
  <c r="F90"/>
  <c r="Z86"/>
  <c r="Y86" s="1"/>
  <c r="Z85"/>
  <c r="Y85" s="1"/>
  <c r="Z84"/>
  <c r="Z83" s="1"/>
  <c r="Z82"/>
  <c r="Y82" s="1"/>
  <c r="Z81"/>
  <c r="Y81" s="1"/>
  <c r="Z80"/>
  <c r="Y80" s="1"/>
  <c r="Z79"/>
  <c r="Y79" s="1"/>
  <c r="Z78"/>
  <c r="Y78" s="1"/>
  <c r="Z76"/>
  <c r="Y76" s="1"/>
  <c r="Z75"/>
  <c r="Y75" s="1"/>
  <c r="Z73"/>
  <c r="Y73" s="1"/>
  <c r="Z72"/>
  <c r="Y72" s="1"/>
  <c r="S70"/>
  <c r="Z70" s="1"/>
  <c r="Y70" s="1"/>
  <c r="S69"/>
  <c r="Z69" s="1"/>
  <c r="Y69" s="1"/>
  <c r="Z68"/>
  <c r="Z59"/>
  <c r="Y59" s="1"/>
  <c r="Z58"/>
  <c r="Y58" s="1"/>
  <c r="Z56"/>
  <c r="Y56" s="1"/>
  <c r="Z55"/>
  <c r="Y55" s="1"/>
  <c r="Z53"/>
  <c r="Y53" s="1"/>
  <c r="Z52"/>
  <c r="Y52" s="1"/>
  <c r="Z51"/>
  <c r="Z49"/>
  <c r="Y49" s="1"/>
  <c r="Z48"/>
  <c r="Z46"/>
  <c r="Y46" s="1"/>
  <c r="Z45"/>
  <c r="Y45" s="1"/>
  <c r="Z44"/>
  <c r="Z42"/>
  <c r="Y42" s="1"/>
  <c r="Z41"/>
  <c r="Y41" s="1"/>
  <c r="Z40"/>
  <c r="Y40" s="1"/>
  <c r="Z39"/>
  <c r="Y39" s="1"/>
  <c r="Z38"/>
  <c r="Y38" s="1"/>
  <c r="Z37"/>
  <c r="Z30"/>
  <c r="Y30" s="1"/>
  <c r="Z29"/>
  <c r="Y29" s="1"/>
  <c r="Z27"/>
  <c r="Y27" s="1"/>
  <c r="F27" s="1"/>
  <c r="Z26"/>
  <c r="Y26" s="1"/>
  <c r="Z25"/>
  <c r="Y25" s="1"/>
  <c r="Z24"/>
  <c r="Z22"/>
  <c r="Y22" s="1"/>
  <c r="F22" s="1"/>
  <c r="Z21"/>
  <c r="Y21" s="1"/>
  <c r="F21" s="1"/>
  <c r="G20"/>
  <c r="Z19"/>
  <c r="Y19" s="1"/>
  <c r="Z15"/>
  <c r="Z14" s="1"/>
  <c r="Y14" s="1"/>
  <c r="Z13"/>
  <c r="Z12" s="1"/>
  <c r="Y12" s="1"/>
  <c r="Z11"/>
  <c r="Z10" s="1"/>
  <c r="I6"/>
  <c r="AA321" l="1"/>
  <c r="H321"/>
  <c r="AA322"/>
  <c r="H322"/>
  <c r="AA328"/>
  <c r="H328"/>
  <c r="AA91"/>
  <c r="H91"/>
  <c r="AA326"/>
  <c r="H326"/>
  <c r="H90"/>
  <c r="AA327"/>
  <c r="H327"/>
  <c r="AA280"/>
  <c r="AA279"/>
  <c r="AA370"/>
  <c r="AA271"/>
  <c r="Z57"/>
  <c r="Y57" s="1"/>
  <c r="F57" s="1"/>
  <c r="Z47"/>
  <c r="Y47" s="1"/>
  <c r="F47" s="1"/>
  <c r="Z43"/>
  <c r="Y43" s="1"/>
  <c r="F43" s="1"/>
  <c r="Z247"/>
  <c r="F247" s="1"/>
  <c r="AA247" s="1"/>
  <c r="Y259"/>
  <c r="Z286"/>
  <c r="Y286" s="1"/>
  <c r="Z106"/>
  <c r="Y106" s="1"/>
  <c r="F148"/>
  <c r="AA148" s="1"/>
  <c r="F137"/>
  <c r="AA137" s="1"/>
  <c r="Z192"/>
  <c r="Z293"/>
  <c r="F293" s="1"/>
  <c r="AA293" s="1"/>
  <c r="Y48"/>
  <c r="F60"/>
  <c r="H60" s="1"/>
  <c r="H192"/>
  <c r="Y287"/>
  <c r="AA335"/>
  <c r="AA353"/>
  <c r="F31"/>
  <c r="H31" s="1"/>
  <c r="Z50"/>
  <c r="Y50" s="1"/>
  <c r="F50" s="1"/>
  <c r="Y107"/>
  <c r="F106" s="1"/>
  <c r="Y241"/>
  <c r="AA366"/>
  <c r="Z23"/>
  <c r="Y23" s="1"/>
  <c r="F23" s="1"/>
  <c r="G7"/>
  <c r="F141"/>
  <c r="AA141" s="1"/>
  <c r="Z260"/>
  <c r="F260" s="1"/>
  <c r="AA260" s="1"/>
  <c r="Z266"/>
  <c r="F269"/>
  <c r="AA269" s="1"/>
  <c r="F272"/>
  <c r="F296"/>
  <c r="AA296" s="1"/>
  <c r="Z318"/>
  <c r="Z317" s="1"/>
  <c r="F323"/>
  <c r="AA339"/>
  <c r="AA343"/>
  <c r="Y24"/>
  <c r="Z28"/>
  <c r="Y28" s="1"/>
  <c r="F28" s="1"/>
  <c r="Z36"/>
  <c r="Z67"/>
  <c r="F67" s="1"/>
  <c r="Y71"/>
  <c r="F71" s="1"/>
  <c r="F105"/>
  <c r="AA105" s="1"/>
  <c r="Y109"/>
  <c r="F236"/>
  <c r="Z263"/>
  <c r="Y263" s="1"/>
  <c r="Z283"/>
  <c r="F283" s="1"/>
  <c r="AA283" s="1"/>
  <c r="Y318"/>
  <c r="F318" s="1"/>
  <c r="H318" s="1"/>
  <c r="Y37"/>
  <c r="Y36" s="1"/>
  <c r="F36" s="1"/>
  <c r="Z54"/>
  <c r="F54" s="1"/>
  <c r="Y110"/>
  <c r="AA344"/>
  <c r="Y51"/>
  <c r="Z77"/>
  <c r="F77" s="1"/>
  <c r="Y84"/>
  <c r="F84" s="1"/>
  <c r="F83" s="1"/>
  <c r="H83" s="1"/>
  <c r="F104"/>
  <c r="AA104" s="1"/>
  <c r="Y238"/>
  <c r="Z250"/>
  <c r="Y250" s="1"/>
  <c r="F273"/>
  <c r="AA93"/>
  <c r="F228"/>
  <c r="Z9"/>
  <c r="Y10"/>
  <c r="Z71"/>
  <c r="Z74"/>
  <c r="F82"/>
  <c r="F92"/>
  <c r="F89" s="1"/>
  <c r="F102"/>
  <c r="Z111"/>
  <c r="F227"/>
  <c r="AA227" s="1"/>
  <c r="Z238"/>
  <c r="Z242"/>
  <c r="F253"/>
  <c r="AA253" s="1"/>
  <c r="Z256"/>
  <c r="Z270"/>
  <c r="F298"/>
  <c r="AA298" s="1"/>
  <c r="AA342"/>
  <c r="AA362"/>
  <c r="Y11"/>
  <c r="Y13"/>
  <c r="Y15"/>
  <c r="S16"/>
  <c r="Y44"/>
  <c r="Y68"/>
  <c r="Y294"/>
  <c r="Y297"/>
  <c r="AA348"/>
  <c r="Z89"/>
  <c r="F286" l="1"/>
  <c r="AA286" s="1"/>
  <c r="AA106"/>
  <c r="F103"/>
  <c r="F88" s="1"/>
  <c r="AA88" s="1"/>
  <c r="AA323"/>
  <c r="H323"/>
  <c r="AA92"/>
  <c r="H92"/>
  <c r="AA318"/>
  <c r="F317"/>
  <c r="H317" s="1"/>
  <c r="AA102"/>
  <c r="H102"/>
  <c r="AA228"/>
  <c r="AA272"/>
  <c r="AA273"/>
  <c r="AA236"/>
  <c r="Y77"/>
  <c r="Y67"/>
  <c r="Y260"/>
  <c r="Y283"/>
  <c r="Z282"/>
  <c r="Y54"/>
  <c r="Y293"/>
  <c r="F221"/>
  <c r="F263"/>
  <c r="AA263" s="1"/>
  <c r="F250"/>
  <c r="AA250" s="1"/>
  <c r="Z103"/>
  <c r="F270"/>
  <c r="AA270" s="1"/>
  <c r="Z204"/>
  <c r="G6"/>
  <c r="Y266"/>
  <c r="F266"/>
  <c r="AA266" s="1"/>
  <c r="F204"/>
  <c r="H204" s="1"/>
  <c r="Z334"/>
  <c r="S18"/>
  <c r="Z18" s="1"/>
  <c r="Z16"/>
  <c r="Y16" s="1"/>
  <c r="F16" s="1"/>
  <c r="F242"/>
  <c r="AA242" s="1"/>
  <c r="Y242"/>
  <c r="H156"/>
  <c r="F74"/>
  <c r="Y74"/>
  <c r="Z136"/>
  <c r="F142"/>
  <c r="AA142" s="1"/>
  <c r="Y9"/>
  <c r="F9" s="1"/>
  <c r="Z8"/>
  <c r="F145"/>
  <c r="AA145" s="1"/>
  <c r="F256"/>
  <c r="AA256" s="1"/>
  <c r="Y256"/>
  <c r="Z255"/>
  <c r="F238"/>
  <c r="AA238" s="1"/>
  <c r="Z237"/>
  <c r="Z156"/>
  <c r="Z370"/>
  <c r="F282" l="1"/>
  <c r="F281" s="1"/>
  <c r="H89"/>
  <c r="H270"/>
  <c r="F332"/>
  <c r="AA334"/>
  <c r="AA89"/>
  <c r="AA317"/>
  <c r="AA204"/>
  <c r="H221"/>
  <c r="AA221"/>
  <c r="H103"/>
  <c r="AA103"/>
  <c r="H299"/>
  <c r="AA299"/>
  <c r="AA156"/>
  <c r="H334"/>
  <c r="F136"/>
  <c r="F20"/>
  <c r="H20" s="1"/>
  <c r="F237"/>
  <c r="AA237" s="1"/>
  <c r="F255"/>
  <c r="AA255" s="1"/>
  <c r="H88"/>
  <c r="Y18"/>
  <c r="Z17"/>
  <c r="Y17" s="1"/>
  <c r="F17" s="1"/>
  <c r="H282" l="1"/>
  <c r="AA282"/>
  <c r="H332"/>
  <c r="AA332"/>
  <c r="H281"/>
  <c r="AA281"/>
  <c r="H136"/>
  <c r="AA136"/>
  <c r="F135"/>
  <c r="AA135" s="1"/>
  <c r="F8"/>
  <c r="F7" s="1"/>
  <c r="H255"/>
  <c r="F254"/>
  <c r="H237"/>
  <c r="F203"/>
  <c r="H254" l="1"/>
  <c r="AA254"/>
  <c r="H203"/>
  <c r="AA203"/>
  <c r="H8"/>
  <c r="H7" s="1"/>
  <c r="F87"/>
  <c r="H135"/>
  <c r="H87" l="1"/>
  <c r="AA87"/>
  <c r="F6"/>
  <c r="H6" s="1"/>
  <c r="Z335" i="135"/>
  <c r="Y335" s="1"/>
  <c r="F335" s="1"/>
  <c r="AA335" s="1"/>
  <c r="Z334"/>
  <c r="Y334" s="1"/>
  <c r="F334" s="1"/>
  <c r="AA334" s="1"/>
  <c r="Z333"/>
  <c r="Y333" s="1"/>
  <c r="F333" s="1"/>
  <c r="AA333" s="1"/>
  <c r="Z332"/>
  <c r="Y332" s="1"/>
  <c r="F332" s="1"/>
  <c r="AA332" s="1"/>
  <c r="Z331"/>
  <c r="Y331" s="1"/>
  <c r="F331" s="1"/>
  <c r="AA331" s="1"/>
  <c r="Z330"/>
  <c r="Y330" s="1"/>
  <c r="F330" s="1"/>
  <c r="AA330" s="1"/>
  <c r="Z329"/>
  <c r="Y329" s="1"/>
  <c r="F329" s="1"/>
  <c r="AA329" s="1"/>
  <c r="Z328"/>
  <c r="Y328" s="1"/>
  <c r="F328" s="1"/>
  <c r="Z327"/>
  <c r="G326"/>
  <c r="Z325"/>
  <c r="Y325" s="1"/>
  <c r="F325" s="1"/>
  <c r="AA325" s="1"/>
  <c r="Z324"/>
  <c r="Y324" s="1"/>
  <c r="F324" s="1"/>
  <c r="F323" s="1"/>
  <c r="Z323"/>
  <c r="Z322"/>
  <c r="Y322" s="1"/>
  <c r="F322" s="1"/>
  <c r="AA322" s="1"/>
  <c r="Z321"/>
  <c r="F321"/>
  <c r="AA321" s="1"/>
  <c r="Z320"/>
  <c r="Y320" s="1"/>
  <c r="F320" s="1"/>
  <c r="AA320" s="1"/>
  <c r="Z319"/>
  <c r="Y319" s="1"/>
  <c r="F319" s="1"/>
  <c r="Z316"/>
  <c r="Y316"/>
  <c r="F316" s="1"/>
  <c r="AA316" s="1"/>
  <c r="G315"/>
  <c r="G275" s="1"/>
  <c r="Z314"/>
  <c r="Y314" s="1"/>
  <c r="F314" s="1"/>
  <c r="AA314" s="1"/>
  <c r="Z313"/>
  <c r="Y313" s="1"/>
  <c r="F313" s="1"/>
  <c r="AA313" s="1"/>
  <c r="Z312"/>
  <c r="Y312" s="1"/>
  <c r="F312" s="1"/>
  <c r="AA312" s="1"/>
  <c r="Z311"/>
  <c r="Y311" s="1"/>
  <c r="F311" s="1"/>
  <c r="AA311" s="1"/>
  <c r="Z310"/>
  <c r="Y310"/>
  <c r="Z309"/>
  <c r="Y309"/>
  <c r="Y306"/>
  <c r="Z305"/>
  <c r="Y305" s="1"/>
  <c r="Z304"/>
  <c r="Y304" s="1"/>
  <c r="Z303"/>
  <c r="Y303" s="1"/>
  <c r="F302"/>
  <c r="Z301"/>
  <c r="F301"/>
  <c r="AA301" s="1"/>
  <c r="Z300"/>
  <c r="Z299"/>
  <c r="Z298"/>
  <c r="F297"/>
  <c r="AA297" s="1"/>
  <c r="Z296"/>
  <c r="F296"/>
  <c r="AA296" s="1"/>
  <c r="Z295"/>
  <c r="Z294"/>
  <c r="F293"/>
  <c r="AA293" s="1"/>
  <c r="Z292"/>
  <c r="F292"/>
  <c r="AA292" s="1"/>
  <c r="Z291"/>
  <c r="F291"/>
  <c r="AA291" s="1"/>
  <c r="Z290"/>
  <c r="Y290" s="1"/>
  <c r="F290" s="1"/>
  <c r="AA290" s="1"/>
  <c r="Z279"/>
  <c r="Y279"/>
  <c r="F279" s="1"/>
  <c r="AA279" s="1"/>
  <c r="Z278"/>
  <c r="Y278"/>
  <c r="F278" s="1"/>
  <c r="AA278" s="1"/>
  <c r="Z277"/>
  <c r="Y277"/>
  <c r="F277" s="1"/>
  <c r="AA277" s="1"/>
  <c r="AA272"/>
  <c r="AA271"/>
  <c r="AA266"/>
  <c r="AA265"/>
  <c r="AA264"/>
  <c r="G262"/>
  <c r="AA242"/>
  <c r="F236"/>
  <c r="AA236" s="1"/>
  <c r="F235"/>
  <c r="F233"/>
  <c r="F232"/>
  <c r="AA232" s="1"/>
  <c r="F231"/>
  <c r="G198"/>
  <c r="AA205"/>
  <c r="Z197"/>
  <c r="Y197" s="1"/>
  <c r="F197" s="1"/>
  <c r="AA197" s="1"/>
  <c r="Z196"/>
  <c r="Y196" s="1"/>
  <c r="F196" s="1"/>
  <c r="AA196" s="1"/>
  <c r="Z195"/>
  <c r="Y195" s="1"/>
  <c r="Z194"/>
  <c r="Y194" s="1"/>
  <c r="Z193"/>
  <c r="Z191"/>
  <c r="Y191" s="1"/>
  <c r="F191" s="1"/>
  <c r="AA191" s="1"/>
  <c r="Z190"/>
  <c r="Y190" s="1"/>
  <c r="F190" s="1"/>
  <c r="Z143"/>
  <c r="Y143" s="1"/>
  <c r="F143" s="1"/>
  <c r="AA143" s="1"/>
  <c r="Z142"/>
  <c r="Y142" s="1"/>
  <c r="F142" s="1"/>
  <c r="AA142" s="1"/>
  <c r="Z141"/>
  <c r="Y141" s="1"/>
  <c r="F141" s="1"/>
  <c r="AA141" s="1"/>
  <c r="Z140"/>
  <c r="Y140" s="1"/>
  <c r="Z139"/>
  <c r="Y139" s="1"/>
  <c r="Z138"/>
  <c r="Y138" s="1"/>
  <c r="Z137"/>
  <c r="Y137" s="1"/>
  <c r="Z136"/>
  <c r="Z134"/>
  <c r="Y134" s="1"/>
  <c r="F134" s="1"/>
  <c r="AA134" s="1"/>
  <c r="Z132"/>
  <c r="Y132" s="1"/>
  <c r="Z131"/>
  <c r="Y131" s="1"/>
  <c r="F129"/>
  <c r="AA129" s="1"/>
  <c r="Z128"/>
  <c r="Y128" s="1"/>
  <c r="F128" s="1"/>
  <c r="Z127"/>
  <c r="Z126"/>
  <c r="Z124"/>
  <c r="Y124" s="1"/>
  <c r="Z123"/>
  <c r="Y123" s="1"/>
  <c r="Z122"/>
  <c r="Y122" s="1"/>
  <c r="Z120"/>
  <c r="Y120" s="1"/>
  <c r="F120" s="1"/>
  <c r="AA120" s="1"/>
  <c r="Z119"/>
  <c r="Y119" s="1"/>
  <c r="Z118"/>
  <c r="Y118" s="1"/>
  <c r="Z117"/>
  <c r="Y117" s="1"/>
  <c r="Z116"/>
  <c r="Y116" s="1"/>
  <c r="Z114"/>
  <c r="Y114" s="1"/>
  <c r="F114" s="1"/>
  <c r="AA114" s="1"/>
  <c r="Z113"/>
  <c r="Y113" s="1"/>
  <c r="F113" s="1"/>
  <c r="AA113" s="1"/>
  <c r="Z112"/>
  <c r="Y112" s="1"/>
  <c r="F112" s="1"/>
  <c r="AA112" s="1"/>
  <c r="Z111"/>
  <c r="Z110"/>
  <c r="Z108"/>
  <c r="Y108" s="1"/>
  <c r="F108" s="1"/>
  <c r="Z106"/>
  <c r="Y106" s="1"/>
  <c r="F106" s="1"/>
  <c r="AA106" s="1"/>
  <c r="Z105"/>
  <c r="Y105" s="1"/>
  <c r="Z104"/>
  <c r="Y104" s="1"/>
  <c r="Z103"/>
  <c r="Y103" s="1"/>
  <c r="Z102"/>
  <c r="Y102" s="1"/>
  <c r="Z100"/>
  <c r="Y100" s="1"/>
  <c r="Z99"/>
  <c r="Y99" s="1"/>
  <c r="Z97"/>
  <c r="Y97" s="1"/>
  <c r="Z96"/>
  <c r="Y96" s="1"/>
  <c r="Z95"/>
  <c r="Y95" s="1"/>
  <c r="S93"/>
  <c r="Z93" s="1"/>
  <c r="Z92"/>
  <c r="Y92" s="1"/>
  <c r="S91"/>
  <c r="Z91" s="1"/>
  <c r="Y91" s="1"/>
  <c r="Z90"/>
  <c r="Y90" s="1"/>
  <c r="Z89"/>
  <c r="Y89" s="1"/>
  <c r="Z87"/>
  <c r="Y87" s="1"/>
  <c r="Z86"/>
  <c r="Y86" s="1"/>
  <c r="Z85"/>
  <c r="Z83"/>
  <c r="Y83" s="1"/>
  <c r="Z82"/>
  <c r="Y82" s="1"/>
  <c r="Z80"/>
  <c r="Y80" s="1"/>
  <c r="Z79"/>
  <c r="Y79" s="1"/>
  <c r="Z78"/>
  <c r="Y78" s="1"/>
  <c r="Z77"/>
  <c r="Y77" s="1"/>
  <c r="Z76"/>
  <c r="Z74"/>
  <c r="Y74" s="1"/>
  <c r="Z73"/>
  <c r="Y73" s="1"/>
  <c r="Z72"/>
  <c r="Y72" s="1"/>
  <c r="Z71"/>
  <c r="Y71" s="1"/>
  <c r="Z69"/>
  <c r="Y69" s="1"/>
  <c r="Z68"/>
  <c r="Y68" s="1"/>
  <c r="Z67"/>
  <c r="Y67" s="1"/>
  <c r="Z66"/>
  <c r="Z65"/>
  <c r="Y65" s="1"/>
  <c r="Z63"/>
  <c r="Y63" s="1"/>
  <c r="Z62"/>
  <c r="Z60"/>
  <c r="Y60" s="1"/>
  <c r="Z59"/>
  <c r="Y59" s="1"/>
  <c r="Z58"/>
  <c r="Y58" s="1"/>
  <c r="Z57"/>
  <c r="Y57" s="1"/>
  <c r="Z56"/>
  <c r="Y56" s="1"/>
  <c r="Z55"/>
  <c r="Y55" s="1"/>
  <c r="Z52"/>
  <c r="Y52" s="1"/>
  <c r="Z51"/>
  <c r="Y51" s="1"/>
  <c r="Z50"/>
  <c r="Z48"/>
  <c r="Z47"/>
  <c r="Y47" s="1"/>
  <c r="Z45"/>
  <c r="Y45" s="1"/>
  <c r="Z44"/>
  <c r="Y44" s="1"/>
  <c r="Z42"/>
  <c r="Y42" s="1"/>
  <c r="Z41"/>
  <c r="Y41" s="1"/>
  <c r="Z40"/>
  <c r="Y40" s="1"/>
  <c r="Z39"/>
  <c r="Y39" s="1"/>
  <c r="Z38"/>
  <c r="Z37"/>
  <c r="Y37" s="1"/>
  <c r="Z36"/>
  <c r="Y36" s="1"/>
  <c r="Z28"/>
  <c r="Y28"/>
  <c r="Z27"/>
  <c r="Y27"/>
  <c r="Z25"/>
  <c r="Y25"/>
  <c r="Z24"/>
  <c r="Y24"/>
  <c r="Z22"/>
  <c r="Y22"/>
  <c r="F22" s="1"/>
  <c r="AA22" s="1"/>
  <c r="Z21"/>
  <c r="Y21"/>
  <c r="F21" s="1"/>
  <c r="AA21" s="1"/>
  <c r="Z19"/>
  <c r="Y19" s="1"/>
  <c r="Z15"/>
  <c r="Y15" s="1"/>
  <c r="Z13"/>
  <c r="Y13" s="1"/>
  <c r="Z11"/>
  <c r="Z10" s="1"/>
  <c r="AA128" l="1"/>
  <c r="H128"/>
  <c r="F127"/>
  <c r="H127" s="1"/>
  <c r="AA231"/>
  <c r="AA319"/>
  <c r="F318"/>
  <c r="AA190"/>
  <c r="AA328"/>
  <c r="F327"/>
  <c r="F107"/>
  <c r="AA108"/>
  <c r="H302"/>
  <c r="AA302"/>
  <c r="AA235"/>
  <c r="H235"/>
  <c r="AA324"/>
  <c r="AA233"/>
  <c r="H233"/>
  <c r="AA280"/>
  <c r="Z308"/>
  <c r="Y308" s="1"/>
  <c r="F308" s="1"/>
  <c r="AA308" s="1"/>
  <c r="Z135"/>
  <c r="Y135" s="1"/>
  <c r="F135" s="1"/>
  <c r="AA135" s="1"/>
  <c r="F289"/>
  <c r="Z61"/>
  <c r="Z107"/>
  <c r="Z23"/>
  <c r="Y93"/>
  <c r="AA267"/>
  <c r="Z26"/>
  <c r="Y26" s="1"/>
  <c r="F26" s="1"/>
  <c r="AA26" s="1"/>
  <c r="Z209"/>
  <c r="Z318"/>
  <c r="Z35"/>
  <c r="Y35" s="1"/>
  <c r="F35" s="1"/>
  <c r="AA35" s="1"/>
  <c r="Z81"/>
  <c r="Y81" s="1"/>
  <c r="F81" s="1"/>
  <c r="AA81" s="1"/>
  <c r="AA327"/>
  <c r="Z84"/>
  <c r="Y84" s="1"/>
  <c r="F84" s="1"/>
  <c r="AA84" s="1"/>
  <c r="Z14"/>
  <c r="Y14" s="1"/>
  <c r="Y23"/>
  <c r="F23" s="1"/>
  <c r="AA23" s="1"/>
  <c r="F29"/>
  <c r="AA29" s="1"/>
  <c r="Y62"/>
  <c r="Y61" s="1"/>
  <c r="Z101"/>
  <c r="Y101" s="1"/>
  <c r="F101" s="1"/>
  <c r="AA101" s="1"/>
  <c r="Z12"/>
  <c r="Y12" s="1"/>
  <c r="Z49"/>
  <c r="Y49" s="1"/>
  <c r="F49" s="1"/>
  <c r="AA49" s="1"/>
  <c r="Z94"/>
  <c r="Y94" s="1"/>
  <c r="F94" s="1"/>
  <c r="AA94" s="1"/>
  <c r="Z192"/>
  <c r="Y192" s="1"/>
  <c r="F192" s="1"/>
  <c r="F189" s="1"/>
  <c r="Z276"/>
  <c r="F326"/>
  <c r="Y11"/>
  <c r="Y38"/>
  <c r="Z43"/>
  <c r="Z88"/>
  <c r="Y88" s="1"/>
  <c r="F88" s="1"/>
  <c r="AA88" s="1"/>
  <c r="Z121"/>
  <c r="Y121" s="1"/>
  <c r="F121" s="1"/>
  <c r="AA121" s="1"/>
  <c r="Y136"/>
  <c r="F201"/>
  <c r="Z293"/>
  <c r="Z289" s="1"/>
  <c r="Z302"/>
  <c r="Z75"/>
  <c r="Y75" s="1"/>
  <c r="G7"/>
  <c r="Z46"/>
  <c r="Y46" s="1"/>
  <c r="F46" s="1"/>
  <c r="AA46" s="1"/>
  <c r="Z70"/>
  <c r="Z130"/>
  <c r="Y130" s="1"/>
  <c r="F130" s="1"/>
  <c r="AA130" s="1"/>
  <c r="AA206"/>
  <c r="Y10"/>
  <c r="F276"/>
  <c r="AA276" s="1"/>
  <c r="F315"/>
  <c r="Y70"/>
  <c r="F144"/>
  <c r="AA144" s="1"/>
  <c r="AA263"/>
  <c r="Y64"/>
  <c r="AA318"/>
  <c r="H220"/>
  <c r="Z54"/>
  <c r="Z64"/>
  <c r="Z98"/>
  <c r="Y98" s="1"/>
  <c r="F98" s="1"/>
  <c r="AA98" s="1"/>
  <c r="Z115"/>
  <c r="Y115" s="1"/>
  <c r="F115" s="1"/>
  <c r="AA115" s="1"/>
  <c r="Y50"/>
  <c r="Y76"/>
  <c r="Y85"/>
  <c r="Y193"/>
  <c r="Z263"/>
  <c r="Z262" s="1"/>
  <c r="AA201" l="1"/>
  <c r="H327"/>
  <c r="AA127"/>
  <c r="F307"/>
  <c r="AA307" s="1"/>
  <c r="Z189"/>
  <c r="Z9"/>
  <c r="Y9" s="1"/>
  <c r="F9" s="1"/>
  <c r="H209"/>
  <c r="AA209"/>
  <c r="H326"/>
  <c r="AA326"/>
  <c r="AA199"/>
  <c r="H289"/>
  <c r="AA289"/>
  <c r="H107"/>
  <c r="AA107"/>
  <c r="H307"/>
  <c r="H315"/>
  <c r="AA315"/>
  <c r="AA192"/>
  <c r="AA237"/>
  <c r="H323"/>
  <c r="AA323"/>
  <c r="G6"/>
  <c r="Y43"/>
  <c r="F43" s="1"/>
  <c r="AA43" s="1"/>
  <c r="F111"/>
  <c r="AA111" s="1"/>
  <c r="Z199"/>
  <c r="S16"/>
  <c r="S18" s="1"/>
  <c r="Z18" s="1"/>
  <c r="F234"/>
  <c r="F230" s="1"/>
  <c r="Z230"/>
  <c r="Z53"/>
  <c r="Y53" s="1"/>
  <c r="Y54"/>
  <c r="H318"/>
  <c r="F317"/>
  <c r="F275"/>
  <c r="H276"/>
  <c r="F262"/>
  <c r="Z237"/>
  <c r="AA9" l="1"/>
  <c r="H275"/>
  <c r="AA275"/>
  <c r="H317"/>
  <c r="AA317"/>
  <c r="H189"/>
  <c r="AA189"/>
  <c r="H234"/>
  <c r="AA230"/>
  <c r="AA234"/>
  <c r="H262"/>
  <c r="AA262"/>
  <c r="Z16"/>
  <c r="Y16" s="1"/>
  <c r="F16" s="1"/>
  <c r="AA16" s="1"/>
  <c r="F53"/>
  <c r="Z17"/>
  <c r="Y17" s="1"/>
  <c r="F17" s="1"/>
  <c r="AA17" s="1"/>
  <c r="Y18"/>
  <c r="H111"/>
  <c r="F110"/>
  <c r="AA110" s="1"/>
  <c r="F126"/>
  <c r="AA126" s="1"/>
  <c r="F8" l="1"/>
  <c r="F198"/>
  <c r="F109" s="1"/>
  <c r="F20"/>
  <c r="AA20" s="1"/>
  <c r="AA53"/>
  <c r="H230"/>
  <c r="H126"/>
  <c r="H110"/>
  <c r="H198" l="1"/>
  <c r="AA198"/>
  <c r="F7"/>
  <c r="H20"/>
  <c r="H109"/>
  <c r="AA109"/>
  <c r="H8"/>
  <c r="H7" l="1"/>
  <c r="H6" s="1"/>
  <c r="F6"/>
  <c r="Z385" i="134" l="1"/>
  <c r="F385"/>
  <c r="G384"/>
  <c r="G350" s="1"/>
  <c r="Z383"/>
  <c r="Y383" s="1"/>
  <c r="F383" s="1"/>
  <c r="Z382"/>
  <c r="Y382" s="1"/>
  <c r="F382" s="1"/>
  <c r="Z381"/>
  <c r="Y381" s="1"/>
  <c r="Z380"/>
  <c r="Z378"/>
  <c r="Y378" s="1"/>
  <c r="Z377"/>
  <c r="Y377" s="1"/>
  <c r="Z375"/>
  <c r="Y375" s="1"/>
  <c r="F375" s="1"/>
  <c r="F374"/>
  <c r="Z373"/>
  <c r="Y373" s="1"/>
  <c r="F373" s="1"/>
  <c r="Z372"/>
  <c r="Y372" s="1"/>
  <c r="F372" s="1"/>
  <c r="Z371"/>
  <c r="Y371" s="1"/>
  <c r="F371" s="1"/>
  <c r="F370"/>
  <c r="F369"/>
  <c r="Z368"/>
  <c r="Y368" s="1"/>
  <c r="Z367"/>
  <c r="F365"/>
  <c r="F364"/>
  <c r="F363"/>
  <c r="F362"/>
  <c r="S360"/>
  <c r="Z360" s="1"/>
  <c r="Y360" s="1"/>
  <c r="F357"/>
  <c r="Z356"/>
  <c r="Y356" s="1"/>
  <c r="Z354"/>
  <c r="Y354" s="1"/>
  <c r="G338"/>
  <c r="Y337"/>
  <c r="F337" s="1"/>
  <c r="Y336"/>
  <c r="F336" s="1"/>
  <c r="Y335"/>
  <c r="Y334"/>
  <c r="Y333"/>
  <c r="Z333" s="1"/>
  <c r="Y332"/>
  <c r="Z332" s="1"/>
  <c r="Y331"/>
  <c r="Z331" s="1"/>
  <c r="Y330"/>
  <c r="Y329"/>
  <c r="Z329" s="1"/>
  <c r="Y327"/>
  <c r="Y326"/>
  <c r="Y324"/>
  <c r="F324" s="1"/>
  <c r="Y323"/>
  <c r="F323" s="1"/>
  <c r="Y322"/>
  <c r="F322" s="1"/>
  <c r="Y321"/>
  <c r="Y320"/>
  <c r="Y318"/>
  <c r="Z318" s="1"/>
  <c r="Y316"/>
  <c r="Y314"/>
  <c r="Z313"/>
  <c r="Y313" s="1"/>
  <c r="F313" s="1"/>
  <c r="F312" s="1"/>
  <c r="G311"/>
  <c r="Y310"/>
  <c r="F310" s="1"/>
  <c r="Y309"/>
  <c r="F309" s="1"/>
  <c r="Y308"/>
  <c r="F308" s="1"/>
  <c r="Y307"/>
  <c r="F307" s="1"/>
  <c r="Y305"/>
  <c r="F305" s="1"/>
  <c r="Y304"/>
  <c r="F304" s="1"/>
  <c r="Y303"/>
  <c r="F303" s="1"/>
  <c r="Y302"/>
  <c r="F302" s="1"/>
  <c r="Y301"/>
  <c r="Y300"/>
  <c r="Y298"/>
  <c r="F298" s="1"/>
  <c r="Y297"/>
  <c r="F297" s="1"/>
  <c r="F295"/>
  <c r="H295" s="1"/>
  <c r="F294"/>
  <c r="F293"/>
  <c r="H293" s="1"/>
  <c r="F292"/>
  <c r="F291"/>
  <c r="Z273"/>
  <c r="H273"/>
  <c r="F266"/>
  <c r="H266" s="1"/>
  <c r="Y265"/>
  <c r="Z265" s="1"/>
  <c r="Y264"/>
  <c r="F264" s="1"/>
  <c r="Y263"/>
  <c r="Z263" s="1"/>
  <c r="Y262"/>
  <c r="Z262" s="1"/>
  <c r="Y261"/>
  <c r="Z261" s="1"/>
  <c r="Y260"/>
  <c r="Z260" s="1"/>
  <c r="Y258"/>
  <c r="Z258" s="1"/>
  <c r="Y257"/>
  <c r="F257" s="1"/>
  <c r="Y256"/>
  <c r="F256" s="1"/>
  <c r="Y255"/>
  <c r="F255" s="1"/>
  <c r="Y254"/>
  <c r="Z254" s="1"/>
  <c r="Y251"/>
  <c r="F251" s="1"/>
  <c r="Y250"/>
  <c r="F250" s="1"/>
  <c r="Y249"/>
  <c r="F249" s="1"/>
  <c r="Y248"/>
  <c r="Y247"/>
  <c r="F246"/>
  <c r="Y245"/>
  <c r="Y244"/>
  <c r="F243"/>
  <c r="Y241"/>
  <c r="Y240"/>
  <c r="Y239"/>
  <c r="F237"/>
  <c r="H237" s="1"/>
  <c r="Z217"/>
  <c r="H217"/>
  <c r="Y214"/>
  <c r="F214" s="1"/>
  <c r="Y211"/>
  <c r="F211" s="1"/>
  <c r="Y208"/>
  <c r="F208" s="1"/>
  <c r="F207"/>
  <c r="Y206"/>
  <c r="F206" s="1"/>
  <c r="F204"/>
  <c r="F203"/>
  <c r="H187"/>
  <c r="F167"/>
  <c r="Y165"/>
  <c r="F165" s="1"/>
  <c r="Y164"/>
  <c r="Y163"/>
  <c r="Y162"/>
  <c r="Y161"/>
  <c r="Y159"/>
  <c r="Y158"/>
  <c r="F156"/>
  <c r="Y155"/>
  <c r="F155" s="1"/>
  <c r="H135"/>
  <c r="F129"/>
  <c r="H129" s="1"/>
  <c r="F128"/>
  <c r="H128" s="1"/>
  <c r="F117"/>
  <c r="H117" s="1"/>
  <c r="F113"/>
  <c r="Z90"/>
  <c r="Y90" s="1"/>
  <c r="Z89"/>
  <c r="Y89" s="1"/>
  <c r="Z88"/>
  <c r="Y88" s="1"/>
  <c r="Z85"/>
  <c r="Y85" s="1"/>
  <c r="F85" s="1"/>
  <c r="Z84"/>
  <c r="Y84" s="1"/>
  <c r="Z83"/>
  <c r="Y83" s="1"/>
  <c r="Z82"/>
  <c r="Z80"/>
  <c r="Y80" s="1"/>
  <c r="Z79"/>
  <c r="Y79" s="1"/>
  <c r="Z77"/>
  <c r="Y77" s="1"/>
  <c r="Z76"/>
  <c r="Y76" s="1"/>
  <c r="Z75"/>
  <c r="Y75" s="1"/>
  <c r="Z74"/>
  <c r="Y74" s="1"/>
  <c r="Z72"/>
  <c r="Y72" s="1"/>
  <c r="Z71"/>
  <c r="Y71" s="1"/>
  <c r="Z70"/>
  <c r="Y70" s="1"/>
  <c r="Z69"/>
  <c r="Y69" s="1"/>
  <c r="Y68"/>
  <c r="Z66"/>
  <c r="Y66" s="1"/>
  <c r="Z65"/>
  <c r="Y65" s="1"/>
  <c r="Z64"/>
  <c r="Y64" s="1"/>
  <c r="Z63"/>
  <c r="Y63" s="1"/>
  <c r="Z62"/>
  <c r="Y62" s="1"/>
  <c r="Z60"/>
  <c r="Y60" s="1"/>
  <c r="F60" s="1"/>
  <c r="Z59"/>
  <c r="Y59" s="1"/>
  <c r="Y57" s="1"/>
  <c r="F57" s="1"/>
  <c r="Z58"/>
  <c r="Z56"/>
  <c r="Y56" s="1"/>
  <c r="Z55"/>
  <c r="Y55" s="1"/>
  <c r="Z54"/>
  <c r="Y54" s="1"/>
  <c r="Z52"/>
  <c r="Y52" s="1"/>
  <c r="Z51"/>
  <c r="Y51" s="1"/>
  <c r="Z49"/>
  <c r="Y49" s="1"/>
  <c r="Z48"/>
  <c r="Y48" s="1"/>
  <c r="Z47"/>
  <c r="Z45"/>
  <c r="Y45" s="1"/>
  <c r="Z44"/>
  <c r="Y44" s="1"/>
  <c r="Z43"/>
  <c r="Y43" s="1"/>
  <c r="Z42"/>
  <c r="Y42" s="1"/>
  <c r="Z40"/>
  <c r="Y40" s="1"/>
  <c r="Z39"/>
  <c r="Y39" s="1"/>
  <c r="Z38"/>
  <c r="Y38" s="1"/>
  <c r="Z37"/>
  <c r="Y37" s="1"/>
  <c r="Z36"/>
  <c r="Y36" s="1"/>
  <c r="Z34"/>
  <c r="Y34" s="1"/>
  <c r="Z33"/>
  <c r="Y33" s="1"/>
  <c r="Z31"/>
  <c r="Y31" s="1"/>
  <c r="Z30"/>
  <c r="Y30" s="1"/>
  <c r="Z28"/>
  <c r="Y28" s="1"/>
  <c r="Z27"/>
  <c r="Y27" s="1"/>
  <c r="Z26"/>
  <c r="Y26" s="1"/>
  <c r="Z24"/>
  <c r="Y24" s="1"/>
  <c r="F24" s="1"/>
  <c r="Z23"/>
  <c r="Y23" s="1"/>
  <c r="Z22"/>
  <c r="Y22" s="1"/>
  <c r="G20"/>
  <c r="Z19"/>
  <c r="Y19" s="1"/>
  <c r="Z15"/>
  <c r="Y15" s="1"/>
  <c r="Z13"/>
  <c r="Y13" s="1"/>
  <c r="Z11"/>
  <c r="AC10" s="1"/>
  <c r="G8"/>
  <c r="H113" l="1"/>
  <c r="F202"/>
  <c r="H202" s="1"/>
  <c r="Z221"/>
  <c r="Y157"/>
  <c r="F157" s="1"/>
  <c r="Z337"/>
  <c r="Z81"/>
  <c r="Y81" s="1"/>
  <c r="F81" s="1"/>
  <c r="Z87"/>
  <c r="Y87" s="1"/>
  <c r="F87" s="1"/>
  <c r="F86" s="1"/>
  <c r="H86" s="1"/>
  <c r="F118"/>
  <c r="H118" s="1"/>
  <c r="Z322"/>
  <c r="Z336"/>
  <c r="F130"/>
  <c r="H130" s="1"/>
  <c r="F173"/>
  <c r="H173" s="1"/>
  <c r="Z324"/>
  <c r="Y319"/>
  <c r="F319" s="1"/>
  <c r="Z32"/>
  <c r="Y32" s="1"/>
  <c r="F32" s="1"/>
  <c r="Z57"/>
  <c r="Z46"/>
  <c r="Y46" s="1"/>
  <c r="F46" s="1"/>
  <c r="Z256"/>
  <c r="Y299"/>
  <c r="F299" s="1"/>
  <c r="F296" s="1"/>
  <c r="G91"/>
  <c r="Z41"/>
  <c r="Y41" s="1"/>
  <c r="F41" s="1"/>
  <c r="G349"/>
  <c r="G7"/>
  <c r="F170"/>
  <c r="F258"/>
  <c r="Z264"/>
  <c r="Y376"/>
  <c r="F376" s="1"/>
  <c r="Z73"/>
  <c r="Z78"/>
  <c r="F254"/>
  <c r="Z379"/>
  <c r="F384"/>
  <c r="H384" s="1"/>
  <c r="Y35"/>
  <c r="F35" s="1"/>
  <c r="Z50"/>
  <c r="Y50" s="1"/>
  <c r="F50" s="1"/>
  <c r="S16"/>
  <c r="Z16" s="1"/>
  <c r="Y16" s="1"/>
  <c r="F16" s="1"/>
  <c r="H16" s="1"/>
  <c r="Z29"/>
  <c r="Y29" s="1"/>
  <c r="F29" s="1"/>
  <c r="F176"/>
  <c r="H176" s="1"/>
  <c r="Z257"/>
  <c r="F265"/>
  <c r="F286"/>
  <c r="F318"/>
  <c r="Z323"/>
  <c r="Y328"/>
  <c r="F328" s="1"/>
  <c r="Z339"/>
  <c r="Z338" s="1"/>
  <c r="Z355"/>
  <c r="Y355" s="1"/>
  <c r="Y367"/>
  <c r="Y366" s="1"/>
  <c r="F366" s="1"/>
  <c r="F205"/>
  <c r="H205" s="1"/>
  <c r="Y259"/>
  <c r="F259" s="1"/>
  <c r="Y325"/>
  <c r="F325" s="1"/>
  <c r="Y380"/>
  <c r="Y379" s="1"/>
  <c r="F379" s="1"/>
  <c r="Z21"/>
  <c r="Y21" s="1"/>
  <c r="F21" s="1"/>
  <c r="Z25"/>
  <c r="Z35"/>
  <c r="Y47"/>
  <c r="Z53"/>
  <c r="Y53" s="1"/>
  <c r="F53" s="1"/>
  <c r="F114"/>
  <c r="H114" s="1"/>
  <c r="Z237"/>
  <c r="F242"/>
  <c r="F220" s="1"/>
  <c r="Z353"/>
  <c r="Z376"/>
  <c r="Y25"/>
  <c r="F25" s="1"/>
  <c r="F123"/>
  <c r="H123" s="1"/>
  <c r="Y160"/>
  <c r="F160" s="1"/>
  <c r="H312"/>
  <c r="Y73"/>
  <c r="F73" s="1"/>
  <c r="Y61"/>
  <c r="F61" s="1"/>
  <c r="Y78"/>
  <c r="F78" s="1"/>
  <c r="F306"/>
  <c r="Z10"/>
  <c r="Z12"/>
  <c r="Y12" s="1"/>
  <c r="Z14"/>
  <c r="Y14" s="1"/>
  <c r="Z61"/>
  <c r="Z266"/>
  <c r="Z330"/>
  <c r="Z366"/>
  <c r="Z135"/>
  <c r="Z187"/>
  <c r="Z255"/>
  <c r="Z67"/>
  <c r="Y67" s="1"/>
  <c r="F67" s="1"/>
  <c r="Y82"/>
  <c r="Y11"/>
  <c r="F112" l="1"/>
  <c r="H112" s="1"/>
  <c r="Z202"/>
  <c r="F285"/>
  <c r="F284" s="1"/>
  <c r="H286"/>
  <c r="F361"/>
  <c r="H361" s="1"/>
  <c r="Z259"/>
  <c r="F166"/>
  <c r="H166" s="1"/>
  <c r="S18"/>
  <c r="Z18" s="1"/>
  <c r="Y18" s="1"/>
  <c r="F253"/>
  <c r="H253" s="1"/>
  <c r="Z328"/>
  <c r="Z325" s="1"/>
  <c r="Z319" s="1"/>
  <c r="Z352"/>
  <c r="Y352" s="1"/>
  <c r="F352" s="1"/>
  <c r="Y353"/>
  <c r="S359" s="1"/>
  <c r="Z359" s="1"/>
  <c r="Y359" s="1"/>
  <c r="G6"/>
  <c r="G5" s="1"/>
  <c r="Z242"/>
  <c r="Z93"/>
  <c r="H242"/>
  <c r="F20"/>
  <c r="H20" s="1"/>
  <c r="F154"/>
  <c r="F317"/>
  <c r="F339"/>
  <c r="H339" s="1"/>
  <c r="Z296"/>
  <c r="H296"/>
  <c r="H220"/>
  <c r="Z220"/>
  <c r="H306"/>
  <c r="Z306"/>
  <c r="Z285"/>
  <c r="Y10"/>
  <c r="Z9"/>
  <c r="H285" l="1"/>
  <c r="F92"/>
  <c r="Z112"/>
  <c r="F134"/>
  <c r="Z17"/>
  <c r="Y17" s="1"/>
  <c r="F17" s="1"/>
  <c r="H17" s="1"/>
  <c r="F252"/>
  <c r="Z252" s="1"/>
  <c r="Z253"/>
  <c r="Z358"/>
  <c r="Y358" s="1"/>
  <c r="F358" s="1"/>
  <c r="F351" s="1"/>
  <c r="F350" s="1"/>
  <c r="Z166"/>
  <c r="H92"/>
  <c r="H93"/>
  <c r="H317"/>
  <c r="F311"/>
  <c r="H154"/>
  <c r="Y9"/>
  <c r="F9" s="1"/>
  <c r="H9" s="1"/>
  <c r="H284"/>
  <c r="Z284"/>
  <c r="F338"/>
  <c r="H338" s="1"/>
  <c r="H252" l="1"/>
  <c r="Z351"/>
  <c r="Z8"/>
  <c r="Z92"/>
  <c r="Z311"/>
  <c r="H311"/>
  <c r="Z134"/>
  <c r="H134"/>
  <c r="F8"/>
  <c r="F91"/>
  <c r="H351" l="1"/>
  <c r="H8"/>
  <c r="F7"/>
  <c r="F6" s="1"/>
  <c r="Z91"/>
  <c r="H91"/>
  <c r="H7" l="1"/>
  <c r="H350"/>
  <c r="F349"/>
  <c r="F5" s="1"/>
  <c r="H349" l="1"/>
  <c r="D36" i="121"/>
  <c r="H36" s="1"/>
  <c r="J36" s="1"/>
  <c r="H6" i="134"/>
  <c r="H5"/>
  <c r="F286" i="154" l="1"/>
  <c r="G285"/>
  <c r="F284"/>
  <c r="AA284" s="1"/>
  <c r="Y283"/>
  <c r="Y282"/>
  <c r="Y280"/>
  <c r="Y279"/>
  <c r="F277"/>
  <c r="AA277" s="1"/>
  <c r="F276"/>
  <c r="AA276" s="1"/>
  <c r="Y275"/>
  <c r="F275" s="1"/>
  <c r="AA275" s="1"/>
  <c r="F274"/>
  <c r="AA274" s="1"/>
  <c r="Y273"/>
  <c r="F273" s="1"/>
  <c r="AA273" s="1"/>
  <c r="Y272"/>
  <c r="Y271"/>
  <c r="Y269"/>
  <c r="F269" s="1"/>
  <c r="AA269" s="1"/>
  <c r="Y268"/>
  <c r="Y267"/>
  <c r="F265"/>
  <c r="AA265" s="1"/>
  <c r="Y264"/>
  <c r="Y263"/>
  <c r="F261"/>
  <c r="AA261" s="1"/>
  <c r="F260"/>
  <c r="AA260" s="1"/>
  <c r="F259"/>
  <c r="AA259" s="1"/>
  <c r="F258"/>
  <c r="AA258" s="1"/>
  <c r="G257"/>
  <c r="Z256"/>
  <c r="Y256" s="1"/>
  <c r="Z253"/>
  <c r="F253"/>
  <c r="AA253" s="1"/>
  <c r="Y252"/>
  <c r="Y251"/>
  <c r="Z251" s="1"/>
  <c r="Y249"/>
  <c r="Z243"/>
  <c r="Y243" s="1"/>
  <c r="F243" s="1"/>
  <c r="AA243" s="1"/>
  <c r="Z242"/>
  <c r="Y242" s="1"/>
  <c r="F242" s="1"/>
  <c r="AA242" s="1"/>
  <c r="Z241"/>
  <c r="Y241"/>
  <c r="F241" s="1"/>
  <c r="AA241" s="1"/>
  <c r="G239"/>
  <c r="G87" s="1"/>
  <c r="Z238"/>
  <c r="Y238" s="1"/>
  <c r="Z237"/>
  <c r="Z236"/>
  <c r="Z233"/>
  <c r="Y233" s="1"/>
  <c r="Z232"/>
  <c r="Y232" s="1"/>
  <c r="Z231"/>
  <c r="Y231" s="1"/>
  <c r="Z230"/>
  <c r="Y230" s="1"/>
  <c r="Z229"/>
  <c r="Y229" s="1"/>
  <c r="F215"/>
  <c r="AA215" s="1"/>
  <c r="F214"/>
  <c r="AA214" s="1"/>
  <c r="F213"/>
  <c r="AA213" s="1"/>
  <c r="F212"/>
  <c r="AA212" s="1"/>
  <c r="F211"/>
  <c r="AA211" s="1"/>
  <c r="Y191"/>
  <c r="F191" s="1"/>
  <c r="AA191" s="1"/>
  <c r="Y190"/>
  <c r="Y189"/>
  <c r="Y186"/>
  <c r="F186" s="1"/>
  <c r="AA186" s="1"/>
  <c r="Y185"/>
  <c r="Y184"/>
  <c r="Y183"/>
  <c r="Y181"/>
  <c r="Y180"/>
  <c r="Y177"/>
  <c r="F177" s="1"/>
  <c r="AA177" s="1"/>
  <c r="Y176"/>
  <c r="F176" s="1"/>
  <c r="AA176" s="1"/>
  <c r="Y175"/>
  <c r="Y172"/>
  <c r="F172" s="1"/>
  <c r="AA172" s="1"/>
  <c r="Y169"/>
  <c r="F169" s="1"/>
  <c r="Y147"/>
  <c r="Y146"/>
  <c r="Y143"/>
  <c r="Y142"/>
  <c r="F142" s="1"/>
  <c r="AA142" s="1"/>
  <c r="Z114"/>
  <c r="Y114" s="1"/>
  <c r="Z113"/>
  <c r="Y113" s="1"/>
  <c r="Z112"/>
  <c r="Z110"/>
  <c r="Y110" s="1"/>
  <c r="F110" s="1"/>
  <c r="Z109"/>
  <c r="Y109" s="1"/>
  <c r="Z108"/>
  <c r="Y108" s="1"/>
  <c r="Z105"/>
  <c r="Y105" s="1"/>
  <c r="F105" s="1"/>
  <c r="Y103"/>
  <c r="Z102"/>
  <c r="Y102" s="1"/>
  <c r="Z101"/>
  <c r="Y101" s="1"/>
  <c r="Z100"/>
  <c r="Y100" s="1"/>
  <c r="Y98" s="1"/>
  <c r="Z99"/>
  <c r="Y99" s="1"/>
  <c r="Z97"/>
  <c r="Y97" s="1"/>
  <c r="F97" s="1"/>
  <c r="AA97" s="1"/>
  <c r="Z96"/>
  <c r="Y96" s="1"/>
  <c r="F96" s="1"/>
  <c r="AA96" s="1"/>
  <c r="Z95"/>
  <c r="Y95" s="1"/>
  <c r="Z94"/>
  <c r="Y94" s="1"/>
  <c r="Z93"/>
  <c r="Y93" s="1"/>
  <c r="Z92"/>
  <c r="Y92" s="1"/>
  <c r="Z90"/>
  <c r="Y90" s="1"/>
  <c r="F90" s="1"/>
  <c r="AA90" s="1"/>
  <c r="Z86"/>
  <c r="Y86" s="1"/>
  <c r="F86" s="1"/>
  <c r="AA86" s="1"/>
  <c r="Z84"/>
  <c r="Y84" s="1"/>
  <c r="F84" s="1"/>
  <c r="Z83"/>
  <c r="Y83" s="1"/>
  <c r="Z82"/>
  <c r="Y82" s="1"/>
  <c r="Z81"/>
  <c r="Y81" s="1"/>
  <c r="Z80"/>
  <c r="Y80" s="1"/>
  <c r="Z78"/>
  <c r="Y78" s="1"/>
  <c r="Z77"/>
  <c r="Y77" s="1"/>
  <c r="Z75"/>
  <c r="Y75" s="1"/>
  <c r="Z74"/>
  <c r="Y74" s="1"/>
  <c r="Z73"/>
  <c r="Y73" s="1"/>
  <c r="Z71"/>
  <c r="Y71" s="1"/>
  <c r="Z70"/>
  <c r="Y70" s="1"/>
  <c r="Z69"/>
  <c r="Y69" s="1"/>
  <c r="Z68"/>
  <c r="Y68" s="1"/>
  <c r="Z66"/>
  <c r="Y66" s="1"/>
  <c r="Z65"/>
  <c r="Y65" s="1"/>
  <c r="Z64"/>
  <c r="Y64" s="1"/>
  <c r="Z62"/>
  <c r="Y62" s="1"/>
  <c r="Z61"/>
  <c r="Y61" s="1"/>
  <c r="Z59"/>
  <c r="Y59" s="1"/>
  <c r="Z58"/>
  <c r="Y58" s="1"/>
  <c r="Z57"/>
  <c r="Y57" s="1"/>
  <c r="Z56"/>
  <c r="Y56" s="1"/>
  <c r="Z55"/>
  <c r="Y55" s="1"/>
  <c r="Z53"/>
  <c r="Y53" s="1"/>
  <c r="Z52"/>
  <c r="Y52" s="1"/>
  <c r="Z50"/>
  <c r="Y50" s="1"/>
  <c r="Z49"/>
  <c r="Y49" s="1"/>
  <c r="Z47"/>
  <c r="Y47" s="1"/>
  <c r="Z46"/>
  <c r="Y46" s="1"/>
  <c r="Z45"/>
  <c r="Y45" s="1"/>
  <c r="Z44"/>
  <c r="Y44" s="1"/>
  <c r="Z43"/>
  <c r="Y43" s="1"/>
  <c r="Z42"/>
  <c r="Y42" s="1"/>
  <c r="Z41"/>
  <c r="Z39"/>
  <c r="Y39" s="1"/>
  <c r="Z38"/>
  <c r="Y38" s="1"/>
  <c r="Z37"/>
  <c r="Y37" s="1"/>
  <c r="Z36"/>
  <c r="Y36" s="1"/>
  <c r="Z35"/>
  <c r="Y35" s="1"/>
  <c r="Z33"/>
  <c r="Y33" s="1"/>
  <c r="Z32"/>
  <c r="Y32" s="1"/>
  <c r="Z30"/>
  <c r="Y30" s="1"/>
  <c r="Z29"/>
  <c r="Y29" s="1"/>
  <c r="Z28"/>
  <c r="Z26"/>
  <c r="Y26" s="1"/>
  <c r="F26" s="1"/>
  <c r="AA26" s="1"/>
  <c r="Z25"/>
  <c r="Y25" s="1"/>
  <c r="F25" s="1"/>
  <c r="AA25" s="1"/>
  <c r="Z24"/>
  <c r="Y24" s="1"/>
  <c r="Z23"/>
  <c r="Y23" s="1"/>
  <c r="Z22"/>
  <c r="G20"/>
  <c r="Z19"/>
  <c r="Y19" s="1"/>
  <c r="Z15"/>
  <c r="Y15" s="1"/>
  <c r="Z14"/>
  <c r="Y14" s="1"/>
  <c r="Z13"/>
  <c r="Y13" s="1"/>
  <c r="Y12" s="1"/>
  <c r="Z11"/>
  <c r="Z10" s="1"/>
  <c r="G8"/>
  <c r="H285" l="1"/>
  <c r="AA286"/>
  <c r="H105"/>
  <c r="AA105"/>
  <c r="H110"/>
  <c r="AA110"/>
  <c r="F168"/>
  <c r="AA169"/>
  <c r="H84"/>
  <c r="AA84"/>
  <c r="Y270"/>
  <c r="F270" s="1"/>
  <c r="AA270" s="1"/>
  <c r="Y187"/>
  <c r="Y237"/>
  <c r="F237" s="1"/>
  <c r="Y236"/>
  <c r="Z234"/>
  <c r="Y234" s="1"/>
  <c r="F240"/>
  <c r="AA240" s="1"/>
  <c r="G7"/>
  <c r="G6" s="1"/>
  <c r="Z27"/>
  <c r="Y27" s="1"/>
  <c r="F27" s="1"/>
  <c r="AA27" s="1"/>
  <c r="Z76"/>
  <c r="Y76" s="1"/>
  <c r="F76" s="1"/>
  <c r="AA76" s="1"/>
  <c r="F130"/>
  <c r="Y178"/>
  <c r="Y278"/>
  <c r="F278" s="1"/>
  <c r="AA278" s="1"/>
  <c r="S255"/>
  <c r="Y255" s="1"/>
  <c r="Z255" s="1"/>
  <c r="Y281"/>
  <c r="F281" s="1"/>
  <c r="AA281" s="1"/>
  <c r="Z12"/>
  <c r="Z9" s="1"/>
  <c r="Y9" s="1"/>
  <c r="F9" s="1"/>
  <c r="AA9" s="1"/>
  <c r="Y28"/>
  <c r="Z54"/>
  <c r="Y54" s="1"/>
  <c r="F54" s="1"/>
  <c r="AA54" s="1"/>
  <c r="Z111"/>
  <c r="Y111" s="1"/>
  <c r="F111" s="1"/>
  <c r="Y173"/>
  <c r="F173" s="1"/>
  <c r="Z40"/>
  <c r="Y40" s="1"/>
  <c r="F40" s="1"/>
  <c r="AA40" s="1"/>
  <c r="F115"/>
  <c r="Y266"/>
  <c r="F266" s="1"/>
  <c r="AA266" s="1"/>
  <c r="Z98"/>
  <c r="F98" s="1"/>
  <c r="Y182"/>
  <c r="F182" s="1"/>
  <c r="AA182" s="1"/>
  <c r="Z60"/>
  <c r="Y60" s="1"/>
  <c r="F60" s="1"/>
  <c r="AA60" s="1"/>
  <c r="Z51"/>
  <c r="Y51" s="1"/>
  <c r="F51" s="1"/>
  <c r="AA51" s="1"/>
  <c r="Y248"/>
  <c r="Y250"/>
  <c r="Z250" s="1"/>
  <c r="Y262"/>
  <c r="F262" s="1"/>
  <c r="AA262" s="1"/>
  <c r="G245"/>
  <c r="G244" s="1"/>
  <c r="Y11"/>
  <c r="Y10" s="1"/>
  <c r="S16"/>
  <c r="Z16" s="1"/>
  <c r="Y16" s="1"/>
  <c r="F16" s="1"/>
  <c r="AA16" s="1"/>
  <c r="Z34"/>
  <c r="Y34" s="1"/>
  <c r="F34" s="1"/>
  <c r="AA34" s="1"/>
  <c r="Y41"/>
  <c r="Z48"/>
  <c r="Y48" s="1"/>
  <c r="F48" s="1"/>
  <c r="AA48" s="1"/>
  <c r="Z67"/>
  <c r="Y67" s="1"/>
  <c r="F67" s="1"/>
  <c r="AA67" s="1"/>
  <c r="Z72"/>
  <c r="Y72" s="1"/>
  <c r="F72" s="1"/>
  <c r="AA72" s="1"/>
  <c r="Z79"/>
  <c r="Y79" s="1"/>
  <c r="F79" s="1"/>
  <c r="AA79" s="1"/>
  <c r="Z249"/>
  <c r="Z21"/>
  <c r="Y21" s="1"/>
  <c r="F21" s="1"/>
  <c r="AA21" s="1"/>
  <c r="Z31"/>
  <c r="Y31" s="1"/>
  <c r="F31" s="1"/>
  <c r="AA31" s="1"/>
  <c r="Z63"/>
  <c r="Y63" s="1"/>
  <c r="F63" s="1"/>
  <c r="AA63" s="1"/>
  <c r="Z85"/>
  <c r="Z91"/>
  <c r="Y91" s="1"/>
  <c r="F91" s="1"/>
  <c r="AA91" s="1"/>
  <c r="Z106"/>
  <c r="Y106" s="1"/>
  <c r="F106" s="1"/>
  <c r="Y144"/>
  <c r="F144" s="1"/>
  <c r="AA144" s="1"/>
  <c r="F85"/>
  <c r="F220"/>
  <c r="Y22"/>
  <c r="Y107"/>
  <c r="Y112"/>
  <c r="Y145"/>
  <c r="Y174"/>
  <c r="Y179"/>
  <c r="Y188"/>
  <c r="F285"/>
  <c r="AA285" s="1"/>
  <c r="H85" l="1"/>
  <c r="AA85"/>
  <c r="H98"/>
  <c r="AA98"/>
  <c r="F171"/>
  <c r="AA173"/>
  <c r="F228"/>
  <c r="AA237"/>
  <c r="F216"/>
  <c r="AA216" s="1"/>
  <c r="AA220"/>
  <c r="H106"/>
  <c r="AA106"/>
  <c r="H115"/>
  <c r="AA115"/>
  <c r="H168"/>
  <c r="AA168"/>
  <c r="H111"/>
  <c r="AA111"/>
  <c r="H130"/>
  <c r="AA130"/>
  <c r="F257"/>
  <c r="F89"/>
  <c r="Y254"/>
  <c r="F20"/>
  <c r="S18"/>
  <c r="Z18" s="1"/>
  <c r="Z17" s="1"/>
  <c r="Y17" s="1"/>
  <c r="F17" s="1"/>
  <c r="AA17" s="1"/>
  <c r="G5"/>
  <c r="Y247"/>
  <c r="Z248"/>
  <c r="H216"/>
  <c r="H240"/>
  <c r="F239"/>
  <c r="Z254"/>
  <c r="F254"/>
  <c r="AA254" s="1"/>
  <c r="H89" l="1"/>
  <c r="AA89"/>
  <c r="H20"/>
  <c r="AA20"/>
  <c r="H257"/>
  <c r="AA257"/>
  <c r="F170"/>
  <c r="AA171"/>
  <c r="H228"/>
  <c r="AA228"/>
  <c r="H239"/>
  <c r="AA239"/>
  <c r="H171"/>
  <c r="Y18"/>
  <c r="F148"/>
  <c r="Z89"/>
  <c r="Y89" s="1"/>
  <c r="F88"/>
  <c r="AA88" s="1"/>
  <c r="F247"/>
  <c r="Z247"/>
  <c r="F8"/>
  <c r="AA8" s="1"/>
  <c r="H148" l="1"/>
  <c r="AA148"/>
  <c r="AA170"/>
  <c r="H170"/>
  <c r="F246"/>
  <c r="AA246" s="1"/>
  <c r="AA247"/>
  <c r="H88"/>
  <c r="Z88"/>
  <c r="H8"/>
  <c r="F7"/>
  <c r="AA7" s="1"/>
  <c r="F245" l="1"/>
  <c r="AA245" s="1"/>
  <c r="H246"/>
  <c r="H7"/>
  <c r="F244" l="1"/>
  <c r="AA244" s="1"/>
  <c r="H245"/>
  <c r="Z224" i="125"/>
  <c r="F224" s="1"/>
  <c r="Z223"/>
  <c r="Y223" s="1"/>
  <c r="F223" s="1"/>
  <c r="Z222"/>
  <c r="Y222" s="1"/>
  <c r="F222" s="1"/>
  <c r="Z221"/>
  <c r="Y221" s="1"/>
  <c r="F221" s="1"/>
  <c r="Z220"/>
  <c r="Y220" s="1"/>
  <c r="F220" s="1"/>
  <c r="Z219"/>
  <c r="Y219" s="1"/>
  <c r="F219" s="1"/>
  <c r="Z218"/>
  <c r="F218" s="1"/>
  <c r="Z217"/>
  <c r="F217" s="1"/>
  <c r="Z216"/>
  <c r="Y216" s="1"/>
  <c r="F216" s="1"/>
  <c r="Z215"/>
  <c r="Y215" s="1"/>
  <c r="F215" s="1"/>
  <c r="Z214"/>
  <c r="Y214" s="1"/>
  <c r="F214" s="1"/>
  <c r="Z213"/>
  <c r="Y213" s="1"/>
  <c r="F213" s="1"/>
  <c r="G211"/>
  <c r="Z209"/>
  <c r="Y209" s="1"/>
  <c r="F209" s="1"/>
  <c r="G208"/>
  <c r="AC208" s="1"/>
  <c r="Z207"/>
  <c r="Y207" s="1"/>
  <c r="F207" s="1"/>
  <c r="Z205"/>
  <c r="Y205" s="1"/>
  <c r="F205" s="1"/>
  <c r="Z203"/>
  <c r="Y203" s="1"/>
  <c r="F203" s="1"/>
  <c r="Z201"/>
  <c r="Y201" s="1"/>
  <c r="F201" s="1"/>
  <c r="Z199"/>
  <c r="Y199" s="1"/>
  <c r="F199" s="1"/>
  <c r="Z197"/>
  <c r="Y197" s="1"/>
  <c r="F197" s="1"/>
  <c r="Z195"/>
  <c r="Y195" s="1"/>
  <c r="F195" s="1"/>
  <c r="Z193"/>
  <c r="Y193" s="1"/>
  <c r="F193" s="1"/>
  <c r="Z191"/>
  <c r="Y191" s="1"/>
  <c r="F191" s="1"/>
  <c r="Z189"/>
  <c r="Y189" s="1"/>
  <c r="F189" s="1"/>
  <c r="Z187"/>
  <c r="Y187" s="1"/>
  <c r="F187" s="1"/>
  <c r="Z186"/>
  <c r="Y186" s="1"/>
  <c r="F186" s="1"/>
  <c r="Z185"/>
  <c r="Y185" s="1"/>
  <c r="F185" s="1"/>
  <c r="Z184"/>
  <c r="Y184" s="1"/>
  <c r="F184" s="1"/>
  <c r="Z183"/>
  <c r="Y183" s="1"/>
  <c r="F183" s="1"/>
  <c r="AB183" s="1"/>
  <c r="AD183" s="1"/>
  <c r="G182"/>
  <c r="AC182" s="1"/>
  <c r="F180"/>
  <c r="H180" s="1"/>
  <c r="F179"/>
  <c r="H179" s="1"/>
  <c r="F166"/>
  <c r="F161"/>
  <c r="H161" s="1"/>
  <c r="G152"/>
  <c r="AD139"/>
  <c r="Z137"/>
  <c r="Y137" s="1"/>
  <c r="F137" s="1"/>
  <c r="Z136"/>
  <c r="Y136" s="1"/>
  <c r="F136" s="1"/>
  <c r="AB136" s="1"/>
  <c r="AD136" s="1"/>
  <c r="Z135"/>
  <c r="Y135" s="1"/>
  <c r="Z134"/>
  <c r="Z132"/>
  <c r="Y132" s="1"/>
  <c r="Z131"/>
  <c r="Z129"/>
  <c r="Y129" s="1"/>
  <c r="Z128"/>
  <c r="Y128" s="1"/>
  <c r="Z127"/>
  <c r="Y127" s="1"/>
  <c r="Z125"/>
  <c r="Y125" s="1"/>
  <c r="F125" s="1"/>
  <c r="AB125" s="1"/>
  <c r="AD125" s="1"/>
  <c r="Z124"/>
  <c r="Y124" s="1"/>
  <c r="F124" s="1"/>
  <c r="Z123"/>
  <c r="Y123" s="1"/>
  <c r="F123" s="1"/>
  <c r="AC122"/>
  <c r="Z120"/>
  <c r="Y120" s="1"/>
  <c r="F120" s="1"/>
  <c r="Z119"/>
  <c r="Y119" s="1"/>
  <c r="Z118"/>
  <c r="Y118" s="1"/>
  <c r="Z117"/>
  <c r="Y117" s="1"/>
  <c r="Z115"/>
  <c r="Y115" s="1"/>
  <c r="F115" s="1"/>
  <c r="Z114"/>
  <c r="Y114" s="1"/>
  <c r="F114" s="1"/>
  <c r="Z113"/>
  <c r="Y113" s="1"/>
  <c r="F113" s="1"/>
  <c r="AB113" s="1"/>
  <c r="AD113" s="1"/>
  <c r="Z109"/>
  <c r="Y109" s="1"/>
  <c r="F109" s="1"/>
  <c r="AB109" s="1"/>
  <c r="G108"/>
  <c r="G107" s="1"/>
  <c r="G106" s="1"/>
  <c r="E11" i="121" s="1"/>
  <c r="I11" s="1"/>
  <c r="Y105" i="125"/>
  <c r="Z105" s="1"/>
  <c r="G104"/>
  <c r="G84" s="1"/>
  <c r="Z83"/>
  <c r="Y83"/>
  <c r="F83" s="1"/>
  <c r="Z82"/>
  <c r="Y82"/>
  <c r="Z81"/>
  <c r="Y81"/>
  <c r="Z80"/>
  <c r="Y80"/>
  <c r="Z79"/>
  <c r="Y79"/>
  <c r="Z76"/>
  <c r="Y76"/>
  <c r="F76" s="1"/>
  <c r="Z75"/>
  <c r="Y75"/>
  <c r="F75" s="1"/>
  <c r="AB75" s="1"/>
  <c r="Z59"/>
  <c r="Y59" s="1"/>
  <c r="Z58"/>
  <c r="Z56"/>
  <c r="Y56"/>
  <c r="F56" s="1"/>
  <c r="Z55"/>
  <c r="Y55" s="1"/>
  <c r="F55" s="1"/>
  <c r="AB55" s="1"/>
  <c r="Z54"/>
  <c r="Y54" s="1"/>
  <c r="F54" s="1"/>
  <c r="Z53"/>
  <c r="Y53" s="1"/>
  <c r="Z52"/>
  <c r="Y52" s="1"/>
  <c r="Z50"/>
  <c r="Y50" s="1"/>
  <c r="F50" s="1"/>
  <c r="AB50" s="1"/>
  <c r="G48"/>
  <c r="AB13"/>
  <c r="Z10"/>
  <c r="Y10" s="1"/>
  <c r="F10" s="1"/>
  <c r="H244" i="154" l="1"/>
  <c r="D29" i="121"/>
  <c r="H29" s="1"/>
  <c r="J29" s="1"/>
  <c r="AB215" i="125"/>
  <c r="AD215" s="1"/>
  <c r="H215"/>
  <c r="AB218"/>
  <c r="AD218" s="1"/>
  <c r="H218"/>
  <c r="AB222"/>
  <c r="AD222" s="1"/>
  <c r="H222"/>
  <c r="AB214"/>
  <c r="AD214" s="1"/>
  <c r="H214"/>
  <c r="AB217"/>
  <c r="AD217" s="1"/>
  <c r="H217"/>
  <c r="AB221"/>
  <c r="AD221" s="1"/>
  <c r="H221"/>
  <c r="G60"/>
  <c r="E10" i="121" s="1"/>
  <c r="I10" s="1"/>
  <c r="AB213" i="125"/>
  <c r="AD213" s="1"/>
  <c r="H213"/>
  <c r="AB216"/>
  <c r="AD216" s="1"/>
  <c r="H216"/>
  <c r="AB220"/>
  <c r="AD220" s="1"/>
  <c r="H220"/>
  <c r="AB224"/>
  <c r="AD224" s="1"/>
  <c r="H224"/>
  <c r="G210"/>
  <c r="AC210" s="1"/>
  <c r="AC211"/>
  <c r="AB219"/>
  <c r="AD219" s="1"/>
  <c r="H219"/>
  <c r="AB223"/>
  <c r="AD223" s="1"/>
  <c r="H223"/>
  <c r="F196"/>
  <c r="AB197"/>
  <c r="AD197" s="1"/>
  <c r="AB115"/>
  <c r="AD115" s="1"/>
  <c r="AB124"/>
  <c r="AD124" s="1"/>
  <c r="AD143"/>
  <c r="AB185"/>
  <c r="AD185" s="1"/>
  <c r="F190"/>
  <c r="AB191"/>
  <c r="AD191" s="1"/>
  <c r="F204"/>
  <c r="AB205"/>
  <c r="AD205" s="1"/>
  <c r="AB114"/>
  <c r="AD114" s="1"/>
  <c r="AB123"/>
  <c r="AD123" s="1"/>
  <c r="AB137"/>
  <c r="AD137" s="1"/>
  <c r="AD146"/>
  <c r="AB184"/>
  <c r="AD184" s="1"/>
  <c r="F188"/>
  <c r="AB189"/>
  <c r="AD189" s="1"/>
  <c r="F202"/>
  <c r="AB203"/>
  <c r="AD203" s="1"/>
  <c r="F208"/>
  <c r="AB208" s="1"/>
  <c r="AD208" s="1"/>
  <c r="AB209"/>
  <c r="AD209" s="1"/>
  <c r="F153"/>
  <c r="AD145"/>
  <c r="G151"/>
  <c r="AC151" s="1"/>
  <c r="AC152"/>
  <c r="AB187"/>
  <c r="AD187" s="1"/>
  <c r="F194"/>
  <c r="AB195"/>
  <c r="AD195" s="1"/>
  <c r="F200"/>
  <c r="AB201"/>
  <c r="AD201" s="1"/>
  <c r="G111"/>
  <c r="AB111" s="1"/>
  <c r="AC112"/>
  <c r="AB120"/>
  <c r="AD120" s="1"/>
  <c r="AD144"/>
  <c r="AB186"/>
  <c r="AD186" s="1"/>
  <c r="F192"/>
  <c r="AB193"/>
  <c r="AD193" s="1"/>
  <c r="F198"/>
  <c r="AB199"/>
  <c r="AD199" s="1"/>
  <c r="F206"/>
  <c r="AB207"/>
  <c r="AD207" s="1"/>
  <c r="Z130"/>
  <c r="Y130" s="1"/>
  <c r="F130" s="1"/>
  <c r="AB130" s="1"/>
  <c r="AD130" s="1"/>
  <c r="AB56"/>
  <c r="AB15"/>
  <c r="AB83"/>
  <c r="Y78"/>
  <c r="F78" s="1"/>
  <c r="AB78" s="1"/>
  <c r="F9"/>
  <c r="AB9" s="1"/>
  <c r="AB10"/>
  <c r="Z57"/>
  <c r="Y57" s="1"/>
  <c r="F57" s="1"/>
  <c r="AB57" s="1"/>
  <c r="AB54"/>
  <c r="AB76"/>
  <c r="Z51"/>
  <c r="Y51" s="1"/>
  <c r="F51" s="1"/>
  <c r="Y58"/>
  <c r="Z133"/>
  <c r="Y133" s="1"/>
  <c r="F133" s="1"/>
  <c r="AB133" s="1"/>
  <c r="AD133" s="1"/>
  <c r="Y134"/>
  <c r="F157"/>
  <c r="F105"/>
  <c r="F167"/>
  <c r="H167" s="1"/>
  <c r="F176"/>
  <c r="H176" s="1"/>
  <c r="F63"/>
  <c r="G181"/>
  <c r="G7"/>
  <c r="E9" i="121" s="1"/>
  <c r="I9" s="1"/>
  <c r="F74" i="125"/>
  <c r="F108"/>
  <c r="AB108" s="1"/>
  <c r="F182"/>
  <c r="AB182" s="1"/>
  <c r="AD182" s="1"/>
  <c r="Z116"/>
  <c r="Y116" s="1"/>
  <c r="F116" s="1"/>
  <c r="Z126"/>
  <c r="Y126" s="1"/>
  <c r="F126" s="1"/>
  <c r="F162"/>
  <c r="H162" s="1"/>
  <c r="F170"/>
  <c r="H170" s="1"/>
  <c r="F173"/>
  <c r="H173" s="1"/>
  <c r="Z212"/>
  <c r="F212" s="1"/>
  <c r="Y131"/>
  <c r="H208" l="1"/>
  <c r="F77"/>
  <c r="AB77" s="1"/>
  <c r="H152"/>
  <c r="F49"/>
  <c r="AB49" s="1"/>
  <c r="F211"/>
  <c r="AB211" s="1"/>
  <c r="AD211" s="1"/>
  <c r="AB212"/>
  <c r="AD212" s="1"/>
  <c r="H212"/>
  <c r="AB126"/>
  <c r="AD126" s="1"/>
  <c r="AB116"/>
  <c r="AD116" s="1"/>
  <c r="G110"/>
  <c r="G6" s="1"/>
  <c r="AC181"/>
  <c r="AD140"/>
  <c r="H202"/>
  <c r="AB202"/>
  <c r="AD202" s="1"/>
  <c r="H190"/>
  <c r="AB190"/>
  <c r="AD190" s="1"/>
  <c r="H196"/>
  <c r="AB196"/>
  <c r="AD196" s="1"/>
  <c r="AD150"/>
  <c r="H198"/>
  <c r="AB198"/>
  <c r="AD198" s="1"/>
  <c r="H194"/>
  <c r="AB194"/>
  <c r="AD194" s="1"/>
  <c r="H188"/>
  <c r="AB188"/>
  <c r="AD188" s="1"/>
  <c r="H204"/>
  <c r="AB204"/>
  <c r="AD204" s="1"/>
  <c r="H206"/>
  <c r="AB206"/>
  <c r="AD206" s="1"/>
  <c r="H192"/>
  <c r="AB192"/>
  <c r="AD192" s="1"/>
  <c r="H200"/>
  <c r="AB200"/>
  <c r="AD200" s="1"/>
  <c r="AB105"/>
  <c r="AB20"/>
  <c r="F104"/>
  <c r="AB104" s="1"/>
  <c r="F8"/>
  <c r="AB8" s="1"/>
  <c r="AB27"/>
  <c r="F28"/>
  <c r="AB51"/>
  <c r="H74"/>
  <c r="H77"/>
  <c r="F85"/>
  <c r="H9"/>
  <c r="AD147"/>
  <c r="F152"/>
  <c r="F181"/>
  <c r="H182"/>
  <c r="F107"/>
  <c r="AB107" s="1"/>
  <c r="H108"/>
  <c r="H211"/>
  <c r="H210" s="1"/>
  <c r="H8"/>
  <c r="F112"/>
  <c r="AB112" s="1"/>
  <c r="AD112" s="1"/>
  <c r="F122"/>
  <c r="AB122" s="1"/>
  <c r="AD122" s="1"/>
  <c r="H104" l="1"/>
  <c r="AB62"/>
  <c r="F61"/>
  <c r="AB61" s="1"/>
  <c r="F210"/>
  <c r="AB210" s="1"/>
  <c r="AD210" s="1"/>
  <c r="F84"/>
  <c r="F48"/>
  <c r="AB48" s="1"/>
  <c r="H49"/>
  <c r="H62"/>
  <c r="H181"/>
  <c r="AB181"/>
  <c r="AD181" s="1"/>
  <c r="E12" i="121"/>
  <c r="I12" s="1"/>
  <c r="AB110" i="125"/>
  <c r="F151"/>
  <c r="AB152"/>
  <c r="AD152" s="1"/>
  <c r="H85"/>
  <c r="AB85"/>
  <c r="H28"/>
  <c r="AB28"/>
  <c r="F11"/>
  <c r="AB12"/>
  <c r="H138"/>
  <c r="AB138"/>
  <c r="AD138" s="1"/>
  <c r="F121"/>
  <c r="H122"/>
  <c r="F111"/>
  <c r="H112"/>
  <c r="F106"/>
  <c r="AB106" s="1"/>
  <c r="H107"/>
  <c r="F7" l="1"/>
  <c r="AB7" s="1"/>
  <c r="H48"/>
  <c r="H61"/>
  <c r="H151"/>
  <c r="AB151"/>
  <c r="AD151" s="1"/>
  <c r="H11"/>
  <c r="AB11"/>
  <c r="H84"/>
  <c r="AB84"/>
  <c r="H121"/>
  <c r="AB121"/>
  <c r="AD121" s="1"/>
  <c r="H106"/>
  <c r="D11" i="121"/>
  <c r="F60" i="125"/>
  <c r="H111"/>
  <c r="F110"/>
  <c r="AC110" s="1"/>
  <c r="AD110" s="1"/>
  <c r="H11" i="121" l="1"/>
  <c r="J11" s="1"/>
  <c r="G11"/>
  <c r="H7" i="125"/>
  <c r="D10" i="121"/>
  <c r="AB60" i="125"/>
  <c r="H110"/>
  <c r="D12" i="121"/>
  <c r="H12" s="1"/>
  <c r="J12" s="1"/>
  <c r="F6" i="125"/>
  <c r="H60"/>
  <c r="H10" i="121" l="1"/>
  <c r="J10" s="1"/>
  <c r="G10"/>
  <c r="AB6" i="125"/>
  <c r="H6"/>
  <c r="Z132" i="152"/>
  <c r="Y132" s="1"/>
  <c r="Z131"/>
  <c r="Y131" s="1"/>
  <c r="Z130"/>
  <c r="Y130" s="1"/>
  <c r="Z129"/>
  <c r="Y129" s="1"/>
  <c r="G126"/>
  <c r="Z125"/>
  <c r="Y125" s="1"/>
  <c r="Z124"/>
  <c r="Y124" s="1"/>
  <c r="Y122"/>
  <c r="Z122" s="1"/>
  <c r="Z121"/>
  <c r="Y121" s="1"/>
  <c r="Z119"/>
  <c r="Y119" s="1"/>
  <c r="F119" s="1"/>
  <c r="Y118"/>
  <c r="Z118" s="1"/>
  <c r="Y117"/>
  <c r="Z109"/>
  <c r="Y109" s="1"/>
  <c r="F109" s="1"/>
  <c r="Z108"/>
  <c r="Y108" s="1"/>
  <c r="F108" s="1"/>
  <c r="Z107"/>
  <c r="Y107" s="1"/>
  <c r="F107" s="1"/>
  <c r="Z106"/>
  <c r="Y106" s="1"/>
  <c r="Z105"/>
  <c r="Y105" s="1"/>
  <c r="Z104"/>
  <c r="Y104" s="1"/>
  <c r="Z102"/>
  <c r="Y102" s="1"/>
  <c r="Z101"/>
  <c r="Z99"/>
  <c r="Y99" s="1"/>
  <c r="Z98"/>
  <c r="AB91"/>
  <c r="AD91" s="1"/>
  <c r="AB87"/>
  <c r="AD87" s="1"/>
  <c r="AB52"/>
  <c r="AD52" s="1"/>
  <c r="AB44"/>
  <c r="AD44" s="1"/>
  <c r="AB43"/>
  <c r="AD43" s="1"/>
  <c r="AB26"/>
  <c r="AD26" s="1"/>
  <c r="H7"/>
  <c r="AB119" l="1"/>
  <c r="AD119" s="1"/>
  <c r="H119"/>
  <c r="AB109"/>
  <c r="AD109" s="1"/>
  <c r="H109"/>
  <c r="AB107"/>
  <c r="AD107" s="1"/>
  <c r="H107"/>
  <c r="AB108"/>
  <c r="AD108" s="1"/>
  <c r="H108"/>
  <c r="AB27"/>
  <c r="AD27" s="1"/>
  <c r="AB42"/>
  <c r="AD42" s="1"/>
  <c r="AB41"/>
  <c r="Y120"/>
  <c r="Z120" s="1"/>
  <c r="G7"/>
  <c r="AC7" s="1"/>
  <c r="AD7" s="1"/>
  <c r="AC8"/>
  <c r="AD8" s="1"/>
  <c r="AC24"/>
  <c r="AC41"/>
  <c r="AC126"/>
  <c r="Z97"/>
  <c r="Y97" s="1"/>
  <c r="F97" s="1"/>
  <c r="F110"/>
  <c r="H110" s="1"/>
  <c r="Y116"/>
  <c r="F116" s="1"/>
  <c r="Y98"/>
  <c r="Z100"/>
  <c r="Y100" s="1"/>
  <c r="F100" s="1"/>
  <c r="F115"/>
  <c r="H115" s="1"/>
  <c r="Z117"/>
  <c r="Y101"/>
  <c r="AB83"/>
  <c r="AD83" s="1"/>
  <c r="Z103"/>
  <c r="Y103" s="1"/>
  <c r="F103" s="1"/>
  <c r="Z123"/>
  <c r="Y123" s="1"/>
  <c r="F123" s="1"/>
  <c r="Z128"/>
  <c r="Y128" s="1"/>
  <c r="F128" s="1"/>
  <c r="F127" s="1"/>
  <c r="AB123" l="1"/>
  <c r="AD123" s="1"/>
  <c r="H123"/>
  <c r="AB103"/>
  <c r="AD103" s="1"/>
  <c r="H103"/>
  <c r="AB97"/>
  <c r="AD97" s="1"/>
  <c r="H97"/>
  <c r="AB116"/>
  <c r="AD116" s="1"/>
  <c r="H116"/>
  <c r="AB100"/>
  <c r="AD100" s="1"/>
  <c r="H100"/>
  <c r="H25"/>
  <c r="AB38"/>
  <c r="AD38" s="1"/>
  <c r="AA54"/>
  <c r="F53"/>
  <c r="AB110"/>
  <c r="AD110" s="1"/>
  <c r="F120"/>
  <c r="Z116"/>
  <c r="AD41"/>
  <c r="AB28"/>
  <c r="AD28" s="1"/>
  <c r="AB54"/>
  <c r="AD54" s="1"/>
  <c r="AB31"/>
  <c r="AD31" s="1"/>
  <c r="G6"/>
  <c r="AB115"/>
  <c r="AD115" s="1"/>
  <c r="AB127"/>
  <c r="AD127" s="1"/>
  <c r="AB128"/>
  <c r="AD128" s="1"/>
  <c r="AB81"/>
  <c r="AD81" s="1"/>
  <c r="AB120" l="1"/>
  <c r="AD120" s="1"/>
  <c r="H120"/>
  <c r="F24"/>
  <c r="AB24" s="1"/>
  <c r="AD24" s="1"/>
  <c r="F80"/>
  <c r="AB25"/>
  <c r="AD25" s="1"/>
  <c r="AA53"/>
  <c r="AC6"/>
  <c r="G5"/>
  <c r="E6" i="121" s="1"/>
  <c r="I6" s="1"/>
  <c r="H127" i="152"/>
  <c r="F126"/>
  <c r="H53"/>
  <c r="AB53"/>
  <c r="AD53" s="1"/>
  <c r="H81"/>
  <c r="AB96" l="1"/>
  <c r="AD96" s="1"/>
  <c r="F6"/>
  <c r="AB6" s="1"/>
  <c r="AD6" s="1"/>
  <c r="H96"/>
  <c r="H80"/>
  <c r="AB80"/>
  <c r="AD80" s="1"/>
  <c r="H126"/>
  <c r="AB126"/>
  <c r="AD126" s="1"/>
  <c r="H24"/>
  <c r="H6" l="1"/>
  <c r="F5"/>
  <c r="H5" s="1"/>
  <c r="H50" i="163" l="1"/>
  <c r="H272"/>
  <c r="Z436" i="162"/>
  <c r="Y436" s="1"/>
  <c r="F436" s="1"/>
  <c r="Y1023"/>
  <c r="F1023" s="1"/>
  <c r="Y1022"/>
  <c r="Y1021"/>
  <c r="Y1019"/>
  <c r="F1019" s="1"/>
  <c r="Y1018"/>
  <c r="Y1017"/>
  <c r="Y1015"/>
  <c r="Y1014"/>
  <c r="Y1013"/>
  <c r="Y1012"/>
  <c r="Y1011"/>
  <c r="Y1016" l="1"/>
  <c r="F1016" s="1"/>
  <c r="Y1010"/>
  <c r="F1010" s="1"/>
  <c r="H436"/>
  <c r="Y1020"/>
  <c r="F1020" s="1"/>
  <c r="F1009" l="1"/>
  <c r="F1008" s="1"/>
  <c r="F434"/>
  <c r="F1007" l="1"/>
  <c r="F1006" s="1"/>
  <c r="H1009"/>
  <c r="Z1019"/>
  <c r="Z1018"/>
  <c r="Z1015"/>
  <c r="Z1013"/>
  <c r="Z1011"/>
  <c r="Z1010" l="1"/>
  <c r="Z998"/>
  <c r="Y998" s="1"/>
  <c r="Z999"/>
  <c r="Y999" s="1"/>
  <c r="Z1003"/>
  <c r="Y1003" s="1"/>
  <c r="Z1004"/>
  <c r="Y1004" s="1"/>
  <c r="Z995"/>
  <c r="Y995" s="1"/>
  <c r="Z997"/>
  <c r="Y997" s="1"/>
  <c r="Z996"/>
  <c r="Z1005"/>
  <c r="Y1005" s="1"/>
  <c r="F1000" l="1"/>
  <c r="H1000" s="1"/>
  <c r="Z994"/>
  <c r="Y996"/>
  <c r="F989"/>
  <c r="H989" s="1"/>
  <c r="F985"/>
  <c r="F1005"/>
  <c r="F999"/>
  <c r="F1003"/>
  <c r="F1004"/>
  <c r="Z964"/>
  <c r="Y964" s="1"/>
  <c r="F964" s="1"/>
  <c r="F963" s="1"/>
  <c r="Z972"/>
  <c r="Y972" s="1"/>
  <c r="Z971"/>
  <c r="Y971" s="1"/>
  <c r="Z970"/>
  <c r="Y970" s="1"/>
  <c r="Z968"/>
  <c r="Y968" s="1"/>
  <c r="F968" s="1"/>
  <c r="Z967"/>
  <c r="Y967" s="1"/>
  <c r="F967" s="1"/>
  <c r="G965"/>
  <c r="G962"/>
  <c r="Z949"/>
  <c r="Y949" s="1"/>
  <c r="F949" s="1"/>
  <c r="AA949" s="1"/>
  <c r="Z948"/>
  <c r="Z947"/>
  <c r="Y947" s="1"/>
  <c r="F947" s="1"/>
  <c r="AA947" s="1"/>
  <c r="Z946"/>
  <c r="Y946"/>
  <c r="Z945"/>
  <c r="Y945"/>
  <c r="Z944"/>
  <c r="Y944"/>
  <c r="Z942"/>
  <c r="Y942"/>
  <c r="F942" s="1"/>
  <c r="AA942" s="1"/>
  <c r="Z939"/>
  <c r="Y939" s="1"/>
  <c r="F939" s="1"/>
  <c r="AA939" s="1"/>
  <c r="Z938"/>
  <c r="Y938" s="1"/>
  <c r="F938" s="1"/>
  <c r="AA938" s="1"/>
  <c r="Z933"/>
  <c r="Y933"/>
  <c r="Z932"/>
  <c r="Y932" s="1"/>
  <c r="F932" s="1"/>
  <c r="AA932" s="1"/>
  <c r="Z940"/>
  <c r="Y940" s="1"/>
  <c r="F940" s="1"/>
  <c r="AA940" s="1"/>
  <c r="Z937"/>
  <c r="Y937"/>
  <c r="Z936"/>
  <c r="Y936"/>
  <c r="Z935"/>
  <c r="Y935"/>
  <c r="Z900"/>
  <c r="Y900" s="1"/>
  <c r="F900" s="1"/>
  <c r="Z899"/>
  <c r="Y899"/>
  <c r="Z898"/>
  <c r="Y898"/>
  <c r="Z897"/>
  <c r="Y897"/>
  <c r="Z896"/>
  <c r="Y896"/>
  <c r="Z895"/>
  <c r="Y895"/>
  <c r="Z893"/>
  <c r="Y893" s="1"/>
  <c r="Z892"/>
  <c r="Y892" s="1"/>
  <c r="Z891"/>
  <c r="Y891" s="1"/>
  <c r="Z889"/>
  <c r="Y889" s="1"/>
  <c r="F889" s="1"/>
  <c r="Z888"/>
  <c r="Y888" s="1"/>
  <c r="F888" s="1"/>
  <c r="Z887"/>
  <c r="Y887" s="1"/>
  <c r="F887" s="1"/>
  <c r="F869"/>
  <c r="F857"/>
  <c r="F856"/>
  <c r="Z818"/>
  <c r="Y818" s="1"/>
  <c r="F818" s="1"/>
  <c r="Z817"/>
  <c r="Y817" s="1"/>
  <c r="F817" s="1"/>
  <c r="Z816"/>
  <c r="Y816" s="1"/>
  <c r="F816" s="1"/>
  <c r="Z815"/>
  <c r="Y815"/>
  <c r="Z814"/>
  <c r="Y814"/>
  <c r="Z813"/>
  <c r="Y813"/>
  <c r="Z812"/>
  <c r="Y812"/>
  <c r="Z810"/>
  <c r="Y810" s="1"/>
  <c r="Z809"/>
  <c r="Y809"/>
  <c r="Z808"/>
  <c r="Y808"/>
  <c r="Z807"/>
  <c r="Y807"/>
  <c r="Z805"/>
  <c r="Y805" s="1"/>
  <c r="F805" s="1"/>
  <c r="Z804"/>
  <c r="Y804" s="1"/>
  <c r="F804" s="1"/>
  <c r="Z803"/>
  <c r="Y803" s="1"/>
  <c r="F803" s="1"/>
  <c r="Z802"/>
  <c r="Y802" s="1"/>
  <c r="F802" s="1"/>
  <c r="Z801"/>
  <c r="Y801" s="1"/>
  <c r="Z800"/>
  <c r="Z798"/>
  <c r="Y798" s="1"/>
  <c r="F798" s="1"/>
  <c r="F788"/>
  <c r="H788" s="1"/>
  <c r="F779"/>
  <c r="F777"/>
  <c r="H985" l="1"/>
  <c r="H777"/>
  <c r="G961"/>
  <c r="G960" s="1"/>
  <c r="H1008"/>
  <c r="AB1008"/>
  <c r="Y994"/>
  <c r="F994" s="1"/>
  <c r="F984" s="1"/>
  <c r="H984" s="1"/>
  <c r="F972"/>
  <c r="Z969"/>
  <c r="Z966" s="1"/>
  <c r="G930"/>
  <c r="G929" s="1"/>
  <c r="Y948"/>
  <c r="F948" s="1"/>
  <c r="AA948" s="1"/>
  <c r="Z943"/>
  <c r="Y943" s="1"/>
  <c r="F943" s="1"/>
  <c r="AA943" s="1"/>
  <c r="F862"/>
  <c r="F855" s="1"/>
  <c r="Z934"/>
  <c r="Z931" s="1"/>
  <c r="Z930" s="1"/>
  <c r="Z894"/>
  <c r="Y894" s="1"/>
  <c r="F894" s="1"/>
  <c r="F933"/>
  <c r="AA933" s="1"/>
  <c r="F780"/>
  <c r="H780" s="1"/>
  <c r="Z799"/>
  <c r="Y799" s="1"/>
  <c r="F799" s="1"/>
  <c r="Z806"/>
  <c r="Y806" s="1"/>
  <c r="F806" s="1"/>
  <c r="Z811"/>
  <c r="Y811" s="1"/>
  <c r="F811" s="1"/>
  <c r="F778"/>
  <c r="H778" s="1"/>
  <c r="Y800"/>
  <c r="Z890"/>
  <c r="Y890" s="1"/>
  <c r="F890" s="1"/>
  <c r="F886" s="1"/>
  <c r="F983" l="1"/>
  <c r="F776"/>
  <c r="H776" s="1"/>
  <c r="F941"/>
  <c r="F797"/>
  <c r="H797" s="1"/>
  <c r="Y934"/>
  <c r="F934" s="1"/>
  <c r="G928"/>
  <c r="H1006"/>
  <c r="H1007"/>
  <c r="Y969"/>
  <c r="F969" s="1"/>
  <c r="F966" s="1"/>
  <c r="Z941"/>
  <c r="H789"/>
  <c r="H886"/>
  <c r="F931" l="1"/>
  <c r="AA931" s="1"/>
  <c r="AA934"/>
  <c r="H901"/>
  <c r="AA941"/>
  <c r="H941"/>
  <c r="H931"/>
  <c r="H983"/>
  <c r="H963"/>
  <c r="H966"/>
  <c r="F838"/>
  <c r="H838" s="1"/>
  <c r="H191" i="163"/>
  <c r="G235"/>
  <c r="G230"/>
  <c r="G221"/>
  <c r="G220"/>
  <c r="G212"/>
  <c r="G205"/>
  <c r="G204"/>
  <c r="G203"/>
  <c r="F930" i="162" l="1"/>
  <c r="AA930" s="1"/>
  <c r="AB983"/>
  <c r="F962"/>
  <c r="H962" s="1"/>
  <c r="F965"/>
  <c r="G206" i="163"/>
  <c r="G231"/>
  <c r="G216"/>
  <c r="G222"/>
  <c r="G213"/>
  <c r="G226"/>
  <c r="H930" i="162" l="1"/>
  <c r="F929"/>
  <c r="AA929" s="1"/>
  <c r="H965"/>
  <c r="F961"/>
  <c r="F960" s="1"/>
  <c r="AB930"/>
  <c r="AB962"/>
  <c r="H929" l="1"/>
  <c r="F928"/>
  <c r="H961"/>
  <c r="H960"/>
  <c r="Z567"/>
  <c r="Y567" s="1"/>
  <c r="Z566"/>
  <c r="Y566" s="1"/>
  <c r="Z600"/>
  <c r="Y600" s="1"/>
  <c r="F600" s="1"/>
  <c r="Z593"/>
  <c r="Y593" s="1"/>
  <c r="F593" s="1"/>
  <c r="F563"/>
  <c r="H563" s="1"/>
  <c r="Z568"/>
  <c r="Y568" s="1"/>
  <c r="Z562"/>
  <c r="Y562" s="1"/>
  <c r="Z561"/>
  <c r="Y561" s="1"/>
  <c r="Z560"/>
  <c r="Y560" s="1"/>
  <c r="Z559"/>
  <c r="Y559" s="1"/>
  <c r="Z556"/>
  <c r="Y556" s="1"/>
  <c r="Z555"/>
  <c r="Y555" s="1"/>
  <c r="Z554"/>
  <c r="Y554" s="1"/>
  <c r="Z332"/>
  <c r="Y332" s="1"/>
  <c r="Z564"/>
  <c r="Y564" s="1"/>
  <c r="F564" s="1"/>
  <c r="G546"/>
  <c r="F538"/>
  <c r="Z549"/>
  <c r="Y549" s="1"/>
  <c r="F549" s="1"/>
  <c r="Z548"/>
  <c r="Y548" s="1"/>
  <c r="F548" s="1"/>
  <c r="G535"/>
  <c r="F537"/>
  <c r="F540"/>
  <c r="H540" s="1"/>
  <c r="F545"/>
  <c r="F544"/>
  <c r="H544" s="1"/>
  <c r="F539"/>
  <c r="G501"/>
  <c r="G523"/>
  <c r="Z534"/>
  <c r="Y534" s="1"/>
  <c r="F534" s="1"/>
  <c r="Z526"/>
  <c r="Y526" s="1"/>
  <c r="F526" s="1"/>
  <c r="Z530"/>
  <c r="Y530" s="1"/>
  <c r="Z528"/>
  <c r="Y528" s="1"/>
  <c r="Z525"/>
  <c r="Y525" s="1"/>
  <c r="F525" s="1"/>
  <c r="Z533"/>
  <c r="Y533" s="1"/>
  <c r="F533" s="1"/>
  <c r="Z529"/>
  <c r="Y529" s="1"/>
  <c r="Z531"/>
  <c r="Y531" s="1"/>
  <c r="F531" s="1"/>
  <c r="Z532"/>
  <c r="Y532" s="1"/>
  <c r="F532" s="1"/>
  <c r="H928" l="1"/>
  <c r="F547"/>
  <c r="F546" s="1"/>
  <c r="G500"/>
  <c r="Z565"/>
  <c r="Y565" s="1"/>
  <c r="F565" s="1"/>
  <c r="F569"/>
  <c r="H569" s="1"/>
  <c r="Z558"/>
  <c r="Y558" s="1"/>
  <c r="F558" s="1"/>
  <c r="F594"/>
  <c r="H594" s="1"/>
  <c r="F588"/>
  <c r="H588" s="1"/>
  <c r="F576"/>
  <c r="H576" s="1"/>
  <c r="S557"/>
  <c r="Z557" s="1"/>
  <c r="Y557" s="1"/>
  <c r="F568"/>
  <c r="F541"/>
  <c r="F536" s="1"/>
  <c r="Z527"/>
  <c r="Y527" s="1"/>
  <c r="F527" s="1"/>
  <c r="F524" s="1"/>
  <c r="Z553" l="1"/>
  <c r="Y553" s="1"/>
  <c r="F553" s="1"/>
  <c r="F552" s="1"/>
  <c r="F535"/>
  <c r="H524" l="1"/>
  <c r="F523"/>
  <c r="H523" s="1"/>
  <c r="H536"/>
  <c r="H535" s="1"/>
  <c r="Z494" l="1"/>
  <c r="Y494" s="1"/>
  <c r="Z496"/>
  <c r="Y496" s="1"/>
  <c r="Z495"/>
  <c r="Y495" s="1"/>
  <c r="Z489"/>
  <c r="Z493"/>
  <c r="Y493" s="1"/>
  <c r="Z492"/>
  <c r="Y492" s="1"/>
  <c r="Z498"/>
  <c r="Y498" s="1"/>
  <c r="Z499"/>
  <c r="Y499" s="1"/>
  <c r="Z497" l="1"/>
  <c r="Y497" s="1"/>
  <c r="F497" s="1"/>
  <c r="Z502" l="1"/>
  <c r="Z714"/>
  <c r="Y714" s="1"/>
  <c r="F714" s="1"/>
  <c r="Z718"/>
  <c r="Y718" s="1"/>
  <c r="Z715"/>
  <c r="Y715" s="1"/>
  <c r="Z719"/>
  <c r="Y719" s="1"/>
  <c r="S712"/>
  <c r="Z712" s="1"/>
  <c r="Y712" s="1"/>
  <c r="F712" s="1"/>
  <c r="Z717"/>
  <c r="Y717" s="1"/>
  <c r="F717" s="1"/>
  <c r="Z716"/>
  <c r="Y716" s="1"/>
  <c r="F716" s="1"/>
  <c r="S713"/>
  <c r="Z713" s="1"/>
  <c r="Y713" s="1"/>
  <c r="F713" s="1"/>
  <c r="Z711"/>
  <c r="Y711" s="1"/>
  <c r="F711" s="1"/>
  <c r="F710" l="1"/>
  <c r="H710" s="1"/>
  <c r="F501"/>
  <c r="F500" s="1"/>
  <c r="H501" l="1"/>
  <c r="I501" s="1"/>
  <c r="AC501"/>
  <c r="F709"/>
  <c r="H709" s="1"/>
  <c r="Z702" l="1"/>
  <c r="Y702" s="1"/>
  <c r="F702" s="1"/>
  <c r="Z701"/>
  <c r="Y701" s="1"/>
  <c r="F701" s="1"/>
  <c r="Z708"/>
  <c r="Y708" s="1"/>
  <c r="F708" s="1"/>
  <c r="Z707"/>
  <c r="Y707" s="1"/>
  <c r="F707" s="1"/>
  <c r="Z706"/>
  <c r="Y706" s="1"/>
  <c r="F706" s="1"/>
  <c r="Z705"/>
  <c r="Y705" s="1"/>
  <c r="Z704"/>
  <c r="Y704" s="1"/>
  <c r="Z703" l="1"/>
  <c r="Y703" l="1"/>
  <c r="F703" s="1"/>
  <c r="F700" s="1"/>
  <c r="F699" l="1"/>
  <c r="H699" s="1"/>
  <c r="H700"/>
  <c r="Z698" l="1"/>
  <c r="Y698" s="1"/>
  <c r="Z697"/>
  <c r="Y697" s="1"/>
  <c r="Z695"/>
  <c r="Y695" s="1"/>
  <c r="Z694"/>
  <c r="Y694" s="1"/>
  <c r="Z693"/>
  <c r="Y693" s="1"/>
  <c r="Z692"/>
  <c r="Y692" s="1"/>
  <c r="Z690"/>
  <c r="Y690" s="1"/>
  <c r="Z689"/>
  <c r="Z688"/>
  <c r="Y688" s="1"/>
  <c r="Z686"/>
  <c r="Z685"/>
  <c r="Y685" s="1"/>
  <c r="Z684"/>
  <c r="Y684" s="1"/>
  <c r="F678"/>
  <c r="AA678" s="1"/>
  <c r="F677"/>
  <c r="AA674"/>
  <c r="AA673"/>
  <c r="AA670"/>
  <c r="F669"/>
  <c r="F668" s="1"/>
  <c r="AA677" l="1"/>
  <c r="AA669"/>
  <c r="H669"/>
  <c r="Z683"/>
  <c r="Y683" s="1"/>
  <c r="Y686"/>
  <c r="Z696"/>
  <c r="Y696" s="1"/>
  <c r="Z687"/>
  <c r="Y687" s="1"/>
  <c r="F687" s="1"/>
  <c r="AA672"/>
  <c r="Y689"/>
  <c r="Z691"/>
  <c r="Y691" s="1"/>
  <c r="F691" s="1"/>
  <c r="AA671"/>
  <c r="AA675"/>
  <c r="F679"/>
  <c r="AA679" s="1"/>
  <c r="AA681"/>
  <c r="F676" l="1"/>
  <c r="F682"/>
  <c r="G667"/>
  <c r="F667" l="1"/>
  <c r="H667" s="1"/>
  <c r="H668"/>
  <c r="H676"/>
  <c r="H682"/>
  <c r="Z661" l="1"/>
  <c r="Y661" s="1"/>
  <c r="Z659"/>
  <c r="Y659" s="1"/>
  <c r="F659" s="1"/>
  <c r="Z666"/>
  <c r="Y666" s="1"/>
  <c r="F666" s="1"/>
  <c r="Z657"/>
  <c r="Y657" s="1"/>
  <c r="F657" s="1"/>
  <c r="Z663"/>
  <c r="Y663" s="1"/>
  <c r="Z658"/>
  <c r="Y658" s="1"/>
  <c r="F658" s="1"/>
  <c r="Z665"/>
  <c r="Y665" s="1"/>
  <c r="F665" s="1"/>
  <c r="Z664"/>
  <c r="Y664" s="1"/>
  <c r="F664" s="1"/>
  <c r="Z662"/>
  <c r="Y662" s="1"/>
  <c r="Z656"/>
  <c r="Y656" s="1"/>
  <c r="F656" s="1"/>
  <c r="Z654"/>
  <c r="Y654" s="1"/>
  <c r="F654" s="1"/>
  <c r="Z653"/>
  <c r="Y653" s="1"/>
  <c r="F653" s="1"/>
  <c r="Z651"/>
  <c r="Z652"/>
  <c r="Y652" s="1"/>
  <c r="Z649"/>
  <c r="Y649" s="1"/>
  <c r="Y660" l="1"/>
  <c r="F660" s="1"/>
  <c r="F655" s="1"/>
  <c r="Z660"/>
  <c r="Z650"/>
  <c r="Y650" s="1"/>
  <c r="F650" s="1"/>
  <c r="Y651"/>
  <c r="F649"/>
  <c r="F648" s="1"/>
  <c r="G647" l="1"/>
  <c r="G646" s="1"/>
  <c r="F647" l="1"/>
  <c r="H648"/>
  <c r="H655"/>
  <c r="F646" l="1"/>
  <c r="H647"/>
  <c r="Z751"/>
  <c r="Y751" s="1"/>
  <c r="F751" s="1"/>
  <c r="Z747"/>
  <c r="Z746"/>
  <c r="Y747"/>
  <c r="Y746"/>
  <c r="Z750"/>
  <c r="Y750"/>
  <c r="Z749"/>
  <c r="Y749"/>
  <c r="Z490"/>
  <c r="Z486"/>
  <c r="Y486" s="1"/>
  <c r="Z485"/>
  <c r="Y485" s="1"/>
  <c r="Z483"/>
  <c r="Y483" s="1"/>
  <c r="Z482"/>
  <c r="Y482" s="1"/>
  <c r="Z478"/>
  <c r="Y478" s="1"/>
  <c r="Z477"/>
  <c r="Y477" s="1"/>
  <c r="Z473"/>
  <c r="Y473" s="1"/>
  <c r="Z472"/>
  <c r="Y472" s="1"/>
  <c r="Z471"/>
  <c r="Z469"/>
  <c r="Y469" s="1"/>
  <c r="Z468"/>
  <c r="Y468" s="1"/>
  <c r="Z467"/>
  <c r="Z465"/>
  <c r="Y465" s="1"/>
  <c r="Z464"/>
  <c r="Y464" s="1"/>
  <c r="Z491"/>
  <c r="Y491" s="1"/>
  <c r="Z487"/>
  <c r="Z480"/>
  <c r="Y480" s="1"/>
  <c r="Z479"/>
  <c r="Y479" s="1"/>
  <c r="Z476"/>
  <c r="Y476" s="1"/>
  <c r="Z475"/>
  <c r="Z463"/>
  <c r="Z461"/>
  <c r="G459"/>
  <c r="Y490" l="1"/>
  <c r="Z488"/>
  <c r="Y487"/>
  <c r="F487" s="1"/>
  <c r="Y461"/>
  <c r="F461" s="1"/>
  <c r="Z745"/>
  <c r="Z748"/>
  <c r="Y748" s="1"/>
  <c r="F748" s="1"/>
  <c r="Z481"/>
  <c r="Y481" s="1"/>
  <c r="F481" s="1"/>
  <c r="Z484"/>
  <c r="Y484" s="1"/>
  <c r="F484" s="1"/>
  <c r="Z470"/>
  <c r="F473"/>
  <c r="Y471"/>
  <c r="Z466"/>
  <c r="Y467"/>
  <c r="Y466" s="1"/>
  <c r="F466" s="1"/>
  <c r="Y488"/>
  <c r="F488" s="1"/>
  <c r="Z474"/>
  <c r="Y474" s="1"/>
  <c r="F474" s="1"/>
  <c r="Z462"/>
  <c r="Y463"/>
  <c r="Y462" s="1"/>
  <c r="Y475"/>
  <c r="Y489"/>
  <c r="Z242"/>
  <c r="Y242" s="1"/>
  <c r="F242" s="1"/>
  <c r="Z243"/>
  <c r="Y243" s="1"/>
  <c r="Z241"/>
  <c r="Y241" s="1"/>
  <c r="Z237"/>
  <c r="Z238"/>
  <c r="Y238" s="1"/>
  <c r="Z239"/>
  <c r="Y239" s="1"/>
  <c r="Z240"/>
  <c r="Y240" s="1"/>
  <c r="Z233"/>
  <c r="Y233" s="1"/>
  <c r="Y745" l="1"/>
  <c r="F745" s="1"/>
  <c r="F744" s="1"/>
  <c r="Z744"/>
  <c r="Z743" s="1"/>
  <c r="Y470"/>
  <c r="F470" s="1"/>
  <c r="F462"/>
  <c r="Z236"/>
  <c r="Y236" s="1"/>
  <c r="Y237"/>
  <c r="F460" l="1"/>
  <c r="H744"/>
  <c r="G431"/>
  <c r="G430" s="1"/>
  <c r="Z433"/>
  <c r="Y433" s="1"/>
  <c r="F433" s="1"/>
  <c r="Z432"/>
  <c r="Y432" s="1"/>
  <c r="F432" s="1"/>
  <c r="H460" l="1"/>
  <c r="F459"/>
  <c r="F431"/>
  <c r="H431" l="1"/>
  <c r="F430"/>
  <c r="H430" s="1"/>
  <c r="Z389" l="1"/>
  <c r="Y389" s="1"/>
  <c r="Z388"/>
  <c r="Y388" s="1"/>
  <c r="Z387"/>
  <c r="Y387" s="1"/>
  <c r="Z385"/>
  <c r="Y385" s="1"/>
  <c r="Z384"/>
  <c r="Y384" s="1"/>
  <c r="Z382"/>
  <c r="Y382" s="1"/>
  <c r="Z381"/>
  <c r="Y381" s="1"/>
  <c r="Z380"/>
  <c r="Y380" s="1"/>
  <c r="Z379"/>
  <c r="Y379" s="1"/>
  <c r="Z378"/>
  <c r="Y378" s="1"/>
  <c r="Z377"/>
  <c r="Y377" s="1"/>
  <c r="Z376"/>
  <c r="Y376" s="1"/>
  <c r="Z374"/>
  <c r="Y374" s="1"/>
  <c r="Z373"/>
  <c r="Y373" s="1"/>
  <c r="Z372"/>
  <c r="Y372" s="1"/>
  <c r="Z371"/>
  <c r="Y371" s="1"/>
  <c r="Z370"/>
  <c r="Y370" s="1"/>
  <c r="Z369"/>
  <c r="Y369" s="1"/>
  <c r="Z368"/>
  <c r="Y368" s="1"/>
  <c r="Z367"/>
  <c r="Y367" s="1"/>
  <c r="Z365"/>
  <c r="Y365" s="1"/>
  <c r="Z364"/>
  <c r="Y364" s="1"/>
  <c r="Z363"/>
  <c r="Y363" s="1"/>
  <c r="Z361"/>
  <c r="Y361" s="1"/>
  <c r="Z360"/>
  <c r="Z358"/>
  <c r="Y358" s="1"/>
  <c r="Z357"/>
  <c r="Y357" s="1"/>
  <c r="Z356"/>
  <c r="Y356" s="1"/>
  <c r="Z354"/>
  <c r="Y353"/>
  <c r="F353" s="1"/>
  <c r="Z348"/>
  <c r="Y348" s="1"/>
  <c r="Z347"/>
  <c r="Y347" s="1"/>
  <c r="Z346"/>
  <c r="Y346" s="1"/>
  <c r="Z345"/>
  <c r="Y345" s="1"/>
  <c r="Z343"/>
  <c r="Y343" s="1"/>
  <c r="Z342"/>
  <c r="Y342" s="1"/>
  <c r="Z341"/>
  <c r="Y341" s="1"/>
  <c r="Z339"/>
  <c r="Y339" s="1"/>
  <c r="Z338"/>
  <c r="Y338" s="1"/>
  <c r="Z336"/>
  <c r="Y336" s="1"/>
  <c r="Z335"/>
  <c r="Y335" s="1"/>
  <c r="Z334"/>
  <c r="Y334" s="1"/>
  <c r="F332"/>
  <c r="Y354" l="1"/>
  <c r="F354" s="1"/>
  <c r="Z359"/>
  <c r="F337"/>
  <c r="Z366"/>
  <c r="Z383"/>
  <c r="Z386"/>
  <c r="Y360"/>
  <c r="Z362"/>
  <c r="Z344"/>
  <c r="Z337"/>
  <c r="Y337" s="1"/>
  <c r="Z375"/>
  <c r="Z340"/>
  <c r="Z333"/>
  <c r="Z355"/>
  <c r="Y366" l="1"/>
  <c r="F366" s="1"/>
  <c r="Y355"/>
  <c r="F355" s="1"/>
  <c r="Y340"/>
  <c r="F340" s="1"/>
  <c r="Y375"/>
  <c r="F375" s="1"/>
  <c r="Y362"/>
  <c r="F362" s="1"/>
  <c r="Y344"/>
  <c r="F344" s="1"/>
  <c r="Y359"/>
  <c r="F359" s="1"/>
  <c r="Y383"/>
  <c r="F383" s="1"/>
  <c r="Y333"/>
  <c r="F333" s="1"/>
  <c r="F390"/>
  <c r="F349"/>
  <c r="Y386"/>
  <c r="F386" s="1"/>
  <c r="F331" l="1"/>
  <c r="Z139"/>
  <c r="Y139" s="1"/>
  <c r="F139" s="1"/>
  <c r="H139" s="1"/>
  <c r="Z138"/>
  <c r="Y138" s="1"/>
  <c r="F138" s="1"/>
  <c r="H138" s="1"/>
  <c r="Z137"/>
  <c r="Y137" s="1"/>
  <c r="F137" s="1"/>
  <c r="Z136"/>
  <c r="Y136" s="1"/>
  <c r="F136" s="1"/>
  <c r="Z135"/>
  <c r="Y135" s="1"/>
  <c r="Z134"/>
  <c r="Z132"/>
  <c r="Y132" s="1"/>
  <c r="Z131"/>
  <c r="Y131" s="1"/>
  <c r="Z129"/>
  <c r="Y129" s="1"/>
  <c r="F129" s="1"/>
  <c r="Z127"/>
  <c r="Y127" s="1"/>
  <c r="F127" s="1"/>
  <c r="H127" s="1"/>
  <c r="Z126"/>
  <c r="Y126" s="1"/>
  <c r="F126" s="1"/>
  <c r="H126" s="1"/>
  <c r="Z125"/>
  <c r="Y125" s="1"/>
  <c r="F125" s="1"/>
  <c r="Z124"/>
  <c r="Y124" s="1"/>
  <c r="F124" s="1"/>
  <c r="Z123"/>
  <c r="Y123" s="1"/>
  <c r="F123" s="1"/>
  <c r="Z122"/>
  <c r="Y122" s="1"/>
  <c r="Z121"/>
  <c r="Z119"/>
  <c r="Y119" s="1"/>
  <c r="F119" s="1"/>
  <c r="Z120" l="1"/>
  <c r="Y120" s="1"/>
  <c r="F120" s="1"/>
  <c r="F118" s="1"/>
  <c r="Z133"/>
  <c r="Y133" s="1"/>
  <c r="F133" s="1"/>
  <c r="Z130"/>
  <c r="Y130" s="1"/>
  <c r="F130" s="1"/>
  <c r="Y134"/>
  <c r="Y121"/>
  <c r="F128" l="1"/>
  <c r="H128" s="1"/>
  <c r="H140"/>
  <c r="H118"/>
  <c r="G108" l="1"/>
  <c r="Z41"/>
  <c r="Y41" s="1"/>
  <c r="H41" s="1"/>
  <c r="AA11" i="158" l="1"/>
  <c r="AA12"/>
  <c r="Z12" s="1"/>
  <c r="AA13"/>
  <c r="Z13" s="1"/>
  <c r="AA14"/>
  <c r="Z14" s="1"/>
  <c r="AA15"/>
  <c r="Z15" s="1"/>
  <c r="AA16"/>
  <c r="Z16" s="1"/>
  <c r="Z203" i="162"/>
  <c r="Y203" s="1"/>
  <c r="F203" s="1"/>
  <c r="Z202"/>
  <c r="Y202" s="1"/>
  <c r="Z201"/>
  <c r="Y201" s="1"/>
  <c r="Z199"/>
  <c r="Y199" s="1"/>
  <c r="F199" s="1"/>
  <c r="Z198"/>
  <c r="Y198" s="1"/>
  <c r="Z197"/>
  <c r="Y197" s="1"/>
  <c r="Z195"/>
  <c r="Y195" s="1"/>
  <c r="F195" s="1"/>
  <c r="G193"/>
  <c r="G974"/>
  <c r="G156"/>
  <c r="G46"/>
  <c r="G45" s="1"/>
  <c r="G44" s="1"/>
  <c r="Z43"/>
  <c r="Y43" s="1"/>
  <c r="H43" s="1"/>
  <c r="Z42"/>
  <c r="Y42" s="1"/>
  <c r="H42" s="1"/>
  <c r="Z38"/>
  <c r="Y38" s="1"/>
  <c r="H38" s="1"/>
  <c r="Z37"/>
  <c r="Y37" s="1"/>
  <c r="H37" s="1"/>
  <c r="G33"/>
  <c r="Z16"/>
  <c r="Y16" s="1"/>
  <c r="Z15"/>
  <c r="Y15" s="1"/>
  <c r="Z14"/>
  <c r="Y14" s="1"/>
  <c r="Z13"/>
  <c r="Y13" s="1"/>
  <c r="Z12"/>
  <c r="Y12" s="1"/>
  <c r="Z11"/>
  <c r="G8"/>
  <c r="G7" s="1"/>
  <c r="AA78" i="158"/>
  <c r="Z78" s="1"/>
  <c r="G78" s="1"/>
  <c r="AA73"/>
  <c r="Z73" s="1"/>
  <c r="AA72"/>
  <c r="H69"/>
  <c r="AA77"/>
  <c r="Z77" s="1"/>
  <c r="AA76"/>
  <c r="Z76" s="1"/>
  <c r="AA74"/>
  <c r="Z74" s="1"/>
  <c r="G74" s="1"/>
  <c r="AA70"/>
  <c r="Z70" s="1"/>
  <c r="G70" s="1"/>
  <c r="G32" i="162" l="1"/>
  <c r="G6"/>
  <c r="H39"/>
  <c r="H36"/>
  <c r="AA10" i="158"/>
  <c r="Z10" s="1"/>
  <c r="G10" s="1"/>
  <c r="Z11"/>
  <c r="AA71"/>
  <c r="Z71" s="1"/>
  <c r="G71" s="1"/>
  <c r="AA75"/>
  <c r="Z75" s="1"/>
  <c r="G75" s="1"/>
  <c r="Z72"/>
  <c r="Z196" i="162"/>
  <c r="Y196" s="1"/>
  <c r="F196" s="1"/>
  <c r="Z200"/>
  <c r="Y200" s="1"/>
  <c r="F200" s="1"/>
  <c r="H40"/>
  <c r="Z10"/>
  <c r="Y10" s="1"/>
  <c r="F10" s="1"/>
  <c r="F9" s="1"/>
  <c r="Y11"/>
  <c r="F194" l="1"/>
  <c r="G69" i="158"/>
  <c r="F46" i="162"/>
  <c r="H46" s="1"/>
  <c r="I46" s="1"/>
  <c r="F35"/>
  <c r="F34" s="1"/>
  <c r="AB9"/>
  <c r="F8"/>
  <c r="F7" s="1"/>
  <c r="H9"/>
  <c r="I9" s="1"/>
  <c r="H34" l="1"/>
  <c r="H35"/>
  <c r="I35" s="1"/>
  <c r="AB46"/>
  <c r="H194"/>
  <c r="F193"/>
  <c r="H193" s="1"/>
  <c r="AB194"/>
  <c r="F45"/>
  <c r="AB45" s="1"/>
  <c r="AB35"/>
  <c r="AB34"/>
  <c r="H8"/>
  <c r="AB8"/>
  <c r="F33" l="1"/>
  <c r="H45"/>
  <c r="F44"/>
  <c r="H44" s="1"/>
  <c r="F6"/>
  <c r="H7"/>
  <c r="AB7"/>
  <c r="H33" l="1"/>
  <c r="F32"/>
  <c r="H32" s="1"/>
  <c r="AB33"/>
  <c r="AB44"/>
  <c r="H6"/>
  <c r="AB6"/>
  <c r="AB32" l="1"/>
  <c r="AA41" i="158" l="1"/>
  <c r="Z41" s="1"/>
  <c r="AA40"/>
  <c r="Z40" s="1"/>
  <c r="Z39" l="1"/>
  <c r="I39" l="1"/>
  <c r="G38"/>
  <c r="H9" l="1"/>
  <c r="G9" l="1"/>
  <c r="Z623" i="162" l="1"/>
  <c r="Y623" s="1"/>
  <c r="Z624"/>
  <c r="Y624" s="1"/>
  <c r="Z626"/>
  <c r="Z620"/>
  <c r="Y620" s="1"/>
  <c r="Z627"/>
  <c r="Y627" s="1"/>
  <c r="F627" s="1"/>
  <c r="Z625"/>
  <c r="Y625" s="1"/>
  <c r="Z621"/>
  <c r="Y621" s="1"/>
  <c r="F621" s="1"/>
  <c r="Z608"/>
  <c r="Y608" s="1"/>
  <c r="F608" s="1"/>
  <c r="Z618"/>
  <c r="Y618" s="1"/>
  <c r="F618" s="1"/>
  <c r="Z616"/>
  <c r="Y616" s="1"/>
  <c r="Z617"/>
  <c r="Y617" s="1"/>
  <c r="Z613"/>
  <c r="Y613" s="1"/>
  <c r="Z612"/>
  <c r="Y612" s="1"/>
  <c r="Z611"/>
  <c r="Y611" s="1"/>
  <c r="Z610"/>
  <c r="Z606"/>
  <c r="Y606" s="1"/>
  <c r="Z605"/>
  <c r="Y605" s="1"/>
  <c r="Z614"/>
  <c r="Y614" s="1"/>
  <c r="F614" s="1"/>
  <c r="Z607"/>
  <c r="Y607" s="1"/>
  <c r="F607" s="1"/>
  <c r="Z603"/>
  <c r="Y603" s="1"/>
  <c r="F603" s="1"/>
  <c r="G551"/>
  <c r="G645"/>
  <c r="G6" i="113"/>
  <c r="E8" i="121" l="1"/>
  <c r="I8" s="1"/>
  <c r="G5" i="113"/>
  <c r="G601" i="162"/>
  <c r="G550" s="1"/>
  <c r="Y626"/>
  <c r="F626" s="1"/>
  <c r="Z622"/>
  <c r="Y622" s="1"/>
  <c r="F622" s="1"/>
  <c r="F620"/>
  <c r="Z615"/>
  <c r="Y615" s="1"/>
  <c r="F615" s="1"/>
  <c r="Z609"/>
  <c r="Y609" s="1"/>
  <c r="F609" s="1"/>
  <c r="Z647"/>
  <c r="Y610"/>
  <c r="Y604"/>
  <c r="F604" s="1"/>
  <c r="Z604"/>
  <c r="F551"/>
  <c r="H500" s="1"/>
  <c r="Z552"/>
  <c r="F602" l="1"/>
  <c r="F619"/>
  <c r="H619" s="1"/>
  <c r="G458"/>
  <c r="H552"/>
  <c r="I552" s="1"/>
  <c r="F601" l="1"/>
  <c r="F550" s="1"/>
  <c r="H547" s="1"/>
  <c r="H546" s="1"/>
  <c r="H602"/>
  <c r="H551"/>
  <c r="I551" s="1"/>
  <c r="AC551"/>
  <c r="H434" l="1"/>
  <c r="F458"/>
  <c r="H458" s="1"/>
  <c r="AC111" i="158"/>
  <c r="G110"/>
  <c r="AC99"/>
  <c r="H98"/>
  <c r="G98"/>
  <c r="AC98" l="1"/>
  <c r="I98"/>
  <c r="AB459" i="162"/>
  <c r="H459"/>
  <c r="AB647"/>
  <c r="F645"/>
  <c r="H646"/>
  <c r="AC110" i="158"/>
  <c r="H645" i="162" l="1"/>
  <c r="H601" l="1"/>
  <c r="AB601"/>
  <c r="AB278" i="135" l="1"/>
  <c r="G26" i="157" l="1"/>
  <c r="G22"/>
  <c r="H142" i="158"/>
  <c r="G142"/>
  <c r="I142" s="1"/>
  <c r="AC186"/>
  <c r="H185"/>
  <c r="G185"/>
  <c r="AC182"/>
  <c r="H181"/>
  <c r="G181"/>
  <c r="H175"/>
  <c r="G175"/>
  <c r="AC175" s="1"/>
  <c r="H173"/>
  <c r="G173"/>
  <c r="H152"/>
  <c r="H145" s="1"/>
  <c r="G152"/>
  <c r="G145" s="1"/>
  <c r="I145" s="1"/>
  <c r="AC155"/>
  <c r="AC154"/>
  <c r="AC156"/>
  <c r="AC153"/>
  <c r="H164"/>
  <c r="H163" s="1"/>
  <c r="G164"/>
  <c r="G163" s="1"/>
  <c r="I163" s="1"/>
  <c r="AC166"/>
  <c r="AC133"/>
  <c r="G132"/>
  <c r="G128"/>
  <c r="AC131"/>
  <c r="AC130"/>
  <c r="AC129"/>
  <c r="AC137"/>
  <c r="G136"/>
  <c r="AC127"/>
  <c r="J127"/>
  <c r="AC126"/>
  <c r="J126"/>
  <c r="G125"/>
  <c r="G119"/>
  <c r="AC122"/>
  <c r="AC118"/>
  <c r="H116"/>
  <c r="G117"/>
  <c r="AC117" s="1"/>
  <c r="G108"/>
  <c r="AC108" s="1"/>
  <c r="G112"/>
  <c r="I112" s="1"/>
  <c r="G114"/>
  <c r="I114" s="1"/>
  <c r="AC113"/>
  <c r="AC115"/>
  <c r="AC109"/>
  <c r="H105"/>
  <c r="H104" s="1"/>
  <c r="G105"/>
  <c r="AC105" s="1"/>
  <c r="AC106"/>
  <c r="H100"/>
  <c r="G100"/>
  <c r="I100" s="1"/>
  <c r="AC101"/>
  <c r="AC69"/>
  <c r="H68"/>
  <c r="G68"/>
  <c r="I68" s="1"/>
  <c r="AC38"/>
  <c r="J38"/>
  <c r="H37"/>
  <c r="H36" s="1"/>
  <c r="D19" i="165" s="1"/>
  <c r="H19" s="1"/>
  <c r="G37" i="158"/>
  <c r="AC37" s="1"/>
  <c r="AC35"/>
  <c r="I35"/>
  <c r="J35" s="1"/>
  <c r="AC34"/>
  <c r="H8"/>
  <c r="H7" s="1"/>
  <c r="G8"/>
  <c r="AC9"/>
  <c r="J9"/>
  <c r="H140"/>
  <c r="G140"/>
  <c r="AC141"/>
  <c r="H52"/>
  <c r="G52"/>
  <c r="I52" s="1"/>
  <c r="AC55"/>
  <c r="AC54"/>
  <c r="AC56"/>
  <c r="E53" i="157"/>
  <c r="G53" s="1"/>
  <c r="H183" i="158" l="1"/>
  <c r="D27" i="165" s="1"/>
  <c r="H27" s="1"/>
  <c r="H184" i="158"/>
  <c r="G139"/>
  <c r="I140"/>
  <c r="AC185"/>
  <c r="I185"/>
  <c r="G184"/>
  <c r="I184" s="1"/>
  <c r="I173"/>
  <c r="AC152"/>
  <c r="G124"/>
  <c r="I124" s="1"/>
  <c r="AC8"/>
  <c r="G7"/>
  <c r="C18" i="165" s="1"/>
  <c r="H162" i="158"/>
  <c r="AC163"/>
  <c r="G104"/>
  <c r="H139"/>
  <c r="H172"/>
  <c r="H171" s="1"/>
  <c r="D25" i="165" s="1"/>
  <c r="H25" s="1"/>
  <c r="G172" i="158"/>
  <c r="G171" s="1"/>
  <c r="H6"/>
  <c r="D18" i="165"/>
  <c r="H18" s="1"/>
  <c r="H107" i="158"/>
  <c r="G116"/>
  <c r="I116" s="1"/>
  <c r="G107"/>
  <c r="AC142"/>
  <c r="I181"/>
  <c r="AC181"/>
  <c r="I175"/>
  <c r="AC172"/>
  <c r="AC173"/>
  <c r="I152"/>
  <c r="I164"/>
  <c r="AC164"/>
  <c r="H123"/>
  <c r="AC132"/>
  <c r="AC128"/>
  <c r="AC125"/>
  <c r="AC136"/>
  <c r="AC119"/>
  <c r="AC104"/>
  <c r="AC100"/>
  <c r="G33"/>
  <c r="I37"/>
  <c r="I8"/>
  <c r="G18" i="165" l="1"/>
  <c r="I18" s="1"/>
  <c r="G162" i="158"/>
  <c r="F18" i="165"/>
  <c r="D24"/>
  <c r="H24" s="1"/>
  <c r="D21"/>
  <c r="H21" s="1"/>
  <c r="I172" i="158"/>
  <c r="I171"/>
  <c r="C25" i="165"/>
  <c r="G25" s="1"/>
  <c r="I25" s="1"/>
  <c r="AC184" i="158"/>
  <c r="G183"/>
  <c r="G123"/>
  <c r="AC124"/>
  <c r="AC116"/>
  <c r="AC7"/>
  <c r="G6"/>
  <c r="AC33"/>
  <c r="C19" i="165"/>
  <c r="G19" s="1"/>
  <c r="I19" s="1"/>
  <c r="I33" i="158"/>
  <c r="I7"/>
  <c r="AC36"/>
  <c r="I36"/>
  <c r="I162" l="1"/>
  <c r="G5"/>
  <c r="C21" i="165"/>
  <c r="G21" s="1"/>
  <c r="I21" s="1"/>
  <c r="I123" i="158"/>
  <c r="C24" i="165"/>
  <c r="G24" s="1"/>
  <c r="I24" s="1"/>
  <c r="E25"/>
  <c r="F25"/>
  <c r="E19"/>
  <c r="F19"/>
  <c r="I183" i="158"/>
  <c r="C27" i="165"/>
  <c r="G27" s="1"/>
  <c r="I27" s="1"/>
  <c r="AC123" i="158"/>
  <c r="AC6"/>
  <c r="AC32"/>
  <c r="I32"/>
  <c r="I6"/>
  <c r="E21" i="165" l="1"/>
  <c r="F21"/>
  <c r="E24"/>
  <c r="F24"/>
  <c r="I157" i="158"/>
  <c r="AC157"/>
  <c r="E27" i="165"/>
  <c r="F27"/>
  <c r="D16"/>
  <c r="H16" s="1"/>
  <c r="D12"/>
  <c r="H12" s="1"/>
  <c r="D9"/>
  <c r="H9" s="1"/>
  <c r="D21" i="164"/>
  <c r="H21" s="1"/>
  <c r="D22"/>
  <c r="H22" s="1"/>
  <c r="T61" i="157"/>
  <c r="E54"/>
  <c r="G54" s="1"/>
  <c r="E50"/>
  <c r="G50" s="1"/>
  <c r="E49"/>
  <c r="D26" i="164"/>
  <c r="H26" s="1"/>
  <c r="G49" i="157" l="1"/>
  <c r="E48"/>
  <c r="D67" s="1"/>
  <c r="E43"/>
  <c r="E44"/>
  <c r="G44" s="1"/>
  <c r="E36"/>
  <c r="E37"/>
  <c r="G37" s="1"/>
  <c r="E38"/>
  <c r="G38" s="1"/>
  <c r="E31"/>
  <c r="E32"/>
  <c r="G32" s="1"/>
  <c r="G48" l="1"/>
  <c r="C26" i="164"/>
  <c r="F26" s="1"/>
  <c r="G36" i="157"/>
  <c r="G43"/>
  <c r="G31"/>
  <c r="E30"/>
  <c r="G30" s="1"/>
  <c r="E29"/>
  <c r="G29" s="1"/>
  <c r="E28"/>
  <c r="G28" s="1"/>
  <c r="E27"/>
  <c r="G27" s="1"/>
  <c r="E23"/>
  <c r="G23" s="1"/>
  <c r="E24"/>
  <c r="G24" s="1"/>
  <c r="E25"/>
  <c r="G25" s="1"/>
  <c r="E34"/>
  <c r="E17"/>
  <c r="G17" s="1"/>
  <c r="E21"/>
  <c r="G21" s="1"/>
  <c r="E8"/>
  <c r="E9"/>
  <c r="G9" s="1"/>
  <c r="E11"/>
  <c r="G11" s="1"/>
  <c r="C14" i="164"/>
  <c r="T24" i="120"/>
  <c r="T12"/>
  <c r="E26" i="164" l="1"/>
  <c r="G26"/>
  <c r="I26" s="1"/>
  <c r="G14"/>
  <c r="I14" s="1"/>
  <c r="F14"/>
  <c r="E14"/>
  <c r="D20" l="1"/>
  <c r="H20" s="1"/>
  <c r="D19"/>
  <c r="H19" s="1"/>
  <c r="D17"/>
  <c r="D16"/>
  <c r="H16" s="1"/>
  <c r="D13"/>
  <c r="H13" s="1"/>
  <c r="D12"/>
  <c r="H12" s="1"/>
  <c r="D11"/>
  <c r="H11" s="1"/>
  <c r="D10"/>
  <c r="H10" s="1"/>
  <c r="D9"/>
  <c r="H9" s="1"/>
  <c r="D8"/>
  <c r="H8" s="1"/>
  <c r="D7"/>
  <c r="H7" s="1"/>
  <c r="H17" l="1"/>
  <c r="D6"/>
  <c r="H6" s="1"/>
  <c r="D15"/>
  <c r="H15" s="1"/>
  <c r="D5" l="1"/>
  <c r="H5" l="1"/>
  <c r="Z97" i="113"/>
  <c r="Z90"/>
  <c r="Y90" s="1"/>
  <c r="Z129" i="163"/>
  <c r="G129" s="1"/>
  <c r="Z126"/>
  <c r="Z125"/>
  <c r="Z122"/>
  <c r="Z121"/>
  <c r="Z120"/>
  <c r="Z119"/>
  <c r="Z116"/>
  <c r="Z114"/>
  <c r="Z113"/>
  <c r="Z104"/>
  <c r="Z103"/>
  <c r="Z102"/>
  <c r="Z101"/>
  <c r="Z94"/>
  <c r="Z93"/>
  <c r="Z92"/>
  <c r="Z89"/>
  <c r="Z88"/>
  <c r="Z85"/>
  <c r="Z84"/>
  <c r="Z77"/>
  <c r="Z81"/>
  <c r="Z80"/>
  <c r="Z79"/>
  <c r="Z73"/>
  <c r="Z75"/>
  <c r="Z74"/>
  <c r="Z71"/>
  <c r="Z67"/>
  <c r="Z66"/>
  <c r="Z63"/>
  <c r="Z62"/>
  <c r="Z53"/>
  <c r="Z59"/>
  <c r="Z58"/>
  <c r="Z57"/>
  <c r="Z56"/>
  <c r="Z55"/>
  <c r="Z51"/>
  <c r="Z54" l="1"/>
  <c r="AA13"/>
  <c r="AA10" s="1"/>
  <c r="AA84"/>
  <c r="AA88"/>
  <c r="T291"/>
  <c r="AA291" s="1"/>
  <c r="Z291" s="1"/>
  <c r="AA275"/>
  <c r="Z275" s="1"/>
  <c r="AA274"/>
  <c r="Z274" s="1"/>
  <c r="AA302"/>
  <c r="Z302" s="1"/>
  <c r="G302" s="1"/>
  <c r="AA301"/>
  <c r="Z301" s="1"/>
  <c r="G301" s="1"/>
  <c r="AA300"/>
  <c r="Z300" s="1"/>
  <c r="AA299"/>
  <c r="Z299" s="1"/>
  <c r="AA298"/>
  <c r="Z298" s="1"/>
  <c r="AA297"/>
  <c r="Z297" s="1"/>
  <c r="AA296"/>
  <c r="AA294"/>
  <c r="Z294" s="1"/>
  <c r="AA293"/>
  <c r="Z293" s="1"/>
  <c r="AA292"/>
  <c r="Z292" s="1"/>
  <c r="AA289"/>
  <c r="Z289" s="1"/>
  <c r="AA288"/>
  <c r="Z288" s="1"/>
  <c r="AA286"/>
  <c r="Z286" s="1"/>
  <c r="G286" s="1"/>
  <c r="AA285"/>
  <c r="Z285" s="1"/>
  <c r="G285" s="1"/>
  <c r="AA284"/>
  <c r="Z284" s="1"/>
  <c r="G284" s="1"/>
  <c r="AA283"/>
  <c r="Z283" s="1"/>
  <c r="G283" s="1"/>
  <c r="AA282"/>
  <c r="Z282" s="1"/>
  <c r="AA281"/>
  <c r="Z281" s="1"/>
  <c r="AA279"/>
  <c r="Z279" s="1"/>
  <c r="G279" s="1"/>
  <c r="AA278"/>
  <c r="Z278" s="1"/>
  <c r="AA277"/>
  <c r="Z277" s="1"/>
  <c r="H238"/>
  <c r="AA269"/>
  <c r="Z269" s="1"/>
  <c r="G269" s="1"/>
  <c r="AA267"/>
  <c r="Z267" s="1"/>
  <c r="AA266"/>
  <c r="Z266" s="1"/>
  <c r="AA265"/>
  <c r="Z265" s="1"/>
  <c r="AA264"/>
  <c r="Z264" s="1"/>
  <c r="AA263"/>
  <c r="AA261"/>
  <c r="Z261" s="1"/>
  <c r="AA260"/>
  <c r="Z260" s="1"/>
  <c r="AA259"/>
  <c r="Z259" s="1"/>
  <c r="AA258"/>
  <c r="AA256"/>
  <c r="Z256" s="1"/>
  <c r="AA255"/>
  <c r="Z255" s="1"/>
  <c r="AA253"/>
  <c r="Z253" s="1"/>
  <c r="G253" s="1"/>
  <c r="AA252"/>
  <c r="Z252" s="1"/>
  <c r="G252" s="1"/>
  <c r="AA251"/>
  <c r="Z251" s="1"/>
  <c r="G251" s="1"/>
  <c r="AA250"/>
  <c r="Z250" s="1"/>
  <c r="G250" s="1"/>
  <c r="AA249"/>
  <c r="Z249" s="1"/>
  <c r="AA245"/>
  <c r="Z245" s="1"/>
  <c r="G245" s="1"/>
  <c r="AA241"/>
  <c r="Z241" s="1"/>
  <c r="AA240"/>
  <c r="Z240" s="1"/>
  <c r="AA268"/>
  <c r="Z268" s="1"/>
  <c r="G268" s="1"/>
  <c r="AA248"/>
  <c r="Z248" s="1"/>
  <c r="AA247"/>
  <c r="Z247" s="1"/>
  <c r="AA244"/>
  <c r="Z244" s="1"/>
  <c r="AA243"/>
  <c r="Z243" s="1"/>
  <c r="AA280" l="1"/>
  <c r="Z280" s="1"/>
  <c r="G280" s="1"/>
  <c r="AA295"/>
  <c r="Z295" s="1"/>
  <c r="G295" s="1"/>
  <c r="Z296"/>
  <c r="AA273"/>
  <c r="Z273" s="1"/>
  <c r="G273" s="1"/>
  <c r="AA290"/>
  <c r="Z290" s="1"/>
  <c r="G290" s="1"/>
  <c r="AA287"/>
  <c r="Z287" s="1"/>
  <c r="G287" s="1"/>
  <c r="AA276"/>
  <c r="Z276" s="1"/>
  <c r="G276" s="1"/>
  <c r="AA262"/>
  <c r="Z262" s="1"/>
  <c r="G262" s="1"/>
  <c r="Z263"/>
  <c r="AA257"/>
  <c r="Z257" s="1"/>
  <c r="G257" s="1"/>
  <c r="Z258"/>
  <c r="AA254"/>
  <c r="Z254" s="1"/>
  <c r="G254" s="1"/>
  <c r="AA242"/>
  <c r="Z242" s="1"/>
  <c r="G242" s="1"/>
  <c r="AA246"/>
  <c r="Z246" s="1"/>
  <c r="G246" s="1"/>
  <c r="AA239"/>
  <c r="Z239" s="1"/>
  <c r="G239" s="1"/>
  <c r="F760" i="162"/>
  <c r="H760" s="1"/>
  <c r="G196" i="163"/>
  <c r="G200"/>
  <c r="G272" l="1"/>
  <c r="G238"/>
  <c r="H115" l="1"/>
  <c r="H128"/>
  <c r="H127" s="1"/>
  <c r="H70"/>
  <c r="H112"/>
  <c r="H117"/>
  <c r="G126"/>
  <c r="G125"/>
  <c r="G122"/>
  <c r="G121"/>
  <c r="G116"/>
  <c r="G114"/>
  <c r="G113"/>
  <c r="G77"/>
  <c r="G73"/>
  <c r="G75"/>
  <c r="G74"/>
  <c r="G71"/>
  <c r="G70" s="1"/>
  <c r="G53"/>
  <c r="G59"/>
  <c r="I50"/>
  <c r="J89"/>
  <c r="G123" l="1"/>
  <c r="I123" s="1"/>
  <c r="G72"/>
  <c r="H111"/>
  <c r="H69"/>
  <c r="I70"/>
  <c r="Z118"/>
  <c r="H8"/>
  <c r="Z65"/>
  <c r="G65" s="1"/>
  <c r="Z91"/>
  <c r="G91" s="1"/>
  <c r="Z61"/>
  <c r="G61" s="1"/>
  <c r="H49"/>
  <c r="G115"/>
  <c r="I115" s="1"/>
  <c r="G128"/>
  <c r="I128" s="1"/>
  <c r="I72"/>
  <c r="Z100"/>
  <c r="G100" s="1"/>
  <c r="Z78"/>
  <c r="G78" s="1"/>
  <c r="G76" s="1"/>
  <c r="Z83"/>
  <c r="G83" s="1"/>
  <c r="G54"/>
  <c r="Z87"/>
  <c r="G87" s="1"/>
  <c r="G112"/>
  <c r="I112" s="1"/>
  <c r="G52" l="1"/>
  <c r="I52" s="1"/>
  <c r="I76"/>
  <c r="G86"/>
  <c r="I86" s="1"/>
  <c r="G60"/>
  <c r="H7"/>
  <c r="G127"/>
  <c r="I127" s="1"/>
  <c r="J83"/>
  <c r="G69" l="1"/>
  <c r="I69" s="1"/>
  <c r="G49"/>
  <c r="I49" s="1"/>
  <c r="I60"/>
  <c r="G111"/>
  <c r="I117"/>
  <c r="H6"/>
  <c r="I111" l="1"/>
  <c r="I105"/>
  <c r="I9" l="1"/>
  <c r="I272"/>
  <c r="H271"/>
  <c r="H270" s="1"/>
  <c r="G271"/>
  <c r="I238"/>
  <c r="H237"/>
  <c r="H236" s="1"/>
  <c r="G237"/>
  <c r="G132"/>
  <c r="G192"/>
  <c r="H190"/>
  <c r="H189" s="1"/>
  <c r="H132"/>
  <c r="J14"/>
  <c r="F217" i="162"/>
  <c r="F230"/>
  <c r="F229"/>
  <c r="F228"/>
  <c r="F227"/>
  <c r="I227" s="1"/>
  <c r="F226"/>
  <c r="F225"/>
  <c r="F224"/>
  <c r="F223"/>
  <c r="F211"/>
  <c r="Z982"/>
  <c r="Y982" s="1"/>
  <c r="F982" s="1"/>
  <c r="Z981"/>
  <c r="Y981" s="1"/>
  <c r="Z980"/>
  <c r="Y980" s="1"/>
  <c r="Z979"/>
  <c r="Y979" s="1"/>
  <c r="Z978"/>
  <c r="Y978" s="1"/>
  <c r="F757"/>
  <c r="H757" s="1"/>
  <c r="F756"/>
  <c r="F758"/>
  <c r="H758" s="1"/>
  <c r="F759"/>
  <c r="H759" s="1"/>
  <c r="F742"/>
  <c r="H742" s="1"/>
  <c r="G734"/>
  <c r="F210" l="1"/>
  <c r="H210" s="1"/>
  <c r="I210" s="1"/>
  <c r="I230"/>
  <c r="H188" i="163"/>
  <c r="G754" i="162"/>
  <c r="G753" s="1"/>
  <c r="H550"/>
  <c r="G191" i="163"/>
  <c r="I271"/>
  <c r="I132"/>
  <c r="G131"/>
  <c r="I237"/>
  <c r="G236"/>
  <c r="H131"/>
  <c r="G270"/>
  <c r="Z977" i="162"/>
  <c r="Y977" s="1"/>
  <c r="F977" s="1"/>
  <c r="F976" s="1"/>
  <c r="F975" s="1"/>
  <c r="I228"/>
  <c r="I226"/>
  <c r="I225"/>
  <c r="I224"/>
  <c r="I217"/>
  <c r="Z210"/>
  <c r="I229"/>
  <c r="F764"/>
  <c r="H764" s="1"/>
  <c r="G752" l="1"/>
  <c r="F755"/>
  <c r="F736"/>
  <c r="I223"/>
  <c r="Z734"/>
  <c r="G190" i="163"/>
  <c r="I191"/>
  <c r="J9"/>
  <c r="G130"/>
  <c r="I131"/>
  <c r="H130"/>
  <c r="I236"/>
  <c r="I270"/>
  <c r="F213" i="162"/>
  <c r="I211"/>
  <c r="F735" l="1"/>
  <c r="H735" s="1"/>
  <c r="H736"/>
  <c r="I213"/>
  <c r="F754"/>
  <c r="F753" s="1"/>
  <c r="F734"/>
  <c r="I190" i="163"/>
  <c r="G189"/>
  <c r="G188" s="1"/>
  <c r="I130"/>
  <c r="H5"/>
  <c r="Z429" i="162"/>
  <c r="Y429" s="1"/>
  <c r="F429" s="1"/>
  <c r="Z428"/>
  <c r="Y428" s="1"/>
  <c r="F428" s="1"/>
  <c r="H428" s="1"/>
  <c r="F427"/>
  <c r="H427" s="1"/>
  <c r="F426"/>
  <c r="H426" s="1"/>
  <c r="Z418"/>
  <c r="Y418" s="1"/>
  <c r="F418" s="1"/>
  <c r="Z417"/>
  <c r="Y417" s="1"/>
  <c r="F417" s="1"/>
  <c r="Z415"/>
  <c r="Y415" s="1"/>
  <c r="F415" s="1"/>
  <c r="Z414"/>
  <c r="Y414" s="1"/>
  <c r="Z413"/>
  <c r="Y413" s="1"/>
  <c r="Z403"/>
  <c r="Y403" s="1"/>
  <c r="Z411"/>
  <c r="Y411" s="1"/>
  <c r="F411" s="1"/>
  <c r="Z410"/>
  <c r="Y410" s="1"/>
  <c r="F410" s="1"/>
  <c r="Z409"/>
  <c r="Y409" s="1"/>
  <c r="Z408"/>
  <c r="Y408" s="1"/>
  <c r="Z406"/>
  <c r="Y406" s="1"/>
  <c r="Z405"/>
  <c r="Y405" s="1"/>
  <c r="Z402"/>
  <c r="Y402" s="1"/>
  <c r="Z401"/>
  <c r="Y401" s="1"/>
  <c r="Z398"/>
  <c r="Y398" s="1"/>
  <c r="Z397"/>
  <c r="Y397" s="1"/>
  <c r="Z396"/>
  <c r="Y396" s="1"/>
  <c r="Z330"/>
  <c r="Z329"/>
  <c r="Z328"/>
  <c r="Y328" s="1"/>
  <c r="Z327"/>
  <c r="Y327" s="1"/>
  <c r="Z324"/>
  <c r="Z323"/>
  <c r="Z322"/>
  <c r="F321"/>
  <c r="H321" s="1"/>
  <c r="Z318"/>
  <c r="Z317"/>
  <c r="Z316"/>
  <c r="Y316" s="1"/>
  <c r="Z314"/>
  <c r="Z306"/>
  <c r="Y306" s="1"/>
  <c r="Z305"/>
  <c r="Y305" s="1"/>
  <c r="Z301"/>
  <c r="Y301" s="1"/>
  <c r="Z300"/>
  <c r="Z298"/>
  <c r="Z297"/>
  <c r="Z296"/>
  <c r="Z295"/>
  <c r="F294"/>
  <c r="Z292"/>
  <c r="Y292" s="1"/>
  <c r="F292" s="1"/>
  <c r="Z291"/>
  <c r="Y291" s="1"/>
  <c r="F291" s="1"/>
  <c r="Z290"/>
  <c r="Y290" s="1"/>
  <c r="F290" s="1"/>
  <c r="Z289"/>
  <c r="Y289" s="1"/>
  <c r="F289" s="1"/>
  <c r="Z247"/>
  <c r="Y247" s="1"/>
  <c r="F247" s="1"/>
  <c r="Z246"/>
  <c r="Y246" s="1"/>
  <c r="Z245"/>
  <c r="Y245"/>
  <c r="F243"/>
  <c r="Z235"/>
  <c r="Y235" s="1"/>
  <c r="F235" s="1"/>
  <c r="Z234"/>
  <c r="Y234" s="1"/>
  <c r="F234" s="1"/>
  <c r="F233"/>
  <c r="F752" l="1"/>
  <c r="F288"/>
  <c r="H734"/>
  <c r="Y296"/>
  <c r="F296" s="1"/>
  <c r="H296" s="1"/>
  <c r="Y322"/>
  <c r="F322" s="1"/>
  <c r="Y295"/>
  <c r="F295" s="1"/>
  <c r="H295" s="1"/>
  <c r="Y298"/>
  <c r="F298" s="1"/>
  <c r="Y318"/>
  <c r="F318" s="1"/>
  <c r="H318" s="1"/>
  <c r="Y324"/>
  <c r="F324" s="1"/>
  <c r="Y330"/>
  <c r="F330" s="1"/>
  <c r="Y297"/>
  <c r="F297" s="1"/>
  <c r="Y317"/>
  <c r="F317" s="1"/>
  <c r="Y323"/>
  <c r="F323" s="1"/>
  <c r="Y329"/>
  <c r="F329" s="1"/>
  <c r="Y300"/>
  <c r="Z299"/>
  <c r="Y314"/>
  <c r="Z313"/>
  <c r="AB734"/>
  <c r="I189" i="163"/>
  <c r="Z407" i="162"/>
  <c r="Y407" s="1"/>
  <c r="F407" s="1"/>
  <c r="F218"/>
  <c r="Z212"/>
  <c r="G231"/>
  <c r="G393"/>
  <c r="F419"/>
  <c r="H419" s="1"/>
  <c r="Z244"/>
  <c r="Y244" s="1"/>
  <c r="F244" s="1"/>
  <c r="H288"/>
  <c r="Z319"/>
  <c r="Z325"/>
  <c r="F423"/>
  <c r="H423" s="1"/>
  <c r="Z395"/>
  <c r="Y395" s="1"/>
  <c r="F395" s="1"/>
  <c r="F394" s="1"/>
  <c r="F236"/>
  <c r="Z400"/>
  <c r="Z412"/>
  <c r="Y400"/>
  <c r="F400" s="1"/>
  <c r="Y412"/>
  <c r="F412" s="1"/>
  <c r="Y315"/>
  <c r="Z326"/>
  <c r="Z404"/>
  <c r="Y404" s="1"/>
  <c r="F404" s="1"/>
  <c r="F232" l="1"/>
  <c r="H232" s="1"/>
  <c r="H212"/>
  <c r="F212"/>
  <c r="F399"/>
  <c r="F416"/>
  <c r="H416" s="1"/>
  <c r="G208"/>
  <c r="Y313"/>
  <c r="F313" s="1"/>
  <c r="H313" s="1"/>
  <c r="Y326"/>
  <c r="F326" s="1"/>
  <c r="F325" s="1"/>
  <c r="H325" s="1"/>
  <c r="Y299"/>
  <c r="F299" s="1"/>
  <c r="H299" s="1"/>
  <c r="F320"/>
  <c r="F319" s="1"/>
  <c r="I188" i="163"/>
  <c r="Z331" i="162"/>
  <c r="H331"/>
  <c r="I218" l="1"/>
  <c r="F293"/>
  <c r="H293" s="1"/>
  <c r="H319"/>
  <c r="H320"/>
  <c r="F209"/>
  <c r="I212"/>
  <c r="H399"/>
  <c r="H394"/>
  <c r="F393"/>
  <c r="F231" l="1"/>
  <c r="F208" s="1"/>
  <c r="AC209"/>
  <c r="AC5" s="1"/>
  <c r="H209"/>
  <c r="I209" s="1"/>
  <c r="H393"/>
  <c r="AB393"/>
  <c r="Z162"/>
  <c r="Y162" s="1"/>
  <c r="F162" s="1"/>
  <c r="Z173"/>
  <c r="Y173" s="1"/>
  <c r="Z172"/>
  <c r="Y172" s="1"/>
  <c r="Z171"/>
  <c r="Z180"/>
  <c r="Y180" s="1"/>
  <c r="F180" s="1"/>
  <c r="H208" l="1"/>
  <c r="H231"/>
  <c r="AB231"/>
  <c r="Z170"/>
  <c r="Y170" s="1"/>
  <c r="Y171"/>
  <c r="Z177"/>
  <c r="Y177" s="1"/>
  <c r="Z176"/>
  <c r="Y176" s="1"/>
  <c r="Z181"/>
  <c r="Z179"/>
  <c r="Y179" s="1"/>
  <c r="F179" s="1"/>
  <c r="Z178"/>
  <c r="Y178" s="1"/>
  <c r="Z175"/>
  <c r="Y175" s="1"/>
  <c r="Z169"/>
  <c r="Y169" s="1"/>
  <c r="Z168"/>
  <c r="Y168" s="1"/>
  <c r="Z167"/>
  <c r="Y167" s="1"/>
  <c r="Z165"/>
  <c r="Y165" s="1"/>
  <c r="Z164"/>
  <c r="Y164" s="1"/>
  <c r="Z161"/>
  <c r="Y161" s="1"/>
  <c r="F161" s="1"/>
  <c r="Z160"/>
  <c r="Y160" s="1"/>
  <c r="F160" s="1"/>
  <c r="Z159"/>
  <c r="Y159" s="1"/>
  <c r="F159" s="1"/>
  <c r="Z158"/>
  <c r="Y158" s="1"/>
  <c r="F158" s="1"/>
  <c r="Z192"/>
  <c r="Z191"/>
  <c r="Y191" s="1"/>
  <c r="Z190"/>
  <c r="Y190" s="1"/>
  <c r="Z189"/>
  <c r="Z188"/>
  <c r="Z186"/>
  <c r="Z185"/>
  <c r="Z184"/>
  <c r="Z155"/>
  <c r="Z152"/>
  <c r="Y152" s="1"/>
  <c r="F152" s="1"/>
  <c r="Z154"/>
  <c r="Z153"/>
  <c r="Z151"/>
  <c r="I160" l="1"/>
  <c r="Z174"/>
  <c r="Y174" s="1"/>
  <c r="F174" s="1"/>
  <c r="I174" s="1"/>
  <c r="F170"/>
  <c r="I170" s="1"/>
  <c r="Y181"/>
  <c r="F181" s="1"/>
  <c r="I181" s="1"/>
  <c r="I179"/>
  <c r="Z163"/>
  <c r="I161"/>
  <c r="I159"/>
  <c r="I158"/>
  <c r="Z166"/>
  <c r="Z187"/>
  <c r="I180" l="1"/>
  <c r="Y166"/>
  <c r="F166" s="1"/>
  <c r="I166" s="1"/>
  <c r="Y163"/>
  <c r="F163" s="1"/>
  <c r="F157" l="1"/>
  <c r="I163"/>
  <c r="Z109" l="1"/>
  <c r="Y109" s="1"/>
  <c r="F109" s="1"/>
  <c r="Z116"/>
  <c r="Y116" s="1"/>
  <c r="Z115"/>
  <c r="Y115" s="1"/>
  <c r="Z110"/>
  <c r="Y110" s="1"/>
  <c r="F110" s="1"/>
  <c r="Z114"/>
  <c r="Y114" s="1"/>
  <c r="Z113"/>
  <c r="Y113" s="1"/>
  <c r="Z112"/>
  <c r="Y112" s="1"/>
  <c r="G63"/>
  <c r="Z64"/>
  <c r="Y64" s="1"/>
  <c r="F64" s="1"/>
  <c r="Z111" l="1"/>
  <c r="Y111" s="1"/>
  <c r="F111" s="1"/>
  <c r="F108" s="1"/>
  <c r="F63"/>
  <c r="H976" l="1"/>
  <c r="G973"/>
  <c r="H755"/>
  <c r="AB754"/>
  <c r="H157"/>
  <c r="F156"/>
  <c r="AB156" s="1"/>
  <c r="Y192"/>
  <c r="F192" s="1"/>
  <c r="F191"/>
  <c r="F190"/>
  <c r="Y189"/>
  <c r="Y188"/>
  <c r="Y187"/>
  <c r="F187" s="1"/>
  <c r="Y186"/>
  <c r="F186" s="1"/>
  <c r="Y185"/>
  <c r="F185" s="1"/>
  <c r="Y184"/>
  <c r="F184" s="1"/>
  <c r="G182"/>
  <c r="Y155"/>
  <c r="F155" s="1"/>
  <c r="Y154"/>
  <c r="F154" s="1"/>
  <c r="Y153"/>
  <c r="F153" s="1"/>
  <c r="Y151"/>
  <c r="F151" s="1"/>
  <c r="H108"/>
  <c r="G107"/>
  <c r="F107"/>
  <c r="AB107" s="1"/>
  <c r="I67"/>
  <c r="H63"/>
  <c r="I63" s="1"/>
  <c r="G62"/>
  <c r="G61" s="1"/>
  <c r="F62"/>
  <c r="Y11" i="160"/>
  <c r="Y12"/>
  <c r="Y13"/>
  <c r="Y14"/>
  <c r="Y15"/>
  <c r="Y16"/>
  <c r="Y17"/>
  <c r="Y18"/>
  <c r="Y19"/>
  <c r="Y10"/>
  <c r="Z11"/>
  <c r="Z12"/>
  <c r="Z13"/>
  <c r="Z14"/>
  <c r="Z15"/>
  <c r="Z16"/>
  <c r="Z17"/>
  <c r="Z18"/>
  <c r="Z19"/>
  <c r="Z10"/>
  <c r="G60" i="162" l="1"/>
  <c r="F150"/>
  <c r="F183"/>
  <c r="AB975"/>
  <c r="F974"/>
  <c r="AB62"/>
  <c r="H754"/>
  <c r="H62"/>
  <c r="H975"/>
  <c r="H107"/>
  <c r="H156"/>
  <c r="G47" i="158"/>
  <c r="J48"/>
  <c r="AC48"/>
  <c r="J49"/>
  <c r="AC49"/>
  <c r="G50"/>
  <c r="H50"/>
  <c r="AC51"/>
  <c r="AC52"/>
  <c r="AC53"/>
  <c r="F58" i="157"/>
  <c r="D25" i="164"/>
  <c r="H25" s="1"/>
  <c r="E60" i="157"/>
  <c r="G60" s="1"/>
  <c r="E61"/>
  <c r="G61" s="1"/>
  <c r="E62"/>
  <c r="G62" s="1"/>
  <c r="E64"/>
  <c r="G64" s="1"/>
  <c r="E59"/>
  <c r="G59" s="1"/>
  <c r="E39"/>
  <c r="G39" s="1"/>
  <c r="E13"/>
  <c r="G13" s="1"/>
  <c r="E14"/>
  <c r="G14" s="1"/>
  <c r="E15"/>
  <c r="G15" s="1"/>
  <c r="E16"/>
  <c r="G16" s="1"/>
  <c r="E19"/>
  <c r="G19" s="1"/>
  <c r="E20"/>
  <c r="G20" s="1"/>
  <c r="G34"/>
  <c r="E35"/>
  <c r="G35" s="1"/>
  <c r="E12"/>
  <c r="G8"/>
  <c r="H138" i="158"/>
  <c r="D22" i="165" s="1"/>
  <c r="H22" s="1"/>
  <c r="H144" i="158"/>
  <c r="H179"/>
  <c r="AC151"/>
  <c r="H94"/>
  <c r="G94"/>
  <c r="I94" s="1"/>
  <c r="H85"/>
  <c r="G85"/>
  <c r="I85" s="1"/>
  <c r="E7" i="157" l="1"/>
  <c r="H150" i="162"/>
  <c r="F117"/>
  <c r="AC50" i="158"/>
  <c r="I50"/>
  <c r="D27" i="164"/>
  <c r="H27" s="1"/>
  <c r="F6" i="157"/>
  <c r="G12"/>
  <c r="D23" i="165"/>
  <c r="H23" s="1"/>
  <c r="F743" i="162"/>
  <c r="F733" s="1"/>
  <c r="H178" i="158"/>
  <c r="H177" s="1"/>
  <c r="D26" i="165" s="1"/>
  <c r="H26" s="1"/>
  <c r="D24" i="164"/>
  <c r="H183" i="162"/>
  <c r="F182"/>
  <c r="H753"/>
  <c r="H974"/>
  <c r="F973"/>
  <c r="I146" i="158"/>
  <c r="G144"/>
  <c r="I144" s="1"/>
  <c r="E58" i="157"/>
  <c r="C27" i="164" s="1"/>
  <c r="G27" s="1"/>
  <c r="AC140" i="158"/>
  <c r="G138"/>
  <c r="C22" i="165" s="1"/>
  <c r="G22" s="1"/>
  <c r="I22" s="1"/>
  <c r="AC146" i="158"/>
  <c r="AB117" i="162" l="1"/>
  <c r="H117"/>
  <c r="F61"/>
  <c r="I27" i="164"/>
  <c r="G7" i="157"/>
  <c r="F60" i="162"/>
  <c r="D23" i="164"/>
  <c r="H24"/>
  <c r="F732" i="162"/>
  <c r="H973"/>
  <c r="AB743"/>
  <c r="H752"/>
  <c r="G743"/>
  <c r="G733" s="1"/>
  <c r="E27" i="164"/>
  <c r="F27"/>
  <c r="C24"/>
  <c r="C23" i="165"/>
  <c r="G23" s="1"/>
  <c r="I23" s="1"/>
  <c r="G58" i="157"/>
  <c r="H182" i="162"/>
  <c r="AB182"/>
  <c r="AC145" i="158"/>
  <c r="AC139"/>
  <c r="F5" i="162" l="1"/>
  <c r="H23" i="164"/>
  <c r="F24"/>
  <c r="G24"/>
  <c r="I24" s="1"/>
  <c r="H743" i="162"/>
  <c r="G732"/>
  <c r="G5" s="1"/>
  <c r="H733"/>
  <c r="AB5"/>
  <c r="E23" i="165"/>
  <c r="F23"/>
  <c r="F22"/>
  <c r="E22"/>
  <c r="AC112" i="158"/>
  <c r="AC114"/>
  <c r="E24" i="164"/>
  <c r="H61" i="162"/>
  <c r="T40" i="120"/>
  <c r="E40" s="1"/>
  <c r="C17" i="164" s="1"/>
  <c r="F17" s="1"/>
  <c r="F9" i="160"/>
  <c r="H8" s="1"/>
  <c r="G8"/>
  <c r="G7" s="1"/>
  <c r="G6" s="1"/>
  <c r="D28" i="164" s="1"/>
  <c r="D4" s="1"/>
  <c r="C30" i="165"/>
  <c r="G179" i="158"/>
  <c r="AC97"/>
  <c r="AC96"/>
  <c r="AC95"/>
  <c r="AC85"/>
  <c r="AC93"/>
  <c r="AC92"/>
  <c r="AC91"/>
  <c r="AC90"/>
  <c r="AC89"/>
  <c r="AC88"/>
  <c r="AC87"/>
  <c r="AC86"/>
  <c r="H47"/>
  <c r="H57"/>
  <c r="G57"/>
  <c r="H59"/>
  <c r="G59"/>
  <c r="H66"/>
  <c r="G66"/>
  <c r="H64"/>
  <c r="G64"/>
  <c r="H82"/>
  <c r="H81" s="1"/>
  <c r="G82"/>
  <c r="AC58"/>
  <c r="H46" l="1"/>
  <c r="I47"/>
  <c r="I64"/>
  <c r="I59"/>
  <c r="G81"/>
  <c r="I81" s="1"/>
  <c r="I82"/>
  <c r="I66"/>
  <c r="I57"/>
  <c r="E17" i="164"/>
  <c r="G17"/>
  <c r="I17" s="1"/>
  <c r="G46" i="158"/>
  <c r="F30" i="165"/>
  <c r="G30"/>
  <c r="I30" s="1"/>
  <c r="H45" i="158"/>
  <c r="H5" i="162"/>
  <c r="H732"/>
  <c r="G178" i="158"/>
  <c r="G177" s="1"/>
  <c r="E30" i="165"/>
  <c r="D32"/>
  <c r="H32" s="1"/>
  <c r="H4" i="164"/>
  <c r="F8" i="160"/>
  <c r="F7" s="1"/>
  <c r="F6" s="1"/>
  <c r="H60" i="162"/>
  <c r="AC94" i="158"/>
  <c r="AC57"/>
  <c r="E42" i="157"/>
  <c r="E41" l="1"/>
  <c r="H7" i="160"/>
  <c r="H6" s="1"/>
  <c r="D7" i="161"/>
  <c r="H7" s="1"/>
  <c r="D20" i="165"/>
  <c r="G45" i="158"/>
  <c r="C26" i="165"/>
  <c r="G26" s="1"/>
  <c r="I26" s="1"/>
  <c r="AC107" i="158"/>
  <c r="C32" i="165"/>
  <c r="C28" i="164"/>
  <c r="G42" i="157"/>
  <c r="AC62" i="158"/>
  <c r="AC65"/>
  <c r="AC84"/>
  <c r="AC67"/>
  <c r="AC83"/>
  <c r="AC61"/>
  <c r="AC63"/>
  <c r="G6" i="157" l="1"/>
  <c r="E6"/>
  <c r="C25" i="164"/>
  <c r="C23" s="1"/>
  <c r="E28"/>
  <c r="D17" i="165"/>
  <c r="H17" s="1"/>
  <c r="H20"/>
  <c r="E32"/>
  <c r="G32"/>
  <c r="I32" s="1"/>
  <c r="C20"/>
  <c r="C17" s="1"/>
  <c r="E26"/>
  <c r="F26"/>
  <c r="C31"/>
  <c r="G31" s="1"/>
  <c r="I31" s="1"/>
  <c r="G41" i="157"/>
  <c r="D28" i="165"/>
  <c r="H28" s="1"/>
  <c r="AC82" i="158"/>
  <c r="AC47"/>
  <c r="AC60"/>
  <c r="AC180"/>
  <c r="C28" i="165" l="1"/>
  <c r="F25" i="164"/>
  <c r="G25"/>
  <c r="I25" s="1"/>
  <c r="E25"/>
  <c r="E23" s="1"/>
  <c r="F23"/>
  <c r="G23"/>
  <c r="I23" s="1"/>
  <c r="F20" i="165"/>
  <c r="G20"/>
  <c r="I20" s="1"/>
  <c r="F29"/>
  <c r="G29"/>
  <c r="I29" s="1"/>
  <c r="E20"/>
  <c r="E31"/>
  <c r="F31"/>
  <c r="E18"/>
  <c r="G28"/>
  <c r="I28" s="1"/>
  <c r="E29"/>
  <c r="I179" i="158"/>
  <c r="AC179"/>
  <c r="AC59"/>
  <c r="AC81"/>
  <c r="F17" i="165" l="1"/>
  <c r="G17"/>
  <c r="I17" s="1"/>
  <c r="E28"/>
  <c r="F28"/>
  <c r="E17"/>
  <c r="I46" i="158"/>
  <c r="AC46"/>
  <c r="I5" l="1"/>
  <c r="I177"/>
  <c r="AC178"/>
  <c r="I178"/>
  <c r="I45" l="1"/>
  <c r="AC45"/>
  <c r="D15" i="121" l="1"/>
  <c r="H15" s="1"/>
  <c r="J15" s="1"/>
  <c r="F38" i="120" l="1"/>
  <c r="F37" s="1"/>
  <c r="L21"/>
  <c r="T21"/>
  <c r="L19"/>
  <c r="F6" l="1"/>
  <c r="F10" i="121" l="1"/>
  <c r="D26" l="1"/>
  <c r="H26" s="1"/>
  <c r="J26" s="1"/>
  <c r="E50" l="1"/>
  <c r="D15" i="165" s="1"/>
  <c r="H15" s="1"/>
  <c r="E47" i="121"/>
  <c r="D14" i="165" s="1"/>
  <c r="H14" s="1"/>
  <c r="E44" i="121"/>
  <c r="D13" i="165" s="1"/>
  <c r="H13" s="1"/>
  <c r="E41" i="121"/>
  <c r="E38"/>
  <c r="D11" i="165" s="1"/>
  <c r="H11" s="1"/>
  <c r="E31" i="121"/>
  <c r="D10" i="165" s="1"/>
  <c r="H10" s="1"/>
  <c r="E24" i="121"/>
  <c r="E13"/>
  <c r="E7"/>
  <c r="I7" s="1"/>
  <c r="E5"/>
  <c r="D8" i="165" l="1"/>
  <c r="H8" s="1"/>
  <c r="I13" i="121"/>
  <c r="D6" i="165"/>
  <c r="H6" s="1"/>
  <c r="I5" i="121"/>
  <c r="D7" i="165"/>
  <c r="H7" s="1"/>
  <c r="Y76" i="113"/>
  <c r="L17" i="120"/>
  <c r="T46"/>
  <c r="V46" s="1"/>
  <c r="T44"/>
  <c r="V44" s="1"/>
  <c r="L45"/>
  <c r="T25"/>
  <c r="T23"/>
  <c r="T18"/>
  <c r="Z11" i="113"/>
  <c r="Z10" s="1"/>
  <c r="G8" i="150"/>
  <c r="G7" s="1"/>
  <c r="G6" s="1"/>
  <c r="E4" i="121" s="1"/>
  <c r="I4" s="1"/>
  <c r="D5" i="165" l="1"/>
  <c r="Y10" i="113"/>
  <c r="Y11"/>
  <c r="Z9" i="150"/>
  <c r="F9" s="1"/>
  <c r="F8" s="1"/>
  <c r="F7" s="1"/>
  <c r="F6" s="1"/>
  <c r="D54" i="121" s="1"/>
  <c r="C16" i="165" l="1"/>
  <c r="G16" s="1"/>
  <c r="I16" s="1"/>
  <c r="H54" i="121"/>
  <c r="J54" s="1"/>
  <c r="D4" i="165"/>
  <c r="H5"/>
  <c r="H9" i="150"/>
  <c r="H8" s="1"/>
  <c r="F16" i="165" l="1"/>
  <c r="E16"/>
  <c r="D8" i="161"/>
  <c r="H8" s="1"/>
  <c r="H9" s="1"/>
  <c r="H4" i="165"/>
  <c r="H7" i="150"/>
  <c r="H6" s="1"/>
  <c r="G54" i="121"/>
  <c r="G53"/>
  <c r="F53"/>
  <c r="D6" l="1"/>
  <c r="AE240" i="135"/>
  <c r="AF240" s="1"/>
  <c r="D5" i="121" l="1"/>
  <c r="H6"/>
  <c r="J6" s="1"/>
  <c r="G6"/>
  <c r="F6"/>
  <c r="C6" i="165" l="1"/>
  <c r="H5" i="121"/>
  <c r="J5" s="1"/>
  <c r="G6" i="165" l="1"/>
  <c r="I6" s="1"/>
  <c r="E6"/>
  <c r="F6"/>
  <c r="D21" i="121"/>
  <c r="H21" s="1"/>
  <c r="J21" s="1"/>
  <c r="G22"/>
  <c r="F22"/>
  <c r="F23"/>
  <c r="D40" l="1"/>
  <c r="H40" s="1"/>
  <c r="J40" s="1"/>
  <c r="T17" i="120" l="1"/>
  <c r="T16"/>
  <c r="T15"/>
  <c r="L16"/>
  <c r="T11" l="1"/>
  <c r="F11" i="121"/>
  <c r="Z21" i="113" l="1"/>
  <c r="Y21" s="1"/>
  <c r="Z17"/>
  <c r="Y17" s="1"/>
  <c r="Z15"/>
  <c r="Y15" s="1"/>
  <c r="Y14" s="1"/>
  <c r="Z13"/>
  <c r="Z12" s="1"/>
  <c r="Y12" l="1"/>
  <c r="Z14"/>
  <c r="S20"/>
  <c r="Z20" s="1"/>
  <c r="Z19" s="1"/>
  <c r="Z16"/>
  <c r="Y16" s="1"/>
  <c r="S18"/>
  <c r="Y13"/>
  <c r="Z18" l="1"/>
  <c r="F18" s="1"/>
  <c r="Z9"/>
  <c r="Y9" s="1"/>
  <c r="F9" s="1"/>
  <c r="Y20"/>
  <c r="Y19"/>
  <c r="F19" s="1"/>
  <c r="F8" l="1"/>
  <c r="H8" s="1"/>
  <c r="G26" i="121" l="1"/>
  <c r="D43" l="1"/>
  <c r="H43" s="1"/>
  <c r="J43" s="1"/>
  <c r="D42"/>
  <c r="H42" s="1"/>
  <c r="J42" s="1"/>
  <c r="G36" l="1"/>
  <c r="Z137" i="113" l="1"/>
  <c r="Y137" s="1"/>
  <c r="Z136"/>
  <c r="Y136" s="1"/>
  <c r="Z134"/>
  <c r="Y134" s="1"/>
  <c r="Z133"/>
  <c r="Y133" s="1"/>
  <c r="Z132"/>
  <c r="Y131"/>
  <c r="Y130"/>
  <c r="Z122"/>
  <c r="Y122" s="1"/>
  <c r="Z121"/>
  <c r="Y121" s="1"/>
  <c r="Z120"/>
  <c r="Y120" s="1"/>
  <c r="Z119"/>
  <c r="Z104"/>
  <c r="Z103"/>
  <c r="Y103" s="1"/>
  <c r="Z102"/>
  <c r="Y102" s="1"/>
  <c r="Z101"/>
  <c r="Y101" s="1"/>
  <c r="Z100"/>
  <c r="Y100" s="1"/>
  <c r="Z99"/>
  <c r="Y99" s="1"/>
  <c r="Z98"/>
  <c r="Y98" s="1"/>
  <c r="Y97"/>
  <c r="Z96"/>
  <c r="Y96" s="1"/>
  <c r="Z95"/>
  <c r="Y95" s="1"/>
  <c r="Z94"/>
  <c r="Y94" s="1"/>
  <c r="Z93"/>
  <c r="Y93" s="1"/>
  <c r="Z92"/>
  <c r="Z79"/>
  <c r="AD78"/>
  <c r="Z78"/>
  <c r="Y78" s="1"/>
  <c r="Z75"/>
  <c r="Y75" s="1"/>
  <c r="Z74"/>
  <c r="Y74" s="1"/>
  <c r="Z73"/>
  <c r="Y73" s="1"/>
  <c r="Z72"/>
  <c r="Y72" s="1"/>
  <c r="Z71"/>
  <c r="Z43"/>
  <c r="Y43" s="1"/>
  <c r="Z42"/>
  <c r="Y42" s="1"/>
  <c r="Z41"/>
  <c r="Y41" s="1"/>
  <c r="Z40"/>
  <c r="Y40" s="1"/>
  <c r="Z39"/>
  <c r="Y37"/>
  <c r="Z36"/>
  <c r="Y36" s="1"/>
  <c r="Z30"/>
  <c r="Y30" s="1"/>
  <c r="Z29"/>
  <c r="Z27"/>
  <c r="Y27" s="1"/>
  <c r="Z26"/>
  <c r="Y26" s="1"/>
  <c r="Z25"/>
  <c r="Y25" s="1"/>
  <c r="Z24"/>
  <c r="Y24" l="1"/>
  <c r="Z23"/>
  <c r="Y104"/>
  <c r="Z70"/>
  <c r="Y70" s="1"/>
  <c r="F70" s="1"/>
  <c r="Z28"/>
  <c r="Y28" s="1"/>
  <c r="F28" s="1"/>
  <c r="Z38"/>
  <c r="Y38" s="1"/>
  <c r="F38" s="1"/>
  <c r="Z91"/>
  <c r="F44"/>
  <c r="Z129"/>
  <c r="Y129" s="1"/>
  <c r="F129" s="1"/>
  <c r="F105"/>
  <c r="Z118"/>
  <c r="F66"/>
  <c r="F115"/>
  <c r="Z135"/>
  <c r="Y135" s="1"/>
  <c r="F135" s="1"/>
  <c r="Y119"/>
  <c r="Y118" s="1"/>
  <c r="F118" s="1"/>
  <c r="F123"/>
  <c r="F55"/>
  <c r="Z77"/>
  <c r="Y77" s="1"/>
  <c r="F77" s="1"/>
  <c r="Z35"/>
  <c r="Y35" s="1"/>
  <c r="F35" s="1"/>
  <c r="Y79"/>
  <c r="Y132"/>
  <c r="Y29"/>
  <c r="F90"/>
  <c r="F31"/>
  <c r="Y71"/>
  <c r="Y92"/>
  <c r="Y39"/>
  <c r="F22" l="1"/>
  <c r="Y91"/>
  <c r="F91" s="1"/>
  <c r="Y23"/>
  <c r="F23" s="1"/>
  <c r="Z138"/>
  <c r="F139"/>
  <c r="F80"/>
  <c r="H22" l="1"/>
  <c r="F138"/>
  <c r="H138" s="1"/>
  <c r="F7" l="1"/>
  <c r="F6" l="1"/>
  <c r="H7"/>
  <c r="D30" i="121"/>
  <c r="F5" i="113" l="1"/>
  <c r="H6"/>
  <c r="G29" i="121"/>
  <c r="D28"/>
  <c r="H28" s="1"/>
  <c r="J28" s="1"/>
  <c r="D49" l="1"/>
  <c r="H49" s="1"/>
  <c r="J49" s="1"/>
  <c r="D34" l="1"/>
  <c r="H34" s="1"/>
  <c r="J34" s="1"/>
  <c r="D16"/>
  <c r="D48"/>
  <c r="H48" s="1"/>
  <c r="J48" s="1"/>
  <c r="D45"/>
  <c r="H45" s="1"/>
  <c r="J45" s="1"/>
  <c r="D39"/>
  <c r="H39" s="1"/>
  <c r="J39" s="1"/>
  <c r="H16" l="1"/>
  <c r="J16" s="1"/>
  <c r="G16"/>
  <c r="D51"/>
  <c r="H51" s="1"/>
  <c r="J51" s="1"/>
  <c r="D46"/>
  <c r="H46" s="1"/>
  <c r="J46" s="1"/>
  <c r="D52"/>
  <c r="H52" s="1"/>
  <c r="J52" s="1"/>
  <c r="D14"/>
  <c r="H14" s="1"/>
  <c r="J14" s="1"/>
  <c r="D33"/>
  <c r="H33" s="1"/>
  <c r="J33" s="1"/>
  <c r="E50" i="120" l="1"/>
  <c r="C20" i="164" s="1"/>
  <c r="G20" s="1"/>
  <c r="I20" s="1"/>
  <c r="T47" i="120"/>
  <c r="F20" i="164" l="1"/>
  <c r="E20"/>
  <c r="G49" i="121" l="1"/>
  <c r="G37"/>
  <c r="G43"/>
  <c r="F43"/>
  <c r="F33"/>
  <c r="G33"/>
  <c r="F34" l="1"/>
  <c r="F51"/>
  <c r="F45"/>
  <c r="F49"/>
  <c r="G45"/>
  <c r="F36"/>
  <c r="F39"/>
  <c r="G39"/>
  <c r="G34"/>
  <c r="G42"/>
  <c r="F42"/>
  <c r="F40" l="1"/>
  <c r="G40"/>
  <c r="F46"/>
  <c r="G46"/>
  <c r="F52"/>
  <c r="G48"/>
  <c r="F48"/>
  <c r="H5" i="113" l="1"/>
  <c r="D9" i="121" l="1"/>
  <c r="H9" s="1"/>
  <c r="J9" s="1"/>
  <c r="G9" l="1"/>
  <c r="G12" l="1"/>
  <c r="F26" l="1"/>
  <c r="G17" l="1"/>
  <c r="F19" l="1"/>
  <c r="G19"/>
  <c r="F20"/>
  <c r="G20"/>
  <c r="F54"/>
  <c r="G52"/>
  <c r="G51"/>
  <c r="D50"/>
  <c r="D47"/>
  <c r="D44"/>
  <c r="D41"/>
  <c r="D38"/>
  <c r="D32"/>
  <c r="H32" s="1"/>
  <c r="J32" s="1"/>
  <c r="D35"/>
  <c r="H35" s="1"/>
  <c r="J35" s="1"/>
  <c r="D18"/>
  <c r="H18" s="1"/>
  <c r="J18" s="1"/>
  <c r="F17"/>
  <c r="F12"/>
  <c r="F9"/>
  <c r="T52" i="120"/>
  <c r="T51"/>
  <c r="T43"/>
  <c r="V43" s="1"/>
  <c r="T42"/>
  <c r="V42" s="1"/>
  <c r="E39"/>
  <c r="T29"/>
  <c r="E25"/>
  <c r="C12" i="164" s="1"/>
  <c r="G12" s="1"/>
  <c r="I12" s="1"/>
  <c r="T22" i="120"/>
  <c r="E10"/>
  <c r="C14" i="165" l="1"/>
  <c r="G14" s="1"/>
  <c r="I14" s="1"/>
  <c r="H47" i="121"/>
  <c r="J47" s="1"/>
  <c r="C12" i="165"/>
  <c r="G12" s="1"/>
  <c r="I12" s="1"/>
  <c r="H41" i="121"/>
  <c r="J41" s="1"/>
  <c r="C11" i="165"/>
  <c r="G11" s="1"/>
  <c r="I11" s="1"/>
  <c r="H38" i="121"/>
  <c r="J38" s="1"/>
  <c r="C15" i="165"/>
  <c r="H50" i="121"/>
  <c r="J50" s="1"/>
  <c r="C13" i="165"/>
  <c r="G13" s="1"/>
  <c r="I13" s="1"/>
  <c r="H44" i="121"/>
  <c r="J44" s="1"/>
  <c r="E12" i="164"/>
  <c r="F12"/>
  <c r="C16"/>
  <c r="G16" s="1"/>
  <c r="I16" s="1"/>
  <c r="C8"/>
  <c r="G8" s="1"/>
  <c r="I8" s="1"/>
  <c r="T41" i="120"/>
  <c r="D13" i="121"/>
  <c r="D31"/>
  <c r="E11" i="120"/>
  <c r="G35" i="121"/>
  <c r="G38"/>
  <c r="G44"/>
  <c r="G32"/>
  <c r="G41"/>
  <c r="G47"/>
  <c r="G18"/>
  <c r="F50"/>
  <c r="F41"/>
  <c r="F38"/>
  <c r="F47"/>
  <c r="F32"/>
  <c r="F44"/>
  <c r="G50"/>
  <c r="F18"/>
  <c r="E29" i="120"/>
  <c r="C13" i="164" s="1"/>
  <c r="G13" s="1"/>
  <c r="I13" s="1"/>
  <c r="E18" i="120"/>
  <c r="C10" i="164" s="1"/>
  <c r="G10" s="1"/>
  <c r="I10" s="1"/>
  <c r="E22" i="120"/>
  <c r="C11" i="164" s="1"/>
  <c r="G11" s="1"/>
  <c r="I11" s="1"/>
  <c r="E51" i="120"/>
  <c r="C21" i="164" s="1"/>
  <c r="E52" i="120"/>
  <c r="F35" i="121"/>
  <c r="G21" i="164" l="1"/>
  <c r="I21" s="1"/>
  <c r="F21"/>
  <c r="E21"/>
  <c r="C9"/>
  <c r="G9" s="1"/>
  <c r="I9" s="1"/>
  <c r="C22"/>
  <c r="F22" s="1"/>
  <c r="G52" i="120"/>
  <c r="G15" i="165"/>
  <c r="I15" s="1"/>
  <c r="F15"/>
  <c r="E11"/>
  <c r="F14"/>
  <c r="F12"/>
  <c r="F11"/>
  <c r="F13"/>
  <c r="C10"/>
  <c r="G10" s="1"/>
  <c r="I10" s="1"/>
  <c r="H31" i="121"/>
  <c r="J31" s="1"/>
  <c r="E13" i="165"/>
  <c r="C8"/>
  <c r="G8" s="1"/>
  <c r="I8" s="1"/>
  <c r="H13" i="121"/>
  <c r="J13" s="1"/>
  <c r="E15" i="165"/>
  <c r="E12"/>
  <c r="E14"/>
  <c r="E13" i="164"/>
  <c r="F13"/>
  <c r="E8"/>
  <c r="F8"/>
  <c r="E16"/>
  <c r="F16"/>
  <c r="E11"/>
  <c r="F11"/>
  <c r="F10"/>
  <c r="E10"/>
  <c r="G31" i="121"/>
  <c r="F31"/>
  <c r="E41" i="120"/>
  <c r="C18" i="164" s="1"/>
  <c r="G18" s="1"/>
  <c r="I18" s="1"/>
  <c r="E47" i="120"/>
  <c r="C19" i="164" s="1"/>
  <c r="G19" s="1"/>
  <c r="I19" s="1"/>
  <c r="F9" l="1"/>
  <c r="E9"/>
  <c r="E22"/>
  <c r="G22"/>
  <c r="I22" s="1"/>
  <c r="F10" i="165"/>
  <c r="E8"/>
  <c r="F8"/>
  <c r="E10"/>
  <c r="F19" i="164"/>
  <c r="E19"/>
  <c r="C15"/>
  <c r="G15" s="1"/>
  <c r="I15" s="1"/>
  <c r="F18"/>
  <c r="E18"/>
  <c r="E38" i="120"/>
  <c r="E15" i="164" l="1"/>
  <c r="F15"/>
  <c r="G38" i="120"/>
  <c r="E37"/>
  <c r="G37" s="1"/>
  <c r="D8" i="121" l="1"/>
  <c r="H8" s="1"/>
  <c r="J8" s="1"/>
  <c r="D7" l="1"/>
  <c r="G8"/>
  <c r="F8"/>
  <c r="C7" i="165" l="1"/>
  <c r="G7" s="1"/>
  <c r="I7" s="1"/>
  <c r="H7" i="121"/>
  <c r="J7" s="1"/>
  <c r="F5"/>
  <c r="G5"/>
  <c r="F7"/>
  <c r="G7"/>
  <c r="F7" i="165" l="1"/>
  <c r="E7"/>
  <c r="F14" i="121"/>
  <c r="G14"/>
  <c r="F16" l="1"/>
  <c r="F15" l="1"/>
  <c r="G15"/>
  <c r="F29" l="1"/>
  <c r="F30"/>
  <c r="G28" l="1"/>
  <c r="F28"/>
  <c r="F21" l="1"/>
  <c r="G21"/>
  <c r="F13" l="1"/>
  <c r="G13"/>
  <c r="T9" i="120" l="1"/>
  <c r="E9" s="1"/>
  <c r="E8" s="1"/>
  <c r="C7" i="164" l="1"/>
  <c r="G7" s="1"/>
  <c r="I7" s="1"/>
  <c r="F7" l="1"/>
  <c r="E7"/>
  <c r="C6"/>
  <c r="G6" s="1"/>
  <c r="I6" s="1"/>
  <c r="E7" i="120"/>
  <c r="G8"/>
  <c r="F6" i="164" l="1"/>
  <c r="C5"/>
  <c r="E6"/>
  <c r="G7" i="120"/>
  <c r="E6"/>
  <c r="G6" s="1"/>
  <c r="C4" i="164" l="1"/>
  <c r="G4" s="1"/>
  <c r="I4" s="1"/>
  <c r="G5"/>
  <c r="I5" s="1"/>
  <c r="F5"/>
  <c r="E5"/>
  <c r="C7" i="161" l="1"/>
  <c r="F4" i="164"/>
  <c r="E4"/>
  <c r="H210" i="154"/>
  <c r="F209"/>
  <c r="H209" l="1"/>
  <c r="AA209"/>
  <c r="E7" i="161"/>
  <c r="I7" s="1"/>
  <c r="G7"/>
  <c r="F87" i="154"/>
  <c r="AA87" s="1"/>
  <c r="D27" i="121" l="1"/>
  <c r="H27" s="1"/>
  <c r="J27" s="1"/>
  <c r="Z87" i="154"/>
  <c r="F6"/>
  <c r="H87"/>
  <c r="F5" l="1"/>
  <c r="AA6"/>
  <c r="F27" i="121"/>
  <c r="D25"/>
  <c r="H25" s="1"/>
  <c r="J25" s="1"/>
  <c r="G27"/>
  <c r="H6" i="154"/>
  <c r="H5" l="1"/>
  <c r="AA5"/>
  <c r="D24" i="121"/>
  <c r="H24" s="1"/>
  <c r="J24" s="1"/>
  <c r="F25"/>
  <c r="G25"/>
  <c r="G24" l="1"/>
  <c r="C9" i="165"/>
  <c r="E9" s="1"/>
  <c r="F24" i="121"/>
  <c r="D4"/>
  <c r="H4" s="1"/>
  <c r="J4" s="1"/>
  <c r="G4" l="1"/>
  <c r="F4"/>
  <c r="C5" i="165"/>
  <c r="G5" s="1"/>
  <c r="I5" s="1"/>
  <c r="F9"/>
  <c r="G9"/>
  <c r="I9" s="1"/>
  <c r="F5" l="1"/>
  <c r="C4"/>
  <c r="G4" s="1"/>
  <c r="I4" s="1"/>
  <c r="E5"/>
  <c r="H188" i="137"/>
  <c r="F4" i="165" l="1"/>
  <c r="E4"/>
  <c r="C8" i="161"/>
  <c r="G8" s="1"/>
  <c r="G9" s="1"/>
  <c r="G6" i="137"/>
  <c r="H6" s="1"/>
  <c r="H118"/>
  <c r="I21" i="163"/>
  <c r="E8" i="161" l="1"/>
  <c r="I8" s="1"/>
  <c r="I9" s="1"/>
  <c r="G8" i="163"/>
  <c r="G7" l="1"/>
  <c r="I8"/>
  <c r="I7" l="1"/>
  <c r="I6" s="1"/>
  <c r="I5" s="1"/>
  <c r="G6"/>
  <c r="G5" s="1"/>
</calcChain>
</file>

<file path=xl/sharedStrings.xml><?xml version="1.0" encoding="utf-8"?>
<sst xmlns="http://schemas.openxmlformats.org/spreadsheetml/2006/main" count="21879" uniqueCount="6183">
  <si>
    <t>원*</t>
  </si>
  <si>
    <t>=</t>
  </si>
  <si>
    <t>월</t>
  </si>
  <si>
    <t>회</t>
  </si>
  <si>
    <t>원*</t>
    <phoneticPr fontId="15" type="noConversion"/>
  </si>
  <si>
    <t>=</t>
    <phoneticPr fontId="15" type="noConversion"/>
  </si>
  <si>
    <t>식</t>
  </si>
  <si>
    <t>종*</t>
  </si>
  <si>
    <t xml:space="preserve"> o 계</t>
  </si>
  <si>
    <t>매</t>
  </si>
  <si>
    <t>명</t>
    <phoneticPr fontId="15" type="noConversion"/>
  </si>
  <si>
    <t>증 감</t>
    <phoneticPr fontId="15" type="noConversion"/>
  </si>
  <si>
    <t>장분류</t>
    <phoneticPr fontId="15" type="noConversion"/>
  </si>
  <si>
    <t>일반관리비</t>
    <phoneticPr fontId="15" type="noConversion"/>
  </si>
  <si>
    <t>회의운영비</t>
    <phoneticPr fontId="15" type="noConversion"/>
  </si>
  <si>
    <t>지급수수료</t>
    <phoneticPr fontId="15" type="noConversion"/>
  </si>
  <si>
    <t>지급용역료</t>
    <phoneticPr fontId="15" type="noConversion"/>
  </si>
  <si>
    <t>통신비</t>
    <phoneticPr fontId="15" type="noConversion"/>
  </si>
  <si>
    <t>세금과공과</t>
    <phoneticPr fontId="15" type="noConversion"/>
  </si>
  <si>
    <t>대*</t>
    <phoneticPr fontId="15" type="noConversion"/>
  </si>
  <si>
    <t xml:space="preserve"> </t>
  </si>
  <si>
    <t>=</t>
    <phoneticPr fontId="14" type="noConversion"/>
  </si>
  <si>
    <t>자산구입비</t>
    <phoneticPr fontId="15" type="noConversion"/>
  </si>
  <si>
    <t>㎡*</t>
    <phoneticPr fontId="15" type="noConversion"/>
  </si>
  <si>
    <t>일</t>
    <phoneticPr fontId="15" type="noConversion"/>
  </si>
  <si>
    <t>명*</t>
  </si>
  <si>
    <t>경영협력실</t>
    <phoneticPr fontId="15" type="noConversion"/>
  </si>
  <si>
    <t>보험료</t>
  </si>
  <si>
    <t>명</t>
  </si>
  <si>
    <t>개월</t>
  </si>
  <si>
    <t>대</t>
  </si>
  <si>
    <t>회*</t>
  </si>
  <si>
    <t>대*</t>
  </si>
  <si>
    <t>매*</t>
  </si>
  <si>
    <t>통*</t>
  </si>
  <si>
    <t>시간*</t>
  </si>
  <si>
    <t>명*</t>
    <phoneticPr fontId="15" type="noConversion"/>
  </si>
  <si>
    <t>원*</t>
    <phoneticPr fontId="15" type="noConversion"/>
  </si>
  <si>
    <t>=</t>
    <phoneticPr fontId="15" type="noConversion"/>
  </si>
  <si>
    <t>회</t>
    <phoneticPr fontId="15" type="noConversion"/>
  </si>
  <si>
    <t>박스*</t>
  </si>
  <si>
    <t>회선*</t>
  </si>
  <si>
    <t>팀*</t>
  </si>
  <si>
    <t>ton*</t>
  </si>
  <si>
    <t>㎡*</t>
  </si>
  <si>
    <t>면*</t>
  </si>
  <si>
    <t>set*</t>
  </si>
  <si>
    <t>월*</t>
  </si>
  <si>
    <t xml:space="preserve"> </t>
    <phoneticPr fontId="15" type="noConversion"/>
  </si>
  <si>
    <t>세분류</t>
    <phoneticPr fontId="15" type="noConversion"/>
  </si>
  <si>
    <t>대</t>
    <phoneticPr fontId="15" type="noConversion"/>
  </si>
  <si>
    <t>건</t>
    <phoneticPr fontId="15" type="noConversion"/>
  </si>
  <si>
    <t>경기도박물관</t>
    <phoneticPr fontId="15" type="noConversion"/>
  </si>
  <si>
    <t>*</t>
  </si>
  <si>
    <t>교육훈련비</t>
  </si>
  <si>
    <t>월</t>
    <phoneticPr fontId="15" type="noConversion"/>
  </si>
  <si>
    <t>원 *</t>
  </si>
  <si>
    <t>도서인쇄비</t>
  </si>
  <si>
    <t>지급수수료</t>
  </si>
  <si>
    <t>명 *</t>
  </si>
  <si>
    <t>통신비</t>
  </si>
  <si>
    <t>회의운영비</t>
  </si>
  <si>
    <t>행사운영비</t>
  </si>
  <si>
    <t>식 *</t>
  </si>
  <si>
    <t>개</t>
  </si>
  <si>
    <t>인건비</t>
    <phoneticPr fontId="15" type="noConversion"/>
  </si>
  <si>
    <t>일</t>
  </si>
  <si>
    <t>부서운영비</t>
    <phoneticPr fontId="15" type="noConversion"/>
  </si>
  <si>
    <t>원 *</t>
    <phoneticPr fontId="15" type="noConversion"/>
  </si>
  <si>
    <t>부</t>
  </si>
  <si>
    <t>지급임차료</t>
  </si>
  <si>
    <t>지급용역료</t>
  </si>
  <si>
    <t>부*</t>
  </si>
  <si>
    <t>행사운영비</t>
    <phoneticPr fontId="15" type="noConversion"/>
  </si>
  <si>
    <t>건</t>
  </si>
  <si>
    <t>인</t>
  </si>
  <si>
    <t>일반관리비</t>
  </si>
  <si>
    <t>(사업비)</t>
  </si>
  <si>
    <t>박물관 전시운영</t>
  </si>
  <si>
    <t>상설전시운영</t>
  </si>
  <si>
    <t>소모품비</t>
  </si>
  <si>
    <t>인건비</t>
  </si>
  <si>
    <t>유지관리비</t>
  </si>
  <si>
    <t>자산구입비</t>
  </si>
  <si>
    <t>특별전시회개최</t>
  </si>
  <si>
    <t xml:space="preserve"> o 행사운영비</t>
  </si>
  <si>
    <t>어린이교육프로그램운영</t>
  </si>
  <si>
    <t xml:space="preserve"> o 교육행사 운영</t>
  </si>
  <si>
    <t xml:space="preserve"> o 간담회비</t>
  </si>
  <si>
    <t>전시실속 비밀찾기</t>
  </si>
  <si>
    <t>청소년교육프로그램운영</t>
  </si>
  <si>
    <t>성인교육프로그램운영</t>
  </si>
  <si>
    <t>식*</t>
  </si>
  <si>
    <t>도민의 문화향유 프로그램</t>
  </si>
  <si>
    <t xml:space="preserve"> o 리플렛 제작</t>
  </si>
  <si>
    <t>여비교통비</t>
  </si>
  <si>
    <t xml:space="preserve"> o 강사료</t>
  </si>
  <si>
    <t xml:space="preserve"> o 간담회 개최 등</t>
  </si>
  <si>
    <t>세시풍속 체험</t>
  </si>
  <si>
    <t xml:space="preserve"> o 설날, 추석 공연</t>
  </si>
  <si>
    <t xml:space="preserve"> o 수당 지급</t>
  </si>
  <si>
    <t>초등학생 문화재그림그리기대회</t>
  </si>
  <si>
    <t xml:space="preserve"> o 작품 전시 및 상장 표구 등</t>
  </si>
  <si>
    <t xml:space="preserve"> o 행사용 천막 임차</t>
  </si>
  <si>
    <t>박물관 소장품 수집 및 관리</t>
  </si>
  <si>
    <t>%</t>
  </si>
  <si>
    <t xml:space="preserve"> o 유물감정평가회의수당</t>
  </si>
  <si>
    <t>소장품 보존 및 연구 활용</t>
  </si>
  <si>
    <t>관람객 서비스</t>
  </si>
  <si>
    <t>박물관종합홍보</t>
  </si>
  <si>
    <t xml:space="preserve"> o 홍보 및 행사관련 소모품 구입</t>
  </si>
  <si>
    <t xml:space="preserve"> o 뉴스레터 제작 발송</t>
  </si>
  <si>
    <t xml:space="preserve"> o 홍보물 발송</t>
  </si>
  <si>
    <t>문화해설사 운영</t>
  </si>
  <si>
    <t xml:space="preserve"> o 정기 답사 여행자 보험 가입</t>
  </si>
  <si>
    <t xml:space="preserve"> o 운영물품 구입</t>
  </si>
  <si>
    <t xml:space="preserve"> o 문화해설사 복장 세탁비</t>
  </si>
  <si>
    <t xml:space="preserve"> o 문화해설사 행사운영</t>
  </si>
  <si>
    <t xml:space="preserve"> o 문화자원봉사자 간담회</t>
  </si>
  <si>
    <t>박물관 도서실 운영</t>
  </si>
  <si>
    <t>자료구입비</t>
  </si>
  <si>
    <t xml:space="preserve"> o 도서실 자료 구입</t>
  </si>
  <si>
    <t>권</t>
  </si>
  <si>
    <t xml:space="preserve"> o 전시진행 보조인력</t>
  </si>
  <si>
    <t xml:space="preserve"> o 작품운송 및 전시기간 중 보험</t>
  </si>
  <si>
    <t xml:space="preserve"> o 전시 설치 및 운영 소모품 구입</t>
  </si>
  <si>
    <t xml:space="preserve"> o 국내 출장</t>
  </si>
  <si>
    <t xml:space="preserve">   1. 전시자문회의운영</t>
  </si>
  <si>
    <t xml:space="preserve">   2. 카달로그 원고료</t>
  </si>
  <si>
    <t xml:space="preserve"> o 개막식 식음료비</t>
  </si>
  <si>
    <t xml:space="preserve"> o 회의 식음료비</t>
  </si>
  <si>
    <t xml:space="preserve"> o 체험프로그램 인쇄물 및 자료집</t>
  </si>
  <si>
    <t xml:space="preserve"> o 교구재 및 운영물품 구입</t>
  </si>
  <si>
    <t xml:space="preserve"> o 교육프로그램 개발 및 평가회</t>
  </si>
  <si>
    <t xml:space="preserve"> o 인쇄물 제작(포스터, 초청장, 활동지, 리플렛 등)</t>
  </si>
  <si>
    <t xml:space="preserve"> o 전시 보험</t>
  </si>
  <si>
    <t xml:space="preserve"> o 국내 여비</t>
  </si>
  <si>
    <t>광고선전비</t>
  </si>
  <si>
    <t xml:space="preserve">   1. 월간지 광고</t>
  </si>
  <si>
    <t xml:space="preserve">   2. 온라인 광고</t>
  </si>
  <si>
    <t xml:space="preserve"> o 초청 버스 임차</t>
  </si>
  <si>
    <t xml:space="preserve"> o 전시 관련 기자간담회</t>
  </si>
  <si>
    <t>인*</t>
  </si>
  <si>
    <t>건*</t>
  </si>
  <si>
    <t>종</t>
  </si>
  <si>
    <t xml:space="preserve">   1. 보조강사</t>
  </si>
  <si>
    <t xml:space="preserve">   2. 숲해설 강사</t>
  </si>
  <si>
    <t xml:space="preserve">   3. 유아프로그램 전문 교육강사</t>
  </si>
  <si>
    <t xml:space="preserve"> o 결과보고서 편집 및 제본</t>
  </si>
  <si>
    <t xml:space="preserve">   1. 교육평가자문위원</t>
  </si>
  <si>
    <t xml:space="preserve">   1. 교육평가자문회의</t>
  </si>
  <si>
    <t xml:space="preserve"> =</t>
  </si>
  <si>
    <t>체험교육프로그램</t>
  </si>
  <si>
    <t>(단위:천원)</t>
  </si>
  <si>
    <t>과      목</t>
  </si>
  <si>
    <t>증 감</t>
  </si>
  <si>
    <t>세분류</t>
  </si>
  <si>
    <t>경영본부</t>
    <phoneticPr fontId="15" type="noConversion"/>
  </si>
  <si>
    <t>퇴직급여</t>
  </si>
  <si>
    <t>원 /</t>
  </si>
  <si>
    <t xml:space="preserve">* </t>
  </si>
  <si>
    <t>제경비</t>
  </si>
  <si>
    <t>단체*</t>
  </si>
  <si>
    <t>부서운영비</t>
  </si>
  <si>
    <t>실*</t>
  </si>
  <si>
    <t>세금과 공과</t>
  </si>
  <si>
    <t>수도광열비</t>
  </si>
  <si>
    <t>직책업무추진비</t>
  </si>
  <si>
    <t>홍보비</t>
  </si>
  <si>
    <t>개*</t>
  </si>
  <si>
    <t>고정자산</t>
  </si>
  <si>
    <t>예    산    총    칙</t>
    <phoneticPr fontId="15" type="noConversion"/>
  </si>
  <si>
    <t>(단위 : 천원)</t>
    <phoneticPr fontId="15" type="noConversion"/>
  </si>
  <si>
    <t>구분</t>
    <phoneticPr fontId="15" type="noConversion"/>
  </si>
  <si>
    <t>예산액</t>
    <phoneticPr fontId="15" type="noConversion"/>
  </si>
  <si>
    <t>증감</t>
    <phoneticPr fontId="15" type="noConversion"/>
  </si>
  <si>
    <t>수입</t>
    <phoneticPr fontId="15" type="noConversion"/>
  </si>
  <si>
    <t>지출</t>
    <phoneticPr fontId="15" type="noConversion"/>
  </si>
  <si>
    <t>기본재산운용수입</t>
  </si>
  <si>
    <t>연구원사업수입</t>
    <phoneticPr fontId="15" type="noConversion"/>
  </si>
  <si>
    <t>자치단체 출연금</t>
    <phoneticPr fontId="15" type="noConversion"/>
  </si>
  <si>
    <t xml:space="preserve">  - 문화예술본부 (경기창작센터)</t>
    <phoneticPr fontId="15" type="noConversion"/>
  </si>
  <si>
    <t xml:space="preserve">   소    계</t>
    <phoneticPr fontId="15" type="noConversion"/>
  </si>
  <si>
    <t>위탁사업 수수료</t>
    <phoneticPr fontId="15" type="noConversion"/>
  </si>
  <si>
    <t>교육수입</t>
    <phoneticPr fontId="15" type="noConversion"/>
  </si>
  <si>
    <t>사업외수입</t>
  </si>
  <si>
    <t>운영자금운용수입</t>
    <phoneticPr fontId="15" type="noConversion"/>
  </si>
  <si>
    <t>건물임대수입</t>
    <phoneticPr fontId="15" type="noConversion"/>
  </si>
  <si>
    <t xml:space="preserve">  - 재단 다산홀 대관수입</t>
    <phoneticPr fontId="15" type="noConversion"/>
  </si>
  <si>
    <t>입주업체관리비수입</t>
    <phoneticPr fontId="15" type="noConversion"/>
  </si>
  <si>
    <t xml:space="preserve">  - 사옥 입주업체 관리비</t>
    <phoneticPr fontId="15" type="noConversion"/>
  </si>
  <si>
    <t>법인세 환급금</t>
    <phoneticPr fontId="15" type="noConversion"/>
  </si>
  <si>
    <t xml:space="preserve">   법인세 환급금</t>
    <phoneticPr fontId="15" type="noConversion"/>
  </si>
  <si>
    <t xml:space="preserve">   유료주차장 수입</t>
    <phoneticPr fontId="15" type="noConversion"/>
  </si>
  <si>
    <t>(단위:천원)</t>
    <phoneticPr fontId="15" type="noConversion"/>
  </si>
  <si>
    <t>과     목</t>
    <phoneticPr fontId="15" type="noConversion"/>
  </si>
  <si>
    <t>증감</t>
    <phoneticPr fontId="15" type="noConversion"/>
  </si>
  <si>
    <t>증감율</t>
    <phoneticPr fontId="15" type="noConversion"/>
  </si>
  <si>
    <t>경영본부 + 문화예술본부 관리비</t>
    <phoneticPr fontId="15" type="noConversion"/>
  </si>
  <si>
    <t>문화예술
본부</t>
    <phoneticPr fontId="15" type="noConversion"/>
  </si>
  <si>
    <t>경기창작센터</t>
    <phoneticPr fontId="15" type="noConversion"/>
  </si>
  <si>
    <t>일반관리비</t>
    <phoneticPr fontId="15" type="noConversion"/>
  </si>
  <si>
    <t>사업비</t>
    <phoneticPr fontId="15" type="noConversion"/>
  </si>
  <si>
    <t>경기문화재연구원 사업비</t>
    <phoneticPr fontId="15" type="noConversion"/>
  </si>
  <si>
    <t>경기학연구센터</t>
    <phoneticPr fontId="15" type="noConversion"/>
  </si>
  <si>
    <t>예비비</t>
    <phoneticPr fontId="15" type="noConversion"/>
  </si>
  <si>
    <t>구   분</t>
    <phoneticPr fontId="15" type="noConversion"/>
  </si>
  <si>
    <t>예 산 액</t>
    <phoneticPr fontId="15" type="noConversion"/>
  </si>
  <si>
    <t>증    감</t>
    <phoneticPr fontId="15" type="noConversion"/>
  </si>
  <si>
    <t>증감율(%)</t>
    <phoneticPr fontId="15" type="noConversion"/>
  </si>
  <si>
    <t>총  계</t>
    <phoneticPr fontId="15" type="noConversion"/>
  </si>
  <si>
    <t>사업수입</t>
    <phoneticPr fontId="15" type="noConversion"/>
  </si>
  <si>
    <t>기본재산운용수입</t>
    <phoneticPr fontId="15" type="noConversion"/>
  </si>
  <si>
    <t>보조금</t>
    <phoneticPr fontId="15" type="noConversion"/>
  </si>
  <si>
    <t>편의시설 운영수입</t>
    <phoneticPr fontId="15" type="noConversion"/>
  </si>
  <si>
    <t>입장료 수입</t>
    <phoneticPr fontId="15" type="noConversion"/>
  </si>
  <si>
    <t>유료주차장수입</t>
    <phoneticPr fontId="15" type="noConversion"/>
  </si>
  <si>
    <t>(단위:천원)</t>
    <phoneticPr fontId="15" type="noConversion"/>
  </si>
  <si>
    <t>과      목</t>
    <phoneticPr fontId="15" type="noConversion"/>
  </si>
  <si>
    <t>증 감</t>
    <phoneticPr fontId="15" type="noConversion"/>
  </si>
  <si>
    <t>산    출    기    초</t>
    <phoneticPr fontId="15" type="noConversion"/>
  </si>
  <si>
    <t>항분류</t>
    <phoneticPr fontId="15" type="noConversion"/>
  </si>
  <si>
    <t xml:space="preserve"> - (법인세, 주민세</t>
    <phoneticPr fontId="15" type="noConversion"/>
  </si>
  <si>
    <t xml:space="preserve"> 소   계</t>
    <phoneticPr fontId="15" type="noConversion"/>
  </si>
  <si>
    <t xml:space="preserve"> o 계</t>
    <phoneticPr fontId="15" type="noConversion"/>
  </si>
  <si>
    <t>여비교통비</t>
    <phoneticPr fontId="15" type="noConversion"/>
  </si>
  <si>
    <t>식</t>
    <phoneticPr fontId="15" type="noConversion"/>
  </si>
  <si>
    <t>명*</t>
    <phoneticPr fontId="15" type="noConversion"/>
  </si>
  <si>
    <t>월</t>
    <phoneticPr fontId="15" type="noConversion"/>
  </si>
  <si>
    <t>도서인쇄비</t>
    <phoneticPr fontId="15" type="noConversion"/>
  </si>
  <si>
    <t>개월</t>
    <phoneticPr fontId="15" type="noConversion"/>
  </si>
  <si>
    <t>월</t>
    <phoneticPr fontId="14" type="noConversion"/>
  </si>
  <si>
    <t>회*</t>
    <phoneticPr fontId="15" type="noConversion"/>
  </si>
  <si>
    <t>회</t>
    <phoneticPr fontId="14" type="noConversion"/>
  </si>
  <si>
    <t>관분류</t>
    <phoneticPr fontId="15" type="noConversion"/>
  </si>
  <si>
    <t>목분류</t>
    <phoneticPr fontId="15" type="noConversion"/>
  </si>
  <si>
    <t>백남준아트센터</t>
    <phoneticPr fontId="15" type="noConversion"/>
  </si>
  <si>
    <t>경기도어린이박물관</t>
    <phoneticPr fontId="15" type="noConversion"/>
  </si>
  <si>
    <t>지원비</t>
  </si>
  <si>
    <t xml:space="preserve"> o 회의운영</t>
  </si>
  <si>
    <t>식</t>
    <phoneticPr fontId="21" type="noConversion"/>
  </si>
  <si>
    <t xml:space="preserve"> o 소모품 구입</t>
  </si>
  <si>
    <t>회의운영비</t>
    <phoneticPr fontId="14" type="noConversion"/>
  </si>
  <si>
    <t>종</t>
    <phoneticPr fontId="15" type="noConversion"/>
  </si>
  <si>
    <t>부</t>
    <phoneticPr fontId="14" type="noConversion"/>
  </si>
  <si>
    <t>지급수수료</t>
    <phoneticPr fontId="14" type="noConversion"/>
  </si>
  <si>
    <t>지급용역료</t>
    <phoneticPr fontId="14" type="noConversion"/>
  </si>
  <si>
    <t>유산기획실</t>
    <phoneticPr fontId="15" type="noConversion"/>
  </si>
  <si>
    <t>북부문화사업단 사업비</t>
    <phoneticPr fontId="15" type="noConversion"/>
  </si>
  <si>
    <t xml:space="preserve">   7. 연월차수당</t>
  </si>
  <si>
    <t>실학총서발간</t>
  </si>
  <si>
    <t>실학문화심포지움 개최</t>
  </si>
  <si>
    <t>장분류</t>
    <phoneticPr fontId="15" type="noConversion"/>
  </si>
  <si>
    <t>회</t>
    <phoneticPr fontId="21" type="noConversion"/>
  </si>
  <si>
    <t>부</t>
    <phoneticPr fontId="15" type="noConversion"/>
  </si>
  <si>
    <t>자료구입비</t>
    <phoneticPr fontId="15" type="noConversion"/>
  </si>
  <si>
    <t>관람객서비스</t>
    <phoneticPr fontId="15" type="noConversion"/>
  </si>
  <si>
    <t>명*</t>
    <phoneticPr fontId="14" type="noConversion"/>
  </si>
  <si>
    <t>지급임차료</t>
    <phoneticPr fontId="14" type="noConversion"/>
  </si>
  <si>
    <t>명</t>
    <phoneticPr fontId="15" type="noConversion"/>
  </si>
  <si>
    <t xml:space="preserve"> o 출장비</t>
    <phoneticPr fontId="15" type="noConversion"/>
  </si>
  <si>
    <t>지원비</t>
    <phoneticPr fontId="15" type="noConversion"/>
  </si>
  <si>
    <t>지급임차료</t>
    <phoneticPr fontId="15" type="noConversion"/>
  </si>
  <si>
    <t>명</t>
    <phoneticPr fontId="15" type="noConversion"/>
  </si>
  <si>
    <t>소모품비</t>
    <phoneticPr fontId="15" type="noConversion"/>
  </si>
  <si>
    <t xml:space="preserve"> </t>
    <phoneticPr fontId="14" type="noConversion"/>
  </si>
  <si>
    <t>부*</t>
    <phoneticPr fontId="15" type="noConversion"/>
  </si>
  <si>
    <t>인*</t>
    <phoneticPr fontId="15" type="noConversion"/>
  </si>
  <si>
    <t xml:space="preserve">   1. 국내여비</t>
    <phoneticPr fontId="15" type="noConversion"/>
  </si>
  <si>
    <t xml:space="preserve">   1. 기준연봉액</t>
    <phoneticPr fontId="15" type="noConversion"/>
  </si>
  <si>
    <t xml:space="preserve">   3. 경영평가 성과급</t>
    <phoneticPr fontId="15" type="noConversion"/>
  </si>
  <si>
    <t xml:space="preserve">   3. 송금수수료</t>
    <phoneticPr fontId="15" type="noConversion"/>
  </si>
  <si>
    <t>프로젝트 갤러리 운영</t>
  </si>
  <si>
    <t>세계잉여금</t>
    <phoneticPr fontId="15" type="noConversion"/>
  </si>
  <si>
    <t xml:space="preserve">   1. 계약직 기본급</t>
  </si>
  <si>
    <t xml:space="preserve">   2. 계약직 부가급여(정액급식비+교통보조비+격오지보조)</t>
  </si>
  <si>
    <t xml:space="preserve">   3. 계약직 4대보험료</t>
  </si>
  <si>
    <t xml:space="preserve">   4. 자료입력원(격오지보조 포함) 등</t>
  </si>
  <si>
    <t>인건비</t>
    <phoneticPr fontId="15" type="noConversion"/>
  </si>
  <si>
    <t xml:space="preserve"> o 결과자료집제작</t>
  </si>
  <si>
    <t xml:space="preserve"> o 국내외 여비</t>
  </si>
  <si>
    <t xml:space="preserve">   1. 자문비</t>
  </si>
  <si>
    <t xml:space="preserve">   2. 심의료</t>
  </si>
  <si>
    <t xml:space="preserve">   1. 프로젝트 지원</t>
  </si>
  <si>
    <t xml:space="preserve">   2. 기획발굴지원</t>
  </si>
  <si>
    <t xml:space="preserve"> o 결과공유워크숍</t>
  </si>
  <si>
    <t xml:space="preserve">   1. 현수막, 배너 제작</t>
  </si>
  <si>
    <t xml:space="preserve">   2. 기타 소모품 구입</t>
  </si>
  <si>
    <t xml:space="preserve"> o 운영회의</t>
  </si>
  <si>
    <t>경기 문화교류 협력네트워크</t>
  </si>
  <si>
    <t xml:space="preserve">   1. 해외창작발표 지원</t>
  </si>
  <si>
    <t xml:space="preserve">   2. 해외초청발표 지원</t>
  </si>
  <si>
    <t xml:space="preserve">지원비 </t>
  </si>
  <si>
    <t xml:space="preserve">통신비 </t>
  </si>
  <si>
    <t>생활문화 기반조성</t>
  </si>
  <si>
    <t>생활문화 정책연구 개발</t>
  </si>
  <si>
    <t xml:space="preserve"> o 사업추진 보조인력(4대보험포함)</t>
  </si>
  <si>
    <t xml:space="preserve"> o 연구보고서 인쇄</t>
  </si>
  <si>
    <t xml:space="preserve"> o 사업진행 소모품 구입</t>
  </si>
  <si>
    <t xml:space="preserve"> o 연구진섭외 및 연구회의 진행</t>
  </si>
  <si>
    <t xml:space="preserve"> o 용역업체 심사</t>
  </si>
  <si>
    <t xml:space="preserve"> o 정책연구용역</t>
  </si>
  <si>
    <t>팀</t>
  </si>
  <si>
    <t xml:space="preserve"> o 연구회의</t>
  </si>
  <si>
    <t>생활문화 포털</t>
  </si>
  <si>
    <t xml:space="preserve"> o 사업추진 보조인력</t>
  </si>
  <si>
    <t xml:space="preserve"> o 진행관련 소모품</t>
  </si>
  <si>
    <t xml:space="preserve"> o 홍보물 제작</t>
  </si>
  <si>
    <t xml:space="preserve"> o 포털사이트 개편</t>
  </si>
  <si>
    <t xml:space="preserve"> o 홍보이벤트 </t>
  </si>
  <si>
    <t xml:space="preserve"> o 관련회의</t>
  </si>
  <si>
    <t>생활문화 네트워크 협력</t>
  </si>
  <si>
    <t xml:space="preserve"> o 행사자료집 인쇄</t>
  </si>
  <si>
    <t xml:space="preserve"> o 업무협의 및 워크숍 진행</t>
  </si>
  <si>
    <t xml:space="preserve"> o 기념품제작</t>
  </si>
  <si>
    <t xml:space="preserve"> o 네트워크 워크숍 진행</t>
  </si>
  <si>
    <t xml:space="preserve"> o 워크숍 기획회의</t>
  </si>
  <si>
    <t xml:space="preserve"> o 출장비</t>
  </si>
  <si>
    <t>개소</t>
  </si>
  <si>
    <t xml:space="preserve"> o 사업설명회 등</t>
  </si>
  <si>
    <t xml:space="preserve"> o 사업회의</t>
  </si>
  <si>
    <t>현대 생활문화 진단시리즈</t>
  </si>
  <si>
    <t xml:space="preserve"> o 행사홍보</t>
  </si>
  <si>
    <t xml:space="preserve"> o 심사수당 및 사례비</t>
  </si>
  <si>
    <t xml:space="preserve"> o 행사진행</t>
  </si>
  <si>
    <t xml:space="preserve"> o 관련행사 개최</t>
  </si>
  <si>
    <t xml:space="preserve"> o 관계자 회의</t>
  </si>
  <si>
    <t>생활문화예술단 순회파견</t>
  </si>
  <si>
    <t xml:space="preserve"> o 진행관련 소모품 구입</t>
  </si>
  <si>
    <t xml:space="preserve"> o 동호회 지원</t>
  </si>
  <si>
    <t>지역 문화자원 발굴</t>
  </si>
  <si>
    <t xml:space="preserve">   1. 2차년도 연속지원</t>
  </si>
  <si>
    <t xml:space="preserve">   2. 신규지원</t>
  </si>
  <si>
    <t xml:space="preserve">   1. 심의수당</t>
  </si>
  <si>
    <t xml:space="preserve"> o 심의, 업무회의</t>
  </si>
  <si>
    <t>G오픈 스튜디오</t>
  </si>
  <si>
    <t xml:space="preserve">   1. 오픈스튜디오 추진단 운영</t>
  </si>
  <si>
    <t xml:space="preserve">   2. 예술가 집중지역 특화사업</t>
  </si>
  <si>
    <t xml:space="preserve"> o 프로그램 홍보</t>
  </si>
  <si>
    <t xml:space="preserve"> o 자료구입</t>
  </si>
  <si>
    <t xml:space="preserve">   1. 서류심의</t>
  </si>
  <si>
    <t xml:space="preserve">   2. 현장실사 및 인터뷰심의</t>
  </si>
  <si>
    <t>청소년문화예술활동 지원</t>
  </si>
  <si>
    <t xml:space="preserve">   1. 지원사업 심의</t>
  </si>
  <si>
    <t xml:space="preserve">   2. 지역예술가(단체) 의견수렴 및 전문가 자문</t>
  </si>
  <si>
    <t xml:space="preserve"> o 행사용 물품(현수막 등) 구입</t>
  </si>
  <si>
    <t xml:space="preserve"> o 국내여비</t>
  </si>
  <si>
    <t>북부문화예술활성화 기획발굴사업</t>
  </si>
  <si>
    <t xml:space="preserve"> o 기획발굴지원</t>
  </si>
  <si>
    <t xml:space="preserve"> o 자료집 발간 등</t>
  </si>
  <si>
    <t xml:space="preserve"> o 심의, 의견수렴, 자문회의 등</t>
  </si>
  <si>
    <t>서부전선 DMZ프로젝트</t>
  </si>
  <si>
    <t>교육훈련비</t>
    <phoneticPr fontId="15" type="noConversion"/>
  </si>
  <si>
    <t>산    출    기    초</t>
    <phoneticPr fontId="21" type="noConversion"/>
  </si>
  <si>
    <t>제경비</t>
    <phoneticPr fontId="15" type="noConversion"/>
  </si>
  <si>
    <t>(사업비)</t>
    <phoneticPr fontId="15" type="noConversion"/>
  </si>
  <si>
    <t xml:space="preserve">   1. 전시장 구성 공사 및 복구</t>
  </si>
  <si>
    <t xml:space="preserve">   2. 전시 사인물 제작 및 설치</t>
  </si>
  <si>
    <t xml:space="preserve"> o 음향,영상기기등 임차</t>
  </si>
  <si>
    <t xml:space="preserve"> o 우편 발송비</t>
  </si>
  <si>
    <t xml:space="preserve"> o 강의 운영 관련 다과 구입</t>
  </si>
  <si>
    <t xml:space="preserve"> 강사 섭외 및 평가 회의</t>
  </si>
  <si>
    <t xml:space="preserve"> o 문화자원봉사 운영 관리 보조 인력(4대보험포함)</t>
  </si>
  <si>
    <t xml:space="preserve">   1. 현장 답사 및 간담회 </t>
  </si>
  <si>
    <t xml:space="preserve">   2. CS교육운영비</t>
  </si>
  <si>
    <t xml:space="preserve"> o 현장조사, 타기관 리서칭</t>
  </si>
  <si>
    <t xml:space="preserve"> o 소모품 구입  </t>
  </si>
  <si>
    <t xml:space="preserve">   2. 선택적 복지제도 운영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</si>
  <si>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</si>
  <si>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</si>
  <si>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</si>
  <si>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뮤지엄활성화</t>
    <phoneticPr fontId="15" type="noConversion"/>
  </si>
  <si>
    <t xml:space="preserve">   1. 학술자료집</t>
  </si>
  <si>
    <t xml:space="preserve">   2. 행사 회의운영비</t>
  </si>
  <si>
    <t xml:space="preserve"> o 홍보우편물발송</t>
    <phoneticPr fontId="15" type="noConversion"/>
  </si>
  <si>
    <t xml:space="preserve"> o 계</t>
    <phoneticPr fontId="14" type="noConversion"/>
  </si>
  <si>
    <t xml:space="preserve">   2. 주차장 라인 도색 및 스토퍼 정비</t>
    <phoneticPr fontId="15" type="noConversion"/>
  </si>
  <si>
    <t xml:space="preserve">   7. 행사진행요원</t>
    <phoneticPr fontId="15" type="noConversion"/>
  </si>
  <si>
    <t xml:space="preserve"> </t>
    <phoneticPr fontId="15" type="noConversion"/>
  </si>
  <si>
    <t>유지관리비</t>
    <phoneticPr fontId="15" type="noConversion"/>
  </si>
  <si>
    <t>지급수수료</t>
    <phoneticPr fontId="15" type="noConversion"/>
  </si>
  <si>
    <t xml:space="preserve">   1. 본부장</t>
    <phoneticPr fontId="15" type="noConversion"/>
  </si>
  <si>
    <t xml:space="preserve">   2. 실장</t>
    <phoneticPr fontId="15" type="noConversion"/>
  </si>
  <si>
    <t xml:space="preserve">   1. 우편요금</t>
    <phoneticPr fontId="15" type="noConversion"/>
  </si>
  <si>
    <t>회의운영비</t>
    <phoneticPr fontId="15" type="noConversion"/>
  </si>
  <si>
    <t>명 *</t>
    <phoneticPr fontId="15" type="noConversion"/>
  </si>
  <si>
    <t>월</t>
    <phoneticPr fontId="15" type="noConversion"/>
  </si>
  <si>
    <t>식 *</t>
    <phoneticPr fontId="15" type="noConversion"/>
  </si>
  <si>
    <t>인건비</t>
    <phoneticPr fontId="14" type="noConversion"/>
  </si>
  <si>
    <t>매</t>
    <phoneticPr fontId="15" type="noConversion"/>
  </si>
  <si>
    <t>회 *</t>
    <phoneticPr fontId="15" type="noConversion"/>
  </si>
  <si>
    <t>원</t>
    <phoneticPr fontId="15" type="noConversion"/>
  </si>
  <si>
    <t xml:space="preserve">   3. 보조강사</t>
    <phoneticPr fontId="15" type="noConversion"/>
  </si>
  <si>
    <t xml:space="preserve">   1. 북한산성방문자센터 안전보안</t>
  </si>
  <si>
    <t>행사운영비</t>
    <phoneticPr fontId="14" type="noConversion"/>
  </si>
  <si>
    <t>경기문화재연구원</t>
    <phoneticPr fontId="14" type="noConversion"/>
  </si>
  <si>
    <t>복리후생비(경비)</t>
    <phoneticPr fontId="15" type="noConversion"/>
  </si>
  <si>
    <t xml:space="preserve">   1. 정기간행물(신문 등)구독</t>
    <phoneticPr fontId="15" type="noConversion"/>
  </si>
  <si>
    <t xml:space="preserve"> o 기자간담회 및 취재출장비 </t>
  </si>
  <si>
    <t xml:space="preserve">   1. 스크랩마스터 저작권 구입</t>
  </si>
  <si>
    <t xml:space="preserve">   2. 뉴스 저작권 구입 </t>
  </si>
  <si>
    <t>개사*</t>
  </si>
  <si>
    <t xml:space="preserve">   3. 정기간행물 구입</t>
  </si>
  <si>
    <t>홍보물구입비</t>
  </si>
  <si>
    <t xml:space="preserve"> o 재단 홍보 기념품 구매</t>
  </si>
  <si>
    <t xml:space="preserve"> o 기자간담회 및 운영기관 홍보관련 회의 등</t>
  </si>
  <si>
    <t xml:space="preserve">   1. 운영요원 기간제 급여(4대보험 포함)</t>
  </si>
  <si>
    <t xml:space="preserve">   1. 전산소모품 등</t>
  </si>
  <si>
    <t xml:space="preserve"> o 업무 및 취재 출장 등</t>
  </si>
  <si>
    <t xml:space="preserve">   2. 상품발송비 등</t>
  </si>
  <si>
    <t xml:space="preserve"> o 홈페이지 운영 관련회의 등</t>
  </si>
  <si>
    <t>박물관미술관 통합운영</t>
    <phoneticPr fontId="15" type="noConversion"/>
  </si>
  <si>
    <t>뮤지엄정책 및 교류사업</t>
    <phoneticPr fontId="15" type="noConversion"/>
  </si>
  <si>
    <t>일</t>
    <phoneticPr fontId="15" type="noConversion"/>
  </si>
  <si>
    <t>매*</t>
    <phoneticPr fontId="15" type="noConversion"/>
  </si>
  <si>
    <t xml:space="preserve">   1. 전시진행보조인력</t>
    <phoneticPr fontId="15" type="noConversion"/>
  </si>
  <si>
    <t xml:space="preserve">   2. 전시장 관리요원</t>
    <phoneticPr fontId="15" type="noConversion"/>
  </si>
  <si>
    <t xml:space="preserve">   1. 도록인쇄비</t>
    <phoneticPr fontId="15" type="noConversion"/>
  </si>
  <si>
    <t xml:space="preserve">   2. 전시리플렛비</t>
    <phoneticPr fontId="15" type="noConversion"/>
  </si>
  <si>
    <t xml:space="preserve">   3. 초대장</t>
    <phoneticPr fontId="15" type="noConversion"/>
  </si>
  <si>
    <t>광고비</t>
    <phoneticPr fontId="15" type="noConversion"/>
  </si>
  <si>
    <t xml:space="preserve">   1. 미술전문월간지</t>
    <phoneticPr fontId="15" type="noConversion"/>
  </si>
  <si>
    <t xml:space="preserve">   2. 온라인광고</t>
    <phoneticPr fontId="15" type="noConversion"/>
  </si>
  <si>
    <t xml:space="preserve"> o 작품운송 및 전시보험</t>
    <phoneticPr fontId="15" type="noConversion"/>
  </si>
  <si>
    <t xml:space="preserve">   1. 회의식음료비</t>
    <phoneticPr fontId="15" type="noConversion"/>
  </si>
  <si>
    <t xml:space="preserve">   2. 기자간담회</t>
    <phoneticPr fontId="15" type="noConversion"/>
  </si>
  <si>
    <t xml:space="preserve"> o 전시설치 및 운영 소모품</t>
    <phoneticPr fontId="15" type="noConversion"/>
  </si>
  <si>
    <t xml:space="preserve"> o 여비교통비</t>
    <phoneticPr fontId="15" type="noConversion"/>
  </si>
  <si>
    <t xml:space="preserve"> o 회의운영비</t>
    <phoneticPr fontId="15" type="noConversion"/>
  </si>
  <si>
    <t>산하기관 노후화개선사업</t>
    <phoneticPr fontId="15" type="noConversion"/>
  </si>
  <si>
    <t>노후시설 개보수</t>
    <phoneticPr fontId="15" type="noConversion"/>
  </si>
  <si>
    <t>지급용역료</t>
    <phoneticPr fontId="15" type="noConversion"/>
  </si>
  <si>
    <t xml:space="preserve">   1. 상갈공원 경계측량 및 울타리 설치</t>
    <phoneticPr fontId="15" type="noConversion"/>
  </si>
  <si>
    <t xml:space="preserve">   4. 실학박물관 상설전시실 방화문 설치 및 벽부진열장 보수</t>
    <phoneticPr fontId="15" type="noConversion"/>
  </si>
  <si>
    <t xml:space="preserve">   1. 주차관제시설 유지보수계약 및 시설보수</t>
    <phoneticPr fontId="15" type="noConversion"/>
  </si>
  <si>
    <t>특별사업</t>
    <phoneticPr fontId="15" type="noConversion"/>
  </si>
  <si>
    <t xml:space="preserve"> o 체험강사</t>
    <phoneticPr fontId="15" type="noConversion"/>
  </si>
  <si>
    <t>용인 미디어 퍼포밍 아트페스티벌</t>
    <phoneticPr fontId="15" type="noConversion"/>
  </si>
  <si>
    <t>지급용역료</t>
    <phoneticPr fontId="15" type="noConversion"/>
  </si>
  <si>
    <t xml:space="preserve">   1. 무대제작비</t>
    <phoneticPr fontId="15" type="noConversion"/>
  </si>
  <si>
    <t xml:space="preserve">   2. 부대행사장제작비</t>
    <phoneticPr fontId="15" type="noConversion"/>
  </si>
  <si>
    <t xml:space="preserve">   3. 공연초청경비(A)</t>
    <phoneticPr fontId="15" type="noConversion"/>
  </si>
  <si>
    <t xml:space="preserve">   4. 공연초청경비(B)</t>
    <phoneticPr fontId="15" type="noConversion"/>
  </si>
  <si>
    <t xml:space="preserve">   5. 공연초청경비(C)</t>
    <phoneticPr fontId="15" type="noConversion"/>
  </si>
  <si>
    <t xml:space="preserve">   6. 참가자 체제비</t>
    <phoneticPr fontId="15" type="noConversion"/>
  </si>
  <si>
    <t>보험료</t>
    <phoneticPr fontId="15" type="noConversion"/>
  </si>
  <si>
    <t xml:space="preserve">   1. 학술세미나 발표자 수당</t>
    <phoneticPr fontId="15" type="noConversion"/>
  </si>
  <si>
    <t xml:space="preserve">   2. 영상물편집 및 자료제작</t>
    <phoneticPr fontId="15" type="noConversion"/>
  </si>
  <si>
    <t>도서인쇄비</t>
    <phoneticPr fontId="15" type="noConversion"/>
  </si>
  <si>
    <t xml:space="preserve">   1. 홍보물제작 및 인쇄</t>
    <phoneticPr fontId="15" type="noConversion"/>
  </si>
  <si>
    <t xml:space="preserve">   2. 프로그램북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</si>
  <si>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</si>
  <si>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</si>
  <si>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o 기자간담회</t>
    <phoneticPr fontId="15" type="noConversion"/>
  </si>
  <si>
    <t>연월차수당</t>
    <phoneticPr fontId="15" type="noConversion"/>
  </si>
  <si>
    <t>연합계</t>
    <phoneticPr fontId="15" type="noConversion"/>
  </si>
  <si>
    <t>월평균액</t>
    <phoneticPr fontId="15" type="noConversion"/>
  </si>
  <si>
    <t>개</t>
    <phoneticPr fontId="15" type="noConversion"/>
  </si>
  <si>
    <t>박물관 문화동호회 운영</t>
    <phoneticPr fontId="14" type="noConversion"/>
  </si>
  <si>
    <t xml:space="preserve"> o 물품구입비</t>
    <phoneticPr fontId="15" type="noConversion"/>
  </si>
  <si>
    <t xml:space="preserve"> o 수료행사진행</t>
    <phoneticPr fontId="15" type="noConversion"/>
  </si>
  <si>
    <t>전시교육개발 및 역량강화</t>
    <phoneticPr fontId="21" type="noConversion"/>
  </si>
  <si>
    <t xml:space="preserve"> o 직원해외연수출장비</t>
    <phoneticPr fontId="15" type="noConversion"/>
  </si>
  <si>
    <t xml:space="preserve">   1. 전시교육평가자문위원</t>
    <phoneticPr fontId="15" type="noConversion"/>
  </si>
  <si>
    <t xml:space="preserve">   2. 역량강화교육 강사</t>
    <phoneticPr fontId="15" type="noConversion"/>
  </si>
  <si>
    <t xml:space="preserve"> o 계</t>
    <phoneticPr fontId="15" type="noConversion"/>
  </si>
  <si>
    <t xml:space="preserve">   1. 교육평가자문회의</t>
    <phoneticPr fontId="15" type="noConversion"/>
  </si>
  <si>
    <t>전통문화콘텐츠 체험교육</t>
    <phoneticPr fontId="14" type="noConversion"/>
  </si>
  <si>
    <t xml:space="preserve"> o 강사수당</t>
    <phoneticPr fontId="15" type="noConversion"/>
  </si>
  <si>
    <t xml:space="preserve">찾아가는 경기도박물관 </t>
    <phoneticPr fontId="15" type="noConversion"/>
  </si>
  <si>
    <t xml:space="preserve"> o 체험물품 구입 및 제작</t>
    <phoneticPr fontId="15" type="noConversion"/>
  </si>
  <si>
    <t xml:space="preserve"> o 소장유물관리 인건비 (4대보험, 퇴직급여 포함)</t>
    <phoneticPr fontId="15" type="noConversion"/>
  </si>
  <si>
    <t xml:space="preserve"> o 소장품 종합보험</t>
    <phoneticPr fontId="15" type="noConversion"/>
  </si>
  <si>
    <t xml:space="preserve"> o 기증자 감사패 및 기증서 제작 등</t>
    <phoneticPr fontId="15" type="noConversion"/>
  </si>
  <si>
    <t xml:space="preserve"> o 포장, 관리재 구입</t>
    <phoneticPr fontId="15" type="noConversion"/>
  </si>
  <si>
    <t xml:space="preserve">   1. 기증유물 운송</t>
    <phoneticPr fontId="15" type="noConversion"/>
  </si>
  <si>
    <t xml:space="preserve">   2 .소장품 고화질 촬영</t>
    <phoneticPr fontId="15" type="noConversion"/>
  </si>
  <si>
    <t xml:space="preserve">   3. 전산시스템 유지보수</t>
    <phoneticPr fontId="15" type="noConversion"/>
  </si>
  <si>
    <t xml:space="preserve">   4. 소장품 영인 및 보수</t>
    <phoneticPr fontId="15" type="noConversion"/>
  </si>
  <si>
    <t xml:space="preserve"> o 우편요금</t>
    <phoneticPr fontId="15" type="noConversion"/>
  </si>
  <si>
    <t xml:space="preserve"> o 식음료비 등</t>
    <phoneticPr fontId="15" type="noConversion"/>
  </si>
  <si>
    <t xml:space="preserve">   1. 보존과학기기 유지관리</t>
    <phoneticPr fontId="15" type="noConversion"/>
  </si>
  <si>
    <t xml:space="preserve">   2. 통합적 유해생물관리</t>
    <phoneticPr fontId="15" type="noConversion"/>
  </si>
  <si>
    <t xml:space="preserve">   1. 봉사자활동비</t>
    <phoneticPr fontId="15" type="noConversion"/>
  </si>
  <si>
    <t xml:space="preserve">   2. 해설자 보수교육 강사료</t>
    <phoneticPr fontId="15" type="noConversion"/>
  </si>
  <si>
    <t xml:space="preserve"> o 사서 인건비(4대보험, 퇴직급여등 포함)</t>
    <phoneticPr fontId="15" type="noConversion"/>
  </si>
  <si>
    <t>제경비</t>
    <phoneticPr fontId="14" type="noConversion"/>
  </si>
  <si>
    <t>단체*</t>
    <phoneticPr fontId="14" type="noConversion"/>
  </si>
  <si>
    <t>개월</t>
    <phoneticPr fontId="14" type="noConversion"/>
  </si>
  <si>
    <t>=</t>
    <phoneticPr fontId="14" type="noConversion"/>
  </si>
  <si>
    <t xml:space="preserve">   1. 안내,홍보물 및 인쇄물 제작</t>
    <phoneticPr fontId="14" type="noConversion"/>
  </si>
  <si>
    <t xml:space="preserve">   2. 박물관 봉투 및 종이가방 제작</t>
    <phoneticPr fontId="14" type="noConversion"/>
  </si>
  <si>
    <t xml:space="preserve">   3. 각종 자료 인쇄 및 제본</t>
    <phoneticPr fontId="14" type="noConversion"/>
  </si>
  <si>
    <t xml:space="preserve">   1. 자동차보험료  </t>
    <phoneticPr fontId="15" type="noConversion"/>
  </si>
  <si>
    <t>대</t>
    <phoneticPr fontId="15" type="noConversion"/>
  </si>
  <si>
    <t xml:space="preserve">   2. 건물관련보험(화재보험 등)</t>
    <phoneticPr fontId="15" type="noConversion"/>
  </si>
  <si>
    <t>부서운영비</t>
    <phoneticPr fontId="15" type="noConversion"/>
  </si>
  <si>
    <t xml:space="preserve">   1. 관장실</t>
    <phoneticPr fontId="15" type="noConversion"/>
  </si>
  <si>
    <t>실*</t>
    <phoneticPr fontId="14" type="noConversion"/>
  </si>
  <si>
    <t>세금과공과</t>
    <phoneticPr fontId="15" type="noConversion"/>
  </si>
  <si>
    <t xml:space="preserve">   1. 부가가치세</t>
    <phoneticPr fontId="15" type="noConversion"/>
  </si>
  <si>
    <t xml:space="preserve">   2. 자동차세</t>
    <phoneticPr fontId="15" type="noConversion"/>
  </si>
  <si>
    <t xml:space="preserve">   3. 환경개선부담금</t>
    <phoneticPr fontId="15" type="noConversion"/>
  </si>
  <si>
    <t xml:space="preserve">   4. 학회 및 협회비 등</t>
    <phoneticPr fontId="15" type="noConversion"/>
  </si>
  <si>
    <t xml:space="preserve">   5. 기타(주민세, 면허세, 재산세 등)</t>
    <phoneticPr fontId="15" type="noConversion"/>
  </si>
  <si>
    <t xml:space="preserve">   1. 시설관리소모품 (전기,설비,건축,미화등)</t>
    <phoneticPr fontId="15" type="noConversion"/>
  </si>
  <si>
    <t xml:space="preserve">   2. 입장권제작</t>
    <phoneticPr fontId="15" type="noConversion"/>
  </si>
  <si>
    <t xml:space="preserve">   3. 생수사용료</t>
    <phoneticPr fontId="14" type="noConversion"/>
  </si>
  <si>
    <t>통*</t>
    <phoneticPr fontId="14" type="noConversion"/>
  </si>
  <si>
    <t xml:space="preserve">   4. 전산기기 토너</t>
    <phoneticPr fontId="14" type="noConversion"/>
  </si>
  <si>
    <t>대*</t>
    <phoneticPr fontId="14" type="noConversion"/>
  </si>
  <si>
    <t>수도광열비</t>
    <phoneticPr fontId="15" type="noConversion"/>
  </si>
  <si>
    <t xml:space="preserve">   1. 전기요금</t>
    <phoneticPr fontId="15" type="noConversion"/>
  </si>
  <si>
    <t xml:space="preserve">   2. 가스요금</t>
    <phoneticPr fontId="14" type="noConversion"/>
  </si>
  <si>
    <t xml:space="preserve">   3. 상하수도요금</t>
    <phoneticPr fontId="15" type="noConversion"/>
  </si>
  <si>
    <t>업무추진비</t>
    <phoneticPr fontId="15" type="noConversion"/>
  </si>
  <si>
    <t xml:space="preserve">   1. 기관운영일반업무추진비(관장)</t>
    <phoneticPr fontId="15" type="noConversion"/>
  </si>
  <si>
    <t>17</t>
    <phoneticPr fontId="15" type="noConversion"/>
  </si>
  <si>
    <t>4</t>
    <phoneticPr fontId="15" type="noConversion"/>
  </si>
  <si>
    <t xml:space="preserve">   2. 주차료</t>
    <phoneticPr fontId="15" type="noConversion"/>
  </si>
  <si>
    <t>2</t>
    <phoneticPr fontId="15" type="noConversion"/>
  </si>
  <si>
    <t>시간*</t>
    <phoneticPr fontId="15" type="noConversion"/>
  </si>
  <si>
    <t>10</t>
    <phoneticPr fontId="15" type="noConversion"/>
  </si>
  <si>
    <t xml:space="preserve">   3. 도로통행료</t>
    <phoneticPr fontId="15" type="noConversion"/>
  </si>
  <si>
    <t>3</t>
    <phoneticPr fontId="15" type="noConversion"/>
  </si>
  <si>
    <t>대*</t>
    <phoneticPr fontId="15" type="noConversion"/>
  </si>
  <si>
    <t xml:space="preserve">   1. 건축물 유지</t>
    <phoneticPr fontId="15" type="noConversion"/>
  </si>
  <si>
    <t>㎡</t>
    <phoneticPr fontId="15" type="noConversion"/>
  </si>
  <si>
    <t xml:space="preserve">   2. 차량유지관리(유류대,수리비,기타)</t>
    <phoneticPr fontId="15" type="noConversion"/>
  </si>
  <si>
    <t>원*</t>
    <phoneticPr fontId="14" type="noConversion"/>
  </si>
  <si>
    <t>지급수수료</t>
    <phoneticPr fontId="15" type="noConversion"/>
  </si>
  <si>
    <t xml:space="preserve">   1. 입장료 대행수수료</t>
    <phoneticPr fontId="15" type="noConversion"/>
  </si>
  <si>
    <t xml:space="preserve">   2. 각종검사</t>
    <phoneticPr fontId="15" type="noConversion"/>
  </si>
  <si>
    <t>종*</t>
    <phoneticPr fontId="14" type="noConversion"/>
  </si>
  <si>
    <t>건*</t>
    <phoneticPr fontId="15" type="noConversion"/>
  </si>
  <si>
    <t xml:space="preserve">   4. 자문위원회 참석수당 등</t>
    <phoneticPr fontId="15" type="noConversion"/>
  </si>
  <si>
    <t xml:space="preserve">   5. 건물시설검사수수료(전기,가스,보일러,A/V 등)</t>
    <phoneticPr fontId="14" type="noConversion"/>
  </si>
  <si>
    <t>회</t>
    <phoneticPr fontId="14" type="noConversion"/>
  </si>
  <si>
    <t>지급용역료</t>
    <phoneticPr fontId="15" type="noConversion"/>
  </si>
  <si>
    <t xml:space="preserve">   1. 사옥관리용역(19명)</t>
    <phoneticPr fontId="14" type="noConversion"/>
  </si>
  <si>
    <t xml:space="preserve">   2. 파견용역(1명)</t>
    <phoneticPr fontId="15" type="noConversion"/>
  </si>
  <si>
    <t xml:space="preserve">   3. 조경관리</t>
    <phoneticPr fontId="15" type="noConversion"/>
  </si>
  <si>
    <t xml:space="preserve">   4. 시설물 유지관리업체 용역료</t>
    <phoneticPr fontId="15" type="noConversion"/>
  </si>
  <si>
    <t xml:space="preserve">   5. 세무,결산 및 공사가격조사 등</t>
    <phoneticPr fontId="14" type="noConversion"/>
  </si>
  <si>
    <t xml:space="preserve">   1. 업무용 복합기 임차</t>
    <phoneticPr fontId="14" type="noConversion"/>
  </si>
  <si>
    <t>식*</t>
    <phoneticPr fontId="15" type="noConversion"/>
  </si>
  <si>
    <t xml:space="preserve">   2. 비데 임차</t>
    <phoneticPr fontId="15" type="noConversion"/>
  </si>
  <si>
    <t xml:space="preserve">   3. 손소독기 임차</t>
    <phoneticPr fontId="15" type="noConversion"/>
  </si>
  <si>
    <t xml:space="preserve">   4. 업무용 차량 임차</t>
    <phoneticPr fontId="15" type="noConversion"/>
  </si>
  <si>
    <t>직책업무추진비</t>
    <phoneticPr fontId="15" type="noConversion"/>
  </si>
  <si>
    <t xml:space="preserve">   1. 관장</t>
    <phoneticPr fontId="15" type="noConversion"/>
  </si>
  <si>
    <t>통신비</t>
    <phoneticPr fontId="15" type="noConversion"/>
  </si>
  <si>
    <t xml:space="preserve">   1. 우편요금(일반)</t>
    <phoneticPr fontId="15" type="noConversion"/>
  </si>
  <si>
    <t xml:space="preserve">   2. 전화통신요금</t>
    <phoneticPr fontId="15" type="noConversion"/>
  </si>
  <si>
    <t xml:space="preserve">   3. 유선방송료</t>
    <phoneticPr fontId="15" type="noConversion"/>
  </si>
  <si>
    <t>명</t>
    <phoneticPr fontId="15" type="noConversion"/>
  </si>
  <si>
    <t>고정자산</t>
    <phoneticPr fontId="14" type="noConversion"/>
  </si>
  <si>
    <t>자산구입비</t>
    <phoneticPr fontId="15" type="noConversion"/>
  </si>
  <si>
    <t xml:space="preserve">   1. 사무용PC 및 집기류, 소프트웨어 구매 등</t>
    <phoneticPr fontId="15" type="noConversion"/>
  </si>
  <si>
    <t xml:space="preserve">   2. 야외 파라솔 의자</t>
    <phoneticPr fontId="15" type="noConversion"/>
  </si>
  <si>
    <t xml:space="preserve">   3. 야외 조경 의자</t>
    <phoneticPr fontId="15" type="noConversion"/>
  </si>
  <si>
    <t>회</t>
    <phoneticPr fontId="15" type="noConversion"/>
  </si>
  <si>
    <t>소모품비</t>
    <phoneticPr fontId="15" type="noConversion"/>
  </si>
  <si>
    <t xml:space="preserve">   1. 사무용기기 복사용지(복사,팩스,컴퓨터인쇄등)</t>
    <phoneticPr fontId="15" type="noConversion"/>
  </si>
  <si>
    <t>유지관리비</t>
    <phoneticPr fontId="15" type="noConversion"/>
  </si>
  <si>
    <t xml:space="preserve">   1. 정기간행물(신문 등) 구독</t>
    <phoneticPr fontId="15" type="noConversion"/>
  </si>
  <si>
    <t>=</t>
    <phoneticPr fontId="15" type="noConversion"/>
  </si>
  <si>
    <t>고정자산</t>
    <phoneticPr fontId="20" type="noConversion"/>
  </si>
  <si>
    <t>식</t>
    <phoneticPr fontId="15" type="noConversion"/>
  </si>
  <si>
    <t xml:space="preserve">   3. 업무용 차량 임차료</t>
    <phoneticPr fontId="15" type="noConversion"/>
  </si>
  <si>
    <t xml:space="preserve"> </t>
    <phoneticPr fontId="15" type="noConversion"/>
  </si>
  <si>
    <t>유지관리비</t>
    <phoneticPr fontId="14" type="noConversion"/>
  </si>
  <si>
    <t xml:space="preserve"> o 계</t>
    <phoneticPr fontId="15" type="noConversion"/>
  </si>
  <si>
    <t>회의운영비</t>
    <phoneticPr fontId="15" type="noConversion"/>
  </si>
  <si>
    <t xml:space="preserve">   1. 관장실</t>
    <phoneticPr fontId="14" type="noConversion"/>
  </si>
  <si>
    <t>%</t>
    <phoneticPr fontId="15" type="noConversion"/>
  </si>
  <si>
    <t>5</t>
    <phoneticPr fontId="15" type="noConversion"/>
  </si>
  <si>
    <t>1</t>
    <phoneticPr fontId="15" type="noConversion"/>
  </si>
  <si>
    <t>종*</t>
    <phoneticPr fontId="15" type="noConversion"/>
  </si>
  <si>
    <t>식</t>
    <phoneticPr fontId="14" type="noConversion"/>
  </si>
  <si>
    <t xml:space="preserve"> o 국내우편발송</t>
  </si>
  <si>
    <t>장</t>
  </si>
  <si>
    <t>박</t>
  </si>
  <si>
    <t xml:space="preserve"> o 국내잡지 광고료</t>
  </si>
  <si>
    <t>10</t>
  </si>
  <si>
    <t xml:space="preserve"> o 교육 및 간담회비</t>
  </si>
  <si>
    <t xml:space="preserve"> o 간담회 및 자원봉사자의 날</t>
  </si>
  <si>
    <t>1</t>
  </si>
  <si>
    <t xml:space="preserve"> o 버스임차</t>
  </si>
  <si>
    <t xml:space="preserve"> o 자원봉사운영물품</t>
  </si>
  <si>
    <t xml:space="preserve"> o 교육자료집</t>
  </si>
  <si>
    <t>행사운영비</t>
    <phoneticPr fontId="15" type="noConversion"/>
  </si>
  <si>
    <t>도서인쇄비</t>
    <phoneticPr fontId="15" type="noConversion"/>
  </si>
  <si>
    <t>장</t>
    <phoneticPr fontId="15" type="noConversion"/>
  </si>
  <si>
    <t>보험료</t>
    <phoneticPr fontId="15" type="noConversion"/>
  </si>
  <si>
    <t>컷</t>
  </si>
  <si>
    <t>백남준전</t>
  </si>
  <si>
    <t xml:space="preserve"> o 인터뷰 진행 소모품</t>
  </si>
  <si>
    <t>부</t>
    <phoneticPr fontId="14" type="noConversion"/>
  </si>
  <si>
    <t xml:space="preserve">* </t>
    <phoneticPr fontId="14" type="noConversion"/>
  </si>
  <si>
    <t>원 /</t>
    <phoneticPr fontId="15" type="noConversion"/>
  </si>
  <si>
    <t>퇴직급여</t>
    <phoneticPr fontId="15" type="noConversion"/>
  </si>
  <si>
    <t>급여</t>
    <phoneticPr fontId="15" type="noConversion"/>
  </si>
  <si>
    <t>예산액</t>
    <phoneticPr fontId="15" type="noConversion"/>
  </si>
  <si>
    <t xml:space="preserve">   1. 건물관련보험(화재보험 등)</t>
    <phoneticPr fontId="14" type="noConversion"/>
  </si>
  <si>
    <t>박스*</t>
    <phoneticPr fontId="15" type="noConversion"/>
  </si>
  <si>
    <t xml:space="preserve">   3. 가스요금</t>
    <phoneticPr fontId="14" type="noConversion"/>
  </si>
  <si>
    <t>회*</t>
    <phoneticPr fontId="15" type="noConversion"/>
  </si>
  <si>
    <t xml:space="preserve">   1. 송금수수료</t>
    <phoneticPr fontId="15" type="noConversion"/>
  </si>
  <si>
    <t>자산구입비</t>
    <phoneticPr fontId="15" type="noConversion"/>
  </si>
  <si>
    <t>대</t>
    <phoneticPr fontId="14" type="noConversion"/>
  </si>
  <si>
    <t>실학박물관</t>
    <phoneticPr fontId="15" type="noConversion"/>
  </si>
  <si>
    <t xml:space="preserve">   2. 영업배상책임보험 등</t>
    <phoneticPr fontId="14" type="noConversion"/>
  </si>
  <si>
    <t xml:space="preserve">   3. 회계담당직원재정보증보험</t>
    <phoneticPr fontId="14" type="noConversion"/>
  </si>
  <si>
    <t>팀*</t>
    <phoneticPr fontId="14" type="noConversion"/>
  </si>
  <si>
    <t xml:space="preserve">   1. 면허세,소방안전협회 회비</t>
    <phoneticPr fontId="14" type="noConversion"/>
  </si>
  <si>
    <t xml:space="preserve">   2. 한국박물관협회 입회비</t>
    <phoneticPr fontId="14" type="noConversion"/>
  </si>
  <si>
    <t xml:space="preserve">   3. 법인균등할주민세</t>
    <phoneticPr fontId="14" type="noConversion"/>
  </si>
  <si>
    <t xml:space="preserve">   2. 플로터용지</t>
    <phoneticPr fontId="14" type="noConversion"/>
  </si>
  <si>
    <t>롤*</t>
    <phoneticPr fontId="14" type="noConversion"/>
  </si>
  <si>
    <t xml:space="preserve">   4. 복사기토너</t>
    <phoneticPr fontId="14" type="noConversion"/>
  </si>
  <si>
    <t xml:space="preserve">   5. 레이저프린터토너</t>
    <phoneticPr fontId="14" type="noConversion"/>
  </si>
  <si>
    <t xml:space="preserve">   6. 잉크젯프린터및복합기토너</t>
    <phoneticPr fontId="14" type="noConversion"/>
  </si>
  <si>
    <t xml:space="preserve">   7. 팩스토너</t>
    <phoneticPr fontId="14" type="noConversion"/>
  </si>
  <si>
    <t xml:space="preserve">   8. 기타업무용문구 및 소모품 구입</t>
    <phoneticPr fontId="15" type="noConversion"/>
  </si>
  <si>
    <t xml:space="preserve">   9. 시설소모품(시설,미화,전기 등)</t>
    <phoneticPr fontId="15" type="noConversion"/>
  </si>
  <si>
    <t xml:space="preserve">   2. 상하수도, 가스요금등</t>
    <phoneticPr fontId="14" type="noConversion"/>
  </si>
  <si>
    <t xml:space="preserve">   1. 건물유지및 사무실보수</t>
    <phoneticPr fontId="15" type="noConversion"/>
  </si>
  <si>
    <t xml:space="preserve">   2. 전산장비 유지관리</t>
    <phoneticPr fontId="15" type="noConversion"/>
  </si>
  <si>
    <t xml:space="preserve">   3. 전시장 프로젝트 램프</t>
    <phoneticPr fontId="15" type="noConversion"/>
  </si>
  <si>
    <t xml:space="preserve">   4. 도서관 서가 제작</t>
    <phoneticPr fontId="15" type="noConversion"/>
  </si>
  <si>
    <t>식</t>
    <phoneticPr fontId="14" type="noConversion"/>
  </si>
  <si>
    <t xml:space="preserve">   5. 차량유지관리(유류대 등)</t>
    <phoneticPr fontId="15" type="noConversion"/>
  </si>
  <si>
    <t xml:space="preserve">   2. 업무용 참고도서 구입</t>
    <phoneticPr fontId="15" type="noConversion"/>
  </si>
  <si>
    <t>권</t>
    <phoneticPr fontId="15" type="noConversion"/>
  </si>
  <si>
    <t xml:space="preserve">   2. 자문위원회 등 회의참석수당</t>
    <phoneticPr fontId="15" type="noConversion"/>
  </si>
  <si>
    <t xml:space="preserve">   3. 입장료 대행수수료</t>
    <phoneticPr fontId="14" type="noConversion"/>
  </si>
  <si>
    <t xml:space="preserve">   1. 시설관리용역(시설12명)</t>
    <phoneticPr fontId="15" type="noConversion"/>
  </si>
  <si>
    <t xml:space="preserve">   2. 사옥시설유지보수관리용역(소방,A/V,방범,전화, 자동제어 등)</t>
    <phoneticPr fontId="14" type="noConversion"/>
  </si>
  <si>
    <t xml:space="preserve">   3. S/W자산종합관리시스템 용역</t>
    <phoneticPr fontId="14" type="noConversion"/>
  </si>
  <si>
    <t xml:space="preserve">   4. 다산정원 보수 공사</t>
    <phoneticPr fontId="14" type="noConversion"/>
  </si>
  <si>
    <t xml:space="preserve">   5. 조경관리용역</t>
    <phoneticPr fontId="15" type="noConversion"/>
  </si>
  <si>
    <t xml:space="preserve">   1. 비데임차료</t>
    <phoneticPr fontId="15" type="noConversion"/>
  </si>
  <si>
    <t xml:space="preserve">   2. 업무용 복합기 임차료</t>
    <phoneticPr fontId="15" type="noConversion"/>
  </si>
  <si>
    <t>세트</t>
    <phoneticPr fontId="15" type="noConversion"/>
  </si>
  <si>
    <t>실학 학술연구</t>
    <phoneticPr fontId="14" type="noConversion"/>
  </si>
  <si>
    <t>매</t>
    <phoneticPr fontId="14" type="noConversion"/>
  </si>
  <si>
    <t>도서인쇄비</t>
    <phoneticPr fontId="14" type="noConversion"/>
  </si>
  <si>
    <t>소모품비</t>
    <phoneticPr fontId="14" type="noConversion"/>
  </si>
  <si>
    <t>통신비</t>
    <phoneticPr fontId="14" type="noConversion"/>
  </si>
  <si>
    <t>실학 네트워크 구축사업</t>
    <phoneticPr fontId="15" type="noConversion"/>
  </si>
  <si>
    <t>명</t>
    <phoneticPr fontId="14" type="noConversion"/>
  </si>
  <si>
    <t>개</t>
    <phoneticPr fontId="14" type="noConversion"/>
  </si>
  <si>
    <t>일</t>
    <phoneticPr fontId="14" type="noConversion"/>
  </si>
  <si>
    <t>실학 전시운영</t>
    <phoneticPr fontId="14" type="noConversion"/>
  </si>
  <si>
    <t>상설전시 운영</t>
    <phoneticPr fontId="14" type="noConversion"/>
  </si>
  <si>
    <t>종</t>
    <phoneticPr fontId="14" type="noConversion"/>
  </si>
  <si>
    <t>개월</t>
    <phoneticPr fontId="15" type="noConversion"/>
  </si>
  <si>
    <t>기획특별전 운영</t>
    <phoneticPr fontId="14" type="noConversion"/>
  </si>
  <si>
    <t>보험료</t>
    <phoneticPr fontId="14" type="noConversion"/>
  </si>
  <si>
    <t>지급수수료</t>
    <phoneticPr fontId="14" type="noConversion"/>
  </si>
  <si>
    <t>매*</t>
    <phoneticPr fontId="15" type="noConversion"/>
  </si>
  <si>
    <t>지급용역료</t>
    <phoneticPr fontId="14" type="noConversion"/>
  </si>
  <si>
    <t>원</t>
    <phoneticPr fontId="15" type="noConversion"/>
  </si>
  <si>
    <t xml:space="preserve"> o 홍보물 발송</t>
    <phoneticPr fontId="15" type="noConversion"/>
  </si>
  <si>
    <t>상설 어린이 청소년교육프로그램운영</t>
    <phoneticPr fontId="15" type="noConversion"/>
  </si>
  <si>
    <t>다산 공렴 아카데미 운영</t>
    <phoneticPr fontId="15" type="noConversion"/>
  </si>
  <si>
    <t>1박2일 체험캠프</t>
    <phoneticPr fontId="14" type="noConversion"/>
  </si>
  <si>
    <t>실</t>
    <phoneticPr fontId="14" type="noConversion"/>
  </si>
  <si>
    <t>한강문화밸트 확산</t>
    <phoneticPr fontId="14" type="noConversion"/>
  </si>
  <si>
    <t>수장고 및 소장품 관리</t>
    <phoneticPr fontId="14" type="noConversion"/>
  </si>
  <si>
    <t>지급임차료</t>
    <phoneticPr fontId="15" type="noConversion"/>
  </si>
  <si>
    <t>관람객 서비스</t>
    <phoneticPr fontId="14" type="noConversion"/>
  </si>
  <si>
    <t>박물관 종합홍보</t>
    <phoneticPr fontId="14" type="noConversion"/>
  </si>
  <si>
    <t>종</t>
    <phoneticPr fontId="15" type="noConversion"/>
  </si>
  <si>
    <t>문화해설사 운영</t>
    <phoneticPr fontId="14" type="noConversion"/>
  </si>
  <si>
    <t>부</t>
    <phoneticPr fontId="15" type="noConversion"/>
  </si>
  <si>
    <t>피복비</t>
    <phoneticPr fontId="14" type="noConversion"/>
  </si>
  <si>
    <t>벌</t>
    <phoneticPr fontId="14" type="noConversion"/>
  </si>
  <si>
    <t>실학도서관 운영</t>
    <phoneticPr fontId="14" type="noConversion"/>
  </si>
  <si>
    <t>자료구입비</t>
    <phoneticPr fontId="15" type="noConversion"/>
  </si>
  <si>
    <t>실학영상콘텐츠제작</t>
    <phoneticPr fontId="14" type="noConversion"/>
  </si>
  <si>
    <t>매</t>
    <phoneticPr fontId="15" type="noConversion"/>
  </si>
  <si>
    <t xml:space="preserve">   1. 센터 브로슈어 제작</t>
    <phoneticPr fontId="15" type="noConversion"/>
  </si>
  <si>
    <t>창작 종합홍보</t>
    <phoneticPr fontId="15" type="noConversion"/>
  </si>
  <si>
    <t xml:space="preserve">회의운영비 </t>
  </si>
  <si>
    <t xml:space="preserve">행사운영비 </t>
  </si>
  <si>
    <t xml:space="preserve">여비교통비 </t>
  </si>
  <si>
    <t xml:space="preserve">  1. 감사 및 자문회의 식음료비</t>
    <phoneticPr fontId="15" type="noConversion"/>
  </si>
  <si>
    <t xml:space="preserve">   3. 케이블TV사용료</t>
    <phoneticPr fontId="15" type="noConversion"/>
  </si>
  <si>
    <t xml:space="preserve">   2. 인터넷 회선 사용료</t>
    <phoneticPr fontId="15" type="noConversion"/>
  </si>
  <si>
    <t xml:space="preserve">   1. 우편요금</t>
  </si>
  <si>
    <t xml:space="preserve">   1. 업무용 차량 임차료</t>
  </si>
  <si>
    <t xml:space="preserve">   2. 시설도급용역 조달청 수수료</t>
    <phoneticPr fontId="15" type="noConversion"/>
  </si>
  <si>
    <t xml:space="preserve">   1. 사옥관리용역 (15명)</t>
    <phoneticPr fontId="15" type="noConversion"/>
  </si>
  <si>
    <t>건*</t>
    <phoneticPr fontId="15" type="noConversion"/>
  </si>
  <si>
    <t xml:space="preserve">   2. 시설물 검사 수수료</t>
    <phoneticPr fontId="15" type="noConversion"/>
  </si>
  <si>
    <t>건</t>
    <phoneticPr fontId="15" type="noConversion"/>
  </si>
  <si>
    <t xml:space="preserve">   2. 소프트웨어 </t>
    <phoneticPr fontId="15" type="noConversion"/>
  </si>
  <si>
    <t xml:space="preserve">   1. 일간지 및 자료</t>
    <phoneticPr fontId="15" type="noConversion"/>
  </si>
  <si>
    <t xml:space="preserve">  11. CCTV 관리 (유지보수 및 추가설치)</t>
    <phoneticPr fontId="15" type="noConversion"/>
  </si>
  <si>
    <t xml:space="preserve">   8. 다목적홀 냉난방 유류대</t>
    <phoneticPr fontId="15" type="noConversion"/>
  </si>
  <si>
    <t xml:space="preserve">   4. 건축및기계설비(물탱크, 냉온수기, 세관 등)</t>
    <phoneticPr fontId="15" type="noConversion"/>
  </si>
  <si>
    <t xml:space="preserve">   3. 시설 및 미화 소모품</t>
    <phoneticPr fontId="15" type="noConversion"/>
  </si>
  <si>
    <t xml:space="preserve">   2. 차량 유지관리(유류대,수리비,기타)</t>
    <phoneticPr fontId="15" type="noConversion"/>
  </si>
  <si>
    <t xml:space="preserve">   1. 전산장비 유지관리</t>
    <phoneticPr fontId="15" type="noConversion"/>
  </si>
  <si>
    <t xml:space="preserve">   2. 국외여비</t>
    <phoneticPr fontId="15" type="noConversion"/>
  </si>
  <si>
    <t>업무추진비</t>
  </si>
  <si>
    <t xml:space="preserve">   2. 상하수도요금</t>
    <phoneticPr fontId="15" type="noConversion"/>
  </si>
  <si>
    <t xml:space="preserve">   5. 숙소 침구류</t>
    <phoneticPr fontId="15" type="noConversion"/>
  </si>
  <si>
    <t xml:space="preserve">   4. 업무용 문구/ 명함/ 소모품</t>
    <phoneticPr fontId="15" type="noConversion"/>
  </si>
  <si>
    <t xml:space="preserve">   3. 복사기 토너 및 카트리지</t>
    <phoneticPr fontId="15" type="noConversion"/>
  </si>
  <si>
    <t xml:space="preserve">   2. 생수대금</t>
    <phoneticPr fontId="15" type="noConversion"/>
  </si>
  <si>
    <t xml:space="preserve">   1. 사무용기기 복사용지 </t>
  </si>
  <si>
    <t xml:space="preserve">   2. 환경개선부담금</t>
    <phoneticPr fontId="15" type="noConversion"/>
  </si>
  <si>
    <t>팀*</t>
    <phoneticPr fontId="15" type="noConversion"/>
  </si>
  <si>
    <t xml:space="preserve">   2. 청소년활동배상책임보험</t>
    <phoneticPr fontId="15" type="noConversion"/>
  </si>
  <si>
    <t xml:space="preserve">   1. 건물화재/가스/영업배상책임보험료 </t>
    <phoneticPr fontId="15" type="noConversion"/>
  </si>
  <si>
    <t>복리후생비(급여)</t>
    <phoneticPr fontId="15" type="noConversion"/>
  </si>
  <si>
    <t xml:space="preserve">   2. 부가급여(교통비+정액급식비+자녀학비보조수당+가족수당+초과근무수당 등 포함)</t>
    <phoneticPr fontId="15" type="noConversion"/>
  </si>
  <si>
    <t>경기창작센터</t>
    <phoneticPr fontId="15" type="noConversion"/>
  </si>
  <si>
    <t>개월*</t>
    <phoneticPr fontId="15" type="noConversion"/>
  </si>
  <si>
    <t xml:space="preserve">   1. 회계담당직원재정보증보험</t>
    <phoneticPr fontId="15" type="noConversion"/>
  </si>
  <si>
    <t>복리후생비(경비)</t>
    <phoneticPr fontId="20" type="noConversion"/>
  </si>
  <si>
    <t>*</t>
    <phoneticPr fontId="15" type="noConversion"/>
  </si>
  <si>
    <t>원/</t>
    <phoneticPr fontId="15" type="noConversion"/>
  </si>
  <si>
    <t>예산액</t>
    <phoneticPr fontId="15" type="noConversion"/>
  </si>
  <si>
    <t>전시 및 오픈스튜디오</t>
    <phoneticPr fontId="15" type="noConversion"/>
  </si>
  <si>
    <t>지원비</t>
    <phoneticPr fontId="15" type="noConversion"/>
  </si>
  <si>
    <t>창의예술학교</t>
    <phoneticPr fontId="15" type="noConversion"/>
  </si>
  <si>
    <t>창의연수</t>
    <phoneticPr fontId="15" type="noConversion"/>
  </si>
  <si>
    <t xml:space="preserve">   1. 보조인력(코디네이터)</t>
    <phoneticPr fontId="15" type="noConversion"/>
  </si>
  <si>
    <t xml:space="preserve">   2. 4대보험</t>
    <phoneticPr fontId="15" type="noConversion"/>
  </si>
  <si>
    <t>`</t>
    <phoneticPr fontId="15" type="noConversion"/>
  </si>
  <si>
    <t>상상퐁당 예술나눔</t>
    <phoneticPr fontId="15" type="noConversion"/>
  </si>
  <si>
    <t xml:space="preserve">   1. 지역학교 프로그램</t>
    <phoneticPr fontId="15" type="noConversion"/>
  </si>
  <si>
    <t xml:space="preserve">   2. 예술복지프로그램 강사비</t>
    <phoneticPr fontId="15" type="noConversion"/>
  </si>
  <si>
    <t>지역디자인</t>
    <phoneticPr fontId="15" type="noConversion"/>
  </si>
  <si>
    <t>지역생활예술프로젝트</t>
    <phoneticPr fontId="15" type="noConversion"/>
  </si>
  <si>
    <t>급여</t>
    <phoneticPr fontId="14" type="noConversion"/>
  </si>
  <si>
    <t xml:space="preserve"> </t>
    <phoneticPr fontId="14" type="noConversion"/>
  </si>
  <si>
    <t>– 직원</t>
    <phoneticPr fontId="15" type="noConversion"/>
  </si>
  <si>
    <t>=</t>
    <phoneticPr fontId="14" type="noConversion"/>
  </si>
  <si>
    <t xml:space="preserve">   2. 부가급여(교통비+정액급식비+자녁학비보조수당+가족수당+초과근무수당포함)</t>
    <phoneticPr fontId="15" type="noConversion"/>
  </si>
  <si>
    <t xml:space="preserve">  1. 기준연봉액</t>
    <phoneticPr fontId="15" type="noConversion"/>
  </si>
  <si>
    <t>–직원</t>
    <phoneticPr fontId="15" type="noConversion"/>
  </si>
  <si>
    <t xml:space="preserve">  2. 부가급여(교통비+정액급식비+자녁학비보조수당+가족수당+초과근무수당포함)</t>
    <phoneticPr fontId="15" type="noConversion"/>
  </si>
  <si>
    <t>복리후생비(급여)</t>
    <phoneticPr fontId="15" type="noConversion"/>
  </si>
  <si>
    <t xml:space="preserve">  2. 부가급여(교통비+정액급식비+자녀학비보조수당+가족수당+초과근무수당 등포함)</t>
    <phoneticPr fontId="15" type="noConversion"/>
  </si>
  <si>
    <t xml:space="preserve">   2. 부가급여(교통비+정액급식비+자녀학비보조수당+가족수당+초과근무수당 등포함)</t>
    <phoneticPr fontId="15" type="noConversion"/>
  </si>
  <si>
    <t>경영지원팀 사업비</t>
    <phoneticPr fontId="15" type="noConversion"/>
  </si>
  <si>
    <t>원*</t>
    <phoneticPr fontId="15" type="noConversion"/>
  </si>
  <si>
    <t>본부장*</t>
    <phoneticPr fontId="14" type="noConversion"/>
  </si>
  <si>
    <t>여비교통비</t>
    <phoneticPr fontId="15" type="noConversion"/>
  </si>
  <si>
    <t xml:space="preserve">   1. 업무용 차량 임차</t>
    <phoneticPr fontId="15" type="noConversion"/>
  </si>
  <si>
    <t xml:space="preserve">   2. 업무용 복합기 임차</t>
    <phoneticPr fontId="15" type="noConversion"/>
  </si>
  <si>
    <t>직책업무추진비</t>
    <phoneticPr fontId="15" type="noConversion"/>
  </si>
  <si>
    <t>편의시설운영</t>
    <phoneticPr fontId="14" type="noConversion"/>
  </si>
  <si>
    <t>%</t>
    <phoneticPr fontId="14" type="noConversion"/>
  </si>
  <si>
    <t>세금과공과</t>
    <phoneticPr fontId="14" type="noConversion"/>
  </si>
  <si>
    <t>재료비</t>
    <phoneticPr fontId="14" type="noConversion"/>
  </si>
  <si>
    <t xml:space="preserve">   1. 계약직 기본급</t>
    <phoneticPr fontId="21" type="noConversion"/>
  </si>
  <si>
    <t>창의예술캠프</t>
    <phoneticPr fontId="15" type="noConversion"/>
  </si>
  <si>
    <t>식</t>
    <phoneticPr fontId="15" type="noConversion"/>
  </si>
  <si>
    <t>회</t>
    <phoneticPr fontId="15" type="noConversion"/>
  </si>
  <si>
    <t>회</t>
    <phoneticPr fontId="15" type="noConversion"/>
  </si>
  <si>
    <t>명*</t>
    <phoneticPr fontId="15" type="noConversion"/>
  </si>
  <si>
    <t>식</t>
    <phoneticPr fontId="15" type="noConversion"/>
  </si>
  <si>
    <t xml:space="preserve"> o 계</t>
    <phoneticPr fontId="15" type="noConversion"/>
  </si>
  <si>
    <t>원*</t>
    <phoneticPr fontId="15" type="noConversion"/>
  </si>
  <si>
    <t xml:space="preserve"> </t>
    <phoneticPr fontId="21" type="noConversion"/>
  </si>
  <si>
    <t xml:space="preserve"> o 기간제(4대보험, 퇴직금포함)</t>
    <phoneticPr fontId="15" type="noConversion"/>
  </si>
  <si>
    <t>도서인쇄비</t>
    <phoneticPr fontId="27" type="noConversion"/>
  </si>
  <si>
    <t>자료구입비</t>
    <phoneticPr fontId="27" type="noConversion"/>
  </si>
  <si>
    <t>개월</t>
    <phoneticPr fontId="21" type="noConversion"/>
  </si>
  <si>
    <t xml:space="preserve"> o 소모품비</t>
    <phoneticPr fontId="15" type="noConversion"/>
  </si>
  <si>
    <t xml:space="preserve"> o 국내 출장비</t>
    <phoneticPr fontId="15" type="noConversion"/>
  </si>
  <si>
    <t>스마트뮤지엄 시스템 구축</t>
    <phoneticPr fontId="20" type="noConversion"/>
  </si>
  <si>
    <t>자산구입비</t>
    <phoneticPr fontId="27" type="noConversion"/>
  </si>
  <si>
    <t>개</t>
    <phoneticPr fontId="21" type="noConversion"/>
  </si>
  <si>
    <t>부</t>
    <phoneticPr fontId="21" type="noConversion"/>
  </si>
  <si>
    <t>문화예술 계기성사업</t>
    <phoneticPr fontId="15" type="noConversion"/>
  </si>
  <si>
    <t>재단 상주단체 지원</t>
    <phoneticPr fontId="15" type="noConversion"/>
  </si>
  <si>
    <t>경기천년사업</t>
    <phoneticPr fontId="15" type="noConversion"/>
  </si>
  <si>
    <t xml:space="preserve"> o 소모품 구입</t>
    <phoneticPr fontId="15" type="noConversion"/>
  </si>
  <si>
    <t>명</t>
    <phoneticPr fontId="21" type="noConversion"/>
  </si>
  <si>
    <t>지급임차료</t>
    <phoneticPr fontId="27" type="noConversion"/>
  </si>
  <si>
    <t>회</t>
    <phoneticPr fontId="27" type="noConversion"/>
  </si>
  <si>
    <t>슬로건 및 엠블럼 제작</t>
    <phoneticPr fontId="20" type="noConversion"/>
  </si>
  <si>
    <t>재단 20주년 기념사업</t>
    <phoneticPr fontId="15" type="noConversion"/>
  </si>
  <si>
    <t>지급용역료</t>
    <phoneticPr fontId="27" type="noConversion"/>
  </si>
  <si>
    <t>회의운영비</t>
    <phoneticPr fontId="27" type="noConversion"/>
  </si>
  <si>
    <t>소모품비</t>
    <phoneticPr fontId="27" type="noConversion"/>
  </si>
  <si>
    <t>경영기능 개선</t>
    <phoneticPr fontId="15" type="noConversion"/>
  </si>
  <si>
    <t>재단 및 소속기관 평가</t>
    <phoneticPr fontId="15" type="noConversion"/>
  </si>
  <si>
    <t xml:space="preserve">   1. 평가위원단 심사비</t>
    <phoneticPr fontId="14" type="noConversion"/>
  </si>
  <si>
    <t xml:space="preserve">   2. 내부평가위원 심사비</t>
    <phoneticPr fontId="14" type="noConversion"/>
  </si>
  <si>
    <t xml:space="preserve">   1. 성과평가위원회 워크숍</t>
    <phoneticPr fontId="14" type="noConversion"/>
  </si>
  <si>
    <t xml:space="preserve">   2. 평가관련 회의</t>
    <phoneticPr fontId="14" type="noConversion"/>
  </si>
  <si>
    <t>경영지원팀</t>
    <phoneticPr fontId="15" type="noConversion"/>
  </si>
  <si>
    <t xml:space="preserve"> o 문화예술 체험행사 프로그램 용역</t>
    <phoneticPr fontId="15" type="noConversion"/>
  </si>
  <si>
    <t xml:space="preserve">여비교통비 </t>
    <phoneticPr fontId="15" type="noConversion"/>
  </si>
  <si>
    <t xml:space="preserve"> o 업무 출장비</t>
    <phoneticPr fontId="15" type="noConversion"/>
  </si>
  <si>
    <t xml:space="preserve">행사운영비 </t>
    <phoneticPr fontId="15" type="noConversion"/>
  </si>
  <si>
    <t xml:space="preserve"> o 계  </t>
    <phoneticPr fontId="15" type="noConversion"/>
  </si>
  <si>
    <t xml:space="preserve">   1. 공연 및 집기대여료 </t>
    <phoneticPr fontId="15" type="noConversion"/>
  </si>
  <si>
    <t xml:space="preserve">   2. 참가자 기념품 구입 등</t>
    <phoneticPr fontId="15" type="noConversion"/>
  </si>
  <si>
    <t xml:space="preserve">   3. 식음료비 등 </t>
    <phoneticPr fontId="15" type="noConversion"/>
  </si>
  <si>
    <t xml:space="preserve"> o 소모품비 </t>
    <phoneticPr fontId="15" type="noConversion"/>
  </si>
  <si>
    <t xml:space="preserve">회의운영비 </t>
    <phoneticPr fontId="15" type="noConversion"/>
  </si>
  <si>
    <t xml:space="preserve"> o 관계자 및 단체 업무협의 등 </t>
    <phoneticPr fontId="15" type="noConversion"/>
  </si>
  <si>
    <t>홍보활성화</t>
    <phoneticPr fontId="15" type="noConversion"/>
  </si>
  <si>
    <t>문화예술홍보 네트워크 구축</t>
    <phoneticPr fontId="15" type="noConversion"/>
  </si>
  <si>
    <t xml:space="preserve"> o 홍보물 제작 등</t>
    <phoneticPr fontId="15" type="noConversion"/>
  </si>
  <si>
    <t>산    출    기    초</t>
    <phoneticPr fontId="15" type="noConversion"/>
  </si>
  <si>
    <t>장분류</t>
    <phoneticPr fontId="15" type="noConversion"/>
  </si>
  <si>
    <t>경영본부</t>
    <phoneticPr fontId="15" type="noConversion"/>
  </si>
  <si>
    <t>일반관리비</t>
    <phoneticPr fontId="15" type="noConversion"/>
  </si>
  <si>
    <t>급여</t>
    <phoneticPr fontId="15" type="noConversion"/>
  </si>
  <si>
    <t>1. 기준연봉액</t>
    <phoneticPr fontId="15" type="noConversion"/>
  </si>
  <si>
    <t>2. 부가급여(교통비+정액급식비+자녀학비보조수당+가족수당+초과근무수당)</t>
    <phoneticPr fontId="15" type="noConversion"/>
  </si>
  <si>
    <t>3. 직원 파견수당</t>
    <phoneticPr fontId="15" type="noConversion"/>
  </si>
  <si>
    <t>4. 경영평가 성과급</t>
    <phoneticPr fontId="15" type="noConversion"/>
  </si>
  <si>
    <t>원*</t>
    <phoneticPr fontId="15" type="noConversion"/>
  </si>
  <si>
    <t>명</t>
    <phoneticPr fontId="15" type="noConversion"/>
  </si>
  <si>
    <t>개월</t>
    <phoneticPr fontId="14" type="noConversion"/>
  </si>
  <si>
    <t>=</t>
    <phoneticPr fontId="14" type="noConversion"/>
  </si>
  <si>
    <t>명</t>
    <phoneticPr fontId="15" type="noConversion"/>
  </si>
  <si>
    <t>회</t>
    <phoneticPr fontId="15" type="noConversion"/>
  </si>
  <si>
    <t>=</t>
    <phoneticPr fontId="15" type="noConversion"/>
  </si>
  <si>
    <t>월</t>
    <phoneticPr fontId="15" type="noConversion"/>
  </si>
  <si>
    <t>업무추진비</t>
    <phoneticPr fontId="15" type="noConversion"/>
  </si>
  <si>
    <t xml:space="preserve"> </t>
    <phoneticPr fontId="15" type="noConversion"/>
  </si>
  <si>
    <t>본부*</t>
    <phoneticPr fontId="15" type="noConversion"/>
  </si>
  <si>
    <t>매</t>
    <phoneticPr fontId="15" type="noConversion"/>
  </si>
  <si>
    <t xml:space="preserve">   1. 4대보험 부담금</t>
    <phoneticPr fontId="15" type="noConversion"/>
  </si>
  <si>
    <t xml:space="preserve">   3. 면허세, 주민세, 재산세 등</t>
    <phoneticPr fontId="15" type="noConversion"/>
  </si>
  <si>
    <t xml:space="preserve">   1. 시설관리소모품 (전기,설비,건축,미화 등)</t>
    <phoneticPr fontId="15" type="noConversion"/>
  </si>
  <si>
    <t xml:space="preserve">   2. 입장권제작 </t>
    <phoneticPr fontId="15" type="noConversion"/>
  </si>
  <si>
    <t xml:space="preserve">   5. 기타 업무용 문구 및 행사용 소모품구입</t>
    <phoneticPr fontId="14" type="noConversion"/>
  </si>
  <si>
    <t>11</t>
    <phoneticPr fontId="15" type="noConversion"/>
  </si>
  <si>
    <t>종*</t>
    <phoneticPr fontId="15" type="noConversion"/>
  </si>
  <si>
    <t xml:space="preserve">   1. 입장료 대행수수료(카드,문자,이메일 등)</t>
    <phoneticPr fontId="15" type="noConversion"/>
  </si>
  <si>
    <t xml:space="preserve">   2. 건물시설검사수수료(엘리베이터,도시가스,소방 등)</t>
    <phoneticPr fontId="14" type="noConversion"/>
  </si>
  <si>
    <t>식*</t>
    <phoneticPr fontId="14" type="noConversion"/>
  </si>
  <si>
    <t xml:space="preserve">   3. 시설용역 조달청 수수료</t>
    <phoneticPr fontId="15" type="noConversion"/>
  </si>
  <si>
    <t xml:space="preserve">   4. 자문위원회 참석수당 등</t>
    <phoneticPr fontId="14" type="noConversion"/>
  </si>
  <si>
    <t xml:space="preserve">   1. 사옥관리용역(순수시설:20명)</t>
    <phoneticPr fontId="15" type="noConversion"/>
  </si>
  <si>
    <t xml:space="preserve">   2. 시설유지보수관리용역(보안,소방, 승강기, 통신, 소독 등)</t>
    <phoneticPr fontId="15" type="noConversion"/>
  </si>
  <si>
    <t xml:space="preserve">   3. 조경유지보수(예초, 잔디깎기, 제초, 약제살포, 동면, 사목 재식재)</t>
    <phoneticPr fontId="15" type="noConversion"/>
  </si>
  <si>
    <t>통신비</t>
    <phoneticPr fontId="15" type="noConversion"/>
  </si>
  <si>
    <t>13</t>
    <phoneticPr fontId="15" type="noConversion"/>
  </si>
  <si>
    <t>어린이 학술연구</t>
    <phoneticPr fontId="15" type="noConversion"/>
  </si>
  <si>
    <t>세계적인 박물관 지속사업</t>
    <phoneticPr fontId="15" type="noConversion"/>
  </si>
  <si>
    <t xml:space="preserve">   1. 학회 참가비</t>
    <phoneticPr fontId="15" type="noConversion"/>
  </si>
  <si>
    <t xml:space="preserve">   2. 발표자료 번역</t>
    <phoneticPr fontId="15" type="noConversion"/>
  </si>
  <si>
    <t>페이지</t>
    <phoneticPr fontId="15" type="noConversion"/>
  </si>
  <si>
    <t>리소스센터 구축</t>
    <phoneticPr fontId="15" type="noConversion"/>
  </si>
  <si>
    <t>어린이박물관 전시운영</t>
    <phoneticPr fontId="15" type="noConversion"/>
  </si>
  <si>
    <t>어린이 상설전시 운영</t>
    <phoneticPr fontId="15" type="noConversion"/>
  </si>
  <si>
    <t>갤러리*</t>
    <phoneticPr fontId="15" type="noConversion"/>
  </si>
  <si>
    <t xml:space="preserve">   1. 체험전시물품 유지보수(패브릭,소품,사인,도장,영상,작동전시)</t>
    <phoneticPr fontId="15" type="noConversion"/>
  </si>
  <si>
    <t xml:space="preserve">   2. 어린이안전점검, 멸균, 특수청소, 패브릭소품세탁 등  </t>
    <phoneticPr fontId="15" type="noConversion"/>
  </si>
  <si>
    <t xml:space="preserve">   3. 조형작품 유지보수</t>
    <phoneticPr fontId="15" type="noConversion"/>
  </si>
  <si>
    <t xml:space="preserve">   4. 한강과 물 갤러리 도장 유지보수</t>
    <phoneticPr fontId="15" type="noConversion"/>
  </si>
  <si>
    <t xml:space="preserve">   5. 미니씨어터 갤러리 미디어 보완</t>
    <phoneticPr fontId="15" type="noConversion"/>
  </si>
  <si>
    <t>순회전시 운영</t>
    <phoneticPr fontId="15" type="noConversion"/>
  </si>
  <si>
    <t>틈새전시운영</t>
    <phoneticPr fontId="15" type="noConversion"/>
  </si>
  <si>
    <t>전시장인력운영(지킴이)</t>
    <phoneticPr fontId="15" type="noConversion"/>
  </si>
  <si>
    <t>어린이 교육프로그램 운영</t>
    <phoneticPr fontId="15" type="noConversion"/>
  </si>
  <si>
    <t xml:space="preserve"> =</t>
    <phoneticPr fontId="15" type="noConversion"/>
  </si>
  <si>
    <t>식*</t>
    <phoneticPr fontId="15" type="noConversion"/>
  </si>
  <si>
    <t xml:space="preserve">심화교육프로그램 </t>
    <phoneticPr fontId="15" type="noConversion"/>
  </si>
  <si>
    <t>인*</t>
    <phoneticPr fontId="15" type="noConversion"/>
  </si>
  <si>
    <t>조형예술프로그램</t>
    <phoneticPr fontId="15" type="noConversion"/>
  </si>
  <si>
    <t xml:space="preserve">방학프로그램 </t>
    <phoneticPr fontId="15" type="noConversion"/>
  </si>
  <si>
    <t xml:space="preserve">박물관 종합홍보 </t>
    <phoneticPr fontId="15" type="noConversion"/>
  </si>
  <si>
    <t xml:space="preserve">인건비 </t>
    <phoneticPr fontId="15" type="noConversion"/>
  </si>
  <si>
    <t>인</t>
    <phoneticPr fontId="15" type="noConversion"/>
  </si>
  <si>
    <t xml:space="preserve">   1.종합안내브로슈어(국문)</t>
    <phoneticPr fontId="15" type="noConversion"/>
  </si>
  <si>
    <t xml:space="preserve">지급수수료 </t>
    <phoneticPr fontId="15" type="noConversion"/>
  </si>
  <si>
    <t xml:space="preserve">   1.국내학회 연회비</t>
    <phoneticPr fontId="15" type="noConversion"/>
  </si>
  <si>
    <t xml:space="preserve">   2.국외학회 연회비</t>
    <phoneticPr fontId="15" type="noConversion"/>
  </si>
  <si>
    <t xml:space="preserve">통신비 </t>
    <phoneticPr fontId="15" type="noConversion"/>
  </si>
  <si>
    <t xml:space="preserve">홍보비 </t>
    <phoneticPr fontId="15" type="noConversion"/>
  </si>
  <si>
    <t xml:space="preserve">문화자원봉사 운영 </t>
    <phoneticPr fontId="15" type="noConversion"/>
  </si>
  <si>
    <t xml:space="preserve">  1. 주중 활동 실비</t>
    <phoneticPr fontId="15" type="noConversion"/>
  </si>
  <si>
    <t xml:space="preserve">  2. 주말 활동 실비</t>
    <phoneticPr fontId="15" type="noConversion"/>
  </si>
  <si>
    <t>벌</t>
    <phoneticPr fontId="15" type="noConversion"/>
  </si>
  <si>
    <t>피복비</t>
    <phoneticPr fontId="15" type="noConversion"/>
  </si>
  <si>
    <t xml:space="preserve">어린이자문단 운영 </t>
    <phoneticPr fontId="15" type="noConversion"/>
  </si>
  <si>
    <t xml:space="preserve">  1. 프로그램운영재료</t>
    <phoneticPr fontId="15" type="noConversion"/>
  </si>
  <si>
    <t xml:space="preserve">  2. 어린이자문단 단체 티셔츠 및 모자(어린이, 인솔자)</t>
    <phoneticPr fontId="15" type="noConversion"/>
  </si>
  <si>
    <t xml:space="preserve">자료구입비 </t>
    <phoneticPr fontId="15" type="noConversion"/>
  </si>
  <si>
    <t>권</t>
    <phoneticPr fontId="15" type="noConversion"/>
  </si>
  <si>
    <t xml:space="preserve">  1. 주강사</t>
    <phoneticPr fontId="15" type="noConversion"/>
  </si>
  <si>
    <t xml:space="preserve">  2. 보조강사</t>
    <phoneticPr fontId="15" type="noConversion"/>
  </si>
  <si>
    <t xml:space="preserve">  1. 자문단발대식홍보현수막</t>
    <phoneticPr fontId="15" type="noConversion"/>
  </si>
  <si>
    <t xml:space="preserve">  2. 발대식 및 프로그램 운영</t>
    <phoneticPr fontId="15" type="noConversion"/>
  </si>
  <si>
    <t xml:space="preserve">  3. 식음료</t>
    <phoneticPr fontId="15" type="noConversion"/>
  </si>
  <si>
    <t xml:space="preserve">   2. 전신전화요금</t>
    <phoneticPr fontId="15" type="noConversion"/>
  </si>
  <si>
    <t>식</t>
    <phoneticPr fontId="21" type="noConversion"/>
  </si>
  <si>
    <t>유지관리비</t>
    <phoneticPr fontId="21" type="noConversion"/>
  </si>
  <si>
    <t>연합계</t>
    <phoneticPr fontId="15" type="noConversion"/>
  </si>
  <si>
    <t>월평균액</t>
    <phoneticPr fontId="15" type="noConversion"/>
  </si>
  <si>
    <t>광고선전비</t>
    <phoneticPr fontId="15" type="noConversion"/>
  </si>
  <si>
    <t>재료비</t>
    <phoneticPr fontId="15" type="noConversion"/>
  </si>
  <si>
    <t>12</t>
    <phoneticPr fontId="15" type="noConversion"/>
  </si>
  <si>
    <t>컷</t>
    <phoneticPr fontId="15" type="noConversion"/>
  </si>
  <si>
    <t>교육프로그램 운영</t>
    <phoneticPr fontId="15" type="noConversion"/>
  </si>
  <si>
    <t xml:space="preserve"> o 강사비</t>
    <phoneticPr fontId="15" type="noConversion"/>
  </si>
  <si>
    <t xml:space="preserve"> o 국내출장비</t>
    <phoneticPr fontId="15" type="noConversion"/>
  </si>
  <si>
    <t>통신비</t>
    <phoneticPr fontId="15" type="noConversion"/>
  </si>
  <si>
    <t xml:space="preserve">   2. 교육전 설치 및 제작</t>
    <phoneticPr fontId="15" type="noConversion"/>
  </si>
  <si>
    <t xml:space="preserve">   4. 홍보책자 및 도록 디자인비</t>
    <phoneticPr fontId="15" type="noConversion"/>
  </si>
  <si>
    <t>경기도미술관</t>
    <phoneticPr fontId="15" type="noConversion"/>
  </si>
  <si>
    <t>복리후생비</t>
    <phoneticPr fontId="15" type="noConversion"/>
  </si>
  <si>
    <t xml:space="preserve"> o 국내여비</t>
    <phoneticPr fontId="15" type="noConversion"/>
  </si>
  <si>
    <t>편의시설운영</t>
    <phoneticPr fontId="15" type="noConversion"/>
  </si>
  <si>
    <t>아트샵운영</t>
    <phoneticPr fontId="15" type="noConversion"/>
  </si>
  <si>
    <t xml:space="preserve"> o 판매원(4대보험포함)</t>
    <phoneticPr fontId="15" type="noConversion"/>
  </si>
  <si>
    <t xml:space="preserve"> o 포스임차비등</t>
    <phoneticPr fontId="15" type="noConversion"/>
  </si>
  <si>
    <t xml:space="preserve"> o 아트상품저작권료등</t>
    <phoneticPr fontId="15" type="noConversion"/>
  </si>
  <si>
    <t xml:space="preserve"> o 우편료등 통신비</t>
    <phoneticPr fontId="15" type="noConversion"/>
  </si>
  <si>
    <t xml:space="preserve"> o 회의,자문비등</t>
    <phoneticPr fontId="15" type="noConversion"/>
  </si>
  <si>
    <t>과      목</t>
    <phoneticPr fontId="15" type="noConversion"/>
  </si>
  <si>
    <t>문화예술본부</t>
    <phoneticPr fontId="15" type="noConversion"/>
  </si>
  <si>
    <t>문화예술 네트워크 확산</t>
    <phoneticPr fontId="15" type="noConversion"/>
  </si>
  <si>
    <t>여비교통비</t>
    <phoneticPr fontId="15" type="noConversion"/>
  </si>
  <si>
    <t>명*</t>
    <phoneticPr fontId="15" type="noConversion"/>
  </si>
  <si>
    <t>원 *</t>
    <phoneticPr fontId="15" type="noConversion"/>
  </si>
  <si>
    <t>지급수수료</t>
    <phoneticPr fontId="15" type="noConversion"/>
  </si>
  <si>
    <t>지원비</t>
    <phoneticPr fontId="15" type="noConversion"/>
  </si>
  <si>
    <t>문화정책 기획발굴</t>
    <phoneticPr fontId="15" type="noConversion"/>
  </si>
  <si>
    <t>소모품비</t>
    <phoneticPr fontId="15" type="noConversion"/>
  </si>
  <si>
    <t xml:space="preserve"> o 현장모니터링 및 답사 등</t>
    <phoneticPr fontId="15" type="noConversion"/>
  </si>
  <si>
    <t>유지관리비</t>
    <phoneticPr fontId="15" type="noConversion"/>
  </si>
  <si>
    <t xml:space="preserve"> o 사무기기 및 차량임차</t>
    <phoneticPr fontId="15" type="noConversion"/>
  </si>
  <si>
    <t>회</t>
    <phoneticPr fontId="21" type="noConversion"/>
  </si>
  <si>
    <t xml:space="preserve"> o 언론 홍보 등</t>
    <phoneticPr fontId="14" type="noConversion"/>
  </si>
  <si>
    <t>홍보물구입비</t>
    <phoneticPr fontId="15" type="noConversion"/>
  </si>
  <si>
    <t>개</t>
    <phoneticPr fontId="15" type="noConversion"/>
  </si>
  <si>
    <t>회의운영비</t>
    <phoneticPr fontId="15" type="noConversion"/>
  </si>
  <si>
    <t>행사운영비</t>
    <phoneticPr fontId="15" type="noConversion"/>
  </si>
  <si>
    <t xml:space="preserve"> o 운영회의 개최 등</t>
    <phoneticPr fontId="15" type="noConversion"/>
  </si>
  <si>
    <t>사회적약자 문화향유 확대 연구</t>
    <phoneticPr fontId="15" type="noConversion"/>
  </si>
  <si>
    <t>북부문화사업단</t>
    <phoneticPr fontId="15" type="noConversion"/>
  </si>
  <si>
    <t>북부문화사업단 운영</t>
    <phoneticPr fontId="15" type="noConversion"/>
  </si>
  <si>
    <t>시/군 협력사업</t>
    <phoneticPr fontId="15" type="noConversion"/>
  </si>
  <si>
    <t xml:space="preserve"> o 북부 10개 시/군 협력 지원</t>
    <phoneticPr fontId="15" type="noConversion"/>
  </si>
  <si>
    <t>경기북부문화일자리창출 및 창업지원</t>
    <phoneticPr fontId="27" type="noConversion"/>
  </si>
  <si>
    <t xml:space="preserve"> o 행사용 물품(현수막 등) 구입</t>
    <phoneticPr fontId="15" type="noConversion"/>
  </si>
  <si>
    <t>통신비</t>
    <phoneticPr fontId="21" type="noConversion"/>
  </si>
  <si>
    <t xml:space="preserve"> o 우편발송 및 SMS 구입 등</t>
    <phoneticPr fontId="15" type="noConversion"/>
  </si>
  <si>
    <t>인건비</t>
    <phoneticPr fontId="27" type="noConversion"/>
  </si>
  <si>
    <t xml:space="preserve">   3. 계약직 퇴직급여</t>
    <phoneticPr fontId="21" type="noConversion"/>
  </si>
  <si>
    <t xml:space="preserve">   4. 계약직 4대보험료</t>
    <phoneticPr fontId="21" type="noConversion"/>
  </si>
  <si>
    <t>%</t>
    <phoneticPr fontId="21" type="noConversion"/>
  </si>
  <si>
    <t xml:space="preserve">   1. 지원사업 심의</t>
    <phoneticPr fontId="15" type="noConversion"/>
  </si>
  <si>
    <t xml:space="preserve">   2. 지역예술가(단체) 의견수렴 및 전문가 자문</t>
    <phoneticPr fontId="15" type="noConversion"/>
  </si>
  <si>
    <t xml:space="preserve"> o 국내여비</t>
    <phoneticPr fontId="15" type="noConversion"/>
  </si>
  <si>
    <t>경기북부 전통문화 활성화 사업</t>
    <phoneticPr fontId="15" type="noConversion"/>
  </si>
  <si>
    <t>전통문화 활성화 발굴 지원</t>
    <phoneticPr fontId="15" type="noConversion"/>
  </si>
  <si>
    <t xml:space="preserve"> o 전통문화 활성화 발굴 지원</t>
    <phoneticPr fontId="15" type="noConversion"/>
  </si>
  <si>
    <t>인건비</t>
    <phoneticPr fontId="15" type="noConversion"/>
  </si>
  <si>
    <t xml:space="preserve"> o 심의, 의견수렴, 자문회의 등</t>
    <phoneticPr fontId="15" type="noConversion"/>
  </si>
  <si>
    <t>전통문화 창작활동 지원</t>
    <phoneticPr fontId="15" type="noConversion"/>
  </si>
  <si>
    <t xml:space="preserve"> o 업무추진회의 </t>
    <phoneticPr fontId="15" type="noConversion"/>
  </si>
  <si>
    <t>이슈발굴 및 기획협력 사업</t>
    <phoneticPr fontId="15" type="noConversion"/>
  </si>
  <si>
    <t>문화예술 기획발굴</t>
    <phoneticPr fontId="15" type="noConversion"/>
  </si>
  <si>
    <t xml:space="preserve"> o 사무소모품 구입</t>
    <phoneticPr fontId="15" type="noConversion"/>
  </si>
  <si>
    <t>지역문화예술활성화</t>
    <phoneticPr fontId="15" type="noConversion"/>
  </si>
  <si>
    <t>월</t>
    <phoneticPr fontId="21" type="noConversion"/>
  </si>
  <si>
    <t xml:space="preserve">   5. 연월차 수당</t>
    <phoneticPr fontId="21" type="noConversion"/>
  </si>
  <si>
    <t>일</t>
    <phoneticPr fontId="21" type="noConversion"/>
  </si>
  <si>
    <t>도서인쇄비</t>
    <phoneticPr fontId="15" type="noConversion"/>
  </si>
  <si>
    <t xml:space="preserve"> o 사무용 가구 및 전산기기 구매</t>
    <phoneticPr fontId="15" type="noConversion"/>
  </si>
  <si>
    <t>예술단체 공모지원</t>
    <phoneticPr fontId="15" type="noConversion"/>
  </si>
  <si>
    <t xml:space="preserve"> o 북부지역 예술활동 지원</t>
    <phoneticPr fontId="15" type="noConversion"/>
  </si>
  <si>
    <t xml:space="preserve"> o 공모지원 사업 안내책자 등 발간</t>
    <phoneticPr fontId="15" type="noConversion"/>
  </si>
  <si>
    <t>경기북부 네트워크 구축</t>
    <phoneticPr fontId="15" type="noConversion"/>
  </si>
  <si>
    <t xml:space="preserve"> o 북부문화사업단 홍보물(리플렛 등) 제작</t>
    <phoneticPr fontId="15" type="noConversion"/>
  </si>
  <si>
    <t xml:space="preserve"> o 홈페이지 자료 업로드</t>
    <phoneticPr fontId="15" type="noConversion"/>
  </si>
  <si>
    <t xml:space="preserve"> o 지역예술가(단체) 의견수렴 및 전문가 자문</t>
    <phoneticPr fontId="15" type="noConversion"/>
  </si>
  <si>
    <t xml:space="preserve"> o 홍보용 봉투(대,소) 제작</t>
    <phoneticPr fontId="15" type="noConversion"/>
  </si>
  <si>
    <t xml:space="preserve"> o 기자간담회 등</t>
    <phoneticPr fontId="15" type="noConversion"/>
  </si>
  <si>
    <t>석좌교수 운영</t>
    <phoneticPr fontId="15" type="noConversion"/>
  </si>
  <si>
    <t>남한산성세계유산센터</t>
    <phoneticPr fontId="15" type="noConversion"/>
  </si>
  <si>
    <t xml:space="preserve"> 기본재산 예치금 이자수입</t>
    <phoneticPr fontId="15" type="noConversion"/>
  </si>
  <si>
    <t>)</t>
    <phoneticPr fontId="15" type="noConversion"/>
  </si>
  <si>
    <t>자치단체 출연금</t>
    <phoneticPr fontId="15" type="noConversion"/>
  </si>
  <si>
    <t>지원금</t>
    <phoneticPr fontId="15" type="noConversion"/>
  </si>
  <si>
    <t>편의시설 운영 수입</t>
    <phoneticPr fontId="15" type="noConversion"/>
  </si>
  <si>
    <t>입장료수입</t>
    <phoneticPr fontId="15" type="noConversion"/>
  </si>
  <si>
    <t xml:space="preserve">  소   계</t>
    <phoneticPr fontId="15" type="noConversion"/>
  </si>
  <si>
    <t>운영자금운용수입</t>
    <phoneticPr fontId="15" type="noConversion"/>
  </si>
  <si>
    <t xml:space="preserve">   운영자금 이자수입</t>
    <phoneticPr fontId="15" type="noConversion"/>
  </si>
  <si>
    <t>건물임대수입</t>
    <phoneticPr fontId="15" type="noConversion"/>
  </si>
  <si>
    <t>소  계</t>
    <phoneticPr fontId="15" type="noConversion"/>
  </si>
  <si>
    <t xml:space="preserve">  - 재단사옥 임대수입</t>
    <phoneticPr fontId="15" type="noConversion"/>
  </si>
  <si>
    <t>입주업체관리비수입</t>
    <phoneticPr fontId="15" type="noConversion"/>
  </si>
  <si>
    <t>법인세 환급금</t>
    <phoneticPr fontId="15" type="noConversion"/>
  </si>
  <si>
    <t>유료주차장 수입</t>
    <phoneticPr fontId="15" type="noConversion"/>
  </si>
  <si>
    <t>기부금</t>
    <phoneticPr fontId="15" type="noConversion"/>
  </si>
  <si>
    <t xml:space="preserve"> o 경영평가 보고서 제작</t>
    <phoneticPr fontId="14" type="noConversion"/>
  </si>
  <si>
    <t xml:space="preserve"> o 평가심사용 노트북 임차</t>
    <phoneticPr fontId="14" type="noConversion"/>
  </si>
  <si>
    <t>경기아트플랫폼운영</t>
    <phoneticPr fontId="15" type="noConversion"/>
  </si>
  <si>
    <t xml:space="preserve">   3. 백남준아트센터(전시장 암막블라인드, LED간판, 2층전시장바닥교체)</t>
    <phoneticPr fontId="15" type="noConversion"/>
  </si>
  <si>
    <t xml:space="preserve">   2. 경기도박물관(청정소화약제,화재수신기 및 유도등, 수변전특고압설비, 자동제어)</t>
    <phoneticPr fontId="15" type="noConversion"/>
  </si>
  <si>
    <t xml:space="preserve">   3. 주차장 사인물 정비 및 간판 추가설치</t>
    <phoneticPr fontId="15" type="noConversion"/>
  </si>
  <si>
    <t xml:space="preserve">   1. 역량강화워크숍</t>
  </si>
  <si>
    <t xml:space="preserve">   2. 프로그램 개발 워크숍</t>
  </si>
  <si>
    <t xml:space="preserve">   2. 역량강화워크숍 회의</t>
  </si>
  <si>
    <t xml:space="preserve"> o 전시공간 공사, 사인물시공</t>
  </si>
  <si>
    <t xml:space="preserve"> o 전시운영비품</t>
  </si>
  <si>
    <t xml:space="preserve"> o 협력 간담회</t>
  </si>
  <si>
    <t>실학연수원 건립을 위한 교육체험프로그램 개발 용역</t>
  </si>
  <si>
    <t xml:space="preserve">   3. 프로그램 개발 워크숍</t>
  </si>
  <si>
    <t xml:space="preserve">   1. 보건교사</t>
    <phoneticPr fontId="15" type="noConversion"/>
  </si>
  <si>
    <t xml:space="preserve">   2. 보건교사 휴일대체근무 인력</t>
    <phoneticPr fontId="15" type="noConversion"/>
  </si>
  <si>
    <t>2016 창작레지던시 어드바이징 프로그램 운영 지속(-2017.02)
및 퀀텀점프 도록 제작을 위한 번역료 지급(2017.02)</t>
  </si>
  <si>
    <t>전시 및 오픈스튜디오</t>
  </si>
  <si>
    <t>스튜디오 레지던시</t>
  </si>
  <si>
    <t>제부도 명소화 문화재생 사업 통합브랜드 설치 공사 완료 및 제부도 아트프로젝트 아트파크 조성 사업 추진</t>
  </si>
  <si>
    <t>제부도명소화문화재생</t>
  </si>
  <si>
    <t>언론연계 기획발굴</t>
    <phoneticPr fontId="15" type="noConversion"/>
  </si>
  <si>
    <t xml:space="preserve"> o 언론사 연계 문화예술 및 지역문화 발굴 홍보사업</t>
    <phoneticPr fontId="15" type="noConversion"/>
  </si>
  <si>
    <t>복리후생비(급여)</t>
    <phoneticPr fontId="15" type="noConversion"/>
  </si>
  <si>
    <t xml:space="preserve"> o 강사료</t>
    <phoneticPr fontId="15" type="noConversion"/>
  </si>
  <si>
    <t xml:space="preserve"> o 교육용품</t>
    <phoneticPr fontId="15" type="noConversion"/>
  </si>
  <si>
    <t xml:space="preserve"> o 카메라 등 임차</t>
    <phoneticPr fontId="14" type="noConversion"/>
  </si>
  <si>
    <t xml:space="preserve">   1. 프로젝트계약직 단체보장보험 운영</t>
    <phoneticPr fontId="15" type="noConversion"/>
  </si>
  <si>
    <t xml:space="preserve">  1. 사무용 PC 및 집기류 등</t>
    <phoneticPr fontId="15" type="noConversion"/>
  </si>
  <si>
    <t xml:space="preserve">  2. SW 구매 등</t>
    <phoneticPr fontId="15" type="noConversion"/>
  </si>
  <si>
    <t>소장품 수집 및 관리</t>
    <phoneticPr fontId="15" type="noConversion"/>
  </si>
  <si>
    <t>소장품 수집 및 관리</t>
    <phoneticPr fontId="14" type="noConversion"/>
  </si>
  <si>
    <t>체험프로그램 운영</t>
    <phoneticPr fontId="15" type="noConversion"/>
  </si>
  <si>
    <t>ㅇ 재단 예비비</t>
    <phoneticPr fontId="15" type="noConversion"/>
  </si>
  <si>
    <t>정책실</t>
    <phoneticPr fontId="15" type="noConversion"/>
  </si>
  <si>
    <t>정책실 사업비</t>
    <phoneticPr fontId="15" type="noConversion"/>
  </si>
  <si>
    <t>기획조정팀 사업비</t>
    <phoneticPr fontId="15" type="noConversion"/>
  </si>
  <si>
    <t>미디어마케팅팀 사업비</t>
    <phoneticPr fontId="15" type="noConversion"/>
  </si>
  <si>
    <t>문예진흥팀 사업비</t>
    <phoneticPr fontId="15" type="noConversion"/>
  </si>
  <si>
    <t>지역문화팀 사업비</t>
    <phoneticPr fontId="15" type="noConversion"/>
  </si>
  <si>
    <t>문화사업팀 사업비</t>
    <phoneticPr fontId="15" type="noConversion"/>
  </si>
  <si>
    <t>본부/기관</t>
    <phoneticPr fontId="15" type="noConversion"/>
  </si>
  <si>
    <t>경기문화재
연구원</t>
    <phoneticPr fontId="15" type="noConversion"/>
  </si>
  <si>
    <t>경기도
박물관</t>
    <phoneticPr fontId="15" type="noConversion"/>
  </si>
  <si>
    <t>경기도
미술관</t>
    <phoneticPr fontId="15" type="noConversion"/>
  </si>
  <si>
    <t>백남준
아트센터</t>
    <phoneticPr fontId="15" type="noConversion"/>
  </si>
  <si>
    <t>실학
박물관</t>
    <phoneticPr fontId="15" type="noConversion"/>
  </si>
  <si>
    <t>전곡선사
박물관</t>
    <phoneticPr fontId="15" type="noConversion"/>
  </si>
  <si>
    <t>경기도
어린이
박물관</t>
    <phoneticPr fontId="15" type="noConversion"/>
  </si>
  <si>
    <t>소    계</t>
    <phoneticPr fontId="15" type="noConversion"/>
  </si>
  <si>
    <t>미디어마케팅팀</t>
    <phoneticPr fontId="15" type="noConversion"/>
  </si>
  <si>
    <t>문예진흥팀</t>
    <phoneticPr fontId="15" type="noConversion"/>
  </si>
  <si>
    <t>문화사업팀</t>
    <phoneticPr fontId="15" type="noConversion"/>
  </si>
  <si>
    <t>경기문화재연구원</t>
    <phoneticPr fontId="15" type="noConversion"/>
  </si>
  <si>
    <t>뮤지엄파크 주차시설 정비</t>
    <phoneticPr fontId="15" type="noConversion"/>
  </si>
  <si>
    <t>기획조정팀</t>
    <phoneticPr fontId="15" type="noConversion"/>
  </si>
  <si>
    <t xml:space="preserve">  - 경영본부, 문화예술본부 (사이버도서관, 청년 창작소 운영, 경기학연구센터)</t>
    <phoneticPr fontId="15" type="noConversion"/>
  </si>
  <si>
    <t xml:space="preserve">  - 경기도미술관</t>
    <phoneticPr fontId="15" type="noConversion"/>
  </si>
  <si>
    <t xml:space="preserve">  - 경기도박물관</t>
    <phoneticPr fontId="15" type="noConversion"/>
  </si>
  <si>
    <t xml:space="preserve">  - 백남준아트센터</t>
    <phoneticPr fontId="15" type="noConversion"/>
  </si>
  <si>
    <t xml:space="preserve">  - 실학박물관</t>
    <phoneticPr fontId="15" type="noConversion"/>
  </si>
  <si>
    <t xml:space="preserve">  - 전곡선사박물관</t>
    <phoneticPr fontId="15" type="noConversion"/>
  </si>
  <si>
    <t xml:space="preserve">  - 경기도어린이박물관</t>
    <phoneticPr fontId="15" type="noConversion"/>
  </si>
  <si>
    <t xml:space="preserve">  - 경기도박물관20,000천원, 백남준아트센터 4,000천원, 경기도어린이박물관 6,500천원</t>
    <phoneticPr fontId="15" type="noConversion"/>
  </si>
  <si>
    <t>=</t>
    <phoneticPr fontId="15" type="noConversion"/>
  </si>
  <si>
    <t xml:space="preserve">  - 경기문화재연구원</t>
    <phoneticPr fontId="15" type="noConversion"/>
  </si>
  <si>
    <t xml:space="preserve">  - 경영&amp;문화예술본부</t>
    <phoneticPr fontId="15" type="noConversion"/>
  </si>
  <si>
    <t xml:space="preserve">  - 정책실</t>
    <phoneticPr fontId="15" type="noConversion"/>
  </si>
  <si>
    <t xml:space="preserve">  - 문화예술본부 (문예진흥, 지역문화, 문화사업, 경기학)</t>
    <phoneticPr fontId="15" type="noConversion"/>
  </si>
  <si>
    <t xml:space="preserve"> 경기문화재연구원 학술조사 발굴 및 보존용역 수입</t>
    <phoneticPr fontId="15" type="noConversion"/>
  </si>
  <si>
    <t xml:space="preserve">   2. 팀장</t>
    <phoneticPr fontId="15" type="noConversion"/>
  </si>
  <si>
    <t xml:space="preserve">  2. 창작센터 운영 식음료비</t>
    <phoneticPr fontId="15" type="noConversion"/>
  </si>
  <si>
    <t xml:space="preserve">   2. 각 팀</t>
    <phoneticPr fontId="15" type="noConversion"/>
  </si>
  <si>
    <t>기   정
예산액</t>
    <phoneticPr fontId="15" type="noConversion"/>
  </si>
  <si>
    <t>기정 예산액</t>
  </si>
  <si>
    <t>기정 예산액</t>
    <phoneticPr fontId="15" type="noConversion"/>
  </si>
  <si>
    <t>(단위 : 원)</t>
    <phoneticPr fontId="15" type="noConversion"/>
  </si>
  <si>
    <t>예      산     과     목</t>
    <phoneticPr fontId="15" type="noConversion"/>
  </si>
  <si>
    <t>명시이월내용</t>
    <phoneticPr fontId="15" type="noConversion"/>
  </si>
  <si>
    <t>2016년
예산액</t>
    <phoneticPr fontId="15" type="noConversion"/>
  </si>
  <si>
    <t>2017년
이월액
(당초)</t>
    <phoneticPr fontId="15" type="noConversion"/>
  </si>
  <si>
    <t>2017년
이월액
(결산)</t>
    <phoneticPr fontId="15" type="noConversion"/>
  </si>
  <si>
    <t>사   유</t>
    <phoneticPr fontId="15" type="noConversion"/>
  </si>
  <si>
    <t>비고</t>
    <phoneticPr fontId="15" type="noConversion"/>
  </si>
  <si>
    <t>총 합 계</t>
    <phoneticPr fontId="15" type="noConversion"/>
  </si>
  <si>
    <t>경 영 본 부   합 계</t>
    <phoneticPr fontId="15" type="noConversion"/>
  </si>
  <si>
    <t>경영
본부</t>
    <phoneticPr fontId="15" type="noConversion"/>
  </si>
  <si>
    <t>경영
전략실</t>
    <phoneticPr fontId="15" type="noConversion"/>
  </si>
  <si>
    <t>경영전략실 소계</t>
    <phoneticPr fontId="15" type="noConversion"/>
  </si>
  <si>
    <t>문화이음모금사업</t>
    <phoneticPr fontId="15" type="noConversion"/>
  </si>
  <si>
    <t>문화이음사업</t>
    <phoneticPr fontId="15" type="noConversion"/>
  </si>
  <si>
    <t>기부자를 위한 월간 문화소식지 추가 제작 
(2017년 1월, 2월호)</t>
    <phoneticPr fontId="15" type="noConversion"/>
  </si>
  <si>
    <t>정책
기획팀</t>
    <phoneticPr fontId="15" type="noConversion"/>
  </si>
  <si>
    <t>정책기획팀 소계</t>
    <phoneticPr fontId="15" type="noConversion"/>
  </si>
  <si>
    <t>지급용역료</t>
    <phoneticPr fontId="15" type="noConversion"/>
  </si>
  <si>
    <t>내부성과평가 용역비 지출</t>
    <phoneticPr fontId="15" type="noConversion"/>
  </si>
  <si>
    <t>o 내부성과평가 용역비 지출
 - 용역기간 : 2016년 12월 ~ 2017년 2월
 - 내역 : 지급용역료 10,000천원</t>
    <phoneticPr fontId="15" type="noConversion"/>
  </si>
  <si>
    <t>경영
지원팀</t>
    <phoneticPr fontId="15" type="noConversion"/>
  </si>
  <si>
    <t>경영지원팀 소계</t>
    <phoneticPr fontId="15" type="noConversion"/>
  </si>
  <si>
    <t>정보 및 시설기능 개선</t>
    <phoneticPr fontId="15" type="noConversion"/>
  </si>
  <si>
    <t>문화예술확산 기반조성</t>
    <phoneticPr fontId="15" type="noConversion"/>
  </si>
  <si>
    <t>재단 로비 공사 설계 이후 공사비용</t>
    <phoneticPr fontId="15" type="noConversion"/>
  </si>
  <si>
    <t>o 재단 로비공사 설계 이후 공사공정 소요기간에 따른 명시이월
 - 용역기간 : 2016년 12월 ~ 2017년 1월
 - 내역 : 지급용역료 50,000천원</t>
    <phoneticPr fontId="15" type="noConversion"/>
  </si>
  <si>
    <t>문 화 예 술 본 부   합 계</t>
    <phoneticPr fontId="15" type="noConversion"/>
  </si>
  <si>
    <t>문화
예술
본부</t>
    <phoneticPr fontId="15" type="noConversion"/>
  </si>
  <si>
    <t>문예
진흥실</t>
    <phoneticPr fontId="15" type="noConversion"/>
  </si>
  <si>
    <t>문예진흥실 소계</t>
    <phoneticPr fontId="15" type="noConversion"/>
  </si>
  <si>
    <t>이슈발굴 및
기획협력 사업</t>
    <phoneticPr fontId="15" type="noConversion"/>
  </si>
  <si>
    <t>의회편성 지원사업</t>
    <phoneticPr fontId="15" type="noConversion"/>
  </si>
  <si>
    <t>의회편성 지원사업 정산을 위한 사업비 연장</t>
    <phoneticPr fontId="15" type="noConversion"/>
  </si>
  <si>
    <t>o 의회편성 지원사업 연장으로 인한 명시이월 
 - 사유 : 사업정산처리
 - 내역 : 인건비 20,000천원, 여비교통비 2,000천원, 유지관리비 8,000천원, 지급용역료 90,000천원,
            지급임차료 11,900천원, 회의운영비 9,000천원</t>
    <phoneticPr fontId="15" type="noConversion"/>
  </si>
  <si>
    <t>문화예술교육
활성화 사업</t>
    <phoneticPr fontId="15" type="noConversion"/>
  </si>
  <si>
    <t>교육지원센터 운영</t>
    <phoneticPr fontId="15" type="noConversion"/>
  </si>
  <si>
    <t>사업 결과 자료집 제작</t>
    <phoneticPr fontId="15" type="noConversion"/>
  </si>
  <si>
    <t>꿈다락토요문화학교</t>
    <phoneticPr fontId="15" type="noConversion"/>
  </si>
  <si>
    <t>문화누리</t>
    <phoneticPr fontId="15" type="noConversion"/>
  </si>
  <si>
    <t>문화누리카드사업</t>
    <phoneticPr fontId="15" type="noConversion"/>
  </si>
  <si>
    <t>인생나눔교실</t>
    <phoneticPr fontId="15" type="noConversion"/>
  </si>
  <si>
    <t>보조금</t>
    <phoneticPr fontId="15" type="noConversion"/>
  </si>
  <si>
    <t>전곡선사박물관</t>
    <phoneticPr fontId="15" type="noConversion"/>
  </si>
  <si>
    <t xml:space="preserve">   2. 각 팀</t>
    <phoneticPr fontId="14" type="noConversion"/>
  </si>
  <si>
    <t xml:space="preserve">   3. 원격지 보조금</t>
    <phoneticPr fontId="15" type="noConversion"/>
  </si>
  <si>
    <t xml:space="preserve">   2. 원격지 보조금</t>
    <phoneticPr fontId="15" type="noConversion"/>
  </si>
  <si>
    <t>복리후생비(경비)</t>
    <phoneticPr fontId="15" type="noConversion"/>
  </si>
  <si>
    <t xml:space="preserve">   4. 직원숙소 월 임차료</t>
    <phoneticPr fontId="15" type="noConversion"/>
  </si>
  <si>
    <t>개소*</t>
    <phoneticPr fontId="14" type="noConversion"/>
  </si>
  <si>
    <t xml:space="preserve">   5. 직원숙소 보증금</t>
    <phoneticPr fontId="15" type="noConversion"/>
  </si>
  <si>
    <t xml:space="preserve"> o 경기도문화재단협의회 자료집 발간</t>
    <phoneticPr fontId="15" type="noConversion"/>
  </si>
  <si>
    <t xml:space="preserve"> o 광역문화재단연합회 회원 가입</t>
    <phoneticPr fontId="15" type="noConversion"/>
  </si>
  <si>
    <t>여비교통비</t>
    <phoneticPr fontId="14" type="noConversion"/>
  </si>
  <si>
    <t xml:space="preserve"> o 경기도문화재단협의회 역량강화 연수</t>
    <phoneticPr fontId="15" type="noConversion"/>
  </si>
  <si>
    <t>문화재단 협의체 운영</t>
    <phoneticPr fontId="15" type="noConversion"/>
  </si>
  <si>
    <t>위원회운영</t>
    <phoneticPr fontId="15" type="noConversion"/>
  </si>
  <si>
    <t>정책위원회 운영</t>
    <phoneticPr fontId="15" type="noConversion"/>
  </si>
  <si>
    <t xml:space="preserve"> o 정책자료집 발간</t>
    <phoneticPr fontId="15" type="noConversion"/>
  </si>
  <si>
    <t xml:space="preserve"> o 사무소모품구입</t>
    <phoneticPr fontId="15" type="noConversion"/>
  </si>
  <si>
    <t xml:space="preserve"> o 국제협력활성화</t>
    <phoneticPr fontId="15" type="noConversion"/>
  </si>
  <si>
    <t xml:space="preserve"> o 정책위원회 운영</t>
    <phoneticPr fontId="15" type="noConversion"/>
  </si>
  <si>
    <t>인사팀</t>
    <phoneticPr fontId="15" type="noConversion"/>
  </si>
  <si>
    <t>직원 역량강화 프로그램 운영</t>
    <phoneticPr fontId="15" type="noConversion"/>
  </si>
  <si>
    <t>임직원 직무교육 개발 및 운영</t>
    <phoneticPr fontId="15" type="noConversion"/>
  </si>
  <si>
    <t>GGCF YOUNG 정책탐사단 운영</t>
    <phoneticPr fontId="15" type="noConversion"/>
  </si>
  <si>
    <t xml:space="preserve"> o 견학참가인원</t>
    <phoneticPr fontId="15" type="noConversion"/>
  </si>
  <si>
    <t>임금피크제 프로그램 운영</t>
    <phoneticPr fontId="15" type="noConversion"/>
  </si>
  <si>
    <t xml:space="preserve"> o 대상인원 해외연수 지원</t>
    <phoneticPr fontId="15" type="noConversion"/>
  </si>
  <si>
    <t>조직문화활성화</t>
    <phoneticPr fontId="15" type="noConversion"/>
  </si>
  <si>
    <t>임금피크제 대상자 직무개발</t>
    <phoneticPr fontId="15" type="noConversion"/>
  </si>
  <si>
    <t xml:space="preserve"> o 법무 및 노무 법인 직무개발 용역</t>
    <phoneticPr fontId="15" type="noConversion"/>
  </si>
  <si>
    <t>조직문화활성화 프로그램 운영</t>
    <phoneticPr fontId="20" type="noConversion"/>
  </si>
  <si>
    <t>재단 시설개선</t>
    <phoneticPr fontId="15" type="noConversion"/>
  </si>
  <si>
    <t>노후시설 개선</t>
    <phoneticPr fontId="15" type="noConversion"/>
  </si>
  <si>
    <t xml:space="preserve"> o 냉온수기 및 냉각탑 교체</t>
    <phoneticPr fontId="15" type="noConversion"/>
  </si>
  <si>
    <t>문화마케팅</t>
    <phoneticPr fontId="15" type="noConversion"/>
  </si>
  <si>
    <t>문화예술체험</t>
    <phoneticPr fontId="15" type="noConversion"/>
  </si>
  <si>
    <t>사이버홍보</t>
    <phoneticPr fontId="15" type="noConversion"/>
  </si>
  <si>
    <t>통합사이트 및 온라인 운영</t>
    <phoneticPr fontId="15" type="noConversion"/>
  </si>
  <si>
    <t>문화예술 언론연계</t>
    <phoneticPr fontId="15" type="noConversion"/>
  </si>
  <si>
    <t>통일염원 다문화 안보축제</t>
    <phoneticPr fontId="15" type="noConversion"/>
  </si>
  <si>
    <t xml:space="preserve"> o 한반도 평화통일을 위한 안보축제 용역</t>
    <phoneticPr fontId="15" type="noConversion"/>
  </si>
  <si>
    <t>경기국악페스티벌</t>
    <phoneticPr fontId="15" type="noConversion"/>
  </si>
  <si>
    <t xml:space="preserve"> o 경기국악관련 시민문화행사 용역</t>
    <phoneticPr fontId="15" type="noConversion"/>
  </si>
  <si>
    <t>경기도 대표소리를 찾아서</t>
    <phoneticPr fontId="15" type="noConversion"/>
  </si>
  <si>
    <t xml:space="preserve"> o 경기도내 사라져가는 전통민요 등 채록 방송</t>
    <phoneticPr fontId="15" type="noConversion"/>
  </si>
  <si>
    <t>경기천년다큐</t>
    <phoneticPr fontId="15" type="noConversion"/>
  </si>
  <si>
    <t xml:space="preserve"> o 경기천년을 맞이한 다큐멘터리 제작 방영</t>
    <phoneticPr fontId="15" type="noConversion"/>
  </si>
  <si>
    <t>박물관이살아있다</t>
    <phoneticPr fontId="15" type="noConversion"/>
  </si>
  <si>
    <t xml:space="preserve"> o 에코뮤지엄 등 생태문화 뮤지엄 구축</t>
    <phoneticPr fontId="15" type="noConversion"/>
  </si>
  <si>
    <t>인문학콘서트</t>
    <phoneticPr fontId="15" type="noConversion"/>
  </si>
  <si>
    <t xml:space="preserve"> o 신개념 오픈 강의 프로그램 운영</t>
    <phoneticPr fontId="15" type="noConversion"/>
  </si>
  <si>
    <t>천년근대문화유산 발굴</t>
    <phoneticPr fontId="15" type="noConversion"/>
  </si>
  <si>
    <t xml:space="preserve"> o 천년근대문화유산 발굴사업 용역</t>
    <phoneticPr fontId="15" type="noConversion"/>
  </si>
  <si>
    <t>경기유라시아프로젝트</t>
    <phoneticPr fontId="15" type="noConversion"/>
  </si>
  <si>
    <t xml:space="preserve"> o 경기유라시아 프로젝트 용역사업</t>
    <phoneticPr fontId="15" type="noConversion"/>
  </si>
  <si>
    <t>울릉도-독도탐방 및 독도포럼</t>
    <phoneticPr fontId="15" type="noConversion"/>
  </si>
  <si>
    <t xml:space="preserve"> o 독도 탐방 및 포럼 개최</t>
    <phoneticPr fontId="15" type="noConversion"/>
  </si>
  <si>
    <t>직장인밴드 락페스티벌</t>
    <phoneticPr fontId="15" type="noConversion"/>
  </si>
  <si>
    <t xml:space="preserve"> o 직장인밴드 락페스티벌 개최</t>
    <phoneticPr fontId="15" type="noConversion"/>
  </si>
  <si>
    <t>문화이음</t>
    <phoneticPr fontId="15" type="noConversion"/>
  </si>
  <si>
    <t xml:space="preserve"> o 소모품 구입 등</t>
    <phoneticPr fontId="15" type="noConversion"/>
  </si>
  <si>
    <t xml:space="preserve"> o 사업진행 보조</t>
    <phoneticPr fontId="15" type="noConversion"/>
  </si>
  <si>
    <t xml:space="preserve"> o 심사비 지급 등</t>
    <phoneticPr fontId="15" type="noConversion"/>
  </si>
  <si>
    <t xml:space="preserve"> o 회의운영 등</t>
    <phoneticPr fontId="15" type="noConversion"/>
  </si>
  <si>
    <t xml:space="preserve"> o 방송,신문,인터넷 등 매체 광고비</t>
    <phoneticPr fontId="15" type="noConversion"/>
  </si>
  <si>
    <t>재단 통합운영</t>
    <phoneticPr fontId="15" type="noConversion"/>
  </si>
  <si>
    <t>문화예술 통합운영</t>
    <phoneticPr fontId="15" type="noConversion"/>
  </si>
  <si>
    <t xml:space="preserve">   6. 작품 설치 및 진행 보조 </t>
    <phoneticPr fontId="21" type="noConversion"/>
  </si>
  <si>
    <t xml:space="preserve"> o 전시, 공연 등 행사 운영 </t>
    <phoneticPr fontId="15" type="noConversion"/>
  </si>
  <si>
    <t xml:space="preserve">   1. 예술단체지원 등</t>
    <phoneticPr fontId="21" type="noConversion"/>
  </si>
  <si>
    <t xml:space="preserve">   2. 문화예술공연 지원 등</t>
    <phoneticPr fontId="21" type="noConversion"/>
  </si>
  <si>
    <t xml:space="preserve">   3. 지역축제 등 문화행사 지원 등</t>
    <phoneticPr fontId="21" type="noConversion"/>
  </si>
  <si>
    <t xml:space="preserve">   4. 학술사업 지원 등</t>
    <phoneticPr fontId="15" type="noConversion"/>
  </si>
  <si>
    <t>지역문화팀</t>
    <phoneticPr fontId="15" type="noConversion"/>
  </si>
  <si>
    <t>생활문화 육성 및 확산</t>
    <phoneticPr fontId="15" type="noConversion"/>
  </si>
  <si>
    <t xml:space="preserve"> o 홍보물 발송</t>
    <phoneticPr fontId="15" type="noConversion"/>
  </si>
  <si>
    <t>지역맞춤형 문화재생모델 개발</t>
    <phoneticPr fontId="15" type="noConversion"/>
  </si>
  <si>
    <t xml:space="preserve">   1. 자료집제작</t>
    <phoneticPr fontId="15" type="noConversion"/>
  </si>
  <si>
    <t xml:space="preserve">   2. 홍보물제작</t>
    <phoneticPr fontId="15" type="noConversion"/>
  </si>
  <si>
    <t>단체*</t>
    <phoneticPr fontId="15" type="noConversion"/>
  </si>
  <si>
    <t xml:space="preserve"> o 워크숍, 결과공유회</t>
    <phoneticPr fontId="15" type="noConversion"/>
  </si>
  <si>
    <t>지역 거점공간 재생</t>
    <phoneticPr fontId="15" type="noConversion"/>
  </si>
  <si>
    <t>창생공간 조성 및 기반구축</t>
    <phoneticPr fontId="15" type="noConversion"/>
  </si>
  <si>
    <t xml:space="preserve">   2. 자문,컨설팅비</t>
    <phoneticPr fontId="15" type="noConversion"/>
  </si>
  <si>
    <t xml:space="preserve"> o 영상촬영,웹페이지 제작</t>
    <phoneticPr fontId="15" type="noConversion"/>
  </si>
  <si>
    <t xml:space="preserve">   3. 쇼케이스(제작문화 워크숍,전시,축제)</t>
    <phoneticPr fontId="15" type="noConversion"/>
  </si>
  <si>
    <t>제경비</t>
    <phoneticPr fontId="27" type="noConversion"/>
  </si>
  <si>
    <t xml:space="preserve">   1. 직원 MT 및 건강검진</t>
    <phoneticPr fontId="21" type="noConversion"/>
  </si>
  <si>
    <t xml:space="preserve">   2. 직원동호회 지원</t>
    <phoneticPr fontId="21" type="noConversion"/>
  </si>
  <si>
    <t>단체*</t>
    <phoneticPr fontId="27" type="noConversion"/>
  </si>
  <si>
    <t>부서운영비</t>
    <phoneticPr fontId="15" type="noConversion"/>
  </si>
  <si>
    <t xml:space="preserve"> o 부서운영비</t>
    <phoneticPr fontId="15" type="noConversion"/>
  </si>
  <si>
    <t>교육훈련비</t>
    <phoneticPr fontId="15" type="noConversion"/>
  </si>
  <si>
    <t xml:space="preserve"> o 직원 외부 직무교육(감사교육 등)</t>
    <phoneticPr fontId="15" type="noConversion"/>
  </si>
  <si>
    <t xml:space="preserve">   1. 사무용기기 복사용지</t>
    <phoneticPr fontId="21" type="noConversion"/>
  </si>
  <si>
    <t>박스*</t>
    <phoneticPr fontId="27" type="noConversion"/>
  </si>
  <si>
    <t xml:space="preserve">   2. 생수대금</t>
    <phoneticPr fontId="21" type="noConversion"/>
  </si>
  <si>
    <t>통*</t>
    <phoneticPr fontId="27" type="noConversion"/>
  </si>
  <si>
    <t xml:space="preserve">   3. 업무용 문구류 등</t>
    <phoneticPr fontId="21" type="noConversion"/>
  </si>
  <si>
    <t>수도광열비</t>
    <phoneticPr fontId="15" type="noConversion"/>
  </si>
  <si>
    <t xml:space="preserve"> o 사무실 전기 수도</t>
    <phoneticPr fontId="15" type="noConversion"/>
  </si>
  <si>
    <t xml:space="preserve">   1. 국내여비</t>
    <phoneticPr fontId="21" type="noConversion"/>
  </si>
  <si>
    <t>회*</t>
    <phoneticPr fontId="27" type="noConversion"/>
  </si>
  <si>
    <t xml:space="preserve">   2. 원격지수당</t>
    <phoneticPr fontId="21" type="noConversion"/>
  </si>
  <si>
    <t xml:space="preserve">   1. 차량유지비</t>
    <phoneticPr fontId="21" type="noConversion"/>
  </si>
  <si>
    <t xml:space="preserve">   2. 사무실유지비 등</t>
    <phoneticPr fontId="21" type="noConversion"/>
  </si>
  <si>
    <t xml:space="preserve">   1. 자문회의 수당 등</t>
    <phoneticPr fontId="21" type="noConversion"/>
  </si>
  <si>
    <t xml:space="preserve">   2. 송금수수료</t>
    <phoneticPr fontId="21" type="noConversion"/>
  </si>
  <si>
    <t>건*</t>
    <phoneticPr fontId="27" type="noConversion"/>
  </si>
  <si>
    <t xml:space="preserve"> o 사무공간 리모델링 등</t>
    <phoneticPr fontId="15" type="noConversion"/>
  </si>
  <si>
    <t xml:space="preserve">   1. 사무실 임차료(관리비 포함)</t>
    <phoneticPr fontId="21" type="noConversion"/>
  </si>
  <si>
    <t xml:space="preserve">   2. 관사 임차료</t>
    <phoneticPr fontId="21" type="noConversion"/>
  </si>
  <si>
    <t xml:space="preserve">   3. 차량 임차료</t>
    <phoneticPr fontId="21" type="noConversion"/>
  </si>
  <si>
    <t>대*</t>
    <phoneticPr fontId="27" type="noConversion"/>
  </si>
  <si>
    <t xml:space="preserve">   4. 복합기 및 냉온풍기 렌탈료</t>
    <phoneticPr fontId="21" type="noConversion"/>
  </si>
  <si>
    <t xml:space="preserve"> o 사업단장</t>
    <phoneticPr fontId="15" type="noConversion"/>
  </si>
  <si>
    <t xml:space="preserve">   1. 우편요금</t>
    <phoneticPr fontId="21" type="noConversion"/>
  </si>
  <si>
    <t xml:space="preserve">   2. 인터넷 회선사용료</t>
    <phoneticPr fontId="21" type="noConversion"/>
  </si>
  <si>
    <t>회선*</t>
    <phoneticPr fontId="27" type="noConversion"/>
  </si>
  <si>
    <t xml:space="preserve"> o 감사 및 자문회의 식음료비</t>
    <phoneticPr fontId="15" type="noConversion"/>
  </si>
  <si>
    <t>문화예술 정책 연구</t>
    <phoneticPr fontId="15" type="noConversion"/>
  </si>
  <si>
    <t xml:space="preserve">   1. 정책연구</t>
    <phoneticPr fontId="15" type="noConversion"/>
  </si>
  <si>
    <t xml:space="preserve">   2. 공모지원사업평가 및 모니터링</t>
    <phoneticPr fontId="15" type="noConversion"/>
  </si>
  <si>
    <t xml:space="preserve"> o 렌탈료(장비 등)</t>
    <phoneticPr fontId="15" type="noConversion"/>
  </si>
  <si>
    <t xml:space="preserve"> o 지역예술간(단체) 의견수렴 및 전문가 자문 </t>
    <phoneticPr fontId="15" type="noConversion"/>
  </si>
  <si>
    <t xml:space="preserve"> o 문화포럼 등</t>
    <phoneticPr fontId="15" type="noConversion"/>
  </si>
  <si>
    <t>환경개선</t>
    <phoneticPr fontId="15" type="noConversion"/>
  </si>
  <si>
    <t xml:space="preserve">   1. 야외공간 및 부속건물 환경 개선</t>
    <phoneticPr fontId="15" type="noConversion"/>
  </si>
  <si>
    <t xml:space="preserve">   2. 운동장 앞 스탠드 부분 보수 등</t>
    <phoneticPr fontId="15" type="noConversion"/>
  </si>
  <si>
    <t xml:space="preserve">   3. 건물 외벽 페인트 도장 보수 등</t>
    <phoneticPr fontId="15" type="noConversion"/>
  </si>
  <si>
    <t xml:space="preserve">   4. 스튜디오 내부 보수 등</t>
    <phoneticPr fontId="15" type="noConversion"/>
  </si>
  <si>
    <t>쾌적한 환경개선</t>
    <phoneticPr fontId="15" type="noConversion"/>
  </si>
  <si>
    <t xml:space="preserve">   1. 문화대학 강사료</t>
    <phoneticPr fontId="15" type="noConversion"/>
  </si>
  <si>
    <t xml:space="preserve">   2. 서지 정보 디지털화 보조관리 수당</t>
    <phoneticPr fontId="15" type="noConversion"/>
  </si>
  <si>
    <t xml:space="preserve">   1. 문화대학 회의 운영</t>
    <phoneticPr fontId="15" type="noConversion"/>
  </si>
  <si>
    <t xml:space="preserve">   2. 지역학협의회 운영</t>
    <phoneticPr fontId="15" type="noConversion"/>
  </si>
  <si>
    <t xml:space="preserve">   1. 문화대학 자료집 인쇄</t>
    <phoneticPr fontId="15" type="noConversion"/>
  </si>
  <si>
    <t>월평균액</t>
    <phoneticPr fontId="15" type="noConversion"/>
  </si>
  <si>
    <t>기증유물 조사연구</t>
    <phoneticPr fontId="15" type="noConversion"/>
  </si>
  <si>
    <t>기관*</t>
    <phoneticPr fontId="15" type="noConversion"/>
  </si>
  <si>
    <t>9</t>
    <phoneticPr fontId="15" type="noConversion"/>
  </si>
  <si>
    <t>실학기행</t>
    <phoneticPr fontId="14" type="noConversion"/>
  </si>
  <si>
    <t>중앙홀 개선 및 시설확충</t>
    <phoneticPr fontId="14" type="noConversion"/>
  </si>
  <si>
    <t>관람환경 개선</t>
    <phoneticPr fontId="15" type="noConversion"/>
  </si>
  <si>
    <t>상설전시 강화</t>
    <phoneticPr fontId="15" type="noConversion"/>
  </si>
  <si>
    <t xml:space="preserve">   1. 소프트웨어 개발비</t>
    <phoneticPr fontId="15" type="noConversion"/>
  </si>
  <si>
    <t xml:space="preserve">   2. 소프트웨어 개발 작가료</t>
    <phoneticPr fontId="15" type="noConversion"/>
  </si>
  <si>
    <t xml:space="preserve">  1. 교육실 음향장비 및 암막 커튼 설치</t>
    <phoneticPr fontId="15" type="noConversion"/>
  </si>
  <si>
    <t xml:space="preserve">  2. 안전보건경영시스템 구축</t>
    <phoneticPr fontId="15" type="noConversion"/>
  </si>
  <si>
    <t>아트샵 운영</t>
    <phoneticPr fontId="15" type="noConversion"/>
  </si>
  <si>
    <t xml:space="preserve"> o 운영 관련 출장비</t>
    <phoneticPr fontId="15" type="noConversion"/>
  </si>
  <si>
    <t>경기도박물관</t>
    <phoneticPr fontId="15" type="noConversion"/>
  </si>
  <si>
    <t>인사팀 사업비</t>
    <phoneticPr fontId="15" type="noConversion"/>
  </si>
  <si>
    <t xml:space="preserve">   2016년 결산 후 잉여금</t>
    <phoneticPr fontId="15" type="noConversion"/>
  </si>
  <si>
    <t>원</t>
    <phoneticPr fontId="15" type="noConversion"/>
  </si>
  <si>
    <t>경기 인문정신 기반구축</t>
    <phoneticPr fontId="15" type="noConversion"/>
  </si>
  <si>
    <t>경기학 조사연구</t>
    <phoneticPr fontId="15" type="noConversion"/>
  </si>
  <si>
    <t>공기관대행사업</t>
    <phoneticPr fontId="15" type="noConversion"/>
  </si>
  <si>
    <t xml:space="preserve"> </t>
    <phoneticPr fontId="15" type="noConversion"/>
  </si>
  <si>
    <t>(단위:천원)</t>
    <phoneticPr fontId="15" type="noConversion"/>
  </si>
  <si>
    <t>도비</t>
    <phoneticPr fontId="15" type="noConversion"/>
  </si>
  <si>
    <t>국비</t>
    <phoneticPr fontId="15" type="noConversion"/>
  </si>
  <si>
    <t>기타</t>
    <phoneticPr fontId="15" type="noConversion"/>
  </si>
  <si>
    <t xml:space="preserve">  - 문화예술본부 지역문화팀 2017 통합문화이용권 사업 (한국문화예술위원회, 경기도, 시군비)</t>
    <phoneticPr fontId="15" type="noConversion"/>
  </si>
  <si>
    <t xml:space="preserve">  - 경영본부 사이버도서관 운영 (경기도)</t>
    <phoneticPr fontId="15" type="noConversion"/>
  </si>
  <si>
    <t xml:space="preserve">  - 문화예술본부 경기학연구센터 경기도 옛길 관리운영 (경기도)</t>
    <phoneticPr fontId="15" type="noConversion"/>
  </si>
  <si>
    <t xml:space="preserve">  - 경기문화재연구원 남한산성 국청사지 발굴조사 (경기도)</t>
    <phoneticPr fontId="15" type="noConversion"/>
  </si>
  <si>
    <t xml:space="preserve">  - 경기문화재연구원 문화재 돌봄사업 (경기도)</t>
    <phoneticPr fontId="15" type="noConversion"/>
  </si>
  <si>
    <t xml:space="preserve">  - 경기문화재연구원 남한산성 지수당 발굴조사 (경기도)</t>
    <phoneticPr fontId="15" type="noConversion"/>
  </si>
  <si>
    <t>문화예술 공모지원사업</t>
    <phoneticPr fontId="15" type="noConversion"/>
  </si>
  <si>
    <t>지역예술활동지원</t>
    <phoneticPr fontId="15" type="noConversion"/>
  </si>
  <si>
    <t>전문예술창작지원</t>
    <phoneticPr fontId="15" type="noConversion"/>
  </si>
  <si>
    <t>단체</t>
    <phoneticPr fontId="15" type="noConversion"/>
  </si>
  <si>
    <t>공연예술단체 지원</t>
    <phoneticPr fontId="15" type="noConversion"/>
  </si>
  <si>
    <t>공연장 상주단체 지원</t>
    <phoneticPr fontId="15" type="noConversion"/>
  </si>
  <si>
    <t>곳</t>
    <phoneticPr fontId="15" type="noConversion"/>
  </si>
  <si>
    <t>문화예술 기획사업</t>
    <phoneticPr fontId="15" type="noConversion"/>
  </si>
  <si>
    <t xml:space="preserve"> o 업무추진비</t>
    <phoneticPr fontId="15" type="noConversion"/>
  </si>
  <si>
    <t xml:space="preserve"> o 출장여비교통비</t>
    <phoneticPr fontId="15" type="noConversion"/>
  </si>
  <si>
    <t xml:space="preserve"> o 결과 자료집 제작</t>
    <phoneticPr fontId="15" type="noConversion"/>
  </si>
  <si>
    <t xml:space="preserve"> o 자문, 사례 연구비 등</t>
    <phoneticPr fontId="15" type="noConversion"/>
  </si>
  <si>
    <t xml:space="preserve"> o 센터 홈페이지 구축 및 운영</t>
    <phoneticPr fontId="15" type="noConversion"/>
  </si>
  <si>
    <t xml:space="preserve">꿈다락 토요문화학교 </t>
    <phoneticPr fontId="15" type="noConversion"/>
  </si>
  <si>
    <t xml:space="preserve"> o 안내책자, 결과자료집 제작 등</t>
    <phoneticPr fontId="15" type="noConversion"/>
  </si>
  <si>
    <t xml:space="preserve"> o 운영 소모품, 기념품 등</t>
    <phoneticPr fontId="15" type="noConversion"/>
  </si>
  <si>
    <t xml:space="preserve"> o 회의 식음료</t>
    <phoneticPr fontId="15" type="noConversion"/>
  </si>
  <si>
    <t>지역특성화 지원사업</t>
    <phoneticPr fontId="15" type="noConversion"/>
  </si>
  <si>
    <t xml:space="preserve"> o 유류비, 주차비 등</t>
    <phoneticPr fontId="15" type="noConversion"/>
  </si>
  <si>
    <t xml:space="preserve"> o 홍보물 제작</t>
    <phoneticPr fontId="15" type="noConversion"/>
  </si>
  <si>
    <t>문화나눔센터 운영</t>
    <phoneticPr fontId="15" type="noConversion"/>
  </si>
  <si>
    <t>소모품</t>
    <phoneticPr fontId="15" type="noConversion"/>
  </si>
  <si>
    <t xml:space="preserve"> o 사무기기 임차</t>
    <phoneticPr fontId="15" type="noConversion"/>
  </si>
  <si>
    <t xml:space="preserve"> o 회의진행</t>
    <phoneticPr fontId="15" type="noConversion"/>
  </si>
  <si>
    <t>반납비</t>
    <phoneticPr fontId="15" type="noConversion"/>
  </si>
  <si>
    <t xml:space="preserve">   1. 기본설계 및 실시설계</t>
    <phoneticPr fontId="15" type="noConversion"/>
  </si>
  <si>
    <t xml:space="preserve">   2. 내부공사(전기, 배관, 배수 등)</t>
    <phoneticPr fontId="15" type="noConversion"/>
  </si>
  <si>
    <t xml:space="preserve">   3. 감리비</t>
    <phoneticPr fontId="15" type="noConversion"/>
  </si>
  <si>
    <t>청년문화 활성화</t>
    <phoneticPr fontId="15" type="noConversion"/>
  </si>
  <si>
    <t xml:space="preserve"> o 운영물품 </t>
    <phoneticPr fontId="15" type="noConversion"/>
  </si>
  <si>
    <t xml:space="preserve"> o 국내 출장</t>
    <phoneticPr fontId="15" type="noConversion"/>
  </si>
  <si>
    <t xml:space="preserve"> o 회의운영비(운영회의, 실무회의, 간담회 포함)</t>
    <phoneticPr fontId="15" type="noConversion"/>
  </si>
  <si>
    <t>통*</t>
    <phoneticPr fontId="15" type="noConversion"/>
  </si>
  <si>
    <t>2016경기학교예술강사지원사업(종료)</t>
  </si>
  <si>
    <t>2016경기학교예술강사지원사업(종료)</t>
    <phoneticPr fontId="15" type="noConversion"/>
  </si>
  <si>
    <t>경기문화예술교육지원센터사업</t>
    <phoneticPr fontId="15" type="noConversion"/>
  </si>
  <si>
    <t>매개자 발굴 및 육성기획사업</t>
    <phoneticPr fontId="15" type="noConversion"/>
  </si>
  <si>
    <t>비평연구 및 교육콘텐츠 강화</t>
    <phoneticPr fontId="15" type="noConversion"/>
  </si>
  <si>
    <t>홍보 및 아카이빙</t>
    <phoneticPr fontId="15" type="noConversion"/>
  </si>
  <si>
    <t>문화예술본부(외부재원)</t>
    <phoneticPr fontId="15" type="noConversion"/>
  </si>
  <si>
    <t>지역특성화 지원사업</t>
  </si>
  <si>
    <t xml:space="preserve">꿈다락 토요문화학교 </t>
  </si>
  <si>
    <t>공간 리모델링</t>
    <phoneticPr fontId="15" type="noConversion"/>
  </si>
  <si>
    <t>교류 및 네트워크</t>
    <phoneticPr fontId="15" type="noConversion"/>
  </si>
  <si>
    <t>플랫폼 운영</t>
    <phoneticPr fontId="15" type="noConversion"/>
  </si>
  <si>
    <t>o 2016년 교육지원센터 사업종료로 인한 잔액 반납
 - 내역 : 반납비 8,972천원</t>
    <phoneticPr fontId="15" type="noConversion"/>
  </si>
  <si>
    <t>경기도미술관(외부재원)</t>
    <phoneticPr fontId="15" type="noConversion"/>
  </si>
  <si>
    <t>미술관 특별사업</t>
    <phoneticPr fontId="15" type="noConversion"/>
  </si>
  <si>
    <t>화성시 전곡항 공공미술</t>
    <phoneticPr fontId="15" type="noConversion"/>
  </si>
  <si>
    <t>재원구분</t>
    <phoneticPr fontId="15" type="noConversion"/>
  </si>
  <si>
    <t>경영본부(외부재원)</t>
    <phoneticPr fontId="15" type="noConversion"/>
  </si>
  <si>
    <t>2017경기도사이버도서관운영</t>
    <phoneticPr fontId="15" type="noConversion"/>
  </si>
  <si>
    <t>관리운영비</t>
    <phoneticPr fontId="15" type="noConversion"/>
  </si>
  <si>
    <t>디지털기반정보서비스확대</t>
    <phoneticPr fontId="15" type="noConversion"/>
  </si>
  <si>
    <t>디지털콘텐츠도입</t>
    <phoneticPr fontId="15" type="noConversion"/>
  </si>
  <si>
    <t>경기도기록물디지털아카이브</t>
    <phoneticPr fontId="15" type="noConversion"/>
  </si>
  <si>
    <t>경기도사이버도서관시스템운영</t>
    <phoneticPr fontId="15" type="noConversion"/>
  </si>
  <si>
    <t>도서관독서문화확산</t>
    <phoneticPr fontId="15" type="noConversion"/>
  </si>
  <si>
    <t>경기도도서관도서택배서비스</t>
    <phoneticPr fontId="15" type="noConversion"/>
  </si>
  <si>
    <t>방학도서관프로그램운영자연수</t>
    <phoneticPr fontId="15" type="noConversion"/>
  </si>
  <si>
    <t>우수도서선정사업</t>
    <phoneticPr fontId="15" type="noConversion"/>
  </si>
  <si>
    <t>도서관독서문화홍보</t>
    <phoneticPr fontId="15" type="noConversion"/>
  </si>
  <si>
    <t>도서관연구조사활동</t>
    <phoneticPr fontId="15" type="noConversion"/>
  </si>
  <si>
    <t>도서관전문가세미나개최</t>
    <phoneticPr fontId="15" type="noConversion"/>
  </si>
  <si>
    <t>2017 경기도 옛길 관리운영</t>
    <phoneticPr fontId="15" type="noConversion"/>
  </si>
  <si>
    <t>경기문화재연구원(외부재원)</t>
    <phoneticPr fontId="15" type="noConversion"/>
  </si>
  <si>
    <t>2017경기도문화재돌봄사업</t>
    <phoneticPr fontId="15" type="noConversion"/>
  </si>
  <si>
    <t>남한산성 국청사지 발굴조사</t>
    <phoneticPr fontId="15" type="noConversion"/>
  </si>
  <si>
    <t>남한산성 지수당 발굴조사</t>
    <phoneticPr fontId="15" type="noConversion"/>
  </si>
  <si>
    <t>지수당 발굴조사</t>
    <phoneticPr fontId="15" type="noConversion"/>
  </si>
  <si>
    <t>국청사지 발굴조사</t>
    <phoneticPr fontId="15" type="noConversion"/>
  </si>
  <si>
    <t xml:space="preserve"> 위탁사업 총계</t>
    <phoneticPr fontId="15" type="noConversion"/>
  </si>
  <si>
    <t xml:space="preserve"> 공기관대행사업/보조금 총계</t>
    <phoneticPr fontId="15" type="noConversion"/>
  </si>
  <si>
    <t xml:space="preserve">ㅇ 재단 반납비 </t>
    <phoneticPr fontId="15" type="noConversion"/>
  </si>
  <si>
    <t>3,751,852,565</t>
    <phoneticPr fontId="15" type="noConversion"/>
  </si>
  <si>
    <t xml:space="preserve">   2. 자문회의 수당</t>
    <phoneticPr fontId="15" type="noConversion"/>
  </si>
  <si>
    <t xml:space="preserve">   3. 파견수당</t>
    <phoneticPr fontId="15" type="noConversion"/>
  </si>
  <si>
    <t xml:space="preserve">   4. 경영평가 성과급</t>
    <phoneticPr fontId="15" type="noConversion"/>
  </si>
  <si>
    <t>청년실험실</t>
    <phoneticPr fontId="15" type="noConversion"/>
  </si>
  <si>
    <t>다사리문화기획학교</t>
    <phoneticPr fontId="15" type="noConversion"/>
  </si>
  <si>
    <t>16</t>
    <phoneticPr fontId="15" type="noConversion"/>
  </si>
  <si>
    <t>서울농생대 문화공간 운영</t>
    <phoneticPr fontId="15" type="noConversion"/>
  </si>
  <si>
    <t>청년문화 활성화</t>
    <phoneticPr fontId="15" type="noConversion"/>
  </si>
  <si>
    <t>미술창고</t>
    <phoneticPr fontId="15" type="noConversion"/>
  </si>
  <si>
    <t>생활문화 활성화</t>
    <phoneticPr fontId="15" type="noConversion"/>
  </si>
  <si>
    <t>포레포레</t>
    <phoneticPr fontId="15" type="noConversion"/>
  </si>
  <si>
    <t>생생공화국</t>
    <phoneticPr fontId="15" type="noConversion"/>
  </si>
  <si>
    <t>공간 운영</t>
    <phoneticPr fontId="15" type="noConversion"/>
  </si>
  <si>
    <t>서울농생대 문화공간 조성</t>
    <phoneticPr fontId="15" type="noConversion"/>
  </si>
  <si>
    <t>관분류</t>
  </si>
  <si>
    <t>관분류</t>
    <phoneticPr fontId="15" type="noConversion"/>
  </si>
  <si>
    <t>사업수입</t>
    <phoneticPr fontId="15" type="noConversion"/>
  </si>
  <si>
    <t>사업외수입</t>
    <phoneticPr fontId="15" type="noConversion"/>
  </si>
  <si>
    <t>대행위탁사업</t>
    <phoneticPr fontId="15" type="noConversion"/>
  </si>
  <si>
    <t>관분류</t>
    <phoneticPr fontId="15" type="noConversion"/>
  </si>
  <si>
    <t>항분류</t>
    <phoneticPr fontId="15" type="noConversion"/>
  </si>
  <si>
    <t>목분류</t>
    <phoneticPr fontId="15" type="noConversion"/>
  </si>
  <si>
    <t>=</t>
    <phoneticPr fontId="15" type="noConversion"/>
  </si>
  <si>
    <t xml:space="preserve">  - 경기도미술관 전곡항 공공미술 프로젝트 (화성시)</t>
    <phoneticPr fontId="15" type="noConversion"/>
  </si>
  <si>
    <t>경기도박물관(외부재원)</t>
    <phoneticPr fontId="15" type="noConversion"/>
  </si>
  <si>
    <t>경기도어린이박물관(외부재원)</t>
    <phoneticPr fontId="15" type="noConversion"/>
  </si>
  <si>
    <t xml:space="preserve">  - 경기도박물관 신재생에너지보급지원사업 (경기도)</t>
    <phoneticPr fontId="15" type="noConversion"/>
  </si>
  <si>
    <t xml:space="preserve">  - 경기도어린이박물관 신재생에너지보급지원사업 (경기도)</t>
    <phoneticPr fontId="15" type="noConversion"/>
  </si>
  <si>
    <t>공연장 상주단체육성</t>
    <phoneticPr fontId="15" type="noConversion"/>
  </si>
  <si>
    <t>2016 경기학교예술강사 지원종료</t>
    <phoneticPr fontId="15" type="noConversion"/>
  </si>
  <si>
    <t>경기문화예술교육지원센터 운영</t>
    <phoneticPr fontId="15" type="noConversion"/>
  </si>
  <si>
    <t>지역특성화 문화예술교육지원 사업</t>
    <phoneticPr fontId="15" type="noConversion"/>
  </si>
  <si>
    <t>신재생에너지보급지원사업</t>
    <phoneticPr fontId="15" type="noConversion"/>
  </si>
  <si>
    <t>전곡항 공공미술 프로젝트</t>
    <phoneticPr fontId="15" type="noConversion"/>
  </si>
  <si>
    <t>지역문화예술특성화 사업</t>
    <phoneticPr fontId="15" type="noConversion"/>
  </si>
  <si>
    <t>사이버도서관 운영 (경기도)</t>
    <phoneticPr fontId="15" type="noConversion"/>
  </si>
  <si>
    <t>경기도 옛길 관리운영</t>
    <phoneticPr fontId="15" type="noConversion"/>
  </si>
  <si>
    <t>문화재 돌봄사업</t>
    <phoneticPr fontId="15" type="noConversion"/>
  </si>
  <si>
    <t>총 계</t>
    <phoneticPr fontId="15" type="noConversion"/>
  </si>
  <si>
    <t xml:space="preserve"> 2017 통합문화이용권 사업</t>
    <phoneticPr fontId="15" type="noConversion"/>
  </si>
  <si>
    <t>보조금</t>
    <phoneticPr fontId="15" type="noConversion"/>
  </si>
  <si>
    <t>공기관대행</t>
    <phoneticPr fontId="15" type="noConversion"/>
  </si>
  <si>
    <t>위탁사업</t>
    <phoneticPr fontId="15" type="noConversion"/>
  </si>
  <si>
    <t>신재생에너지 보급지원</t>
    <phoneticPr fontId="15" type="noConversion"/>
  </si>
  <si>
    <t>(단위 : 천원)</t>
    <phoneticPr fontId="15" type="noConversion"/>
  </si>
  <si>
    <t>총  합 계</t>
    <phoneticPr fontId="15" type="noConversion"/>
  </si>
  <si>
    <t xml:space="preserve">   1. 경영본부 (지역협력형, 공연장 상주, 통합문화이용권 등)</t>
    <phoneticPr fontId="14" type="noConversion"/>
  </si>
  <si>
    <t xml:space="preserve">   2. 남한산성세계유산센터 (세계유산연구보존활성화, 역사문화명소화)</t>
    <phoneticPr fontId="14" type="noConversion"/>
  </si>
  <si>
    <t xml:space="preserve">   3. 경기창작센터 (에코뮤지엄, 제부도명소화, 생태체험, 황금산프로젝트)</t>
    <phoneticPr fontId="15" type="noConversion"/>
  </si>
  <si>
    <t xml:space="preserve">   4. 경기도박물관 (토공방교육나눔, 소장유물 DB화)</t>
    <phoneticPr fontId="15" type="noConversion"/>
  </si>
  <si>
    <t xml:space="preserve">   5. 경기도미술관 (공공기관 활용나눔, 한불상호교류 등)</t>
    <phoneticPr fontId="15" type="noConversion"/>
  </si>
  <si>
    <t xml:space="preserve">   6. 백남준아트센터 (작은도서관 등)</t>
    <phoneticPr fontId="15" type="noConversion"/>
  </si>
  <si>
    <t xml:space="preserve">   7. 실학박물관 (소장유물 DB화)</t>
    <phoneticPr fontId="15" type="noConversion"/>
  </si>
  <si>
    <t xml:space="preserve">   8. 전곡선사박물관 (선사꿈의학교, 메세나협회)</t>
    <phoneticPr fontId="15" type="noConversion"/>
  </si>
  <si>
    <t xml:space="preserve">   9. 경기도어린이박물관 (행복수업, 무지개다리사업 등)</t>
    <phoneticPr fontId="15" type="noConversion"/>
  </si>
  <si>
    <t xml:space="preserve">   10. 경기문화재연구원 (경기전통문화활성화, 남한산성옛길, 항일유적실태조사 등)</t>
    <phoneticPr fontId="14" type="noConversion"/>
  </si>
  <si>
    <t>2016년 명시이월</t>
    <phoneticPr fontId="15" type="noConversion"/>
  </si>
  <si>
    <t>지원비</t>
    <phoneticPr fontId="15" type="noConversion"/>
  </si>
  <si>
    <t xml:space="preserve"> o 계</t>
    <phoneticPr fontId="15" type="noConversion"/>
  </si>
  <si>
    <t xml:space="preserve">   1. 직접 공모지원(18개 시군대상)</t>
    <phoneticPr fontId="15" type="noConversion"/>
  </si>
  <si>
    <t>=</t>
    <phoneticPr fontId="15" type="noConversion"/>
  </si>
  <si>
    <t xml:space="preserve">   2. 12개 기초문화재단 협력</t>
    <phoneticPr fontId="15" type="noConversion"/>
  </si>
  <si>
    <t>건</t>
    <phoneticPr fontId="15" type="noConversion"/>
  </si>
  <si>
    <t>인</t>
    <phoneticPr fontId="15" type="noConversion"/>
  </si>
  <si>
    <t>명</t>
    <phoneticPr fontId="15" type="noConversion"/>
  </si>
  <si>
    <t>회</t>
    <phoneticPr fontId="15" type="noConversion"/>
  </si>
  <si>
    <t>행사운영비</t>
    <phoneticPr fontId="15" type="noConversion"/>
  </si>
  <si>
    <t>회의운영비</t>
    <phoneticPr fontId="15" type="noConversion"/>
  </si>
  <si>
    <t>원</t>
    <phoneticPr fontId="15" type="noConversion"/>
  </si>
  <si>
    <t>여비교통비</t>
    <phoneticPr fontId="15" type="noConversion"/>
  </si>
  <si>
    <t xml:space="preserve"> o 지원사업 모니터링 등</t>
    <phoneticPr fontId="15" type="noConversion"/>
  </si>
  <si>
    <t>보험료</t>
    <phoneticPr fontId="15" type="noConversion"/>
  </si>
  <si>
    <t xml:space="preserve">   1. 상주단체 공모지원</t>
    <phoneticPr fontId="15" type="noConversion"/>
  </si>
  <si>
    <t xml:space="preserve">   3. 공연장 상주단체 평가</t>
    <phoneticPr fontId="15" type="noConversion"/>
  </si>
  <si>
    <t>지급수수료</t>
    <phoneticPr fontId="21" type="noConversion"/>
  </si>
  <si>
    <t xml:space="preserve"> o 추진위원회 운영등</t>
    <phoneticPr fontId="15" type="noConversion"/>
  </si>
  <si>
    <t xml:space="preserve"> o 설명회, 워크숍 등</t>
    <phoneticPr fontId="15" type="noConversion"/>
  </si>
  <si>
    <t>식</t>
    <phoneticPr fontId="15" type="noConversion"/>
  </si>
  <si>
    <t xml:space="preserve"> o 심의, 기획회의 등</t>
    <phoneticPr fontId="15" type="noConversion"/>
  </si>
  <si>
    <t>%</t>
    <phoneticPr fontId="15" type="noConversion"/>
  </si>
  <si>
    <t xml:space="preserve"> o 도메인, 디자인 프로그램 단행본 구입 등</t>
    <phoneticPr fontId="15" type="noConversion"/>
  </si>
  <si>
    <t xml:space="preserve"> o 홍보 및 아카이빙 사업 관련 회의 식음료비 등</t>
    <phoneticPr fontId="15" type="noConversion"/>
  </si>
  <si>
    <r>
      <t xml:space="preserve"> o 급여 및 부가급여</t>
    </r>
    <r>
      <rPr>
        <sz val="11"/>
        <rFont val="돋움"/>
        <family val="3"/>
        <charset val="129"/>
      </rPr>
      <t>(12개월 인건비, 복리후생비, 퇴직급여 등)</t>
    </r>
    <phoneticPr fontId="15" type="noConversion"/>
  </si>
  <si>
    <t xml:space="preserve"> o 단체/기관 지원금</t>
    <phoneticPr fontId="15" type="noConversion"/>
  </si>
  <si>
    <t xml:space="preserve"> o 권역별 네트워킹, 행정 워크숍</t>
    <phoneticPr fontId="15" type="noConversion"/>
  </si>
  <si>
    <t>지역문화팀</t>
    <phoneticPr fontId="15" type="noConversion"/>
  </si>
  <si>
    <t>서울농생대 문화공간 운영</t>
    <phoneticPr fontId="15" type="noConversion"/>
  </si>
  <si>
    <t>서울농생대 문화공간 조성</t>
    <phoneticPr fontId="15" type="noConversion"/>
  </si>
  <si>
    <t xml:space="preserve"> o 회의운영비(컨설팅, 교육, 심사진행 등)</t>
    <phoneticPr fontId="15" type="noConversion"/>
  </si>
  <si>
    <t xml:space="preserve"> o 홍보물 제작비</t>
    <phoneticPr fontId="15" type="noConversion"/>
  </si>
  <si>
    <t xml:space="preserve"> o 목공랩, 미디어랩 등 소모품비</t>
    <phoneticPr fontId="15" type="noConversion"/>
  </si>
  <si>
    <t xml:space="preserve"> o 청년실험실 장비 구입 등</t>
    <phoneticPr fontId="15" type="noConversion"/>
  </si>
  <si>
    <t xml:space="preserve"> o 청년실험실 장비, 시설 설치 용역 등</t>
    <phoneticPr fontId="15" type="noConversion"/>
  </si>
  <si>
    <t xml:space="preserve"> o 뮤직랩, 양조랩, 디자인랩, 팹까페, 미디어랩 등 운영 지원</t>
    <phoneticPr fontId="15" type="noConversion"/>
  </si>
  <si>
    <t xml:space="preserve"> o 청년실험실 결과 공유회, 특별행사 개최 등</t>
    <phoneticPr fontId="15" type="noConversion"/>
  </si>
  <si>
    <t xml:space="preserve"> o 구조안전진단, 전기케이블, 철거 등</t>
    <phoneticPr fontId="15" type="noConversion"/>
  </si>
  <si>
    <t xml:space="preserve"> o 미술창고 운영 지원(전시, 교육, 공간 운영)</t>
    <phoneticPr fontId="15" type="noConversion"/>
  </si>
  <si>
    <t xml:space="preserve"> o 미술창고 교류 네트워크 행사 등</t>
    <phoneticPr fontId="15" type="noConversion"/>
  </si>
  <si>
    <t xml:space="preserve"> o 계약직 인건비(4대보험, 퇴직금, 휴일수당 포함)</t>
    <phoneticPr fontId="15" type="noConversion"/>
  </si>
  <si>
    <t xml:space="preserve"> o 생생공화국 프로그램 및 관리운영비 지원</t>
    <phoneticPr fontId="15" type="noConversion"/>
  </si>
  <si>
    <t xml:space="preserve"> o 회의운영비(운영회의, 심사, 모니터링 회의비 등)</t>
    <phoneticPr fontId="15" type="noConversion"/>
  </si>
  <si>
    <t>매</t>
    <phoneticPr fontId="21" type="noConversion"/>
  </si>
  <si>
    <t xml:space="preserve"> o 음향장비, 동시통역장비 임차</t>
    <phoneticPr fontId="15" type="noConversion"/>
  </si>
  <si>
    <t xml:space="preserve"> o 액티브시티즌 지원비(매칭비)</t>
    <phoneticPr fontId="15" type="noConversion"/>
  </si>
  <si>
    <t xml:space="preserve"> o 국내, 국외 출장비</t>
    <phoneticPr fontId="15" type="noConversion"/>
  </si>
  <si>
    <t xml:space="preserve"> o 실무 운영회의</t>
    <phoneticPr fontId="15" type="noConversion"/>
  </si>
  <si>
    <t xml:space="preserve"> o 조달 수수료 및 사용전검사 수수료</t>
    <phoneticPr fontId="14" type="noConversion"/>
  </si>
  <si>
    <t xml:space="preserve">   1. 청년포럼 홍보물, 자료집 제작</t>
    <phoneticPr fontId="15" type="noConversion"/>
  </si>
  <si>
    <t xml:space="preserve">   2. 아시아 네트워크 홍보물, 자료집 제작</t>
    <phoneticPr fontId="15" type="noConversion"/>
  </si>
  <si>
    <t xml:space="preserve">   2. 아시아 네트워크 발제자</t>
    <phoneticPr fontId="15" type="noConversion"/>
  </si>
  <si>
    <t xml:space="preserve">   1. 청년포럼 사회자, 발제자, 패널 사례비</t>
    <phoneticPr fontId="15" type="noConversion"/>
  </si>
  <si>
    <t xml:space="preserve">   1. 청년포럼 기록(속기,사진,영상)</t>
    <phoneticPr fontId="15" type="noConversion"/>
  </si>
  <si>
    <t xml:space="preserve">   2. 아시아네트워크 동시통역, 기록(사진)</t>
    <phoneticPr fontId="15" type="noConversion"/>
  </si>
  <si>
    <t xml:space="preserve">   1. 청년포럼 행사운영비</t>
    <phoneticPr fontId="15" type="noConversion"/>
  </si>
  <si>
    <t xml:space="preserve">   2. 아시아 네트워크 행사운영비</t>
    <phoneticPr fontId="15" type="noConversion"/>
  </si>
  <si>
    <t xml:space="preserve">   1. 설계비</t>
    <phoneticPr fontId="15" type="noConversion"/>
  </si>
  <si>
    <t xml:space="preserve">   2. 태양광 발전장치 물품 구매(현장설치도)</t>
    <phoneticPr fontId="15" type="noConversion"/>
  </si>
  <si>
    <t xml:space="preserve">   3. 태양광 발전장치 2차 간선공사</t>
    <phoneticPr fontId="14" type="noConversion"/>
  </si>
  <si>
    <t xml:space="preserve">   4. 감리비</t>
    <phoneticPr fontId="14" type="noConversion"/>
  </si>
  <si>
    <t xml:space="preserve">   1. 기획수수료</t>
    <phoneticPr fontId="15" type="noConversion"/>
  </si>
  <si>
    <t xml:space="preserve"> o 사업관련 협력회의</t>
    <phoneticPr fontId="15" type="noConversion"/>
  </si>
  <si>
    <t>문화누리</t>
    <phoneticPr fontId="15" type="noConversion"/>
  </si>
  <si>
    <t>=</t>
    <phoneticPr fontId="15" type="noConversion"/>
  </si>
  <si>
    <t>%</t>
    <phoneticPr fontId="15" type="noConversion"/>
  </si>
  <si>
    <t>문화누리카드사업</t>
    <phoneticPr fontId="15" type="noConversion"/>
  </si>
  <si>
    <t>퇴직급여</t>
    <phoneticPr fontId="15" type="noConversion"/>
  </si>
  <si>
    <t>면*</t>
    <phoneticPr fontId="15" type="noConversion"/>
  </si>
  <si>
    <t>개월*</t>
  </si>
  <si>
    <t>편</t>
  </si>
  <si>
    <t>쪽</t>
  </si>
  <si>
    <t>2017경기도사이버도서관운영</t>
    <phoneticPr fontId="15" type="noConversion"/>
  </si>
  <si>
    <t>제경비</t>
    <phoneticPr fontId="15" type="noConversion"/>
  </si>
  <si>
    <t>경기도기록물디지털아카이브</t>
    <phoneticPr fontId="15" type="noConversion"/>
  </si>
  <si>
    <t>경기도사이버도서관시스템운영</t>
    <phoneticPr fontId="15" type="noConversion"/>
  </si>
  <si>
    <t>도서관독서문화확산</t>
    <phoneticPr fontId="15" type="noConversion"/>
  </si>
  <si>
    <t>경기도도서관도서택배서비스</t>
    <phoneticPr fontId="15" type="noConversion"/>
  </si>
  <si>
    <t>방학도서관프로그램운영자연수</t>
    <phoneticPr fontId="15" type="noConversion"/>
  </si>
  <si>
    <t>도서관독서문화홍보</t>
    <phoneticPr fontId="15" type="noConversion"/>
  </si>
  <si>
    <t>경기도도서관연감발간</t>
    <phoneticPr fontId="15" type="noConversion"/>
  </si>
  <si>
    <t>경기도도서관총서발간</t>
    <phoneticPr fontId="15" type="noConversion"/>
  </si>
  <si>
    <t>도서관직원직무교육</t>
    <phoneticPr fontId="15" type="noConversion"/>
  </si>
  <si>
    <t>위탁수수료</t>
    <phoneticPr fontId="15" type="noConversion"/>
  </si>
  <si>
    <t xml:space="preserve">   1. 의주길 생태자원조사 용역비</t>
    <phoneticPr fontId="15" type="noConversion"/>
  </si>
  <si>
    <t xml:space="preserve">   2. 의주길 스토리보드 제작비</t>
    <phoneticPr fontId="15" type="noConversion"/>
  </si>
  <si>
    <t xml:space="preserve">   3. 의주길 수목표찰 제작비</t>
    <phoneticPr fontId="15" type="noConversion"/>
  </si>
  <si>
    <t xml:space="preserve">   2. 교육프로그램 강사료</t>
    <phoneticPr fontId="15" type="noConversion"/>
  </si>
  <si>
    <t xml:space="preserve">   1. 활용프로그램 강사료</t>
    <phoneticPr fontId="15" type="noConversion"/>
  </si>
  <si>
    <t xml:space="preserve">   3. 교육프로그램 운영</t>
    <phoneticPr fontId="15" type="noConversion"/>
  </si>
  <si>
    <t xml:space="preserve">   1. 활용프로그램 운영</t>
    <phoneticPr fontId="15" type="noConversion"/>
  </si>
  <si>
    <t xml:space="preserve">   2. 걷기축제 운영</t>
    <phoneticPr fontId="15" type="noConversion"/>
  </si>
  <si>
    <t xml:space="preserve">   4. 자원봉사단 행사 운영</t>
    <phoneticPr fontId="15" type="noConversion"/>
  </si>
  <si>
    <t xml:space="preserve">   5. 청년기자단 행사 운영</t>
    <phoneticPr fontId="15" type="noConversion"/>
  </si>
  <si>
    <t xml:space="preserve">   6. 학술대회 운영</t>
    <phoneticPr fontId="15" type="noConversion"/>
  </si>
  <si>
    <t xml:space="preserve">   2. 안내지도 인쇄</t>
    <phoneticPr fontId="15" type="noConversion"/>
  </si>
  <si>
    <t xml:space="preserve">   3. 성과 보고서 인쇄</t>
    <phoneticPr fontId="15" type="noConversion"/>
  </si>
  <si>
    <t xml:space="preserve">   1. 업무용 차량 임차료</t>
    <phoneticPr fontId="15" type="noConversion"/>
  </si>
  <si>
    <t>개월</t>
    <phoneticPr fontId="20" type="noConversion"/>
  </si>
  <si>
    <t>대 *</t>
    <phoneticPr fontId="20" type="noConversion"/>
  </si>
  <si>
    <t xml:space="preserve">   2. 행사용 버스 임차</t>
    <phoneticPr fontId="15" type="noConversion"/>
  </si>
  <si>
    <t>회</t>
    <phoneticPr fontId="20" type="noConversion"/>
  </si>
  <si>
    <t xml:space="preserve">   3. 업무용 PC 등 임차</t>
    <phoneticPr fontId="15" type="noConversion"/>
  </si>
  <si>
    <t>식</t>
    <phoneticPr fontId="20" type="noConversion"/>
  </si>
  <si>
    <t xml:space="preserve">   1. 소모성 보수물품 제작</t>
    <phoneticPr fontId="15" type="noConversion"/>
  </si>
  <si>
    <t xml:space="preserve">   2. 업무용 차량 유지</t>
    <phoneticPr fontId="15" type="noConversion"/>
  </si>
  <si>
    <t xml:space="preserve">   2. 경기학 도서 100선 선정</t>
    <phoneticPr fontId="15" type="noConversion"/>
  </si>
  <si>
    <t xml:space="preserve">   1. 준조사원</t>
    <phoneticPr fontId="15" type="noConversion"/>
  </si>
  <si>
    <t xml:space="preserve">   2. 보조원</t>
    <phoneticPr fontId="15" type="noConversion"/>
  </si>
  <si>
    <t xml:space="preserve">   1. 사진 제작</t>
    <phoneticPr fontId="15" type="noConversion"/>
  </si>
  <si>
    <t xml:space="preserve">   2. 보고서 인쇄</t>
    <phoneticPr fontId="15" type="noConversion"/>
  </si>
  <si>
    <t xml:space="preserve">   1. 조사용품 구입</t>
    <phoneticPr fontId="15" type="noConversion"/>
  </si>
  <si>
    <t xml:space="preserve">   3. 기타 소모품 구입</t>
  </si>
  <si>
    <t xml:space="preserve">   2. 유물용품 구입 구입</t>
    <phoneticPr fontId="15" type="noConversion"/>
  </si>
  <si>
    <t>수도광열비</t>
    <phoneticPr fontId="14" type="noConversion"/>
  </si>
  <si>
    <t xml:space="preserve"> o 전기 가스 등 공과금</t>
    <phoneticPr fontId="15" type="noConversion"/>
  </si>
  <si>
    <t xml:space="preserve"> o 현장운영 제세금</t>
    <phoneticPr fontId="15" type="noConversion"/>
  </si>
  <si>
    <t>현장운영비</t>
    <phoneticPr fontId="14" type="noConversion"/>
  </si>
  <si>
    <t xml:space="preserve"> o 현장 운영</t>
    <phoneticPr fontId="15" type="noConversion"/>
  </si>
  <si>
    <t xml:space="preserve"> o 국내출장 및 주재비</t>
    <phoneticPr fontId="15" type="noConversion"/>
  </si>
  <si>
    <t xml:space="preserve"> o 연료 및 수선비</t>
    <phoneticPr fontId="15" type="noConversion"/>
  </si>
  <si>
    <t xml:space="preserve">   1. 위탁수수료</t>
    <phoneticPr fontId="15" type="noConversion"/>
  </si>
  <si>
    <t xml:space="preserve">   2. 자문수당 등</t>
    <phoneticPr fontId="15" type="noConversion"/>
  </si>
  <si>
    <t xml:space="preserve"> o 계</t>
    <phoneticPr fontId="15" type="noConversion"/>
  </si>
  <si>
    <t xml:space="preserve"> </t>
    <phoneticPr fontId="15" type="noConversion"/>
  </si>
  <si>
    <t xml:space="preserve">   1. 현장인부임</t>
    <phoneticPr fontId="15" type="noConversion"/>
  </si>
  <si>
    <t>원*</t>
    <phoneticPr fontId="15" type="noConversion"/>
  </si>
  <si>
    <t>식</t>
    <phoneticPr fontId="14" type="noConversion"/>
  </si>
  <si>
    <t>=</t>
    <phoneticPr fontId="15" type="noConversion"/>
  </si>
  <si>
    <t xml:space="preserve">   2. 안내판 제작 등</t>
    <phoneticPr fontId="15" type="noConversion"/>
  </si>
  <si>
    <t xml:space="preserve">   3. 현장자료 분식 및 항공 촬영 등 용역위탁</t>
    <phoneticPr fontId="15" type="noConversion"/>
  </si>
  <si>
    <t xml:space="preserve">   4. 정리 및 보고서 작업 인부임</t>
    <phoneticPr fontId="15" type="noConversion"/>
  </si>
  <si>
    <t xml:space="preserve">   1. 기자재 포함 등 임차</t>
    <phoneticPr fontId="15" type="noConversion"/>
  </si>
  <si>
    <t xml:space="preserve">   2. 굴삭기 임차</t>
    <phoneticPr fontId="15" type="noConversion"/>
  </si>
  <si>
    <t xml:space="preserve">   3. 전산장비 임차</t>
    <phoneticPr fontId="15" type="noConversion"/>
  </si>
  <si>
    <t xml:space="preserve">   4. 현장차량 임차</t>
    <phoneticPr fontId="15" type="noConversion"/>
  </si>
  <si>
    <t xml:space="preserve">   5. 기타장비 임차</t>
    <phoneticPr fontId="15" type="noConversion"/>
  </si>
  <si>
    <t xml:space="preserve"> o 통신비</t>
    <phoneticPr fontId="15" type="noConversion"/>
  </si>
  <si>
    <t xml:space="preserve">   2. 기타 소모품 구입</t>
    <phoneticPr fontId="15" type="noConversion"/>
  </si>
  <si>
    <t xml:space="preserve">  소  계</t>
    <phoneticPr fontId="15" type="noConversion"/>
  </si>
  <si>
    <t xml:space="preserve"> 고유목적사업</t>
    <phoneticPr fontId="15" type="noConversion"/>
  </si>
  <si>
    <t>관분류</t>
    <phoneticPr fontId="15" type="noConversion"/>
  </si>
  <si>
    <t>항분류</t>
    <phoneticPr fontId="15" type="noConversion"/>
  </si>
  <si>
    <t xml:space="preserve"> o 임직원 퇴직급여</t>
    <phoneticPr fontId="15" type="noConversion"/>
  </si>
  <si>
    <t xml:space="preserve"> o 예총, 민예총, 문화원, 경기언론인클럽 운영 지원</t>
    <phoneticPr fontId="15" type="noConversion"/>
  </si>
  <si>
    <t xml:space="preserve"> o 업무관리시스템 도입</t>
    <phoneticPr fontId="14" type="noConversion"/>
  </si>
  <si>
    <t xml:space="preserve"> o 사업운영비</t>
    <phoneticPr fontId="15" type="noConversion"/>
  </si>
  <si>
    <t xml:space="preserve"> o 작품운송 및 전시 보험</t>
    <phoneticPr fontId="15" type="noConversion"/>
  </si>
  <si>
    <t xml:space="preserve">   1. 현수막, 배너 등 제작 </t>
    <phoneticPr fontId="15" type="noConversion"/>
  </si>
  <si>
    <t xml:space="preserve">   2. 기타 소모품 구입 </t>
    <phoneticPr fontId="15" type="noConversion"/>
  </si>
  <si>
    <t xml:space="preserve">   1. 강의  자문, 원고료 </t>
    <phoneticPr fontId="15" type="noConversion"/>
  </si>
  <si>
    <t xml:space="preserve">   2. 작가료</t>
    <phoneticPr fontId="15" type="noConversion"/>
  </si>
  <si>
    <t xml:space="preserve">   1. 로비전시공사(설치, 도장, 전기 등)   </t>
    <phoneticPr fontId="15" type="noConversion"/>
  </si>
  <si>
    <t xml:space="preserve">   2. 홍보물(리플렛, 결과자료집 등)</t>
    <phoneticPr fontId="15" type="noConversion"/>
  </si>
  <si>
    <t xml:space="preserve">   3. 전시사인물 제작 설치 </t>
    <phoneticPr fontId="15" type="noConversion"/>
  </si>
  <si>
    <t xml:space="preserve">   1. 심사비</t>
    <phoneticPr fontId="15" type="noConversion"/>
  </si>
  <si>
    <t xml:space="preserve">   2. 정산서 검토</t>
    <phoneticPr fontId="15" type="noConversion"/>
  </si>
  <si>
    <t xml:space="preserve"> o 지원금 </t>
    <phoneticPr fontId="15" type="noConversion"/>
  </si>
  <si>
    <t xml:space="preserve">   1. 영상장비임차</t>
    <phoneticPr fontId="15" type="noConversion"/>
  </si>
  <si>
    <t xml:space="preserve">   2. 차량 임차</t>
    <phoneticPr fontId="15" type="noConversion"/>
  </si>
  <si>
    <t xml:space="preserve">   1. 전시오프닝식음료비</t>
    <phoneticPr fontId="15" type="noConversion"/>
  </si>
  <si>
    <t xml:space="preserve">   2. 교육투어 프로그램 </t>
    <phoneticPr fontId="15" type="noConversion"/>
  </si>
  <si>
    <t xml:space="preserve">   1. 직원동호회 지원비</t>
    <phoneticPr fontId="14" type="noConversion"/>
  </si>
  <si>
    <t xml:space="preserve">   2. 우수사원 표창</t>
    <phoneticPr fontId="15" type="noConversion"/>
  </si>
  <si>
    <t xml:space="preserve">   3. 직원 건강검진</t>
    <phoneticPr fontId="15" type="noConversion"/>
  </si>
  <si>
    <t xml:space="preserve">   4. 직원 art-day 행사</t>
    <phoneticPr fontId="15" type="noConversion"/>
  </si>
  <si>
    <t xml:space="preserve">   1. 임직원 직무교육 등</t>
    <phoneticPr fontId="15" type="noConversion"/>
  </si>
  <si>
    <t xml:space="preserve">   2. 임직원 아카데미, 외부위탁교육(감사교육 등)</t>
    <phoneticPr fontId="15" type="noConversion"/>
  </si>
  <si>
    <t xml:space="preserve">   1. 이사회안건인쇄</t>
    <phoneticPr fontId="15" type="noConversion"/>
  </si>
  <si>
    <t xml:space="preserve">   2. 의회업무보고서 및 행정사무감사자료 인쇄</t>
    <phoneticPr fontId="15" type="noConversion"/>
  </si>
  <si>
    <t xml:space="preserve">   3. 기타 업무보고 및 외부감사관련자료 인쇄</t>
    <phoneticPr fontId="15" type="noConversion"/>
  </si>
  <si>
    <t xml:space="preserve">   1. 이사장실</t>
    <phoneticPr fontId="15" type="noConversion"/>
  </si>
  <si>
    <t xml:space="preserve">   2. 대표이사실 </t>
    <phoneticPr fontId="15" type="noConversion"/>
  </si>
  <si>
    <t xml:space="preserve">   3. 본부장실 </t>
    <phoneticPr fontId="15" type="noConversion"/>
  </si>
  <si>
    <t xml:space="preserve">   4. 검사역실 </t>
    <phoneticPr fontId="15" type="noConversion"/>
  </si>
  <si>
    <t xml:space="preserve">   5 .각 실팀</t>
    <phoneticPr fontId="15" type="noConversion"/>
  </si>
  <si>
    <t xml:space="preserve">   1 .기관운영일반업무추진비(이사장)</t>
    <phoneticPr fontId="15" type="noConversion"/>
  </si>
  <si>
    <t xml:space="preserve">   2. 기관운영일반업무추진비(대표이사)</t>
    <phoneticPr fontId="15" type="noConversion"/>
  </si>
  <si>
    <t xml:space="preserve">   3. 기관운영일반업무추진비(경영본부장)</t>
    <phoneticPr fontId="15" type="noConversion"/>
  </si>
  <si>
    <t xml:space="preserve">   4. 기관운영일반업무추진비(문화예술본부장)</t>
    <phoneticPr fontId="15" type="noConversion"/>
  </si>
  <si>
    <t xml:space="preserve">   5. 기관운영일반업무추진비(검사역)</t>
    <phoneticPr fontId="15" type="noConversion"/>
  </si>
  <si>
    <t xml:space="preserve">   1. 사옥시설 관리</t>
    <phoneticPr fontId="15" type="noConversion"/>
  </si>
  <si>
    <t xml:space="preserve">     - 사옥관리(건축,기계,설비,소방,통신,전기등)</t>
    <phoneticPr fontId="15" type="noConversion"/>
  </si>
  <si>
    <t xml:space="preserve">     - 건물유지 및 사무실보수(임대면적 포함)</t>
    <phoneticPr fontId="15" type="noConversion"/>
  </si>
  <si>
    <t xml:space="preserve">     - 시설관리 용역사 피복비등 시설관리 소모품</t>
    <phoneticPr fontId="15" type="noConversion"/>
  </si>
  <si>
    <t xml:space="preserve">     - 전산장비, G20, G-Portal시스템 유지관리비</t>
    <phoneticPr fontId="15" type="noConversion"/>
  </si>
  <si>
    <t xml:space="preserve">     - 승용차(중형 이상 유류대 연간 30,000KM주행기준)</t>
    <phoneticPr fontId="15" type="noConversion"/>
  </si>
  <si>
    <t xml:space="preserve">   3. 차량유지비</t>
    <phoneticPr fontId="15" type="noConversion"/>
  </si>
  <si>
    <t xml:space="preserve"> o 업무관련 도서구입 </t>
    <phoneticPr fontId="15" type="noConversion"/>
  </si>
  <si>
    <t xml:space="preserve">   1. 변경등기수수료</t>
    <phoneticPr fontId="15" type="noConversion"/>
  </si>
  <si>
    <t xml:space="preserve">   2. 송금수수료</t>
    <phoneticPr fontId="15" type="noConversion"/>
  </si>
  <si>
    <t xml:space="preserve">   3. 이사회 참석수당</t>
    <phoneticPr fontId="15" type="noConversion"/>
  </si>
  <si>
    <t xml:space="preserve">   4 .인사위원회 참석수당</t>
    <phoneticPr fontId="15" type="noConversion"/>
  </si>
  <si>
    <t xml:space="preserve">   5. 자문위원회 참석수당</t>
    <phoneticPr fontId="15" type="noConversion"/>
  </si>
  <si>
    <t xml:space="preserve">   6. 내부감사수당</t>
    <phoneticPr fontId="15" type="noConversion"/>
  </si>
  <si>
    <t xml:space="preserve">   7. 건물시설검사수수료(전기,보일러,엘리베이터 등)</t>
    <phoneticPr fontId="15" type="noConversion"/>
  </si>
  <si>
    <t xml:space="preserve">   8. 택배수수료</t>
    <phoneticPr fontId="15" type="noConversion"/>
  </si>
  <si>
    <t xml:space="preserve">   9. 자문수수료(고문변호사 및 고문노무사)</t>
    <phoneticPr fontId="15" type="noConversion"/>
  </si>
  <si>
    <t xml:space="preserve">  10. 재단 소송비용</t>
    <phoneticPr fontId="15" type="noConversion"/>
  </si>
  <si>
    <t xml:space="preserve">  11. 중계수수료</t>
    <phoneticPr fontId="15" type="noConversion"/>
  </si>
  <si>
    <t xml:space="preserve">  12. 안전및 보건관리 대행 수수료</t>
    <phoneticPr fontId="15" type="noConversion"/>
  </si>
  <si>
    <t xml:space="preserve">  13. 이사장 수당</t>
    <phoneticPr fontId="15" type="noConversion"/>
  </si>
  <si>
    <t xml:space="preserve">   1. 법인세 세무조정 및 공익법인신고</t>
    <phoneticPr fontId="15" type="noConversion"/>
  </si>
  <si>
    <t xml:space="preserve">   2. 회계결산감사</t>
    <phoneticPr fontId="15" type="noConversion"/>
  </si>
  <si>
    <t xml:space="preserve">   3. 사업검토용역</t>
    <phoneticPr fontId="15" type="noConversion"/>
  </si>
  <si>
    <t xml:space="preserve">   4. 도급관리 용역(17명)</t>
    <phoneticPr fontId="15" type="noConversion"/>
  </si>
  <si>
    <t xml:space="preserve">   5. 파견관리 용역(4명)</t>
    <phoneticPr fontId="15" type="noConversion"/>
  </si>
  <si>
    <t xml:space="preserve">   6. 사옥시설유지보수관리용역(조경,소방,A/V,방범,전화,주차,자동제어 등)</t>
    <phoneticPr fontId="15" type="noConversion"/>
  </si>
  <si>
    <t xml:space="preserve">   7. 전산시스템관리용역 (C-SAM, 전산, 서버)</t>
    <phoneticPr fontId="15" type="noConversion"/>
  </si>
  <si>
    <t xml:space="preserve">   8. 가격 조사용역(공사및용역)</t>
    <phoneticPr fontId="15" type="noConversion"/>
  </si>
  <si>
    <t xml:space="preserve">   9. 직원 채용 필기시험 대행 용역료</t>
    <phoneticPr fontId="15" type="noConversion"/>
  </si>
  <si>
    <t xml:space="preserve">   1. 사업추진 차량등 임차료</t>
    <phoneticPr fontId="15" type="noConversion"/>
  </si>
  <si>
    <t xml:space="preserve">   2. 사무기기 임대(복사기 및 컴퓨터등)</t>
    <phoneticPr fontId="15" type="noConversion"/>
  </si>
  <si>
    <t xml:space="preserve">   1. 본부장</t>
    <phoneticPr fontId="15" type="noConversion"/>
  </si>
  <si>
    <t xml:space="preserve">   2 .검사역</t>
    <phoneticPr fontId="15" type="noConversion"/>
  </si>
  <si>
    <t xml:space="preserve">   3. 실팀장</t>
    <phoneticPr fontId="15" type="noConversion"/>
  </si>
  <si>
    <t xml:space="preserve">   4. 소속부서장급</t>
    <phoneticPr fontId="15" type="noConversion"/>
  </si>
  <si>
    <t xml:space="preserve">   3. 회선사용료</t>
    <phoneticPr fontId="15" type="noConversion"/>
  </si>
  <si>
    <t xml:space="preserve">   1. 신문광고 등</t>
    <phoneticPr fontId="15" type="noConversion"/>
  </si>
  <si>
    <t xml:space="preserve">   2. 채용및 입찰공고비 등</t>
    <phoneticPr fontId="15" type="noConversion"/>
  </si>
  <si>
    <t xml:space="preserve">   3. 업무용봉투제작(대,중,소)</t>
    <phoneticPr fontId="15" type="noConversion"/>
  </si>
  <si>
    <t xml:space="preserve">   4. 재단 홍보용 봉투제작</t>
    <phoneticPr fontId="15" type="noConversion"/>
  </si>
  <si>
    <t xml:space="preserve">   5. 홍보용 현수막 제작 등</t>
    <phoneticPr fontId="15" type="noConversion"/>
  </si>
  <si>
    <t xml:space="preserve">   1. 운영위원회,이사회, 행정사무감사 등 식음료비</t>
    <phoneticPr fontId="15" type="noConversion"/>
  </si>
  <si>
    <t xml:space="preserve">   2. TFT 운영 식음료비</t>
    <phoneticPr fontId="15" type="noConversion"/>
  </si>
  <si>
    <t>일*</t>
    <phoneticPr fontId="15" type="noConversion"/>
  </si>
  <si>
    <t xml:space="preserve">   1. 대상인원 교육지원(case1)</t>
    <phoneticPr fontId="15" type="noConversion"/>
  </si>
  <si>
    <t xml:space="preserve">   2. 대상인원 교육지원(case2)</t>
    <phoneticPr fontId="15" type="noConversion"/>
  </si>
  <si>
    <t xml:space="preserve">   3. 대상인원 교육지원(case3)</t>
    <phoneticPr fontId="15" type="noConversion"/>
  </si>
  <si>
    <t xml:space="preserve">   4. 대상인원 교육지원(case4)</t>
    <phoneticPr fontId="15" type="noConversion"/>
  </si>
  <si>
    <t xml:space="preserve">   1. 광고이미지 제작 용역 등</t>
    <phoneticPr fontId="15" type="noConversion"/>
  </si>
  <si>
    <t xml:space="preserve">   2. 2017 다이어리&amp;달력 제작 용역 등</t>
    <phoneticPr fontId="15" type="noConversion"/>
  </si>
  <si>
    <t xml:space="preserve">   1. 문화예술 팸투어, 홍보간담회 운영 </t>
    <phoneticPr fontId="15" type="noConversion"/>
  </si>
  <si>
    <t xml:space="preserve">   2. 홍보부스 운영 등</t>
    <phoneticPr fontId="15" type="noConversion"/>
  </si>
  <si>
    <t xml:space="preserve">   1. 자문비</t>
    <phoneticPr fontId="15" type="noConversion"/>
  </si>
  <si>
    <t xml:space="preserve">   1. 주강사료</t>
    <phoneticPr fontId="15" type="noConversion"/>
  </si>
  <si>
    <t xml:space="preserve">   2. 보조강사료</t>
    <phoneticPr fontId="15" type="noConversion"/>
  </si>
  <si>
    <t xml:space="preserve">   1. 강사료</t>
    <phoneticPr fontId="15" type="noConversion"/>
  </si>
  <si>
    <t xml:space="preserve">   1. 심사수당</t>
    <phoneticPr fontId="15" type="noConversion"/>
  </si>
  <si>
    <t xml:space="preserve">   2. 자문비</t>
    <phoneticPr fontId="15" type="noConversion"/>
  </si>
  <si>
    <t xml:space="preserve">   3. 강의 및 자문, 원고료</t>
    <phoneticPr fontId="15" type="noConversion"/>
  </si>
  <si>
    <t xml:space="preserve">   1. 청소년 동아리 활동 지원</t>
    <phoneticPr fontId="15" type="noConversion"/>
  </si>
  <si>
    <t xml:space="preserve">   2. 청소년 문화예술활동 지원</t>
    <phoneticPr fontId="15" type="noConversion"/>
  </si>
  <si>
    <t xml:space="preserve">   3. 청소년 문화예술 교육활동 지원</t>
    <phoneticPr fontId="15" type="noConversion"/>
  </si>
  <si>
    <t xml:space="preserve"> o 직원 퇴직급여</t>
    <phoneticPr fontId="15" type="noConversion"/>
  </si>
  <si>
    <t xml:space="preserve"> o 직원 MT 및 건강검진 (정규직9명, 기간제 4명)</t>
    <phoneticPr fontId="15" type="noConversion"/>
  </si>
  <si>
    <t xml:space="preserve"> o 예술로차차차 교육재료비</t>
    <phoneticPr fontId="15" type="noConversion"/>
  </si>
  <si>
    <t xml:space="preserve"> o 식비 및 기타</t>
    <phoneticPr fontId="15" type="noConversion"/>
  </si>
  <si>
    <t xml:space="preserve"> o 연수 및 워크숍 진행비</t>
    <phoneticPr fontId="15" type="noConversion"/>
  </si>
  <si>
    <t xml:space="preserve"> o 연구개발회의 및 자문회의 등</t>
    <phoneticPr fontId="15" type="noConversion"/>
  </si>
  <si>
    <t xml:space="preserve"> o 교육재료비</t>
    <phoneticPr fontId="15" type="noConversion"/>
  </si>
  <si>
    <t xml:space="preserve"> o 워크숍진행비</t>
    <phoneticPr fontId="15" type="noConversion"/>
  </si>
  <si>
    <t xml:space="preserve"> o 프로젝트 행사운영비</t>
    <phoneticPr fontId="15" type="noConversion"/>
  </si>
  <si>
    <t xml:space="preserve"> o 센터</t>
    <phoneticPr fontId="15" type="noConversion"/>
  </si>
  <si>
    <t xml:space="preserve"> o 센터장</t>
    <phoneticPr fontId="15" type="noConversion"/>
  </si>
  <si>
    <t xml:space="preserve">     - 주강사비 (3시간)</t>
    <phoneticPr fontId="15" type="noConversion"/>
  </si>
  <si>
    <t xml:space="preserve">     - 보조강사비 (3시간)</t>
    <phoneticPr fontId="15" type="noConversion"/>
  </si>
  <si>
    <t xml:space="preserve"> o 홍보책자 및 전시도록 제작</t>
    <phoneticPr fontId="15" type="noConversion"/>
  </si>
  <si>
    <t xml:space="preserve">   1. 주강사비 </t>
    <phoneticPr fontId="15" type="noConversion"/>
  </si>
  <si>
    <t xml:space="preserve">   2. 보조강사</t>
    <phoneticPr fontId="15" type="noConversion"/>
  </si>
  <si>
    <t xml:space="preserve">   3. 강연비</t>
    <phoneticPr fontId="15" type="noConversion"/>
  </si>
  <si>
    <t xml:space="preserve">     - 작가멘토링(3시간)</t>
    <phoneticPr fontId="15" type="noConversion"/>
  </si>
  <si>
    <t xml:space="preserve">     - 신규콘텐츠 워크숍 강사비</t>
    <phoneticPr fontId="15" type="noConversion"/>
  </si>
  <si>
    <t xml:space="preserve"> o 동아리 지원, 사랑방 클럽 운영 등</t>
    <phoneticPr fontId="15" type="noConversion"/>
  </si>
  <si>
    <t xml:space="preserve"> o 국내외 온라인, 인쇄매체 광고  </t>
    <phoneticPr fontId="15" type="noConversion"/>
  </si>
  <si>
    <t xml:space="preserve">   1. 학교연계재료비</t>
    <phoneticPr fontId="15" type="noConversion"/>
  </si>
  <si>
    <t xml:space="preserve">   2. 신규콘텐츠 재료비</t>
    <phoneticPr fontId="15" type="noConversion"/>
  </si>
  <si>
    <t xml:space="preserve">   3. 교육전 재료비</t>
    <phoneticPr fontId="15" type="noConversion"/>
  </si>
  <si>
    <t xml:space="preserve">   1. 연구 및 자문회의</t>
    <phoneticPr fontId="15" type="noConversion"/>
  </si>
  <si>
    <t xml:space="preserve">   2. 신규콘텐츠 워크숍 회의운영</t>
    <phoneticPr fontId="15" type="noConversion"/>
  </si>
  <si>
    <t xml:space="preserve">   2. 선택적 복지제도 운영(재해 단체보장보험 포함)</t>
    <phoneticPr fontId="15" type="noConversion"/>
  </si>
  <si>
    <t xml:space="preserve"> o 직원MT, 건강검진 (정규직 5명, 기간제 3명)</t>
    <phoneticPr fontId="15" type="noConversion"/>
  </si>
  <si>
    <t xml:space="preserve"> o 직원 직무교육 등</t>
    <phoneticPr fontId="15" type="noConversion"/>
  </si>
  <si>
    <t xml:space="preserve"> o 각종 보험료</t>
    <phoneticPr fontId="14" type="noConversion"/>
  </si>
  <si>
    <t xml:space="preserve"> o 부서운영비</t>
    <phoneticPr fontId="14" type="noConversion"/>
  </si>
  <si>
    <t xml:space="preserve"> o 증지,인지대,주민세 등</t>
    <phoneticPr fontId="15" type="noConversion"/>
  </si>
  <si>
    <t xml:space="preserve"> o 사무기기 임대(복합기 등)</t>
    <phoneticPr fontId="15" type="noConversion"/>
  </si>
  <si>
    <t xml:space="preserve"> o 사업 추진 소모품 구입</t>
    <phoneticPr fontId="15" type="noConversion"/>
  </si>
  <si>
    <t xml:space="preserve"> o 서지정보 디지털화 용역</t>
    <phoneticPr fontId="15" type="noConversion"/>
  </si>
  <si>
    <t xml:space="preserve"> o 문화대학 강의실 대여</t>
    <phoneticPr fontId="15" type="noConversion"/>
  </si>
  <si>
    <t xml:space="preserve"> o 문자발송 및 우편비</t>
    <phoneticPr fontId="15" type="noConversion"/>
  </si>
  <si>
    <t xml:space="preserve"> o 문화대학 행사 추진 운영비</t>
    <phoneticPr fontId="15" type="noConversion"/>
  </si>
  <si>
    <t xml:space="preserve"> o 조직개편에 따른 인건비 이관</t>
    <phoneticPr fontId="15" type="noConversion"/>
  </si>
  <si>
    <t xml:space="preserve"> o 조직개편에 따른 관리비 이관</t>
    <phoneticPr fontId="15" type="noConversion"/>
  </si>
  <si>
    <t xml:space="preserve">   1. 직원 사내 동아리활동비</t>
    <phoneticPr fontId="14" type="noConversion"/>
  </si>
  <si>
    <t xml:space="preserve">   2. 직원MT, 건강검진(정규직 16명, 기간제 6명)</t>
    <phoneticPr fontId="15" type="noConversion"/>
  </si>
  <si>
    <t xml:space="preserve"> o 물품구입비</t>
    <phoneticPr fontId="15" type="noConversion"/>
  </si>
  <si>
    <t xml:space="preserve">   3. 현장자료 분석 및 항공 촬영 등 용역위탁</t>
    <phoneticPr fontId="15" type="noConversion"/>
  </si>
  <si>
    <t xml:space="preserve"> o 답사차량임차</t>
    <phoneticPr fontId="15" type="noConversion"/>
  </si>
  <si>
    <t xml:space="preserve"> o 인건비성 복리후생비</t>
    <phoneticPr fontId="15" type="noConversion"/>
  </si>
  <si>
    <t xml:space="preserve"> o 기관운영 업무추진비(본부장)</t>
    <phoneticPr fontId="15" type="noConversion"/>
  </si>
  <si>
    <t xml:space="preserve"> o 사무실 이사비용</t>
    <phoneticPr fontId="15" type="noConversion"/>
  </si>
  <si>
    <t xml:space="preserve"> o 뮤지엄파크 통합입장권 수수료</t>
    <phoneticPr fontId="15" type="noConversion"/>
  </si>
  <si>
    <t xml:space="preserve"> o 우편요금(일반)</t>
    <phoneticPr fontId="15" type="noConversion"/>
  </si>
  <si>
    <t xml:space="preserve"> o 뮤지엄파크 관련 회의 등 식음료비</t>
    <phoneticPr fontId="14" type="noConversion"/>
  </si>
  <si>
    <t xml:space="preserve">   1. 뮤지엄본부</t>
    <phoneticPr fontId="15" type="noConversion"/>
  </si>
  <si>
    <t xml:space="preserve">   2. 경영협력실 (현원 9명, 비정규직 포함)</t>
    <phoneticPr fontId="15" type="noConversion"/>
  </si>
  <si>
    <t xml:space="preserve"> o 정기간행물 (신문등) 구독</t>
    <phoneticPr fontId="15" type="noConversion"/>
  </si>
  <si>
    <t xml:space="preserve"> o 자문회의,유물평가회의,연찬회 등 식음료비</t>
    <phoneticPr fontId="14" type="noConversion"/>
  </si>
  <si>
    <t xml:space="preserve"> o 국내출장</t>
    <phoneticPr fontId="15" type="noConversion"/>
  </si>
  <si>
    <t xml:space="preserve"> o 건물관련보험(화재보험 등)</t>
    <phoneticPr fontId="14" type="noConversion"/>
  </si>
  <si>
    <t xml:space="preserve"> o 자문회의 등</t>
    <phoneticPr fontId="14" type="noConversion"/>
  </si>
  <si>
    <t xml:space="preserve"> o 전시자문수당</t>
    <phoneticPr fontId="15" type="noConversion"/>
  </si>
  <si>
    <t xml:space="preserve"> o 체험장비 임대</t>
    <phoneticPr fontId="15" type="noConversion"/>
  </si>
  <si>
    <t xml:space="preserve"> o 전시자문회의</t>
    <phoneticPr fontId="15" type="noConversion"/>
  </si>
  <si>
    <t xml:space="preserve">   1. 상설전시운영보조자인건비</t>
    <phoneticPr fontId="15" type="noConversion"/>
  </si>
  <si>
    <t xml:space="preserve">   2. 제경비(4대보험료, 연월차수당등)</t>
    <phoneticPr fontId="15" type="noConversion"/>
  </si>
  <si>
    <t xml:space="preserve"> o 학교연계,문화나눔 버스임차</t>
    <phoneticPr fontId="15" type="noConversion"/>
  </si>
  <si>
    <t xml:space="preserve"> o 학교연계,문화나눔 보험료</t>
    <phoneticPr fontId="15" type="noConversion"/>
  </si>
  <si>
    <t xml:space="preserve"> o 교육협의 회의</t>
    <phoneticPr fontId="14" type="noConversion"/>
  </si>
  <si>
    <t xml:space="preserve"> o 체험 소모품</t>
    <phoneticPr fontId="14" type="noConversion"/>
  </si>
  <si>
    <t xml:space="preserve"> o 숙식비</t>
    <phoneticPr fontId="15" type="noConversion"/>
  </si>
  <si>
    <t xml:space="preserve"> o 버스대여</t>
    <phoneticPr fontId="14" type="noConversion"/>
  </si>
  <si>
    <t xml:space="preserve"> o 소장품 종합보험 가입</t>
    <phoneticPr fontId="15" type="noConversion"/>
  </si>
  <si>
    <t xml:space="preserve"> o 문화해설사 교육 교재</t>
    <phoneticPr fontId="15" type="noConversion"/>
  </si>
  <si>
    <t xml:space="preserve"> o 여행자보험</t>
    <phoneticPr fontId="15" type="noConversion"/>
  </si>
  <si>
    <t xml:space="preserve"> o 행사운영비</t>
    <phoneticPr fontId="15" type="noConversion"/>
  </si>
  <si>
    <t xml:space="preserve"> o 간담회비</t>
    <phoneticPr fontId="15" type="noConversion"/>
  </si>
  <si>
    <t xml:space="preserve"> o 피복비</t>
    <phoneticPr fontId="15" type="noConversion"/>
  </si>
  <si>
    <t xml:space="preserve"> o 북카페 교육프로그램 강사비</t>
    <phoneticPr fontId="15" type="noConversion"/>
  </si>
  <si>
    <t xml:space="preserve"> o 도서관 연계 사업 행사운영비</t>
    <phoneticPr fontId="15" type="noConversion"/>
  </si>
  <si>
    <t xml:space="preserve"> o 교육영상콘텐츠제작</t>
    <phoneticPr fontId="15" type="noConversion"/>
  </si>
  <si>
    <t xml:space="preserve"> o 실학기행</t>
    <phoneticPr fontId="15" type="noConversion"/>
  </si>
  <si>
    <t xml:space="preserve"> o 중앙홀 개선 및 시설확충</t>
    <phoneticPr fontId="15" type="noConversion"/>
  </si>
  <si>
    <t xml:space="preserve"> o 직원MT, 건강검진 (정규직 12명, 기간제 4명)</t>
    <phoneticPr fontId="15" type="noConversion"/>
  </si>
  <si>
    <t xml:space="preserve"> o 직무교육</t>
    <phoneticPr fontId="15" type="noConversion"/>
  </si>
  <si>
    <t xml:space="preserve">   1. 문화해설사 활동비</t>
    <phoneticPr fontId="15" type="noConversion"/>
  </si>
  <si>
    <t xml:space="preserve">   2. 문화해설사 교육 강사료</t>
    <phoneticPr fontId="15" type="noConversion"/>
  </si>
  <si>
    <t xml:space="preserve">   3. 문화해설사 교육 원고료</t>
    <phoneticPr fontId="15" type="noConversion"/>
  </si>
  <si>
    <t xml:space="preserve">   1. 실학관련 도서 및 DVD구입</t>
    <phoneticPr fontId="15" type="noConversion"/>
  </si>
  <si>
    <t xml:space="preserve">   2. 관람객 도서 구입</t>
    <phoneticPr fontId="15" type="noConversion"/>
  </si>
  <si>
    <t xml:space="preserve">   2. 전화,인터넷요금</t>
    <phoneticPr fontId="15" type="noConversion"/>
  </si>
  <si>
    <t xml:space="preserve">   1. 사무용집기 및 비품 구입</t>
    <phoneticPr fontId="15" type="noConversion"/>
  </si>
  <si>
    <t xml:space="preserve">   2. 사무용 PC구입(내용연수 경과)</t>
    <phoneticPr fontId="15" type="noConversion"/>
  </si>
  <si>
    <t xml:space="preserve">   3. 유물촬영장비 세트(카메라, 삼각대, 조명세트, 배경세트 등)</t>
    <phoneticPr fontId="15" type="noConversion"/>
  </si>
  <si>
    <t xml:space="preserve">   4. 홈페이지 운영 프로그램</t>
    <phoneticPr fontId="15" type="noConversion"/>
  </si>
  <si>
    <t xml:space="preserve">   5. PC 운영 프로그램 구입</t>
    <phoneticPr fontId="15" type="noConversion"/>
  </si>
  <si>
    <t xml:space="preserve">   1. 영상,전시장비 교체</t>
    <phoneticPr fontId="14" type="noConversion"/>
  </si>
  <si>
    <t xml:space="preserve">   2. 안내문,네임택,전시디자인 변경</t>
    <phoneticPr fontId="14" type="noConversion"/>
  </si>
  <si>
    <t xml:space="preserve">   1. 에듀케이터 인건비(급식,교통보조,격오지보조 포함)</t>
    <phoneticPr fontId="15" type="noConversion"/>
  </si>
  <si>
    <t xml:space="preserve">   2. 제경비(4대 보험료, 연월차수당 포함)</t>
    <phoneticPr fontId="15" type="noConversion"/>
  </si>
  <si>
    <t xml:space="preserve">   1. 학교연계교육 교재 제작</t>
    <phoneticPr fontId="14" type="noConversion"/>
  </si>
  <si>
    <t xml:space="preserve">   2. 주말.방학체험 교재 제작</t>
    <phoneticPr fontId="14" type="noConversion"/>
  </si>
  <si>
    <t xml:space="preserve">   3. 문화나눔교육 교재 제작</t>
    <phoneticPr fontId="14" type="noConversion"/>
  </si>
  <si>
    <t xml:space="preserve">   4. 교육 종합안내 리플렛 제작 </t>
    <phoneticPr fontId="15" type="noConversion"/>
  </si>
  <si>
    <t xml:space="preserve">   5. 교육자료집 발간</t>
    <phoneticPr fontId="15" type="noConversion"/>
  </si>
  <si>
    <t xml:space="preserve">   1. 학교연계교육 재료비</t>
    <phoneticPr fontId="14" type="noConversion"/>
  </si>
  <si>
    <t xml:space="preserve">   2. 주말.방학체험 재료비</t>
    <phoneticPr fontId="14" type="noConversion"/>
  </si>
  <si>
    <t xml:space="preserve">   3. 문화나눔교육 재료비</t>
    <phoneticPr fontId="14" type="noConversion"/>
  </si>
  <si>
    <t xml:space="preserve">   4. 실학한마당 재료비</t>
    <phoneticPr fontId="15" type="noConversion"/>
  </si>
  <si>
    <t xml:space="preserve">   5. 홍보물(현수막,배너) 제작</t>
    <phoneticPr fontId="15" type="noConversion"/>
  </si>
  <si>
    <t xml:space="preserve">   1. 학교연계교육 강사료</t>
    <phoneticPr fontId="14" type="noConversion"/>
  </si>
  <si>
    <t xml:space="preserve">   2. 주말.방학체험 강사료</t>
    <phoneticPr fontId="14" type="noConversion"/>
  </si>
  <si>
    <t xml:space="preserve">   3. 문화나눔교육 강사료</t>
    <phoneticPr fontId="14" type="noConversion"/>
  </si>
  <si>
    <t xml:space="preserve">   4. 실학한마당 강사료</t>
    <phoneticPr fontId="15" type="noConversion"/>
  </si>
  <si>
    <t xml:space="preserve">   5. 실학아카데미 강사료</t>
    <phoneticPr fontId="15" type="noConversion"/>
  </si>
  <si>
    <t xml:space="preserve">   1. 학교연계교육 운영</t>
    <phoneticPr fontId="14" type="noConversion"/>
  </si>
  <si>
    <t xml:space="preserve">   2. 주말.방학체험 운영</t>
    <phoneticPr fontId="14" type="noConversion"/>
  </si>
  <si>
    <t xml:space="preserve">   3. 문화나눔교육 운영</t>
    <phoneticPr fontId="14" type="noConversion"/>
  </si>
  <si>
    <t xml:space="preserve">   4. 실학한마당  운영</t>
    <phoneticPr fontId="15" type="noConversion"/>
  </si>
  <si>
    <t xml:space="preserve">   5. 실학아카데미 운영</t>
    <phoneticPr fontId="15" type="noConversion"/>
  </si>
  <si>
    <t>- 직원</t>
    <phoneticPr fontId="15" type="noConversion"/>
  </si>
  <si>
    <t xml:space="preserve">   1. 기관운영일반업무추진비(센터장)</t>
    <phoneticPr fontId="15" type="noConversion"/>
  </si>
  <si>
    <t xml:space="preserve"> o 기관운영일반업무추진비</t>
    <phoneticPr fontId="14" type="noConversion"/>
  </si>
  <si>
    <t xml:space="preserve">   6. 시책업무추진비(사업추진)</t>
    <phoneticPr fontId="15" type="noConversion"/>
  </si>
  <si>
    <t xml:space="preserve">   2. 시책업무추진비(사업추진)</t>
    <phoneticPr fontId="15" type="noConversion"/>
  </si>
  <si>
    <t xml:space="preserve">   2. 시책업무추진비(사업추진)</t>
    <phoneticPr fontId="14" type="noConversion"/>
  </si>
  <si>
    <t>– 임직원</t>
    <phoneticPr fontId="15" type="noConversion"/>
  </si>
  <si>
    <t xml:space="preserve"> o 직원 직무교육</t>
    <phoneticPr fontId="14" type="noConversion"/>
  </si>
  <si>
    <t xml:space="preserve">     - 직원</t>
    <phoneticPr fontId="15" type="noConversion"/>
  </si>
  <si>
    <t xml:space="preserve"> o 감사, 자문위원회의 등 식음료비</t>
    <phoneticPr fontId="14" type="noConversion"/>
  </si>
  <si>
    <t xml:space="preserve"> o 국외출장</t>
    <phoneticPr fontId="15" type="noConversion"/>
  </si>
  <si>
    <t xml:space="preserve"> o 배너 제작 </t>
    <phoneticPr fontId="15" type="noConversion"/>
  </si>
  <si>
    <t xml:space="preserve"> o 운영 회의</t>
    <phoneticPr fontId="15" type="noConversion"/>
  </si>
  <si>
    <t xml:space="preserve"> o 체험활동지 인쇄</t>
    <phoneticPr fontId="15" type="noConversion"/>
  </si>
  <si>
    <t xml:space="preserve"> o 전시물 운영물품 구입</t>
    <phoneticPr fontId="15" type="noConversion"/>
  </si>
  <si>
    <t xml:space="preserve"> o 국내외 정기간행물 구독 </t>
    <phoneticPr fontId="15" type="noConversion"/>
  </si>
  <si>
    <t xml:space="preserve"> o 공기청정기 대여</t>
    <phoneticPr fontId="15" type="noConversion"/>
  </si>
  <si>
    <t xml:space="preserve"> o 통신료 </t>
    <phoneticPr fontId="15" type="noConversion"/>
  </si>
  <si>
    <t xml:space="preserve"> o 전시회의비</t>
    <phoneticPr fontId="15" type="noConversion"/>
  </si>
  <si>
    <t xml:space="preserve"> o 전시 보수</t>
    <phoneticPr fontId="15" type="noConversion"/>
  </si>
  <si>
    <t xml:space="preserve"> o 전시 운영물품</t>
    <phoneticPr fontId="15" type="noConversion"/>
  </si>
  <si>
    <t xml:space="preserve"> o 우편물발송</t>
    <phoneticPr fontId="15" type="noConversion"/>
  </si>
  <si>
    <t xml:space="preserve"> o 전시운송비</t>
    <phoneticPr fontId="15" type="noConversion"/>
  </si>
  <si>
    <t xml:space="preserve"> o 전시장 안전요원(지킴이) 및 테크니션 용역비</t>
    <phoneticPr fontId="15" type="noConversion"/>
  </si>
  <si>
    <t xml:space="preserve"> o 보조인력</t>
    <phoneticPr fontId="15" type="noConversion"/>
  </si>
  <si>
    <t xml:space="preserve"> o 전시유지관리</t>
    <phoneticPr fontId="15" type="noConversion"/>
  </si>
  <si>
    <t xml:space="preserve"> o 시설공사 및 개선</t>
    <phoneticPr fontId="15" type="noConversion"/>
  </si>
  <si>
    <t xml:space="preserve"> o 하드웨어 구축(프로젝터 및 드로잉패드 등)</t>
    <phoneticPr fontId="15" type="noConversion"/>
  </si>
  <si>
    <t xml:space="preserve"> o 기획 및 운영회비</t>
    <phoneticPr fontId="15" type="noConversion"/>
  </si>
  <si>
    <t xml:space="preserve"> o 결과자료집 제작</t>
    <phoneticPr fontId="15" type="noConversion"/>
  </si>
  <si>
    <t xml:space="preserve"> o 교구재 구입</t>
    <phoneticPr fontId="15" type="noConversion"/>
  </si>
  <si>
    <t xml:space="preserve"> o 프로그램 기획관련 국내 출장 </t>
    <phoneticPr fontId="15" type="noConversion"/>
  </si>
  <si>
    <t xml:space="preserve"> o 교육전시 공간 설치 및 철거</t>
    <phoneticPr fontId="15" type="noConversion"/>
  </si>
  <si>
    <t xml:space="preserve"> o 기획 및 운영 회의</t>
    <phoneticPr fontId="15" type="noConversion"/>
  </si>
  <si>
    <t xml:space="preserve"> o 프로그램 운영 소모품 </t>
    <phoneticPr fontId="15" type="noConversion"/>
  </si>
  <si>
    <t xml:space="preserve"> o 프로그램 보조강사 </t>
    <phoneticPr fontId="15" type="noConversion"/>
  </si>
  <si>
    <t xml:space="preserve"> o 재활용품 수급 차량입차</t>
    <phoneticPr fontId="15" type="noConversion"/>
  </si>
  <si>
    <t xml:space="preserve"> o 특별프로그램 행사 운영 </t>
    <phoneticPr fontId="15" type="noConversion"/>
  </si>
  <si>
    <t xml:space="preserve"> o 홍보 및 디자인 인건비</t>
    <phoneticPr fontId="15" type="noConversion"/>
  </si>
  <si>
    <t xml:space="preserve"> o 소프트웨어 렌트비</t>
    <phoneticPr fontId="15" type="noConversion"/>
  </si>
  <si>
    <t xml:space="preserve"> o 홍보물 기념품 구입비</t>
    <phoneticPr fontId="15" type="noConversion"/>
  </si>
  <si>
    <t xml:space="preserve"> o 크리스마스 환경 구성</t>
    <phoneticPr fontId="15" type="noConversion"/>
  </si>
  <si>
    <t xml:space="preserve"> o 고객서비스 이벤트</t>
    <phoneticPr fontId="15" type="noConversion"/>
  </si>
  <si>
    <t xml:space="preserve"> o 기자간담회, 홍보관련 회의</t>
    <phoneticPr fontId="15" type="noConversion"/>
  </si>
  <si>
    <t xml:space="preserve"> o 차량 보험비</t>
    <phoneticPr fontId="15" type="noConversion"/>
  </si>
  <si>
    <t xml:space="preserve"> o 운영소모품</t>
    <phoneticPr fontId="15" type="noConversion"/>
  </si>
  <si>
    <t xml:space="preserve"> o 유니폼세탁비</t>
    <phoneticPr fontId="15" type="noConversion"/>
  </si>
  <si>
    <t xml:space="preserve"> o 교육강사비</t>
    <phoneticPr fontId="15" type="noConversion"/>
  </si>
  <si>
    <t xml:space="preserve"> o 봉사자의날 행사 운영비</t>
    <phoneticPr fontId="15" type="noConversion"/>
  </si>
  <si>
    <t xml:space="preserve"> o 유니폼구입</t>
    <phoneticPr fontId="15" type="noConversion"/>
  </si>
  <si>
    <t xml:space="preserve"> o 관련 도서 구입</t>
    <phoneticPr fontId="15" type="noConversion"/>
  </si>
  <si>
    <t xml:space="preserve"> o 교육실 시설유지보수</t>
    <phoneticPr fontId="15" type="noConversion"/>
  </si>
  <si>
    <t xml:space="preserve"> o 기획 및 운영회의비</t>
    <phoneticPr fontId="15" type="noConversion"/>
  </si>
  <si>
    <t xml:space="preserve"> o 소모품 구입  </t>
    <phoneticPr fontId="15" type="noConversion"/>
  </si>
  <si>
    <t xml:space="preserve"> o 상품구입비</t>
    <phoneticPr fontId="15" type="noConversion"/>
  </si>
  <si>
    <t xml:space="preserve"> o 직원MT, 건강검진</t>
    <phoneticPr fontId="15" type="noConversion"/>
  </si>
  <si>
    <t xml:space="preserve">   2. 차량유지관리(차량유류및관람객 유류 등)</t>
    <phoneticPr fontId="15" type="noConversion"/>
  </si>
  <si>
    <t xml:space="preserve">   2. 물가자료지정기구독</t>
    <phoneticPr fontId="15" type="noConversion"/>
  </si>
  <si>
    <t xml:space="preserve">   1. 업무용차량 임차료</t>
    <phoneticPr fontId="15" type="noConversion"/>
  </si>
  <si>
    <t xml:space="preserve">   2. 정수기, 공기청정기, 비데 등 임차료</t>
    <phoneticPr fontId="15" type="noConversion"/>
  </si>
  <si>
    <t xml:space="preserve">   1. 전화요금 및 인터넷 회선사용료</t>
    <phoneticPr fontId="15" type="noConversion"/>
  </si>
  <si>
    <t xml:space="preserve">   2. 우편물 발송</t>
    <phoneticPr fontId="15" type="noConversion"/>
  </si>
  <si>
    <t xml:space="preserve">   4. 스마트 패드 통신비</t>
    <phoneticPr fontId="15" type="noConversion"/>
  </si>
  <si>
    <t xml:space="preserve"> o 운영자문회의 자문 외</t>
    <phoneticPr fontId="15" type="noConversion"/>
  </si>
  <si>
    <t xml:space="preserve">   1. 프로그램 주강사료 </t>
    <phoneticPr fontId="15" type="noConversion"/>
  </si>
  <si>
    <t xml:space="preserve">   2. 프로그램 보조강사료 </t>
    <phoneticPr fontId="15" type="noConversion"/>
  </si>
  <si>
    <t>경기생활문화 플랫폼</t>
    <phoneticPr fontId="15" type="noConversion"/>
  </si>
  <si>
    <t xml:space="preserve"> o 자문, 심의,기획회의 등</t>
    <phoneticPr fontId="15" type="noConversion"/>
  </si>
  <si>
    <t xml:space="preserve">   1. 전문가 활용비</t>
    <phoneticPr fontId="15" type="noConversion"/>
  </si>
  <si>
    <t xml:space="preserve">   2. 단기인력</t>
    <phoneticPr fontId="15" type="noConversion"/>
  </si>
  <si>
    <t xml:space="preserve">   1. 현장사진 촬영 등</t>
    <phoneticPr fontId="15" type="noConversion"/>
  </si>
  <si>
    <t xml:space="preserve">   2. 행사운영 용역 등</t>
    <phoneticPr fontId="15" type="noConversion"/>
  </si>
  <si>
    <t xml:space="preserve">   3. 영상촬영 및 제작 등</t>
    <phoneticPr fontId="15" type="noConversion"/>
  </si>
  <si>
    <t xml:space="preserve">   1. 사무기기, 기자재 등 임차</t>
    <phoneticPr fontId="15" type="noConversion"/>
  </si>
  <si>
    <t xml:space="preserve">   2. 행사장소 및 장비 임차</t>
    <phoneticPr fontId="15" type="noConversion"/>
  </si>
  <si>
    <t xml:space="preserve">   3. 차량 임차 등</t>
    <phoneticPr fontId="15" type="noConversion"/>
  </si>
  <si>
    <t xml:space="preserve">   1. 일반 공모</t>
    <phoneticPr fontId="15" type="noConversion"/>
  </si>
  <si>
    <t xml:space="preserve">   2. 기획 공모</t>
    <phoneticPr fontId="15" type="noConversion"/>
  </si>
  <si>
    <t xml:space="preserve">   3. 기획 공모</t>
    <phoneticPr fontId="15" type="noConversion"/>
  </si>
  <si>
    <t xml:space="preserve">   4. 모니터링단 지원금</t>
    <phoneticPr fontId="15" type="noConversion"/>
  </si>
  <si>
    <t xml:space="preserve">   1. 청년창업 컨설팅, 교육 사례비</t>
    <phoneticPr fontId="15" type="noConversion"/>
  </si>
  <si>
    <t xml:space="preserve">   2. 청년실험프로젝트 심사</t>
    <phoneticPr fontId="15" type="noConversion"/>
  </si>
  <si>
    <t xml:space="preserve">   3. 청년입주단체 심사</t>
    <phoneticPr fontId="15" type="noConversion"/>
  </si>
  <si>
    <t xml:space="preserve">   4. 전문가 자문</t>
    <phoneticPr fontId="15" type="noConversion"/>
  </si>
  <si>
    <t xml:space="preserve">   1. 청년실험프로젝트 OT, 현장설명회 등</t>
    <phoneticPr fontId="15" type="noConversion"/>
  </si>
  <si>
    <t xml:space="preserve">   2. 멤버쉽 교류, 네트워크 행사</t>
    <phoneticPr fontId="15" type="noConversion"/>
  </si>
  <si>
    <t xml:space="preserve">   5. 청소년 프로그램(장인워크숍,노동의맛,비밀의 숲)</t>
    <phoneticPr fontId="15" type="noConversion"/>
  </si>
  <si>
    <t xml:space="preserve">   1. 공모 심사비</t>
    <phoneticPr fontId="15" type="noConversion"/>
  </si>
  <si>
    <t xml:space="preserve">   2. 모니터링 사례비</t>
    <phoneticPr fontId="15" type="noConversion"/>
  </si>
  <si>
    <t xml:space="preserve"> o 모바일, PC용 전자책, 오디오북 도입</t>
    <phoneticPr fontId="15" type="noConversion"/>
  </si>
  <si>
    <t xml:space="preserve"> o 심사수당 등</t>
    <phoneticPr fontId="15" type="noConversion"/>
  </si>
  <si>
    <t xml:space="preserve"> o 택배비</t>
    <phoneticPr fontId="15" type="noConversion"/>
  </si>
  <si>
    <t xml:space="preserve"> o 교육 강사료</t>
    <phoneticPr fontId="15" type="noConversion"/>
  </si>
  <si>
    <t xml:space="preserve"> o 교재 제작</t>
    <phoneticPr fontId="15" type="noConversion"/>
  </si>
  <si>
    <t xml:space="preserve"> o 교육 운영</t>
    <phoneticPr fontId="15" type="noConversion"/>
  </si>
  <si>
    <t xml:space="preserve"> o 서평지 제작</t>
    <phoneticPr fontId="15" type="noConversion"/>
  </si>
  <si>
    <t xml:space="preserve"> o 발표수당</t>
    <phoneticPr fontId="15" type="noConversion"/>
  </si>
  <si>
    <t xml:space="preserve"> o 세미나 진행</t>
    <phoneticPr fontId="15" type="noConversion"/>
  </si>
  <si>
    <t xml:space="preserve"> o 연감 책자 제작</t>
    <phoneticPr fontId="15" type="noConversion"/>
  </si>
  <si>
    <t xml:space="preserve"> o 총서 제작</t>
    <phoneticPr fontId="15" type="noConversion"/>
  </si>
  <si>
    <t xml:space="preserve"> o 개발회의 진행</t>
    <phoneticPr fontId="15" type="noConversion"/>
  </si>
  <si>
    <t xml:space="preserve"> o 공공도서관 직무교육</t>
    <phoneticPr fontId="15" type="noConversion"/>
  </si>
  <si>
    <t xml:space="preserve"> o 신규직원 연수</t>
    <phoneticPr fontId="15" type="noConversion"/>
  </si>
  <si>
    <t xml:space="preserve"> o 위탁수수료</t>
    <phoneticPr fontId="15" type="noConversion"/>
  </si>
  <si>
    <t xml:space="preserve">   1. 경기도 메모리 DB 구축</t>
    <phoneticPr fontId="15" type="noConversion"/>
  </si>
  <si>
    <t xml:space="preserve">   2. 테마콘텐츠 전시프로그램 개발</t>
    <phoneticPr fontId="15" type="noConversion"/>
  </si>
  <si>
    <t xml:space="preserve">   3. 경기정명천년 콘텐츠 구축</t>
    <phoneticPr fontId="15" type="noConversion"/>
  </si>
  <si>
    <t xml:space="preserve">   4. 아카이브 관리 시스템 개발</t>
    <phoneticPr fontId="15" type="noConversion"/>
  </si>
  <si>
    <t xml:space="preserve">   1. 서버용 백신</t>
    <phoneticPr fontId="15" type="noConversion"/>
  </si>
  <si>
    <t xml:space="preserve">   2. 노후전산시스템 교체</t>
    <phoneticPr fontId="15" type="noConversion"/>
  </si>
  <si>
    <t xml:space="preserve">   1. 경기도사이버도서관시스템 확대 개편</t>
    <phoneticPr fontId="15" type="noConversion"/>
  </si>
  <si>
    <t xml:space="preserve">   2. 전자책 서비스기능 개선</t>
    <phoneticPr fontId="15" type="noConversion"/>
  </si>
  <si>
    <t xml:space="preserve">   1. 서평원고료</t>
    <phoneticPr fontId="15" type="noConversion"/>
  </si>
  <si>
    <t xml:space="preserve">   2. 강사료</t>
    <phoneticPr fontId="15" type="noConversion"/>
  </si>
  <si>
    <t xml:space="preserve">   3. 편집료(윤문,교정,교열)</t>
    <phoneticPr fontId="15" type="noConversion"/>
  </si>
  <si>
    <t xml:space="preserve">  1. 집중교육</t>
    <phoneticPr fontId="15" type="noConversion"/>
  </si>
  <si>
    <t xml:space="preserve">  2. 간담회</t>
    <phoneticPr fontId="15" type="noConversion"/>
  </si>
  <si>
    <t xml:space="preserve">   1. 독서의 달 기념 포스터 제작</t>
    <phoneticPr fontId="15" type="noConversion"/>
  </si>
  <si>
    <t xml:space="preserve">   2. 사이버도서관 홍보지 제작</t>
    <phoneticPr fontId="15" type="noConversion"/>
  </si>
  <si>
    <t xml:space="preserve">   2. 독서 및 도서관 관련 이벤트 심사</t>
    <phoneticPr fontId="15" type="noConversion"/>
  </si>
  <si>
    <t xml:space="preserve">   3. 다독다독축제 강연</t>
    <phoneticPr fontId="15" type="noConversion"/>
  </si>
  <si>
    <t xml:space="preserve">   1. 독서의 달 표어 공모</t>
    <phoneticPr fontId="15" type="noConversion"/>
  </si>
  <si>
    <t xml:space="preserve">   2. 독서 및 도서관 관련 이벤트</t>
    <phoneticPr fontId="15" type="noConversion"/>
  </si>
  <si>
    <t xml:space="preserve">   3. 전국도서관대회 홍보관 운영</t>
    <phoneticPr fontId="15" type="noConversion"/>
  </si>
  <si>
    <t xml:space="preserve">   4. 다독다독 축제 운영</t>
    <phoneticPr fontId="15" type="noConversion"/>
  </si>
  <si>
    <t xml:space="preserve">   1. 총서원고료</t>
    <phoneticPr fontId="15" type="noConversion"/>
  </si>
  <si>
    <t xml:space="preserve">   2. 심사수당 등</t>
    <phoneticPr fontId="15" type="noConversion"/>
  </si>
  <si>
    <t>고유목적</t>
    <phoneticPr fontId="15" type="noConversion"/>
  </si>
  <si>
    <t xml:space="preserve"> 사업수입</t>
    <phoneticPr fontId="15" type="noConversion"/>
  </si>
  <si>
    <t xml:space="preserve"> 사업외수입</t>
    <phoneticPr fontId="15" type="noConversion"/>
  </si>
  <si>
    <t>소 계</t>
    <phoneticPr fontId="15" type="noConversion"/>
  </si>
  <si>
    <t>대행위탁</t>
    <phoneticPr fontId="15" type="noConversion"/>
  </si>
  <si>
    <t>구분</t>
    <phoneticPr fontId="15" type="noConversion"/>
  </si>
  <si>
    <t>경기도박물관</t>
    <phoneticPr fontId="15" type="noConversion"/>
  </si>
  <si>
    <t>예비비</t>
    <phoneticPr fontId="15" type="noConversion"/>
  </si>
  <si>
    <t>합   계</t>
    <phoneticPr fontId="15" type="noConversion"/>
  </si>
  <si>
    <t>소   계</t>
    <phoneticPr fontId="15" type="noConversion"/>
  </si>
  <si>
    <t>증감</t>
    <phoneticPr fontId="15" type="noConversion"/>
  </si>
  <si>
    <t>증감율</t>
    <phoneticPr fontId="15" type="noConversion"/>
  </si>
  <si>
    <t>대행위탁
(위탁사업)</t>
    <phoneticPr fontId="15" type="noConversion"/>
  </si>
  <si>
    <t xml:space="preserve">   2. 교류사업(페스타)</t>
    <phoneticPr fontId="15" type="noConversion"/>
  </si>
  <si>
    <t>명*</t>
    <phoneticPr fontId="15" type="noConversion"/>
  </si>
  <si>
    <t>부*</t>
    <phoneticPr fontId="15" type="noConversion"/>
  </si>
  <si>
    <t>회*</t>
    <phoneticPr fontId="15" type="noConversion"/>
  </si>
  <si>
    <t xml:space="preserve"> 원*</t>
    <phoneticPr fontId="15" type="noConversion"/>
  </si>
  <si>
    <t>회</t>
    <phoneticPr fontId="15" type="noConversion"/>
  </si>
  <si>
    <t>o 문화소식지 추가제작 : 2017년 1월, 2월호
 - 사유 : 소식지 제작일정이 전월 중순에 진행됨에 따라 제작비 명시이월
          (제작비 및 이미지 저작권료 지급)
 - 내역 : 지급용역료 3,600천원, 지급수수료 600천원</t>
    <phoneticPr fontId="15" type="noConversion"/>
  </si>
  <si>
    <t>기간정정</t>
    <phoneticPr fontId="15" type="noConversion"/>
  </si>
  <si>
    <t xml:space="preserve"> </t>
    <phoneticPr fontId="15" type="noConversion"/>
  </si>
  <si>
    <t>학술용역수입</t>
    <phoneticPr fontId="15" type="noConversion"/>
  </si>
  <si>
    <t xml:space="preserve">  - 전곡선사박물관 연천지질팀방 (연천군)</t>
    <phoneticPr fontId="15" type="noConversion"/>
  </si>
  <si>
    <t xml:space="preserve">  - 문화예술본부 경기학연구센터 연천 유엔화장장시설 기록화 조사 용역사업 (연천군)</t>
    <phoneticPr fontId="15" type="noConversion"/>
  </si>
  <si>
    <t xml:space="preserve">  - 경기도미술관 국제전 (주한독일문화원)</t>
    <phoneticPr fontId="15" type="noConversion"/>
  </si>
  <si>
    <t>노후공립박물관 안전 및 관람환경 개선사업</t>
    <phoneticPr fontId="15" type="noConversion"/>
  </si>
  <si>
    <t xml:space="preserve">  - 정책실 노후공립박물관안전 및 관람환경개선 (경기도)</t>
    <phoneticPr fontId="15" type="noConversion"/>
  </si>
  <si>
    <t>2017 경기도 문화영향평가</t>
    <phoneticPr fontId="15" type="noConversion"/>
  </si>
  <si>
    <t>=</t>
    <phoneticPr fontId="15" type="noConversion"/>
  </si>
  <si>
    <t>2017 아트경기 운영</t>
    <phoneticPr fontId="15" type="noConversion"/>
  </si>
  <si>
    <t>2017 벌터 문화마을 만들기</t>
    <phoneticPr fontId="15" type="noConversion"/>
  </si>
  <si>
    <t>2017 에코뮤지엄 조성사업</t>
    <phoneticPr fontId="15" type="noConversion"/>
  </si>
  <si>
    <t>2017 제부도명소화 문화재생</t>
    <phoneticPr fontId="15" type="noConversion"/>
  </si>
  <si>
    <t>연강 갤러리 운영</t>
    <phoneticPr fontId="15" type="noConversion"/>
  </si>
  <si>
    <t>2017 남한산성 옛길 조성사업</t>
    <phoneticPr fontId="15" type="noConversion"/>
  </si>
  <si>
    <t>2017 경기 전통문화 활성화</t>
    <phoneticPr fontId="15" type="noConversion"/>
  </si>
  <si>
    <t>2017 경기도 지정문화재 내진진단사업</t>
    <phoneticPr fontId="15" type="noConversion"/>
  </si>
  <si>
    <t xml:space="preserve">  - 경기문화재연구원 경기도 지정문화재 내진진단사업 (경기도)</t>
    <phoneticPr fontId="15" type="noConversion"/>
  </si>
  <si>
    <t>2017 북한산성 연구보존 및 활성화</t>
    <phoneticPr fontId="15" type="noConversion"/>
  </si>
  <si>
    <t xml:space="preserve">  - 경기문화재연구원 북한산성 연구보존 및 활성화 (경기도)</t>
    <phoneticPr fontId="15" type="noConversion"/>
  </si>
  <si>
    <t>2017 경기도 문화재 원형 기록화</t>
    <phoneticPr fontId="15" type="noConversion"/>
  </si>
  <si>
    <t xml:space="preserve">  - 경기문화재연구원 경기도 문화재 원형 기록화 (경기도)</t>
    <phoneticPr fontId="15" type="noConversion"/>
  </si>
  <si>
    <t>2017 세계유산 학술조사</t>
    <phoneticPr fontId="15" type="noConversion"/>
  </si>
  <si>
    <t xml:space="preserve">  - 경기문화재연구원 북한산성 유네스코 세계유산 잠정목록 등재신청을 위한 학술조사 (고양시)</t>
    <phoneticPr fontId="15" type="noConversion"/>
  </si>
  <si>
    <t>K-Rock 빌리지 조성</t>
    <phoneticPr fontId="15" type="noConversion"/>
  </si>
  <si>
    <t>경기도 청년신진작가 공모전</t>
    <phoneticPr fontId="15" type="noConversion"/>
  </si>
  <si>
    <t xml:space="preserve">  - 경기도미술관 K-Rock 빌리지 조성 (동두천시)</t>
    <phoneticPr fontId="15" type="noConversion"/>
  </si>
  <si>
    <t xml:space="preserve">  - 경기도미술관 청년신진작가 공모전 (경기도)</t>
    <phoneticPr fontId="15" type="noConversion"/>
  </si>
  <si>
    <t xml:space="preserve"> 2017 인생나눔교실</t>
    <phoneticPr fontId="15" type="noConversion"/>
  </si>
  <si>
    <t xml:space="preserve">  - 문화예술본부 북부문화사업단 2017 인생나눔교실 (한국문화예술위원회)</t>
    <phoneticPr fontId="15" type="noConversion"/>
  </si>
  <si>
    <t xml:space="preserve"> 2017 교육나눔사업</t>
    <phoneticPr fontId="15" type="noConversion"/>
  </si>
  <si>
    <t xml:space="preserve">  - 경기도박물관, 경기도미술관, 백남준아트센터, 실학박물관 경기교육나눔사업 (경기도)</t>
    <phoneticPr fontId="15" type="noConversion"/>
  </si>
  <si>
    <t xml:space="preserve"> 진로탐색 직업의식 향상교육사업</t>
    <phoneticPr fontId="15" type="noConversion"/>
  </si>
  <si>
    <t xml:space="preserve">  - 백남준아트센터 진로탐색 직업의식 향상교육사업 (경기도)</t>
    <phoneticPr fontId="15" type="noConversion"/>
  </si>
  <si>
    <t>지원금</t>
    <phoneticPr fontId="15" type="noConversion"/>
  </si>
  <si>
    <t xml:space="preserve"> 경기청년 및 대학생인턴지원</t>
    <phoneticPr fontId="15" type="noConversion"/>
  </si>
  <si>
    <t>실학 수장고 및 소장품 관리</t>
    <phoneticPr fontId="27" type="noConversion"/>
  </si>
  <si>
    <t>꿈다락 토요문화학교</t>
    <phoneticPr fontId="27" type="noConversion"/>
  </si>
  <si>
    <t xml:space="preserve">  - 실학박물관 2017공사립 대학박물관 소장품 DB화사업 (한국박물관협회)</t>
    <phoneticPr fontId="15" type="noConversion"/>
  </si>
  <si>
    <t>기부금 수입</t>
    <phoneticPr fontId="15" type="noConversion"/>
  </si>
  <si>
    <t>근로자 문화행사</t>
    <phoneticPr fontId="15" type="noConversion"/>
  </si>
  <si>
    <t xml:space="preserve"> o 근로자 문화행사</t>
    <phoneticPr fontId="15" type="noConversion"/>
  </si>
  <si>
    <t xml:space="preserve">   5. 지역 우수 특화사업 지원 등 (재단 2회추경)</t>
    <phoneticPr fontId="15" type="noConversion"/>
  </si>
  <si>
    <t xml:space="preserve"> o 보고서 인쇄</t>
    <phoneticPr fontId="15" type="noConversion"/>
  </si>
  <si>
    <t>연천 유엔화장장시설 기록화조사 용역사업</t>
    <phoneticPr fontId="15" type="noConversion"/>
  </si>
  <si>
    <t xml:space="preserve">  - 경기도미술관 오이도 뚝방 LED포토존 설치 (시흥시)</t>
    <phoneticPr fontId="15" type="noConversion"/>
  </si>
  <si>
    <t>시흥시 오이도 포토존</t>
    <phoneticPr fontId="15" type="noConversion"/>
  </si>
  <si>
    <t>경기 꿈의학교</t>
    <phoneticPr fontId="27" type="noConversion"/>
  </si>
  <si>
    <t xml:space="preserve">  - 전곡선사박물관 경기꿈의학교 (경기도교육청)</t>
    <phoneticPr fontId="15" type="noConversion"/>
  </si>
  <si>
    <t xml:space="preserve">  - 경기도어린이박물관 꿈다락 토요문화학교 (한국박물관협회)</t>
    <phoneticPr fontId="15" type="noConversion"/>
  </si>
  <si>
    <t xml:space="preserve">  - 경영본부 인사팀 경기청년 및 대학생인턴지원 (경기도 일자리재단)</t>
    <phoneticPr fontId="15" type="noConversion"/>
  </si>
  <si>
    <t>공공하는 예술</t>
    <phoneticPr fontId="15" type="noConversion"/>
  </si>
  <si>
    <t>예술로가로지르기</t>
    <phoneticPr fontId="15" type="noConversion"/>
  </si>
  <si>
    <t>신화와예술맥놀이</t>
    <phoneticPr fontId="15" type="noConversion"/>
  </si>
  <si>
    <t>기초협력기획지원</t>
    <phoneticPr fontId="15" type="noConversion"/>
  </si>
  <si>
    <t>정책실(외부재원)</t>
    <phoneticPr fontId="15" type="noConversion"/>
  </si>
  <si>
    <t>노후공립박물관안전및관람환경개선사업</t>
    <phoneticPr fontId="15" type="noConversion"/>
  </si>
  <si>
    <t>2017경기도문화영향평가</t>
    <phoneticPr fontId="15" type="noConversion"/>
  </si>
  <si>
    <t>청년일자리창출</t>
    <phoneticPr fontId="15" type="noConversion"/>
  </si>
  <si>
    <t>경기청년인턴지원</t>
    <phoneticPr fontId="15" type="noConversion"/>
  </si>
  <si>
    <t>아트캠페인</t>
    <phoneticPr fontId="15" type="noConversion"/>
  </si>
  <si>
    <t>2017아트경기운영</t>
    <phoneticPr fontId="15" type="noConversion"/>
  </si>
  <si>
    <t>벌터문화마을만들기</t>
    <phoneticPr fontId="15" type="noConversion"/>
  </si>
  <si>
    <t>한국문화예술위원회지원사업</t>
    <phoneticPr fontId="15" type="noConversion"/>
  </si>
  <si>
    <t>2017경기만에코뮤지엄조성</t>
    <phoneticPr fontId="15" type="noConversion"/>
  </si>
  <si>
    <t>2017제부도명소화문화재생</t>
    <phoneticPr fontId="15" type="noConversion"/>
  </si>
  <si>
    <t>연강갤러리운영</t>
    <phoneticPr fontId="15" type="noConversion"/>
  </si>
  <si>
    <t>2017남한산성옛길조성사업</t>
    <phoneticPr fontId="15" type="noConversion"/>
  </si>
  <si>
    <t>2017경기전통문화활성화사업</t>
    <phoneticPr fontId="15" type="noConversion"/>
  </si>
  <si>
    <t>청소년 역사교재 발간배포</t>
    <phoneticPr fontId="15" type="noConversion"/>
  </si>
  <si>
    <t>전통문화유산 기록화</t>
    <phoneticPr fontId="15" type="noConversion"/>
  </si>
  <si>
    <t>문화유산 활용</t>
    <phoneticPr fontId="15" type="noConversion"/>
  </si>
  <si>
    <t>2017경기도문화재원형기록화사업</t>
    <phoneticPr fontId="15" type="noConversion"/>
  </si>
  <si>
    <t>도지정무형문화재영상기록화</t>
    <phoneticPr fontId="15" type="noConversion"/>
  </si>
  <si>
    <t>경기도문화재총람제작</t>
    <phoneticPr fontId="15" type="noConversion"/>
  </si>
  <si>
    <t>2017북한산성연구보존및활성화</t>
    <phoneticPr fontId="15" type="noConversion"/>
  </si>
  <si>
    <t>잠재목록 등재계획</t>
    <phoneticPr fontId="15" type="noConversion"/>
  </si>
  <si>
    <t>사료총서 발간</t>
    <phoneticPr fontId="15" type="noConversion"/>
  </si>
  <si>
    <t>학술심포지엄 개최</t>
    <phoneticPr fontId="15" type="noConversion"/>
  </si>
  <si>
    <t>2017경기도지정문화재내진진단사업</t>
    <phoneticPr fontId="15" type="noConversion"/>
  </si>
  <si>
    <t>2017세계유산학술조사</t>
    <phoneticPr fontId="15" type="noConversion"/>
  </si>
  <si>
    <t>백남준아트센터(외부재원)</t>
    <phoneticPr fontId="15" type="noConversion"/>
  </si>
  <si>
    <t>교육프로그램운영</t>
    <phoneticPr fontId="15" type="noConversion"/>
  </si>
  <si>
    <t>경기교육나눔사업</t>
    <phoneticPr fontId="15" type="noConversion"/>
  </si>
  <si>
    <t>진로탐색직업의식향상교육</t>
    <phoneticPr fontId="15" type="noConversion"/>
  </si>
  <si>
    <t>동두천시 K-Rock빌리지조성</t>
    <phoneticPr fontId="15" type="noConversion"/>
  </si>
  <si>
    <t>동두천시 K-Rock홍보관조성</t>
    <phoneticPr fontId="15" type="noConversion"/>
  </si>
  <si>
    <t>동두천 거리예술 조성</t>
    <phoneticPr fontId="15" type="noConversion"/>
  </si>
  <si>
    <t>보산역 그래피티 조성</t>
    <phoneticPr fontId="15" type="noConversion"/>
  </si>
  <si>
    <t>동두천 K-Rock음악축제</t>
    <phoneticPr fontId="15" type="noConversion"/>
  </si>
  <si>
    <t>실학박물관(외부재원)</t>
    <phoneticPr fontId="15" type="noConversion"/>
  </si>
  <si>
    <t>실학소장품수집및관리</t>
    <phoneticPr fontId="15" type="noConversion"/>
  </si>
  <si>
    <t>실학수장고및소장품관리</t>
    <phoneticPr fontId="15" type="noConversion"/>
  </si>
  <si>
    <t>2017교육나눔사업</t>
    <phoneticPr fontId="15" type="noConversion"/>
  </si>
  <si>
    <t>전곡선사박물관(외부재원)</t>
    <phoneticPr fontId="15" type="noConversion"/>
  </si>
  <si>
    <t>2017경기꿈의학교</t>
    <phoneticPr fontId="15" type="noConversion"/>
  </si>
  <si>
    <t>문화예술본부</t>
  </si>
  <si>
    <t>경영본부</t>
    <phoneticPr fontId="15" type="noConversion"/>
  </si>
  <si>
    <t>경기도어린이박물관</t>
  </si>
  <si>
    <t>2017 어르신 문화즐김사업</t>
    <phoneticPr fontId="15" type="noConversion"/>
  </si>
  <si>
    <t xml:space="preserve">  - 문화예술본부 문예진흥팀 지역문화예술특성화 사업 (한국문화예술위원회, 경기도)</t>
    <phoneticPr fontId="15" type="noConversion"/>
  </si>
  <si>
    <t xml:space="preserve">  - 문화예술본부 문예진흥팀 공연장 상주단체육성 (한국문화예술위원회, 경기도)</t>
    <phoneticPr fontId="15" type="noConversion"/>
  </si>
  <si>
    <t xml:space="preserve">  - 문화예술본부 문예진흥팀 2016 경기학교예술강사 지원종료 (한국문화예술교육진흥원)</t>
    <phoneticPr fontId="15" type="noConversion"/>
  </si>
  <si>
    <t xml:space="preserve">  - 문화예술본부 문예진흥팀 경기문화예술교육지원센터 운영 (한국문화예술교육진흥원, 경기도)</t>
    <phoneticPr fontId="15" type="noConversion"/>
  </si>
  <si>
    <t xml:space="preserve">  - 문화예술본부 문예진흥팀 지역특성화 문화예술교육지원 사업 (한국문화예술교육진흥원, 경기도)</t>
    <phoneticPr fontId="15" type="noConversion"/>
  </si>
  <si>
    <t xml:space="preserve">  - 문화예술본부 문예진흥팀 토요문화학교 사업 (한국문화예술교육진흥원, 경기도)</t>
    <phoneticPr fontId="15" type="noConversion"/>
  </si>
  <si>
    <t xml:space="preserve">  - 문화예술본부 문예진흥팀 아트경기 운영 (경기도)</t>
    <phoneticPr fontId="15" type="noConversion"/>
  </si>
  <si>
    <t xml:space="preserve">  - 문화예술본부 경기창작센터 에코뮤지엄 조성사업 (경기도)</t>
    <phoneticPr fontId="15" type="noConversion"/>
  </si>
  <si>
    <t xml:space="preserve">  - 문화예술본부 경기창작센터 제부도 명소화 문화재생 (화성시)</t>
    <phoneticPr fontId="15" type="noConversion"/>
  </si>
  <si>
    <t xml:space="preserve">  - 문화예술본부 경기창작센터 연강갤러리 운영 (연천군)</t>
    <phoneticPr fontId="15" type="noConversion"/>
  </si>
  <si>
    <t xml:space="preserve">  - 문화예술본부 경기학연구센터 남한산성 옛길 조성사업 (경기도)</t>
    <phoneticPr fontId="15" type="noConversion"/>
  </si>
  <si>
    <t xml:space="preserve">  - 문화예술본부 경기학연구센터 경기 전통문화 활성화 (경기도)</t>
    <phoneticPr fontId="15" type="noConversion"/>
  </si>
  <si>
    <t xml:space="preserve">  - 문화예술본부 경기창작센터 시흥바라지 에코뮤지엄 (시흥시)</t>
    <phoneticPr fontId="15" type="noConversion"/>
  </si>
  <si>
    <t>2017 시흥바라지 에코뮤지엄</t>
    <phoneticPr fontId="15" type="noConversion"/>
  </si>
  <si>
    <t>대행위탁
(공기관대행사업
/ 보조금/지원금)</t>
    <phoneticPr fontId="15" type="noConversion"/>
  </si>
  <si>
    <t xml:space="preserve"> 공기관대행사업/보조금/지원금 총계</t>
    <phoneticPr fontId="15" type="noConversion"/>
  </si>
  <si>
    <t xml:space="preserve">  - 문화예술본부 지역문화팀 어르신 문화즐김 다양화 (경기도)</t>
    <phoneticPr fontId="15" type="noConversion"/>
  </si>
  <si>
    <t xml:space="preserve"> o 활동지 제작</t>
    <phoneticPr fontId="15" type="noConversion"/>
  </si>
  <si>
    <t>어르신 문화즐김 다양화</t>
    <phoneticPr fontId="15" type="noConversion"/>
  </si>
  <si>
    <t>어르신 물화즐김 다양화</t>
    <phoneticPr fontId="15" type="noConversion"/>
  </si>
  <si>
    <t>2017시흥바라지 에코뮤지엄</t>
    <phoneticPr fontId="15" type="noConversion"/>
  </si>
  <si>
    <t>창립주간 기념행사</t>
    <phoneticPr fontId="20" type="noConversion"/>
  </si>
  <si>
    <t>인지도 및 이미지 강화</t>
    <phoneticPr fontId="20" type="noConversion"/>
  </si>
  <si>
    <t>대</t>
    <phoneticPr fontId="21" type="noConversion"/>
  </si>
  <si>
    <t xml:space="preserve"> o 사업 전용 (경기도박물관 -&gt; 문예진흥팀)</t>
    <phoneticPr fontId="15" type="noConversion"/>
  </si>
  <si>
    <t xml:space="preserve"> o 사업 전용 (실학박물관 -&gt; 문예진흥팀)</t>
    <phoneticPr fontId="14" type="noConversion"/>
  </si>
  <si>
    <t>원*</t>
    <phoneticPr fontId="21" type="noConversion"/>
  </si>
  <si>
    <t>=</t>
    <phoneticPr fontId="21" type="noConversion"/>
  </si>
  <si>
    <t>경기도 문화유산 세계화 사업</t>
    <phoneticPr fontId="20" type="noConversion"/>
  </si>
  <si>
    <t xml:space="preserve"> o 참고서적 구입 등</t>
    <phoneticPr fontId="15" type="noConversion"/>
  </si>
  <si>
    <t xml:space="preserve">   1. 원고료</t>
    <phoneticPr fontId="15" type="noConversion"/>
  </si>
  <si>
    <t>구글 협력사업 아카이브 및 콘텐츠 활용</t>
    <phoneticPr fontId="20" type="noConversion"/>
  </si>
  <si>
    <t xml:space="preserve">   1. 소프트웨어 저작권 구입</t>
    <phoneticPr fontId="15" type="noConversion"/>
  </si>
  <si>
    <t xml:space="preserve"> o 각종 회의 개최</t>
    <phoneticPr fontId="15" type="noConversion"/>
  </si>
  <si>
    <t>체험교육프로그램 운영</t>
    <phoneticPr fontId="20" type="noConversion"/>
  </si>
  <si>
    <t xml:space="preserve"> o 프로그램 리플렛 제작</t>
    <phoneticPr fontId="15" type="noConversion"/>
  </si>
  <si>
    <t>보험료</t>
    <phoneticPr fontId="27" type="noConversion"/>
  </si>
  <si>
    <t xml:space="preserve"> o 여행자 보험</t>
    <phoneticPr fontId="15" type="noConversion"/>
  </si>
  <si>
    <t xml:space="preserve"> o 사무용 소모품 구입</t>
    <phoneticPr fontId="15" type="noConversion"/>
  </si>
  <si>
    <t>지급수수료</t>
    <phoneticPr fontId="27" type="noConversion"/>
  </si>
  <si>
    <t xml:space="preserve"> o 교육강사</t>
    <phoneticPr fontId="15" type="noConversion"/>
  </si>
  <si>
    <t>지금임차료</t>
    <phoneticPr fontId="27" type="noConversion"/>
  </si>
  <si>
    <t xml:space="preserve"> o 버스임차료</t>
    <phoneticPr fontId="15" type="noConversion"/>
  </si>
  <si>
    <t xml:space="preserve">   1. 교육체험 콘텐츠 제작</t>
    <phoneticPr fontId="15" type="noConversion"/>
  </si>
  <si>
    <t xml:space="preserve">   2. 영상 및 사진 촬영</t>
    <phoneticPr fontId="15" type="noConversion"/>
  </si>
  <si>
    <t>통신비</t>
    <phoneticPr fontId="27" type="noConversion"/>
  </si>
  <si>
    <t xml:space="preserve"> o 우편 발송 등</t>
    <phoneticPr fontId="15" type="noConversion"/>
  </si>
  <si>
    <t>통</t>
    <phoneticPr fontId="21" type="noConversion"/>
  </si>
  <si>
    <t xml:space="preserve">   1. 체험교육행사 개최</t>
    <phoneticPr fontId="15" type="noConversion"/>
  </si>
  <si>
    <t xml:space="preserve">   2. 특별행사 개최</t>
    <phoneticPr fontId="15" type="noConversion"/>
  </si>
  <si>
    <t>경기 컬쳐 빅데이터 경영구축</t>
    <phoneticPr fontId="20" type="noConversion"/>
  </si>
  <si>
    <t xml:space="preserve"> o 분석보고서 제작</t>
    <phoneticPr fontId="15" type="noConversion"/>
  </si>
  <si>
    <t>권</t>
    <phoneticPr fontId="21" type="noConversion"/>
  </si>
  <si>
    <t xml:space="preserve">   2. 사무용 및 전산 소모품</t>
    <phoneticPr fontId="15" type="noConversion"/>
  </si>
  <si>
    <t xml:space="preserve"> o 전문가 자문 등</t>
    <phoneticPr fontId="15" type="noConversion"/>
  </si>
  <si>
    <t xml:space="preserve">   1. 회의관련 임차료</t>
    <phoneticPr fontId="15" type="noConversion"/>
  </si>
  <si>
    <t xml:space="preserve">   2. 데이터분석프로그램 사용료</t>
    <phoneticPr fontId="15" type="noConversion"/>
  </si>
  <si>
    <t xml:space="preserve">   1. 여론조사 데이터수집</t>
    <phoneticPr fontId="15" type="noConversion"/>
  </si>
  <si>
    <t xml:space="preserve">   2. 소셜 데이터 분석 용역</t>
    <phoneticPr fontId="15" type="noConversion"/>
  </si>
  <si>
    <t xml:space="preserve">   3. 융합 데이터 분석 용역</t>
    <phoneticPr fontId="15" type="noConversion"/>
  </si>
  <si>
    <t>스마트 경영 학술연구</t>
    <phoneticPr fontId="20" type="noConversion"/>
  </si>
  <si>
    <t xml:space="preserve"> o 심사료</t>
    <phoneticPr fontId="15" type="noConversion"/>
  </si>
  <si>
    <t xml:space="preserve"> o 스마트 경영 학술연구 용역</t>
    <phoneticPr fontId="15" type="noConversion"/>
  </si>
  <si>
    <t xml:space="preserve"> o 각종 회의운영</t>
    <phoneticPr fontId="15" type="noConversion"/>
  </si>
  <si>
    <t>회원제 및 CRM시스템 구축</t>
    <phoneticPr fontId="20" type="noConversion"/>
  </si>
  <si>
    <t>뮤지엄파크 편의시설 개선</t>
    <phoneticPr fontId="20" type="noConversion"/>
  </si>
  <si>
    <t xml:space="preserve"> o 소모품비</t>
    <phoneticPr fontId="15" type="noConversion"/>
  </si>
  <si>
    <t xml:space="preserve"> o 뮤지엄파크 시설개선</t>
    <phoneticPr fontId="15" type="noConversion"/>
  </si>
  <si>
    <t>아트상품 개발 및 운영</t>
    <phoneticPr fontId="20" type="noConversion"/>
  </si>
  <si>
    <t xml:space="preserve"> o 아트샵 상품 구매</t>
    <phoneticPr fontId="15" type="noConversion"/>
  </si>
  <si>
    <t xml:space="preserve"> o 계약직 인건비(4대보험 포함)</t>
    <phoneticPr fontId="15" type="noConversion"/>
  </si>
  <si>
    <t xml:space="preserve">   1. 교재 인쇄물</t>
    <phoneticPr fontId="15" type="noConversion"/>
  </si>
  <si>
    <t xml:space="preserve">   2. 안내서 발간</t>
    <phoneticPr fontId="15" type="noConversion"/>
  </si>
  <si>
    <t xml:space="preserve">   1. 역사여행 원고료</t>
    <phoneticPr fontId="15" type="noConversion"/>
  </si>
  <si>
    <t xml:space="preserve">   2. 연수 강사료</t>
    <phoneticPr fontId="15" type="noConversion"/>
  </si>
  <si>
    <t xml:space="preserve">   3. 자문수당</t>
    <phoneticPr fontId="15" type="noConversion"/>
  </si>
  <si>
    <t xml:space="preserve">   4. 회의수당</t>
    <phoneticPr fontId="15" type="noConversion"/>
  </si>
  <si>
    <t xml:space="preserve">   1. 교사연수</t>
    <phoneticPr fontId="15" type="noConversion"/>
  </si>
  <si>
    <t xml:space="preserve">   2. 집필진 워크숍</t>
    <phoneticPr fontId="15" type="noConversion"/>
  </si>
  <si>
    <t>명*</t>
    <phoneticPr fontId="15" type="noConversion"/>
  </si>
  <si>
    <t xml:space="preserve"> o 우편료 및 책자 발송료</t>
    <phoneticPr fontId="15" type="noConversion"/>
  </si>
  <si>
    <t xml:space="preserve"> o 무형문화재 안내서 발간</t>
    <phoneticPr fontId="15" type="noConversion"/>
  </si>
  <si>
    <t xml:space="preserve">   1. 마을조사 원고료</t>
    <phoneticPr fontId="15" type="noConversion"/>
  </si>
  <si>
    <t xml:space="preserve">   2. 무형문화재 원고료</t>
    <phoneticPr fontId="15" type="noConversion"/>
  </si>
  <si>
    <t xml:space="preserve"> o 마을조사설명회 및 발간식</t>
    <phoneticPr fontId="15" type="noConversion"/>
  </si>
  <si>
    <t xml:space="preserve">   2. 심사비</t>
    <phoneticPr fontId="15" type="noConversion"/>
  </si>
  <si>
    <t xml:space="preserve"> o 지원비</t>
    <phoneticPr fontId="15" type="noConversion"/>
  </si>
  <si>
    <t xml:space="preserve">   1. PC 임차</t>
    <phoneticPr fontId="15" type="noConversion"/>
  </si>
  <si>
    <t xml:space="preserve">   2. 복합기 등 임차차량 임차</t>
    <phoneticPr fontId="15" type="noConversion"/>
  </si>
  <si>
    <t>지급용역료</t>
    <phoneticPr fontId="15" type="noConversion"/>
  </si>
  <si>
    <t xml:space="preserve"> o 계</t>
    <phoneticPr fontId="15" type="noConversion"/>
  </si>
  <si>
    <t xml:space="preserve">   1. 경기도박물관(패키지형하론소화설비보수 외 2건)</t>
    <phoneticPr fontId="15" type="noConversion"/>
  </si>
  <si>
    <t>원*</t>
    <phoneticPr fontId="15" type="noConversion"/>
  </si>
  <si>
    <t>식</t>
    <phoneticPr fontId="15" type="noConversion"/>
  </si>
  <si>
    <t>=</t>
    <phoneticPr fontId="15" type="noConversion"/>
  </si>
  <si>
    <t xml:space="preserve">   2. 어린이박물관 열차단필름시공</t>
  </si>
  <si>
    <t xml:space="preserve">   3. 경기도미술관 전시실 입구 조명개선</t>
    <phoneticPr fontId="15" type="noConversion"/>
  </si>
  <si>
    <t xml:space="preserve">   4. 백남준아트센터 지하 천장 마감재 교체</t>
    <phoneticPr fontId="15" type="noConversion"/>
  </si>
  <si>
    <t xml:space="preserve">   5. 실학박물관 외벽누수 보수</t>
    <phoneticPr fontId="15" type="noConversion"/>
  </si>
  <si>
    <t xml:space="preserve">   6. 전곡선사박물관 건축물 보수공사</t>
    <phoneticPr fontId="15" type="noConversion"/>
  </si>
  <si>
    <t>인건비</t>
    <phoneticPr fontId="15" type="noConversion"/>
  </si>
  <si>
    <t>명*</t>
    <phoneticPr fontId="15" type="noConversion"/>
  </si>
  <si>
    <t>월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</si>
  <si>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</si>
  <si>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</si>
  <si>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</si>
  <si>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회</t>
    <phoneticPr fontId="15" type="noConversion"/>
  </si>
  <si>
    <t>지급수수료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</si>
  <si>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</si>
  <si>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</si>
  <si>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  2. 4대 보험 등</t>
    <phoneticPr fontId="15" type="noConversion"/>
  </si>
  <si>
    <t xml:space="preserve"> o 자료집 제작</t>
    <phoneticPr fontId="15" type="noConversion"/>
  </si>
  <si>
    <t xml:space="preserve"> o 문화영향평가모델 개발 용역</t>
    <phoneticPr fontId="15" type="noConversion"/>
  </si>
  <si>
    <t xml:space="preserve"> o 전문가포럼 행사 운영</t>
    <phoneticPr fontId="15" type="noConversion"/>
  </si>
  <si>
    <t xml:space="preserve">   1. 계약직 인건비</t>
    <phoneticPr fontId="15" type="noConversion"/>
  </si>
  <si>
    <t xml:space="preserve">   3. 대행 수수료</t>
    <phoneticPr fontId="15" type="noConversion"/>
  </si>
  <si>
    <t xml:space="preserve">   1. 생활임금</t>
    <phoneticPr fontId="15" type="noConversion"/>
  </si>
  <si>
    <t xml:space="preserve">   2. 사측부담금</t>
    <phoneticPr fontId="15" type="noConversion"/>
  </si>
  <si>
    <t xml:space="preserve"> o 대행사 선정</t>
    <phoneticPr fontId="15" type="noConversion"/>
  </si>
  <si>
    <t xml:space="preserve">   2. 심사료</t>
    <phoneticPr fontId="15" type="noConversion"/>
  </si>
  <si>
    <t xml:space="preserve"> o 개소식 등 행사진행</t>
    <phoneticPr fontId="15" type="noConversion"/>
  </si>
  <si>
    <t xml:space="preserve">   1. 현수막, 배너 제작</t>
    <phoneticPr fontId="15" type="noConversion"/>
  </si>
  <si>
    <t xml:space="preserve"> o 기획, 심의, 현장회의 등</t>
    <phoneticPr fontId="15" type="noConversion"/>
  </si>
  <si>
    <t xml:space="preserve">공공하는예술 </t>
    <phoneticPr fontId="15" type="noConversion"/>
  </si>
  <si>
    <t>건내외</t>
    <phoneticPr fontId="15" type="noConversion"/>
  </si>
  <si>
    <t xml:space="preserve">   1. 자문 및 원고료</t>
    <phoneticPr fontId="15" type="noConversion"/>
  </si>
  <si>
    <t xml:space="preserve">   2. 코디네이터</t>
    <phoneticPr fontId="15" type="noConversion"/>
  </si>
  <si>
    <t xml:space="preserve">지급용역료 </t>
    <phoneticPr fontId="15" type="noConversion"/>
  </si>
  <si>
    <t xml:space="preserve"> o 아카이브 </t>
    <phoneticPr fontId="15" type="noConversion"/>
  </si>
  <si>
    <t xml:space="preserve">지급임차료 </t>
    <phoneticPr fontId="15" type="noConversion"/>
  </si>
  <si>
    <t xml:space="preserve"> o 장비임차</t>
    <phoneticPr fontId="15" type="noConversion"/>
  </si>
  <si>
    <t xml:space="preserve"> o 온오프라인광고 </t>
    <phoneticPr fontId="15" type="noConversion"/>
  </si>
  <si>
    <t xml:space="preserve"> o 기획회의</t>
    <phoneticPr fontId="15" type="noConversion"/>
  </si>
  <si>
    <t xml:space="preserve">예술로가로지르기 </t>
    <phoneticPr fontId="15" type="noConversion"/>
  </si>
  <si>
    <t xml:space="preserve"> o 자료집지원</t>
    <phoneticPr fontId="15" type="noConversion"/>
  </si>
  <si>
    <t xml:space="preserve">   1. 강의료</t>
    <phoneticPr fontId="15" type="noConversion"/>
  </si>
  <si>
    <t xml:space="preserve">   2. 녹취및번역</t>
    <phoneticPr fontId="15" type="noConversion"/>
  </si>
  <si>
    <t xml:space="preserve">   1. 영상</t>
    <phoneticPr fontId="15" type="noConversion"/>
  </si>
  <si>
    <t xml:space="preserve">   2.공연</t>
    <phoneticPr fontId="15" type="noConversion"/>
  </si>
  <si>
    <t xml:space="preserve"> o 버스임차</t>
    <phoneticPr fontId="15" type="noConversion"/>
  </si>
  <si>
    <t xml:space="preserve">신화와예술맥놀이 </t>
    <phoneticPr fontId="15" type="noConversion"/>
  </si>
  <si>
    <t xml:space="preserve">  1. 업무용차량 자동차보험</t>
    <phoneticPr fontId="15" type="noConversion"/>
  </si>
  <si>
    <t xml:space="preserve">  2. 건물화재보험</t>
    <phoneticPr fontId="15" type="noConversion"/>
  </si>
  <si>
    <t xml:space="preserve">  3. 기타보험료</t>
    <phoneticPr fontId="15" type="noConversion"/>
  </si>
  <si>
    <t xml:space="preserve">  1. 4~12월</t>
    <phoneticPr fontId="15" type="noConversion"/>
  </si>
  <si>
    <t xml:space="preserve">  2. 3월</t>
    <phoneticPr fontId="15" type="noConversion"/>
  </si>
  <si>
    <t xml:space="preserve">  1. 업무용차량 세금납부</t>
    <phoneticPr fontId="15" type="noConversion"/>
  </si>
  <si>
    <t xml:space="preserve">  2. 환경개선부담금</t>
    <phoneticPr fontId="15" type="noConversion"/>
  </si>
  <si>
    <t xml:space="preserve">  3. 법인균등할 주민세</t>
    <phoneticPr fontId="15" type="noConversion"/>
  </si>
  <si>
    <t xml:space="preserve">  1. 사무용기기 복사용지</t>
    <phoneticPr fontId="15" type="noConversion"/>
  </si>
  <si>
    <t xml:space="preserve">  2. 생수 사용료</t>
    <phoneticPr fontId="15" type="noConversion"/>
  </si>
  <si>
    <t xml:space="preserve">  3. 업무용 문구</t>
    <phoneticPr fontId="15" type="noConversion"/>
  </si>
  <si>
    <t xml:space="preserve">  4. 기타 소모품</t>
    <phoneticPr fontId="15" type="noConversion"/>
  </si>
  <si>
    <t xml:space="preserve">  1. 전산장비 유지관리</t>
    <phoneticPr fontId="15" type="noConversion"/>
  </si>
  <si>
    <t xml:space="preserve">  2. 시설 및 미화소모품</t>
    <phoneticPr fontId="15" type="noConversion"/>
  </si>
  <si>
    <t xml:space="preserve">  3. 차량 유지관리비</t>
    <phoneticPr fontId="15" type="noConversion"/>
  </si>
  <si>
    <t xml:space="preserve">  1. 청년문화 등 자료구입</t>
    <phoneticPr fontId="15" type="noConversion"/>
  </si>
  <si>
    <t xml:space="preserve">  2. 어린이라이브러리 자료구입</t>
    <phoneticPr fontId="15" type="noConversion"/>
  </si>
  <si>
    <t xml:space="preserve">  1. 업무용 컴퓨터</t>
    <phoneticPr fontId="15" type="noConversion"/>
  </si>
  <si>
    <t xml:space="preserve">  2. 사무기자재(노트북, 빔프로젝터, 복합기, 사무용가구 등)</t>
    <phoneticPr fontId="15" type="noConversion"/>
  </si>
  <si>
    <t xml:space="preserve">  3. 기타 물품 구입비</t>
    <phoneticPr fontId="15" type="noConversion"/>
  </si>
  <si>
    <t xml:space="preserve">  1. 시설물 검사 수수료</t>
    <phoneticPr fontId="15" type="noConversion"/>
  </si>
  <si>
    <t xml:space="preserve">  2. 디자이너 사례비</t>
    <phoneticPr fontId="15" type="noConversion"/>
  </si>
  <si>
    <t xml:space="preserve">  3. 통합 홍보물 한영 번역비</t>
    <phoneticPr fontId="15" type="noConversion"/>
  </si>
  <si>
    <t xml:space="preserve">  4. 통합 홍보물 사진 촬영비</t>
    <phoneticPr fontId="15" type="noConversion"/>
  </si>
  <si>
    <t xml:space="preserve">  5. 자문위원회 사례비</t>
    <phoneticPr fontId="15" type="noConversion"/>
  </si>
  <si>
    <t xml:space="preserve">  6. 신용카드 수수료</t>
    <phoneticPr fontId="15" type="noConversion"/>
  </si>
  <si>
    <t xml:space="preserve">  7. 법률자문 수수료</t>
    <phoneticPr fontId="15" type="noConversion"/>
  </si>
  <si>
    <t xml:space="preserve">  8. 송금수수료</t>
    <phoneticPr fontId="15" type="noConversion"/>
  </si>
  <si>
    <t xml:space="preserve">  1. 시설관리용역(경비,미화,전기,영선)</t>
    <phoneticPr fontId="15" type="noConversion"/>
  </si>
  <si>
    <t xml:space="preserve">  2. 내,외부 인테리어 공사</t>
    <phoneticPr fontId="15" type="noConversion"/>
  </si>
  <si>
    <t xml:space="preserve">  3. 무선인터넷망 구축 공사</t>
    <phoneticPr fontId="15" type="noConversion"/>
  </si>
  <si>
    <t xml:space="preserve">  4. 사인물 제작 설치</t>
    <phoneticPr fontId="15" type="noConversion"/>
  </si>
  <si>
    <t xml:space="preserve">  5. 조경관리비</t>
    <phoneticPr fontId="15" type="noConversion"/>
  </si>
  <si>
    <t xml:space="preserve">  6. 매거진 제작</t>
    <phoneticPr fontId="15" type="noConversion"/>
  </si>
  <si>
    <t xml:space="preserve">  7. 홈페이지 리뉴얼 및 유지보수</t>
    <phoneticPr fontId="15" type="noConversion"/>
  </si>
  <si>
    <t xml:space="preserve">  1. 정수기, 세정기, 공기청정기 임대</t>
    <phoneticPr fontId="15" type="noConversion"/>
  </si>
  <si>
    <t xml:space="preserve">  2. 업무용 차량 임차</t>
    <phoneticPr fontId="15" type="noConversion"/>
  </si>
  <si>
    <t xml:space="preserve">  1. 전신전화요금</t>
    <phoneticPr fontId="15" type="noConversion"/>
  </si>
  <si>
    <t xml:space="preserve">  2. 인터넷회선 사용료</t>
    <phoneticPr fontId="15" type="noConversion"/>
  </si>
  <si>
    <t xml:space="preserve">  3. 우편 요금</t>
    <phoneticPr fontId="15" type="noConversion"/>
  </si>
  <si>
    <t xml:space="preserve">  1. 자문회의, 간담회 등</t>
    <phoneticPr fontId="15" type="noConversion"/>
  </si>
  <si>
    <t xml:space="preserve">  2. 기자간담회 등</t>
    <phoneticPr fontId="15" type="noConversion"/>
  </si>
  <si>
    <t xml:space="preserve"> o 업무 대행 수수료</t>
    <phoneticPr fontId="15" type="noConversion"/>
  </si>
  <si>
    <t>%</t>
    <phoneticPr fontId="21" type="noConversion"/>
  </si>
  <si>
    <t>=</t>
    <phoneticPr fontId="14" type="noConversion"/>
  </si>
  <si>
    <t>지원비</t>
    <phoneticPr fontId="15" type="noConversion"/>
  </si>
  <si>
    <t xml:space="preserve"> o 추진단 운영</t>
    <phoneticPr fontId="15" type="noConversion"/>
  </si>
  <si>
    <t xml:space="preserve"> </t>
    <phoneticPr fontId="21" type="noConversion"/>
  </si>
  <si>
    <t>팀</t>
    <phoneticPr fontId="15" type="noConversion"/>
  </si>
  <si>
    <t xml:space="preserve"> o 홍보물, 자료집 제작(컨설팅, 교육, 청년실험프로젝트 등)</t>
    <phoneticPr fontId="15" type="noConversion"/>
  </si>
  <si>
    <t xml:space="preserve"> o 청년실험 프로젝트 지원비</t>
    <phoneticPr fontId="15" type="noConversion"/>
  </si>
  <si>
    <t xml:space="preserve">   5. 홍보물, 교육집 디자인 사례비</t>
    <phoneticPr fontId="15" type="noConversion"/>
  </si>
  <si>
    <t xml:space="preserve"> o 청년창업교육 프로그램 진행 용역 등</t>
    <phoneticPr fontId="15" type="noConversion"/>
  </si>
  <si>
    <t xml:space="preserve"> o 전담인력직 인건비(4대보험 포함)</t>
    <phoneticPr fontId="15" type="noConversion"/>
  </si>
  <si>
    <t xml:space="preserve">   1. 결과집 제작비</t>
    <phoneticPr fontId="15" type="noConversion"/>
  </si>
  <si>
    <t xml:space="preserve">   2. 홍보물 제작비(배너, 현수막, 지면광고 등)</t>
    <phoneticPr fontId="15" type="noConversion"/>
  </si>
  <si>
    <t xml:space="preserve">   3. 기획사업 관련 현수막/배너 제작</t>
    <phoneticPr fontId="15" type="noConversion"/>
  </si>
  <si>
    <t xml:space="preserve">   1. 사무용품 구매</t>
    <phoneticPr fontId="15" type="noConversion"/>
  </si>
  <si>
    <t xml:space="preserve">   2. 멘토링 재료비</t>
    <phoneticPr fontId="15" type="noConversion"/>
  </si>
  <si>
    <t>건</t>
    <phoneticPr fontId="15" type="noConversion"/>
  </si>
  <si>
    <t xml:space="preserve">   3. 기획사업 멘토-멘티 관련 재료비</t>
    <phoneticPr fontId="15" type="noConversion"/>
  </si>
  <si>
    <t>그룹*</t>
    <phoneticPr fontId="15" type="noConversion"/>
  </si>
  <si>
    <t xml:space="preserve">   1. 전담인력 출장 교통비</t>
    <phoneticPr fontId="15" type="noConversion"/>
  </si>
  <si>
    <t xml:space="preserve">   2. 멘토 교통비</t>
    <phoneticPr fontId="15" type="noConversion"/>
  </si>
  <si>
    <t xml:space="preserve"> o 임대차량 관리비 등</t>
    <phoneticPr fontId="15" type="noConversion"/>
  </si>
  <si>
    <t xml:space="preserve">   1. 멘토 사례비 및 교육참가</t>
    <phoneticPr fontId="15" type="noConversion"/>
  </si>
  <si>
    <t xml:space="preserve">   2. 튜터 사례비</t>
    <phoneticPr fontId="15" type="noConversion"/>
  </si>
  <si>
    <t xml:space="preserve">   3. 기획사업 멘토-멘티 멘토 사례비</t>
    <phoneticPr fontId="15" type="noConversion"/>
  </si>
  <si>
    <t xml:space="preserve">   4. 기획사업 경기도와 만나다 멘토 사례비</t>
    <phoneticPr fontId="15" type="noConversion"/>
  </si>
  <si>
    <t xml:space="preserve">   5. 기획사업 경기도와 만나다 튜터 사례비</t>
    <phoneticPr fontId="15" type="noConversion"/>
  </si>
  <si>
    <t xml:space="preserve">   6. 보수교육강사 초청비</t>
    <phoneticPr fontId="15" type="noConversion"/>
  </si>
  <si>
    <t xml:space="preserve">   1. 회계검사</t>
    <phoneticPr fontId="15" type="noConversion"/>
  </si>
  <si>
    <t xml:space="preserve">   2. 수도권 환류 워크숍 및 성과대회</t>
    <phoneticPr fontId="15" type="noConversion"/>
  </si>
  <si>
    <t xml:space="preserve">   2. 사업관련 차량 임대</t>
    <phoneticPr fontId="15" type="noConversion"/>
  </si>
  <si>
    <t xml:space="preserve">   1. 소모임 진행비</t>
    <phoneticPr fontId="15" type="noConversion"/>
  </si>
  <si>
    <t>2017교육나눔사업</t>
  </si>
  <si>
    <t xml:space="preserve">   1. 주강사비</t>
    <phoneticPr fontId="15" type="noConversion"/>
  </si>
  <si>
    <t>일*</t>
    <phoneticPr fontId="15" type="noConversion"/>
  </si>
  <si>
    <t xml:space="preserve">   2. 보조강사비</t>
    <phoneticPr fontId="15" type="noConversion"/>
  </si>
  <si>
    <t xml:space="preserve">   1. 교육재료비</t>
    <phoneticPr fontId="15" type="noConversion"/>
  </si>
  <si>
    <t xml:space="preserve">   2. 소모품 구입</t>
    <phoneticPr fontId="15" type="noConversion"/>
  </si>
  <si>
    <t>2017경기도문화재원형기록화사업</t>
    <phoneticPr fontId="15" type="noConversion"/>
  </si>
  <si>
    <t>무형문화재영상기록화사업</t>
    <phoneticPr fontId="15" type="noConversion"/>
  </si>
  <si>
    <t>경기도문화재총람발간</t>
    <phoneticPr fontId="15" type="noConversion"/>
  </si>
  <si>
    <t xml:space="preserve"> o 영상화 및 편집 음향작업</t>
    <phoneticPr fontId="15" type="noConversion"/>
  </si>
  <si>
    <t xml:space="preserve"> o 자문회의비</t>
    <phoneticPr fontId="15" type="noConversion"/>
  </si>
  <si>
    <t xml:space="preserve"> o 보조원인건비</t>
    <phoneticPr fontId="15" type="noConversion"/>
  </si>
  <si>
    <t xml:space="preserve"> o 인쇄비</t>
    <phoneticPr fontId="15" type="noConversion"/>
  </si>
  <si>
    <t xml:space="preserve"> o 사진촬영</t>
    <phoneticPr fontId="15" type="noConversion"/>
  </si>
  <si>
    <t xml:space="preserve"> o 컴퓨터</t>
    <phoneticPr fontId="15" type="noConversion"/>
  </si>
  <si>
    <t xml:space="preserve"> o 회의비</t>
    <phoneticPr fontId="15" type="noConversion"/>
  </si>
  <si>
    <t xml:space="preserve"> o 사무용품</t>
    <phoneticPr fontId="15" type="noConversion"/>
  </si>
  <si>
    <t xml:space="preserve"> o 국내 여비</t>
    <phoneticPr fontId="15" type="noConversion"/>
  </si>
  <si>
    <t xml:space="preserve">   1. 전문가 수당(현장촬영 동행, 편집자문, 원고집필)</t>
    <phoneticPr fontId="15" type="noConversion"/>
  </si>
  <si>
    <t xml:space="preserve">   2. 윤문감수</t>
    <phoneticPr fontId="15" type="noConversion"/>
  </si>
  <si>
    <t xml:space="preserve">   3. 자문회의수당</t>
    <phoneticPr fontId="15" type="noConversion"/>
  </si>
  <si>
    <t>식</t>
    <phoneticPr fontId="15" type="noConversion"/>
  </si>
  <si>
    <t>2017 북한산성 연구보존 및 활성화 사업</t>
    <phoneticPr fontId="15" type="noConversion"/>
  </si>
  <si>
    <t>잠정목록 등재계획</t>
    <phoneticPr fontId="15" type="noConversion"/>
  </si>
  <si>
    <t xml:space="preserve">   1. 심포지엄 자료집</t>
    <phoneticPr fontId="15" type="noConversion"/>
  </si>
  <si>
    <t>회</t>
    <phoneticPr fontId="15" type="noConversion"/>
  </si>
  <si>
    <t>사료총서 발간</t>
    <phoneticPr fontId="15" type="noConversion"/>
  </si>
  <si>
    <t>도서인쇄비</t>
    <phoneticPr fontId="14" type="noConversion"/>
  </si>
  <si>
    <t>자료구입비</t>
    <phoneticPr fontId="15" type="noConversion"/>
  </si>
  <si>
    <t>학술심포지엄 개최</t>
    <phoneticPr fontId="15" type="noConversion"/>
  </si>
  <si>
    <t>지급수수료</t>
    <phoneticPr fontId="15" type="noConversion"/>
  </si>
  <si>
    <t xml:space="preserve">   1. 기획자문</t>
    <phoneticPr fontId="15" type="noConversion"/>
  </si>
  <si>
    <t>건</t>
    <phoneticPr fontId="15" type="noConversion"/>
  </si>
  <si>
    <t xml:space="preserve">   2. 토론자/좌장 수당</t>
    <phoneticPr fontId="15" type="noConversion"/>
  </si>
  <si>
    <t>원 *</t>
    <phoneticPr fontId="15" type="noConversion"/>
  </si>
  <si>
    <t>명</t>
    <phoneticPr fontId="15" type="noConversion"/>
  </si>
  <si>
    <t>=</t>
    <phoneticPr fontId="15" type="noConversion"/>
  </si>
  <si>
    <t xml:space="preserve">   3. 주제발표 원고료</t>
    <phoneticPr fontId="15" type="noConversion"/>
  </si>
  <si>
    <t>부</t>
    <phoneticPr fontId="15" type="noConversion"/>
  </si>
  <si>
    <t xml:space="preserve">   2. 초청장 제작 및 발송</t>
    <phoneticPr fontId="15" type="noConversion"/>
  </si>
  <si>
    <t>회의운영비</t>
    <phoneticPr fontId="15" type="noConversion"/>
  </si>
  <si>
    <t>행사운영비</t>
    <phoneticPr fontId="15" type="noConversion"/>
  </si>
  <si>
    <t xml:space="preserve">   1. 기념품</t>
    <phoneticPr fontId="15" type="noConversion"/>
  </si>
  <si>
    <t>개</t>
    <phoneticPr fontId="15" type="noConversion"/>
  </si>
  <si>
    <t xml:space="preserve">   2. 만찬</t>
    <phoneticPr fontId="15" type="noConversion"/>
  </si>
  <si>
    <t xml:space="preserve">   3. 행사운영비</t>
    <phoneticPr fontId="15" type="noConversion"/>
  </si>
  <si>
    <t>지급임차료</t>
    <phoneticPr fontId="15" type="noConversion"/>
  </si>
  <si>
    <t>소모품비</t>
    <phoneticPr fontId="15" type="noConversion"/>
  </si>
  <si>
    <t xml:space="preserve">   1. 현수막</t>
    <phoneticPr fontId="15" type="noConversion"/>
  </si>
  <si>
    <t xml:space="preserve">   2. 행사용품</t>
    <phoneticPr fontId="15" type="noConversion"/>
  </si>
  <si>
    <t>회의운영비</t>
    <phoneticPr fontId="14" type="noConversion"/>
  </si>
  <si>
    <t>식 *</t>
    <phoneticPr fontId="15" type="noConversion"/>
  </si>
  <si>
    <t>원 *</t>
    <phoneticPr fontId="15" type="noConversion"/>
  </si>
  <si>
    <t>회</t>
    <phoneticPr fontId="15" type="noConversion"/>
  </si>
  <si>
    <t>지급수수료</t>
    <phoneticPr fontId="15" type="noConversion"/>
  </si>
  <si>
    <t>자료구입비</t>
    <phoneticPr fontId="15" type="noConversion"/>
  </si>
  <si>
    <t xml:space="preserve"> o 연구보조원 인건비</t>
    <phoneticPr fontId="15" type="noConversion"/>
  </si>
  <si>
    <t xml:space="preserve"> o 보고서 인쇄비</t>
    <phoneticPr fontId="15" type="noConversion"/>
  </si>
  <si>
    <t xml:space="preserve"> o 자료조사</t>
    <phoneticPr fontId="15" type="noConversion"/>
  </si>
  <si>
    <t xml:space="preserve"> o 회의 운영비</t>
    <phoneticPr fontId="15" type="noConversion"/>
  </si>
  <si>
    <t xml:space="preserve"> o 대관료</t>
    <phoneticPr fontId="15" type="noConversion"/>
  </si>
  <si>
    <t>2017 경기도 지정문화재 내진 진단 사업</t>
    <phoneticPr fontId="15" type="noConversion"/>
  </si>
  <si>
    <t>인건비</t>
    <phoneticPr fontId="14" type="noConversion"/>
  </si>
  <si>
    <t>명 *</t>
    <phoneticPr fontId="15" type="noConversion"/>
  </si>
  <si>
    <t>월</t>
    <phoneticPr fontId="15" type="noConversion"/>
  </si>
  <si>
    <t>지급수수료</t>
    <phoneticPr fontId="14" type="noConversion"/>
  </si>
  <si>
    <t>지급용역료</t>
    <phoneticPr fontId="15" type="noConversion"/>
  </si>
  <si>
    <t>도서인쇄비</t>
    <phoneticPr fontId="15" type="noConversion"/>
  </si>
  <si>
    <t>권 *</t>
    <phoneticPr fontId="15" type="noConversion"/>
  </si>
  <si>
    <t>회의운영비</t>
    <phoneticPr fontId="15" type="noConversion"/>
  </si>
  <si>
    <t>회 *</t>
    <phoneticPr fontId="15" type="noConversion"/>
  </si>
  <si>
    <t>여비교통비</t>
    <phoneticPr fontId="15" type="noConversion"/>
  </si>
  <si>
    <t xml:space="preserve"> o 자문수당</t>
    <phoneticPr fontId="15" type="noConversion"/>
  </si>
  <si>
    <t xml:space="preserve">   1. 기초조사</t>
    <phoneticPr fontId="15" type="noConversion"/>
  </si>
  <si>
    <t>2017 세계유산 학술조사</t>
    <phoneticPr fontId="15" type="noConversion"/>
  </si>
  <si>
    <t>인건비</t>
    <phoneticPr fontId="15" type="noConversion"/>
  </si>
  <si>
    <t>개월</t>
    <phoneticPr fontId="15" type="noConversion"/>
  </si>
  <si>
    <t>지급임차료</t>
    <phoneticPr fontId="15" type="noConversion"/>
  </si>
  <si>
    <t>대 *</t>
    <phoneticPr fontId="15" type="noConversion"/>
  </si>
  <si>
    <t>도서인쇄비</t>
    <phoneticPr fontId="14" type="noConversion"/>
  </si>
  <si>
    <t xml:space="preserve"> o 세계유산 비교연구</t>
    <phoneticPr fontId="15" type="noConversion"/>
  </si>
  <si>
    <t xml:space="preserve"> o 전산장비 임차</t>
    <phoneticPr fontId="15" type="noConversion"/>
  </si>
  <si>
    <t xml:space="preserve"> o 전문가 자문료</t>
    <phoneticPr fontId="15" type="noConversion"/>
  </si>
  <si>
    <t xml:space="preserve"> o 행사용품</t>
    <phoneticPr fontId="15" type="noConversion"/>
  </si>
  <si>
    <t>2017경기만에코뮤지엄조성</t>
    <phoneticPr fontId="15" type="noConversion"/>
  </si>
  <si>
    <t xml:space="preserve"> o 소모품구입</t>
    <phoneticPr fontId="15" type="noConversion"/>
  </si>
  <si>
    <t>경기문화예술 콘텐츠 활용</t>
    <phoneticPr fontId="20" type="noConversion"/>
  </si>
  <si>
    <t>회의운영비</t>
    <phoneticPr fontId="15" type="noConversion"/>
  </si>
  <si>
    <t xml:space="preserve">   2. 기획사업 추진 회의운영</t>
    <phoneticPr fontId="15" type="noConversion"/>
  </si>
  <si>
    <t xml:space="preserve">   1. 나눔교실 사업 회의</t>
    <phoneticPr fontId="15" type="noConversion"/>
  </si>
  <si>
    <t xml:space="preserve">   2. 보수교육 진행</t>
    <phoneticPr fontId="15" type="noConversion"/>
  </si>
  <si>
    <t xml:space="preserve">   3. 성과대회 진행</t>
    <phoneticPr fontId="15" type="noConversion"/>
  </si>
  <si>
    <t xml:space="preserve">   4. 멘토링 다과비</t>
    <phoneticPr fontId="15" type="noConversion"/>
  </si>
  <si>
    <t xml:space="preserve">   5. 멘튜터 상해보험 가입 및 기념품 제작</t>
    <phoneticPr fontId="15" type="noConversion"/>
  </si>
  <si>
    <t xml:space="preserve">   6. 멘토-멘티 date 다과비</t>
    <phoneticPr fontId="15" type="noConversion"/>
  </si>
  <si>
    <t xml:space="preserve">   7. 경기도와 만나다 사업추진 임차 및 현장진행비</t>
    <phoneticPr fontId="15" type="noConversion"/>
  </si>
  <si>
    <t xml:space="preserve">   8. 지역 주관처 네트워킹</t>
    <phoneticPr fontId="15" type="noConversion"/>
  </si>
  <si>
    <t>지급수수료</t>
    <phoneticPr fontId="15" type="noConversion"/>
  </si>
  <si>
    <t>소모품비</t>
    <phoneticPr fontId="15" type="noConversion"/>
  </si>
  <si>
    <t xml:space="preserve"> o 제부도 명소화 문화재생 사업 아트프로젝트 공모사업 지원비</t>
    <phoneticPr fontId="15" type="noConversion"/>
  </si>
  <si>
    <t xml:space="preserve"> o 제부도 내 안내설치물 제작 및 시공</t>
    <phoneticPr fontId="15" type="noConversion"/>
  </si>
  <si>
    <t xml:space="preserve">   1. 마을만들기 사업운영</t>
    <phoneticPr fontId="15" type="noConversion"/>
  </si>
  <si>
    <t xml:space="preserve">   2. 자문회의 및 기타인건비(200,000원x5명)</t>
    <phoneticPr fontId="15" type="noConversion"/>
  </si>
  <si>
    <t xml:space="preserve">   3. 수탁수수료</t>
    <phoneticPr fontId="15" type="noConversion"/>
  </si>
  <si>
    <t xml:space="preserve"> o 사업추진 회의운영</t>
    <phoneticPr fontId="15" type="noConversion"/>
  </si>
  <si>
    <t xml:space="preserve"> o 사업추진 국내여비</t>
    <phoneticPr fontId="15" type="noConversion"/>
  </si>
  <si>
    <t>2017시흥바라지에코뮤지엄</t>
    <phoneticPr fontId="15" type="noConversion"/>
  </si>
  <si>
    <t xml:space="preserve"> o 수탁수수료</t>
    <phoneticPr fontId="15" type="noConversion"/>
  </si>
  <si>
    <t xml:space="preserve"> o 소금박물관 조성 콘텐츠 개발</t>
    <phoneticPr fontId="15" type="noConversion"/>
  </si>
  <si>
    <t xml:space="preserve"> o 통합 홍보물 제작</t>
    <phoneticPr fontId="15" type="noConversion"/>
  </si>
  <si>
    <t xml:space="preserve">   1. 전문연구원 인건비</t>
    <phoneticPr fontId="15" type="noConversion"/>
  </si>
  <si>
    <t xml:space="preserve">   2. 연구보조원A</t>
    <phoneticPr fontId="15" type="noConversion"/>
  </si>
  <si>
    <t xml:space="preserve">   3. 연구보조원B</t>
    <phoneticPr fontId="15" type="noConversion"/>
  </si>
  <si>
    <t xml:space="preserve">   4. 4대 보험</t>
    <phoneticPr fontId="15" type="noConversion"/>
  </si>
  <si>
    <t xml:space="preserve">   1. 스토리북 인쇄</t>
    <phoneticPr fontId="15" type="noConversion"/>
  </si>
  <si>
    <t xml:space="preserve">   2. 안내지도 제작</t>
    <phoneticPr fontId="15" type="noConversion"/>
  </si>
  <si>
    <t xml:space="preserve">   3. 성과보고서 인쇄</t>
    <phoneticPr fontId="15" type="noConversion"/>
  </si>
  <si>
    <t xml:space="preserve">   4. 노선조사보고서 인쇄</t>
    <phoneticPr fontId="15" type="noConversion"/>
  </si>
  <si>
    <t xml:space="preserve"> o 사업추진 서적 등 자료수입</t>
    <phoneticPr fontId="15" type="noConversion"/>
  </si>
  <si>
    <t xml:space="preserve">   1. 안내리본 등 제작</t>
    <phoneticPr fontId="15" type="noConversion"/>
  </si>
  <si>
    <t xml:space="preserve">   2. 업무용차량 유류비 및 부대비용</t>
    <phoneticPr fontId="15" type="noConversion"/>
  </si>
  <si>
    <t>회</t>
    <phoneticPr fontId="14" type="noConversion"/>
  </si>
  <si>
    <t>광고선전비</t>
    <phoneticPr fontId="15" type="noConversion"/>
  </si>
  <si>
    <t>도서인쇄비</t>
    <phoneticPr fontId="15" type="noConversion"/>
  </si>
  <si>
    <t xml:space="preserve"> o 보고서 인쇄 등</t>
    <phoneticPr fontId="15" type="noConversion"/>
  </si>
  <si>
    <t>세금과공과</t>
    <phoneticPr fontId="15" type="noConversion"/>
  </si>
  <si>
    <t>업무추진비</t>
    <phoneticPr fontId="14" type="noConversion"/>
  </si>
  <si>
    <t>여비교통비</t>
    <phoneticPr fontId="14" type="noConversion"/>
  </si>
  <si>
    <t>유지관리비</t>
    <phoneticPr fontId="15" type="noConversion"/>
  </si>
  <si>
    <t>대*</t>
    <phoneticPr fontId="15" type="noConversion"/>
  </si>
  <si>
    <t>자료구입비</t>
    <phoneticPr fontId="14" type="noConversion"/>
  </si>
  <si>
    <t>자산구입비</t>
    <phoneticPr fontId="14" type="noConversion"/>
  </si>
  <si>
    <t>지급임차료</t>
    <phoneticPr fontId="15" type="noConversion"/>
  </si>
  <si>
    <t>통신비</t>
    <phoneticPr fontId="15" type="noConversion"/>
  </si>
  <si>
    <t>피복비</t>
    <phoneticPr fontId="15" type="noConversion"/>
  </si>
  <si>
    <t>회의운영비</t>
    <phoneticPr fontId="14" type="noConversion"/>
  </si>
  <si>
    <t xml:space="preserve">   2. 국내출장비</t>
    <phoneticPr fontId="15" type="noConversion"/>
  </si>
  <si>
    <t xml:space="preserve"> o 기획수수료</t>
    <phoneticPr fontId="15" type="noConversion"/>
  </si>
  <si>
    <t>%</t>
    <phoneticPr fontId="14" type="noConversion"/>
  </si>
  <si>
    <t xml:space="preserve"> o 행사 운영</t>
    <phoneticPr fontId="15" type="noConversion"/>
  </si>
  <si>
    <t>2017 경기도 청년신진작가 공모전</t>
    <phoneticPr fontId="15" type="noConversion"/>
  </si>
  <si>
    <t xml:space="preserve"> o 미술지 및 온라인 광고</t>
    <phoneticPr fontId="15" type="noConversion"/>
  </si>
  <si>
    <t xml:space="preserve">   1. 아트북 제작</t>
    <phoneticPr fontId="15" type="noConversion"/>
  </si>
  <si>
    <t xml:space="preserve">   2. 포스터 제작</t>
    <phoneticPr fontId="15" type="noConversion"/>
  </si>
  <si>
    <t xml:space="preserve"> o 전시종합보험 가입</t>
    <phoneticPr fontId="15" type="noConversion"/>
  </si>
  <si>
    <t xml:space="preserve"> o 선정작품 구입비</t>
    <phoneticPr fontId="15" type="noConversion"/>
  </si>
  <si>
    <t>점</t>
    <phoneticPr fontId="15" type="noConversion"/>
  </si>
  <si>
    <t xml:space="preserve">   1. 전시원고 번역료</t>
    <phoneticPr fontId="15" type="noConversion"/>
  </si>
  <si>
    <t xml:space="preserve">   2. 인쇄물 디자인 수수료</t>
    <phoneticPr fontId="15" type="noConversion"/>
  </si>
  <si>
    <t xml:space="preserve">   3. 보조인력 활동비</t>
    <phoneticPr fontId="15" type="noConversion"/>
  </si>
  <si>
    <t xml:space="preserve">   4. 심의위원 참석수당</t>
    <phoneticPr fontId="15" type="noConversion"/>
  </si>
  <si>
    <t xml:space="preserve">   1. 작품 운송 및 설치, 철거</t>
    <phoneticPr fontId="15" type="noConversion"/>
  </si>
  <si>
    <t xml:space="preserve">   2. 전시장 사인물 제작 및 설치</t>
    <phoneticPr fontId="15" type="noConversion"/>
  </si>
  <si>
    <t xml:space="preserve">   3. 전시장 공간구성 공사</t>
    <phoneticPr fontId="15" type="noConversion"/>
  </si>
  <si>
    <t xml:space="preserve">   4. 전시 전경사진 촬영</t>
    <phoneticPr fontId="15" type="noConversion"/>
  </si>
  <si>
    <t xml:space="preserve"> o 미디어 작품 영상장비 임차 및 설치</t>
    <phoneticPr fontId="15" type="noConversion"/>
  </si>
  <si>
    <t xml:space="preserve"> o 전시개막행사 케이터링</t>
    <phoneticPr fontId="15" type="noConversion"/>
  </si>
  <si>
    <t xml:space="preserve"> o 사업관련 회의 운영</t>
    <phoneticPr fontId="15" type="noConversion"/>
  </si>
  <si>
    <t>동두천시 K-Rock 빌리지 조성</t>
    <phoneticPr fontId="15" type="noConversion"/>
  </si>
  <si>
    <t>동두천 K-Rock 홍보관 조성</t>
    <phoneticPr fontId="15" type="noConversion"/>
  </si>
  <si>
    <t xml:space="preserve"> o 조형작품제작 및 설치 소모품</t>
    <phoneticPr fontId="15" type="noConversion"/>
  </si>
  <si>
    <t xml:space="preserve">   2. 심의위원회 운영</t>
    <phoneticPr fontId="15" type="noConversion"/>
  </si>
  <si>
    <t xml:space="preserve">   3. 이야기지도 원고 번역</t>
    <phoneticPr fontId="15" type="noConversion"/>
  </si>
  <si>
    <t xml:space="preserve">   1. 상징조형물 제작 작가 창작지원</t>
    <phoneticPr fontId="15" type="noConversion"/>
  </si>
  <si>
    <t xml:space="preserve">   2. 이야기지도 디지털 패널 설계</t>
    <phoneticPr fontId="15" type="noConversion"/>
  </si>
  <si>
    <t xml:space="preserve">   3. 이야기지도 디지털 패널 제작 및 설치</t>
    <phoneticPr fontId="15" type="noConversion"/>
  </si>
  <si>
    <t xml:space="preserve">   4. 이야기지도 3D디자인</t>
    <phoneticPr fontId="15" type="noConversion"/>
  </si>
  <si>
    <t xml:space="preserve">   5. 홍보 동영상 제작 및 편집</t>
    <phoneticPr fontId="15" type="noConversion"/>
  </si>
  <si>
    <t xml:space="preserve">   6. 상징조형물 설치</t>
    <phoneticPr fontId="15" type="noConversion"/>
  </si>
  <si>
    <t xml:space="preserve">   1. 해외작가 항공료</t>
    <phoneticPr fontId="15" type="noConversion"/>
  </si>
  <si>
    <t xml:space="preserve">   3. 국내 출장</t>
    <phoneticPr fontId="15" type="noConversion"/>
  </si>
  <si>
    <t xml:space="preserve"> o 건물작품제작 고소작업대</t>
    <phoneticPr fontId="15" type="noConversion"/>
  </si>
  <si>
    <t xml:space="preserve">   1. 그래피티 아트 작가지원</t>
    <phoneticPr fontId="15" type="noConversion"/>
  </si>
  <si>
    <t xml:space="preserve">   2. 작품제작 재료비</t>
    <phoneticPr fontId="15" type="noConversion"/>
  </si>
  <si>
    <t xml:space="preserve">   3. 건물 기초 작업(프라이머 도색)</t>
    <phoneticPr fontId="15" type="noConversion"/>
  </si>
  <si>
    <t>동</t>
    <phoneticPr fontId="15" type="noConversion"/>
  </si>
  <si>
    <t xml:space="preserve">   4. 건물 전기선 정리 및 철거</t>
    <phoneticPr fontId="15" type="noConversion"/>
  </si>
  <si>
    <t xml:space="preserve">   5. 건물작품 사인물 제작</t>
    <phoneticPr fontId="15" type="noConversion"/>
  </si>
  <si>
    <t xml:space="preserve">   6. 작품제작 영상촬영</t>
    <phoneticPr fontId="15" type="noConversion"/>
  </si>
  <si>
    <t>K-Rock 음악축제</t>
    <phoneticPr fontId="15" type="noConversion"/>
  </si>
  <si>
    <t xml:space="preserve"> o 행사업무지원 및 운영 인력</t>
    <phoneticPr fontId="15" type="noConversion"/>
  </si>
  <si>
    <t xml:space="preserve">   2. 입찰 선정위원회</t>
    <phoneticPr fontId="15" type="noConversion"/>
  </si>
  <si>
    <t xml:space="preserve">   3. 행사 안전요원 수수료</t>
    <phoneticPr fontId="15" type="noConversion"/>
  </si>
  <si>
    <t xml:space="preserve">   1. 동두천 K-Rock 문화행사</t>
    <phoneticPr fontId="15" type="noConversion"/>
  </si>
  <si>
    <t xml:space="preserve">   2. 동두천 "아트공방" 문화행사 </t>
    <phoneticPr fontId="15" type="noConversion"/>
  </si>
  <si>
    <t xml:space="preserve">   3. 문화행사 영상촬영 및 편집</t>
    <phoneticPr fontId="15" type="noConversion"/>
  </si>
  <si>
    <t xml:space="preserve">   4. 행사관련 홍보물 제작</t>
    <phoneticPr fontId="15" type="noConversion"/>
  </si>
  <si>
    <t xml:space="preserve">   5. 행사공연 아트무대 제작</t>
    <phoneticPr fontId="15" type="noConversion"/>
  </si>
  <si>
    <t>백남준아트센터</t>
    <phoneticPr fontId="15" type="noConversion"/>
  </si>
  <si>
    <t xml:space="preserve">   3. 보조강사비</t>
  </si>
  <si>
    <t xml:space="preserve">   1. 교육강사비</t>
    <phoneticPr fontId="15" type="noConversion"/>
  </si>
  <si>
    <t xml:space="preserve">   2. 전문강사비</t>
    <phoneticPr fontId="15" type="noConversion"/>
  </si>
  <si>
    <t>강</t>
    <phoneticPr fontId="15" type="noConversion"/>
  </si>
  <si>
    <t xml:space="preserve"> o 교육기자재 임차</t>
    <phoneticPr fontId="15" type="noConversion"/>
  </si>
  <si>
    <t xml:space="preserve"> o 계</t>
    <phoneticPr fontId="15" type="noConversion"/>
  </si>
  <si>
    <t xml:space="preserve"> o 사업관련 행사추진</t>
    <phoneticPr fontId="15" type="noConversion"/>
  </si>
  <si>
    <t>진로탐색 직업의식 향상교육</t>
    <phoneticPr fontId="15" type="noConversion"/>
  </si>
  <si>
    <t xml:space="preserve">   1. 1`3강 예술강사비</t>
    <phoneticPr fontId="15" type="noConversion"/>
  </si>
  <si>
    <t xml:space="preserve">   3. 전문강사비</t>
    <phoneticPr fontId="15" type="noConversion"/>
  </si>
  <si>
    <t xml:space="preserve">   2. 2`4강 예술강사비</t>
    <phoneticPr fontId="15" type="noConversion"/>
  </si>
  <si>
    <t xml:space="preserve"> o 홍보물 게시 및 배포</t>
    <phoneticPr fontId="15" type="noConversion"/>
  </si>
  <si>
    <t>실학박물관</t>
    <phoneticPr fontId="15" type="noConversion"/>
  </si>
  <si>
    <t>실학수장고및소장품관리</t>
    <phoneticPr fontId="15" type="noConversion"/>
  </si>
  <si>
    <t xml:space="preserve">   1. 실학예술소풍 강사료</t>
    <phoneticPr fontId="15" type="noConversion"/>
  </si>
  <si>
    <t xml:space="preserve">   2. 실학벽화소풍 강사료</t>
    <phoneticPr fontId="15" type="noConversion"/>
  </si>
  <si>
    <t xml:space="preserve"> o 소장DB 인건비</t>
    <phoneticPr fontId="15" type="noConversion"/>
  </si>
  <si>
    <t>인건비(국비)</t>
    <phoneticPr fontId="15" type="noConversion"/>
  </si>
  <si>
    <t>어린이교육프로그램 운영</t>
    <phoneticPr fontId="15" type="noConversion"/>
  </si>
  <si>
    <t>꿈다락토요문화학교</t>
    <phoneticPr fontId="15" type="noConversion"/>
  </si>
  <si>
    <t xml:space="preserve">   1. 프로그램 보조 단기용역</t>
    <phoneticPr fontId="15" type="noConversion"/>
  </si>
  <si>
    <t xml:space="preserve">   2. 소모성 사무용품</t>
    <phoneticPr fontId="27" type="noConversion"/>
  </si>
  <si>
    <t>원*</t>
    <phoneticPr fontId="27" type="noConversion"/>
  </si>
  <si>
    <t>개월</t>
    <phoneticPr fontId="27" type="noConversion"/>
  </si>
  <si>
    <t xml:space="preserve">   3. 교육환경구성 재료비</t>
    <phoneticPr fontId="27" type="noConversion"/>
  </si>
  <si>
    <t xml:space="preserve">   4. 오픈프로그램 재료비</t>
    <phoneticPr fontId="27" type="noConversion"/>
  </si>
  <si>
    <t>회</t>
    <phoneticPr fontId="27" type="noConversion"/>
  </si>
  <si>
    <t xml:space="preserve"> o 참여자 다과비</t>
    <phoneticPr fontId="27" type="noConversion"/>
  </si>
  <si>
    <t xml:space="preserve"> o 자료집 및 안내물 발송</t>
    <phoneticPr fontId="15" type="noConversion"/>
  </si>
  <si>
    <t xml:space="preserve"> o 협회주관 워크숍 참석</t>
    <phoneticPr fontId="27" type="noConversion"/>
  </si>
  <si>
    <t>식</t>
    <phoneticPr fontId="27" type="noConversion"/>
  </si>
  <si>
    <t xml:space="preserve">   2. 영상제작</t>
    <phoneticPr fontId="27" type="noConversion"/>
  </si>
  <si>
    <t xml:space="preserve">   4. 꿈다락 결과보고집 제작</t>
    <phoneticPr fontId="27" type="noConversion"/>
  </si>
  <si>
    <t>부</t>
    <phoneticPr fontId="27" type="noConversion"/>
  </si>
  <si>
    <t xml:space="preserve">   1. 활동지 인쇄비</t>
    <phoneticPr fontId="27" type="noConversion"/>
  </si>
  <si>
    <t xml:space="preserve">   2. 현수막</t>
    <phoneticPr fontId="27" type="noConversion"/>
  </si>
  <si>
    <t xml:space="preserve">   3. 배너</t>
    <phoneticPr fontId="27" type="noConversion"/>
  </si>
  <si>
    <t>특별사업</t>
    <phoneticPr fontId="15" type="noConversion"/>
  </si>
  <si>
    <t xml:space="preserve">  1. 강사료 1</t>
    <phoneticPr fontId="15" type="noConversion"/>
  </si>
  <si>
    <t xml:space="preserve">  2. 강사료 2</t>
    <phoneticPr fontId="15" type="noConversion"/>
  </si>
  <si>
    <t xml:space="preserve">  3. 원고료</t>
    <phoneticPr fontId="15" type="noConversion"/>
  </si>
  <si>
    <t xml:space="preserve">  4. 송금수수료</t>
    <phoneticPr fontId="15" type="noConversion"/>
  </si>
  <si>
    <t xml:space="preserve">  5. 회계감사비</t>
    <phoneticPr fontId="15" type="noConversion"/>
  </si>
  <si>
    <t xml:space="preserve">  1. 버스임차료</t>
    <phoneticPr fontId="15" type="noConversion"/>
  </si>
  <si>
    <t xml:space="preserve">  2. 장비임차료</t>
    <phoneticPr fontId="15" type="noConversion"/>
  </si>
  <si>
    <t xml:space="preserve"> o 자료인쇄</t>
    <phoneticPr fontId="15" type="noConversion"/>
  </si>
  <si>
    <t xml:space="preserve">  1. 홍보비</t>
    <phoneticPr fontId="15" type="noConversion"/>
  </si>
  <si>
    <t xml:space="preserve">  2. 보험료</t>
    <phoneticPr fontId="15" type="noConversion"/>
  </si>
  <si>
    <t>어르신 문화즐김 다양화</t>
  </si>
  <si>
    <t>실학 교육프로그램</t>
    <phoneticPr fontId="14" type="noConversion"/>
  </si>
  <si>
    <t>다산현양사업</t>
    <phoneticPr fontId="14" type="noConversion"/>
  </si>
  <si>
    <t>공동전시및 교육체험프로그램</t>
    <phoneticPr fontId="15" type="noConversion"/>
  </si>
  <si>
    <t xml:space="preserve"> o 프로그램 운영 기간제근로자(4대보험, 퇴직급여등 포함)</t>
    <phoneticPr fontId="15" type="noConversion"/>
  </si>
  <si>
    <t xml:space="preserve">   1. 체험재료 구입</t>
    <phoneticPr fontId="15" type="noConversion"/>
  </si>
  <si>
    <t xml:space="preserve">   2. 기념품 구입</t>
    <phoneticPr fontId="15" type="noConversion"/>
  </si>
  <si>
    <t xml:space="preserve">   1. 전문가 특강 강사료</t>
    <phoneticPr fontId="15" type="noConversion"/>
  </si>
  <si>
    <t xml:space="preserve">   2. 강사 수당</t>
    <phoneticPr fontId="15" type="noConversion"/>
  </si>
  <si>
    <t xml:space="preserve">   4. 자문료(교육프로그램 개발)</t>
    <phoneticPr fontId="15" type="noConversion"/>
  </si>
  <si>
    <t xml:space="preserve"> o 찾박운영 기간제근로자(4대보험, 퇴직급여등 포함)</t>
  </si>
  <si>
    <t xml:space="preserve">   1. 교육 물품구입 및 제작</t>
  </si>
  <si>
    <t xml:space="preserve">   1. 운영인 여비</t>
  </si>
  <si>
    <t xml:space="preserve">   2. 하이패스 충전</t>
  </si>
  <si>
    <t xml:space="preserve">   1 .차량유류비</t>
  </si>
  <si>
    <t xml:space="preserve">   2. 차량수리비</t>
  </si>
  <si>
    <t xml:space="preserve">   1. 아트샵판매및 관리인원(4대보험,연월차수당포함)</t>
    <phoneticPr fontId="15" type="noConversion"/>
  </si>
  <si>
    <t xml:space="preserve">   2. 아트샵 주말ㆍ평일 아르바이트</t>
    <phoneticPr fontId="14" type="noConversion"/>
  </si>
  <si>
    <t xml:space="preserve"> o 아트상품구입 및 제작비</t>
    <phoneticPr fontId="15" type="noConversion"/>
  </si>
  <si>
    <t xml:space="preserve"> o 포스유지관리비등</t>
    <phoneticPr fontId="15" type="noConversion"/>
  </si>
  <si>
    <t>열수, 문화~예술이 흐르는 강</t>
    <phoneticPr fontId="15" type="noConversion"/>
  </si>
  <si>
    <t>연보제작</t>
    <phoneticPr fontId="15" type="noConversion"/>
  </si>
  <si>
    <t xml:space="preserve">   1. 뉴스레터 제작 용역료</t>
    <phoneticPr fontId="15" type="noConversion"/>
  </si>
  <si>
    <t xml:space="preserve">   2. 홍보용 영상제작</t>
    <phoneticPr fontId="15" type="noConversion"/>
  </si>
  <si>
    <t>홍보용 디자인구입</t>
    <phoneticPr fontId="15" type="noConversion"/>
  </si>
  <si>
    <t>원+</t>
    <phoneticPr fontId="15" type="noConversion"/>
  </si>
  <si>
    <t>계</t>
    <phoneticPr fontId="15" type="noConversion"/>
  </si>
  <si>
    <t>문화예술공연</t>
    <phoneticPr fontId="15" type="noConversion"/>
  </si>
  <si>
    <t xml:space="preserve"> o 안내요원</t>
    <phoneticPr fontId="15" type="noConversion"/>
  </si>
  <si>
    <t xml:space="preserve">  1. 공연심의</t>
    <phoneticPr fontId="15" type="noConversion"/>
  </si>
  <si>
    <t xml:space="preserve">  2. 설문조사 데이터정리</t>
    <phoneticPr fontId="15" type="noConversion"/>
  </si>
  <si>
    <t xml:space="preserve"> o 홍보물 디자인</t>
    <phoneticPr fontId="15" type="noConversion"/>
  </si>
  <si>
    <t xml:space="preserve"> o 심의회의 </t>
    <phoneticPr fontId="15" type="noConversion"/>
  </si>
  <si>
    <t xml:space="preserve"> o 공연 준비 및 평가회의  </t>
    <phoneticPr fontId="15" type="noConversion"/>
  </si>
  <si>
    <t xml:space="preserve">  1. 배너 </t>
    <phoneticPr fontId="15" type="noConversion"/>
  </si>
  <si>
    <t xml:space="preserve">  2. 현수막</t>
    <phoneticPr fontId="15" type="noConversion"/>
  </si>
  <si>
    <t xml:space="preserve">  3. 진행물품</t>
    <phoneticPr fontId="15" type="noConversion"/>
  </si>
  <si>
    <t xml:space="preserve"> o 국내외 여비</t>
    <phoneticPr fontId="15" type="noConversion"/>
  </si>
  <si>
    <t>문화콘텐츠 연계확산</t>
    <phoneticPr fontId="15" type="noConversion"/>
  </si>
  <si>
    <t xml:space="preserve">   2. 동호회공연 초청</t>
    <phoneticPr fontId="15" type="noConversion"/>
  </si>
  <si>
    <t xml:space="preserve">   3. 평가자문비</t>
    <phoneticPr fontId="15" type="noConversion"/>
  </si>
  <si>
    <t xml:space="preserve">   4. 강의료</t>
    <phoneticPr fontId="15" type="noConversion"/>
  </si>
  <si>
    <t xml:space="preserve"> o 관계자 회의</t>
    <phoneticPr fontId="15" type="noConversion"/>
  </si>
  <si>
    <t>지금입차료</t>
    <phoneticPr fontId="27" type="noConversion"/>
  </si>
  <si>
    <t>심사, 자문 , 평가위원  회의 등</t>
    <phoneticPr fontId="15" type="noConversion"/>
  </si>
  <si>
    <t>작은미술관 운영</t>
    <phoneticPr fontId="15" type="noConversion"/>
  </si>
  <si>
    <t xml:space="preserve"> o 전시실 지킴이</t>
    <phoneticPr fontId="15" type="noConversion"/>
  </si>
  <si>
    <t>월*</t>
    <phoneticPr fontId="15" type="noConversion"/>
  </si>
  <si>
    <t xml:space="preserve"> o 현수막, 행사용물품 구입 등</t>
    <phoneticPr fontId="15" type="noConversion"/>
  </si>
  <si>
    <t xml:space="preserve"> o 관리비 및 수도요금</t>
    <phoneticPr fontId="15" type="noConversion"/>
  </si>
  <si>
    <t xml:space="preserve"> o 국내여비  </t>
    <phoneticPr fontId="15" type="noConversion"/>
  </si>
  <si>
    <t xml:space="preserve"> o 시설 교체, 철거 등</t>
    <phoneticPr fontId="15" type="noConversion"/>
  </si>
  <si>
    <t xml:space="preserve"> o 교육 등 기획운영 </t>
    <phoneticPr fontId="15" type="noConversion"/>
  </si>
  <si>
    <t xml:space="preserve"> o 난방기 대여 등</t>
    <phoneticPr fontId="15" type="noConversion"/>
  </si>
  <si>
    <t xml:space="preserve"> o 작가공모 지원</t>
    <phoneticPr fontId="15" type="noConversion"/>
  </si>
  <si>
    <t xml:space="preserve"> o 우편 발송료 등</t>
    <phoneticPr fontId="15" type="noConversion"/>
  </si>
  <si>
    <t xml:space="preserve"> o 워크숍 등 행사운영비</t>
    <phoneticPr fontId="15" type="noConversion"/>
  </si>
  <si>
    <t xml:space="preserve"> o 심의, 업무회의 등 </t>
    <phoneticPr fontId="15" type="noConversion"/>
  </si>
  <si>
    <t xml:space="preserve"> o 자료구입</t>
    <phoneticPr fontId="15" type="noConversion"/>
  </si>
  <si>
    <t xml:space="preserve">   1. 강사비</t>
    <phoneticPr fontId="15" type="noConversion"/>
  </si>
  <si>
    <t xml:space="preserve">   2. 멘토링비</t>
    <phoneticPr fontId="15" type="noConversion"/>
  </si>
  <si>
    <t xml:space="preserve">   3. 발표비</t>
    <phoneticPr fontId="15" type="noConversion"/>
  </si>
  <si>
    <t xml:space="preserve">   4. 심의비</t>
    <phoneticPr fontId="15" type="noConversion"/>
  </si>
  <si>
    <t xml:space="preserve">   5. 원고료</t>
    <phoneticPr fontId="15" type="noConversion"/>
  </si>
  <si>
    <t xml:space="preserve">   6. 토론비</t>
    <phoneticPr fontId="15" type="noConversion"/>
  </si>
  <si>
    <t xml:space="preserve">   1. 홍보물디자인</t>
    <phoneticPr fontId="27" type="noConversion"/>
  </si>
  <si>
    <t xml:space="preserve"> o 문화기획 프로젝트 지원</t>
    <phoneticPr fontId="15" type="noConversion"/>
  </si>
  <si>
    <t xml:space="preserve">   1. 강의, 워크숍 진행비</t>
    <phoneticPr fontId="15" type="noConversion"/>
  </si>
  <si>
    <t xml:space="preserve">   2. 오리엔테이션 진행</t>
    <phoneticPr fontId="15" type="noConversion"/>
  </si>
  <si>
    <t xml:space="preserve">   3. 수료식 진행</t>
    <phoneticPr fontId="15" type="noConversion"/>
  </si>
  <si>
    <t xml:space="preserve">   4. 청년기획자 교류모임</t>
    <phoneticPr fontId="15" type="noConversion"/>
  </si>
  <si>
    <t xml:space="preserve">   5. 결과공유회 진행</t>
    <phoneticPr fontId="15" type="noConversion"/>
  </si>
  <si>
    <t xml:space="preserve"> o 업무회의 진행</t>
    <phoneticPr fontId="15" type="noConversion"/>
  </si>
  <si>
    <t xml:space="preserve"> o 계약직 인건비</t>
    <phoneticPr fontId="15" type="noConversion"/>
  </si>
  <si>
    <t xml:space="preserve"> </t>
    <phoneticPr fontId="27" type="noConversion"/>
  </si>
  <si>
    <t xml:space="preserve">   1. 심의비</t>
    <phoneticPr fontId="15" type="noConversion"/>
  </si>
  <si>
    <t xml:space="preserve">   2. 현장컨설팅</t>
    <phoneticPr fontId="15" type="noConversion"/>
  </si>
  <si>
    <t xml:space="preserve">   3. 워크숍 강의발표비</t>
    <phoneticPr fontId="15" type="noConversion"/>
  </si>
  <si>
    <t>지원비</t>
    <phoneticPr fontId="27" type="noConversion"/>
  </si>
  <si>
    <t xml:space="preserve"> o 청년 문화 창업 지원</t>
    <phoneticPr fontId="15" type="noConversion"/>
  </si>
  <si>
    <t xml:space="preserve"> o 워크숍 진행</t>
    <phoneticPr fontId="15" type="noConversion"/>
  </si>
  <si>
    <t xml:space="preserve"> o 심의 및 업무회의 진행</t>
    <phoneticPr fontId="15" type="noConversion"/>
  </si>
  <si>
    <t xml:space="preserve"> o 공연지원</t>
    <phoneticPr fontId="15" type="noConversion"/>
  </si>
  <si>
    <t xml:space="preserve"> o 관광상품신규개발</t>
    <phoneticPr fontId="15" type="noConversion"/>
  </si>
  <si>
    <t xml:space="preserve"> o 심사, 자문수당 등</t>
    <phoneticPr fontId="15" type="noConversion"/>
  </si>
  <si>
    <t xml:space="preserve"> o 우편발송 등</t>
    <phoneticPr fontId="15" type="noConversion"/>
  </si>
  <si>
    <t xml:space="preserve"> o 사업설명회 등</t>
    <phoneticPr fontId="15" type="noConversion"/>
  </si>
  <si>
    <t>행사운영 등</t>
    <phoneticPr fontId="15" type="noConversion"/>
  </si>
  <si>
    <t xml:space="preserve"> o 심사, 자문 등</t>
    <phoneticPr fontId="15" type="noConversion"/>
  </si>
  <si>
    <t>ㅇ 계</t>
    <phoneticPr fontId="15" type="noConversion"/>
  </si>
  <si>
    <t>부가가치세</t>
    <phoneticPr fontId="15" type="noConversion"/>
  </si>
  <si>
    <t xml:space="preserve"> o 내부성과평가 관련 행사</t>
    <phoneticPr fontId="15" type="noConversion"/>
  </si>
  <si>
    <t xml:space="preserve">   1. 오토마타 만들기 강사료</t>
    <phoneticPr fontId="15" type="noConversion"/>
  </si>
  <si>
    <t xml:space="preserve">   2. 몸으로 전래동화 읽기 강사료</t>
    <phoneticPr fontId="15" type="noConversion"/>
  </si>
  <si>
    <t xml:space="preserve">   3. 오토마타로 전래동화 읽기 강사료</t>
    <phoneticPr fontId="15" type="noConversion"/>
  </si>
  <si>
    <t xml:space="preserve">   4. 교육프로그램 기획비</t>
    <phoneticPr fontId="15" type="noConversion"/>
  </si>
  <si>
    <t xml:space="preserve">   1. 교구재 제작</t>
    <phoneticPr fontId="15" type="noConversion"/>
  </si>
  <si>
    <t xml:space="preserve">   2. 교육 환경 개선</t>
    <phoneticPr fontId="15" type="noConversion"/>
  </si>
  <si>
    <t xml:space="preserve">   1. X배너 제작</t>
    <phoneticPr fontId="15" type="noConversion"/>
  </si>
  <si>
    <t xml:space="preserve">   2. 간식비</t>
    <phoneticPr fontId="15" type="noConversion"/>
  </si>
  <si>
    <t>경영협력실</t>
    <phoneticPr fontId="15" type="noConversion"/>
  </si>
  <si>
    <t xml:space="preserve"> </t>
    <phoneticPr fontId="15" type="noConversion"/>
  </si>
  <si>
    <t>(단위:천원)</t>
    <phoneticPr fontId="15" type="noConversion"/>
  </si>
  <si>
    <t>과      목</t>
    <phoneticPr fontId="15" type="noConversion"/>
  </si>
  <si>
    <t>예산액</t>
    <phoneticPr fontId="15" type="noConversion"/>
  </si>
  <si>
    <t>기   정
예산액</t>
    <phoneticPr fontId="15" type="noConversion"/>
  </si>
  <si>
    <t>증 감</t>
    <phoneticPr fontId="15" type="noConversion"/>
  </si>
  <si>
    <t>산    출    기    초</t>
    <phoneticPr fontId="21" type="noConversion"/>
  </si>
  <si>
    <t>장분류</t>
    <phoneticPr fontId="15" type="noConversion"/>
  </si>
  <si>
    <t>관분류</t>
    <phoneticPr fontId="15" type="noConversion"/>
  </si>
  <si>
    <t>항분류</t>
    <phoneticPr fontId="15" type="noConversion"/>
  </si>
  <si>
    <t>목분류</t>
    <phoneticPr fontId="15" type="noConversion"/>
  </si>
  <si>
    <t>세분류</t>
    <phoneticPr fontId="15" type="noConversion"/>
  </si>
  <si>
    <t>경기도미술관</t>
    <phoneticPr fontId="15" type="noConversion"/>
  </si>
  <si>
    <t>일반관리비</t>
    <phoneticPr fontId="15" type="noConversion"/>
  </si>
  <si>
    <t>인건비</t>
    <phoneticPr fontId="15" type="noConversion"/>
  </si>
  <si>
    <t>급여</t>
    <phoneticPr fontId="15" type="noConversion"/>
  </si>
  <si>
    <t xml:space="preserve"> o 계</t>
    <phoneticPr fontId="15" type="noConversion"/>
  </si>
  <si>
    <t xml:space="preserve">  1. 기준연봉액</t>
    <phoneticPr fontId="15" type="noConversion"/>
  </si>
  <si>
    <t xml:space="preserve"> </t>
    <phoneticPr fontId="14" type="noConversion"/>
  </si>
  <si>
    <t>– 직원</t>
    <phoneticPr fontId="15" type="noConversion"/>
  </si>
  <si>
    <t>15</t>
    <phoneticPr fontId="15" type="noConversion"/>
  </si>
  <si>
    <t>명*</t>
    <phoneticPr fontId="15" type="noConversion"/>
  </si>
  <si>
    <t>원*</t>
    <phoneticPr fontId="15" type="noConversion"/>
  </si>
  <si>
    <t>월</t>
    <phoneticPr fontId="15" type="noConversion"/>
  </si>
  <si>
    <t>=</t>
    <phoneticPr fontId="15" type="noConversion"/>
  </si>
  <si>
    <t xml:space="preserve">  2. 부가급여(교통비+정액급식비+자녀학비보조수당+가족수당+초과근무수당 등포함)</t>
    <phoneticPr fontId="15" type="noConversion"/>
  </si>
  <si>
    <t xml:space="preserve">  3. 경영평가 성과급</t>
    <phoneticPr fontId="15" type="noConversion"/>
  </si>
  <si>
    <t>식</t>
    <phoneticPr fontId="15" type="noConversion"/>
  </si>
  <si>
    <t>퇴직급여</t>
    <phoneticPr fontId="15" type="noConversion"/>
  </si>
  <si>
    <t xml:space="preserve"> o 직원 퇴직급여</t>
    <phoneticPr fontId="15" type="noConversion"/>
  </si>
  <si>
    <t>원 /</t>
    <phoneticPr fontId="15" type="noConversion"/>
  </si>
  <si>
    <t xml:space="preserve">* </t>
    <phoneticPr fontId="14" type="noConversion"/>
  </si>
  <si>
    <t>복리후생비(급여)</t>
    <phoneticPr fontId="15" type="noConversion"/>
  </si>
  <si>
    <t xml:space="preserve">  1. 4대보험 부담금</t>
    <phoneticPr fontId="15" type="noConversion"/>
  </si>
  <si>
    <t xml:space="preserve">  2. 선택적 복지제도 운영</t>
    <phoneticPr fontId="15" type="noConversion"/>
  </si>
  <si>
    <t>명</t>
    <phoneticPr fontId="15" type="noConversion"/>
  </si>
  <si>
    <t>제경비</t>
    <phoneticPr fontId="14" type="noConversion"/>
  </si>
  <si>
    <t>복리후생비(경비)</t>
    <phoneticPr fontId="15" type="noConversion"/>
  </si>
  <si>
    <t xml:space="preserve"> o 직원MT, 건강검진 (정규직 15명, 기간제 4명)</t>
    <phoneticPr fontId="15" type="noConversion"/>
  </si>
  <si>
    <t>교육훈련비</t>
    <phoneticPr fontId="15" type="noConversion"/>
  </si>
  <si>
    <t xml:space="preserve"> o 직원 직무교육</t>
    <phoneticPr fontId="15" type="noConversion"/>
  </si>
  <si>
    <t>보험료</t>
    <phoneticPr fontId="15" type="noConversion"/>
  </si>
  <si>
    <t xml:space="preserve">   1. 건물관련보험(화재보험 등)</t>
    <phoneticPr fontId="15" type="noConversion"/>
  </si>
  <si>
    <t xml:space="preserve">   2. 영업배상책임보험</t>
    <phoneticPr fontId="15" type="noConversion"/>
  </si>
  <si>
    <t>부서운영비</t>
    <phoneticPr fontId="15" type="noConversion"/>
  </si>
  <si>
    <t xml:space="preserve">   1. 관장실</t>
    <phoneticPr fontId="15" type="noConversion"/>
  </si>
  <si>
    <t>실*</t>
    <phoneticPr fontId="15" type="noConversion"/>
  </si>
  <si>
    <t xml:space="preserve">   2. 각 팀</t>
    <phoneticPr fontId="15" type="noConversion"/>
  </si>
  <si>
    <t>팀*</t>
    <phoneticPr fontId="15" type="noConversion"/>
  </si>
  <si>
    <t>세금과공과</t>
    <phoneticPr fontId="15" type="noConversion"/>
  </si>
  <si>
    <t xml:space="preserve">   1. ICOM 연회비</t>
    <phoneticPr fontId="14" type="noConversion"/>
  </si>
  <si>
    <t>회</t>
    <phoneticPr fontId="15" type="noConversion"/>
  </si>
  <si>
    <t xml:space="preserve">   2. 법인균등할 주민세</t>
    <phoneticPr fontId="14" type="noConversion"/>
  </si>
  <si>
    <t>소모품비</t>
    <phoneticPr fontId="15" type="noConversion"/>
  </si>
  <si>
    <t xml:space="preserve">   1. 사무용기기 복사용지(복사,팩스,컴퓨터인쇄등)</t>
    <phoneticPr fontId="15" type="noConversion"/>
  </si>
  <si>
    <t xml:space="preserve">   2. 입장권제작</t>
    <phoneticPr fontId="15" type="noConversion"/>
  </si>
  <si>
    <t xml:space="preserve">   3. 생수사용료</t>
    <phoneticPr fontId="15" type="noConversion"/>
  </si>
  <si>
    <t xml:space="preserve">   4. 칼라복사기토너</t>
    <phoneticPr fontId="15" type="noConversion"/>
  </si>
  <si>
    <t xml:space="preserve">   5. 칼라복사기드럼</t>
    <phoneticPr fontId="15" type="noConversion"/>
  </si>
  <si>
    <t xml:space="preserve">   6. 잉크젯 및 레이저 프린터토너</t>
    <phoneticPr fontId="15" type="noConversion"/>
  </si>
  <si>
    <t xml:space="preserve">   7. 기타 업무용 문구 및 행사용 소모품구입(관장실 및 2개팀)</t>
    <phoneticPr fontId="15" type="noConversion"/>
  </si>
  <si>
    <t>수도광열비</t>
    <phoneticPr fontId="15" type="noConversion"/>
  </si>
  <si>
    <t xml:space="preserve">   1. 전기요금</t>
    <phoneticPr fontId="15" type="noConversion"/>
  </si>
  <si>
    <t xml:space="preserve">   2. 상하수도요금</t>
    <phoneticPr fontId="15" type="noConversion"/>
  </si>
  <si>
    <t>업무추진비</t>
    <phoneticPr fontId="15" type="noConversion"/>
  </si>
  <si>
    <t xml:space="preserve">   1. 기관운영일반업무추진비(관장)</t>
    <phoneticPr fontId="15" type="noConversion"/>
  </si>
  <si>
    <t xml:space="preserve">   2. 시책업무추진비(사업추진)</t>
    <phoneticPr fontId="15" type="noConversion"/>
  </si>
  <si>
    <t>여비교통비</t>
    <phoneticPr fontId="15" type="noConversion"/>
  </si>
  <si>
    <t xml:space="preserve">   1. 국내여비</t>
    <phoneticPr fontId="15" type="noConversion"/>
  </si>
  <si>
    <t xml:space="preserve">   2. 주차료</t>
    <phoneticPr fontId="15" type="noConversion"/>
  </si>
  <si>
    <t xml:space="preserve">   3. 도로통행료</t>
    <phoneticPr fontId="15" type="noConversion"/>
  </si>
  <si>
    <t>유지관리비</t>
    <phoneticPr fontId="15" type="noConversion"/>
  </si>
  <si>
    <t xml:space="preserve">   1. 기계설비</t>
    <phoneticPr fontId="15" type="noConversion"/>
  </si>
  <si>
    <t xml:space="preserve">     - 냉난방 시스템 유지보수</t>
    <phoneticPr fontId="15" type="noConversion"/>
  </si>
  <si>
    <t xml:space="preserve">     - 열교환기 세관</t>
    <phoneticPr fontId="15" type="noConversion"/>
  </si>
  <si>
    <t xml:space="preserve">     - 수축열조청소</t>
    <phoneticPr fontId="15" type="noConversion"/>
  </si>
  <si>
    <t xml:space="preserve">     - 항온항습기 보수</t>
    <phoneticPr fontId="15" type="noConversion"/>
  </si>
  <si>
    <t xml:space="preserve">     - 공조시스템 보수</t>
    <phoneticPr fontId="15" type="noConversion"/>
  </si>
  <si>
    <t xml:space="preserve">     - 수처리설비 보수</t>
    <phoneticPr fontId="15" type="noConversion"/>
  </si>
  <si>
    <t xml:space="preserve">   2. 건축영선</t>
    <phoneticPr fontId="15" type="noConversion"/>
  </si>
  <si>
    <t xml:space="preserve">     - 물탱크 청소등 관리</t>
    <phoneticPr fontId="15" type="noConversion"/>
  </si>
  <si>
    <t>=</t>
    <phoneticPr fontId="15" type="noConversion"/>
  </si>
  <si>
    <t xml:space="preserve">     - 유리교체,실리콘교체</t>
    <phoneticPr fontId="15" type="noConversion"/>
  </si>
  <si>
    <t xml:space="preserve">   3. 전기소방</t>
    <phoneticPr fontId="15" type="noConversion"/>
  </si>
  <si>
    <t xml:space="preserve">     - 전기설비 공사</t>
    <phoneticPr fontId="15" type="noConversion"/>
  </si>
  <si>
    <t xml:space="preserve">     - 비상발전기 연료구입</t>
    <phoneticPr fontId="15" type="noConversion"/>
  </si>
  <si>
    <t xml:space="preserve">     - 방화셔터,수신반,감지기,비상방송보수</t>
    <phoneticPr fontId="15" type="noConversion"/>
  </si>
  <si>
    <t xml:space="preserve">     - 분전반,조명,콘센트 선로 절연 측정 및 보수</t>
    <phoneticPr fontId="15" type="noConversion"/>
  </si>
  <si>
    <t>=</t>
    <phoneticPr fontId="15" type="noConversion"/>
  </si>
  <si>
    <t xml:space="preserve">     - 수변전 설비,MCC반 보수</t>
    <phoneticPr fontId="15" type="noConversion"/>
  </si>
  <si>
    <t xml:space="preserve">   4. 자동제어</t>
    <phoneticPr fontId="15" type="noConversion"/>
  </si>
  <si>
    <t xml:space="preserve">     - CCTV, 출입통제시스템 보수</t>
    <phoneticPr fontId="15" type="noConversion"/>
  </si>
  <si>
    <t xml:space="preserve">     - 원격제어시스템 보수(전력,조명,기계설비)</t>
    <phoneticPr fontId="15" type="noConversion"/>
  </si>
  <si>
    <t xml:space="preserve">     - 급수시스템 보수</t>
    <phoneticPr fontId="15" type="noConversion"/>
  </si>
  <si>
    <t xml:space="preserve">     - 발권시스템 보수(출입게이트 포함)</t>
    <phoneticPr fontId="15" type="noConversion"/>
  </si>
  <si>
    <t xml:space="preserve">   5. 사옥시설 관리</t>
    <phoneticPr fontId="15" type="noConversion"/>
  </si>
  <si>
    <t xml:space="preserve">     - 건물유지 및 사무실 보수</t>
    <phoneticPr fontId="15" type="noConversion"/>
  </si>
  <si>
    <t xml:space="preserve">     - 내외부 도색</t>
    <phoneticPr fontId="15" type="noConversion"/>
  </si>
  <si>
    <t xml:space="preserve">   6. 전산장비 유지관리(방화벽라이센스 포함)</t>
    <phoneticPr fontId="15" type="noConversion"/>
  </si>
  <si>
    <t xml:space="preserve">   7. 차량유지비(유류대, 수리비 등)</t>
    <phoneticPr fontId="15" type="noConversion"/>
  </si>
  <si>
    <t>=</t>
    <phoneticPr fontId="14" type="noConversion"/>
  </si>
  <si>
    <t xml:space="preserve">   8. 시설소모품(전기,설비,건축,미화 등)</t>
    <phoneticPr fontId="15" type="noConversion"/>
  </si>
  <si>
    <t>=</t>
    <phoneticPr fontId="15" type="noConversion"/>
  </si>
  <si>
    <t>자료구입비</t>
    <phoneticPr fontId="15" type="noConversion"/>
  </si>
  <si>
    <t xml:space="preserve"> o 계</t>
    <phoneticPr fontId="15" type="noConversion"/>
  </si>
  <si>
    <t xml:space="preserve">   1. 정기간행물(신문 등) 구독</t>
    <phoneticPr fontId="15" type="noConversion"/>
  </si>
  <si>
    <t xml:space="preserve">   2. 업무용 도서구입</t>
    <phoneticPr fontId="15" type="noConversion"/>
  </si>
  <si>
    <t>지급수수료</t>
    <phoneticPr fontId="15" type="noConversion"/>
  </si>
  <si>
    <t xml:space="preserve"> o 계</t>
    <phoneticPr fontId="15" type="noConversion"/>
  </si>
  <si>
    <t xml:space="preserve">   1. 자문위원회 참석수당 등(시설물안전, 미술관운영 기타)</t>
    <phoneticPr fontId="15" type="noConversion"/>
  </si>
  <si>
    <t xml:space="preserve">   2. 건물시설 검사수수료(전기,승강기,냉동제조,실내공기질측정 등)</t>
    <phoneticPr fontId="14" type="noConversion"/>
  </si>
  <si>
    <t>=</t>
    <phoneticPr fontId="14" type="noConversion"/>
  </si>
  <si>
    <t xml:space="preserve">   3. 퀵서비스 이용료(택배포함)</t>
    <phoneticPr fontId="14" type="noConversion"/>
  </si>
  <si>
    <t>지급용역료</t>
    <phoneticPr fontId="15" type="noConversion"/>
  </si>
  <si>
    <t xml:space="preserve">   1. 공사등 가격조사용역(타당성조사 등)</t>
    <phoneticPr fontId="14" type="noConversion"/>
  </si>
  <si>
    <t>원*</t>
    <phoneticPr fontId="15" type="noConversion"/>
  </si>
  <si>
    <t>회</t>
    <phoneticPr fontId="15" type="noConversion"/>
  </si>
  <si>
    <t xml:space="preserve">   2. 사옥관리용역(순수시설 14명)</t>
    <phoneticPr fontId="15" type="noConversion"/>
  </si>
  <si>
    <t>식</t>
    <phoneticPr fontId="15" type="noConversion"/>
  </si>
  <si>
    <t xml:space="preserve">   3. 사옥시설유지보수관리(소방안전,방범,승강기,통신+방화벽,발권,방역,근태 등)</t>
    <phoneticPr fontId="14" type="noConversion"/>
  </si>
  <si>
    <t xml:space="preserve">   4. 수공간 청소</t>
    <phoneticPr fontId="14" type="noConversion"/>
  </si>
  <si>
    <t>㎡*</t>
    <phoneticPr fontId="15" type="noConversion"/>
  </si>
  <si>
    <t xml:space="preserve">   5. 건축물 안전진단 </t>
    <phoneticPr fontId="15" type="noConversion"/>
  </si>
  <si>
    <t>지급임차료</t>
    <phoneticPr fontId="14" type="noConversion"/>
  </si>
  <si>
    <t xml:space="preserve"> o 계</t>
    <phoneticPr fontId="15" type="noConversion"/>
  </si>
  <si>
    <t xml:space="preserve">   1. 업무용 차량 임차</t>
    <phoneticPr fontId="14" type="noConversion"/>
  </si>
  <si>
    <t>대*</t>
    <phoneticPr fontId="14" type="noConversion"/>
  </si>
  <si>
    <t xml:space="preserve">   2. 사무용기기 임차(복사기)</t>
    <phoneticPr fontId="14" type="noConversion"/>
  </si>
  <si>
    <t xml:space="preserve">   3. 행사지원 차량 및 전시장비 임차</t>
    <phoneticPr fontId="14" type="noConversion"/>
  </si>
  <si>
    <t>일*</t>
    <phoneticPr fontId="15" type="noConversion"/>
  </si>
  <si>
    <t>직책업무추진비</t>
    <phoneticPr fontId="15" type="noConversion"/>
  </si>
  <si>
    <t xml:space="preserve">   1. 관장</t>
    <phoneticPr fontId="15" type="noConversion"/>
  </si>
  <si>
    <t xml:space="preserve">   2. 팀장</t>
    <phoneticPr fontId="15" type="noConversion"/>
  </si>
  <si>
    <t>통신비</t>
    <phoneticPr fontId="15" type="noConversion"/>
  </si>
  <si>
    <t xml:space="preserve">   1. 우편 요금</t>
    <phoneticPr fontId="15" type="noConversion"/>
  </si>
  <si>
    <t xml:space="preserve">   2. 전신전화 요금</t>
    <phoneticPr fontId="15" type="noConversion"/>
  </si>
  <si>
    <t xml:space="preserve">   3. 인터넷회선 사용료</t>
    <phoneticPr fontId="14" type="noConversion"/>
  </si>
  <si>
    <t xml:space="preserve">   4. 케이블TV 사용료</t>
    <phoneticPr fontId="15" type="noConversion"/>
  </si>
  <si>
    <t>회의운영비</t>
    <phoneticPr fontId="14" type="noConversion"/>
  </si>
  <si>
    <t xml:space="preserve"> o 감사, 자문회의 등 식음료비</t>
    <phoneticPr fontId="14" type="noConversion"/>
  </si>
  <si>
    <t>고정자산</t>
    <phoneticPr fontId="20" type="noConversion"/>
  </si>
  <si>
    <t>자산구입비</t>
    <phoneticPr fontId="15" type="noConversion"/>
  </si>
  <si>
    <t xml:space="preserve"> o 사무용집기 및 비품(컴퓨터 등)</t>
    <phoneticPr fontId="14" type="noConversion"/>
  </si>
  <si>
    <t>원*</t>
    <phoneticPr fontId="15" type="noConversion"/>
  </si>
  <si>
    <t>대</t>
    <phoneticPr fontId="15" type="noConversion"/>
  </si>
  <si>
    <t xml:space="preserve"> </t>
    <phoneticPr fontId="14" type="noConversion"/>
  </si>
  <si>
    <t>(사업비)</t>
    <phoneticPr fontId="15" type="noConversion"/>
  </si>
  <si>
    <t>미술관 학술연구</t>
    <phoneticPr fontId="15" type="noConversion"/>
  </si>
  <si>
    <t>학술조사 및 중단기 발전계획 연구</t>
    <phoneticPr fontId="15" type="noConversion"/>
  </si>
  <si>
    <t xml:space="preserve"> o 도서 편집 및 제작</t>
    <phoneticPr fontId="15" type="noConversion"/>
  </si>
  <si>
    <t>식</t>
    <phoneticPr fontId="15" type="noConversion"/>
  </si>
  <si>
    <t xml:space="preserve"> o 운영 소모품 구입</t>
    <phoneticPr fontId="15" type="noConversion"/>
  </si>
  <si>
    <t xml:space="preserve"> o 국내 출장</t>
    <phoneticPr fontId="15" type="noConversion"/>
  </si>
  <si>
    <t>명*</t>
    <phoneticPr fontId="15" type="noConversion"/>
  </si>
  <si>
    <t xml:space="preserve">   1. 강사 사례비</t>
    <phoneticPr fontId="15" type="noConversion"/>
  </si>
  <si>
    <t xml:space="preserve">   2. 자문회의 수당</t>
    <phoneticPr fontId="15" type="noConversion"/>
  </si>
  <si>
    <t xml:space="preserve">   3. 원고료 및 번역료</t>
    <phoneticPr fontId="15" type="noConversion"/>
  </si>
  <si>
    <t xml:space="preserve">   4. 보조인력 수당</t>
    <phoneticPr fontId="15" type="noConversion"/>
  </si>
  <si>
    <t>일</t>
    <phoneticPr fontId="15" type="noConversion"/>
  </si>
  <si>
    <t>개</t>
    <phoneticPr fontId="15" type="noConversion"/>
  </si>
  <si>
    <t>행사운영비</t>
    <phoneticPr fontId="15" type="noConversion"/>
  </si>
  <si>
    <t xml:space="preserve">   1. 온라인 광고</t>
    <phoneticPr fontId="15" type="noConversion"/>
  </si>
  <si>
    <t>회</t>
    <phoneticPr fontId="15" type="noConversion"/>
  </si>
  <si>
    <t xml:space="preserve">   2. 현수막, 배너 제작</t>
    <phoneticPr fontId="15" type="noConversion"/>
  </si>
  <si>
    <t xml:space="preserve">   3. 행사 다과 구입</t>
    <phoneticPr fontId="15" type="noConversion"/>
  </si>
  <si>
    <t>미술관 전시운영</t>
    <phoneticPr fontId="15" type="noConversion"/>
  </si>
  <si>
    <t>국제전</t>
    <phoneticPr fontId="15" type="noConversion"/>
  </si>
  <si>
    <t xml:space="preserve"> o 전시리플릿, 초대권, 포스터, 카달로그제작 </t>
    <phoneticPr fontId="15" type="noConversion"/>
  </si>
  <si>
    <t xml:space="preserve"> o 작품운송 및 전시기간 중 보험</t>
    <phoneticPr fontId="15" type="noConversion"/>
  </si>
  <si>
    <t xml:space="preserve">   1. 해외 리서치 및 회의</t>
    <phoneticPr fontId="14" type="noConversion"/>
  </si>
  <si>
    <t>인</t>
    <phoneticPr fontId="14" type="noConversion"/>
  </si>
  <si>
    <t xml:space="preserve">   2. 방한 초청</t>
    <phoneticPr fontId="14" type="noConversion"/>
  </si>
  <si>
    <t xml:space="preserve"> o 원고번역료 및 원고료</t>
    <phoneticPr fontId="15" type="noConversion"/>
  </si>
  <si>
    <t xml:space="preserve">   1. 작품운송(반입,반출)</t>
    <phoneticPr fontId="14" type="noConversion"/>
  </si>
  <si>
    <t xml:space="preserve">   2. 작품설치 철거 비용</t>
    <phoneticPr fontId="14" type="noConversion"/>
  </si>
  <si>
    <t xml:space="preserve">   3. 전시장 촬영</t>
    <phoneticPr fontId="14" type="noConversion"/>
  </si>
  <si>
    <t xml:space="preserve">   4. 전시사인물(현수막, 전시장내부)</t>
    <phoneticPr fontId="14" type="noConversion"/>
  </si>
  <si>
    <t xml:space="preserve">   5. 작품제작지원금</t>
    <phoneticPr fontId="14" type="noConversion"/>
  </si>
  <si>
    <t>지급임차료</t>
    <phoneticPr fontId="15" type="noConversion"/>
  </si>
  <si>
    <t xml:space="preserve"> o 영상장비임차</t>
    <phoneticPr fontId="15" type="noConversion"/>
  </si>
  <si>
    <t>행사운영비</t>
    <phoneticPr fontId="15" type="noConversion"/>
  </si>
  <si>
    <t xml:space="preserve"> o 개막식 식음료비</t>
    <phoneticPr fontId="14" type="noConversion"/>
  </si>
  <si>
    <t>원*</t>
    <phoneticPr fontId="15" type="noConversion"/>
  </si>
  <si>
    <t>회</t>
    <phoneticPr fontId="14" type="noConversion"/>
  </si>
  <si>
    <t xml:space="preserve"> o 회의운영비</t>
    <phoneticPr fontId="14" type="noConversion"/>
  </si>
  <si>
    <t>명*</t>
    <phoneticPr fontId="15" type="noConversion"/>
  </si>
  <si>
    <t>매</t>
    <phoneticPr fontId="15" type="noConversion"/>
  </si>
  <si>
    <t xml:space="preserve"> </t>
    <phoneticPr fontId="15" type="noConversion"/>
  </si>
  <si>
    <t>소모품비</t>
    <phoneticPr fontId="15" type="noConversion"/>
  </si>
  <si>
    <t>신소장품전</t>
    <phoneticPr fontId="15" type="noConversion"/>
  </si>
  <si>
    <t xml:space="preserve"> o 전시 명제표, 가이드북(리플렛)등 제작</t>
    <phoneticPr fontId="15" type="noConversion"/>
  </si>
  <si>
    <t xml:space="preserve"> o 전시 설치 및 운영 소모품 구입</t>
    <phoneticPr fontId="15" type="noConversion"/>
  </si>
  <si>
    <t xml:space="preserve">   3. 전시장 장비임대</t>
    <phoneticPr fontId="15" type="noConversion"/>
  </si>
  <si>
    <t>교육프로그램 운영</t>
    <phoneticPr fontId="15" type="noConversion"/>
  </si>
  <si>
    <t>미술관 아카데미</t>
    <phoneticPr fontId="15" type="noConversion"/>
  </si>
  <si>
    <t>도슨트 양성 교육 프로그램</t>
    <phoneticPr fontId="15" type="noConversion"/>
  </si>
  <si>
    <t>도서인쇄비</t>
    <phoneticPr fontId="15" type="noConversion"/>
  </si>
  <si>
    <t>원*</t>
    <phoneticPr fontId="15" type="noConversion"/>
  </si>
  <si>
    <t>=</t>
    <phoneticPr fontId="15" type="noConversion"/>
  </si>
  <si>
    <t>여비교통비</t>
    <phoneticPr fontId="15" type="noConversion"/>
  </si>
  <si>
    <t>회</t>
    <phoneticPr fontId="15" type="noConversion"/>
  </si>
  <si>
    <t>전시 연계 교육 프로그램</t>
    <phoneticPr fontId="15" type="noConversion"/>
  </si>
  <si>
    <t>학교 연계 교육 프로그램</t>
    <phoneticPr fontId="15" type="noConversion"/>
  </si>
  <si>
    <t>지급수수료</t>
    <phoneticPr fontId="15" type="noConversion"/>
  </si>
  <si>
    <t>지급용역료</t>
    <phoneticPr fontId="15" type="noConversion"/>
  </si>
  <si>
    <t>상설교육프로젝트 꿈틀</t>
    <phoneticPr fontId="15" type="noConversion"/>
  </si>
  <si>
    <t>인건비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</si>
  <si>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</si>
  <si>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</si>
  <si>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</si>
  <si>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회의운영비</t>
    <phoneticPr fontId="15" type="noConversion"/>
  </si>
  <si>
    <t>소장품 수집 및 관리</t>
    <phoneticPr fontId="15" type="noConversion"/>
  </si>
  <si>
    <t>소장품 관리</t>
    <phoneticPr fontId="15" type="noConversion"/>
  </si>
  <si>
    <t>보험료</t>
    <phoneticPr fontId="15" type="noConversion"/>
  </si>
  <si>
    <t xml:space="preserve"> o 작품 보험료</t>
    <phoneticPr fontId="15" type="noConversion"/>
  </si>
  <si>
    <t xml:space="preserve"> o 소장품 관리 소모품</t>
    <phoneticPr fontId="15" type="noConversion"/>
  </si>
  <si>
    <t>유지관리비</t>
    <phoneticPr fontId="15" type="noConversion"/>
  </si>
  <si>
    <t xml:space="preserve"> o 계</t>
    <phoneticPr fontId="14" type="noConversion"/>
  </si>
  <si>
    <t>개월</t>
    <phoneticPr fontId="14" type="noConversion"/>
  </si>
  <si>
    <t>식</t>
    <phoneticPr fontId="14" type="noConversion"/>
  </si>
  <si>
    <t xml:space="preserve"> o 야외조각작품보수</t>
    <phoneticPr fontId="14" type="noConversion"/>
  </si>
  <si>
    <t xml:space="preserve"> o 회의다과비</t>
    <phoneticPr fontId="14" type="noConversion"/>
  </si>
  <si>
    <t>관람객 서비스</t>
    <phoneticPr fontId="15" type="noConversion"/>
  </si>
  <si>
    <t>전시 도슨트(지킴이) 운영</t>
    <phoneticPr fontId="15" type="noConversion"/>
  </si>
  <si>
    <t xml:space="preserve"> o 안내요원(4대 보험 포함)</t>
    <phoneticPr fontId="14" type="noConversion"/>
  </si>
  <si>
    <t xml:space="preserve"> o 회의비 </t>
    <phoneticPr fontId="14" type="noConversion"/>
  </si>
  <si>
    <t>복리후생비</t>
    <phoneticPr fontId="15" type="noConversion"/>
  </si>
  <si>
    <t xml:space="preserve"> o 복리후생비(피복비등)</t>
    <phoneticPr fontId="15" type="noConversion"/>
  </si>
  <si>
    <t>미술관 문화자원봉사 운영</t>
    <phoneticPr fontId="15" type="noConversion"/>
  </si>
  <si>
    <t>인건비</t>
    <phoneticPr fontId="14" type="noConversion"/>
  </si>
  <si>
    <t xml:space="preserve">   1. 자원봉사 활동비 </t>
    <phoneticPr fontId="15" type="noConversion"/>
  </si>
  <si>
    <t xml:space="preserve">   2. 자원봉사 CS 강사료 </t>
    <phoneticPr fontId="15" type="noConversion"/>
  </si>
  <si>
    <t>지급임차료</t>
    <phoneticPr fontId="15" type="noConversion"/>
  </si>
  <si>
    <t xml:space="preserve"> o 문화자원봉사 답사 차량 임차</t>
    <phoneticPr fontId="15" type="noConversion"/>
  </si>
  <si>
    <t>행사운영비</t>
    <phoneticPr fontId="14" type="noConversion"/>
  </si>
  <si>
    <t xml:space="preserve">   3. 봉사자 연말 사은회</t>
    <phoneticPr fontId="15" type="noConversion"/>
  </si>
  <si>
    <t xml:space="preserve"> o 문화자원봉사 월간 간담회   </t>
    <phoneticPr fontId="15" type="noConversion"/>
  </si>
  <si>
    <t>아카이브 구축 및 도서관 운영</t>
    <phoneticPr fontId="15" type="noConversion"/>
  </si>
  <si>
    <t>소모품비</t>
    <phoneticPr fontId="14" type="noConversion"/>
  </si>
  <si>
    <t xml:space="preserve"> o 소모품비</t>
    <phoneticPr fontId="14" type="noConversion"/>
  </si>
  <si>
    <t>자료구입비</t>
    <phoneticPr fontId="14" type="noConversion"/>
  </si>
  <si>
    <t xml:space="preserve"> o 자료구독 및 구입</t>
    <phoneticPr fontId="14" type="noConversion"/>
  </si>
  <si>
    <t xml:space="preserve"> o 활동비 </t>
    <phoneticPr fontId="15" type="noConversion"/>
  </si>
  <si>
    <t xml:space="preserve">일 </t>
    <phoneticPr fontId="14" type="noConversion"/>
  </si>
  <si>
    <t xml:space="preserve"> o 회의비 </t>
    <phoneticPr fontId="15" type="noConversion"/>
  </si>
  <si>
    <t>미술관 종합홍보</t>
    <phoneticPr fontId="15" type="noConversion"/>
  </si>
  <si>
    <t xml:space="preserve"> o 종합 홍보 인쇄물 제작</t>
    <phoneticPr fontId="15" type="noConversion"/>
  </si>
  <si>
    <t xml:space="preserve"> o 홍보 SNS 운영</t>
    <phoneticPr fontId="15" type="noConversion"/>
  </si>
  <si>
    <t>월</t>
    <phoneticPr fontId="15" type="noConversion"/>
  </si>
  <si>
    <t>관람환경 개선</t>
    <phoneticPr fontId="15" type="noConversion"/>
  </si>
  <si>
    <t xml:space="preserve"> o 관람환경 개선</t>
    <phoneticPr fontId="14" type="noConversion"/>
  </si>
  <si>
    <t>식*</t>
    <phoneticPr fontId="15" type="noConversion"/>
  </si>
  <si>
    <t>특별사업</t>
    <phoneticPr fontId="15" type="noConversion"/>
  </si>
  <si>
    <t>외부기관 협력사업</t>
    <phoneticPr fontId="15" type="noConversion"/>
  </si>
  <si>
    <t xml:space="preserve"> o 타기관 리서칭 및 교류업무</t>
    <phoneticPr fontId="15" type="noConversion"/>
  </si>
  <si>
    <t>지급용역료</t>
    <phoneticPr fontId="14" type="noConversion"/>
  </si>
  <si>
    <t xml:space="preserve"> o 행사지원 및 설치용역</t>
    <phoneticPr fontId="14" type="noConversion"/>
  </si>
  <si>
    <t>명*</t>
    <phoneticPr fontId="14" type="noConversion"/>
  </si>
  <si>
    <t xml:space="preserve"> o 대외협력 행사 개막식지원</t>
    <phoneticPr fontId="14" type="noConversion"/>
  </si>
  <si>
    <t xml:space="preserve"> o 대외협력사업 회의운영비</t>
    <phoneticPr fontId="14" type="noConversion"/>
  </si>
  <si>
    <t>특별전,한중수교 25주년 기념전</t>
    <phoneticPr fontId="15" type="noConversion"/>
  </si>
  <si>
    <t xml:space="preserve"> o 국내여비</t>
    <phoneticPr fontId="15" type="noConversion"/>
  </si>
  <si>
    <t>행사운영비</t>
    <phoneticPr fontId="15" type="noConversion"/>
  </si>
  <si>
    <t xml:space="preserve"> o 전시관련 개막비용등</t>
    <phoneticPr fontId="15" type="noConversion"/>
  </si>
  <si>
    <t>편의시설운영</t>
    <phoneticPr fontId="15" type="noConversion"/>
  </si>
  <si>
    <t>통신비</t>
    <phoneticPr fontId="15" type="noConversion"/>
  </si>
  <si>
    <t>산    출    기    초</t>
    <phoneticPr fontId="15" type="noConversion"/>
  </si>
  <si>
    <t>백남준아트센터</t>
    <phoneticPr fontId="15" type="noConversion"/>
  </si>
  <si>
    <t xml:space="preserve">   1. 기준연봉액</t>
    <phoneticPr fontId="15" type="noConversion"/>
  </si>
  <si>
    <t>13</t>
    <phoneticPr fontId="15" type="noConversion"/>
  </si>
  <si>
    <t xml:space="preserve">   2. 부가급여(교통비+정액급식비+자녀학비보조수당+가족수당+초과근무수당 등포함)</t>
    <phoneticPr fontId="15" type="noConversion"/>
  </si>
  <si>
    <t xml:space="preserve">   3. 경영평가 성과급</t>
    <phoneticPr fontId="15" type="noConversion"/>
  </si>
  <si>
    <t xml:space="preserve">   1. 4대보험 부담금</t>
    <phoneticPr fontId="15" type="noConversion"/>
  </si>
  <si>
    <t xml:space="preserve">   2. 선택적 복지제도 운영</t>
    <phoneticPr fontId="15" type="noConversion"/>
  </si>
  <si>
    <t xml:space="preserve"> o 직원MT, 건강검진(정규직 13명, 기간제 5명)</t>
    <phoneticPr fontId="15" type="noConversion"/>
  </si>
  <si>
    <t xml:space="preserve"> o 임직원 직무교육</t>
    <phoneticPr fontId="14" type="noConversion"/>
  </si>
  <si>
    <t>도서인쇄비</t>
    <phoneticPr fontId="15" type="noConversion"/>
  </si>
  <si>
    <t xml:space="preserve">   1. 안내,홍보물 및 인쇄물 제작</t>
    <phoneticPr fontId="14" type="noConversion"/>
  </si>
  <si>
    <t>종</t>
    <phoneticPr fontId="15" type="noConversion"/>
  </si>
  <si>
    <t xml:space="preserve">   2. 아트센터 봉투 및 종이가방 제작</t>
    <phoneticPr fontId="14" type="noConversion"/>
  </si>
  <si>
    <t xml:space="preserve">   3. 각종 자료 인쇄 및 제본</t>
    <phoneticPr fontId="14" type="noConversion"/>
  </si>
  <si>
    <t xml:space="preserve"> o 건물관련보험(화재보험 등)</t>
    <phoneticPr fontId="14" type="noConversion"/>
  </si>
  <si>
    <t xml:space="preserve">   1. 관장실</t>
    <phoneticPr fontId="14" type="noConversion"/>
  </si>
  <si>
    <t xml:space="preserve">   2. 각 팀</t>
    <phoneticPr fontId="14" type="noConversion"/>
  </si>
  <si>
    <t>2</t>
    <phoneticPr fontId="15" type="noConversion"/>
  </si>
  <si>
    <t>팀*</t>
    <phoneticPr fontId="14" type="noConversion"/>
  </si>
  <si>
    <t>10</t>
    <phoneticPr fontId="15" type="noConversion"/>
  </si>
  <si>
    <t>박스*</t>
    <phoneticPr fontId="15" type="noConversion"/>
  </si>
  <si>
    <t xml:space="preserve">   2. 생수사용료</t>
    <phoneticPr fontId="14" type="noConversion"/>
  </si>
  <si>
    <t>30</t>
    <phoneticPr fontId="15" type="noConversion"/>
  </si>
  <si>
    <t>통*</t>
    <phoneticPr fontId="14" type="noConversion"/>
  </si>
  <si>
    <t xml:space="preserve">   3. 포스관련 바코드리본, 카트리지, 영수증용지</t>
    <phoneticPr fontId="14" type="noConversion"/>
  </si>
  <si>
    <t>대*</t>
    <phoneticPr fontId="14" type="noConversion"/>
  </si>
  <si>
    <t>분기</t>
    <phoneticPr fontId="15" type="noConversion"/>
  </si>
  <si>
    <t xml:space="preserve">   4. 입장권제작</t>
    <phoneticPr fontId="14" type="noConversion"/>
  </si>
  <si>
    <t>매*</t>
    <phoneticPr fontId="14" type="noConversion"/>
  </si>
  <si>
    <t xml:space="preserve">   5. 기타 업무용 문구 및 소모품구입</t>
    <phoneticPr fontId="14" type="noConversion"/>
  </si>
  <si>
    <t xml:space="preserve">   6. 시설관리소모품(전기,설비,건축,미화등)</t>
    <phoneticPr fontId="14" type="noConversion"/>
  </si>
  <si>
    <t xml:space="preserve">   3. 가스요금</t>
    <phoneticPr fontId="14" type="noConversion"/>
  </si>
  <si>
    <t>=</t>
    <phoneticPr fontId="14" type="noConversion"/>
  </si>
  <si>
    <t>%</t>
    <phoneticPr fontId="15" type="noConversion"/>
  </si>
  <si>
    <t>5</t>
    <phoneticPr fontId="15" type="noConversion"/>
  </si>
  <si>
    <t>회*</t>
    <phoneticPr fontId="15" type="noConversion"/>
  </si>
  <si>
    <t>12</t>
    <phoneticPr fontId="15" type="noConversion"/>
  </si>
  <si>
    <t>6</t>
    <phoneticPr fontId="15" type="noConversion"/>
  </si>
  <si>
    <t>시간*</t>
    <phoneticPr fontId="15" type="noConversion"/>
  </si>
  <si>
    <t>1</t>
    <phoneticPr fontId="15" type="noConversion"/>
  </si>
  <si>
    <t>대*</t>
    <phoneticPr fontId="15" type="noConversion"/>
  </si>
  <si>
    <t xml:space="preserve">   1. 건축물 유지관리</t>
    <phoneticPr fontId="15" type="noConversion"/>
  </si>
  <si>
    <t>㎡*</t>
    <phoneticPr fontId="15" type="noConversion"/>
  </si>
  <si>
    <t xml:space="preserve">   2. 차량유지관리(유류대,기타)</t>
    <phoneticPr fontId="15" type="noConversion"/>
  </si>
  <si>
    <t>원*</t>
    <phoneticPr fontId="14" type="noConversion"/>
  </si>
  <si>
    <t>월</t>
    <phoneticPr fontId="14" type="noConversion"/>
  </si>
  <si>
    <t>자료구입비</t>
    <phoneticPr fontId="15" type="noConversion"/>
  </si>
  <si>
    <t xml:space="preserve">   1. 정기간행물(신문 등) 구독</t>
    <phoneticPr fontId="15" type="noConversion"/>
  </si>
  <si>
    <t>부*</t>
    <phoneticPr fontId="15" type="noConversion"/>
  </si>
  <si>
    <t xml:space="preserve">   2. 업무관련 자료 구입(물가정보)</t>
    <phoneticPr fontId="15" type="noConversion"/>
  </si>
  <si>
    <t>종*</t>
    <phoneticPr fontId="15" type="noConversion"/>
  </si>
  <si>
    <t>지급수수료</t>
    <phoneticPr fontId="15" type="noConversion"/>
  </si>
  <si>
    <t>지급용역료</t>
    <phoneticPr fontId="15" type="noConversion"/>
  </si>
  <si>
    <t xml:space="preserve">   1. 사옥관리용역(순수시설:18명)</t>
    <phoneticPr fontId="15" type="noConversion"/>
  </si>
  <si>
    <t>년</t>
    <phoneticPr fontId="15" type="noConversion"/>
  </si>
  <si>
    <t xml:space="preserve">   2. 사옥시설유지보수관리용역(소방,A/V,방범,전화, 항온항습, 자동제어 등)</t>
    <phoneticPr fontId="14" type="noConversion"/>
  </si>
  <si>
    <t xml:space="preserve">   3. 조경유지보수(잔디깎기, 제초, 약제살포, 동면, 사목 재식재)</t>
    <phoneticPr fontId="14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</si>
  <si>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</si>
  <si>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</si>
  <si>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</si>
  <si>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지급임차료</t>
    <phoneticPr fontId="14" type="noConversion"/>
  </si>
  <si>
    <t xml:space="preserve"> o 계</t>
    <phoneticPr fontId="15" type="noConversion"/>
  </si>
  <si>
    <t xml:space="preserve">   1. 업무용 차량 임차료</t>
    <phoneticPr fontId="14" type="noConversion"/>
  </si>
  <si>
    <t>1</t>
    <phoneticPr fontId="15" type="noConversion"/>
  </si>
  <si>
    <t>대*</t>
    <phoneticPr fontId="14" type="noConversion"/>
  </si>
  <si>
    <t>월</t>
    <phoneticPr fontId="15" type="noConversion"/>
  </si>
  <si>
    <t xml:space="preserve">   2. 사무용기기 임대</t>
    <phoneticPr fontId="14" type="noConversion"/>
  </si>
  <si>
    <t>2</t>
    <phoneticPr fontId="15" type="noConversion"/>
  </si>
  <si>
    <t>월</t>
    <phoneticPr fontId="14" type="noConversion"/>
  </si>
  <si>
    <t>직책업무추진비</t>
    <phoneticPr fontId="15" type="noConversion"/>
  </si>
  <si>
    <t xml:space="preserve">   1. 관장</t>
    <phoneticPr fontId="15" type="noConversion"/>
  </si>
  <si>
    <t>명*</t>
    <phoneticPr fontId="15" type="noConversion"/>
  </si>
  <si>
    <t xml:space="preserve">   2. 팀장</t>
    <phoneticPr fontId="14" type="noConversion"/>
  </si>
  <si>
    <t>통신비</t>
    <phoneticPr fontId="15" type="noConversion"/>
  </si>
  <si>
    <t xml:space="preserve">   1. 우편요금(국내및국외)</t>
    <phoneticPr fontId="15" type="noConversion"/>
  </si>
  <si>
    <t xml:space="preserve">   2. 전화요금 및 인터넷 회선사용료</t>
    <phoneticPr fontId="15" type="noConversion"/>
  </si>
  <si>
    <t xml:space="preserve">   3. 법인 이동전화요금</t>
    <phoneticPr fontId="15" type="noConversion"/>
  </si>
  <si>
    <t xml:space="preserve">   4. 위성방송 시청료</t>
    <phoneticPr fontId="15" type="noConversion"/>
  </si>
  <si>
    <t>대*</t>
    <phoneticPr fontId="15" type="noConversion"/>
  </si>
  <si>
    <t>회의운영비</t>
    <phoneticPr fontId="14" type="noConversion"/>
  </si>
  <si>
    <t xml:space="preserve"> o 감사, 자문회의 등 식음료비</t>
    <phoneticPr fontId="14" type="noConversion"/>
  </si>
  <si>
    <t>20</t>
    <phoneticPr fontId="15" type="noConversion"/>
  </si>
  <si>
    <t>회*</t>
    <phoneticPr fontId="15" type="noConversion"/>
  </si>
  <si>
    <t>명</t>
    <phoneticPr fontId="15" type="noConversion"/>
  </si>
  <si>
    <t>고정자산</t>
    <phoneticPr fontId="20" type="noConversion"/>
  </si>
  <si>
    <t>자산구입비</t>
    <phoneticPr fontId="15" type="noConversion"/>
  </si>
  <si>
    <t xml:space="preserve"> o 사무용 PC 및 집기류 등</t>
    <phoneticPr fontId="15" type="noConversion"/>
  </si>
  <si>
    <t xml:space="preserve">   1. 사무용 PC 구입</t>
    <phoneticPr fontId="15" type="noConversion"/>
  </si>
  <si>
    <t xml:space="preserve"> </t>
    <phoneticPr fontId="14" type="noConversion"/>
  </si>
  <si>
    <t>대</t>
    <phoneticPr fontId="14" type="noConversion"/>
  </si>
  <si>
    <t xml:space="preserve">   2. 사무용 모니터 구입</t>
    <phoneticPr fontId="15" type="noConversion"/>
  </si>
  <si>
    <t>대</t>
    <phoneticPr fontId="15" type="noConversion"/>
  </si>
  <si>
    <t>(사업비)</t>
    <phoneticPr fontId="15" type="noConversion"/>
  </si>
  <si>
    <t>학술연구</t>
    <phoneticPr fontId="15" type="noConversion"/>
  </si>
  <si>
    <t xml:space="preserve">인터뷰 프로젝트 </t>
    <phoneticPr fontId="15" type="noConversion"/>
  </si>
  <si>
    <t>도서인쇄비</t>
    <phoneticPr fontId="15" type="noConversion"/>
  </si>
  <si>
    <t xml:space="preserve"> o 단행본 제작 (디자인, 인쇄)</t>
    <phoneticPr fontId="15" type="noConversion"/>
  </si>
  <si>
    <t>원*</t>
    <phoneticPr fontId="14" type="noConversion"/>
  </si>
  <si>
    <t>부</t>
    <phoneticPr fontId="14" type="noConversion"/>
  </si>
  <si>
    <t>=</t>
    <phoneticPr fontId="14" type="noConversion"/>
  </si>
  <si>
    <t xml:space="preserve"> o 출장비</t>
    <phoneticPr fontId="15" type="noConversion"/>
  </si>
  <si>
    <t>인*</t>
    <phoneticPr fontId="15" type="noConversion"/>
  </si>
  <si>
    <t>일</t>
    <phoneticPr fontId="15" type="noConversion"/>
  </si>
  <si>
    <t>지급수수료</t>
    <phoneticPr fontId="15" type="noConversion"/>
  </si>
  <si>
    <t xml:space="preserve">   1. 번역료 (한--&gt;영)</t>
    <phoneticPr fontId="15" type="noConversion"/>
  </si>
  <si>
    <t>장</t>
    <phoneticPr fontId="15" type="noConversion"/>
  </si>
  <si>
    <t xml:space="preserve">   2. 번역료 (영--&gt;한)</t>
    <phoneticPr fontId="15" type="noConversion"/>
  </si>
  <si>
    <t xml:space="preserve"> o 국내소포발송</t>
    <phoneticPr fontId="15" type="noConversion"/>
  </si>
  <si>
    <t>건*</t>
    <phoneticPr fontId="15" type="noConversion"/>
  </si>
  <si>
    <t>회</t>
    <phoneticPr fontId="14" type="noConversion"/>
  </si>
  <si>
    <t>회의운영비</t>
    <phoneticPr fontId="15" type="noConversion"/>
  </si>
  <si>
    <t xml:space="preserve"> o 인터뷰 프로젝트 간담회</t>
    <phoneticPr fontId="14" type="noConversion"/>
  </si>
  <si>
    <t>학술지 출간</t>
    <phoneticPr fontId="15" type="noConversion"/>
  </si>
  <si>
    <t>10</t>
    <phoneticPr fontId="15" type="noConversion"/>
  </si>
  <si>
    <t>광고선전비</t>
    <phoneticPr fontId="15" type="noConversion"/>
  </si>
  <si>
    <t>인*</t>
    <phoneticPr fontId="15" type="noConversion"/>
  </si>
  <si>
    <t>백남준 전시운영</t>
    <phoneticPr fontId="15" type="noConversion"/>
  </si>
  <si>
    <t xml:space="preserve">   1. 국내작품 운송</t>
    <phoneticPr fontId="15" type="noConversion"/>
  </si>
  <si>
    <t>기획전</t>
    <phoneticPr fontId="20" type="noConversion"/>
  </si>
  <si>
    <t xml:space="preserve">   1. 설치 및 해체보조</t>
    <phoneticPr fontId="15" type="noConversion"/>
  </si>
  <si>
    <t xml:space="preserve">   2. 디자이너 인건비</t>
    <phoneticPr fontId="15" type="noConversion"/>
  </si>
  <si>
    <t xml:space="preserve">   1. 도록</t>
    <phoneticPr fontId="15" type="noConversion"/>
  </si>
  <si>
    <t xml:space="preserve">   2. 리플렛 및 안내자료</t>
    <phoneticPr fontId="15" type="noConversion"/>
  </si>
  <si>
    <t xml:space="preserve"> o 작품보험료</t>
    <phoneticPr fontId="15" type="noConversion"/>
  </si>
  <si>
    <t xml:space="preserve"> o 관련 소모품비</t>
    <phoneticPr fontId="15" type="noConversion"/>
  </si>
  <si>
    <t xml:space="preserve">   1. 해외초청자 항공료</t>
    <phoneticPr fontId="15" type="noConversion"/>
  </si>
  <si>
    <t xml:space="preserve">   2. 해외초청자 체재비</t>
    <phoneticPr fontId="15" type="noConversion"/>
  </si>
  <si>
    <t xml:space="preserve">   3. 해외초청자 일비</t>
    <phoneticPr fontId="15" type="noConversion"/>
  </si>
  <si>
    <t xml:space="preserve">   4. 국내출장여비</t>
    <phoneticPr fontId="15" type="noConversion"/>
  </si>
  <si>
    <t>일</t>
    <phoneticPr fontId="15" type="noConversion"/>
  </si>
  <si>
    <t>지급수수료</t>
    <phoneticPr fontId="15" type="noConversion"/>
  </si>
  <si>
    <t xml:space="preserve"> o 계</t>
    <phoneticPr fontId="15" type="noConversion"/>
  </si>
  <si>
    <t xml:space="preserve"> </t>
    <phoneticPr fontId="14" type="noConversion"/>
  </si>
  <si>
    <t>지급용역료</t>
    <phoneticPr fontId="15" type="noConversion"/>
  </si>
  <si>
    <t>회</t>
    <phoneticPr fontId="15" type="noConversion"/>
  </si>
  <si>
    <t>월</t>
    <phoneticPr fontId="15" type="noConversion"/>
  </si>
  <si>
    <t>지급임차료</t>
    <phoneticPr fontId="15" type="noConversion"/>
  </si>
  <si>
    <t>대*</t>
    <phoneticPr fontId="15" type="noConversion"/>
  </si>
  <si>
    <t xml:space="preserve"> </t>
    <phoneticPr fontId="15" type="noConversion"/>
  </si>
  <si>
    <t>통신비</t>
    <phoneticPr fontId="15" type="noConversion"/>
  </si>
  <si>
    <t>행사운영비</t>
    <phoneticPr fontId="15" type="noConversion"/>
  </si>
  <si>
    <t xml:space="preserve">   1.  개막 행사비</t>
    <phoneticPr fontId="15" type="noConversion"/>
  </si>
  <si>
    <t>인*</t>
    <phoneticPr fontId="15" type="noConversion"/>
  </si>
  <si>
    <t xml:space="preserve">   2.  작가강연행사운영</t>
    <phoneticPr fontId="15" type="noConversion"/>
  </si>
  <si>
    <t>회의운영비</t>
    <phoneticPr fontId="15" type="noConversion"/>
  </si>
  <si>
    <t xml:space="preserve"> o 전시 기획회의 등</t>
    <phoneticPr fontId="15" type="noConversion"/>
  </si>
  <si>
    <t>쓰리룸프로젝트</t>
    <phoneticPr fontId="20" type="noConversion"/>
  </si>
  <si>
    <t>심사자료집 제작</t>
    <phoneticPr fontId="15" type="noConversion"/>
  </si>
  <si>
    <t>6</t>
    <phoneticPr fontId="15" type="noConversion"/>
  </si>
  <si>
    <t>부*</t>
    <phoneticPr fontId="15" type="noConversion"/>
  </si>
  <si>
    <t>=</t>
    <phoneticPr fontId="14" type="noConversion"/>
  </si>
  <si>
    <t>소모품비</t>
    <phoneticPr fontId="15" type="noConversion"/>
  </si>
  <si>
    <t xml:space="preserve"> o 프로젝트 관련 소모품 구입</t>
    <phoneticPr fontId="15" type="noConversion"/>
  </si>
  <si>
    <t>회*</t>
    <phoneticPr fontId="15" type="noConversion"/>
  </si>
  <si>
    <t xml:space="preserve">   1. 심사 관련 항공료</t>
    <phoneticPr fontId="15" type="noConversion"/>
  </si>
  <si>
    <t xml:space="preserve">   2. 심사 관련 숙박비</t>
    <phoneticPr fontId="15" type="noConversion"/>
  </si>
  <si>
    <t xml:space="preserve">   3. 해외 초청자 일비</t>
    <phoneticPr fontId="15" type="noConversion"/>
  </si>
  <si>
    <t xml:space="preserve">   1. 추천 심사 사례비 지급</t>
    <phoneticPr fontId="15" type="noConversion"/>
  </si>
  <si>
    <t>5</t>
    <phoneticPr fontId="15" type="noConversion"/>
  </si>
  <si>
    <t xml:space="preserve">   2. 심사 자료집 번역</t>
    <phoneticPr fontId="15" type="noConversion"/>
  </si>
  <si>
    <t>10</t>
    <phoneticPr fontId="15" type="noConversion"/>
  </si>
  <si>
    <t>장*</t>
    <phoneticPr fontId="15" type="noConversion"/>
  </si>
  <si>
    <t xml:space="preserve"> o 기획 및 평가 간담회</t>
    <phoneticPr fontId="15" type="noConversion"/>
  </si>
  <si>
    <t>프로젝트 관련 회의 운영</t>
    <phoneticPr fontId="15" type="noConversion"/>
  </si>
  <si>
    <t>학교연계 프로그램</t>
    <phoneticPr fontId="15" type="noConversion"/>
  </si>
  <si>
    <t>인건비</t>
    <phoneticPr fontId="15" type="noConversion"/>
  </si>
  <si>
    <t xml:space="preserve">   1. 교육 연구원 인건비</t>
    <phoneticPr fontId="15" type="noConversion"/>
  </si>
  <si>
    <t xml:space="preserve">   2. 교육 연구원 인건비(퇴직급여등)</t>
    <phoneticPr fontId="15" type="noConversion"/>
  </si>
  <si>
    <t>인*</t>
    <phoneticPr fontId="15" type="noConversion"/>
  </si>
  <si>
    <t xml:space="preserve"> </t>
    <phoneticPr fontId="14" type="noConversion"/>
  </si>
  <si>
    <t>회</t>
    <phoneticPr fontId="14" type="noConversion"/>
  </si>
  <si>
    <t>회의운영비</t>
    <phoneticPr fontId="15" type="noConversion"/>
  </si>
  <si>
    <t xml:space="preserve"> o 기획 및 평가 간담회</t>
    <phoneticPr fontId="15" type="noConversion"/>
  </si>
  <si>
    <t>NJP 창작소</t>
    <phoneticPr fontId="20" type="noConversion"/>
  </si>
  <si>
    <t>인건비</t>
    <phoneticPr fontId="15" type="noConversion"/>
  </si>
  <si>
    <t>월</t>
    <phoneticPr fontId="15" type="noConversion"/>
  </si>
  <si>
    <t>도서인쇄비</t>
    <phoneticPr fontId="15" type="noConversion"/>
  </si>
  <si>
    <t>부*</t>
    <phoneticPr fontId="15" type="noConversion"/>
  </si>
  <si>
    <t>종</t>
    <phoneticPr fontId="15" type="noConversion"/>
  </si>
  <si>
    <t>소모품비</t>
    <phoneticPr fontId="15" type="noConversion"/>
  </si>
  <si>
    <t xml:space="preserve"> o 프로그램 재료 구입비</t>
    <phoneticPr fontId="15" type="noConversion"/>
  </si>
  <si>
    <t>식</t>
    <phoneticPr fontId="14" type="noConversion"/>
  </si>
  <si>
    <t>NJP 아카데미</t>
    <phoneticPr fontId="20" type="noConversion"/>
  </si>
  <si>
    <t xml:space="preserve">   1. 살롱 자료집</t>
    <phoneticPr fontId="15" type="noConversion"/>
  </si>
  <si>
    <t xml:space="preserve">   1. 전시 연계 강좌 강사료</t>
    <phoneticPr fontId="15" type="noConversion"/>
  </si>
  <si>
    <t xml:space="preserve">   2. 통역료</t>
    <phoneticPr fontId="15" type="noConversion"/>
  </si>
  <si>
    <t xml:space="preserve">   3. 교육운영 사진 촬영</t>
    <phoneticPr fontId="15" type="noConversion"/>
  </si>
  <si>
    <t xml:space="preserve">   4. NJP살롱 강사료</t>
    <phoneticPr fontId="15" type="noConversion"/>
  </si>
  <si>
    <t xml:space="preserve"> o 버스 임차</t>
    <phoneticPr fontId="15" type="noConversion"/>
  </si>
  <si>
    <t xml:space="preserve">   1. NJP살롱 답사 차량</t>
    <phoneticPr fontId="15" type="noConversion"/>
  </si>
  <si>
    <t>대*</t>
    <phoneticPr fontId="15" type="noConversion"/>
  </si>
  <si>
    <t xml:space="preserve">   2. 아티스트 토크 임차</t>
    <phoneticPr fontId="15" type="noConversion"/>
  </si>
  <si>
    <t xml:space="preserve">   1. 살롱 예술강좌 식음료비</t>
    <phoneticPr fontId="15" type="noConversion"/>
  </si>
  <si>
    <t>20</t>
    <phoneticPr fontId="15" type="noConversion"/>
  </si>
  <si>
    <t xml:space="preserve">   2. 교육행사 진행비</t>
    <phoneticPr fontId="15" type="noConversion"/>
  </si>
  <si>
    <t>소장품 수집 및 관리</t>
    <phoneticPr fontId="15" type="noConversion"/>
  </si>
  <si>
    <t>소장품 관리</t>
    <phoneticPr fontId="15" type="noConversion"/>
  </si>
  <si>
    <t xml:space="preserve">   1. 작품 반출,반입,설치,점검 보조인력 </t>
    <phoneticPr fontId="15" type="noConversion"/>
  </si>
  <si>
    <t>일</t>
    <phoneticPr fontId="15" type="noConversion"/>
  </si>
  <si>
    <t xml:space="preserve">   2. 소장품 연구원 인건비</t>
    <phoneticPr fontId="15" type="noConversion"/>
  </si>
  <si>
    <t>보험료</t>
    <phoneticPr fontId="15" type="noConversion"/>
  </si>
  <si>
    <t xml:space="preserve"> o 소장자료 및 소장작품 종합보험</t>
    <phoneticPr fontId="15" type="noConversion"/>
  </si>
  <si>
    <t xml:space="preserve">   1. 관리약품 등</t>
    <phoneticPr fontId="15" type="noConversion"/>
  </si>
  <si>
    <t xml:space="preserve">   2. 작품설치 및 해체 공구, 전기기자재 등</t>
    <phoneticPr fontId="15" type="noConversion"/>
  </si>
  <si>
    <t>유지관리비</t>
    <phoneticPr fontId="15" type="noConversion"/>
  </si>
  <si>
    <t xml:space="preserve">   1. CRT, LCD 등 백업 모니터 구입 </t>
    <phoneticPr fontId="15" type="noConversion"/>
  </si>
  <si>
    <t xml:space="preserve">   2. 진공관 등 엔틱 구형 TV</t>
    <phoneticPr fontId="15" type="noConversion"/>
  </si>
  <si>
    <t>대</t>
    <phoneticPr fontId="15" type="noConversion"/>
  </si>
  <si>
    <t xml:space="preserve">   1. 작품복원비</t>
    <phoneticPr fontId="15" type="noConversion"/>
  </si>
  <si>
    <t xml:space="preserve">   2. 전자기기 수리</t>
    <phoneticPr fontId="15" type="noConversion"/>
  </si>
  <si>
    <t xml:space="preserve"> o 소장품 복원 및 점검 간담회</t>
    <phoneticPr fontId="15" type="noConversion"/>
  </si>
  <si>
    <t>아카이브 운영</t>
    <phoneticPr fontId="15" type="noConversion"/>
  </si>
  <si>
    <t>관람객 서비스</t>
    <phoneticPr fontId="15" type="noConversion"/>
  </si>
  <si>
    <t>백남준 라이브러리 운영</t>
    <phoneticPr fontId="15" type="noConversion"/>
  </si>
  <si>
    <t xml:space="preserve">   1. 도서관 사서 인건비 </t>
    <phoneticPr fontId="15" type="noConversion"/>
  </si>
  <si>
    <t xml:space="preserve">   2. 도서관 사서 퇴직급여 등</t>
    <phoneticPr fontId="15" type="noConversion"/>
  </si>
  <si>
    <t xml:space="preserve">   1. 도서관 운영 소모품 (바코드용지,라벨지,토너 외)</t>
    <phoneticPr fontId="15" type="noConversion"/>
  </si>
  <si>
    <t xml:space="preserve">   2. 데이터베이스 백신</t>
    <phoneticPr fontId="15" type="noConversion"/>
  </si>
  <si>
    <t xml:space="preserve">   1. 국내외잡지 정기구독</t>
    <phoneticPr fontId="15" type="noConversion"/>
  </si>
  <si>
    <t xml:space="preserve">   2. 국내외 도서 구입</t>
    <phoneticPr fontId="15" type="noConversion"/>
  </si>
  <si>
    <t xml:space="preserve"> o 도서관 정책 및 장서 점검 코디네이팅</t>
    <phoneticPr fontId="15" type="noConversion"/>
  </si>
  <si>
    <t xml:space="preserve">   1. 도서관 시설 보수</t>
    <phoneticPr fontId="15" type="noConversion"/>
  </si>
  <si>
    <t xml:space="preserve">   2. 데이터베이스 서버 유지관리 용역</t>
    <phoneticPr fontId="15" type="noConversion"/>
  </si>
  <si>
    <t xml:space="preserve"> o 도서관용 복합기 임차료</t>
    <phoneticPr fontId="15" type="noConversion"/>
  </si>
  <si>
    <t xml:space="preserve"> o 국내외 출판물 교환</t>
    <phoneticPr fontId="15" type="noConversion"/>
  </si>
  <si>
    <t xml:space="preserve"> o 북클럽 행사운영</t>
    <phoneticPr fontId="15" type="noConversion"/>
  </si>
  <si>
    <t>백남준 종합홍보</t>
    <phoneticPr fontId="20" type="noConversion"/>
  </si>
  <si>
    <t>여비교통비</t>
    <phoneticPr fontId="15" type="noConversion"/>
  </si>
  <si>
    <t>개</t>
    <phoneticPr fontId="15" type="noConversion"/>
  </si>
  <si>
    <t>자원봉사 운영</t>
    <phoneticPr fontId="20" type="noConversion"/>
  </si>
  <si>
    <t xml:space="preserve">   1. 전문도슨트 인건비</t>
    <phoneticPr fontId="15" type="noConversion"/>
  </si>
  <si>
    <t xml:space="preserve">   2. 퇴직급여 등</t>
    <phoneticPr fontId="15" type="noConversion"/>
  </si>
  <si>
    <t>1</t>
    <phoneticPr fontId="15" type="noConversion"/>
  </si>
  <si>
    <t>인</t>
    <phoneticPr fontId="15" type="noConversion"/>
  </si>
  <si>
    <t>60</t>
    <phoneticPr fontId="15" type="noConversion"/>
  </si>
  <si>
    <t>백남준 추모 10주기 사업</t>
    <phoneticPr fontId="20" type="noConversion"/>
  </si>
  <si>
    <t>백남준아트센터 국제예술상</t>
    <phoneticPr fontId="20" type="noConversion"/>
  </si>
  <si>
    <t xml:space="preserve">   1. 전시 코디네이터(프리랜서)</t>
    <phoneticPr fontId="15" type="noConversion"/>
  </si>
  <si>
    <t xml:space="preserve">   2. 번역료 (한-&gt;영)</t>
    <phoneticPr fontId="15" type="noConversion"/>
  </si>
  <si>
    <t xml:space="preserve">   3. 번역료(영-&gt;한)</t>
    <phoneticPr fontId="15" type="noConversion"/>
  </si>
  <si>
    <t xml:space="preserve">   4. 작가사례비</t>
    <phoneticPr fontId="15" type="noConversion"/>
  </si>
  <si>
    <t xml:space="preserve">   1. 작품 운송</t>
    <phoneticPr fontId="15" type="noConversion"/>
  </si>
  <si>
    <t xml:space="preserve">   2. 영상장비설치용역</t>
    <phoneticPr fontId="15" type="noConversion"/>
  </si>
  <si>
    <t xml:space="preserve">   3. 동영상촬영및편집</t>
    <phoneticPr fontId="15" type="noConversion"/>
  </si>
  <si>
    <t>시간</t>
    <phoneticPr fontId="15" type="noConversion"/>
  </si>
  <si>
    <t xml:space="preserve">   4. 전시설치작품 사진촬영</t>
    <phoneticPr fontId="15" type="noConversion"/>
  </si>
  <si>
    <t xml:space="preserve">   5. 전시장 지킴이</t>
    <phoneticPr fontId="15" type="noConversion"/>
  </si>
  <si>
    <t xml:space="preserve">   6. 전시장공사</t>
    <phoneticPr fontId="15" type="noConversion"/>
  </si>
  <si>
    <t xml:space="preserve">   7. 전시장해체공사</t>
    <phoneticPr fontId="15" type="noConversion"/>
  </si>
  <si>
    <t xml:space="preserve">   8. 전시시트지 및 현수막제작 </t>
    <phoneticPr fontId="15" type="noConversion"/>
  </si>
  <si>
    <t xml:space="preserve">   1. 개막 행사 버스 임차</t>
    <phoneticPr fontId="15" type="noConversion"/>
  </si>
  <si>
    <t xml:space="preserve">   2. 영상장비 임차</t>
    <phoneticPr fontId="15" type="noConversion"/>
  </si>
  <si>
    <t>사이버네틱스전</t>
    <phoneticPr fontId="20" type="noConversion"/>
  </si>
  <si>
    <t>전곡선사박물관</t>
    <phoneticPr fontId="14" type="noConversion"/>
  </si>
  <si>
    <t xml:space="preserve">     - 직원</t>
    <phoneticPr fontId="15" type="noConversion"/>
  </si>
  <si>
    <t xml:space="preserve">   2. 부가급여(교통비+정액급식비+자녀학비보조수당+가족수당+초과근무수당 등 포함)</t>
    <phoneticPr fontId="15" type="noConversion"/>
  </si>
  <si>
    <t>제경비</t>
    <phoneticPr fontId="15" type="noConversion"/>
  </si>
  <si>
    <t>복리후생비(경비)</t>
    <phoneticPr fontId="21" type="noConversion"/>
  </si>
  <si>
    <t xml:space="preserve"> o 직원MT, 건강검진 (정규직 12명, 기간제 8명)</t>
    <phoneticPr fontId="15" type="noConversion"/>
  </si>
  <si>
    <t>명*</t>
    <phoneticPr fontId="21" type="noConversion"/>
  </si>
  <si>
    <t>식</t>
    <phoneticPr fontId="21" type="noConversion"/>
  </si>
  <si>
    <t>=</t>
    <phoneticPr fontId="21" type="noConversion"/>
  </si>
  <si>
    <t>교육훈련비</t>
    <phoneticPr fontId="21" type="noConversion"/>
  </si>
  <si>
    <t xml:space="preserve"> o 직원 직무교육 등</t>
    <phoneticPr fontId="15" type="noConversion"/>
  </si>
  <si>
    <t>도서인쇄비</t>
    <phoneticPr fontId="21" type="noConversion"/>
  </si>
  <si>
    <t xml:space="preserve">   1. 업무용봉투제작(대중소) </t>
    <phoneticPr fontId="15" type="noConversion"/>
  </si>
  <si>
    <t xml:space="preserve">   2. 박물관회의관련 자료집 발간   </t>
    <phoneticPr fontId="15" type="noConversion"/>
  </si>
  <si>
    <t>보험료</t>
    <phoneticPr fontId="21" type="noConversion"/>
  </si>
  <si>
    <t xml:space="preserve">   1. 건물관련보험(화재보험 등) </t>
    <phoneticPr fontId="14" type="noConversion"/>
  </si>
  <si>
    <t>회</t>
    <phoneticPr fontId="21" type="noConversion"/>
  </si>
  <si>
    <t xml:space="preserve">   2. 영업배상책임보험 </t>
    <phoneticPr fontId="15" type="noConversion"/>
  </si>
  <si>
    <t xml:space="preserve">   3. 자동차보험(화물용) </t>
    <phoneticPr fontId="14" type="noConversion"/>
  </si>
  <si>
    <t>팀*</t>
    <phoneticPr fontId="21" type="noConversion"/>
  </si>
  <si>
    <t>월</t>
    <phoneticPr fontId="21" type="noConversion"/>
  </si>
  <si>
    <t>세금과공과</t>
    <phoneticPr fontId="21" type="noConversion"/>
  </si>
  <si>
    <t xml:space="preserve">   1. 자동차세  </t>
    <phoneticPr fontId="14" type="noConversion"/>
  </si>
  <si>
    <t xml:space="preserve">   2. ICOM 연회비 </t>
    <phoneticPr fontId="14" type="noConversion"/>
  </si>
  <si>
    <t xml:space="preserve">   3. 박물관협의회비  </t>
    <phoneticPr fontId="14" type="noConversion"/>
  </si>
  <si>
    <t xml:space="preserve">   4. 법인균등할 주민세  </t>
    <phoneticPr fontId="14" type="noConversion"/>
  </si>
  <si>
    <t xml:space="preserve">   5. 환경개선부담금 </t>
    <phoneticPr fontId="15" type="noConversion"/>
  </si>
  <si>
    <t xml:space="preserve">   6. 협회비(소방,전기 등)  </t>
    <phoneticPr fontId="15" type="noConversion"/>
  </si>
  <si>
    <t xml:space="preserve">   7. 기타(증지,인지대 등)  </t>
    <phoneticPr fontId="14" type="noConversion"/>
  </si>
  <si>
    <t xml:space="preserve">   1. 복사용지 등</t>
    <phoneticPr fontId="15" type="noConversion"/>
  </si>
  <si>
    <t>박스*</t>
    <phoneticPr fontId="21" type="noConversion"/>
  </si>
  <si>
    <t xml:space="preserve">   2. 복사기 토너(흑백,칼라)</t>
    <phoneticPr fontId="14" type="noConversion"/>
  </si>
  <si>
    <t>대*</t>
    <phoneticPr fontId="21" type="noConversion"/>
  </si>
  <si>
    <t xml:space="preserve">   3. 프린터 토너(흑백,칼라)</t>
    <phoneticPr fontId="14" type="noConversion"/>
  </si>
  <si>
    <t xml:space="preserve">   4. 팩스 토너</t>
    <phoneticPr fontId="21" type="noConversion"/>
  </si>
  <si>
    <t xml:space="preserve">   5. 업무용문구 등 소모품</t>
    <phoneticPr fontId="14" type="noConversion"/>
  </si>
  <si>
    <t xml:space="preserve">   6. 생수사용료 등</t>
    <phoneticPr fontId="15" type="noConversion"/>
  </si>
  <si>
    <t>통*</t>
    <phoneticPr fontId="21" type="noConversion"/>
  </si>
  <si>
    <t>수도광열비</t>
    <phoneticPr fontId="21" type="noConversion"/>
  </si>
  <si>
    <t xml:space="preserve">   2. 가스요금</t>
    <phoneticPr fontId="14" type="noConversion"/>
  </si>
  <si>
    <t xml:space="preserve">   3. 상하수도요금</t>
    <phoneticPr fontId="21" type="noConversion"/>
  </si>
  <si>
    <t>업무추진비</t>
    <phoneticPr fontId="21" type="noConversion"/>
  </si>
  <si>
    <t xml:space="preserve">   2. 시책업무추진비(사업추진)</t>
    <phoneticPr fontId="14" type="noConversion"/>
  </si>
  <si>
    <t xml:space="preserve">   1. 국내 여비 </t>
    <phoneticPr fontId="21" type="noConversion"/>
  </si>
  <si>
    <t xml:space="preserve">   2. 하이패스 충전</t>
    <phoneticPr fontId="21" type="noConversion"/>
  </si>
  <si>
    <t>회</t>
    <phoneticPr fontId="21" type="noConversion"/>
  </si>
  <si>
    <t>=</t>
    <phoneticPr fontId="21" type="noConversion"/>
  </si>
  <si>
    <t xml:space="preserve">   3. 원격지 보조금</t>
    <phoneticPr fontId="15" type="noConversion"/>
  </si>
  <si>
    <t>명*</t>
    <phoneticPr fontId="15" type="noConversion"/>
  </si>
  <si>
    <t>월</t>
    <phoneticPr fontId="21" type="noConversion"/>
  </si>
  <si>
    <t>유지관리비</t>
    <phoneticPr fontId="14" type="noConversion"/>
  </si>
  <si>
    <t xml:space="preserve">   1. 건축영선분야</t>
    <phoneticPr fontId="15" type="noConversion"/>
  </si>
  <si>
    <t xml:space="preserve">     - 물탱크청소 및 수질검사 </t>
    <phoneticPr fontId="15" type="noConversion"/>
  </si>
  <si>
    <t xml:space="preserve">     - 야외 목재데크 보수 4</t>
    <phoneticPr fontId="15" type="noConversion"/>
  </si>
  <si>
    <t>㎡*</t>
    <phoneticPr fontId="15" type="noConversion"/>
  </si>
  <si>
    <t>식</t>
    <phoneticPr fontId="21" type="noConversion"/>
  </si>
  <si>
    <t xml:space="preserve">     - 건물유지보수 </t>
    <phoneticPr fontId="15" type="noConversion"/>
  </si>
  <si>
    <t xml:space="preserve">   2. 기계설비 분야</t>
    <phoneticPr fontId="15" type="noConversion"/>
  </si>
  <si>
    <t xml:space="preserve">     - 항온항습기 유지보수 </t>
    <phoneticPr fontId="15" type="noConversion"/>
  </si>
  <si>
    <t>원</t>
    <phoneticPr fontId="15" type="noConversion"/>
  </si>
  <si>
    <t xml:space="preserve">     - 공조기 소모품(필터 벨트 등)구입  </t>
    <phoneticPr fontId="15" type="noConversion"/>
  </si>
  <si>
    <t xml:space="preserve">     - 시스템 에어컨 청소</t>
    <phoneticPr fontId="15" type="noConversion"/>
  </si>
  <si>
    <t xml:space="preserve">   3. 전기통신 분야</t>
    <phoneticPr fontId="15" type="noConversion"/>
  </si>
  <si>
    <t xml:space="preserve">     - 수변전설비 점검  </t>
    <phoneticPr fontId="15" type="noConversion"/>
  </si>
  <si>
    <t xml:space="preserve">     - 조명설비 보수  </t>
    <phoneticPr fontId="15" type="noConversion"/>
  </si>
  <si>
    <t>개*</t>
    <phoneticPr fontId="15" type="noConversion"/>
  </si>
  <si>
    <t xml:space="preserve">     - 무정전전원장치 교체</t>
    <phoneticPr fontId="15" type="noConversion"/>
  </si>
  <si>
    <t xml:space="preserve">     - 전기실에어컨설치</t>
    <phoneticPr fontId="15" type="noConversion"/>
  </si>
  <si>
    <t xml:space="preserve">   4. 소방분야</t>
    <phoneticPr fontId="15" type="noConversion"/>
  </si>
  <si>
    <t xml:space="preserve">     - 청정소화기 구입</t>
    <phoneticPr fontId="15" type="noConversion"/>
  </si>
  <si>
    <t xml:space="preserve">   5. cctv 시스템</t>
    <phoneticPr fontId="15" type="noConversion"/>
  </si>
  <si>
    <t xml:space="preserve">     - 카메라 유지보수 </t>
    <phoneticPr fontId="15" type="noConversion"/>
  </si>
  <si>
    <t xml:space="preserve">   6. 전산장비분야</t>
    <phoneticPr fontId="15" type="noConversion"/>
  </si>
  <si>
    <t xml:space="preserve">     - 전산장비유지보수(pc,복사기,프린터기 등)</t>
    <phoneticPr fontId="15" type="noConversion"/>
  </si>
  <si>
    <t xml:space="preserve">   7. 시설관리소모성 자재 구입(전기,기계,미화,영선 등)</t>
    <phoneticPr fontId="15" type="noConversion"/>
  </si>
  <si>
    <t xml:space="preserve">   8. 업무용차량 유지비(유류비,수리비등 )</t>
    <phoneticPr fontId="15" type="noConversion"/>
  </si>
  <si>
    <t>자료구입비</t>
    <phoneticPr fontId="15" type="noConversion"/>
  </si>
  <si>
    <t xml:space="preserve">   1. 정기간행물 구독 </t>
    <phoneticPr fontId="15" type="noConversion"/>
  </si>
  <si>
    <t>종*</t>
    <phoneticPr fontId="15" type="noConversion"/>
  </si>
  <si>
    <t>원*</t>
    <phoneticPr fontId="21" type="noConversion"/>
  </si>
  <si>
    <t>=</t>
    <phoneticPr fontId="21" type="noConversion"/>
  </si>
  <si>
    <t xml:space="preserve">   2. 업무용도서구입</t>
    <phoneticPr fontId="15" type="noConversion"/>
  </si>
  <si>
    <t>회</t>
    <phoneticPr fontId="21" type="noConversion"/>
  </si>
  <si>
    <t xml:space="preserve">   1. 시설검사(전기,승강기,실내공기질 등)</t>
    <phoneticPr fontId="15" type="noConversion"/>
  </si>
  <si>
    <t>식</t>
    <phoneticPr fontId="15" type="noConversion"/>
  </si>
  <si>
    <t xml:space="preserve">   2. 생태연못관리점검</t>
    <phoneticPr fontId="15" type="noConversion"/>
  </si>
  <si>
    <t>㎡*</t>
    <phoneticPr fontId="15" type="noConversion"/>
  </si>
  <si>
    <t xml:space="preserve">   3. 자문위원회 및 심사위원 수당</t>
    <phoneticPr fontId="15" type="noConversion"/>
  </si>
  <si>
    <t>명*</t>
    <phoneticPr fontId="15" type="noConversion"/>
  </si>
  <si>
    <t xml:space="preserve">   4. 송금수수료 </t>
    <phoneticPr fontId="15" type="noConversion"/>
  </si>
  <si>
    <t>건*</t>
    <phoneticPr fontId="15" type="noConversion"/>
  </si>
  <si>
    <t>분기</t>
    <phoneticPr fontId="15" type="noConversion"/>
  </si>
  <si>
    <t xml:space="preserve">   5. 퀵서비스 </t>
    <phoneticPr fontId="15" type="noConversion"/>
  </si>
  <si>
    <t>지급용역료</t>
    <phoneticPr fontId="21" type="noConversion"/>
  </si>
  <si>
    <t xml:space="preserve">   1. 도급용역(16명) </t>
    <phoneticPr fontId="15" type="noConversion"/>
  </si>
  <si>
    <t xml:space="preserve">   2. 시설유지보수(소방 승강기 방범 방제 등)</t>
    <phoneticPr fontId="14" type="noConversion"/>
  </si>
  <si>
    <t xml:space="preserve">   3. 야외 부지 수목 조경 유지관리</t>
    <phoneticPr fontId="14" type="noConversion"/>
  </si>
  <si>
    <t xml:space="preserve">   4. 흡수식냉온수기 점검</t>
    <phoneticPr fontId="15" type="noConversion"/>
  </si>
  <si>
    <t xml:space="preserve">   5. 건축물정기점검</t>
    <phoneticPr fontId="15" type="noConversion"/>
  </si>
  <si>
    <t xml:space="preserve">   6. 세무결산등 제비용</t>
    <phoneticPr fontId="15" type="noConversion"/>
  </si>
  <si>
    <t xml:space="preserve">   1. 업무용차량 임차</t>
    <phoneticPr fontId="15" type="noConversion"/>
  </si>
  <si>
    <t>월</t>
    <phoneticPr fontId="21" type="noConversion"/>
  </si>
  <si>
    <t xml:space="preserve">   2. 사무용 기기 임차</t>
    <phoneticPr fontId="15" type="noConversion"/>
  </si>
  <si>
    <t xml:space="preserve">   3. 직원용 숙소임차보증금 </t>
    <phoneticPr fontId="15" type="noConversion"/>
  </si>
  <si>
    <t xml:space="preserve">   4. 직원 숙소 월 임차료</t>
    <phoneticPr fontId="15" type="noConversion"/>
  </si>
  <si>
    <t xml:space="preserve">   5. 관람객 편의 제공 물품 임차</t>
    <phoneticPr fontId="15" type="noConversion"/>
  </si>
  <si>
    <t>직책업무추진비</t>
    <phoneticPr fontId="15" type="noConversion"/>
  </si>
  <si>
    <t xml:space="preserve">   1. 관장</t>
    <phoneticPr fontId="15" type="noConversion"/>
  </si>
  <si>
    <t xml:space="preserve">   2. 팀장</t>
    <phoneticPr fontId="15" type="noConversion"/>
  </si>
  <si>
    <t xml:space="preserve">   1. 우편요금(일반)</t>
    <phoneticPr fontId="15" type="noConversion"/>
  </si>
  <si>
    <t xml:space="preserve">   2. 전신전화요금</t>
    <phoneticPr fontId="15" type="noConversion"/>
  </si>
  <si>
    <t xml:space="preserve">   3. 전자망 등 회선 사용료</t>
    <phoneticPr fontId="15" type="noConversion"/>
  </si>
  <si>
    <t>회선*</t>
    <phoneticPr fontId="15" type="noConversion"/>
  </si>
  <si>
    <t xml:space="preserve">   4. 케이블 tv 사용료</t>
    <phoneticPr fontId="14" type="noConversion"/>
  </si>
  <si>
    <t xml:space="preserve">   1. 감사,자문위원회, 식음료비</t>
    <phoneticPr fontId="15" type="noConversion"/>
  </si>
  <si>
    <t xml:space="preserve">   2. 박물관 관련 간담회 등</t>
    <phoneticPr fontId="15" type="noConversion"/>
  </si>
  <si>
    <t>고정자산</t>
    <phoneticPr fontId="21" type="noConversion"/>
  </si>
  <si>
    <t>자산구입비</t>
    <phoneticPr fontId="21" type="noConversion"/>
  </si>
  <si>
    <t xml:space="preserve"> o 계</t>
    <phoneticPr fontId="14" type="noConversion"/>
  </si>
  <si>
    <t xml:space="preserve">   1. 사무용 PC 교체</t>
    <phoneticPr fontId="14" type="noConversion"/>
  </si>
  <si>
    <t xml:space="preserve">   2. 관람객용 편의물품 등</t>
    <phoneticPr fontId="15" type="noConversion"/>
  </si>
  <si>
    <t>원*</t>
    <phoneticPr fontId="21" type="noConversion"/>
  </si>
  <si>
    <t>(사업비)</t>
    <phoneticPr fontId="21" type="noConversion"/>
  </si>
  <si>
    <t>선사 학술연구</t>
    <phoneticPr fontId="15" type="noConversion"/>
  </si>
  <si>
    <t>자연생태조사</t>
    <phoneticPr fontId="20" type="noConversion"/>
  </si>
  <si>
    <t>해외학술교류</t>
    <phoneticPr fontId="20" type="noConversion"/>
  </si>
  <si>
    <t xml:space="preserve"> o 자료집, 초청장 인쇄</t>
    <phoneticPr fontId="15" type="noConversion"/>
  </si>
  <si>
    <t>부</t>
    <phoneticPr fontId="21" type="noConversion"/>
  </si>
  <si>
    <t xml:space="preserve">   1. 항공료</t>
    <phoneticPr fontId="15" type="noConversion"/>
  </si>
  <si>
    <t xml:space="preserve">   2. 숙박비</t>
    <phoneticPr fontId="15" type="noConversion"/>
  </si>
  <si>
    <t>박</t>
    <phoneticPr fontId="15" type="noConversion"/>
  </si>
  <si>
    <t xml:space="preserve">   3. 교통비</t>
    <phoneticPr fontId="15" type="noConversion"/>
  </si>
  <si>
    <t xml:space="preserve">   1. 주제발표자 수당</t>
    <phoneticPr fontId="15" type="noConversion"/>
  </si>
  <si>
    <t>명</t>
    <phoneticPr fontId="21" type="noConversion"/>
  </si>
  <si>
    <t xml:space="preserve">   2. 국내발표자 및 토론자 수당</t>
    <phoneticPr fontId="15" type="noConversion"/>
  </si>
  <si>
    <t xml:space="preserve"> o 해외자료 구입</t>
    <phoneticPr fontId="15" type="noConversion"/>
  </si>
  <si>
    <t xml:space="preserve">   1. 만찬비</t>
    <phoneticPr fontId="15" type="noConversion"/>
  </si>
  <si>
    <t xml:space="preserve">   2. 식비</t>
    <phoneticPr fontId="15" type="noConversion"/>
  </si>
  <si>
    <t xml:space="preserve">   3. 다과비</t>
    <phoneticPr fontId="15" type="noConversion"/>
  </si>
  <si>
    <t xml:space="preserve">   4. 현수막, 배너 구입 외</t>
    <phoneticPr fontId="15" type="noConversion"/>
  </si>
  <si>
    <t xml:space="preserve">   5. 기념품 구입비</t>
    <phoneticPr fontId="15" type="noConversion"/>
  </si>
  <si>
    <t>국내학술교류</t>
    <phoneticPr fontId="20" type="noConversion"/>
  </si>
  <si>
    <t>자산구입비</t>
    <phoneticPr fontId="15" type="noConversion"/>
  </si>
  <si>
    <t>선사 전시운영</t>
    <phoneticPr fontId="15" type="noConversion"/>
  </si>
  <si>
    <t>상설전시운영</t>
    <phoneticPr fontId="21" type="noConversion"/>
  </si>
  <si>
    <t xml:space="preserve"> o 전시물보험가입</t>
    <phoneticPr fontId="15" type="noConversion"/>
  </si>
  <si>
    <t>개월</t>
    <phoneticPr fontId="15" type="noConversion"/>
  </si>
  <si>
    <t>소모품비</t>
    <phoneticPr fontId="21" type="noConversion"/>
  </si>
  <si>
    <t xml:space="preserve">   1. 프로젝터 램프 </t>
    <phoneticPr fontId="15" type="noConversion"/>
  </si>
  <si>
    <t xml:space="preserve">   2. 상설전시관리용품</t>
    <phoneticPr fontId="15" type="noConversion"/>
  </si>
  <si>
    <t>유지관리비</t>
    <phoneticPr fontId="21" type="noConversion"/>
  </si>
  <si>
    <t xml:space="preserve">   1. 전시장비 유지관리</t>
    <phoneticPr fontId="15" type="noConversion"/>
  </si>
  <si>
    <t xml:space="preserve">   2. 전시디오라마 보완</t>
    <phoneticPr fontId="15" type="noConversion"/>
  </si>
  <si>
    <t>종</t>
    <phoneticPr fontId="21" type="noConversion"/>
  </si>
  <si>
    <t xml:space="preserve"> o 전시 컨텐츠 개선</t>
    <phoneticPr fontId="15" type="noConversion"/>
  </si>
  <si>
    <t xml:space="preserve">   1. 전시체험코너 확충</t>
    <phoneticPr fontId="15" type="noConversion"/>
  </si>
  <si>
    <t xml:space="preserve">   2. 네임택, 패널 교체 </t>
    <phoneticPr fontId="15" type="noConversion"/>
  </si>
  <si>
    <t xml:space="preserve"> o 전시용 빔프로젝터 구입</t>
    <phoneticPr fontId="15" type="noConversion"/>
  </si>
  <si>
    <t>구석기비너스가부르는노래</t>
    <phoneticPr fontId="21" type="noConversion"/>
  </si>
  <si>
    <t xml:space="preserve"> o 전시보조</t>
    <phoneticPr fontId="15" type="noConversion"/>
  </si>
  <si>
    <t>도서인쇄비</t>
    <phoneticPr fontId="21" type="noConversion"/>
  </si>
  <si>
    <t xml:space="preserve">   1. 홍보물 제작</t>
    <phoneticPr fontId="15" type="noConversion"/>
  </si>
  <si>
    <t xml:space="preserve">   2. 도록 제작</t>
    <phoneticPr fontId="21" type="noConversion"/>
  </si>
  <si>
    <t>종*</t>
    <phoneticPr fontId="15" type="noConversion"/>
  </si>
  <si>
    <t>매</t>
    <phoneticPr fontId="15" type="noConversion"/>
  </si>
  <si>
    <t xml:space="preserve"> o 유물보험</t>
    <phoneticPr fontId="15" type="noConversion"/>
  </si>
  <si>
    <t>소모품비</t>
    <phoneticPr fontId="21" type="noConversion"/>
  </si>
  <si>
    <t xml:space="preserve"> o 유물협의</t>
    <phoneticPr fontId="15" type="noConversion"/>
  </si>
  <si>
    <t xml:space="preserve">   1. 전시공사</t>
    <phoneticPr fontId="15" type="noConversion"/>
  </si>
  <si>
    <t xml:space="preserve">   2. 전시 그래픽 공사</t>
    <phoneticPr fontId="15" type="noConversion"/>
  </si>
  <si>
    <t xml:space="preserve">   3. 그래피티 전시 공사</t>
    <phoneticPr fontId="15" type="noConversion"/>
  </si>
  <si>
    <t xml:space="preserve">   4. 미디어아트 전시 공사</t>
    <phoneticPr fontId="15" type="noConversion"/>
  </si>
  <si>
    <t xml:space="preserve">   4. 기념품 개발 및 제작</t>
    <phoneticPr fontId="15" type="noConversion"/>
  </si>
  <si>
    <t xml:space="preserve">   5. 유물 운송, 촬영</t>
    <phoneticPr fontId="15" type="noConversion"/>
  </si>
  <si>
    <t xml:space="preserve"> o 협상심사 수당</t>
    <phoneticPr fontId="15" type="noConversion"/>
  </si>
  <si>
    <t>명</t>
    <phoneticPr fontId="15" type="noConversion"/>
  </si>
  <si>
    <t xml:space="preserve"> o 자문 수당</t>
    <phoneticPr fontId="15" type="noConversion"/>
  </si>
  <si>
    <t xml:space="preserve"> o 개막식 행사</t>
    <phoneticPr fontId="15" type="noConversion"/>
  </si>
  <si>
    <t xml:space="preserve"> o 회의운영비</t>
    <phoneticPr fontId="15" type="noConversion"/>
  </si>
  <si>
    <t>ASI(신비한 고고학의 세계)</t>
    <phoneticPr fontId="21" type="noConversion"/>
  </si>
  <si>
    <t xml:space="preserve"> o 기간제 강사(4대보험, 퇴직금 포함)</t>
    <phoneticPr fontId="15" type="noConversion"/>
  </si>
  <si>
    <t xml:space="preserve"> o 계</t>
    <phoneticPr fontId="21" type="noConversion"/>
  </si>
  <si>
    <t xml:space="preserve">   1. ASI프로그램 운영물품</t>
    <phoneticPr fontId="15" type="noConversion"/>
  </si>
  <si>
    <t>식</t>
    <phoneticPr fontId="21" type="noConversion"/>
  </si>
  <si>
    <t xml:space="preserve">   2. GO Back 운영 소모품</t>
    <phoneticPr fontId="15" type="noConversion"/>
  </si>
  <si>
    <t xml:space="preserve">   3. 교육안내 및 설명 현수막</t>
    <phoneticPr fontId="15" type="noConversion"/>
  </si>
  <si>
    <t xml:space="preserve">   4. 야외특성화교실 운영물품</t>
    <phoneticPr fontId="15" type="noConversion"/>
  </si>
  <si>
    <t xml:space="preserve"> o 기간제근로자 출장비</t>
    <phoneticPr fontId="15" type="noConversion"/>
  </si>
  <si>
    <t xml:space="preserve"> o 홍보부스 및 특별프로그램 운영</t>
    <phoneticPr fontId="15" type="noConversion"/>
  </si>
  <si>
    <t xml:space="preserve"> o 교육공간 개선</t>
    <phoneticPr fontId="15" type="noConversion"/>
  </si>
  <si>
    <t xml:space="preserve"> o 보조강사</t>
    <phoneticPr fontId="15" type="noConversion"/>
  </si>
  <si>
    <t>선사의 법칙, 1박 2일</t>
    <phoneticPr fontId="21" type="noConversion"/>
  </si>
  <si>
    <t xml:space="preserve">   1. 캠프 기간제강사(4대보험포함)</t>
    <phoneticPr fontId="21" type="noConversion"/>
  </si>
  <si>
    <t xml:space="preserve">   2. 야외체험장 관리(4대보험, 연월차,  퇴직금 포함)</t>
    <phoneticPr fontId="15" type="noConversion"/>
  </si>
  <si>
    <t xml:space="preserve">   1. 캠프체험 소모품</t>
    <phoneticPr fontId="15" type="noConversion"/>
  </si>
  <si>
    <t xml:space="preserve">   2. 야외체험장 소모품</t>
    <phoneticPr fontId="15" type="noConversion"/>
  </si>
  <si>
    <t>유지관리비</t>
    <phoneticPr fontId="15" type="noConversion"/>
  </si>
  <si>
    <t xml:space="preserve">   1. 캠핑용품 세탁 및 보수</t>
    <phoneticPr fontId="15" type="noConversion"/>
  </si>
  <si>
    <t xml:space="preserve">   2. 캠프체험장유지보수</t>
    <phoneticPr fontId="15" type="noConversion"/>
  </si>
  <si>
    <t>지급수수료</t>
    <phoneticPr fontId="21" type="noConversion"/>
  </si>
  <si>
    <t xml:space="preserve"> o 주말체험강사</t>
    <phoneticPr fontId="15" type="noConversion"/>
  </si>
  <si>
    <t xml:space="preserve"> o 캠프운영 및 체험재료 구입비</t>
    <phoneticPr fontId="15" type="noConversion"/>
  </si>
  <si>
    <t>찾아가는 박물관</t>
    <phoneticPr fontId="21" type="noConversion"/>
  </si>
  <si>
    <t xml:space="preserve"> o 기간제 강사</t>
    <phoneticPr fontId="15" type="noConversion"/>
  </si>
  <si>
    <t xml:space="preserve"> o 운영물품</t>
    <phoneticPr fontId="15" type="noConversion"/>
  </si>
  <si>
    <t xml:space="preserve"> o 교육공간 운영</t>
    <phoneticPr fontId="15" type="noConversion"/>
  </si>
  <si>
    <t>교육개발 및 역량강화</t>
    <phoneticPr fontId="21" type="noConversion"/>
  </si>
  <si>
    <t xml:space="preserve"> o 결과보고서 편집 및 제본</t>
    <phoneticPr fontId="15" type="noConversion"/>
  </si>
  <si>
    <t xml:space="preserve"> o 직원해외연수출장비</t>
    <phoneticPr fontId="15" type="noConversion"/>
  </si>
  <si>
    <t xml:space="preserve">   2. 역량강화교육 강사</t>
    <phoneticPr fontId="15" type="noConversion"/>
  </si>
  <si>
    <t xml:space="preserve">   2. 신입직원 교육</t>
    <phoneticPr fontId="15" type="noConversion"/>
  </si>
  <si>
    <t>선사꾸러기 박물관</t>
    <phoneticPr fontId="21" type="noConversion"/>
  </si>
  <si>
    <t xml:space="preserve"> o 기간제근로자(4대보험 포함)</t>
    <phoneticPr fontId="15" type="noConversion"/>
  </si>
  <si>
    <t xml:space="preserve">   1. 유아프로그램 재료</t>
    <phoneticPr fontId="15" type="noConversion"/>
  </si>
  <si>
    <t xml:space="preserve">   2. 야외동물 사료</t>
    <phoneticPr fontId="15" type="noConversion"/>
  </si>
  <si>
    <t>자료구입비</t>
    <phoneticPr fontId="15" type="noConversion"/>
  </si>
  <si>
    <t xml:space="preserve"> o 교육자료구입</t>
    <phoneticPr fontId="15" type="noConversion"/>
  </si>
  <si>
    <t xml:space="preserve">   1. 간담회,특별프로그램운영</t>
    <phoneticPr fontId="15" type="noConversion"/>
  </si>
  <si>
    <t xml:space="preserve">   2. 야외동물검진</t>
    <phoneticPr fontId="15" type="noConversion"/>
  </si>
  <si>
    <t xml:space="preserve"> o 회의운영비</t>
    <phoneticPr fontId="21" type="noConversion"/>
  </si>
  <si>
    <t xml:space="preserve"> o 기간제강사 출장비</t>
    <phoneticPr fontId="15" type="noConversion"/>
  </si>
  <si>
    <t>선사지킴이</t>
    <phoneticPr fontId="21" type="noConversion"/>
  </si>
  <si>
    <t>개</t>
    <phoneticPr fontId="15" type="noConversion"/>
  </si>
  <si>
    <t>성인교육프로그램 운영</t>
    <phoneticPr fontId="21" type="noConversion"/>
  </si>
  <si>
    <t>광고선전비</t>
    <phoneticPr fontId="15" type="noConversion"/>
  </si>
  <si>
    <t xml:space="preserve"> o 홍보물 제작</t>
    <phoneticPr fontId="21" type="noConversion"/>
  </si>
  <si>
    <t>부</t>
    <phoneticPr fontId="21" type="noConversion"/>
  </si>
  <si>
    <t xml:space="preserve"> o 운영물품 구입</t>
    <phoneticPr fontId="21" type="noConversion"/>
  </si>
  <si>
    <t xml:space="preserve">   1. 전문강사</t>
    <phoneticPr fontId="15" type="noConversion"/>
  </si>
  <si>
    <t xml:space="preserve">   2. 특강강사</t>
    <phoneticPr fontId="15" type="noConversion"/>
  </si>
  <si>
    <t xml:space="preserve"> o 홍보물 발송</t>
    <phoneticPr fontId="15" type="noConversion"/>
  </si>
  <si>
    <t xml:space="preserve"> o 다과,식음료 </t>
    <phoneticPr fontId="15" type="noConversion"/>
  </si>
  <si>
    <t>소장품 수집 및 관리</t>
    <phoneticPr fontId="15" type="noConversion"/>
  </si>
  <si>
    <t>전시 콘텐츠 역량 강화</t>
    <phoneticPr fontId="21" type="noConversion"/>
  </si>
  <si>
    <t xml:space="preserve"> o 소장자료 복제</t>
    <phoneticPr fontId="15" type="noConversion"/>
  </si>
  <si>
    <t>소장품 관리</t>
    <phoneticPr fontId="21" type="noConversion"/>
  </si>
  <si>
    <t>개월</t>
    <phoneticPr fontId="21" type="noConversion"/>
  </si>
  <si>
    <t xml:space="preserve"> o 소장품 관리 일반 소모품 구입</t>
    <phoneticPr fontId="15" type="noConversion"/>
  </si>
  <si>
    <t xml:space="preserve">   1. 통합적 유해생물 관리</t>
    <phoneticPr fontId="21" type="noConversion"/>
  </si>
  <si>
    <t xml:space="preserve">   2. 포장, 관리재 구입</t>
    <phoneticPr fontId="15" type="noConversion"/>
  </si>
  <si>
    <t xml:space="preserve">   1. 자연사유물 보존처리</t>
    <phoneticPr fontId="15" type="noConversion"/>
  </si>
  <si>
    <t xml:space="preserve">   2. 전산시스템 유지보수</t>
    <phoneticPr fontId="15" type="noConversion"/>
  </si>
  <si>
    <t>개월</t>
    <phoneticPr fontId="15" type="noConversion"/>
  </si>
  <si>
    <t>관람객서비스</t>
    <phoneticPr fontId="15" type="noConversion"/>
  </si>
  <si>
    <t>박물관 종합홍보</t>
    <phoneticPr fontId="20" type="noConversion"/>
  </si>
  <si>
    <t xml:space="preserve"> o 홍보용 기념품, 배너 제작 등</t>
    <phoneticPr fontId="15" type="noConversion"/>
  </si>
  <si>
    <t xml:space="preserve">   1. 상설도록 및 건축도록 제작</t>
    <phoneticPr fontId="15" type="noConversion"/>
  </si>
  <si>
    <t xml:space="preserve">   2. 리플렛 제작</t>
    <phoneticPr fontId="15" type="noConversion"/>
  </si>
  <si>
    <t xml:space="preserve">   3. 셀프가이드 제작</t>
    <phoneticPr fontId="14" type="noConversion"/>
  </si>
  <si>
    <t xml:space="preserve"> o 홍보용품 구입</t>
    <phoneticPr fontId="15" type="noConversion"/>
  </si>
  <si>
    <t xml:space="preserve"> o 박물관 홍보 시설물 제작</t>
    <phoneticPr fontId="15" type="noConversion"/>
  </si>
  <si>
    <t>특별사업</t>
    <phoneticPr fontId="15" type="noConversion"/>
  </si>
  <si>
    <t>Hop-on 함께가요 박물관으로</t>
    <phoneticPr fontId="15" type="noConversion"/>
  </si>
  <si>
    <t>권</t>
    <phoneticPr fontId="15" type="noConversion"/>
  </si>
  <si>
    <t>연천지질탐방</t>
    <phoneticPr fontId="15" type="noConversion"/>
  </si>
  <si>
    <t>편의시설 운영</t>
    <phoneticPr fontId="15" type="noConversion"/>
  </si>
  <si>
    <t xml:space="preserve">아트샵 및 카페 운영 </t>
    <phoneticPr fontId="15" type="noConversion"/>
  </si>
  <si>
    <t xml:space="preserve"> o 부가가치세 등 납부</t>
    <phoneticPr fontId="15" type="noConversion"/>
  </si>
  <si>
    <t xml:space="preserve">   1. 뮤지엄샵 토너 등 구입</t>
    <phoneticPr fontId="14" type="noConversion"/>
  </si>
  <si>
    <t xml:space="preserve">   2. 사무용품 등 구입</t>
    <phoneticPr fontId="14" type="noConversion"/>
  </si>
  <si>
    <t>문화예술 네트워크 확산</t>
    <phoneticPr fontId="15" type="noConversion"/>
  </si>
  <si>
    <t>하나 더 메세나 프로젝트</t>
    <phoneticPr fontId="15" type="noConversion"/>
  </si>
  <si>
    <t xml:space="preserve">   2. 계약직 부가급여(정액급식비+교통보조비)</t>
    <phoneticPr fontId="21" type="noConversion"/>
  </si>
  <si>
    <t>일</t>
    <phoneticPr fontId="21" type="noConversion"/>
  </si>
  <si>
    <t xml:space="preserve"> o 계 </t>
    <phoneticPr fontId="15" type="noConversion"/>
  </si>
  <si>
    <t xml:space="preserve"> o 우편물 발송  </t>
    <phoneticPr fontId="15" type="noConversion"/>
  </si>
  <si>
    <t xml:space="preserve"> o 현장모니터링 등</t>
    <phoneticPr fontId="14" type="noConversion"/>
  </si>
  <si>
    <t xml:space="preserve"> o 지역문화예술단체 지원</t>
    <phoneticPr fontId="15" type="noConversion"/>
  </si>
  <si>
    <t xml:space="preserve"> o 심사회의 개최 등</t>
    <phoneticPr fontId="15" type="noConversion"/>
  </si>
  <si>
    <t xml:space="preserve"> o 결과자료집 발간</t>
    <phoneticPr fontId="15" type="noConversion"/>
  </si>
  <si>
    <t xml:space="preserve"> o 차량유지비 등</t>
    <phoneticPr fontId="15" type="noConversion"/>
  </si>
  <si>
    <t xml:space="preserve">   2. 정산서 검토</t>
    <phoneticPr fontId="14" type="noConversion"/>
  </si>
  <si>
    <t xml:space="preserve"> o 사업 모니터링 용역</t>
    <phoneticPr fontId="15" type="noConversion"/>
  </si>
  <si>
    <t>홍보비</t>
    <phoneticPr fontId="15" type="noConversion"/>
  </si>
  <si>
    <t xml:space="preserve"> o 홍보 기념품 구매</t>
    <phoneticPr fontId="14" type="noConversion"/>
  </si>
  <si>
    <t>소외계층 문화나눔사업</t>
    <phoneticPr fontId="15" type="noConversion"/>
  </si>
  <si>
    <t xml:space="preserve"> o 국내여비 등</t>
    <phoneticPr fontId="14" type="noConversion"/>
  </si>
  <si>
    <t xml:space="preserve"> o 사업추진 회의 개최 등</t>
    <phoneticPr fontId="15" type="noConversion"/>
  </si>
  <si>
    <t>경기도 역사전시관운영</t>
    <phoneticPr fontId="15" type="noConversion"/>
  </si>
  <si>
    <r>
      <t>경기천년 플랫폼 구축</t>
    </r>
    <r>
      <rPr>
        <sz val="12"/>
        <color theme="1"/>
        <rFont val="맑은 고딕"/>
        <family val="3"/>
        <charset val="129"/>
      </rPr>
      <t>·운영</t>
    </r>
    <phoneticPr fontId="20" type="noConversion"/>
  </si>
  <si>
    <t>경기천년 사업비</t>
    <phoneticPr fontId="20" type="noConversion"/>
  </si>
  <si>
    <t>미래스마트 서비스 기반구축</t>
    <phoneticPr fontId="15" type="noConversion"/>
  </si>
  <si>
    <t>명*</t>
    <phoneticPr fontId="27" type="noConversion"/>
  </si>
  <si>
    <t>기관</t>
    <phoneticPr fontId="21" type="noConversion"/>
  </si>
  <si>
    <t>경기북부 문화예술 활성화</t>
    <phoneticPr fontId="15" type="noConversion"/>
  </si>
  <si>
    <t xml:space="preserve"> o 자료집 발간 등</t>
    <phoneticPr fontId="15" type="noConversion"/>
  </si>
  <si>
    <t xml:space="preserve"> o 심의 및 자문회의 등</t>
    <phoneticPr fontId="15" type="noConversion"/>
  </si>
  <si>
    <t xml:space="preserve"> o 문화예술관계자 워크숍 등</t>
    <phoneticPr fontId="15" type="noConversion"/>
  </si>
  <si>
    <t>청년 문화기획자 양성과정 운영</t>
    <phoneticPr fontId="15" type="noConversion"/>
  </si>
  <si>
    <t>매*</t>
    <phoneticPr fontId="15" type="noConversion"/>
  </si>
  <si>
    <t>청년 문화 창업 지원 프로그램 운영</t>
    <phoneticPr fontId="15" type="noConversion"/>
  </si>
  <si>
    <t xml:space="preserve">   2. 계약직 부가급여(정액급식비+교통보조비+격오지보조)</t>
    <phoneticPr fontId="21" type="noConversion"/>
  </si>
  <si>
    <t xml:space="preserve"> o 마을기록, 아카이브</t>
    <phoneticPr fontId="15" type="noConversion"/>
  </si>
  <si>
    <t xml:space="preserve"> o 관련 자료구입</t>
    <phoneticPr fontId="15" type="noConversion"/>
  </si>
  <si>
    <t xml:space="preserve">   1. 발표비</t>
    <phoneticPr fontId="15" type="noConversion"/>
  </si>
  <si>
    <t xml:space="preserve">   2. 토론비</t>
    <phoneticPr fontId="15" type="noConversion"/>
  </si>
  <si>
    <t xml:space="preserve">   3. 좌담회비</t>
    <phoneticPr fontId="15" type="noConversion"/>
  </si>
  <si>
    <t xml:space="preserve">   1. 간담회, 좌담회 등 진행</t>
    <phoneticPr fontId="15" type="noConversion"/>
  </si>
  <si>
    <t xml:space="preserve">   2. 결과공유회 진행</t>
    <phoneticPr fontId="15" type="noConversion"/>
  </si>
  <si>
    <t xml:space="preserve">   3. LPG 가스요금</t>
    <phoneticPr fontId="15" type="noConversion"/>
  </si>
  <si>
    <t xml:space="preserve">   5. 전기및소방설비관리(수변전,수신반 시설보수 등)</t>
    <phoneticPr fontId="15" type="noConversion"/>
  </si>
  <si>
    <t xml:space="preserve">   6. 통신설비관리(통신설비 유지보수 등)</t>
    <phoneticPr fontId="15" type="noConversion"/>
  </si>
  <si>
    <t xml:space="preserve">   7. 조경 관리 (제초작업,잔디깎기,병충해방지)</t>
    <phoneticPr fontId="15" type="noConversion"/>
  </si>
  <si>
    <t xml:space="preserve">   9. 소프트웨어 자산 유지관리</t>
    <phoneticPr fontId="15" type="noConversion"/>
  </si>
  <si>
    <t xml:space="preserve">  10. 예술생태정원 유지관리</t>
    <phoneticPr fontId="15" type="noConversion"/>
  </si>
  <si>
    <t xml:space="preserve">   1. 비즈빌/인증서수수료</t>
    <phoneticPr fontId="15" type="noConversion"/>
  </si>
  <si>
    <t xml:space="preserve">   3. 송금수수료</t>
    <phoneticPr fontId="15" type="noConversion"/>
  </si>
  <si>
    <t xml:space="preserve">   3. 사옥시설유지보수관리용역(소방,전기,방역,정화조 등)</t>
    <phoneticPr fontId="15" type="noConversion"/>
  </si>
  <si>
    <t>스튜디오 레지던시</t>
    <phoneticPr fontId="15" type="noConversion"/>
  </si>
  <si>
    <t>레지던시프로그램운영</t>
    <phoneticPr fontId="15" type="noConversion"/>
  </si>
  <si>
    <t xml:space="preserve">   1. 주강사비 (3시간)</t>
    <phoneticPr fontId="15" type="noConversion"/>
  </si>
  <si>
    <t xml:space="preserve">   2. 보조강사 (3시간)</t>
    <phoneticPr fontId="15" type="noConversion"/>
  </si>
  <si>
    <t xml:space="preserve">   1. 학교연계 식비진행비</t>
    <phoneticPr fontId="15" type="noConversion"/>
  </si>
  <si>
    <t xml:space="preserve">   3. 교육전시 구성</t>
    <phoneticPr fontId="15" type="noConversion"/>
  </si>
  <si>
    <t xml:space="preserve"> o 식음료비 등</t>
    <phoneticPr fontId="15" type="noConversion"/>
  </si>
  <si>
    <t xml:space="preserve">   2. 교육용 안내지 제작</t>
    <phoneticPr fontId="15" type="noConversion"/>
  </si>
  <si>
    <t xml:space="preserve">   3. 업무용 봉투 및 홍보자료 제작</t>
    <phoneticPr fontId="15" type="noConversion"/>
  </si>
  <si>
    <t>경기학연구센터</t>
    <phoneticPr fontId="14" type="noConversion"/>
  </si>
  <si>
    <t>센터*</t>
    <phoneticPr fontId="15" type="noConversion"/>
  </si>
  <si>
    <t xml:space="preserve">   1. 정기간행물(신문 등)구독</t>
    <phoneticPr fontId="15" type="noConversion"/>
  </si>
  <si>
    <t xml:space="preserve">   2. 업무용 도서 구매</t>
    <phoneticPr fontId="15" type="noConversion"/>
  </si>
  <si>
    <t>권*</t>
    <phoneticPr fontId="15" type="noConversion"/>
  </si>
  <si>
    <t xml:space="preserve">   1. 택배, 퀵서비스 수수료</t>
    <phoneticPr fontId="15" type="noConversion"/>
  </si>
  <si>
    <t xml:space="preserve">   2. 자문위원회 자문수당</t>
    <phoneticPr fontId="15" type="noConversion"/>
  </si>
  <si>
    <t xml:space="preserve">   1. 세무결산 등 제비용</t>
    <phoneticPr fontId="15" type="noConversion"/>
  </si>
  <si>
    <t xml:space="preserve">   2. 소프트웨어 관리 시스템 운영</t>
    <phoneticPr fontId="15" type="noConversion"/>
  </si>
  <si>
    <t xml:space="preserve">   3. 사무실 이동 관련(통신선 등)</t>
    <phoneticPr fontId="15" type="noConversion"/>
  </si>
  <si>
    <t>직책업무추진비</t>
    <phoneticPr fontId="14" type="noConversion"/>
  </si>
  <si>
    <t xml:space="preserve"> o 우편요금</t>
    <phoneticPr fontId="15" type="noConversion"/>
  </si>
  <si>
    <t>고정자산</t>
    <phoneticPr fontId="15" type="noConversion"/>
  </si>
  <si>
    <t xml:space="preserve"> o 센터 전산기기 구입 등</t>
    <phoneticPr fontId="15" type="noConversion"/>
  </si>
  <si>
    <t>조사집필 원고료</t>
    <phoneticPr fontId="15" type="noConversion"/>
  </si>
  <si>
    <t>보고서 인쇄비</t>
    <phoneticPr fontId="15" type="noConversion"/>
  </si>
  <si>
    <t xml:space="preserve">전문가 답사 </t>
    <phoneticPr fontId="15" type="noConversion"/>
  </si>
  <si>
    <t>운영비</t>
    <phoneticPr fontId="15" type="noConversion"/>
  </si>
  <si>
    <t>국내여비</t>
    <phoneticPr fontId="15" type="noConversion"/>
  </si>
  <si>
    <t>소모품 구입비</t>
    <phoneticPr fontId="15" type="noConversion"/>
  </si>
  <si>
    <t>아트샵운영</t>
    <phoneticPr fontId="15" type="noConversion"/>
  </si>
  <si>
    <t>인건비</t>
    <phoneticPr fontId="14" type="noConversion"/>
  </si>
  <si>
    <t xml:space="preserve"> o 판매원(4대보험포함)</t>
    <phoneticPr fontId="15" type="noConversion"/>
  </si>
  <si>
    <t>세금과공과</t>
    <phoneticPr fontId="15" type="noConversion"/>
  </si>
  <si>
    <t xml:space="preserve"> o 부가가치세 및 세금</t>
    <phoneticPr fontId="15" type="noConversion"/>
  </si>
  <si>
    <t>소모품비</t>
    <phoneticPr fontId="15" type="noConversion"/>
  </si>
  <si>
    <t>지급임차료</t>
    <phoneticPr fontId="15" type="noConversion"/>
  </si>
  <si>
    <t xml:space="preserve"> o 포스임차비등</t>
    <phoneticPr fontId="15" type="noConversion"/>
  </si>
  <si>
    <t>회</t>
    <phoneticPr fontId="15" type="noConversion"/>
  </si>
  <si>
    <t>지급수수료</t>
    <phoneticPr fontId="15" type="noConversion"/>
  </si>
  <si>
    <t xml:space="preserve"> o 아트상품저작권료등</t>
    <phoneticPr fontId="15" type="noConversion"/>
  </si>
  <si>
    <t>통신비</t>
    <phoneticPr fontId="15" type="noConversion"/>
  </si>
  <si>
    <t xml:space="preserve"> o 우편료등 통신비</t>
    <phoneticPr fontId="15" type="noConversion"/>
  </si>
  <si>
    <t>회의운영비</t>
    <phoneticPr fontId="15" type="noConversion"/>
  </si>
  <si>
    <t xml:space="preserve"> o 회의,자문비등</t>
    <phoneticPr fontId="15" type="noConversion"/>
  </si>
  <si>
    <t>재료비</t>
    <phoneticPr fontId="15" type="noConversion"/>
  </si>
  <si>
    <t xml:space="preserve"> o 상품구입 및 제작비</t>
    <phoneticPr fontId="15" type="noConversion"/>
  </si>
  <si>
    <t>개월</t>
    <phoneticPr fontId="15" type="noConversion"/>
  </si>
  <si>
    <t>=</t>
    <phoneticPr fontId="15" type="noConversion"/>
  </si>
  <si>
    <t>크로스장르전</t>
    <phoneticPr fontId="15" type="noConversion"/>
  </si>
  <si>
    <t>국제학술심포지엄</t>
    <phoneticPr fontId="20" type="noConversion"/>
  </si>
  <si>
    <t>도서인쇄비</t>
    <phoneticPr fontId="15" type="noConversion"/>
  </si>
  <si>
    <t>지급수수료</t>
    <phoneticPr fontId="15" type="noConversion"/>
  </si>
  <si>
    <t>지급용역료</t>
    <phoneticPr fontId="15" type="noConversion"/>
  </si>
  <si>
    <t>인건비</t>
    <phoneticPr fontId="15" type="noConversion"/>
  </si>
  <si>
    <t>지급임차료</t>
    <phoneticPr fontId="15" type="noConversion"/>
  </si>
  <si>
    <t>행사운영비</t>
    <phoneticPr fontId="15" type="noConversion"/>
  </si>
  <si>
    <t>광고선전비</t>
    <phoneticPr fontId="15" type="noConversion"/>
  </si>
  <si>
    <t>회의운영비</t>
    <phoneticPr fontId="15" type="noConversion"/>
  </si>
  <si>
    <t>가족체험전</t>
    <phoneticPr fontId="15" type="noConversion"/>
  </si>
  <si>
    <t>도서인쇄비</t>
    <phoneticPr fontId="15" type="noConversion"/>
  </si>
  <si>
    <t>소모품비</t>
    <phoneticPr fontId="15" type="noConversion"/>
  </si>
  <si>
    <t>수도광열비</t>
    <phoneticPr fontId="15" type="noConversion"/>
  </si>
  <si>
    <t>여비교통비</t>
    <phoneticPr fontId="15" type="noConversion"/>
  </si>
  <si>
    <t>지급용역료</t>
    <phoneticPr fontId="15" type="noConversion"/>
  </si>
  <si>
    <t>지금임차료</t>
    <phoneticPr fontId="15" type="noConversion"/>
  </si>
  <si>
    <t xml:space="preserve">  - 문화예술본부 지역문화팀 벌터 문화마을 만들기 (수원시)</t>
    <phoneticPr fontId="15" type="noConversion"/>
  </si>
  <si>
    <t xml:space="preserve"> o 간담회 및 평가회 추진</t>
  </si>
  <si>
    <t>편의시설운영</t>
    <phoneticPr fontId="15" type="noConversion"/>
  </si>
  <si>
    <t>아트샵운영</t>
    <phoneticPr fontId="15" type="noConversion"/>
  </si>
  <si>
    <t>지급임차료</t>
    <phoneticPr fontId="15" type="noConversion"/>
  </si>
  <si>
    <t>통신비</t>
    <phoneticPr fontId="15" type="noConversion"/>
  </si>
  <si>
    <t>회의운영비</t>
    <phoneticPr fontId="15" type="noConversion"/>
  </si>
  <si>
    <t xml:space="preserve"> o 계</t>
    <phoneticPr fontId="15" type="noConversion"/>
  </si>
  <si>
    <t xml:space="preserve">   1. 물품구입</t>
    <phoneticPr fontId="15" type="noConversion"/>
  </si>
  <si>
    <t xml:space="preserve">   2. 현수막제작</t>
    <phoneticPr fontId="15" type="noConversion"/>
  </si>
  <si>
    <t>지급수수료</t>
    <phoneticPr fontId="15" type="noConversion"/>
  </si>
  <si>
    <t>o 계</t>
    <phoneticPr fontId="15" type="noConversion"/>
  </si>
  <si>
    <t xml:space="preserve">  1. 심사 수당</t>
    <phoneticPr fontId="15" type="noConversion"/>
  </si>
  <si>
    <t>명*</t>
    <phoneticPr fontId="15" type="noConversion"/>
  </si>
  <si>
    <t xml:space="preserve">  2. 진행요원 수당</t>
    <phoneticPr fontId="15" type="noConversion"/>
  </si>
  <si>
    <t xml:space="preserve"> o 소장유물관리 인건비(4대보험, 퇴직급여 포함)</t>
    <phoneticPr fontId="15" type="noConversion"/>
  </si>
  <si>
    <t xml:space="preserve">   1. 자료집 제작</t>
    <phoneticPr fontId="15" type="noConversion"/>
  </si>
  <si>
    <t>식</t>
    <phoneticPr fontId="15" type="noConversion"/>
  </si>
  <si>
    <t xml:space="preserve">   2. 홍보물 제작</t>
    <phoneticPr fontId="15" type="noConversion"/>
  </si>
  <si>
    <t xml:space="preserve"> o 보존처리 소모품</t>
    <phoneticPr fontId="15" type="noConversion"/>
  </si>
  <si>
    <t xml:space="preserve">   1. 해제 원고료</t>
    <phoneticPr fontId="15" type="noConversion"/>
  </si>
  <si>
    <t>건</t>
    <phoneticPr fontId="15" type="noConversion"/>
  </si>
  <si>
    <t xml:space="preserve">   2. 번역 원고료</t>
    <phoneticPr fontId="15" type="noConversion"/>
  </si>
  <si>
    <t xml:space="preserve">   3. 자문회의 수당</t>
    <phoneticPr fontId="15" type="noConversion"/>
  </si>
  <si>
    <t xml:space="preserve"> o 간담회비</t>
    <phoneticPr fontId="15" type="noConversion"/>
  </si>
  <si>
    <t>여비교통비</t>
    <phoneticPr fontId="15" type="noConversion"/>
  </si>
  <si>
    <t>인건비</t>
    <phoneticPr fontId="15" type="noConversion"/>
  </si>
  <si>
    <t xml:space="preserve">   2. 직원 워크숍, 건강검진</t>
    <phoneticPr fontId="15" type="noConversion"/>
  </si>
  <si>
    <t>원 *</t>
    <phoneticPr fontId="15" type="noConversion"/>
  </si>
  <si>
    <t>명</t>
    <phoneticPr fontId="14" type="noConversion"/>
  </si>
  <si>
    <t>=</t>
    <phoneticPr fontId="14" type="noConversion"/>
  </si>
  <si>
    <t xml:space="preserve">   3. 피복비</t>
    <phoneticPr fontId="15" type="noConversion"/>
  </si>
  <si>
    <t>교육훈련비</t>
    <phoneticPr fontId="20" type="noConversion"/>
  </si>
  <si>
    <t xml:space="preserve"> o 연구원 및 직원 직무관련 교육훈련비</t>
    <phoneticPr fontId="15" type="noConversion"/>
  </si>
  <si>
    <t>도서인쇄비</t>
    <phoneticPr fontId="15" type="noConversion"/>
  </si>
  <si>
    <t xml:space="preserve"> o 업무용 자료 제본</t>
    <phoneticPr fontId="15" type="noConversion"/>
  </si>
  <si>
    <t>회</t>
    <phoneticPr fontId="15" type="noConversion"/>
  </si>
  <si>
    <t>=</t>
    <phoneticPr fontId="15" type="noConversion"/>
  </si>
  <si>
    <t>보험료</t>
    <phoneticPr fontId="15" type="noConversion"/>
  </si>
  <si>
    <t xml:space="preserve"> o 계</t>
    <phoneticPr fontId="15" type="noConversion"/>
  </si>
  <si>
    <t xml:space="preserve">   1. 회계담당직원재정보증보험</t>
    <phoneticPr fontId="15" type="noConversion"/>
  </si>
  <si>
    <t>명</t>
    <phoneticPr fontId="15" type="noConversion"/>
  </si>
  <si>
    <t xml:space="preserve">   2. 용역 관련 보험료(이행, 선급금 등)</t>
    <phoneticPr fontId="15" type="noConversion"/>
  </si>
  <si>
    <t>건</t>
    <phoneticPr fontId="15" type="noConversion"/>
  </si>
  <si>
    <t xml:space="preserve">   3. 기타 보험료</t>
    <phoneticPr fontId="15" type="noConversion"/>
  </si>
  <si>
    <t>월</t>
    <phoneticPr fontId="15" type="noConversion"/>
  </si>
  <si>
    <t>부서운영비</t>
    <phoneticPr fontId="15" type="noConversion"/>
  </si>
  <si>
    <t xml:space="preserve">   1. 원장실</t>
    <phoneticPr fontId="15" type="noConversion"/>
  </si>
  <si>
    <t xml:space="preserve">   2. 각 팀</t>
    <phoneticPr fontId="15" type="noConversion"/>
  </si>
  <si>
    <t>팀*</t>
    <phoneticPr fontId="15" type="noConversion"/>
  </si>
  <si>
    <t>세금과공과</t>
    <phoneticPr fontId="15" type="noConversion"/>
  </si>
  <si>
    <t xml:space="preserve">   1. 용역계약 수입인지대</t>
    <phoneticPr fontId="15" type="noConversion"/>
  </si>
  <si>
    <t xml:space="preserve">   2. 입찰등록 수입증지대</t>
    <phoneticPr fontId="15" type="noConversion"/>
  </si>
  <si>
    <t xml:space="preserve">   3. 종업원할 주민세 </t>
    <phoneticPr fontId="15" type="noConversion"/>
  </si>
  <si>
    <t>회</t>
    <phoneticPr fontId="14" type="noConversion"/>
  </si>
  <si>
    <t xml:space="preserve">   4. 부가가치세</t>
    <phoneticPr fontId="15" type="noConversion"/>
  </si>
  <si>
    <t xml:space="preserve">   5. 공공부담금 (한국문화재연구원 협회비)</t>
    <phoneticPr fontId="15" type="noConversion"/>
  </si>
  <si>
    <t>(한국매장문화재협회비)</t>
    <phoneticPr fontId="15" type="noConversion"/>
  </si>
  <si>
    <t>소모품비</t>
    <phoneticPr fontId="15" type="noConversion"/>
  </si>
  <si>
    <t xml:space="preserve">   1. 사무용기기 복사용지(복사, 팩스, 컴퓨터인쇄 등)</t>
    <phoneticPr fontId="15" type="noConversion"/>
  </si>
  <si>
    <t>박스 *</t>
    <phoneticPr fontId="15" type="noConversion"/>
  </si>
  <si>
    <t xml:space="preserve">   2. 복사기, 팩스 등 토너 및 부품</t>
    <phoneticPr fontId="15" type="noConversion"/>
  </si>
  <si>
    <t>대 *</t>
    <phoneticPr fontId="15" type="noConversion"/>
  </si>
  <si>
    <t xml:space="preserve">   3. 생수사용료</t>
    <phoneticPr fontId="15" type="noConversion"/>
  </si>
  <si>
    <t>통 *</t>
    <phoneticPr fontId="15" type="noConversion"/>
  </si>
  <si>
    <t xml:space="preserve">   4. 기타 소모품(지도류 등)</t>
    <phoneticPr fontId="15" type="noConversion"/>
  </si>
  <si>
    <t xml:space="preserve">   5. 업무용 봉투제작(대,중,소)</t>
    <phoneticPr fontId="15" type="noConversion"/>
  </si>
  <si>
    <t xml:space="preserve">   6. 업무용 인장 및 고무인</t>
    <phoneticPr fontId="15" type="noConversion"/>
  </si>
  <si>
    <t xml:space="preserve">   7. 사무용 문방구</t>
    <phoneticPr fontId="15" type="noConversion"/>
  </si>
  <si>
    <t>업무추진비</t>
    <phoneticPr fontId="15" type="noConversion"/>
  </si>
  <si>
    <t xml:space="preserve">   1. 기관운영일반업무추진비(원장)</t>
    <phoneticPr fontId="14" type="noConversion"/>
  </si>
  <si>
    <t>원*</t>
    <phoneticPr fontId="15" type="noConversion"/>
  </si>
  <si>
    <t xml:space="preserve">   2. 시책업무추진비(사업추진)</t>
    <phoneticPr fontId="14" type="noConversion"/>
  </si>
  <si>
    <t>여비교통비</t>
    <phoneticPr fontId="15" type="noConversion"/>
  </si>
  <si>
    <t xml:space="preserve">   1. 국내여비</t>
    <phoneticPr fontId="14" type="noConversion"/>
  </si>
  <si>
    <t>명*</t>
    <phoneticPr fontId="15" type="noConversion"/>
  </si>
  <si>
    <t xml:space="preserve">   2. 국외여비</t>
    <phoneticPr fontId="14" type="noConversion"/>
  </si>
  <si>
    <t>유지관리비</t>
    <phoneticPr fontId="15" type="noConversion"/>
  </si>
  <si>
    <t xml:space="preserve">   1. 장비(발굴장비, 보조장비, 보존처리장비 등)수리비</t>
    <phoneticPr fontId="15" type="noConversion"/>
  </si>
  <si>
    <t xml:space="preserve">   2. 컴퓨터 유지보수비</t>
    <phoneticPr fontId="15" type="noConversion"/>
  </si>
  <si>
    <t>월</t>
    <phoneticPr fontId="14" type="noConversion"/>
  </si>
  <si>
    <t xml:space="preserve">   3. 비품(복사기, 팩스 등)수리비</t>
    <phoneticPr fontId="15" type="noConversion"/>
  </si>
  <si>
    <t xml:space="preserve">   4. 전산기기 유지관리비 등</t>
    <phoneticPr fontId="15" type="noConversion"/>
  </si>
  <si>
    <t xml:space="preserve">   5. 업무용 차량유지비(유류대+세차비+기타)</t>
    <phoneticPr fontId="15" type="noConversion"/>
  </si>
  <si>
    <t>자료구입비</t>
    <phoneticPr fontId="15" type="noConversion"/>
  </si>
  <si>
    <t xml:space="preserve"> o 계</t>
    <phoneticPr fontId="14" type="noConversion"/>
  </si>
  <si>
    <t xml:space="preserve">   1. 연구용도서 구입</t>
    <phoneticPr fontId="15" type="noConversion"/>
  </si>
  <si>
    <t>권</t>
    <phoneticPr fontId="15" type="noConversion"/>
  </si>
  <si>
    <t xml:space="preserve">   2. 신문, 잡지 등 구입</t>
    <phoneticPr fontId="15" type="noConversion"/>
  </si>
  <si>
    <t>부 *</t>
    <phoneticPr fontId="15" type="noConversion"/>
  </si>
  <si>
    <t>개월</t>
    <phoneticPr fontId="15" type="noConversion"/>
  </si>
  <si>
    <t>지급수수료</t>
    <phoneticPr fontId="15" type="noConversion"/>
  </si>
  <si>
    <t xml:space="preserve">   1. 조달청 수수료</t>
    <phoneticPr fontId="15" type="noConversion"/>
  </si>
  <si>
    <t xml:space="preserve">   2. 택배, 퀵서비스 수수료</t>
    <phoneticPr fontId="15" type="noConversion"/>
  </si>
  <si>
    <t xml:space="preserve">   3. 기타수수료등</t>
    <phoneticPr fontId="15" type="noConversion"/>
  </si>
  <si>
    <t>지급용역료</t>
    <phoneticPr fontId="15" type="noConversion"/>
  </si>
  <si>
    <t xml:space="preserve">   1. 세무 및 결산 등 제비용</t>
    <phoneticPr fontId="15" type="noConversion"/>
  </si>
  <si>
    <t xml:space="preserve"> </t>
    <phoneticPr fontId="14" type="noConversion"/>
  </si>
  <si>
    <t xml:space="preserve">   2. 소프트웨어 관리 시스템 운영</t>
    <phoneticPr fontId="15" type="noConversion"/>
  </si>
  <si>
    <t>식</t>
    <phoneticPr fontId="15" type="noConversion"/>
  </si>
  <si>
    <t xml:space="preserve">   3. 사무실 보안경비</t>
    <phoneticPr fontId="15" type="noConversion"/>
  </si>
  <si>
    <t xml:space="preserve">   4. 사무실 이동 관련(통신선 등)</t>
    <phoneticPr fontId="15" type="noConversion"/>
  </si>
  <si>
    <t>지급임차료</t>
    <phoneticPr fontId="15" type="noConversion"/>
  </si>
  <si>
    <t xml:space="preserve">   1. 업무용 차량 임차</t>
    <phoneticPr fontId="15" type="noConversion"/>
  </si>
  <si>
    <t xml:space="preserve">   2. 전산장비 임대(컴퓨터 등)</t>
    <phoneticPr fontId="15" type="noConversion"/>
  </si>
  <si>
    <t xml:space="preserve">   3. 사무기기 임대(복합기 등)</t>
    <phoneticPr fontId="15" type="noConversion"/>
  </si>
  <si>
    <t>직책업무추진비</t>
    <phoneticPr fontId="15" type="noConversion"/>
  </si>
  <si>
    <t xml:space="preserve">   1. 연구원장</t>
    <phoneticPr fontId="14" type="noConversion"/>
  </si>
  <si>
    <t>명 *</t>
    <phoneticPr fontId="15" type="noConversion"/>
  </si>
  <si>
    <t xml:space="preserve">   2. 팀장</t>
    <phoneticPr fontId="14" type="noConversion"/>
  </si>
  <si>
    <t>통신비</t>
    <phoneticPr fontId="15" type="noConversion"/>
  </si>
  <si>
    <t xml:space="preserve">   1.  보고서발송비</t>
    <phoneticPr fontId="15" type="noConversion"/>
  </si>
  <si>
    <t>회</t>
    <phoneticPr fontId="20" type="noConversion"/>
  </si>
  <si>
    <t xml:space="preserve">   2.  우편요금(사무실)</t>
    <phoneticPr fontId="15" type="noConversion"/>
  </si>
  <si>
    <t xml:space="preserve">   3.  전화 및 인터넷요금(사무실)</t>
    <phoneticPr fontId="15" type="noConversion"/>
  </si>
  <si>
    <t>회선 *</t>
    <phoneticPr fontId="15" type="noConversion"/>
  </si>
  <si>
    <t xml:space="preserve">   4. 케이블TV 사용료</t>
    <phoneticPr fontId="15" type="noConversion"/>
  </si>
  <si>
    <t>회의운영비</t>
    <phoneticPr fontId="15" type="noConversion"/>
  </si>
  <si>
    <t xml:space="preserve"> o 연구원 회의운영비</t>
    <phoneticPr fontId="15" type="noConversion"/>
  </si>
  <si>
    <t>인 *</t>
    <phoneticPr fontId="15" type="noConversion"/>
  </si>
  <si>
    <t>고정자산</t>
    <phoneticPr fontId="20" type="noConversion"/>
  </si>
  <si>
    <t>자산구입비</t>
    <phoneticPr fontId="15" type="noConversion"/>
  </si>
  <si>
    <t xml:space="preserve"> o 전산장비구입비</t>
    <phoneticPr fontId="15" type="noConversion"/>
  </si>
  <si>
    <t>팀 *</t>
    <phoneticPr fontId="15" type="noConversion"/>
  </si>
  <si>
    <t>(사업비)</t>
    <phoneticPr fontId="15" type="noConversion"/>
  </si>
  <si>
    <t>문화유적 학술조사 및 보존</t>
    <phoneticPr fontId="15" type="noConversion"/>
  </si>
  <si>
    <t>인건비</t>
    <phoneticPr fontId="20" type="noConversion"/>
  </si>
  <si>
    <t xml:space="preserve"> o 프로젝트 계약직</t>
    <phoneticPr fontId="15" type="noConversion"/>
  </si>
  <si>
    <t>개월*</t>
    <phoneticPr fontId="15" type="noConversion"/>
  </si>
  <si>
    <t>원*</t>
    <phoneticPr fontId="15" type="noConversion"/>
  </si>
  <si>
    <t>명</t>
    <phoneticPr fontId="15" type="noConversion"/>
  </si>
  <si>
    <t>=</t>
    <phoneticPr fontId="14" type="noConversion"/>
  </si>
  <si>
    <t>도서인쇄비</t>
    <phoneticPr fontId="15" type="noConversion"/>
  </si>
  <si>
    <t xml:space="preserve"> o 계</t>
    <phoneticPr fontId="15" type="noConversion"/>
  </si>
  <si>
    <t xml:space="preserve">   1. 발굴(시굴)조사 보고서 발간</t>
    <phoneticPr fontId="15" type="noConversion"/>
  </si>
  <si>
    <t xml:space="preserve">   2. 지표조사 보고서 발간</t>
    <phoneticPr fontId="15" type="noConversion"/>
  </si>
  <si>
    <t xml:space="preserve">   3. 연구용역사업 보고서 발간</t>
    <phoneticPr fontId="15" type="noConversion"/>
  </si>
  <si>
    <t xml:space="preserve">   4. 자문위원회 회의자료 인쇄</t>
    <phoneticPr fontId="15" type="noConversion"/>
  </si>
  <si>
    <t xml:space="preserve"> o 현장임시전력가설설치 보증보험료</t>
    <phoneticPr fontId="15" type="noConversion"/>
  </si>
  <si>
    <t>개현장</t>
    <phoneticPr fontId="15" type="noConversion"/>
  </si>
  <si>
    <t>현장운영비</t>
    <phoneticPr fontId="15" type="noConversion"/>
  </si>
  <si>
    <t xml:space="preserve"> o 발굴현장(2억이상 현장)</t>
    <phoneticPr fontId="15" type="noConversion"/>
  </si>
  <si>
    <t>월 *</t>
    <phoneticPr fontId="20" type="noConversion"/>
  </si>
  <si>
    <t xml:space="preserve">개현장 </t>
    <phoneticPr fontId="15" type="noConversion"/>
  </si>
  <si>
    <t xml:space="preserve">   1. 발굴조사용 조사소모품 구입</t>
    <phoneticPr fontId="15" type="noConversion"/>
  </si>
  <si>
    <t xml:space="preserve">   2. 발굴조사용 문구류 구입</t>
    <phoneticPr fontId="15" type="noConversion"/>
  </si>
  <si>
    <t xml:space="preserve">   3. 유물정리 소모품 구입</t>
    <phoneticPr fontId="15" type="noConversion"/>
  </si>
  <si>
    <t xml:space="preserve">   4. 유물 보존처리 약품류 구입</t>
    <phoneticPr fontId="15" type="noConversion"/>
  </si>
  <si>
    <t>수도광열비</t>
    <phoneticPr fontId="15" type="noConversion"/>
  </si>
  <si>
    <t xml:space="preserve"> o 난방연료비 및 전력비(발굴현장사무실 10개,사무실1개)</t>
    <phoneticPr fontId="15" type="noConversion"/>
  </si>
  <si>
    <t xml:space="preserve">   1. 지표조사여비</t>
    <phoneticPr fontId="15" type="noConversion"/>
  </si>
  <si>
    <t>일*</t>
    <phoneticPr fontId="15" type="noConversion"/>
  </si>
  <si>
    <t xml:space="preserve">   2. 발굴조사현장 여비</t>
    <phoneticPr fontId="20" type="noConversion"/>
  </si>
  <si>
    <t>개현장*</t>
    <phoneticPr fontId="15" type="noConversion"/>
  </si>
  <si>
    <t xml:space="preserve">   3. 조사용역 국내여비</t>
    <phoneticPr fontId="20" type="noConversion"/>
  </si>
  <si>
    <t>회*</t>
    <phoneticPr fontId="15" type="noConversion"/>
  </si>
  <si>
    <t xml:space="preserve"> o 발굴 및 시굴조사(차량주유비)</t>
    <phoneticPr fontId="15" type="noConversion"/>
  </si>
  <si>
    <t xml:space="preserve">   1. 자문위원회수당</t>
    <phoneticPr fontId="15" type="noConversion"/>
  </si>
  <si>
    <t xml:space="preserve">   2. 용역사업 원고료</t>
    <phoneticPr fontId="15" type="noConversion"/>
  </si>
  <si>
    <t xml:space="preserve">   3. 각종수수료등</t>
    <phoneticPr fontId="15" type="noConversion"/>
  </si>
  <si>
    <t xml:space="preserve"> </t>
    <phoneticPr fontId="15" type="noConversion"/>
  </si>
  <si>
    <t xml:space="preserve"> o 전화 및 인터넷요금(현장)</t>
    <phoneticPr fontId="15" type="noConversion"/>
  </si>
  <si>
    <t>행사운영비</t>
    <phoneticPr fontId="15" type="noConversion"/>
  </si>
  <si>
    <t>ㅇ 행사운영비(보험료, 입장료, 식비, 소포품, 홍보물 등)</t>
    <phoneticPr fontId="15" type="noConversion"/>
  </si>
  <si>
    <t>원 *</t>
    <phoneticPr fontId="15" type="noConversion"/>
  </si>
  <si>
    <t>회</t>
    <phoneticPr fontId="15" type="noConversion"/>
  </si>
  <si>
    <t>회의운영비</t>
    <phoneticPr fontId="15" type="noConversion"/>
  </si>
  <si>
    <t xml:space="preserve"> o 계</t>
    <phoneticPr fontId="15" type="noConversion"/>
  </si>
  <si>
    <t xml:space="preserve">   1.  지도위원회 식음료(지도위원, 발굴관계자 등)</t>
    <phoneticPr fontId="15" type="noConversion"/>
  </si>
  <si>
    <t>학술자문회의</t>
    <phoneticPr fontId="15" type="noConversion"/>
  </si>
  <si>
    <t>인 *</t>
    <phoneticPr fontId="15" type="noConversion"/>
  </si>
  <si>
    <t>=</t>
    <phoneticPr fontId="15" type="noConversion"/>
  </si>
  <si>
    <t xml:space="preserve">   2.  용역사업관련 회의운영비</t>
    <phoneticPr fontId="15" type="noConversion"/>
  </si>
  <si>
    <t xml:space="preserve">   3.  중간검토회 개최 식음료</t>
    <phoneticPr fontId="15" type="noConversion"/>
  </si>
  <si>
    <t>북한산성문화사업팀 운영</t>
    <phoneticPr fontId="15" type="noConversion"/>
  </si>
  <si>
    <t>인건비</t>
    <phoneticPr fontId="15" type="noConversion"/>
  </si>
  <si>
    <t>제경비</t>
    <phoneticPr fontId="15" type="noConversion"/>
  </si>
  <si>
    <t>=</t>
    <phoneticPr fontId="14" type="noConversion"/>
  </si>
  <si>
    <t>명 *</t>
    <phoneticPr fontId="15" type="noConversion"/>
  </si>
  <si>
    <t>고정자산</t>
    <phoneticPr fontId="15" type="noConversion"/>
  </si>
  <si>
    <t>자산구입비</t>
    <phoneticPr fontId="15" type="noConversion"/>
  </si>
  <si>
    <t xml:space="preserve"> o 컴퓨터(모니터 포함, 기존PC 내용연수 경과 교체)</t>
    <phoneticPr fontId="15" type="noConversion"/>
  </si>
  <si>
    <t>대 *</t>
    <phoneticPr fontId="15" type="noConversion"/>
  </si>
  <si>
    <t>원</t>
    <phoneticPr fontId="15" type="noConversion"/>
  </si>
  <si>
    <t>인건비</t>
    <phoneticPr fontId="14" type="noConversion"/>
  </si>
  <si>
    <t xml:space="preserve"> o 급여 및 부가급여(인건비, 4대보험, 퇴직금 포함)</t>
    <phoneticPr fontId="15" type="noConversion"/>
  </si>
  <si>
    <t xml:space="preserve">   1. 홍보물제작</t>
    <phoneticPr fontId="15" type="noConversion"/>
  </si>
  <si>
    <t xml:space="preserve">   2. 교육자료집</t>
    <phoneticPr fontId="15" type="noConversion"/>
  </si>
  <si>
    <t xml:space="preserve"> o 여행자/화재보험</t>
    <phoneticPr fontId="15" type="noConversion"/>
  </si>
  <si>
    <t xml:space="preserve"> o 공공요금</t>
    <phoneticPr fontId="15" type="noConversion"/>
  </si>
  <si>
    <t xml:space="preserve">   1. 재능기부 강사</t>
    <phoneticPr fontId="15" type="noConversion"/>
  </si>
  <si>
    <t xml:space="preserve">   2. 전문강사</t>
    <phoneticPr fontId="15" type="noConversion"/>
  </si>
  <si>
    <t xml:space="preserve">   3. 보조강사</t>
    <phoneticPr fontId="15" type="noConversion"/>
  </si>
  <si>
    <t xml:space="preserve">   2. 설비 유치보수비</t>
    <phoneticPr fontId="15" type="noConversion"/>
  </si>
  <si>
    <t xml:space="preserve"> o 교육정보센터 임차료</t>
    <phoneticPr fontId="15" type="noConversion"/>
  </si>
  <si>
    <t xml:space="preserve"> o 통신비</t>
    <phoneticPr fontId="15" type="noConversion"/>
  </si>
  <si>
    <t xml:space="preserve">   1. 기념품 제작</t>
    <phoneticPr fontId="15" type="noConversion"/>
  </si>
  <si>
    <t xml:space="preserve">   2. 행사물품구입</t>
    <phoneticPr fontId="15" type="noConversion"/>
  </si>
  <si>
    <t xml:space="preserve">   3. 행사진행비</t>
    <phoneticPr fontId="15" type="noConversion"/>
  </si>
  <si>
    <t xml:space="preserve"> o 회의운영비</t>
    <phoneticPr fontId="15" type="noConversion"/>
  </si>
  <si>
    <t>문화유산 활용 콘텐츠 개발운영</t>
    <phoneticPr fontId="15" type="noConversion"/>
  </si>
  <si>
    <t>경기도 대표문화유산 100선</t>
    <phoneticPr fontId="15" type="noConversion"/>
  </si>
  <si>
    <t>인건비</t>
    <phoneticPr fontId="15" type="noConversion"/>
  </si>
  <si>
    <t>ㅇ 전담연구원 인건비</t>
    <phoneticPr fontId="15" type="noConversion"/>
  </si>
  <si>
    <t>명 *</t>
    <phoneticPr fontId="15" type="noConversion"/>
  </si>
  <si>
    <t>ㅇ 대표문화유산 선정위원회 운영</t>
    <phoneticPr fontId="15" type="noConversion"/>
  </si>
  <si>
    <t>지급수수료</t>
    <phoneticPr fontId="14" type="noConversion"/>
  </si>
  <si>
    <t>ㅇ 대표문화유산 안내지도 제작</t>
    <phoneticPr fontId="15" type="noConversion"/>
  </si>
  <si>
    <t>부</t>
    <phoneticPr fontId="15" type="noConversion"/>
  </si>
  <si>
    <t>지급용역료</t>
    <phoneticPr fontId="14" type="noConversion"/>
  </si>
  <si>
    <t>ㅇ 선정위원회 회의운영비</t>
    <phoneticPr fontId="15" type="noConversion"/>
  </si>
  <si>
    <t>ㅇ 현장 조사 출장비</t>
    <phoneticPr fontId="15" type="noConversion"/>
  </si>
  <si>
    <t>문화유산 활용기획자 양성</t>
    <phoneticPr fontId="15" type="noConversion"/>
  </si>
  <si>
    <t>인건비</t>
    <phoneticPr fontId="14" type="noConversion"/>
  </si>
  <si>
    <t>ㅇ 전담연구원 인건비</t>
    <phoneticPr fontId="15" type="noConversion"/>
  </si>
  <si>
    <t>ㅇ 보고서 제작</t>
    <phoneticPr fontId="15" type="noConversion"/>
  </si>
  <si>
    <t>식 *</t>
    <phoneticPr fontId="15" type="noConversion"/>
  </si>
  <si>
    <t>출장비</t>
    <phoneticPr fontId="15" type="noConversion"/>
  </si>
  <si>
    <t>ㅇ 계</t>
    <phoneticPr fontId="15" type="noConversion"/>
  </si>
  <si>
    <t xml:space="preserve">  1. 프로그램 기획운영</t>
    <phoneticPr fontId="15" type="noConversion"/>
  </si>
  <si>
    <t xml:space="preserve">  2. 강사료 및 운영 요원</t>
    <phoneticPr fontId="15" type="noConversion"/>
  </si>
  <si>
    <t xml:space="preserve">  3. 현장진행 보조원</t>
    <phoneticPr fontId="15" type="noConversion"/>
  </si>
  <si>
    <t xml:space="preserve">  4. 참가자식비</t>
    <phoneticPr fontId="15" type="noConversion"/>
  </si>
  <si>
    <t xml:space="preserve">  5. 운영물품</t>
    <phoneticPr fontId="15" type="noConversion"/>
  </si>
  <si>
    <t xml:space="preserve">  6. 버스임차료</t>
    <phoneticPr fontId="15" type="noConversion"/>
  </si>
  <si>
    <t>ㅇ 강의실 대관</t>
    <phoneticPr fontId="15" type="noConversion"/>
  </si>
  <si>
    <t>경기도 성곽투어 프로그램 운영</t>
    <phoneticPr fontId="15" type="noConversion"/>
  </si>
  <si>
    <t>ㅇ 자료집 제작</t>
    <phoneticPr fontId="15" type="noConversion"/>
  </si>
  <si>
    <t>식*</t>
    <phoneticPr fontId="15" type="noConversion"/>
  </si>
  <si>
    <t>여비교통비</t>
    <phoneticPr fontId="14" type="noConversion"/>
  </si>
  <si>
    <t>ㅇ 출장비</t>
    <phoneticPr fontId="15" type="noConversion"/>
  </si>
  <si>
    <t>ㅇ 강사료</t>
    <phoneticPr fontId="15" type="noConversion"/>
  </si>
  <si>
    <t>ㅇ 진행요원</t>
    <phoneticPr fontId="15" type="noConversion"/>
  </si>
  <si>
    <t>ㅇ 투어버스 임차료</t>
    <phoneticPr fontId="15" type="noConversion"/>
  </si>
  <si>
    <t>행사운영비</t>
    <phoneticPr fontId="14" type="noConversion"/>
  </si>
  <si>
    <t>경기도 문화유산 보존 및 연구</t>
    <phoneticPr fontId="15" type="noConversion"/>
  </si>
  <si>
    <t xml:space="preserve"> o 대표문화유산 안내지도 제작</t>
    <phoneticPr fontId="15" type="noConversion"/>
  </si>
  <si>
    <t>유물이관 출장여비</t>
    <phoneticPr fontId="15" type="noConversion"/>
  </si>
  <si>
    <t xml:space="preserve"> o 선정위원회 회의운영비</t>
    <phoneticPr fontId="15" type="noConversion"/>
  </si>
  <si>
    <t>항온항습기 구입비</t>
    <phoneticPr fontId="15" type="noConversion"/>
  </si>
  <si>
    <t>대</t>
    <phoneticPr fontId="15" type="noConversion"/>
  </si>
  <si>
    <t xml:space="preserve"> o 대표문화유산 선정위원회 운영</t>
    <phoneticPr fontId="15" type="noConversion"/>
  </si>
  <si>
    <t>포장 운송비</t>
    <phoneticPr fontId="15" type="noConversion"/>
  </si>
  <si>
    <t>유산기획실</t>
    <phoneticPr fontId="15" type="noConversion"/>
  </si>
  <si>
    <t>일반관리비</t>
    <phoneticPr fontId="15" type="noConversion"/>
  </si>
  <si>
    <t>인건비</t>
    <phoneticPr fontId="15" type="noConversion"/>
  </si>
  <si>
    <t>급여</t>
    <phoneticPr fontId="14" type="noConversion"/>
  </si>
  <si>
    <t xml:space="preserve">   1. 기준연봉액</t>
    <phoneticPr fontId="15" type="noConversion"/>
  </si>
  <si>
    <t>– 직원</t>
    <phoneticPr fontId="15" type="noConversion"/>
  </si>
  <si>
    <t xml:space="preserve">   2. 부가급여(교통비+정액급식비+자녁학비보조수당+가족수당+초과근무수당포함)</t>
    <phoneticPr fontId="15" type="noConversion"/>
  </si>
  <si>
    <t xml:space="preserve"> o 파견수당</t>
    <phoneticPr fontId="15" type="noConversion"/>
  </si>
  <si>
    <t>퇴직급여</t>
    <phoneticPr fontId="15" type="noConversion"/>
  </si>
  <si>
    <t xml:space="preserve"> o 조직개편에 따른 인건비 이관</t>
    <phoneticPr fontId="15" type="noConversion"/>
  </si>
  <si>
    <t>복리후생비(급여)</t>
    <phoneticPr fontId="15" type="noConversion"/>
  </si>
  <si>
    <t xml:space="preserve">   1. 4대보험 부담금</t>
    <phoneticPr fontId="15" type="noConversion"/>
  </si>
  <si>
    <t xml:space="preserve">   2. 선택적 복지제도 운영(재해 단체보장보험 포함)</t>
    <phoneticPr fontId="15" type="noConversion"/>
  </si>
  <si>
    <t>제경비</t>
    <phoneticPr fontId="15" type="noConversion"/>
  </si>
  <si>
    <t>복리후생비(경비)</t>
    <phoneticPr fontId="15" type="noConversion"/>
  </si>
  <si>
    <t xml:space="preserve"> o 조직개편에 따른 관리비 이관</t>
    <phoneticPr fontId="15" type="noConversion"/>
  </si>
  <si>
    <t>실*</t>
    <phoneticPr fontId="15" type="noConversion"/>
  </si>
  <si>
    <t>본부장*</t>
    <phoneticPr fontId="15" type="noConversion"/>
  </si>
  <si>
    <t xml:space="preserve">   1. 사무용기기 소모품</t>
    <phoneticPr fontId="15" type="noConversion"/>
  </si>
  <si>
    <t xml:space="preserve">   2. 생수사용료(본부)</t>
    <phoneticPr fontId="15" type="noConversion"/>
  </si>
  <si>
    <t xml:space="preserve"> o 기관운영일반업무추진비(본부장)</t>
    <phoneticPr fontId="14" type="noConversion"/>
  </si>
  <si>
    <t xml:space="preserve">   1. 국내여비</t>
    <phoneticPr fontId="15" type="noConversion"/>
  </si>
  <si>
    <t xml:space="preserve">   2. 업무용 택시 이용</t>
    <phoneticPr fontId="15" type="noConversion"/>
  </si>
  <si>
    <t xml:space="preserve"> o 사무실 유지관리</t>
    <phoneticPr fontId="15" type="noConversion"/>
  </si>
  <si>
    <t xml:space="preserve"> o 택배, 퀵서비스 수수료</t>
    <phoneticPr fontId="15" type="noConversion"/>
  </si>
  <si>
    <t>직책업무추진비</t>
    <phoneticPr fontId="14" type="noConversion"/>
  </si>
  <si>
    <t xml:space="preserve">   1. 본부장</t>
    <phoneticPr fontId="15" type="noConversion"/>
  </si>
  <si>
    <t xml:space="preserve">   2. 실장</t>
    <phoneticPr fontId="15" type="noConversion"/>
  </si>
  <si>
    <t xml:space="preserve">   1. 사무실 통신료</t>
    <phoneticPr fontId="15" type="noConversion"/>
  </si>
  <si>
    <t xml:space="preserve">   2. G포탈 사용료</t>
    <phoneticPr fontId="15" type="noConversion"/>
  </si>
  <si>
    <t>고정자산</t>
    <phoneticPr fontId="15" type="noConversion"/>
  </si>
  <si>
    <t xml:space="preserve">   2. 아티스트 토크 자료집</t>
    <phoneticPr fontId="15" type="noConversion"/>
  </si>
  <si>
    <t xml:space="preserve"> o 교육활동지 제작</t>
    <phoneticPr fontId="15" type="noConversion"/>
  </si>
  <si>
    <t>도서관연구조사활동</t>
    <phoneticPr fontId="15" type="noConversion"/>
  </si>
  <si>
    <t>도서관전문가세미나개최</t>
    <phoneticPr fontId="15" type="noConversion"/>
  </si>
  <si>
    <t>경기도도서관연감발간</t>
    <phoneticPr fontId="15" type="noConversion"/>
  </si>
  <si>
    <t>경기도도서관총서발간</t>
    <phoneticPr fontId="15" type="noConversion"/>
  </si>
  <si>
    <t>도서관직원직무교육</t>
    <phoneticPr fontId="15" type="noConversion"/>
  </si>
  <si>
    <t>위탁수수료</t>
    <phoneticPr fontId="15" type="noConversion"/>
  </si>
  <si>
    <t>문화예술본부(외부재원)</t>
    <phoneticPr fontId="15" type="noConversion"/>
  </si>
  <si>
    <t>2017 경기도 옛길 관리운영</t>
    <phoneticPr fontId="15" type="noConversion"/>
  </si>
  <si>
    <t>경기문화재연구원(외부재원)</t>
    <phoneticPr fontId="15" type="noConversion"/>
  </si>
  <si>
    <t>2017경기도문화재돌봄사업</t>
    <phoneticPr fontId="15" type="noConversion"/>
  </si>
  <si>
    <t>남한산성 국청사지 발굴조사</t>
    <phoneticPr fontId="15" type="noConversion"/>
  </si>
  <si>
    <t>국청사지 발굴조사</t>
    <phoneticPr fontId="15" type="noConversion"/>
  </si>
  <si>
    <t>지수당 발굴조사</t>
    <phoneticPr fontId="15" type="noConversion"/>
  </si>
  <si>
    <t>신규추가</t>
    <phoneticPr fontId="15" type="noConversion"/>
  </si>
  <si>
    <t>문화예술교육
기획지원사업</t>
    <phoneticPr fontId="15" type="noConversion"/>
  </si>
  <si>
    <t>도서인쇄비</t>
    <phoneticPr fontId="15" type="noConversion"/>
  </si>
  <si>
    <t>사업 결과 자료집 제작</t>
    <phoneticPr fontId="15" type="noConversion"/>
  </si>
  <si>
    <t>o 기획사업 결과자료집 편집 및 디자인, 발간진행
 - 사유 : 사업 완료 후 자료집 제작
 - 내역 : 도서인쇄비 5,000천원, 반납비 200천원</t>
    <phoneticPr fontId="15" type="noConversion"/>
  </si>
  <si>
    <t>금액정정</t>
    <phoneticPr fontId="15" type="noConversion"/>
  </si>
  <si>
    <t>비평연구 및
협력체계 구성</t>
    <phoneticPr fontId="15" type="noConversion"/>
  </si>
  <si>
    <t>o 비평연구 웹진 단행본 편집 및 디자인, 발간진행
 - 사유 : 사업 완료 후 단행본 제작
 - 내역 : 도서인쇄비 7,000천원, 반납비 2,739천원</t>
    <phoneticPr fontId="15" type="noConversion"/>
  </si>
  <si>
    <t>사업관리 운영</t>
    <phoneticPr fontId="15" type="noConversion"/>
  </si>
  <si>
    <t>센터 연감 제작</t>
    <phoneticPr fontId="15" type="noConversion"/>
  </si>
  <si>
    <t>o 센터 연감 인쇄 발간진행
 - 사유 : 사업 완료 후 단행본 제작
 - 내역 : 도서인쇄비 15,000천원, 지급수수료 390천원, 지급용역료 700천원, 반납비 202천원</t>
    <phoneticPr fontId="15" type="noConversion"/>
  </si>
  <si>
    <t>금액정정</t>
    <phoneticPr fontId="15" type="noConversion"/>
  </si>
  <si>
    <t>꿈다락토요문화학교</t>
    <phoneticPr fontId="15" type="noConversion"/>
  </si>
  <si>
    <t>도서인쇄비</t>
    <phoneticPr fontId="15" type="noConversion"/>
  </si>
  <si>
    <t>사업 결과 자료집 제작</t>
    <phoneticPr fontId="15" type="noConversion"/>
  </si>
  <si>
    <t>o 사업 결과자료집 편집 및 디자인, 발간진행
 - 사유 : 사업 완료 후 자료집 제작
 - 내역 : 도서인쇄비 12,150천원, 지급수수료 2,500천원, 반납비 120,692천원</t>
    <phoneticPr fontId="15" type="noConversion"/>
  </si>
  <si>
    <t>지역특성화지원사업</t>
    <phoneticPr fontId="15" type="noConversion"/>
  </si>
  <si>
    <t>o 사업 결과자료집 편집 및 디자인, 발간진행
 - 사유 : 사업 완료 후 자료집 제작
 - 내역 : 도서인쇄비 4,000천원</t>
    <phoneticPr fontId="15" type="noConversion"/>
  </si>
  <si>
    <t>예술강사지원사업</t>
    <phoneticPr fontId="15" type="noConversion"/>
  </si>
  <si>
    <t xml:space="preserve">인건비 </t>
    <phoneticPr fontId="15" type="noConversion"/>
  </si>
  <si>
    <t>예술강사 전담인력 및 예술강사 12월 강사비 및 여비
회계검수 수수료 및 결과자료집 제작, 인사노무 용역료</t>
    <phoneticPr fontId="15" type="noConversion"/>
  </si>
  <si>
    <t>o 인건비 지출
 - 사유 : 사업 종료에 따른 정산, 업무 이관 업무 처리
 - 내역 : 인건비 13,000천원, 도서인쇄비 10,500천원, 지급수수료 1,700천원, 지급용역료 2,944천원,
            인건비(강사)547,440천원, 여비교통비(강사) 25,000천원, 반납비 229,090천원</t>
    <phoneticPr fontId="15" type="noConversion"/>
  </si>
  <si>
    <t>문화
예술
본부</t>
    <phoneticPr fontId="15" type="noConversion"/>
  </si>
  <si>
    <t>생활
문화팀</t>
    <phoneticPr fontId="15" type="noConversion"/>
  </si>
  <si>
    <t>생활문화팀 소계</t>
    <phoneticPr fontId="15" type="noConversion"/>
  </si>
  <si>
    <t>문화누리</t>
    <phoneticPr fontId="15" type="noConversion"/>
  </si>
  <si>
    <t>문화누리카드사업</t>
    <phoneticPr fontId="15" type="noConversion"/>
  </si>
  <si>
    <t>행사운영비</t>
    <phoneticPr fontId="15" type="noConversion"/>
  </si>
  <si>
    <t>2016년 통합문화이용권 문화누리카드 결제대금 집행</t>
    <phoneticPr fontId="15" type="noConversion"/>
  </si>
  <si>
    <t>o 12월 문화누리카드 결제대금이 1월 청구됨에 따라 카드사업비 명시이월
 - 내역 : 행사운영비 3,077,567천원</t>
    <phoneticPr fontId="15" type="noConversion"/>
  </si>
  <si>
    <t>문화나눔센터운영</t>
    <phoneticPr fontId="15" type="noConversion"/>
  </si>
  <si>
    <t>o 2016년 결산에 따른 반납액 이월
 - 내역 : 반납비 3,744천원</t>
    <phoneticPr fontId="15" type="noConversion"/>
  </si>
  <si>
    <t>문화
재생팀</t>
    <phoneticPr fontId="15" type="noConversion"/>
  </si>
  <si>
    <t>문화재생팀 소계</t>
    <phoneticPr fontId="15" type="noConversion"/>
  </si>
  <si>
    <t>지역 문화자원 발굴</t>
    <phoneticPr fontId="15" type="noConversion"/>
  </si>
  <si>
    <t>벌터 문화마을 만들기</t>
    <phoneticPr fontId="15" type="noConversion"/>
  </si>
  <si>
    <t>여비교통비</t>
    <phoneticPr fontId="15" type="noConversion"/>
  </si>
  <si>
    <t>벌터마을 공공디자인 진행, 문화의 밤 등 각종 행사진행, 자문회의등</t>
    <phoneticPr fontId="15" type="noConversion"/>
  </si>
  <si>
    <t>o 2016년 사업비의 운영 기간이 2017년 3월 말까지 연장됨
 - 사유 : 2016년부터 2018년까지 3년간 지속되는 사업으로, 프로젝트의 연속성을 확보하기 위해
           수원시에서 2017년 예산이 교부되는 시점을 고려하여 진행
 - 내역 : 여비교통비 885천원, 지급수수료 3,000천원, 지급용역료 50,000천원, 행사운영비 3,166천원,
            회의운영비 1,668천원</t>
    <phoneticPr fontId="15" type="noConversion"/>
  </si>
  <si>
    <t>지역맞춤형
재생모델개발</t>
    <phoneticPr fontId="15" type="noConversion"/>
  </si>
  <si>
    <t>사업결과 자료집 제작</t>
    <phoneticPr fontId="15" type="noConversion"/>
  </si>
  <si>
    <t>o 2016년 사업결과 자료집 제작으로 인한 사업비 이월
 - 사유 : 사업이 12월 말까지 진행됨으로 상반기 사업결과 자료집 제작
 - 내역 : 도서인쇄비 10,000천원, 지급수수료 1,000천원, 통신비 1,000천원, 회의운영비 500천원</t>
    <phoneticPr fontId="15" type="noConversion"/>
  </si>
  <si>
    <t>문화사랑방
공간 조성</t>
    <phoneticPr fontId="15" type="noConversion"/>
  </si>
  <si>
    <t>문화사랑방
창생공간 조성</t>
    <phoneticPr fontId="15" type="noConversion"/>
  </si>
  <si>
    <t>창생 자료집 발간 및 사업결과 &lt;쇼케이스&gt; 추진</t>
    <phoneticPr fontId="15" type="noConversion"/>
  </si>
  <si>
    <t>o 2016년 사업결과 &lt;쇼케이스&gt; 2017년 1월 추진에 따른 행사비 및 자료집 제작
 - 사유: 사업이 3월 추경 편성으로 다소 지연되고 1월 결과보고 행사진행 추진
 - 내역 : 도서인쇄비 15,600천원, 여비교통비 400천원, 자료구입비 400천원, 지급수수료 30,000천원,
           지급용역료 5,300천원, 통신비 400천원, 회의운영비 2,000천원, 행사운영비 5,900천원</t>
    <phoneticPr fontId="15" type="noConversion"/>
  </si>
  <si>
    <t>폐산업시설문화재생</t>
    <phoneticPr fontId="15" type="noConversion"/>
  </si>
  <si>
    <t>청년문화공간 리모델링</t>
    <phoneticPr fontId="15" type="noConversion"/>
  </si>
  <si>
    <t>도서인쇄비</t>
    <phoneticPr fontId="15" type="noConversion"/>
  </si>
  <si>
    <t>청년창작소 리모델링 준공 후 내외부 후속 작업</t>
    <phoneticPr fontId="15" type="noConversion"/>
  </si>
  <si>
    <t>o 청년창작소 건물 내외부 후속 작업
 - 사유 : 청년창작소 리모델링 공사 완료 후 내부 도장공사, 외부 부대공사 등
 - 내역 : 지급용역료 126,422천원</t>
    <phoneticPr fontId="15" type="noConversion"/>
  </si>
  <si>
    <t>금액정정</t>
    <phoneticPr fontId="15" type="noConversion"/>
  </si>
  <si>
    <t>문화공간운영</t>
    <phoneticPr fontId="15" type="noConversion"/>
  </si>
  <si>
    <t>경기청년문화창작소 창작랩 조성</t>
    <phoneticPr fontId="15" type="noConversion"/>
  </si>
  <si>
    <t>o 청년문화창작소 멤버십을 위한 창작랩 조성
 - 사유 : 청년창작소 리모델링 공사 완료 후 내부 청년창작랩  조성
 - 내역 : 자산구입비 63,566천원</t>
    <phoneticPr fontId="15" type="noConversion"/>
  </si>
  <si>
    <t>북부
문화
사업단</t>
    <phoneticPr fontId="15" type="noConversion"/>
  </si>
  <si>
    <t>북부문화사업단 소계</t>
    <phoneticPr fontId="15" type="noConversion"/>
  </si>
  <si>
    <t>한국문화예술위원회
지원사업</t>
    <phoneticPr fontId="15" type="noConversion"/>
  </si>
  <si>
    <t>인생나눔교실</t>
    <phoneticPr fontId="15" type="noConversion"/>
  </si>
  <si>
    <t>인건비</t>
    <phoneticPr fontId="15" type="noConversion"/>
  </si>
  <si>
    <t xml:space="preserve">당초 사업 기간이 16.06.01 ~ 17.01.31일(명시이월) </t>
    <phoneticPr fontId="15" type="noConversion"/>
  </si>
  <si>
    <t>o 인생나눔교실 사업 종료예정일이 2017년 1월 31일임에 따라 명시이월(100% 국비사업)
 - 사유 : 사업 완료기간이 16.06.01 ~ 17.01.31
 - 내역 : 인건비 10,925천원, 도서인쇄비 4,615천원, 소모품비 4,524천원, 여비교통비 2,148천원,
            지급수수료 10,230천원, 지급용역료 13,000천원, 지급임차료 1,038천원, 통신비 895천원,
            행사운영비 3,541천원, 회의운영비 1,823천원</t>
    <phoneticPr fontId="15" type="noConversion"/>
  </si>
  <si>
    <t>한국문화예술위원회 
지원사업</t>
    <phoneticPr fontId="15" type="noConversion"/>
  </si>
  <si>
    <t>작은미술관운영</t>
    <phoneticPr fontId="15" type="noConversion"/>
  </si>
  <si>
    <t xml:space="preserve">2016년 11월 한국문화예술위원회 지원확정 및 지원금 지급으로
사업 기간이 16.01.01 ~ 17.03.31일(명시이월) </t>
    <phoneticPr fontId="15" type="noConversion"/>
  </si>
  <si>
    <t>o 2016년 한국문화예술위원회 지원사업
 - 사업기간: 2016. 11 - 2017. 3
 - 자체예산 50,000천원 모두 소진, 지원금 40,000천원 중 명시이월
 - 내역 : 인건비 1,000천원, 지급용역료 8,800천원, 지급수수료 13,236천원, 소모품비 3,600천원,
            도서인쇄비 4,000천원, 보험료 200천원, 행사운영비 2,200천원, 회의운영비 200천원,
            여비교통비 500천원, 통신비 114천원</t>
    <phoneticPr fontId="15" type="noConversion"/>
  </si>
  <si>
    <t>경기
창작
센터</t>
    <phoneticPr fontId="15" type="noConversion"/>
  </si>
  <si>
    <t>경기창작센터 소계</t>
    <phoneticPr fontId="15" type="noConversion"/>
  </si>
  <si>
    <t>o 제부도 명소화 문화재생 사업의 디자인 작업 설치가 12월에 완료됨에 따라 해당 디자인 설치 공사 및
    제부도 아트프로젝트 아트파크 조성 사업에 따른 필수 물품 구입 추진 
 - 내역 : 도서인쇄비 20,000천원, 소모품비 1,292천원, 여비교통비 426천원, 자산구입비 50,000천원,
            지급수수료 2,900천원, 지급용역료 321,700천원, 회의운영비 1,860천원</t>
    <phoneticPr fontId="15" type="noConversion"/>
  </si>
  <si>
    <t>o 프로그램 운영기간이 2016년 11월 ~ 2017년 2월으로 릴레이전시 &lt;퀀텀점프&gt;의 전시폐막 2017년2월 
 - 사유 : 어드바이저 작가 미팅 및 원고료 지급 및 전시 제작 번역료
 - 내역 : 지급수수료 12,100천원, 지급용역료 660천원</t>
    <phoneticPr fontId="15" type="noConversion"/>
  </si>
  <si>
    <t>문 화 유 산 본 부   합 계</t>
    <phoneticPr fontId="15" type="noConversion"/>
  </si>
  <si>
    <t>문화
유산
본부</t>
    <phoneticPr fontId="15" type="noConversion"/>
  </si>
  <si>
    <t>경기학
연구센터</t>
    <phoneticPr fontId="15" type="noConversion"/>
  </si>
  <si>
    <t>경기학연구센터 소계</t>
    <phoneticPr fontId="15" type="noConversion"/>
  </si>
  <si>
    <t>2016 경기도 항일유적
 실태조사</t>
    <phoneticPr fontId="15" type="noConversion"/>
  </si>
  <si>
    <t>경기도 항일유적 실태관련 자료수집 및 4개권역 현장조사</t>
    <phoneticPr fontId="15" type="noConversion"/>
  </si>
  <si>
    <t>o 2016 경기도 항일유적 실태조사 사업(경기도 공기관 대행사업) 기간이 2016년 10월부터
  2017년 8월(10개월) 이기에 부득이하게 명시이월하여 추진함
 - 사업기간 : 2016년 10월 ~ 2017년 8월 
 - 사업일정 : 2016.11                 추진계획보고
              2016.11~2017.1          관련 자료 수집
              2017.1                  1차 자문회의 개최(조사 대상 확정)
              2017.1~4                항일유적 현장조사
              2017.4                  2차 자문회의 개최
              2017.5                  3차 자문회의 개최(보존, 관리, 활용 방안 수립)
              2017.6                  보고서 원고 집필, 교정, 교열
              2017.6~7                보고서 출판 디자인 및 최종보고서 발간
 - 내역 : 인건비 30,250천원, 지급수수료 28,600천원, 도서인쇄비 11,500천원, 지급임차료 3,200천원
            행사운영비 2,000천원, 회의운영비 2,000천원, 여비교통비 1,200천원, 유지관리비 800천원
            소모품비 450천원</t>
    <phoneticPr fontId="15" type="noConversion"/>
  </si>
  <si>
    <t>뮤 지 엄 본 부   합 계</t>
    <phoneticPr fontId="15" type="noConversion"/>
  </si>
  <si>
    <t>뮤지엄
본부</t>
    <phoneticPr fontId="15" type="noConversion"/>
  </si>
  <si>
    <t>경영
협력실</t>
    <phoneticPr fontId="15" type="noConversion"/>
  </si>
  <si>
    <t>경영협력실 소계</t>
    <phoneticPr fontId="15" type="noConversion"/>
  </si>
  <si>
    <t>산하기관 노후화개선사업</t>
    <phoneticPr fontId="15" type="noConversion"/>
  </si>
  <si>
    <t>뮤지엄파크 
리뉴얼 프로젝트</t>
    <phoneticPr fontId="15" type="noConversion"/>
  </si>
  <si>
    <t>뮤지엄파크 리뉴얼 기본계획용역</t>
    <phoneticPr fontId="15" type="noConversion"/>
  </si>
  <si>
    <t>o 기본계획용역 완료 및 보고서 수령
 - 연장기간 : 2016년 12월 ~ 2017년 4월 
 - 내역 : 지급용역료 50,000천원</t>
    <phoneticPr fontId="15" type="noConversion"/>
  </si>
  <si>
    <t>노후시설 개보수</t>
    <phoneticPr fontId="15" type="noConversion"/>
  </si>
  <si>
    <t>뮤지엄 4개관 노후시설개보수</t>
    <phoneticPr fontId="15" type="noConversion"/>
  </si>
  <si>
    <t>o 사업비 확정(예산조정)이 늦어져 명시이월 
 - 사유 : 경기도소관부서 사업계획변경승인 및 재단 내부결재 후 예산조정이(11.22) 
          늦게 확정되어 설계가 필요한 공사는 명시이월
 - 연장기간 : 2016년 12월 ~ 2017년 5월 
   경기도박물관(유휴공간,강당) 개선                    161,500천원
   실학박물관(옥상,입간판) 시설 개선                    29,600천원
o 경기도미술관 항온항습기, 돛대형상유리안전보강사업 지연에 따른 명시이월
 - 사유 : 항온항습기 공종복잡에 따른 설계지연 및 돛대형상유리 안전강화자문회의 및
            중단기 대책안 수립 지연에 따른 명시이월
 - 연장기간 : ~ 2017년 5월 
   경기도미술관(수장고항온항습 85,000천원,돛대형상유리 95,000천원) 시설보수  180,000천원
 - 내역 : 지급용역료 371,100천원</t>
    <phoneticPr fontId="15" type="noConversion"/>
  </si>
  <si>
    <t>경기도
박물관</t>
    <phoneticPr fontId="15" type="noConversion"/>
  </si>
  <si>
    <t>경기도박물관 소계</t>
    <phoneticPr fontId="15" type="noConversion"/>
  </si>
  <si>
    <t>문화유산의보존과관리</t>
    <phoneticPr fontId="15" type="noConversion"/>
  </si>
  <si>
    <t>박물관소장품
수집및관리</t>
    <phoneticPr fontId="15" type="noConversion"/>
  </si>
  <si>
    <t>기증초상화 보존처리</t>
    <phoneticPr fontId="15" type="noConversion"/>
  </si>
  <si>
    <t>o 기증초상화의 보존처리를 위한 명시이월
 - 사유 : 대상유물은 2016.6월 기증된 것으로 유물상태와 크기 등을 고려시 일정기간 
          보존처리 기간확보 필요
 - 연장기간 : 2016.9월 - 2017.5월
 - 내역 :지급용역료 19,000천원</t>
    <phoneticPr fontId="15" type="noConversion"/>
  </si>
  <si>
    <t>경기도
미술관</t>
    <phoneticPr fontId="15" type="noConversion"/>
  </si>
  <si>
    <t>경기도미술관 소계</t>
    <phoneticPr fontId="15" type="noConversion"/>
  </si>
  <si>
    <t>특별사업</t>
    <phoneticPr fontId="15" type="noConversion"/>
  </si>
  <si>
    <t>시흥시 찾아가는 
이동미술관</t>
    <phoneticPr fontId="15" type="noConversion"/>
  </si>
  <si>
    <t>시흥시 찾아가는 이동미술관 사업비</t>
    <phoneticPr fontId="15" type="noConversion"/>
  </si>
  <si>
    <t>o &lt;시흥시 찾아가는 이동미술관&gt; 협약이 11월 4일 이루어진 시흥시 공기관대행사업비로 작품제작 및 설치에 따른 사업비 이월
 - 연장기간 : 2016.11.14(협약일) ~ 2017. 02.28 
 - 내용: 시흥시 찾아가는 이동미술관 버스에 전시와 관련된 작품제작
 - 내역: 지급수수료 15,300천원, 지급용역료 103,500천원, 소모품비 700천원,
         여비교통비 500천원, 회의운영비 500천원</t>
    <phoneticPr fontId="15" type="noConversion"/>
  </si>
  <si>
    <t>금액정정</t>
    <phoneticPr fontId="15" type="noConversion"/>
  </si>
  <si>
    <t>뮤지엄
본부</t>
    <phoneticPr fontId="15" type="noConversion"/>
  </si>
  <si>
    <t>백남준
아트센터</t>
    <phoneticPr fontId="15" type="noConversion"/>
  </si>
  <si>
    <t>벡남준아트센터 소계</t>
    <phoneticPr fontId="15" type="noConversion"/>
  </si>
  <si>
    <t>백남준 학술연구</t>
    <phoneticPr fontId="15" type="noConversion"/>
  </si>
  <si>
    <t>학술지 출간</t>
    <phoneticPr fontId="15" type="noConversion"/>
  </si>
  <si>
    <t>교육 프로그램 단행본 제작</t>
    <phoneticPr fontId="15" type="noConversion"/>
  </si>
  <si>
    <t xml:space="preserve">o 2016 교육 프로그램 단행본 제작
 - 연장기간 : 2017년 1월말 완료 예정( 사업계획안 결재 시 사업기간 명기)
 - 사유 : 2016년 12월 말까지 프로그램 운영 
 - 내역: 도서인쇄비 3,000천원, 통신비 500천원 </t>
    <phoneticPr fontId="15" type="noConversion"/>
  </si>
  <si>
    <t>백남준아트센터
전시 운영</t>
    <phoneticPr fontId="15" type="noConversion"/>
  </si>
  <si>
    <t>백남준전</t>
    <phoneticPr fontId="15" type="noConversion"/>
  </si>
  <si>
    <t>백남준전 전시 운영 및 해체</t>
    <phoneticPr fontId="15" type="noConversion"/>
  </si>
  <si>
    <t>o 백남준전 &lt;점-선-면-TV&gt; 전시 운영 및 해체
 - 연장기간 : 2017년 3월까지
 - 사유 : 전시기간(2016년 7월 ~ 2017년 2월)에 맞춘 사업진행 필요
 - 내역 : 지급용역료 3,400천원, 지급임차료 565천원</t>
    <phoneticPr fontId="15" type="noConversion"/>
  </si>
  <si>
    <t>기획전</t>
    <phoneticPr fontId="15" type="noConversion"/>
  </si>
  <si>
    <t>기획전 &lt;뉴 게임플레이&gt; 전시 운영, 전시연계 교육 및 워크숍 운영, 전시 해체</t>
    <phoneticPr fontId="15" type="noConversion"/>
  </si>
  <si>
    <t>o 기획전 &lt;뉴 게임플레이&gt; 전시 및 전시연계 교육 운영 및 해체
 - 연장기간 : 2017년 3월까지
 - 사유 : 전시기간(2016년 7월 ~ 2017년 2월)에 맞춘 사업진행 필요
 - 내역 : 인건비 1,900천원, 도서인쇄비 23,200천원, 소모품비 3,240천원, 여비교통비 4,500천원,
            지급수수료 7,200천원, 지급용역료 61,500천원, 지급임차료 6,100천원, 통신비 2,000천원,
            행사운영비 2,500천원, 회의운영비 900천원</t>
    <phoneticPr fontId="15" type="noConversion"/>
  </si>
  <si>
    <t>예산내역
변동</t>
    <phoneticPr fontId="15" type="noConversion"/>
  </si>
  <si>
    <t>백남준아트센터 
국제예술상</t>
    <phoneticPr fontId="15" type="noConversion"/>
  </si>
  <si>
    <t>수상자 시상식 진행</t>
    <phoneticPr fontId="15" type="noConversion"/>
  </si>
  <si>
    <t xml:space="preserve"> o 국제예술상 시상식 개최
 - 연장기간 : 2017년 3월까지
 - 사유 : 국제예술상 시상식 (2017년 2월) 일정에 맞춘 사업진행 필요
 - 내역 : 여비교통비 3,200천원, 지급수수료 61,000천원, 지급용역료 3,000천원, 행사운영비 400천원,
           회의운영비 880천원</t>
    <phoneticPr fontId="15" type="noConversion"/>
  </si>
  <si>
    <t>NJP 링크 프로젝트</t>
    <phoneticPr fontId="15" type="noConversion"/>
  </si>
  <si>
    <t>지급용역료</t>
    <phoneticPr fontId="15" type="noConversion"/>
  </si>
  <si>
    <t>&lt;간송과 백남준의 만남&gt;전 보안 용역비 및 작품 반송비 등</t>
    <phoneticPr fontId="15" type="noConversion"/>
  </si>
  <si>
    <t>o &lt;간송과 백남준의 만남&gt;전 진행을 위한 명시이월
 - 사유 : &lt;간송과 백남준의 만남&gt;전이 2017년 2월 5일 종료예정이나, 사업비 대부분이 메세나 지역매칭펀드예산으로 2016년 내 집행을 완료해야하기 때문에 2017년 1, 2월 운영비와 작품 반송비 등으로 확보한 자체예산은 명시이월이 필요함
 - 연장기간 : 2016.12월 → 2017.2월(2개월 연장)
 - 내역 : 지급용역료 6,400천원</t>
    <phoneticPr fontId="15" type="noConversion"/>
  </si>
  <si>
    <t>실학
박물관</t>
    <phoneticPr fontId="15" type="noConversion"/>
  </si>
  <si>
    <t>실학박물관 소계</t>
    <phoneticPr fontId="15" type="noConversion"/>
  </si>
  <si>
    <t>관람환경개선</t>
    <phoneticPr fontId="15" type="noConversion"/>
  </si>
  <si>
    <t>실학연수원건립
타당성조사</t>
    <phoneticPr fontId="15" type="noConversion"/>
  </si>
  <si>
    <t>o  용역사업 종료일이 2017년임에 따라 명시이월
 - 실학연수원 건립 부지 및 주변의 중첩된 규제로 건립 후 교육적 활용성 문제 제기
   문제 해결을 위한 방안으로 박물관 및 역사유적과 주변 공원을 적극 활용하는 교육체험콘텐츠 개발
 - 연장기간 : 2016년 12월 ~ 2017년 2월
 - 내역 : 지급용역료 20,000천원</t>
    <phoneticPr fontId="15" type="noConversion"/>
  </si>
  <si>
    <t>실학학술연구</t>
    <phoneticPr fontId="15" type="noConversion"/>
  </si>
  <si>
    <t>실학총서발간</t>
    <phoneticPr fontId="15" type="noConversion"/>
  </si>
  <si>
    <t>도서인쇄비</t>
    <phoneticPr fontId="15" type="noConversion"/>
  </si>
  <si>
    <t>실학연구총서 간행</t>
    <phoneticPr fontId="15" type="noConversion"/>
  </si>
  <si>
    <t>o 실학연구총서 발간이 2017년임에 따라 명시이월
 - 신 자료 발굴로 인한 집필자의 추가 집필 요청으로 총서 발간 17년 상반기 간행 예정 
 - 연장기간 : 2016년 12월 ~ 2017년 5월
 - 내역 : 도서인쇄비 12,000천원</t>
    <phoneticPr fontId="15" type="noConversion"/>
  </si>
  <si>
    <t>기간정정</t>
    <phoneticPr fontId="15" type="noConversion"/>
  </si>
  <si>
    <t>전곡선사박물관</t>
    <phoneticPr fontId="15" type="noConversion"/>
  </si>
  <si>
    <t>전곡선사박물관 소계</t>
    <phoneticPr fontId="15" type="noConversion"/>
  </si>
  <si>
    <t>야외체험동조성</t>
    <phoneticPr fontId="15" type="noConversion"/>
  </si>
  <si>
    <t>야외 교육체험동 조성공사 비용</t>
    <phoneticPr fontId="15" type="noConversion"/>
  </si>
  <si>
    <t>o 설계완료 후 2016년 12월 건축허가 진행
 - 건축허가 이후 동절기 습식공사로 인해 명시이월
 - 연장기간 : 2016년 7월 ~ 2017년 6월
 - 내역 : 지급용역료 234,600천원</t>
    <phoneticPr fontId="15" type="noConversion"/>
  </si>
  <si>
    <t>지급용역료</t>
    <phoneticPr fontId="15" type="noConversion"/>
  </si>
  <si>
    <t>여비교통비</t>
    <phoneticPr fontId="15" type="noConversion"/>
  </si>
  <si>
    <t>지급수수료</t>
    <phoneticPr fontId="15" type="noConversion"/>
  </si>
  <si>
    <t>통신비</t>
    <phoneticPr fontId="15" type="noConversion"/>
  </si>
  <si>
    <t>행사운영비</t>
    <phoneticPr fontId="15" type="noConversion"/>
  </si>
  <si>
    <t>회의운영비</t>
    <phoneticPr fontId="15" type="noConversion"/>
  </si>
  <si>
    <t>구)경기도청사(근대문화유산) 영상기록제작사업</t>
    <phoneticPr fontId="15" type="noConversion"/>
  </si>
  <si>
    <t xml:space="preserve">  - 경기문화재연구원 구)경기도청사 영상기록제작 사업 (경기도)</t>
    <phoneticPr fontId="15" type="noConversion"/>
  </si>
  <si>
    <t xml:space="preserve"> 경기 문화인력 키움 프로젝트</t>
    <phoneticPr fontId="15" type="noConversion"/>
  </si>
  <si>
    <t xml:space="preserve"> 작은도서관 운영활성화 지원</t>
    <phoneticPr fontId="15" type="noConversion"/>
  </si>
  <si>
    <t xml:space="preserve">  - 백남준아트센터 작은도서관 운영활성화 지원 (용인시)</t>
    <phoneticPr fontId="15" type="noConversion"/>
  </si>
  <si>
    <t>임진각생태탐방로 전시콘텐츠 사업</t>
    <phoneticPr fontId="27" type="noConversion"/>
  </si>
  <si>
    <t xml:space="preserve">  - 경기도미술관 임진각생태탐방로 전시콘텐츠 사업 (경기관광공사)</t>
    <phoneticPr fontId="15" type="noConversion"/>
  </si>
  <si>
    <t>북한산성 보존정비 사업</t>
    <phoneticPr fontId="15" type="noConversion"/>
  </si>
  <si>
    <t xml:space="preserve">  - 경기문화재연구원 북한산성 보존정비사업 (고양시)</t>
    <phoneticPr fontId="15" type="noConversion"/>
  </si>
  <si>
    <t>구)경기도청사(근대문화유산) 영상 기록 제작”사업</t>
    <phoneticPr fontId="15" type="noConversion"/>
  </si>
  <si>
    <t>지급수수료</t>
    <phoneticPr fontId="14" type="noConversion"/>
  </si>
  <si>
    <t>명 *</t>
    <phoneticPr fontId="15" type="noConversion"/>
  </si>
  <si>
    <t>회</t>
    <phoneticPr fontId="15" type="noConversion"/>
  </si>
  <si>
    <t>식 *</t>
    <phoneticPr fontId="15" type="noConversion"/>
  </si>
  <si>
    <t>건</t>
    <phoneticPr fontId="15" type="noConversion"/>
  </si>
  <si>
    <t>인</t>
    <phoneticPr fontId="15" type="noConversion"/>
  </si>
  <si>
    <t>지급용역료</t>
    <phoneticPr fontId="15" type="noConversion"/>
  </si>
  <si>
    <t>도서인쇄비</t>
    <phoneticPr fontId="15" type="noConversion"/>
  </si>
  <si>
    <t>권 *</t>
    <phoneticPr fontId="15" type="noConversion"/>
  </si>
  <si>
    <t>회의운영비</t>
    <phoneticPr fontId="15" type="noConversion"/>
  </si>
  <si>
    <t>회 *</t>
    <phoneticPr fontId="15" type="noConversion"/>
  </si>
  <si>
    <t>여비교통비</t>
    <phoneticPr fontId="15" type="noConversion"/>
  </si>
  <si>
    <t>인 *</t>
    <phoneticPr fontId="15" type="noConversion"/>
  </si>
  <si>
    <t xml:space="preserve">   2. 물리탐사 등 지반조사</t>
    <phoneticPr fontId="15" type="noConversion"/>
  </si>
  <si>
    <t xml:space="preserve">   1. 자문수당</t>
    <phoneticPr fontId="15" type="noConversion"/>
  </si>
  <si>
    <t xml:space="preserve">   2. 자료 이용 관련 저작권료</t>
    <phoneticPr fontId="15" type="noConversion"/>
  </si>
  <si>
    <t xml:space="preserve">   3. 시나리오 집필료 혹은 나레이션 비용</t>
    <phoneticPr fontId="15" type="noConversion"/>
  </si>
  <si>
    <t xml:space="preserve">   1. 경기감영 연지 유구 등 디지털 데이터</t>
    <phoneticPr fontId="15" type="noConversion"/>
  </si>
  <si>
    <t xml:space="preserve">   2. 관사 자료 실사 영상 촬영 및 편집</t>
    <phoneticPr fontId="15" type="noConversion"/>
  </si>
  <si>
    <t xml:space="preserve"> o 보고서 인쇄</t>
    <phoneticPr fontId="15" type="noConversion"/>
  </si>
  <si>
    <t xml:space="preserve"> o 각종 회의운영</t>
    <phoneticPr fontId="15" type="noConversion"/>
  </si>
  <si>
    <t>백남준 라이브러리 운영</t>
    <phoneticPr fontId="15" type="noConversion"/>
  </si>
  <si>
    <t>작은도서관 운영활성화 지원</t>
    <phoneticPr fontId="15" type="noConversion"/>
  </si>
  <si>
    <t>자료구입비</t>
    <phoneticPr fontId="15" type="noConversion"/>
  </si>
  <si>
    <t xml:space="preserve"> o 국내외 도서 구입</t>
    <phoneticPr fontId="15" type="noConversion"/>
  </si>
  <si>
    <t>권</t>
    <phoneticPr fontId="15" type="noConversion"/>
  </si>
  <si>
    <t>경기 문화인력 키움프로젝트</t>
    <phoneticPr fontId="15" type="noConversion"/>
  </si>
  <si>
    <t>지역문화전문인력 양성기관 지정지원 사업</t>
    <phoneticPr fontId="15" type="noConversion"/>
  </si>
  <si>
    <t xml:space="preserve">  - 문화예술본부 지역문화팀 지역문화전문인력 양성기관 지정지원 사업 (한국문화관광연구원)</t>
    <phoneticPr fontId="15" type="noConversion"/>
  </si>
  <si>
    <t>임진각생태탐방로 전시콘텐츠</t>
    <phoneticPr fontId="15" type="noConversion"/>
  </si>
  <si>
    <t>2017북한산성보존정비사업</t>
    <phoneticPr fontId="15" type="noConversion"/>
  </si>
  <si>
    <t>2017북한산성 보존정비사업</t>
    <phoneticPr fontId="15" type="noConversion"/>
  </si>
  <si>
    <t>행궁5차발굴</t>
    <phoneticPr fontId="15" type="noConversion"/>
  </si>
  <si>
    <t>성곽보수3차</t>
    <phoneticPr fontId="15" type="noConversion"/>
  </si>
  <si>
    <t>행궁지정비3차</t>
    <phoneticPr fontId="15" type="noConversion"/>
  </si>
  <si>
    <t>행궁발굴5차</t>
    <phoneticPr fontId="15" type="noConversion"/>
  </si>
  <si>
    <t>성곽보수(3차)</t>
    <phoneticPr fontId="15" type="noConversion"/>
  </si>
  <si>
    <t>행궁지정비(3차)</t>
    <phoneticPr fontId="15" type="noConversion"/>
  </si>
  <si>
    <t>도서인쇄비</t>
    <phoneticPr fontId="15" type="noConversion"/>
  </si>
  <si>
    <t xml:space="preserve"> o 계</t>
    <phoneticPr fontId="15" type="noConversion"/>
  </si>
  <si>
    <t xml:space="preserve">   1. 교육자료 제작</t>
    <phoneticPr fontId="15" type="noConversion"/>
  </si>
  <si>
    <t>종*</t>
    <phoneticPr fontId="15" type="noConversion"/>
  </si>
  <si>
    <t>식</t>
    <phoneticPr fontId="15" type="noConversion"/>
  </si>
  <si>
    <t xml:space="preserve">   2. 결과자료집 제작</t>
    <phoneticPr fontId="15" type="noConversion"/>
  </si>
  <si>
    <t xml:space="preserve">   3. 인쇄홍보물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</si>
  <si>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</si>
  <si>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</si>
  <si>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</si>
  <si>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소모품비</t>
    <phoneticPr fontId="15" type="noConversion"/>
  </si>
  <si>
    <t xml:space="preserve"> o 옥외광고물(배너)</t>
    <phoneticPr fontId="15" type="noConversion"/>
  </si>
  <si>
    <t xml:space="preserve"> o 교류 네트워크 현장방문</t>
    <phoneticPr fontId="15" type="noConversion"/>
  </si>
  <si>
    <t>명*</t>
    <phoneticPr fontId="15" type="noConversion"/>
  </si>
  <si>
    <t>지급수수료</t>
    <phoneticPr fontId="15" type="noConversion"/>
  </si>
  <si>
    <t xml:space="preserve">   1. 총괄멘토 자문비</t>
    <phoneticPr fontId="15" type="noConversion"/>
  </si>
  <si>
    <t xml:space="preserve">   2. 특강강사 강사비</t>
    <phoneticPr fontId="15" type="noConversion"/>
  </si>
  <si>
    <t xml:space="preserve">   3. 보조강사비</t>
    <phoneticPr fontId="15" type="noConversion"/>
  </si>
  <si>
    <t xml:space="preserve">   4. 코디네이터</t>
    <phoneticPr fontId="15" type="noConversion"/>
  </si>
  <si>
    <t>개월</t>
    <phoneticPr fontId="15" type="noConversion"/>
  </si>
  <si>
    <t>지급용역료</t>
    <phoneticPr fontId="15" type="noConversion"/>
  </si>
  <si>
    <t xml:space="preserve"> o 영상편집비</t>
    <phoneticPr fontId="15" type="noConversion"/>
  </si>
  <si>
    <t>지급임차료</t>
    <phoneticPr fontId="15" type="noConversion"/>
  </si>
  <si>
    <t xml:space="preserve"> o 버스임차비</t>
    <phoneticPr fontId="15" type="noConversion"/>
  </si>
  <si>
    <t>지원비</t>
    <phoneticPr fontId="15" type="noConversion"/>
  </si>
  <si>
    <t xml:space="preserve"> o 부천, 성남문화재단 지원비</t>
    <phoneticPr fontId="15" type="noConversion"/>
  </si>
  <si>
    <t>처*</t>
    <phoneticPr fontId="15" type="noConversion"/>
  </si>
  <si>
    <t>행사운영비</t>
    <phoneticPr fontId="15" type="noConversion"/>
  </si>
  <si>
    <t xml:space="preserve">   1. 네트워킹 행사</t>
    <phoneticPr fontId="15" type="noConversion"/>
  </si>
  <si>
    <t xml:space="preserve">   2. 중간 워크숍</t>
    <phoneticPr fontId="15" type="noConversion"/>
  </si>
  <si>
    <t xml:space="preserve">   3. 교육진행</t>
    <phoneticPr fontId="15" type="noConversion"/>
  </si>
  <si>
    <t>회의운영비</t>
    <phoneticPr fontId="15" type="noConversion"/>
  </si>
  <si>
    <t xml:space="preserve"> o 회의운영</t>
    <phoneticPr fontId="15" type="noConversion"/>
  </si>
  <si>
    <t xml:space="preserve"> o 사업 폐지</t>
    <phoneticPr fontId="15" type="noConversion"/>
  </si>
  <si>
    <t>인건비</t>
    <phoneticPr fontId="15" type="noConversion"/>
  </si>
  <si>
    <t>회</t>
    <phoneticPr fontId="21" type="noConversion"/>
  </si>
  <si>
    <t>여비교통비</t>
    <phoneticPr fontId="27" type="noConversion"/>
  </si>
  <si>
    <t>지급임차료</t>
    <phoneticPr fontId="27" type="noConversion"/>
  </si>
  <si>
    <t>홍보물구입비</t>
    <phoneticPr fontId="15" type="noConversion"/>
  </si>
  <si>
    <t xml:space="preserve"> o 우편발송 및 SMS 구입 등</t>
  </si>
  <si>
    <t xml:space="preserve"> o 사무용 소모품 구입 등</t>
    <phoneticPr fontId="15" type="noConversion"/>
  </si>
  <si>
    <t xml:space="preserve"> o 자문회의비</t>
    <phoneticPr fontId="15" type="noConversion"/>
  </si>
  <si>
    <t xml:space="preserve"> o 슬로건 및 엠블럼 디자인 제작</t>
    <phoneticPr fontId="15" type="noConversion"/>
  </si>
  <si>
    <t xml:space="preserve"> o 설명회 등</t>
    <phoneticPr fontId="15" type="noConversion"/>
  </si>
  <si>
    <t xml:space="preserve"> o 국내여비</t>
    <phoneticPr fontId="15" type="noConversion"/>
  </si>
  <si>
    <t xml:space="preserve"> o 교육교사</t>
    <phoneticPr fontId="15" type="noConversion"/>
  </si>
  <si>
    <t>도서인쇄비</t>
    <phoneticPr fontId="15" type="noConversion"/>
  </si>
  <si>
    <t xml:space="preserve"> o 홍보물 제작</t>
    <phoneticPr fontId="15" type="noConversion"/>
  </si>
  <si>
    <t>회*</t>
    <phoneticPr fontId="15" type="noConversion"/>
  </si>
  <si>
    <t>식</t>
    <phoneticPr fontId="15" type="noConversion"/>
  </si>
  <si>
    <t xml:space="preserve"> o 계</t>
    <phoneticPr fontId="15" type="noConversion"/>
  </si>
  <si>
    <t xml:space="preserve">   1. 교육재료구입 및 물품 구입(가족)</t>
    <phoneticPr fontId="15" type="noConversion"/>
  </si>
  <si>
    <t>종*</t>
    <phoneticPr fontId="15" type="noConversion"/>
  </si>
  <si>
    <t xml:space="preserve">   2. 교육재료구입 및 물품 구입(영아)</t>
    <phoneticPr fontId="15" type="noConversion"/>
  </si>
  <si>
    <t xml:space="preserve">   3. 기본 재료 구입</t>
    <phoneticPr fontId="15" type="noConversion"/>
  </si>
  <si>
    <t xml:space="preserve"> =</t>
    <phoneticPr fontId="15" type="noConversion"/>
  </si>
  <si>
    <t xml:space="preserve"> o 국내여비</t>
    <phoneticPr fontId="15" type="noConversion"/>
  </si>
  <si>
    <t xml:space="preserve">   1 .주말가족프로그램주강사</t>
    <phoneticPr fontId="15" type="noConversion"/>
  </si>
  <si>
    <t xml:space="preserve">   2. 주말가족프로그램보조강사</t>
    <phoneticPr fontId="15" type="noConversion"/>
  </si>
  <si>
    <t xml:space="preserve">   3. 영아프로그램주강사</t>
    <phoneticPr fontId="15" type="noConversion"/>
  </si>
  <si>
    <t xml:space="preserve">   4. 영아프로그램보조강사</t>
    <phoneticPr fontId="15" type="noConversion"/>
  </si>
  <si>
    <t>명*</t>
    <phoneticPr fontId="15" type="noConversion"/>
  </si>
  <si>
    <t>원*</t>
    <phoneticPr fontId="15" type="noConversion"/>
  </si>
  <si>
    <t>회</t>
    <phoneticPr fontId="15" type="noConversion"/>
  </si>
  <si>
    <t xml:space="preserve">   5. 특별프로그램주강사</t>
    <phoneticPr fontId="15" type="noConversion"/>
  </si>
  <si>
    <t xml:space="preserve">   6. 특별프로그램보조강사</t>
    <phoneticPr fontId="15" type="noConversion"/>
  </si>
  <si>
    <t xml:space="preserve"> o 특별프로그램 운영</t>
    <phoneticPr fontId="15" type="noConversion"/>
  </si>
  <si>
    <t>식*</t>
    <phoneticPr fontId="15" type="noConversion"/>
  </si>
  <si>
    <t xml:space="preserve"> o 운영 자문회의비 </t>
    <phoneticPr fontId="15" type="noConversion"/>
  </si>
  <si>
    <t xml:space="preserve"> o 사업 이관 (미디어마케팅팀 -&gt; 정책실)</t>
    <phoneticPr fontId="15" type="noConversion"/>
  </si>
  <si>
    <t>=</t>
    <phoneticPr fontId="15" type="noConversion"/>
  </si>
  <si>
    <t xml:space="preserve">  - 정책실 경기도 문화영향평가 (경기도)</t>
    <phoneticPr fontId="15" type="noConversion"/>
  </si>
  <si>
    <t xml:space="preserve"> o 사업이관 (기획조정팀 -&gt; 정책실)</t>
    <phoneticPr fontId="15" type="noConversion"/>
  </si>
  <si>
    <t xml:space="preserve"> o 사업이관 (기획조정팀 -&gt; 정책실)</t>
    <phoneticPr fontId="15" type="noConversion"/>
  </si>
  <si>
    <t>교육콘텐츠 제작</t>
    <phoneticPr fontId="15" type="noConversion"/>
  </si>
  <si>
    <t xml:space="preserve"> o 프로젝트 도록 및 홍보물 제작</t>
    <phoneticPr fontId="15" type="noConversion"/>
  </si>
  <si>
    <t xml:space="preserve">   1. 해외작가 초청 및 국외업무출장</t>
    <phoneticPr fontId="15" type="noConversion"/>
  </si>
  <si>
    <t xml:space="preserve">   1. 작품제작, 작가 창작지원금</t>
    <phoneticPr fontId="15" type="noConversion"/>
  </si>
  <si>
    <t xml:space="preserve">   2. 작품제작 재료 지원금</t>
    <phoneticPr fontId="15" type="noConversion"/>
  </si>
  <si>
    <t xml:space="preserve">   3. 프로젝트 자료 및 아카이브 영상촬영 및 편집</t>
    <phoneticPr fontId="15" type="noConversion"/>
  </si>
  <si>
    <t xml:space="preserve">   4. 작품 홍보 사인물 제작 및 설치</t>
    <phoneticPr fontId="15" type="noConversion"/>
  </si>
  <si>
    <t xml:space="preserve">   5. 작품운송 및 설치</t>
    <phoneticPr fontId="15" type="noConversion"/>
  </si>
  <si>
    <t xml:space="preserve">   6. 작품설치장소 기초공사</t>
    <phoneticPr fontId="15" type="noConversion"/>
  </si>
  <si>
    <t xml:space="preserve">   1. 기획수수료</t>
    <phoneticPr fontId="15" type="noConversion"/>
  </si>
  <si>
    <t xml:space="preserve">   2. 작가선정위원회 수당</t>
    <phoneticPr fontId="15" type="noConversion"/>
  </si>
  <si>
    <t xml:space="preserve">   3. 전시원고 번역 (한글-영문)</t>
    <phoneticPr fontId="15" type="noConversion"/>
  </si>
  <si>
    <t xml:space="preserve">   4. 프로젝트 외부 집필 원고료</t>
    <phoneticPr fontId="15" type="noConversion"/>
  </si>
  <si>
    <t xml:space="preserve">   1. 상반기(생활임금+4대보험)</t>
    <phoneticPr fontId="15" type="noConversion"/>
  </si>
  <si>
    <t>명*</t>
    <phoneticPr fontId="15" type="noConversion"/>
  </si>
  <si>
    <t>원*</t>
    <phoneticPr fontId="15" type="noConversion"/>
  </si>
  <si>
    <t>월</t>
    <phoneticPr fontId="15" type="noConversion"/>
  </si>
  <si>
    <t>=</t>
    <phoneticPr fontId="15" type="noConversion"/>
  </si>
  <si>
    <t xml:space="preserve">   2. 하반기(생활임금+4대보험)</t>
    <phoneticPr fontId="15" type="noConversion"/>
  </si>
  <si>
    <t>경기 문화예술 온라인 서비스 기반구축 사업</t>
    <phoneticPr fontId="20" type="noConversion"/>
  </si>
  <si>
    <t xml:space="preserve"> o 심사료</t>
    <phoneticPr fontId="15" type="noConversion"/>
  </si>
  <si>
    <t xml:space="preserve"> o 소모품비</t>
    <phoneticPr fontId="15" type="noConversion"/>
  </si>
  <si>
    <t xml:space="preserve"> o 애니메이션 제작 용역</t>
    <phoneticPr fontId="15" type="noConversion"/>
  </si>
  <si>
    <t xml:space="preserve">   1. 심사 수당</t>
    <phoneticPr fontId="15" type="noConversion"/>
  </si>
  <si>
    <t xml:space="preserve">   2. 자문회의</t>
    <phoneticPr fontId="15" type="noConversion"/>
  </si>
  <si>
    <t xml:space="preserve"> o 사업관련 회의개최</t>
    <phoneticPr fontId="15" type="noConversion"/>
  </si>
  <si>
    <t>회</t>
    <phoneticPr fontId="15" type="noConversion"/>
  </si>
  <si>
    <t>지급용역료</t>
    <phoneticPr fontId="15" type="noConversion"/>
  </si>
  <si>
    <t xml:space="preserve">   1. 독서의 달 표어 및 포스터 심사</t>
    <phoneticPr fontId="15" type="noConversion"/>
  </si>
  <si>
    <t xml:space="preserve">   1. 도서관대회 홍보부스 제작</t>
    <phoneticPr fontId="15" type="noConversion"/>
  </si>
  <si>
    <t xml:space="preserve">   2. 홍보물 제작</t>
    <phoneticPr fontId="15" type="noConversion"/>
  </si>
  <si>
    <t xml:space="preserve">   3. CI제작</t>
    <phoneticPr fontId="15" type="noConversion"/>
  </si>
  <si>
    <t xml:space="preserve">   4. 지주간판 보수</t>
    <phoneticPr fontId="15" type="noConversion"/>
  </si>
  <si>
    <t xml:space="preserve"> o 빔프로젝터 구입</t>
    <phoneticPr fontId="15" type="noConversion"/>
  </si>
  <si>
    <t>식</t>
    <phoneticPr fontId="15" type="noConversion"/>
  </si>
  <si>
    <t xml:space="preserve"> o 행사차량임차</t>
    <phoneticPr fontId="15" type="noConversion"/>
  </si>
  <si>
    <t xml:space="preserve">   1. 전시 카달로그제작</t>
    <phoneticPr fontId="15" type="noConversion"/>
  </si>
  <si>
    <t>원*</t>
    <phoneticPr fontId="15" type="noConversion"/>
  </si>
  <si>
    <t xml:space="preserve">   2. 전시 포스터, 리플렛, 초대장 등</t>
    <phoneticPr fontId="15" type="noConversion"/>
  </si>
  <si>
    <t>소모품비</t>
    <phoneticPr fontId="15" type="noConversion"/>
  </si>
  <si>
    <t>여비교통비</t>
    <phoneticPr fontId="15" type="noConversion"/>
  </si>
  <si>
    <t>지급수수료</t>
    <phoneticPr fontId="15" type="noConversion"/>
  </si>
  <si>
    <t xml:space="preserve">   2. 카달로그 원고료 및 번역료</t>
    <phoneticPr fontId="15" type="noConversion"/>
  </si>
  <si>
    <t xml:space="preserve">   3. 작가사례비 및 자료출품 수수료</t>
    <phoneticPr fontId="15" type="noConversion"/>
  </si>
  <si>
    <t>식*</t>
    <phoneticPr fontId="15" type="noConversion"/>
  </si>
  <si>
    <t xml:space="preserve">   3. 작품 설치 및 조명</t>
    <phoneticPr fontId="15" type="noConversion"/>
  </si>
  <si>
    <t xml:space="preserve">   4. 작품 포장 및 운송</t>
    <phoneticPr fontId="15" type="noConversion"/>
  </si>
  <si>
    <t xml:space="preserve">   5. 사진 및 영상촬영, 영상편집 </t>
    <phoneticPr fontId="15" type="noConversion"/>
  </si>
  <si>
    <t xml:space="preserve">   6. 문화상품 개발</t>
    <phoneticPr fontId="15" type="noConversion"/>
  </si>
  <si>
    <t xml:space="preserve"> o 차량, 음향,영상기기등 임차</t>
    <phoneticPr fontId="15" type="noConversion"/>
  </si>
  <si>
    <t>명*</t>
    <phoneticPr fontId="15" type="noConversion"/>
  </si>
  <si>
    <t>=</t>
    <phoneticPr fontId="15" type="noConversion"/>
  </si>
  <si>
    <t xml:space="preserve"> </t>
    <phoneticPr fontId="15" type="noConversion"/>
  </si>
  <si>
    <t>통신비</t>
    <phoneticPr fontId="15" type="noConversion"/>
  </si>
  <si>
    <t>회</t>
    <phoneticPr fontId="15" type="noConversion"/>
  </si>
  <si>
    <t>도서인쇄비</t>
    <phoneticPr fontId="15" type="noConversion"/>
  </si>
  <si>
    <t xml:space="preserve">   2. 안내리플렛</t>
  </si>
  <si>
    <t xml:space="preserve">   </t>
  </si>
  <si>
    <t xml:space="preserve">   1. 발표자 강사비</t>
    <phoneticPr fontId="15" type="noConversion"/>
  </si>
  <si>
    <t xml:space="preserve">   2. 번역료(한영)</t>
  </si>
  <si>
    <t>지급용역료</t>
    <phoneticPr fontId="15" type="noConversion"/>
  </si>
  <si>
    <t xml:space="preserve">   1. 행사 식음료비</t>
    <phoneticPr fontId="15" type="noConversion"/>
  </si>
  <si>
    <t xml:space="preserve">   2. 홍보물비</t>
    <phoneticPr fontId="15" type="noConversion"/>
  </si>
  <si>
    <t>개</t>
    <phoneticPr fontId="15" type="noConversion"/>
  </si>
  <si>
    <t xml:space="preserve">   3. 대관료</t>
    <phoneticPr fontId="15" type="noConversion"/>
  </si>
  <si>
    <t>관</t>
    <phoneticPr fontId="15" type="noConversion"/>
  </si>
  <si>
    <t xml:space="preserve"> o 계</t>
    <phoneticPr fontId="15" type="noConversion"/>
  </si>
  <si>
    <t xml:space="preserve">   1.뮤지엄정책개발 자문위원회</t>
    <phoneticPr fontId="15" type="noConversion"/>
  </si>
  <si>
    <t>인*</t>
    <phoneticPr fontId="15" type="noConversion"/>
  </si>
  <si>
    <t xml:space="preserve"> o 전시 운영 보조인력</t>
  </si>
  <si>
    <t>인건비</t>
    <phoneticPr fontId="15" type="noConversion"/>
  </si>
  <si>
    <t xml:space="preserve">   1. 홍보인력운영</t>
    <phoneticPr fontId="15" type="noConversion"/>
  </si>
  <si>
    <t>월</t>
    <phoneticPr fontId="15" type="noConversion"/>
  </si>
  <si>
    <t xml:space="preserve">   2. 홍보인력 퇴직급여 등</t>
    <phoneticPr fontId="15" type="noConversion"/>
  </si>
  <si>
    <t>인</t>
    <phoneticPr fontId="15" type="noConversion"/>
  </si>
  <si>
    <t xml:space="preserve">   3. 홍보물 디자이너 운영</t>
    <phoneticPr fontId="15" type="noConversion"/>
  </si>
  <si>
    <t>광고선전비</t>
    <phoneticPr fontId="15" type="noConversion"/>
  </si>
  <si>
    <t xml:space="preserve"> </t>
    <phoneticPr fontId="14" type="noConversion"/>
  </si>
  <si>
    <t xml:space="preserve">   1. 국내온라인광고</t>
    <phoneticPr fontId="15" type="noConversion"/>
  </si>
  <si>
    <t xml:space="preserve">   2. 해외온라인 광고</t>
    <phoneticPr fontId="15" type="noConversion"/>
  </si>
  <si>
    <t>건</t>
    <phoneticPr fontId="15" type="noConversion"/>
  </si>
  <si>
    <t xml:space="preserve">   3. 옥외광고</t>
    <phoneticPr fontId="15" type="noConversion"/>
  </si>
  <si>
    <t xml:space="preserve">   1. 기관 홍보 리플렛 제작</t>
    <phoneticPr fontId="15" type="noConversion"/>
  </si>
  <si>
    <t>부*</t>
    <phoneticPr fontId="15" type="noConversion"/>
  </si>
  <si>
    <t xml:space="preserve">   2. 행사전단지제작</t>
    <phoneticPr fontId="15" type="noConversion"/>
  </si>
  <si>
    <t xml:space="preserve"> o 홍보관련물품</t>
    <phoneticPr fontId="15" type="noConversion"/>
  </si>
  <si>
    <t xml:space="preserve"> o 국내출장비</t>
    <phoneticPr fontId="15" type="noConversion"/>
  </si>
  <si>
    <t>지급임차료</t>
    <phoneticPr fontId="15" type="noConversion"/>
  </si>
  <si>
    <t xml:space="preserve"> o 기자 간담회용 버스 임차</t>
    <phoneticPr fontId="15" type="noConversion"/>
  </si>
  <si>
    <t>1</t>
    <phoneticPr fontId="15" type="noConversion"/>
  </si>
  <si>
    <t>대</t>
    <phoneticPr fontId="15" type="noConversion"/>
  </si>
  <si>
    <t xml:space="preserve"> o 홍보물 우편 발송</t>
    <phoneticPr fontId="15" type="noConversion"/>
  </si>
  <si>
    <t>건*</t>
    <phoneticPr fontId="15" type="noConversion"/>
  </si>
  <si>
    <t>행사운영비</t>
    <phoneticPr fontId="15" type="noConversion"/>
  </si>
  <si>
    <t xml:space="preserve"> o 기자간담회 개최</t>
    <phoneticPr fontId="15" type="noConversion"/>
  </si>
  <si>
    <t>회의운영비</t>
    <phoneticPr fontId="15" type="noConversion"/>
  </si>
  <si>
    <t xml:space="preserve"> o 홍보관련 회의 운영</t>
    <phoneticPr fontId="15" type="noConversion"/>
  </si>
  <si>
    <t xml:space="preserve">   1. 전시 포스터 및 리플렛</t>
    <phoneticPr fontId="15" type="noConversion"/>
  </si>
  <si>
    <t xml:space="preserve">   2. 창작페스티벌 홍보물 제작비</t>
    <phoneticPr fontId="15" type="noConversion"/>
  </si>
  <si>
    <t>명</t>
    <phoneticPr fontId="27" type="noConversion"/>
  </si>
  <si>
    <t xml:space="preserve">   2. 어드바이저 디렉팅 사례비</t>
    <phoneticPr fontId="15" type="noConversion"/>
  </si>
  <si>
    <t xml:space="preserve">   3. 어드바이저 원고비</t>
    <phoneticPr fontId="15" type="noConversion"/>
  </si>
  <si>
    <t>ㅇ계</t>
    <phoneticPr fontId="15" type="noConversion"/>
  </si>
  <si>
    <t xml:space="preserve">   1. 전시장 인테리어 공사</t>
    <phoneticPr fontId="15" type="noConversion"/>
  </si>
  <si>
    <t xml:space="preserve">   2. 전시 작품 설치물 제작 </t>
    <phoneticPr fontId="27" type="noConversion"/>
  </si>
  <si>
    <t xml:space="preserve">   3. 현수막 설치 및 시트지, 명제표 부착</t>
    <phoneticPr fontId="15" type="noConversion"/>
  </si>
  <si>
    <t xml:space="preserve">   4. 작품설치 및 해체비 </t>
    <phoneticPr fontId="15" type="noConversion"/>
  </si>
  <si>
    <t xml:space="preserve">   5. 창작페스티벌 공연수수료</t>
    <phoneticPr fontId="15" type="noConversion"/>
  </si>
  <si>
    <t xml:space="preserve">   1. 전시 운송 차량 임차</t>
    <phoneticPr fontId="15" type="noConversion"/>
  </si>
  <si>
    <t xml:space="preserve">   2. 오픈스튜디오 셔틀 임차</t>
    <phoneticPr fontId="15" type="noConversion"/>
  </si>
  <si>
    <t xml:space="preserve">   3. 미디어 장비 임차 </t>
    <phoneticPr fontId="15" type="noConversion"/>
  </si>
  <si>
    <t xml:space="preserve">   1. 경기도미술관 협력전 &lt;퀀텀점프&gt;</t>
    <phoneticPr fontId="15" type="noConversion"/>
  </si>
  <si>
    <t xml:space="preserve">   2. 창작 페스티벌 기획전</t>
    <phoneticPr fontId="15" type="noConversion"/>
  </si>
  <si>
    <t xml:space="preserve">   3. 아트프로젝트</t>
    <phoneticPr fontId="15" type="noConversion"/>
  </si>
  <si>
    <t xml:space="preserve">   1. 전시 개막행사</t>
    <phoneticPr fontId="15" type="noConversion"/>
  </si>
  <si>
    <t xml:space="preserve">   2. 외부 교류프로젝트 및 창작페스티벌 행사</t>
    <phoneticPr fontId="15" type="noConversion"/>
  </si>
  <si>
    <t>o 내부공모 심사위원회, 전시참여작가 간담회</t>
    <phoneticPr fontId="15" type="noConversion"/>
  </si>
  <si>
    <t>원*</t>
    <phoneticPr fontId="21" type="noConversion"/>
  </si>
  <si>
    <t>개월</t>
    <phoneticPr fontId="21" type="noConversion"/>
  </si>
  <si>
    <t>=</t>
    <phoneticPr fontId="21" type="noConversion"/>
  </si>
  <si>
    <t>도서인쇄비</t>
    <phoneticPr fontId="15" type="noConversion"/>
  </si>
  <si>
    <t>소모품비</t>
    <phoneticPr fontId="27" type="noConversion"/>
  </si>
  <si>
    <t xml:space="preserve"> o 계</t>
    <phoneticPr fontId="15" type="noConversion"/>
  </si>
  <si>
    <t>원*</t>
    <phoneticPr fontId="15" type="noConversion"/>
  </si>
  <si>
    <t>=</t>
    <phoneticPr fontId="15" type="noConversion"/>
  </si>
  <si>
    <t>명*</t>
    <phoneticPr fontId="27" type="noConversion"/>
  </si>
  <si>
    <t>회</t>
    <phoneticPr fontId="21" type="noConversion"/>
  </si>
  <si>
    <t>지급용역료</t>
    <phoneticPr fontId="15" type="noConversion"/>
  </si>
  <si>
    <t xml:space="preserve"> o 문화예술 기획사업 추진</t>
    <phoneticPr fontId="15" type="noConversion"/>
  </si>
  <si>
    <t>식*</t>
    <phoneticPr fontId="15" type="noConversion"/>
  </si>
  <si>
    <t>인건비</t>
    <phoneticPr fontId="14" type="noConversion"/>
  </si>
  <si>
    <t xml:space="preserve">   1. 뮤지엄샵 매니저</t>
    <phoneticPr fontId="14" type="noConversion"/>
  </si>
  <si>
    <t>명*</t>
    <phoneticPr fontId="14" type="noConversion"/>
  </si>
  <si>
    <t>월</t>
    <phoneticPr fontId="14" type="noConversion"/>
  </si>
  <si>
    <t xml:space="preserve">   2. 카페 바리스타</t>
    <phoneticPr fontId="14" type="noConversion"/>
  </si>
  <si>
    <r>
      <t xml:space="preserve">   3. 뮤지엄샵 </t>
    </r>
    <r>
      <rPr>
        <sz val="11"/>
        <color theme="1"/>
        <rFont val="돋움"/>
        <family val="3"/>
        <charset val="129"/>
      </rPr>
      <t>· 카페 판매보조원</t>
    </r>
    <phoneticPr fontId="14" type="noConversion"/>
  </si>
  <si>
    <r>
      <t xml:space="preserve">   4. 뮤지엄샵 </t>
    </r>
    <r>
      <rPr>
        <sz val="11"/>
        <color theme="1"/>
        <rFont val="돋움"/>
        <family val="3"/>
        <charset val="129"/>
      </rPr>
      <t>·</t>
    </r>
    <r>
      <rPr>
        <sz val="10.199999999999999"/>
        <color theme="1"/>
        <rFont val="돋움"/>
        <family val="3"/>
        <charset val="129"/>
      </rPr>
      <t xml:space="preserve"> </t>
    </r>
    <r>
      <rPr>
        <sz val="11"/>
        <color theme="1"/>
        <rFont val="돋움"/>
        <family val="3"/>
        <charset val="129"/>
      </rPr>
      <t>카페 파트타임</t>
    </r>
    <phoneticPr fontId="14" type="noConversion"/>
  </si>
  <si>
    <t xml:space="preserve">   5. 4대 보험</t>
    <phoneticPr fontId="15" type="noConversion"/>
  </si>
  <si>
    <t xml:space="preserve">   6. 퇴직금</t>
    <phoneticPr fontId="15" type="noConversion"/>
  </si>
  <si>
    <t>명</t>
    <phoneticPr fontId="15" type="noConversion"/>
  </si>
  <si>
    <t>세금과공과</t>
    <phoneticPr fontId="15" type="noConversion"/>
  </si>
  <si>
    <t>소모품비</t>
    <phoneticPr fontId="15" type="noConversion"/>
  </si>
  <si>
    <t>유지관리비</t>
    <phoneticPr fontId="15" type="noConversion"/>
  </si>
  <si>
    <t xml:space="preserve">   1. 장비보수 및 수리비</t>
    <phoneticPr fontId="14" type="noConversion"/>
  </si>
  <si>
    <t xml:space="preserve">   2. 포스관리비 등</t>
    <phoneticPr fontId="14" type="noConversion"/>
  </si>
  <si>
    <t xml:space="preserve"> o 뮤지엄샵 진열대 개선 </t>
    <phoneticPr fontId="15" type="noConversion"/>
  </si>
  <si>
    <t>식</t>
    <phoneticPr fontId="14" type="noConversion"/>
  </si>
  <si>
    <t>재료비</t>
    <phoneticPr fontId="15" type="noConversion"/>
  </si>
  <si>
    <t xml:space="preserve">   1. 카페테리아 재료구입</t>
    <phoneticPr fontId="14" type="noConversion"/>
  </si>
  <si>
    <t xml:space="preserve">   2. 뮤지엄샵 상품구입</t>
    <phoneticPr fontId="14" type="noConversion"/>
  </si>
  <si>
    <t xml:space="preserve">   3. 소모성물품구입</t>
    <phoneticPr fontId="15" type="noConversion"/>
  </si>
  <si>
    <t>부</t>
    <phoneticPr fontId="15" type="noConversion"/>
  </si>
  <si>
    <t>부</t>
    <phoneticPr fontId="21" type="noConversion"/>
  </si>
  <si>
    <t>종*</t>
    <phoneticPr fontId="27" type="noConversion"/>
  </si>
  <si>
    <t>개*</t>
    <phoneticPr fontId="27" type="noConversion"/>
  </si>
  <si>
    <t>회</t>
    <phoneticPr fontId="27" type="noConversion"/>
  </si>
  <si>
    <t>지급수수료</t>
    <phoneticPr fontId="15" type="noConversion"/>
  </si>
  <si>
    <t>건</t>
    <phoneticPr fontId="21" type="noConversion"/>
  </si>
  <si>
    <t>회의운영비</t>
    <phoneticPr fontId="27" type="noConversion"/>
  </si>
  <si>
    <t xml:space="preserve"> o 회의운영</t>
    <phoneticPr fontId="15" type="noConversion"/>
  </si>
  <si>
    <t>임차료</t>
    <phoneticPr fontId="27" type="noConversion"/>
  </si>
  <si>
    <t xml:space="preserve"> o 전산장비 임차료</t>
    <phoneticPr fontId="15" type="noConversion"/>
  </si>
  <si>
    <t>개월</t>
    <phoneticPr fontId="27" type="noConversion"/>
  </si>
  <si>
    <t>여비교통비</t>
    <phoneticPr fontId="27" type="noConversion"/>
  </si>
  <si>
    <t xml:space="preserve">   1. 2017년 어린이날 행사 종합지원</t>
    <phoneticPr fontId="15" type="noConversion"/>
  </si>
  <si>
    <t>원*</t>
    <phoneticPr fontId="15" type="noConversion"/>
  </si>
  <si>
    <t>개 기관</t>
    <phoneticPr fontId="15" type="noConversion"/>
  </si>
  <si>
    <t>=</t>
    <phoneticPr fontId="15" type="noConversion"/>
  </si>
  <si>
    <t xml:space="preserve">   2. 2017년 실학캠프 운영 지원</t>
    <phoneticPr fontId="15" type="noConversion"/>
  </si>
  <si>
    <t xml:space="preserve"> o 계</t>
    <phoneticPr fontId="15" type="noConversion"/>
  </si>
  <si>
    <t xml:space="preserve">   1. 2017년 어린이날 행사 종합지원(종합안전관리)</t>
    <phoneticPr fontId="15" type="noConversion"/>
  </si>
  <si>
    <t xml:space="preserve">   2. 2017년 어린이날 행사 종합지원</t>
    <phoneticPr fontId="15" type="noConversion"/>
  </si>
  <si>
    <t xml:space="preserve">   3. 전곡선사박물관 합창단 지원</t>
    <phoneticPr fontId="15" type="noConversion"/>
  </si>
  <si>
    <t xml:space="preserve">   4. 2017년 실학캠프 운엉 지원</t>
    <phoneticPr fontId="15" type="noConversion"/>
  </si>
  <si>
    <t>인건비</t>
    <phoneticPr fontId="15" type="noConversion"/>
  </si>
  <si>
    <t>지급임차료</t>
    <phoneticPr fontId="15" type="noConversion"/>
  </si>
  <si>
    <t>소모품비</t>
    <phoneticPr fontId="15" type="noConversion"/>
  </si>
  <si>
    <t>지급수수료</t>
    <phoneticPr fontId="15" type="noConversion"/>
  </si>
  <si>
    <t>지급용역료</t>
    <phoneticPr fontId="15" type="noConversion"/>
  </si>
  <si>
    <t>도서인쇄비</t>
    <phoneticPr fontId="15" type="noConversion"/>
  </si>
  <si>
    <t>행사운영비</t>
    <phoneticPr fontId="15" type="noConversion"/>
  </si>
  <si>
    <t>회의운영비</t>
    <phoneticPr fontId="15" type="noConversion"/>
  </si>
  <si>
    <t>지원비</t>
    <phoneticPr fontId="15" type="noConversion"/>
  </si>
  <si>
    <t>명</t>
    <phoneticPr fontId="15" type="noConversion"/>
  </si>
  <si>
    <t>원*</t>
    <phoneticPr fontId="15" type="noConversion"/>
  </si>
  <si>
    <t>=</t>
    <phoneticPr fontId="15" type="noConversion"/>
  </si>
  <si>
    <t>회</t>
    <phoneticPr fontId="15" type="noConversion"/>
  </si>
  <si>
    <t xml:space="preserve"> o 계</t>
    <phoneticPr fontId="15" type="noConversion"/>
  </si>
  <si>
    <t>식</t>
    <phoneticPr fontId="15" type="noConversion"/>
  </si>
  <si>
    <t>지급용역료</t>
    <phoneticPr fontId="15" type="noConversion"/>
  </si>
  <si>
    <t>도서인쇄비</t>
    <phoneticPr fontId="15" type="noConversion"/>
  </si>
  <si>
    <t>행사운영비</t>
    <phoneticPr fontId="15" type="noConversion"/>
  </si>
  <si>
    <t>여비교통비</t>
    <phoneticPr fontId="15" type="noConversion"/>
  </si>
  <si>
    <t>지급임차료</t>
    <phoneticPr fontId="15" type="noConversion"/>
  </si>
  <si>
    <t>명*</t>
    <phoneticPr fontId="15" type="noConversion"/>
  </si>
  <si>
    <t xml:space="preserve">   2. 등록비 및 통번역료</t>
    <phoneticPr fontId="15" type="noConversion"/>
  </si>
  <si>
    <t xml:space="preserve">   1. 자료집</t>
    <phoneticPr fontId="15" type="noConversion"/>
  </si>
  <si>
    <t>장</t>
    <phoneticPr fontId="15" type="noConversion"/>
  </si>
  <si>
    <t xml:space="preserve">   2. 포스터</t>
    <phoneticPr fontId="15" type="noConversion"/>
  </si>
  <si>
    <t xml:space="preserve"> o 소모품</t>
    <phoneticPr fontId="15" type="noConversion"/>
  </si>
  <si>
    <t xml:space="preserve">   1. 항공료</t>
    <phoneticPr fontId="15" type="noConversion"/>
  </si>
  <si>
    <t>인*</t>
    <phoneticPr fontId="15" type="noConversion"/>
  </si>
  <si>
    <t xml:space="preserve">   2. 숙박비</t>
    <phoneticPr fontId="15" type="noConversion"/>
  </si>
  <si>
    <t>박</t>
    <phoneticPr fontId="15" type="noConversion"/>
  </si>
  <si>
    <t>일</t>
    <phoneticPr fontId="15" type="noConversion"/>
  </si>
  <si>
    <t xml:space="preserve"> </t>
    <phoneticPr fontId="14" type="noConversion"/>
  </si>
  <si>
    <t xml:space="preserve">   1. 국외발표자 사례비</t>
    <phoneticPr fontId="15" type="noConversion"/>
  </si>
  <si>
    <t xml:space="preserve">   2. 국내발표자 사례비</t>
    <phoneticPr fontId="15" type="noConversion"/>
  </si>
  <si>
    <r>
      <t xml:space="preserve">   3. 순차통역(영↔</t>
    </r>
    <r>
      <rPr>
        <sz val="11"/>
        <rFont val="돋움"/>
        <family val="3"/>
        <charset val="129"/>
      </rPr>
      <t>한)</t>
    </r>
    <phoneticPr fontId="15" type="noConversion"/>
  </si>
  <si>
    <r>
      <t xml:space="preserve">   4. 동시통역(영↔</t>
    </r>
    <r>
      <rPr>
        <sz val="11"/>
        <rFont val="돋움"/>
        <family val="3"/>
        <charset val="129"/>
      </rPr>
      <t>외)</t>
    </r>
    <phoneticPr fontId="15" type="noConversion"/>
  </si>
  <si>
    <t xml:space="preserve">   1. 동영상 촬영 및 편집</t>
    <phoneticPr fontId="15" type="noConversion"/>
  </si>
  <si>
    <t xml:space="preserve">   2. 자료집 및 홍보물 디자인</t>
    <phoneticPr fontId="15" type="noConversion"/>
  </si>
  <si>
    <t>건</t>
    <phoneticPr fontId="15" type="noConversion"/>
  </si>
  <si>
    <t>=</t>
    <phoneticPr fontId="14" type="noConversion"/>
  </si>
  <si>
    <t xml:space="preserve"> o 행사진행 보조인력</t>
    <phoneticPr fontId="15" type="noConversion"/>
  </si>
  <si>
    <t>원*</t>
    <phoneticPr fontId="14" type="noConversion"/>
  </si>
  <si>
    <t>일</t>
    <phoneticPr fontId="14" type="noConversion"/>
  </si>
  <si>
    <t xml:space="preserve"> o 계</t>
    <phoneticPr fontId="14" type="noConversion"/>
  </si>
  <si>
    <t xml:space="preserve">   1. 발표자용 행사차량</t>
    <phoneticPr fontId="15" type="noConversion"/>
  </si>
  <si>
    <t xml:space="preserve">   2. 동시통역 장비임차</t>
    <phoneticPr fontId="15" type="noConversion"/>
  </si>
  <si>
    <t xml:space="preserve"> o 다과음료비</t>
    <phoneticPr fontId="15" type="noConversion"/>
  </si>
  <si>
    <t>인</t>
    <phoneticPr fontId="14" type="noConversion"/>
  </si>
  <si>
    <t xml:space="preserve"> o 포스터부착</t>
    <phoneticPr fontId="15" type="noConversion"/>
  </si>
  <si>
    <t xml:space="preserve"> o 회의운영</t>
    <phoneticPr fontId="14" type="noConversion"/>
  </si>
  <si>
    <t>5</t>
    <phoneticPr fontId="15" type="noConversion"/>
  </si>
  <si>
    <t>종</t>
    <phoneticPr fontId="15" type="noConversion"/>
  </si>
  <si>
    <t xml:space="preserve">   3. 재산분 주민세</t>
    <phoneticPr fontId="14" type="noConversion"/>
  </si>
  <si>
    <t xml:space="preserve">   4. 부가가치세</t>
    <phoneticPr fontId="14" type="noConversion"/>
  </si>
  <si>
    <t xml:space="preserve">   5. 환경개선부담금</t>
    <phoneticPr fontId="14" type="noConversion"/>
  </si>
  <si>
    <t xml:space="preserve"> o 역사전시관 개선공사</t>
    <phoneticPr fontId="15" type="noConversion"/>
  </si>
  <si>
    <t xml:space="preserve">   2. 프로그램 운영강사</t>
    <phoneticPr fontId="15" type="noConversion"/>
  </si>
  <si>
    <t xml:space="preserve"> o 프로그램 운영 등</t>
    <phoneticPr fontId="15" type="noConversion"/>
  </si>
  <si>
    <t>1</t>
    <phoneticPr fontId="15" type="noConversion"/>
  </si>
  <si>
    <t>월</t>
    <phoneticPr fontId="15" type="noConversion"/>
  </si>
  <si>
    <t xml:space="preserve">   3. 디자이너 인건비</t>
    <phoneticPr fontId="15" type="noConversion"/>
  </si>
  <si>
    <t xml:space="preserve"> o 교육자료집 인쇄비</t>
    <phoneticPr fontId="15" type="noConversion"/>
  </si>
  <si>
    <t>부*</t>
    <phoneticPr fontId="15" type="noConversion"/>
  </si>
  <si>
    <t xml:space="preserve"> o 프로그램 재료 구입비</t>
    <phoneticPr fontId="15" type="noConversion"/>
  </si>
  <si>
    <t>식</t>
    <phoneticPr fontId="14" type="noConversion"/>
  </si>
  <si>
    <t xml:space="preserve">   1. 프로그램 강사료</t>
    <phoneticPr fontId="15" type="noConversion"/>
  </si>
  <si>
    <t xml:space="preserve">   2. 보조강사 강사료</t>
    <phoneticPr fontId="15" type="noConversion"/>
  </si>
  <si>
    <t xml:space="preserve">   3. 교육운영사진촬영</t>
    <phoneticPr fontId="15" type="noConversion"/>
  </si>
  <si>
    <t>컷*</t>
    <phoneticPr fontId="15" type="noConversion"/>
  </si>
  <si>
    <t xml:space="preserve">   4. 교육자료집디자인</t>
    <phoneticPr fontId="15" type="noConversion"/>
  </si>
  <si>
    <t>식*</t>
    <phoneticPr fontId="15" type="noConversion"/>
  </si>
  <si>
    <t xml:space="preserve">   1. 교육 진행비</t>
    <phoneticPr fontId="15" type="noConversion"/>
  </si>
  <si>
    <t xml:space="preserve">   2. 보조금  사업 참가비</t>
    <phoneticPr fontId="15" type="noConversion"/>
  </si>
  <si>
    <t>15</t>
    <phoneticPr fontId="15" type="noConversion"/>
  </si>
  <si>
    <t xml:space="preserve"> o 기획 및 평가 간담회</t>
    <phoneticPr fontId="15" type="noConversion"/>
  </si>
  <si>
    <t>인*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</si>
  <si>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</si>
  <si>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</si>
  <si>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</si>
  <si>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ㅇ 각종 보험료</t>
    <phoneticPr fontId="15" type="noConversion"/>
  </si>
  <si>
    <t>원 *</t>
    <phoneticPr fontId="15" type="noConversion"/>
  </si>
  <si>
    <t>ㅇ 계</t>
    <phoneticPr fontId="15" type="noConversion"/>
  </si>
  <si>
    <t xml:space="preserve">   1. 안내책자</t>
    <phoneticPr fontId="15" type="noConversion"/>
  </si>
  <si>
    <t>매</t>
    <phoneticPr fontId="15" type="noConversion"/>
  </si>
  <si>
    <t xml:space="preserve">   2. 팸플릿 소책자</t>
    <phoneticPr fontId="15" type="noConversion"/>
  </si>
  <si>
    <t xml:space="preserve">ㅇ 부서운영비 </t>
    <phoneticPr fontId="15" type="noConversion"/>
  </si>
  <si>
    <t>팀 *</t>
    <phoneticPr fontId="15" type="noConversion"/>
  </si>
  <si>
    <t>ㅇ 소모품비</t>
    <phoneticPr fontId="15" type="noConversion"/>
  </si>
  <si>
    <t>회 *</t>
    <phoneticPr fontId="15" type="noConversion"/>
  </si>
  <si>
    <t xml:space="preserve">   1. 원격지근무지원</t>
    <phoneticPr fontId="15" type="noConversion"/>
  </si>
  <si>
    <t>명 *</t>
    <phoneticPr fontId="15" type="noConversion"/>
  </si>
  <si>
    <t xml:space="preserve">   2. 국내여비</t>
    <phoneticPr fontId="15" type="noConversion"/>
  </si>
  <si>
    <t xml:space="preserve">   3. 국외여비</t>
    <phoneticPr fontId="15" type="noConversion"/>
  </si>
  <si>
    <t>ㅇ 유지관리비</t>
    <phoneticPr fontId="15" type="noConversion"/>
  </si>
  <si>
    <t>ㅇ 자료구입비</t>
    <phoneticPr fontId="15" type="noConversion"/>
  </si>
  <si>
    <t>ㅇ 실무위원회 수당</t>
    <phoneticPr fontId="15" type="noConversion"/>
  </si>
  <si>
    <t>ㅇ 지급용역료</t>
    <phoneticPr fontId="15" type="noConversion"/>
  </si>
  <si>
    <t>ㅇ 지급임차료</t>
    <phoneticPr fontId="15" type="noConversion"/>
  </si>
  <si>
    <t>ㅇ 통신비</t>
    <phoneticPr fontId="15" type="noConversion"/>
  </si>
  <si>
    <t>회의운영비</t>
    <phoneticPr fontId="15" type="noConversion"/>
  </si>
  <si>
    <t>복리후생비</t>
    <phoneticPr fontId="15" type="noConversion"/>
  </si>
  <si>
    <t>부서운영비</t>
    <phoneticPr fontId="15" type="noConversion"/>
  </si>
  <si>
    <t>소모품비</t>
    <phoneticPr fontId="15" type="noConversion"/>
  </si>
  <si>
    <t>유지관리비</t>
    <phoneticPr fontId="15" type="noConversion"/>
  </si>
  <si>
    <t>자료구입비</t>
    <phoneticPr fontId="15" type="noConversion"/>
  </si>
  <si>
    <t>지급수수료</t>
    <phoneticPr fontId="15" type="noConversion"/>
  </si>
  <si>
    <t>통신비</t>
    <phoneticPr fontId="15" type="noConversion"/>
  </si>
  <si>
    <t xml:space="preserve">   1. 학술총서</t>
    <phoneticPr fontId="15" type="noConversion"/>
  </si>
  <si>
    <t>원*</t>
    <phoneticPr fontId="21" type="noConversion"/>
  </si>
  <si>
    <t>식</t>
    <phoneticPr fontId="21" type="noConversion"/>
  </si>
  <si>
    <t>=</t>
    <phoneticPr fontId="21" type="noConversion"/>
  </si>
  <si>
    <t xml:space="preserve">   2. 자료집 인쇄</t>
    <phoneticPr fontId="15" type="noConversion"/>
  </si>
  <si>
    <t>부</t>
    <phoneticPr fontId="21" type="noConversion"/>
  </si>
  <si>
    <t xml:space="preserve"> o 조사 및 자료실 용품</t>
    <phoneticPr fontId="15" type="noConversion"/>
  </si>
  <si>
    <t xml:space="preserve">   1.항공료</t>
    <phoneticPr fontId="15" type="noConversion"/>
  </si>
  <si>
    <t xml:space="preserve">   3. 교통비</t>
    <phoneticPr fontId="15" type="noConversion"/>
  </si>
  <si>
    <t xml:space="preserve"> o 발표자 수당</t>
    <phoneticPr fontId="15" type="noConversion"/>
  </si>
  <si>
    <t xml:space="preserve"> o 자료실 서가, 열람대 구입</t>
    <phoneticPr fontId="15" type="noConversion"/>
  </si>
  <si>
    <t xml:space="preserve"> o 관련자료 구입</t>
    <phoneticPr fontId="15" type="noConversion"/>
  </si>
  <si>
    <t xml:space="preserve">   1. 만찬비</t>
    <phoneticPr fontId="15" type="noConversion"/>
  </si>
  <si>
    <t xml:space="preserve">   2. 식비</t>
    <phoneticPr fontId="15" type="noConversion"/>
  </si>
  <si>
    <t xml:space="preserve">   3. 다과비</t>
    <phoneticPr fontId="15" type="noConversion"/>
  </si>
  <si>
    <t xml:space="preserve">   4. 현수막, 배너 구입 외</t>
    <phoneticPr fontId="15" type="noConversion"/>
  </si>
  <si>
    <t xml:space="preserve">   5. 기념품 구입비</t>
    <phoneticPr fontId="15" type="noConversion"/>
  </si>
  <si>
    <t xml:space="preserve"> o 자문회의</t>
    <phoneticPr fontId="15" type="noConversion"/>
  </si>
  <si>
    <t xml:space="preserve">   2. 사무용기기 임대</t>
    <phoneticPr fontId="15" type="noConversion"/>
  </si>
  <si>
    <t xml:space="preserve">   3. 정수기, 세정기 렌탈 임대</t>
    <phoneticPr fontId="15" type="noConversion"/>
  </si>
  <si>
    <t>인건비</t>
    <phoneticPr fontId="27" type="noConversion"/>
  </si>
  <si>
    <t>광고선전비</t>
    <phoneticPr fontId="27" type="noConversion"/>
  </si>
  <si>
    <t>자산구입비</t>
    <phoneticPr fontId="27" type="noConversion"/>
  </si>
  <si>
    <t>지급용역료</t>
    <phoneticPr fontId="27" type="noConversion"/>
  </si>
  <si>
    <t>회의운영비</t>
    <phoneticPr fontId="27" type="noConversion"/>
  </si>
  <si>
    <t xml:space="preserve">   2. 전시 어시스턴트인건비</t>
    <phoneticPr fontId="15" type="noConversion"/>
  </si>
  <si>
    <t xml:space="preserve">   3. 디자이너인건비</t>
    <phoneticPr fontId="15" type="noConversion"/>
  </si>
  <si>
    <t xml:space="preserve">   1. 협력 기획자 기획료</t>
    <phoneticPr fontId="15" type="noConversion"/>
  </si>
  <si>
    <t xml:space="preserve">   4. 작가사례비 및 제작지원비</t>
    <phoneticPr fontId="15" type="noConversion"/>
  </si>
  <si>
    <t xml:space="preserve">   1. 개막 행사비</t>
    <phoneticPr fontId="15" type="noConversion"/>
  </si>
  <si>
    <t xml:space="preserve">   2. 기타 행사운영</t>
    <phoneticPr fontId="15" type="noConversion"/>
  </si>
  <si>
    <t xml:space="preserve"> o 계</t>
    <phoneticPr fontId="15" type="noConversion"/>
  </si>
  <si>
    <t xml:space="preserve">   1. 리플렛 제작</t>
    <phoneticPr fontId="15" type="noConversion"/>
  </si>
  <si>
    <t>회*</t>
    <phoneticPr fontId="15" type="noConversion"/>
  </si>
  <si>
    <t>부</t>
    <phoneticPr fontId="15" type="noConversion"/>
  </si>
  <si>
    <t xml:space="preserve">   2. 홍보물(배너, 현수막) 제작</t>
    <phoneticPr fontId="15" type="noConversion"/>
  </si>
  <si>
    <t>식</t>
    <phoneticPr fontId="15" type="noConversion"/>
  </si>
  <si>
    <t xml:space="preserve"> o 방학재료구입 및 물품구입(여름, 겨울)</t>
    <phoneticPr fontId="15" type="noConversion"/>
  </si>
  <si>
    <t xml:space="preserve"> o 프로그램 기획관련 국내 출장 </t>
    <phoneticPr fontId="15" type="noConversion"/>
  </si>
  <si>
    <t xml:space="preserve"> =</t>
    <phoneticPr fontId="15" type="noConversion"/>
  </si>
  <si>
    <t xml:space="preserve">   1. 프로그램 주강사(여름, 겨울)</t>
    <phoneticPr fontId="15" type="noConversion"/>
  </si>
  <si>
    <t>명*</t>
    <phoneticPr fontId="15" type="noConversion"/>
  </si>
  <si>
    <t xml:space="preserve">   2. 프로그램 보조강사(여름, 겨울)</t>
    <phoneticPr fontId="15" type="noConversion"/>
  </si>
  <si>
    <t xml:space="preserve"> o 교육공간 설치 및 철거</t>
    <phoneticPr fontId="15" type="noConversion"/>
  </si>
  <si>
    <t>원*</t>
    <phoneticPr fontId="15" type="noConversion"/>
  </si>
  <si>
    <t xml:space="preserve"> o 특별교육 행사운영</t>
    <phoneticPr fontId="15" type="noConversion"/>
  </si>
  <si>
    <t xml:space="preserve"> o 기획 및 운영 회의</t>
    <phoneticPr fontId="15" type="noConversion"/>
  </si>
  <si>
    <t>인*</t>
    <phoneticPr fontId="15" type="noConversion"/>
  </si>
  <si>
    <t>회</t>
    <phoneticPr fontId="15" type="noConversion"/>
  </si>
  <si>
    <t xml:space="preserve">   1. 사무책상 및 의자 등 업무용가구구입(내용년수 경과분 교체)</t>
  </si>
  <si>
    <t xml:space="preserve">   2. 소프트웨어 프로그램 구입</t>
  </si>
  <si>
    <t xml:space="preserve">   3. CCTV 시스템 교체(컴퓨터본체, 녹화장비, 랙 등)</t>
  </si>
  <si>
    <t xml:space="preserve">   4. 컴퓨터(데스크탑)-기존PC 내용년수 경과 교체</t>
  </si>
  <si>
    <t>회의운영비</t>
    <phoneticPr fontId="15" type="noConversion"/>
  </si>
  <si>
    <t>=</t>
    <phoneticPr fontId="15" type="noConversion"/>
  </si>
  <si>
    <t xml:space="preserve"> o 전시공간 및 외벽작업 소모품 구입</t>
    <phoneticPr fontId="15" type="noConversion"/>
  </si>
  <si>
    <t xml:space="preserve">   2. 선정위원회 운영</t>
    <phoneticPr fontId="15" type="noConversion"/>
  </si>
  <si>
    <t xml:space="preserve">   1. 전시공간연출 및 작품제작</t>
    <phoneticPr fontId="15" type="noConversion"/>
  </si>
  <si>
    <t xml:space="preserve">   2. 건물외벽공사 설계</t>
    <phoneticPr fontId="15" type="noConversion"/>
  </si>
  <si>
    <t xml:space="preserve">   3. 건물외벽공사</t>
    <phoneticPr fontId="15" type="noConversion"/>
  </si>
  <si>
    <t xml:space="preserve">   4. 건물외벽작품 디자인 용역</t>
    <phoneticPr fontId="15" type="noConversion"/>
  </si>
  <si>
    <t xml:space="preserve">   5. 홍보 및 아카이브 구성 영상제작</t>
    <phoneticPr fontId="15" type="noConversion"/>
  </si>
  <si>
    <t xml:space="preserve">   6. 동두천 K-Rock 관련 아카이브 사진촬영</t>
    <phoneticPr fontId="15" type="noConversion"/>
  </si>
  <si>
    <t xml:space="preserve">   7. 전시장 내부외부 철거</t>
    <phoneticPr fontId="15" type="noConversion"/>
  </si>
  <si>
    <t>회</t>
    <phoneticPr fontId="14" type="noConversion"/>
  </si>
  <si>
    <t>소모품비</t>
    <phoneticPr fontId="15" type="noConversion"/>
  </si>
  <si>
    <t>여비교통비</t>
    <phoneticPr fontId="15" type="noConversion"/>
  </si>
  <si>
    <t>지급수수료</t>
    <phoneticPr fontId="15" type="noConversion"/>
  </si>
  <si>
    <t>지급임차료</t>
    <phoneticPr fontId="15" type="noConversion"/>
  </si>
  <si>
    <t>지급용역료</t>
    <phoneticPr fontId="15" type="noConversion"/>
  </si>
  <si>
    <t>회의운영비</t>
    <phoneticPr fontId="15" type="noConversion"/>
  </si>
  <si>
    <t xml:space="preserve">   2. 국내작가 숙박</t>
    <phoneticPr fontId="15" type="noConversion"/>
  </si>
  <si>
    <t xml:space="preserve"> </t>
    <phoneticPr fontId="14" type="noConversion"/>
  </si>
  <si>
    <t>인</t>
    <phoneticPr fontId="15" type="noConversion"/>
  </si>
  <si>
    <t xml:space="preserve"> o 메모라빌리아 정리 보조인력 인건비</t>
    <phoneticPr fontId="15" type="noConversion"/>
  </si>
  <si>
    <t>일</t>
    <phoneticPr fontId="15" type="noConversion"/>
  </si>
  <si>
    <t xml:space="preserve"> o 보존처리 소모품</t>
    <phoneticPr fontId="15" type="noConversion"/>
  </si>
  <si>
    <t xml:space="preserve">   1. 비디오아카이브 녹취</t>
    <phoneticPr fontId="15" type="noConversion"/>
  </si>
  <si>
    <t>분</t>
    <phoneticPr fontId="15" type="noConversion"/>
  </si>
  <si>
    <t xml:space="preserve">   2. 비디오 아카이브 변홤 및 편집</t>
    <phoneticPr fontId="15" type="noConversion"/>
  </si>
  <si>
    <t>시간</t>
    <phoneticPr fontId="15" type="noConversion"/>
  </si>
  <si>
    <t xml:space="preserve">   3. 번역료 (한--&gt;영)</t>
    <phoneticPr fontId="15" type="noConversion"/>
  </si>
  <si>
    <t>장</t>
    <phoneticPr fontId="15" type="noConversion"/>
  </si>
  <si>
    <t xml:space="preserve">   4. 번역료 (영--&gt;한)</t>
    <phoneticPr fontId="15" type="noConversion"/>
  </si>
  <si>
    <t xml:space="preserve">   5. 외부연구자 사례비</t>
    <phoneticPr fontId="15" type="noConversion"/>
  </si>
  <si>
    <t>월</t>
    <phoneticPr fontId="15" type="noConversion"/>
  </si>
  <si>
    <t xml:space="preserve"> o 비디오 아카이브 상영공간 구축</t>
    <phoneticPr fontId="15" type="noConversion"/>
  </si>
  <si>
    <t xml:space="preserve"> o 아카이브 운영 간담회</t>
    <phoneticPr fontId="15" type="noConversion"/>
  </si>
  <si>
    <t>인건비</t>
    <phoneticPr fontId="15" type="noConversion"/>
  </si>
  <si>
    <t>소모품비</t>
    <phoneticPr fontId="15" type="noConversion"/>
  </si>
  <si>
    <t>지급수수료</t>
    <phoneticPr fontId="15" type="noConversion"/>
  </si>
  <si>
    <t>지급용역료</t>
    <phoneticPr fontId="15" type="noConversion"/>
  </si>
  <si>
    <t xml:space="preserve">   1. 교육 연구원 인건비</t>
    <phoneticPr fontId="15" type="noConversion"/>
  </si>
  <si>
    <t>1</t>
    <phoneticPr fontId="15" type="noConversion"/>
  </si>
  <si>
    <t xml:space="preserve">   2. 교육 연구원 인건비(퇴직급여등)</t>
    <phoneticPr fontId="15" type="noConversion"/>
  </si>
  <si>
    <t xml:space="preserve"> o 활동지 인쇄비</t>
    <phoneticPr fontId="15" type="noConversion"/>
  </si>
  <si>
    <t>부*</t>
    <phoneticPr fontId="15" type="noConversion"/>
  </si>
  <si>
    <t>종</t>
    <phoneticPr fontId="15" type="noConversion"/>
  </si>
  <si>
    <t xml:space="preserve"> o 프로그램 진행 재료비</t>
    <phoneticPr fontId="15" type="noConversion"/>
  </si>
  <si>
    <t>식*</t>
    <phoneticPr fontId="15" type="noConversion"/>
  </si>
  <si>
    <t xml:space="preserve"> o 교육출장비</t>
    <phoneticPr fontId="15" type="noConversion"/>
  </si>
  <si>
    <t>2</t>
    <phoneticPr fontId="15" type="noConversion"/>
  </si>
  <si>
    <t xml:space="preserve"> o 교육 개발 자료구입비</t>
    <phoneticPr fontId="15" type="noConversion"/>
  </si>
  <si>
    <t xml:space="preserve"> o 강사비</t>
    <phoneticPr fontId="15" type="noConversion"/>
  </si>
  <si>
    <t xml:space="preserve">   1. 주강사료</t>
    <phoneticPr fontId="15" type="noConversion"/>
  </si>
  <si>
    <t xml:space="preserve">   2. 보조강사료</t>
    <phoneticPr fontId="15" type="noConversion"/>
  </si>
  <si>
    <t xml:space="preserve">   3. 결과자료집 디자인 수수료</t>
    <phoneticPr fontId="15" type="noConversion"/>
  </si>
  <si>
    <t xml:space="preserve"> o 우편발송비</t>
    <phoneticPr fontId="15" type="noConversion"/>
  </si>
  <si>
    <t>건*</t>
    <phoneticPr fontId="15" type="noConversion"/>
  </si>
  <si>
    <t xml:space="preserve">   1. 교사초청워크숍 행사</t>
    <phoneticPr fontId="15" type="noConversion"/>
  </si>
  <si>
    <t xml:space="preserve">   2. 보조금 사업 참가비 </t>
    <phoneticPr fontId="15" type="noConversion"/>
  </si>
  <si>
    <t xml:space="preserve"> o 기획 및 평가 간담회</t>
    <phoneticPr fontId="15" type="noConversion"/>
  </si>
  <si>
    <t xml:space="preserve"> o 스마트 가이드 장비 구입</t>
    <phoneticPr fontId="15" type="noConversion"/>
  </si>
  <si>
    <t>건</t>
    <phoneticPr fontId="15" type="noConversion"/>
  </si>
  <si>
    <t>회</t>
    <phoneticPr fontId="15" type="noConversion"/>
  </si>
  <si>
    <t xml:space="preserve"> o 계</t>
    <phoneticPr fontId="15" type="noConversion"/>
  </si>
  <si>
    <t>식</t>
    <phoneticPr fontId="15" type="noConversion"/>
  </si>
  <si>
    <t xml:space="preserve">   1. DMZ 기초조사 보고서 제작</t>
    <phoneticPr fontId="15" type="noConversion"/>
  </si>
  <si>
    <t xml:space="preserve">   2. 마을아카이브 자료집 제작</t>
    <phoneticPr fontId="15" type="noConversion"/>
  </si>
  <si>
    <t xml:space="preserve">   3. 통일아카데미 자료집 제작</t>
    <phoneticPr fontId="15" type="noConversion"/>
  </si>
  <si>
    <t xml:space="preserve">   4. 통일아카데미 교육자료</t>
    <phoneticPr fontId="15" type="noConversion"/>
  </si>
  <si>
    <t xml:space="preserve">   4. 녹취기록비</t>
    <phoneticPr fontId="15" type="noConversion"/>
  </si>
  <si>
    <t xml:space="preserve">   5. 윤문감수료</t>
    <phoneticPr fontId="15" type="noConversion"/>
  </si>
  <si>
    <t xml:space="preserve">   1. 조사분석원</t>
    <phoneticPr fontId="15" type="noConversion"/>
  </si>
  <si>
    <t xml:space="preserve">   2. 통일문화아카데미 영상촬영</t>
    <phoneticPr fontId="15" type="noConversion"/>
  </si>
  <si>
    <t xml:space="preserve">   3. 통일문화아카데미 진행</t>
    <phoneticPr fontId="15" type="noConversion"/>
  </si>
  <si>
    <t>=</t>
    <phoneticPr fontId="15" type="noConversion"/>
  </si>
  <si>
    <t xml:space="preserve"> o 행사용 물품(현수막 등) 구입</t>
    <phoneticPr fontId="15" type="noConversion"/>
  </si>
  <si>
    <t xml:space="preserve"> o 국내여비</t>
    <phoneticPr fontId="15" type="noConversion"/>
  </si>
  <si>
    <t>월</t>
    <phoneticPr fontId="15" type="noConversion"/>
  </si>
  <si>
    <t xml:space="preserve">   1. 지원사업 심의</t>
    <phoneticPr fontId="15" type="noConversion"/>
  </si>
  <si>
    <t xml:space="preserve">   2. 지역예술가(단체) 의견수렴 및 전문가 자문</t>
    <phoneticPr fontId="15" type="noConversion"/>
  </si>
  <si>
    <t xml:space="preserve"> o 전통문화 창작활동 지원</t>
    <phoneticPr fontId="15" type="noConversion"/>
  </si>
  <si>
    <t xml:space="preserve"> o 우편발송 및 SMS 구입 등</t>
    <phoneticPr fontId="15" type="noConversion"/>
  </si>
  <si>
    <t xml:space="preserve"> o 심의, 의견수렴, 자문회의 등</t>
    <phoneticPr fontId="15" type="noConversion"/>
  </si>
  <si>
    <t>도서인쇄비</t>
    <phoneticPr fontId="15" type="noConversion"/>
  </si>
  <si>
    <t>소모품비</t>
    <phoneticPr fontId="15" type="noConversion"/>
  </si>
  <si>
    <t>지급수수료</t>
    <phoneticPr fontId="15" type="noConversion"/>
  </si>
  <si>
    <t>회의운영비</t>
    <phoneticPr fontId="15" type="noConversion"/>
  </si>
  <si>
    <t xml:space="preserve"> o 프로그램 운영 자료집</t>
    <phoneticPr fontId="15" type="noConversion"/>
  </si>
  <si>
    <t>원*</t>
    <phoneticPr fontId="15" type="noConversion"/>
  </si>
  <si>
    <t>회</t>
    <phoneticPr fontId="21" type="noConversion"/>
  </si>
  <si>
    <t>=</t>
    <phoneticPr fontId="21" type="noConversion"/>
  </si>
  <si>
    <t xml:space="preserve"> o 행사 및 여행자 보험</t>
    <phoneticPr fontId="15" type="noConversion"/>
  </si>
  <si>
    <t xml:space="preserve"> o 프로그램 운영 문구류 외</t>
    <phoneticPr fontId="15" type="noConversion"/>
  </si>
  <si>
    <t xml:space="preserve"> o 제안서 평가 심사 수당</t>
    <phoneticPr fontId="15" type="noConversion"/>
  </si>
  <si>
    <t>회*</t>
    <phoneticPr fontId="15" type="noConversion"/>
  </si>
  <si>
    <t>명</t>
    <phoneticPr fontId="21" type="noConversion"/>
  </si>
  <si>
    <t xml:space="preserve">   1. 워크숍 진행 대행 용역</t>
    <phoneticPr fontId="15" type="noConversion"/>
  </si>
  <si>
    <t xml:space="preserve">   2. 노사화합 체육대회 진행 대행 용역</t>
    <phoneticPr fontId="15" type="noConversion"/>
  </si>
  <si>
    <t xml:space="preserve">   1. 워크숍 진행 대행 부대비용</t>
    <phoneticPr fontId="15" type="noConversion"/>
  </si>
  <si>
    <t xml:space="preserve">   2. 노사화합 체육대회 부대비용</t>
    <phoneticPr fontId="15" type="noConversion"/>
  </si>
  <si>
    <t xml:space="preserve">   3. Art-day 관람권 구매</t>
    <phoneticPr fontId="15" type="noConversion"/>
  </si>
  <si>
    <t xml:space="preserve">   4. 가족문화체험 탐방 운영</t>
    <phoneticPr fontId="15" type="noConversion"/>
  </si>
  <si>
    <t xml:space="preserve">   5. 송년의 밤 행사 운영비</t>
    <phoneticPr fontId="15" type="noConversion"/>
  </si>
  <si>
    <t>식</t>
    <phoneticPr fontId="21" type="noConversion"/>
  </si>
  <si>
    <t xml:space="preserve">   6. 야구장 스카이박스 운영</t>
    <phoneticPr fontId="15" type="noConversion"/>
  </si>
  <si>
    <t xml:space="preserve">   7. 직원제안제도 운영</t>
    <phoneticPr fontId="15" type="noConversion"/>
  </si>
  <si>
    <t xml:space="preserve">   8. 창립20주념 기념 직원 포상 등</t>
    <phoneticPr fontId="15" type="noConversion"/>
  </si>
  <si>
    <t xml:space="preserve"> o 기간제 근로자 인건비 (급여, 보험료, 부가급여 등 포함)</t>
    <phoneticPr fontId="15" type="noConversion"/>
  </si>
  <si>
    <t>개월</t>
    <phoneticPr fontId="15" type="noConversion"/>
  </si>
  <si>
    <t xml:space="preserve"> o 회의운영</t>
    <phoneticPr fontId="15" type="noConversion"/>
  </si>
  <si>
    <t xml:space="preserve"> o 계약직 채용 및 운영</t>
    <phoneticPr fontId="15" type="noConversion"/>
  </si>
  <si>
    <t xml:space="preserve"> </t>
    <phoneticPr fontId="15" type="noConversion"/>
  </si>
  <si>
    <t xml:space="preserve"> o 소모품 구입</t>
    <phoneticPr fontId="15" type="noConversion"/>
  </si>
  <si>
    <t>명</t>
    <phoneticPr fontId="15" type="noConversion"/>
  </si>
  <si>
    <t>명*</t>
    <phoneticPr fontId="15" type="noConversion"/>
  </si>
  <si>
    <t xml:space="preserve"> o 사무기기임차</t>
    <phoneticPr fontId="15" type="noConversion"/>
  </si>
  <si>
    <t>월</t>
    <phoneticPr fontId="21" type="noConversion"/>
  </si>
  <si>
    <t xml:space="preserve"> o 플랫폼 오프닝 이벤트 개최</t>
    <phoneticPr fontId="15" type="noConversion"/>
  </si>
  <si>
    <t xml:space="preserve"> o 기념품 제작 및 구입</t>
    <phoneticPr fontId="15" type="noConversion"/>
  </si>
  <si>
    <t>종*</t>
    <phoneticPr fontId="15" type="noConversion"/>
  </si>
  <si>
    <t>개</t>
    <phoneticPr fontId="15" type="noConversion"/>
  </si>
  <si>
    <t xml:space="preserve"> o 홍보일체</t>
    <phoneticPr fontId="15" type="noConversion"/>
  </si>
  <si>
    <t xml:space="preserve"> o 자료집 제작비</t>
    <phoneticPr fontId="15" type="noConversion"/>
  </si>
  <si>
    <t>종</t>
    <phoneticPr fontId="27" type="noConversion"/>
  </si>
  <si>
    <t xml:space="preserve">   1. 원고료(모니터링)</t>
    <phoneticPr fontId="15" type="noConversion"/>
  </si>
  <si>
    <t xml:space="preserve">   3. 자문회의 등</t>
    <phoneticPr fontId="15" type="noConversion"/>
  </si>
  <si>
    <t xml:space="preserve"> o 우편료 </t>
    <phoneticPr fontId="15" type="noConversion"/>
  </si>
  <si>
    <t xml:space="preserve"> o 워크숍 등 </t>
    <phoneticPr fontId="15" type="noConversion"/>
  </si>
  <si>
    <t xml:space="preserve"> o회의운영비</t>
    <phoneticPr fontId="15" type="noConversion"/>
  </si>
  <si>
    <t xml:space="preserve"> o 인건비</t>
    <phoneticPr fontId="15" type="noConversion"/>
  </si>
  <si>
    <t xml:space="preserve"> o 청소년해설사 결과보고서</t>
    <phoneticPr fontId="15" type="noConversion"/>
  </si>
  <si>
    <t>부</t>
    <phoneticPr fontId="15" type="noConversion"/>
  </si>
  <si>
    <t xml:space="preserve">   1. 자원봉사자 활동비</t>
    <phoneticPr fontId="15" type="noConversion"/>
  </si>
  <si>
    <t xml:space="preserve">   2. 강사 수당비</t>
    <phoneticPr fontId="15" type="noConversion"/>
  </si>
  <si>
    <t xml:space="preserve"> o 교육실 환경 개선</t>
    <phoneticPr fontId="15" type="noConversion"/>
  </si>
  <si>
    <t xml:space="preserve"> o 우편물 발송</t>
    <phoneticPr fontId="15" type="noConversion"/>
  </si>
  <si>
    <t xml:space="preserve"> o 자원봉사자, 청소년 해설사 활동복 구입</t>
    <phoneticPr fontId="15" type="noConversion"/>
  </si>
  <si>
    <t xml:space="preserve"> o 행사물품 구입</t>
    <phoneticPr fontId="15" type="noConversion"/>
  </si>
  <si>
    <t xml:space="preserve"> o 청소년해설사 답사 여행자 보험</t>
    <phoneticPr fontId="15" type="noConversion"/>
  </si>
  <si>
    <t>일</t>
    <phoneticPr fontId="15" type="noConversion"/>
  </si>
  <si>
    <t xml:space="preserve"> o 자원봉사자 답사 여행자 보험</t>
    <phoneticPr fontId="15" type="noConversion"/>
  </si>
  <si>
    <t xml:space="preserve"> o 자원봉사자 간담회</t>
    <phoneticPr fontId="15" type="noConversion"/>
  </si>
  <si>
    <t>인건비</t>
    <phoneticPr fontId="15" type="noConversion"/>
  </si>
  <si>
    <t>지급용역료</t>
    <phoneticPr fontId="15" type="noConversion"/>
  </si>
  <si>
    <t>통신비</t>
    <phoneticPr fontId="15" type="noConversion"/>
  </si>
  <si>
    <t>피복비</t>
    <phoneticPr fontId="15" type="noConversion"/>
  </si>
  <si>
    <t>행사운영비</t>
    <phoneticPr fontId="15" type="noConversion"/>
  </si>
  <si>
    <t>보험료</t>
    <phoneticPr fontId="15" type="noConversion"/>
  </si>
  <si>
    <t>ㅇ계</t>
    <phoneticPr fontId="15" type="noConversion"/>
  </si>
  <si>
    <t>ㅇ 직원 퇴직급여</t>
    <phoneticPr fontId="15" type="noConversion"/>
  </si>
  <si>
    <t>원 /</t>
    <phoneticPr fontId="15" type="noConversion"/>
  </si>
  <si>
    <t>*</t>
    <phoneticPr fontId="15" type="noConversion"/>
  </si>
  <si>
    <t>ㅇ경비성 복리후생비(건강검진)</t>
    <phoneticPr fontId="15" type="noConversion"/>
  </si>
  <si>
    <t>ㅇ전기료</t>
    <phoneticPr fontId="15" type="noConversion"/>
  </si>
  <si>
    <t xml:space="preserve">  1. S/W 이용기간연장</t>
    <phoneticPr fontId="15" type="noConversion"/>
  </si>
  <si>
    <t xml:space="preserve">  2. 도서관협회 외 학회 3기관 연회비</t>
    <phoneticPr fontId="15" type="noConversion"/>
  </si>
  <si>
    <t xml:space="preserve">  1. 업무용 참고도서 구입</t>
    <phoneticPr fontId="15" type="noConversion"/>
  </si>
  <si>
    <t>권</t>
    <phoneticPr fontId="15" type="noConversion"/>
  </si>
  <si>
    <t xml:space="preserve">  2. 신문 구독</t>
    <phoneticPr fontId="15" type="noConversion"/>
  </si>
  <si>
    <t xml:space="preserve">  1. 생수비</t>
    <phoneticPr fontId="15" type="noConversion"/>
  </si>
  <si>
    <t>월</t>
    <phoneticPr fontId="14" type="noConversion"/>
  </si>
  <si>
    <t xml:space="preserve">  2. 사무용품 구입</t>
    <phoneticPr fontId="15" type="noConversion"/>
  </si>
  <si>
    <t>ㅇ교육/세미나 자료집 제작</t>
    <phoneticPr fontId="15" type="noConversion"/>
  </si>
  <si>
    <t>ㅇ전산실 보험료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</si>
  <si>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</si>
  <si>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</si>
  <si>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</si>
  <si>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ㅇ 계</t>
    <phoneticPr fontId="15" type="noConversion"/>
  </si>
  <si>
    <t xml:space="preserve">  1. 운영용 노트북 구입</t>
    <phoneticPr fontId="15" type="noConversion"/>
  </si>
  <si>
    <t>식</t>
    <phoneticPr fontId="15" type="noConversion"/>
  </si>
  <si>
    <t>식</t>
    <phoneticPr fontId="15" type="noConversion"/>
  </si>
  <si>
    <t>=</t>
    <phoneticPr fontId="15" type="noConversion"/>
  </si>
  <si>
    <t>ㅇ 물품 이동 등</t>
    <phoneticPr fontId="14" type="noConversion"/>
  </si>
  <si>
    <t>원*</t>
    <phoneticPr fontId="15" type="noConversion"/>
  </si>
  <si>
    <t>회</t>
    <phoneticPr fontId="15" type="noConversion"/>
  </si>
  <si>
    <t>ㅇ차량 임차</t>
    <phoneticPr fontId="14" type="noConversion"/>
  </si>
  <si>
    <t>ㅇ계</t>
    <phoneticPr fontId="15" type="noConversion"/>
  </si>
  <si>
    <t>명*</t>
    <phoneticPr fontId="15" type="noConversion"/>
  </si>
  <si>
    <t>월</t>
    <phoneticPr fontId="15" type="noConversion"/>
  </si>
  <si>
    <t xml:space="preserve">  2. 북트럭 구입</t>
    <phoneticPr fontId="15" type="noConversion"/>
  </si>
  <si>
    <t>=</t>
    <phoneticPr fontId="15" type="noConversion"/>
  </si>
  <si>
    <t xml:space="preserve"> o 전산관련 소모품 구입</t>
    <phoneticPr fontId="15" type="noConversion"/>
  </si>
  <si>
    <t>원*</t>
    <phoneticPr fontId="15" type="noConversion"/>
  </si>
  <si>
    <t>회</t>
    <phoneticPr fontId="21" type="noConversion"/>
  </si>
  <si>
    <t>=</t>
    <phoneticPr fontId="15" type="noConversion"/>
  </si>
  <si>
    <t xml:space="preserve"> o 국내 출장비</t>
    <phoneticPr fontId="15" type="noConversion"/>
  </si>
  <si>
    <t>명*</t>
    <phoneticPr fontId="27" type="noConversion"/>
  </si>
  <si>
    <t>개월</t>
    <phoneticPr fontId="15" type="noConversion"/>
  </si>
  <si>
    <t xml:space="preserve"> o 계</t>
    <phoneticPr fontId="15" type="noConversion"/>
  </si>
  <si>
    <t xml:space="preserve">   1. 레이져프로젝터</t>
    <phoneticPr fontId="15" type="noConversion"/>
  </si>
  <si>
    <t>대</t>
    <phoneticPr fontId="15" type="noConversion"/>
  </si>
  <si>
    <t xml:space="preserve">   2. 빔프로젝터</t>
    <phoneticPr fontId="15" type="noConversion"/>
  </si>
  <si>
    <t xml:space="preserve">   3. 데스크톱pc</t>
    <phoneticPr fontId="15" type="noConversion"/>
  </si>
  <si>
    <t xml:space="preserve">   4. 테블릿pc</t>
    <phoneticPr fontId="15" type="noConversion"/>
  </si>
  <si>
    <t xml:space="preserve">   5. 터치디스플레이</t>
    <phoneticPr fontId="15" type="noConversion"/>
  </si>
  <si>
    <t xml:space="preserve">   6. 동작인식센서</t>
    <phoneticPr fontId="15" type="noConversion"/>
  </si>
  <si>
    <t xml:space="preserve">   1. 심사료</t>
    <phoneticPr fontId="15" type="noConversion"/>
  </si>
  <si>
    <t>회</t>
    <phoneticPr fontId="15" type="noConversion"/>
  </si>
  <si>
    <t xml:space="preserve"> o 뮤지엄 인터렉티브 콘텐츠 제작</t>
    <phoneticPr fontId="15" type="noConversion"/>
  </si>
  <si>
    <t xml:space="preserve"> o 통신, 음향, 영상기기 임차</t>
    <phoneticPr fontId="15" type="noConversion"/>
  </si>
  <si>
    <t xml:space="preserve"> o 사업관련 업무협의 및 자문</t>
    <phoneticPr fontId="15" type="noConversion"/>
  </si>
  <si>
    <t>소모품비</t>
    <phoneticPr fontId="15" type="noConversion"/>
  </si>
  <si>
    <t>여비교통비</t>
    <phoneticPr fontId="15" type="noConversion"/>
  </si>
  <si>
    <t>자산구입비</t>
    <phoneticPr fontId="15" type="noConversion"/>
  </si>
  <si>
    <t>지급수수료</t>
    <phoneticPr fontId="15" type="noConversion"/>
  </si>
  <si>
    <t>지급용역료</t>
    <phoneticPr fontId="15" type="noConversion"/>
  </si>
  <si>
    <t>지급임차료</t>
    <phoneticPr fontId="15" type="noConversion"/>
  </si>
  <si>
    <t>회의운영비</t>
    <phoneticPr fontId="15" type="noConversion"/>
  </si>
  <si>
    <t xml:space="preserve">   1. 부가가치세</t>
    <phoneticPr fontId="15" type="noConversion"/>
  </si>
  <si>
    <t xml:space="preserve">   2. 환경개선부담금</t>
    <phoneticPr fontId="15" type="noConversion"/>
  </si>
  <si>
    <t xml:space="preserve">   3. 기타(증지,인지대등)</t>
    <phoneticPr fontId="15" type="noConversion"/>
  </si>
  <si>
    <t>세금과공과</t>
    <phoneticPr fontId="15" type="noConversion"/>
  </si>
  <si>
    <t xml:space="preserve"> o 우편발송</t>
    <phoneticPr fontId="15" type="noConversion"/>
  </si>
  <si>
    <t xml:space="preserve"> o 문화정책포럼 개최</t>
    <phoneticPr fontId="15" type="noConversion"/>
  </si>
  <si>
    <t xml:space="preserve">   1. 교원연수 교재 제작</t>
    <phoneticPr fontId="15" type="noConversion"/>
  </si>
  <si>
    <t xml:space="preserve">   2. 뮤지엄아카데미 교재 제작</t>
    <phoneticPr fontId="15" type="noConversion"/>
  </si>
  <si>
    <t xml:space="preserve">   1. 교원연수 여행자 보험</t>
    <phoneticPr fontId="15" type="noConversion"/>
  </si>
  <si>
    <t xml:space="preserve">   2. 뮤지엄아카데미 여행자보험</t>
    <phoneticPr fontId="15" type="noConversion"/>
  </si>
  <si>
    <t xml:space="preserve">   1. 교원연수 물품구입등</t>
    <phoneticPr fontId="15" type="noConversion"/>
  </si>
  <si>
    <t xml:space="preserve">   2. 뮤지엄아카데미 및 교원연수 현수막 제작</t>
    <phoneticPr fontId="15" type="noConversion"/>
  </si>
  <si>
    <t xml:space="preserve">   1. 교원연수강사료등</t>
    <phoneticPr fontId="15" type="noConversion"/>
  </si>
  <si>
    <t xml:space="preserve">   2. 뮤지엄아카데미강사료</t>
    <phoneticPr fontId="15" type="noConversion"/>
  </si>
  <si>
    <t xml:space="preserve">   1. 교원연수 차량임차</t>
    <phoneticPr fontId="15" type="noConversion"/>
  </si>
  <si>
    <t xml:space="preserve">   2. 뮤지엄아카데미답사 차량임차</t>
    <phoneticPr fontId="15" type="noConversion"/>
  </si>
  <si>
    <t xml:space="preserve">   1. 교원연수 행사진행비</t>
    <phoneticPr fontId="15" type="noConversion"/>
  </si>
  <si>
    <t xml:space="preserve">   2. 뮤지엄아카데미 행사진행비</t>
    <phoneticPr fontId="15" type="noConversion"/>
  </si>
  <si>
    <t>회의운영비</t>
    <phoneticPr fontId="15" type="noConversion"/>
  </si>
  <si>
    <t xml:space="preserve"> o 교원연수 회의운영비</t>
    <phoneticPr fontId="15" type="noConversion"/>
  </si>
  <si>
    <t>지급임차료</t>
    <phoneticPr fontId="15" type="noConversion"/>
  </si>
  <si>
    <t>행사운영비</t>
    <phoneticPr fontId="15" type="noConversion"/>
  </si>
  <si>
    <t xml:space="preserve">   3. 뮤지엄아카데미교재원고료</t>
    <phoneticPr fontId="15" type="noConversion"/>
  </si>
  <si>
    <t>=</t>
    <phoneticPr fontId="15" type="noConversion"/>
  </si>
  <si>
    <t>=</t>
    <phoneticPr fontId="15" type="noConversion"/>
  </si>
  <si>
    <t xml:space="preserve">   1. 전시 카달로그제작</t>
    <phoneticPr fontId="15" type="noConversion"/>
  </si>
  <si>
    <t xml:space="preserve">   2. 전시 포스터, 리플렛, 초대장 등</t>
    <phoneticPr fontId="15" type="noConversion"/>
  </si>
  <si>
    <t>=</t>
    <phoneticPr fontId="15" type="noConversion"/>
  </si>
  <si>
    <t xml:space="preserve">   1. 원고 번역료</t>
    <phoneticPr fontId="15" type="noConversion"/>
  </si>
  <si>
    <t>매</t>
    <phoneticPr fontId="15" type="noConversion"/>
  </si>
  <si>
    <t xml:space="preserve">   3. 작가 사례비</t>
    <phoneticPr fontId="15" type="noConversion"/>
  </si>
  <si>
    <t xml:space="preserve">   4. 작품제작지원금</t>
    <phoneticPr fontId="15" type="noConversion"/>
  </si>
  <si>
    <t xml:space="preserve">   1. 전시장 구성 공사 및 복구</t>
    <phoneticPr fontId="15" type="noConversion"/>
  </si>
  <si>
    <t xml:space="preserve"> </t>
    <phoneticPr fontId="15" type="noConversion"/>
  </si>
  <si>
    <t xml:space="preserve">   2. 전시 사인물 제작 및 설치</t>
    <phoneticPr fontId="15" type="noConversion"/>
  </si>
  <si>
    <t xml:space="preserve">   3. 작품운송설치철거용역</t>
    <phoneticPr fontId="15" type="noConversion"/>
  </si>
  <si>
    <t xml:space="preserve">   4. 전시실 카펫 설치</t>
    <phoneticPr fontId="15" type="noConversion"/>
  </si>
  <si>
    <t xml:space="preserve">   5. 배너 제작</t>
    <phoneticPr fontId="15" type="noConversion"/>
  </si>
  <si>
    <t xml:space="preserve">   6. 작품액자제작</t>
    <phoneticPr fontId="15" type="noConversion"/>
  </si>
  <si>
    <t xml:space="preserve"> o 음향,영상기기등 임차</t>
    <phoneticPr fontId="15" type="noConversion"/>
  </si>
  <si>
    <t>통신비</t>
    <phoneticPr fontId="15" type="noConversion"/>
  </si>
  <si>
    <t xml:space="preserve"> o 도록 및 초대장 발송</t>
    <phoneticPr fontId="15" type="noConversion"/>
  </si>
  <si>
    <t>회</t>
    <phoneticPr fontId="15" type="noConversion"/>
  </si>
  <si>
    <t>명*</t>
    <phoneticPr fontId="15" type="noConversion"/>
  </si>
  <si>
    <t xml:space="preserve">   1. 디자이너 인건비</t>
    <phoneticPr fontId="15" type="noConversion"/>
  </si>
  <si>
    <t xml:space="preserve">   2. 전시보조인력</t>
    <phoneticPr fontId="15" type="noConversion"/>
  </si>
  <si>
    <t xml:space="preserve"> o 도록제작</t>
    <phoneticPr fontId="15" type="noConversion"/>
  </si>
  <si>
    <t>부*</t>
    <phoneticPr fontId="15" type="noConversion"/>
  </si>
  <si>
    <t>원*</t>
    <phoneticPr fontId="15" type="noConversion"/>
  </si>
  <si>
    <t xml:space="preserve"> o 전시운영물품</t>
    <phoneticPr fontId="15" type="noConversion"/>
  </si>
  <si>
    <t>회</t>
    <phoneticPr fontId="15" type="noConversion"/>
  </si>
  <si>
    <t xml:space="preserve">   1. TV 정원 유지관리비</t>
    <phoneticPr fontId="15" type="noConversion"/>
  </si>
  <si>
    <t xml:space="preserve">   2. TV 물고기 유지관리비</t>
    <phoneticPr fontId="15" type="noConversion"/>
  </si>
  <si>
    <t xml:space="preserve">   1. 번역료(한영)</t>
    <phoneticPr fontId="15" type="noConversion"/>
  </si>
  <si>
    <t xml:space="preserve">   2. 강연료</t>
    <phoneticPr fontId="15" type="noConversion"/>
  </si>
  <si>
    <t xml:space="preserve"> o 계</t>
    <phoneticPr fontId="15" type="noConversion"/>
  </si>
  <si>
    <t xml:space="preserve">   1. 국내작품 운송</t>
    <phoneticPr fontId="15" type="noConversion"/>
  </si>
  <si>
    <t xml:space="preserve">   2. 전시장 가벽 설치, 도장공사, 가구 제작</t>
    <phoneticPr fontId="15" type="noConversion"/>
  </si>
  <si>
    <t xml:space="preserve">   3. 전시작품 사진 촬영</t>
    <phoneticPr fontId="15" type="noConversion"/>
  </si>
  <si>
    <t xml:space="preserve">   4. 전시시트지 및 현수막 제작</t>
    <phoneticPr fontId="15" type="noConversion"/>
  </si>
  <si>
    <t xml:space="preserve">   5. 전시작품 설치용역</t>
    <phoneticPr fontId="15" type="noConversion"/>
  </si>
  <si>
    <t xml:space="preserve"> o 전시운영 회의진행</t>
    <phoneticPr fontId="15" type="noConversion"/>
  </si>
  <si>
    <t>인건비</t>
    <phoneticPr fontId="15" type="noConversion"/>
  </si>
  <si>
    <t>소모품비</t>
    <phoneticPr fontId="15" type="noConversion"/>
  </si>
  <si>
    <t>통신비</t>
    <phoneticPr fontId="15" type="noConversion"/>
  </si>
  <si>
    <t>세금과공과</t>
    <phoneticPr fontId="15" type="noConversion"/>
  </si>
  <si>
    <t>소모품비</t>
    <phoneticPr fontId="15" type="noConversion"/>
  </si>
  <si>
    <t xml:space="preserve"> o 프로그램 운영요원</t>
    <phoneticPr fontId="15" type="noConversion"/>
  </si>
  <si>
    <t>명</t>
    <phoneticPr fontId="15" type="noConversion"/>
  </si>
  <si>
    <t>원*</t>
    <phoneticPr fontId="15" type="noConversion"/>
  </si>
  <si>
    <t>개월</t>
    <phoneticPr fontId="15" type="noConversion"/>
  </si>
  <si>
    <t>=</t>
    <phoneticPr fontId="15" type="noConversion"/>
  </si>
  <si>
    <t xml:space="preserve"> o 강사료</t>
    <phoneticPr fontId="15" type="noConversion"/>
  </si>
  <si>
    <t>회</t>
    <phoneticPr fontId="15" type="noConversion"/>
  </si>
  <si>
    <t xml:space="preserve"> o 계</t>
    <phoneticPr fontId="15" type="noConversion"/>
  </si>
  <si>
    <t xml:space="preserve">   1. 전시공간 리모델링</t>
    <phoneticPr fontId="15" type="noConversion"/>
  </si>
  <si>
    <t>식</t>
    <phoneticPr fontId="15" type="noConversion"/>
  </si>
  <si>
    <t xml:space="preserve">   2. 구석기 교보재 제작</t>
    <phoneticPr fontId="15" type="noConversion"/>
  </si>
  <si>
    <t xml:space="preserve">   3. 선사 보물상자 제작</t>
    <phoneticPr fontId="15" type="noConversion"/>
  </si>
  <si>
    <t xml:space="preserve">   4. 틈새전시 연출비</t>
    <phoneticPr fontId="15" type="noConversion"/>
  </si>
  <si>
    <t xml:space="preserve">   4. 지질노트 구조물 제작</t>
    <phoneticPr fontId="15" type="noConversion"/>
  </si>
  <si>
    <t xml:space="preserve">   5. 작품 운송비</t>
    <phoneticPr fontId="15" type="noConversion"/>
  </si>
  <si>
    <t xml:space="preserve">   1. 홍보물/활동지 제작</t>
    <phoneticPr fontId="15" type="noConversion"/>
  </si>
  <si>
    <t xml:space="preserve">식 </t>
    <phoneticPr fontId="15" type="noConversion"/>
  </si>
  <si>
    <t xml:space="preserve">   2. 결과보고서 제작</t>
    <phoneticPr fontId="15" type="noConversion"/>
  </si>
  <si>
    <t>권</t>
    <phoneticPr fontId="15" type="noConversion"/>
  </si>
  <si>
    <t xml:space="preserve">   3. 미니앨범 제작</t>
    <phoneticPr fontId="15" type="noConversion"/>
  </si>
  <si>
    <t xml:space="preserve">   4. 현수막 제작 등</t>
    <phoneticPr fontId="15" type="noConversion"/>
  </si>
  <si>
    <t xml:space="preserve">   5. 난장판 홍보물 등</t>
    <phoneticPr fontId="15" type="noConversion"/>
  </si>
  <si>
    <t xml:space="preserve">   1. 물품구입 등</t>
    <phoneticPr fontId="15" type="noConversion"/>
  </si>
  <si>
    <t xml:space="preserve">   2. 난장판 물품 구입</t>
    <phoneticPr fontId="15" type="noConversion"/>
  </si>
  <si>
    <t xml:space="preserve">   3. 전시 소모품 구입</t>
    <phoneticPr fontId="15" type="noConversion"/>
  </si>
  <si>
    <t xml:space="preserve">   1. 틈새전 개막식 등</t>
    <phoneticPr fontId="15" type="noConversion"/>
  </si>
  <si>
    <t xml:space="preserve">   2. 문화탐사단 현장답사</t>
    <phoneticPr fontId="15" type="noConversion"/>
  </si>
  <si>
    <t xml:space="preserve"> o 국내출장 여비</t>
    <phoneticPr fontId="15" type="noConversion"/>
  </si>
  <si>
    <t xml:space="preserve">   1. 버스 임차료</t>
    <phoneticPr fontId="15" type="noConversion"/>
  </si>
  <si>
    <t xml:space="preserve">   2. 문화탐사단 버스임차</t>
    <phoneticPr fontId="15" type="noConversion"/>
  </si>
  <si>
    <t xml:space="preserve">   1. 영상장비 구입</t>
    <phoneticPr fontId="15" type="noConversion"/>
  </si>
  <si>
    <t>대</t>
    <phoneticPr fontId="15" type="noConversion"/>
  </si>
  <si>
    <t>인건비</t>
    <phoneticPr fontId="15" type="noConversion"/>
  </si>
  <si>
    <t>지급수수료</t>
    <phoneticPr fontId="21" type="noConversion"/>
  </si>
  <si>
    <t>지급용역료</t>
    <phoneticPr fontId="15" type="noConversion"/>
  </si>
  <si>
    <t>도서인쇄비</t>
    <phoneticPr fontId="15" type="noConversion"/>
  </si>
  <si>
    <t xml:space="preserve">소모품비 </t>
    <phoneticPr fontId="15" type="noConversion"/>
  </si>
  <si>
    <t>행사운영비</t>
    <phoneticPr fontId="15" type="noConversion"/>
  </si>
  <si>
    <t>여비교통비</t>
    <phoneticPr fontId="15" type="noConversion"/>
  </si>
  <si>
    <t>지급임차료</t>
    <phoneticPr fontId="15" type="noConversion"/>
  </si>
  <si>
    <t>자산구입비</t>
    <phoneticPr fontId="15" type="noConversion"/>
  </si>
  <si>
    <t xml:space="preserve">   2. 교육용 테블릿 pc 구입</t>
    <phoneticPr fontId="15" type="noConversion"/>
  </si>
  <si>
    <t xml:space="preserve"> </t>
    <phoneticPr fontId="15" type="noConversion"/>
  </si>
  <si>
    <t xml:space="preserve"> o 계</t>
    <phoneticPr fontId="15" type="noConversion"/>
  </si>
  <si>
    <t xml:space="preserve">   1. 계약직(4대보험 포함)</t>
    <phoneticPr fontId="15" type="noConversion"/>
  </si>
  <si>
    <t>명*</t>
    <phoneticPr fontId="15" type="noConversion"/>
  </si>
  <si>
    <t>원*</t>
    <phoneticPr fontId="15" type="noConversion"/>
  </si>
  <si>
    <t>개월</t>
    <phoneticPr fontId="15" type="noConversion"/>
  </si>
  <si>
    <t>=</t>
    <phoneticPr fontId="15" type="noConversion"/>
  </si>
  <si>
    <t xml:space="preserve">   2. 자료입력원, 임시계약직</t>
    <phoneticPr fontId="15" type="noConversion"/>
  </si>
  <si>
    <t xml:space="preserve"> o 공모지원사업 광고 등</t>
    <phoneticPr fontId="15" type="noConversion"/>
  </si>
  <si>
    <t xml:space="preserve">   1. 지원사업신청, 정산안내서</t>
    <phoneticPr fontId="15" type="noConversion"/>
  </si>
  <si>
    <t xml:space="preserve">   2. 생생화화 도록제작</t>
    <phoneticPr fontId="15" type="noConversion"/>
  </si>
  <si>
    <t>부</t>
    <phoneticPr fontId="15" type="noConversion"/>
  </si>
  <si>
    <t xml:space="preserve"> o 작품운송및 전시기간 보험가입</t>
    <phoneticPr fontId="15" type="noConversion"/>
  </si>
  <si>
    <t xml:space="preserve"> o 지원사업 소모품</t>
    <phoneticPr fontId="15" type="noConversion"/>
  </si>
  <si>
    <t>회*</t>
    <phoneticPr fontId="15" type="noConversion"/>
  </si>
  <si>
    <t>명</t>
    <phoneticPr fontId="15" type="noConversion"/>
  </si>
  <si>
    <t xml:space="preserve">   1. 심의비, 자문비 등</t>
    <phoneticPr fontId="15" type="noConversion"/>
  </si>
  <si>
    <t>회</t>
    <phoneticPr fontId="15" type="noConversion"/>
  </si>
  <si>
    <t xml:space="preserve">   2. 국가지원시스템 운영 등</t>
    <phoneticPr fontId="15" type="noConversion"/>
  </si>
  <si>
    <t xml:space="preserve"> o 전시 제작 설치, 영상촬영 등</t>
    <phoneticPr fontId="15" type="noConversion"/>
  </si>
  <si>
    <t>건</t>
    <phoneticPr fontId="15" type="noConversion"/>
  </si>
  <si>
    <t xml:space="preserve"> o 지원사업 장비 임차</t>
    <phoneticPr fontId="15" type="noConversion"/>
  </si>
  <si>
    <t xml:space="preserve">   1. 문학분야 창작지원</t>
    <phoneticPr fontId="15" type="noConversion"/>
  </si>
  <si>
    <t xml:space="preserve">    - 신진작가</t>
    <phoneticPr fontId="15" type="noConversion"/>
  </si>
  <si>
    <t xml:space="preserve">    - 기성작가</t>
    <phoneticPr fontId="15" type="noConversion"/>
  </si>
  <si>
    <t xml:space="preserve">    - 문학창작집</t>
    <phoneticPr fontId="15" type="noConversion"/>
  </si>
  <si>
    <t xml:space="preserve">    - 선정작품집</t>
    <phoneticPr fontId="15" type="noConversion"/>
  </si>
  <si>
    <t xml:space="preserve">   2. 공연예술 창작지원</t>
    <phoneticPr fontId="15" type="noConversion"/>
  </si>
  <si>
    <t xml:space="preserve">    - 창작지원(1단계)</t>
    <phoneticPr fontId="15" type="noConversion"/>
  </si>
  <si>
    <t xml:space="preserve">    - 초연지원(2단계)</t>
    <phoneticPr fontId="15" type="noConversion"/>
  </si>
  <si>
    <t xml:space="preserve">    - 유통지원(3단계)</t>
    <phoneticPr fontId="15" type="noConversion"/>
  </si>
  <si>
    <t xml:space="preserve">    - 창작쇼케이스 공연장 지원</t>
    <phoneticPr fontId="15" type="noConversion"/>
  </si>
  <si>
    <t xml:space="preserve">   3. 시각예술 창작지원</t>
    <phoneticPr fontId="15" type="noConversion"/>
  </si>
  <si>
    <t xml:space="preserve">    - 우수작가 개인전</t>
    <phoneticPr fontId="15" type="noConversion"/>
  </si>
  <si>
    <t xml:space="preserve">    - 중견작가 작품집</t>
    <phoneticPr fontId="15" type="noConversion"/>
  </si>
  <si>
    <t xml:space="preserve">    - 공동전 미술관 지원</t>
    <phoneticPr fontId="15" type="noConversion"/>
  </si>
  <si>
    <t xml:space="preserve">   4. 연구평론 출간지원</t>
    <phoneticPr fontId="15" type="noConversion"/>
  </si>
  <si>
    <t xml:space="preserve">   5. 평가모니터링</t>
    <phoneticPr fontId="15" type="noConversion"/>
  </si>
  <si>
    <t xml:space="preserve">    - 지역예술 평가지원</t>
    <phoneticPr fontId="15" type="noConversion"/>
  </si>
  <si>
    <t xml:space="preserve">    - 전문예술 평가지원(시각,공연)</t>
    <phoneticPr fontId="15" type="noConversion"/>
  </si>
  <si>
    <t xml:space="preserve"> o 설명회, 워크숍등</t>
    <phoneticPr fontId="15" type="noConversion"/>
  </si>
  <si>
    <t xml:space="preserve"> o 카드발급</t>
    <phoneticPr fontId="15" type="noConversion"/>
  </si>
  <si>
    <t>매</t>
    <phoneticPr fontId="15" type="noConversion"/>
  </si>
  <si>
    <t>월</t>
    <phoneticPr fontId="15" type="noConversion"/>
  </si>
  <si>
    <t xml:space="preserve">   - 퇴직급여</t>
    <phoneticPr fontId="15" type="noConversion"/>
  </si>
  <si>
    <t>원/</t>
    <phoneticPr fontId="15" type="noConversion"/>
  </si>
  <si>
    <t>%</t>
    <phoneticPr fontId="15" type="noConversion"/>
  </si>
  <si>
    <t xml:space="preserve"> o 문화누리카드 발급 및 이용안내 홍보물 제작</t>
    <phoneticPr fontId="15" type="noConversion"/>
  </si>
  <si>
    <t xml:space="preserve"> o 사무용품 등</t>
    <phoneticPr fontId="14" type="noConversion"/>
  </si>
  <si>
    <t>식</t>
    <phoneticPr fontId="15" type="noConversion"/>
  </si>
  <si>
    <t xml:space="preserve"> o 출장비</t>
    <phoneticPr fontId="15" type="noConversion"/>
  </si>
  <si>
    <t xml:space="preserve"> o 가맹점 신규발굴 및 콜센터운영 보조인력</t>
    <phoneticPr fontId="15" type="noConversion"/>
  </si>
  <si>
    <t xml:space="preserve"> o 사무기기 임차</t>
    <phoneticPr fontId="15" type="noConversion"/>
  </si>
  <si>
    <t xml:space="preserve"> o 우편물 및 SMS발송</t>
    <phoneticPr fontId="15" type="noConversion"/>
  </si>
  <si>
    <t xml:space="preserve"> o 카드이용촉진프로그램 개발/운영</t>
    <phoneticPr fontId="15" type="noConversion"/>
  </si>
  <si>
    <t xml:space="preserve"> o 회의 및 간담회추진, 식음료비 등</t>
    <phoneticPr fontId="15" type="noConversion"/>
  </si>
  <si>
    <t>=</t>
    <phoneticPr fontId="14" type="noConversion"/>
  </si>
  <si>
    <t xml:space="preserve"> </t>
    <phoneticPr fontId="21" type="noConversion"/>
  </si>
  <si>
    <t>회</t>
    <phoneticPr fontId="21" type="noConversion"/>
  </si>
  <si>
    <t xml:space="preserve"> o 회의운영비(운영회의, 실무회의, 간담회 포함)</t>
    <phoneticPr fontId="15" type="noConversion"/>
  </si>
  <si>
    <t xml:space="preserve">  1. 청년실험실 교육 강사비</t>
    <phoneticPr fontId="15" type="noConversion"/>
  </si>
  <si>
    <t xml:space="preserve">  2. 전문가 자문 등</t>
    <phoneticPr fontId="15" type="noConversion"/>
  </si>
  <si>
    <t xml:space="preserve">  3. 목공실 테크니션 사례비 등</t>
    <phoneticPr fontId="15" type="noConversion"/>
  </si>
  <si>
    <t>o 자료구입비</t>
    <phoneticPr fontId="15" type="noConversion"/>
  </si>
  <si>
    <t xml:space="preserve"> o 문자 및 우편발송비</t>
    <phoneticPr fontId="15" type="noConversion"/>
  </si>
  <si>
    <t xml:space="preserve">  1. 운영물품 구입</t>
    <phoneticPr fontId="15" type="noConversion"/>
  </si>
  <si>
    <t xml:space="preserve">  2. 워크숍 재료비</t>
    <phoneticPr fontId="15" type="noConversion"/>
  </si>
  <si>
    <t xml:space="preserve">  1. 교장(총괄멘토)</t>
    <phoneticPr fontId="15" type="noConversion"/>
  </si>
  <si>
    <t>월</t>
    <phoneticPr fontId="21" type="noConversion"/>
  </si>
  <si>
    <t xml:space="preserve">  2. 프로젝트 랩 멘토</t>
    <phoneticPr fontId="15" type="noConversion"/>
  </si>
  <si>
    <t xml:space="preserve">  3. 프로젝트 D 멘토</t>
    <phoneticPr fontId="15" type="noConversion"/>
  </si>
  <si>
    <t xml:space="preserve">  4. 외부강사비</t>
    <phoneticPr fontId="15" type="noConversion"/>
  </si>
  <si>
    <t xml:space="preserve">  5. 운영인력(블로그 운영, 자료집 편집, 공간설치 등)</t>
    <phoneticPr fontId="15" type="noConversion"/>
  </si>
  <si>
    <t xml:space="preserve">  1.행사물품 임차비</t>
    <phoneticPr fontId="15" type="noConversion"/>
  </si>
  <si>
    <t xml:space="preserve">  2. 복합기 임차비</t>
    <phoneticPr fontId="15" type="noConversion"/>
  </si>
  <si>
    <t xml:space="preserve">  1. 3기 프로젝트 지원비</t>
    <phoneticPr fontId="15" type="noConversion"/>
  </si>
  <si>
    <t xml:space="preserve">  2. 4기 프로젝트 지원비</t>
    <phoneticPr fontId="15" type="noConversion"/>
  </si>
  <si>
    <t xml:space="preserve">  1. 다사리 네트워크 데이</t>
    <phoneticPr fontId="15" type="noConversion"/>
  </si>
  <si>
    <t xml:space="preserve">  2. 워크숍 및 현장답사</t>
    <phoneticPr fontId="15" type="noConversion"/>
  </si>
  <si>
    <t>여비교통비</t>
    <phoneticPr fontId="15" type="noConversion"/>
  </si>
  <si>
    <t>통신비</t>
    <phoneticPr fontId="15" type="noConversion"/>
  </si>
  <si>
    <t>자료구입비</t>
    <phoneticPr fontId="15" type="noConversion"/>
  </si>
  <si>
    <t xml:space="preserve"> o 홍보물 제작(정규 및 기획 프로그램)</t>
    <phoneticPr fontId="15" type="noConversion"/>
  </si>
  <si>
    <t xml:space="preserve">   1. 유아 프로그램</t>
    <phoneticPr fontId="15" type="noConversion"/>
  </si>
  <si>
    <t xml:space="preserve">   2. 가족 프로그램 강사비</t>
    <phoneticPr fontId="15" type="noConversion"/>
  </si>
  <si>
    <t xml:space="preserve">   3. 어린이 프로그램 강사비</t>
    <phoneticPr fontId="15" type="noConversion"/>
  </si>
  <si>
    <t xml:space="preserve">   4. 성인 프로그램</t>
    <phoneticPr fontId="15" type="noConversion"/>
  </si>
  <si>
    <t xml:space="preserve">   6. 동호회 활동 지원 강사비</t>
    <phoneticPr fontId="15" type="noConversion"/>
  </si>
  <si>
    <t xml:space="preserve">   7. 생활문화 축제 참여 인력 수당</t>
    <phoneticPr fontId="15" type="noConversion"/>
  </si>
  <si>
    <t xml:space="preserve">   1. 프로그램 기록(사진, 동영상 등), 텃밭 관리 인력 등</t>
    <phoneticPr fontId="15" type="noConversion"/>
  </si>
  <si>
    <t xml:space="preserve">   2. 꿀벌정원 조성</t>
    <phoneticPr fontId="15" type="noConversion"/>
  </si>
  <si>
    <t xml:space="preserve">   3. 어린이책놀이터 체험행사 운영</t>
    <phoneticPr fontId="15" type="noConversion"/>
  </si>
  <si>
    <t>도서인쇄비</t>
    <phoneticPr fontId="15" type="noConversion"/>
  </si>
  <si>
    <t>행사운영비</t>
    <phoneticPr fontId="15" type="noConversion"/>
  </si>
  <si>
    <t>지급수수료</t>
    <phoneticPr fontId="15" type="noConversion"/>
  </si>
  <si>
    <t xml:space="preserve"> o 홍보물 디자인 작업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</si>
  <si>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</si>
  <si>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</si>
  <si>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</si>
  <si>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지급용역료</t>
    <phoneticPr fontId="15" type="noConversion"/>
  </si>
  <si>
    <t xml:space="preserve"> o 홍보물 및 bgm 제작 등</t>
    <phoneticPr fontId="15" type="noConversion"/>
  </si>
  <si>
    <t>식</t>
    <phoneticPr fontId="15" type="noConversion"/>
  </si>
  <si>
    <t>지원비</t>
    <phoneticPr fontId="15" type="noConversion"/>
  </si>
  <si>
    <t xml:space="preserve"> o 행사집기 임차</t>
    <phoneticPr fontId="15" type="noConversion"/>
  </si>
  <si>
    <t>회</t>
    <phoneticPr fontId="21" type="noConversion"/>
  </si>
  <si>
    <t>=</t>
    <phoneticPr fontId="14" type="noConversion"/>
  </si>
  <si>
    <t>행사운영비</t>
    <phoneticPr fontId="15" type="noConversion"/>
  </si>
  <si>
    <t xml:space="preserve"> o 포레포레 행사운영비</t>
    <phoneticPr fontId="15" type="noConversion"/>
  </si>
  <si>
    <t>식</t>
    <phoneticPr fontId="21" type="noConversion"/>
  </si>
  <si>
    <t>회의운영비</t>
    <phoneticPr fontId="15" type="noConversion"/>
  </si>
  <si>
    <t xml:space="preserve"> o 회의운영비(운영회의, 실무회의, 간담회 포함)</t>
    <phoneticPr fontId="15" type="noConversion"/>
  </si>
  <si>
    <t xml:space="preserve"> o 계약직 인건비(4대보험, 퇴직금, 휴일수당 포함)</t>
    <phoneticPr fontId="15" type="noConversion"/>
  </si>
  <si>
    <t>명*</t>
    <phoneticPr fontId="15" type="noConversion"/>
  </si>
  <si>
    <t>개월</t>
    <phoneticPr fontId="21" type="noConversion"/>
  </si>
  <si>
    <t xml:space="preserve"> o 소모품 구입</t>
    <phoneticPr fontId="15" type="noConversion"/>
  </si>
  <si>
    <t xml:space="preserve"> o 국내출장비</t>
    <phoneticPr fontId="15" type="noConversion"/>
  </si>
  <si>
    <t xml:space="preserve"> o 계</t>
    <phoneticPr fontId="15" type="noConversion"/>
  </si>
  <si>
    <t xml:space="preserve"> </t>
    <phoneticPr fontId="15" type="noConversion"/>
  </si>
  <si>
    <t xml:space="preserve">   1. 기획수수료</t>
    <phoneticPr fontId="15" type="noConversion"/>
  </si>
  <si>
    <t>%</t>
    <phoneticPr fontId="14" type="noConversion"/>
  </si>
  <si>
    <t xml:space="preserve">   2. 사업정산 회계법인 수수료</t>
    <phoneticPr fontId="15" type="noConversion"/>
  </si>
  <si>
    <t>식</t>
    <phoneticPr fontId="14" type="noConversion"/>
  </si>
  <si>
    <t xml:space="preserve">   3. 선정위원회 운영</t>
    <phoneticPr fontId="15" type="noConversion"/>
  </si>
  <si>
    <t>명</t>
    <phoneticPr fontId="14" type="noConversion"/>
  </si>
  <si>
    <t xml:space="preserve">   1. 조명설비 설계용역</t>
    <phoneticPr fontId="15" type="noConversion"/>
  </si>
  <si>
    <t xml:space="preserve">   2. 조명설비 공사</t>
    <phoneticPr fontId="15" type="noConversion"/>
  </si>
  <si>
    <t xml:space="preserve">   3. 미디어 패널 설계용역</t>
    <phoneticPr fontId="15" type="noConversion"/>
  </si>
  <si>
    <t xml:space="preserve">   4. 미디어 패널 공사</t>
    <phoneticPr fontId="15" type="noConversion"/>
  </si>
  <si>
    <t xml:space="preserve">   5. 방조제 조명 설비공사</t>
    <phoneticPr fontId="15" type="noConversion"/>
  </si>
  <si>
    <t xml:space="preserve">   6. 자료영상 촬영 및 편집</t>
    <phoneticPr fontId="15" type="noConversion"/>
  </si>
  <si>
    <t xml:space="preserve">   7. 전기설비 안전점검용역</t>
    <phoneticPr fontId="15" type="noConversion"/>
  </si>
  <si>
    <t xml:space="preserve">   8. 미디어콘텐츠 구성</t>
    <phoneticPr fontId="15" type="noConversion"/>
  </si>
  <si>
    <t xml:space="preserve">   9. 음향장비 설치공사</t>
    <phoneticPr fontId="15" type="noConversion"/>
  </si>
  <si>
    <t xml:space="preserve">   10. 조명음향 연출 용역</t>
    <phoneticPr fontId="15" type="noConversion"/>
  </si>
  <si>
    <t xml:space="preserve"> o 사업관련 협력회의</t>
    <phoneticPr fontId="15" type="noConversion"/>
  </si>
  <si>
    <t>인건비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</si>
  <si>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</si>
  <si>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</si>
  <si>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</si>
  <si>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지급용역료</t>
    <phoneticPr fontId="14" type="noConversion"/>
  </si>
  <si>
    <t>ㅇ 계</t>
  </si>
  <si>
    <t xml:space="preserve"> 1. 연구원 인건비</t>
    <phoneticPr fontId="15" type="noConversion"/>
  </si>
  <si>
    <t xml:space="preserve"> 2. 보조원 인건비</t>
    <phoneticPr fontId="15" type="noConversion"/>
  </si>
  <si>
    <t xml:space="preserve"> 3. 퇴직금</t>
    <phoneticPr fontId="15" type="noConversion"/>
  </si>
  <si>
    <t xml:space="preserve"> 4. 4대 보험</t>
    <phoneticPr fontId="15" type="noConversion"/>
  </si>
  <si>
    <t xml:space="preserve">   1. 스토리북 인쇄비</t>
    <phoneticPr fontId="15" type="noConversion"/>
  </si>
  <si>
    <t>ㅇ 행사관련 보험</t>
    <phoneticPr fontId="15" type="noConversion"/>
  </si>
  <si>
    <t>ㅇ 사무용품 구입</t>
    <phoneticPr fontId="15" type="noConversion"/>
  </si>
  <si>
    <t xml:space="preserve">   3. 업무용 차량 주차비</t>
    <phoneticPr fontId="15" type="noConversion"/>
  </si>
  <si>
    <t xml:space="preserve">   3. 의주길 스토리 자원 조사 원고료</t>
    <phoneticPr fontId="15" type="noConversion"/>
  </si>
  <si>
    <t xml:space="preserve">   4. 스토리북 원고료</t>
    <phoneticPr fontId="15" type="noConversion"/>
  </si>
  <si>
    <t xml:space="preserve">   5. 전구간 GPS조사비</t>
    <phoneticPr fontId="15" type="noConversion"/>
  </si>
  <si>
    <t xml:space="preserve">   4. 학술대회 사회 토론비</t>
    <phoneticPr fontId="15" type="noConversion"/>
  </si>
  <si>
    <t xml:space="preserve">   5. 학술대회 발표집 원고료</t>
    <phoneticPr fontId="15" type="noConversion"/>
  </si>
  <si>
    <t xml:space="preserve">   6. KTA(한국걷는길연합) 회비</t>
    <phoneticPr fontId="15" type="noConversion"/>
  </si>
  <si>
    <t xml:space="preserve">   7. 사업 위탁수수료</t>
    <phoneticPr fontId="15" type="noConversion"/>
  </si>
  <si>
    <t xml:space="preserve">   4. 걷기축제 행사 대행비</t>
    <phoneticPr fontId="15" type="noConversion"/>
  </si>
  <si>
    <t xml:space="preserve">   6. 홈페이지 리뉴얼</t>
    <phoneticPr fontId="15" type="noConversion"/>
  </si>
  <si>
    <t xml:space="preserve">   7. 방향안내판 제작비</t>
    <phoneticPr fontId="15" type="noConversion"/>
  </si>
  <si>
    <t xml:space="preserve">   8. 스탬프함 제작비</t>
    <phoneticPr fontId="15" type="noConversion"/>
  </si>
  <si>
    <t xml:space="preserve">   9. 스토리보드 제작비</t>
    <phoneticPr fontId="15" type="noConversion"/>
  </si>
  <si>
    <t xml:space="preserve">   10. 종합안내판 제작비</t>
    <phoneticPr fontId="15" type="noConversion"/>
  </si>
  <si>
    <t xml:space="preserve">   11. 스토리북 일러스트 용역</t>
    <phoneticPr fontId="15" type="noConversion"/>
  </si>
  <si>
    <t xml:space="preserve">   12. 시설물 긴급 보수비</t>
    <phoneticPr fontId="15" type="noConversion"/>
  </si>
  <si>
    <t>ㅇ 문자 및 우편발송</t>
    <phoneticPr fontId="15" type="noConversion"/>
  </si>
  <si>
    <t xml:space="preserve">   2. 걷기축제 기념품 구입비</t>
    <phoneticPr fontId="15" type="noConversion"/>
  </si>
  <si>
    <t xml:space="preserve">   7. 자원봉사단 피복비</t>
    <phoneticPr fontId="15" type="noConversion"/>
  </si>
  <si>
    <t>조사인건비</t>
    <phoneticPr fontId="20" type="noConversion"/>
  </si>
  <si>
    <t>보험료</t>
    <phoneticPr fontId="15" type="noConversion"/>
  </si>
  <si>
    <t>유지관리비</t>
    <phoneticPr fontId="15" type="noConversion"/>
  </si>
  <si>
    <t>지급임차료</t>
    <phoneticPr fontId="15" type="noConversion"/>
  </si>
  <si>
    <t>통신비</t>
    <phoneticPr fontId="15" type="noConversion"/>
  </si>
  <si>
    <t>행사운영비</t>
    <phoneticPr fontId="14" type="noConversion"/>
  </si>
  <si>
    <t xml:space="preserve">   1. 행정지원 및 전문 모니터링</t>
    <phoneticPr fontId="15" type="noConversion"/>
  </si>
  <si>
    <t>개월</t>
    <phoneticPr fontId="15" type="noConversion"/>
  </si>
  <si>
    <t xml:space="preserve">   2. 부가수당(정액급식비+자격수당+시간외수당 등 포함)</t>
    <phoneticPr fontId="15" type="noConversion"/>
  </si>
  <si>
    <t xml:space="preserve">   3. 연금 지급(4대보험+퇴직금 등 포함)</t>
    <phoneticPr fontId="15" type="noConversion"/>
  </si>
  <si>
    <t xml:space="preserve">   1. 사업단 직원 상해보험 가입 등</t>
    <phoneticPr fontId="15" type="noConversion"/>
  </si>
  <si>
    <t xml:space="preserve">   2. 직원워크숍(우수단체 문화재 방문교육)</t>
    <phoneticPr fontId="15" type="noConversion"/>
  </si>
  <si>
    <t xml:space="preserve">   3. 직원 건강검진</t>
    <phoneticPr fontId="15" type="noConversion"/>
  </si>
  <si>
    <t xml:space="preserve">   1. 사업단 직원 월간 교육</t>
    <phoneticPr fontId="15" type="noConversion"/>
  </si>
  <si>
    <t xml:space="preserve">   2. 문화재수리기능 교육</t>
    <phoneticPr fontId="15" type="noConversion"/>
  </si>
  <si>
    <t>회</t>
    <phoneticPr fontId="14" type="noConversion"/>
  </si>
  <si>
    <t xml:space="preserve"> o 사업홍보 및 물품 구입</t>
    <phoneticPr fontId="15" type="noConversion"/>
  </si>
  <si>
    <t xml:space="preserve"> o 보고서 인쇄 등</t>
    <phoneticPr fontId="15" type="noConversion"/>
  </si>
  <si>
    <t xml:space="preserve"> o 각종 제세금</t>
    <phoneticPr fontId="15" type="noConversion"/>
  </si>
  <si>
    <t xml:space="preserve">   1. 노후 소화기 교체 및 설치</t>
    <phoneticPr fontId="15" type="noConversion"/>
  </si>
  <si>
    <t xml:space="preserve">   2. 현장작업용 물품 구입</t>
    <phoneticPr fontId="15" type="noConversion"/>
  </si>
  <si>
    <t xml:space="preserve">   3. 문화재 주변 자생초 이식</t>
    <phoneticPr fontId="15" type="noConversion"/>
  </si>
  <si>
    <t xml:space="preserve">   4. 경미수리 재료 구입</t>
    <phoneticPr fontId="15" type="noConversion"/>
  </si>
  <si>
    <t xml:space="preserve">   5. 사무용품 구입</t>
    <phoneticPr fontId="15" type="noConversion"/>
  </si>
  <si>
    <t>팀*</t>
    <phoneticPr fontId="15" type="noConversion"/>
  </si>
  <si>
    <t>분기</t>
    <phoneticPr fontId="15" type="noConversion"/>
  </si>
  <si>
    <t xml:space="preserve"> o 사업단 업무추진 운영경비</t>
    <phoneticPr fontId="15" type="noConversion"/>
  </si>
  <si>
    <t xml:space="preserve">   1. 관용차량 고속도로 통행료 등</t>
    <phoneticPr fontId="15" type="noConversion"/>
  </si>
  <si>
    <t xml:space="preserve">   2. 직원 출장비</t>
    <phoneticPr fontId="15" type="noConversion"/>
  </si>
  <si>
    <t xml:space="preserve">   1. 관용차량 유류비</t>
    <phoneticPr fontId="15" type="noConversion"/>
  </si>
  <si>
    <t>대*</t>
    <phoneticPr fontId="15" type="noConversion"/>
  </si>
  <si>
    <t>개월</t>
    <phoneticPr fontId="14" type="noConversion"/>
  </si>
  <si>
    <t xml:space="preserve">   2. 주차비 등</t>
    <phoneticPr fontId="15" type="noConversion"/>
  </si>
  <si>
    <t xml:space="preserve">   3. 시설보수, 안내판 교체, 장비수리 등</t>
    <phoneticPr fontId="15" type="noConversion"/>
  </si>
  <si>
    <t xml:space="preserve"> o 사업운영 관련 도서 구입 등</t>
    <phoneticPr fontId="15" type="noConversion"/>
  </si>
  <si>
    <t xml:space="preserve"> o 현장운영 및 전문모니터링 자산구입</t>
    <phoneticPr fontId="15" type="noConversion"/>
  </si>
  <si>
    <t xml:space="preserve">   1. 자문위원 수당</t>
    <phoneticPr fontId="15" type="noConversion"/>
  </si>
  <si>
    <t xml:space="preserve">   2. 17년도 사업단 회계점검</t>
    <phoneticPr fontId="15" type="noConversion"/>
  </si>
  <si>
    <t xml:space="preserve">   3. 전문강사 강의료</t>
    <phoneticPr fontId="15" type="noConversion"/>
  </si>
  <si>
    <t xml:space="preserve">   1. 사무실 임차 등</t>
    <phoneticPr fontId="15" type="noConversion"/>
  </si>
  <si>
    <t xml:space="preserve">   2. 관용차량 임차</t>
    <phoneticPr fontId="15" type="noConversion"/>
  </si>
  <si>
    <t xml:space="preserve">   3. 컴퓨터, 사무집기 등 일반기자재 임차</t>
    <phoneticPr fontId="15" type="noConversion"/>
  </si>
  <si>
    <t xml:space="preserve"> o 관용차량 gps 통신료 등</t>
    <phoneticPr fontId="15" type="noConversion"/>
  </si>
  <si>
    <t xml:space="preserve"> </t>
    <phoneticPr fontId="21" type="noConversion"/>
  </si>
  <si>
    <t xml:space="preserve">   1. 작업화</t>
    <phoneticPr fontId="15" type="noConversion"/>
  </si>
  <si>
    <t>명</t>
    <phoneticPr fontId="15" type="noConversion"/>
  </si>
  <si>
    <t xml:space="preserve">   2. 작업복</t>
    <phoneticPr fontId="15" type="noConversion"/>
  </si>
  <si>
    <t xml:space="preserve">   3. 하절기 피복류</t>
    <phoneticPr fontId="15" type="noConversion"/>
  </si>
  <si>
    <t xml:space="preserve"> o 회의진행</t>
    <phoneticPr fontId="15" type="noConversion"/>
  </si>
  <si>
    <t xml:space="preserve"> o 계</t>
    <phoneticPr fontId="15" type="noConversion"/>
  </si>
  <si>
    <t xml:space="preserve">   1. 기간제근로자 4대보험 포함)</t>
    <phoneticPr fontId="15" type="noConversion"/>
  </si>
  <si>
    <t xml:space="preserve">   2. 4대보험</t>
    <phoneticPr fontId="15" type="noConversion"/>
  </si>
  <si>
    <t xml:space="preserve">   3. 보조인력</t>
    <phoneticPr fontId="15" type="noConversion"/>
  </si>
  <si>
    <t>일</t>
    <phoneticPr fontId="15" type="noConversion"/>
  </si>
  <si>
    <t>도서인쇄비</t>
    <phoneticPr fontId="15" type="noConversion"/>
  </si>
  <si>
    <t xml:space="preserve"> o 창작센터 입주작가 보고서</t>
    <phoneticPr fontId="15" type="noConversion"/>
  </si>
  <si>
    <t>부</t>
    <phoneticPr fontId="15" type="noConversion"/>
  </si>
  <si>
    <t>보험료</t>
    <phoneticPr fontId="15" type="noConversion"/>
  </si>
  <si>
    <t xml:space="preserve"> o 입주작가(창작/기획/기관/초청) 상해보험</t>
    <phoneticPr fontId="15" type="noConversion"/>
  </si>
  <si>
    <t>명</t>
    <phoneticPr fontId="15" type="noConversion"/>
  </si>
  <si>
    <t>소모품비</t>
    <phoneticPr fontId="15" type="noConversion"/>
  </si>
  <si>
    <t xml:space="preserve"> o 레지던시 장비, 프로그램 운영 소모품비</t>
    <phoneticPr fontId="15" type="noConversion"/>
  </si>
  <si>
    <t>월</t>
    <phoneticPr fontId="15" type="noConversion"/>
  </si>
  <si>
    <t xml:space="preserve">   1. 입주작가 워크샵 강사비</t>
    <phoneticPr fontId="15" type="noConversion"/>
  </si>
  <si>
    <t>회</t>
    <phoneticPr fontId="15" type="noConversion"/>
  </si>
  <si>
    <t xml:space="preserve">   2. 입주작가 공모 심사비</t>
    <phoneticPr fontId="15" type="noConversion"/>
  </si>
  <si>
    <t xml:space="preserve">   3. 운영 자문위원회 참석수당</t>
    <phoneticPr fontId="15" type="noConversion"/>
  </si>
  <si>
    <t>지급임차료</t>
    <phoneticPr fontId="15" type="noConversion"/>
  </si>
  <si>
    <t>지원비</t>
    <phoneticPr fontId="15" type="noConversion"/>
  </si>
  <si>
    <t xml:space="preserve"> o 국제교류작가 프로젝트 지원금</t>
    <phoneticPr fontId="15" type="noConversion"/>
  </si>
  <si>
    <t>건</t>
    <phoneticPr fontId="15" type="noConversion"/>
  </si>
  <si>
    <t xml:space="preserve">   1. 프레젠테이션</t>
    <phoneticPr fontId="15" type="noConversion"/>
  </si>
  <si>
    <t xml:space="preserve">   2. 워크샵</t>
    <phoneticPr fontId="15" type="noConversion"/>
  </si>
  <si>
    <t xml:space="preserve">   3. 창작활성화 프로그램</t>
    <phoneticPr fontId="15" type="noConversion"/>
  </si>
  <si>
    <t xml:space="preserve"> o 공모 심사위원회/작가간담회 식음료비</t>
    <phoneticPr fontId="15" type="noConversion"/>
  </si>
  <si>
    <t>개월</t>
    <phoneticPr fontId="15" type="noConversion"/>
  </si>
  <si>
    <t xml:space="preserve">    1. 목판인쇄실습용품</t>
    <phoneticPr fontId="15" type="noConversion"/>
  </si>
  <si>
    <t xml:space="preserve">    2. 유물진열용품</t>
    <phoneticPr fontId="15" type="noConversion"/>
  </si>
  <si>
    <t xml:space="preserve">    3. 소프트웨어 임대(포토샵 등)</t>
    <phoneticPr fontId="15" type="noConversion"/>
  </si>
  <si>
    <t xml:space="preserve">   2. 전시실 조명 관리</t>
    <phoneticPr fontId="15" type="noConversion"/>
  </si>
  <si>
    <t xml:space="preserve">   3. 민속놀이마당 및 목판체험인쇄실 관리</t>
    <phoneticPr fontId="15" type="noConversion"/>
  </si>
  <si>
    <t xml:space="preserve">   4. 전시설명 어플리케이션 유지관리비</t>
    <phoneticPr fontId="15" type="noConversion"/>
  </si>
  <si>
    <t xml:space="preserve">   1. 영상장비 및 빔프로젝터</t>
    <phoneticPr fontId="15" type="noConversion"/>
  </si>
  <si>
    <t xml:space="preserve">   2. 칼라프린터</t>
    <phoneticPr fontId="15" type="noConversion"/>
  </si>
  <si>
    <t xml:space="preserve">   3. 소프트웨어 구입(일러스트 등)</t>
    <phoneticPr fontId="15" type="noConversion"/>
  </si>
  <si>
    <t xml:space="preserve">   4. 빔프로젝터 구입</t>
    <phoneticPr fontId="15" type="noConversion"/>
  </si>
  <si>
    <t>식</t>
    <phoneticPr fontId="15" type="noConversion"/>
  </si>
  <si>
    <t xml:space="preserve">   1. 교체전시보조물제작</t>
    <phoneticPr fontId="15" type="noConversion"/>
  </si>
  <si>
    <t xml:space="preserve">   2. 전시실 쇼케이스 제작 및 보수</t>
    <phoneticPr fontId="15" type="noConversion"/>
  </si>
  <si>
    <t xml:space="preserve">   3. 고고미술실 조명 교체공사</t>
    <phoneticPr fontId="15" type="noConversion"/>
  </si>
  <si>
    <t>회</t>
    <phoneticPr fontId="15" type="noConversion"/>
  </si>
  <si>
    <t>재료비</t>
    <phoneticPr fontId="27" type="noConversion"/>
  </si>
  <si>
    <t xml:space="preserve"> o 뮤지엄샵 상품구매</t>
    <phoneticPr fontId="15" type="noConversion"/>
  </si>
  <si>
    <t>기관*</t>
    <phoneticPr fontId="27" type="noConversion"/>
  </si>
  <si>
    <t xml:space="preserve"> o 계</t>
    <phoneticPr fontId="15" type="noConversion"/>
  </si>
  <si>
    <t xml:space="preserve">   1. 계약직 기본급</t>
    <phoneticPr fontId="21" type="noConversion"/>
  </si>
  <si>
    <t>명*</t>
    <phoneticPr fontId="15" type="noConversion"/>
  </si>
  <si>
    <t>원*</t>
    <phoneticPr fontId="15" type="noConversion"/>
  </si>
  <si>
    <t>월</t>
    <phoneticPr fontId="21" type="noConversion"/>
  </si>
  <si>
    <t>=</t>
    <phoneticPr fontId="15" type="noConversion"/>
  </si>
  <si>
    <t xml:space="preserve">   2. 계약직 부가급여(정액급식비+교통보조비)</t>
    <phoneticPr fontId="21" type="noConversion"/>
  </si>
  <si>
    <t xml:space="preserve">   3. 계약직 퇴직급여</t>
    <phoneticPr fontId="21" type="noConversion"/>
  </si>
  <si>
    <t xml:space="preserve">   4. 계약직 4대보험료</t>
    <phoneticPr fontId="21" type="noConversion"/>
  </si>
  <si>
    <t>%</t>
    <phoneticPr fontId="21" type="noConversion"/>
  </si>
  <si>
    <t xml:space="preserve">   5. 연차 수당</t>
    <phoneticPr fontId="21" type="noConversion"/>
  </si>
  <si>
    <t>일</t>
    <phoneticPr fontId="21" type="noConversion"/>
  </si>
  <si>
    <t>=</t>
    <phoneticPr fontId="14" type="noConversion"/>
  </si>
  <si>
    <t xml:space="preserve"> o 도서구입</t>
    <phoneticPr fontId="15" type="noConversion"/>
  </si>
  <si>
    <t>권</t>
    <phoneticPr fontId="15" type="noConversion"/>
  </si>
  <si>
    <t>회</t>
    <phoneticPr fontId="15" type="noConversion"/>
  </si>
  <si>
    <t xml:space="preserve"> o 기부 모금 관련 교육 등</t>
    <phoneticPr fontId="15" type="noConversion"/>
  </si>
  <si>
    <t>식</t>
    <phoneticPr fontId="15" type="noConversion"/>
  </si>
  <si>
    <t>개월</t>
    <phoneticPr fontId="15" type="noConversion"/>
  </si>
  <si>
    <t xml:space="preserve"> o 소모품 구입 등</t>
    <phoneticPr fontId="15" type="noConversion"/>
  </si>
  <si>
    <t xml:space="preserve"> o 출장비</t>
    <phoneticPr fontId="15" type="noConversion"/>
  </si>
  <si>
    <t xml:space="preserve">   1. 저작권료 등</t>
    <phoneticPr fontId="15" type="noConversion"/>
  </si>
  <si>
    <t xml:space="preserve">   2. 국세청 및 후원관리시스템 수수료</t>
    <phoneticPr fontId="15" type="noConversion"/>
  </si>
  <si>
    <t xml:space="preserve">   3. 소액모금프로그램 강사료 등</t>
    <phoneticPr fontId="15" type="noConversion"/>
  </si>
  <si>
    <t xml:space="preserve"> o 문화이음행사 및 아트상품기획 및 제작</t>
    <phoneticPr fontId="15" type="noConversion"/>
  </si>
  <si>
    <t xml:space="preserve"> </t>
    <phoneticPr fontId="21" type="noConversion"/>
  </si>
  <si>
    <t xml:space="preserve"> o 사무기기 임차 등</t>
    <phoneticPr fontId="15" type="noConversion"/>
  </si>
  <si>
    <t xml:space="preserve"> o 포괄기부금 지원비</t>
    <phoneticPr fontId="15" type="noConversion"/>
  </si>
  <si>
    <t xml:space="preserve"> o 택배발송 및 DM 문자발송 등</t>
    <phoneticPr fontId="15" type="noConversion"/>
  </si>
  <si>
    <t>개</t>
    <phoneticPr fontId="15" type="noConversion"/>
  </si>
  <si>
    <t xml:space="preserve"> o 현장모금활동 등</t>
    <phoneticPr fontId="15" type="noConversion"/>
  </si>
  <si>
    <t xml:space="preserve"> o 기부자 미팅, 기업 사회공헌 협의 등 </t>
    <phoneticPr fontId="15" type="noConversion"/>
  </si>
  <si>
    <t>회</t>
    <phoneticPr fontId="21" type="noConversion"/>
  </si>
  <si>
    <t xml:space="preserve">   1. 기부자 예우 기념품 구입 등</t>
    <phoneticPr fontId="15" type="noConversion"/>
  </si>
  <si>
    <t>개</t>
    <phoneticPr fontId="21" type="noConversion"/>
  </si>
  <si>
    <t xml:space="preserve">   2. 홍보기념품 구입 등</t>
    <phoneticPr fontId="15" type="noConversion"/>
  </si>
  <si>
    <t>인건비</t>
    <phoneticPr fontId="15" type="noConversion"/>
  </si>
  <si>
    <t>도서구입비</t>
    <phoneticPr fontId="15" type="noConversion"/>
  </si>
  <si>
    <t>교육훈련비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</si>
  <si>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</si>
  <si>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</si>
  <si>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</si>
  <si>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지급수수료</t>
    <phoneticPr fontId="14" type="noConversion"/>
  </si>
  <si>
    <t>지급용역료</t>
    <phoneticPr fontId="14" type="noConversion"/>
  </si>
  <si>
    <t>지급임차료</t>
    <phoneticPr fontId="15" type="noConversion"/>
  </si>
  <si>
    <t>지원비</t>
    <phoneticPr fontId="15" type="noConversion"/>
  </si>
  <si>
    <t>통신비</t>
    <phoneticPr fontId="15" type="noConversion"/>
  </si>
  <si>
    <t>행사운영비</t>
    <phoneticPr fontId="15" type="noConversion"/>
  </si>
  <si>
    <t>회의운영비</t>
    <phoneticPr fontId="14" type="noConversion"/>
  </si>
  <si>
    <t>홍보물구입비</t>
    <phoneticPr fontId="15" type="noConversion"/>
  </si>
  <si>
    <t xml:space="preserve">   5. 걷기축제 홍보물 제작</t>
    <phoneticPr fontId="15" type="noConversion"/>
  </si>
  <si>
    <t xml:space="preserve"> o 2017년 어린이날 행사 종합지원</t>
    <phoneticPr fontId="15" type="noConversion"/>
  </si>
  <si>
    <t xml:space="preserve"> o 산하기관 기획사업 추진</t>
    <phoneticPr fontId="15" type="noConversion"/>
  </si>
  <si>
    <t xml:space="preserve"> o 정책 및 교류 연구용역</t>
    <phoneticPr fontId="15" type="noConversion"/>
  </si>
  <si>
    <t xml:space="preserve"> o 계</t>
    <phoneticPr fontId="15" type="noConversion"/>
  </si>
  <si>
    <t xml:space="preserve">   1. 계약직 인건비</t>
    <phoneticPr fontId="15" type="noConversion"/>
  </si>
  <si>
    <t>명*</t>
    <phoneticPr fontId="15" type="noConversion"/>
  </si>
  <si>
    <t>원*</t>
    <phoneticPr fontId="15" type="noConversion"/>
  </si>
  <si>
    <t>월</t>
    <phoneticPr fontId="15" type="noConversion"/>
  </si>
  <si>
    <t>=</t>
    <phoneticPr fontId="15" type="noConversion"/>
  </si>
  <si>
    <t xml:space="preserve">   2. 4대 보험 등</t>
    <phoneticPr fontId="15" type="noConversion"/>
  </si>
  <si>
    <t>식</t>
    <phoneticPr fontId="15" type="noConversion"/>
  </si>
  <si>
    <t xml:space="preserve"> o 자료집 제작</t>
    <phoneticPr fontId="15" type="noConversion"/>
  </si>
  <si>
    <t xml:space="preserve"> o 소모품비</t>
    <phoneticPr fontId="15" type="noConversion"/>
  </si>
  <si>
    <t xml:space="preserve"> o 국내여비</t>
    <phoneticPr fontId="15" type="noConversion"/>
  </si>
  <si>
    <t>회</t>
    <phoneticPr fontId="15" type="noConversion"/>
  </si>
  <si>
    <t xml:space="preserve">   1. 심사비</t>
    <phoneticPr fontId="15" type="noConversion"/>
  </si>
  <si>
    <t xml:space="preserve">   2. 자문회의 수당</t>
    <phoneticPr fontId="15" type="noConversion"/>
  </si>
  <si>
    <t xml:space="preserve">   3. 대행 수수료</t>
    <phoneticPr fontId="15" type="noConversion"/>
  </si>
  <si>
    <t xml:space="preserve"> o 문화영향평가모델 개발 용역</t>
    <phoneticPr fontId="15" type="noConversion"/>
  </si>
  <si>
    <t xml:space="preserve"> o 전문가포럼 행사 운영</t>
    <phoneticPr fontId="15" type="noConversion"/>
  </si>
  <si>
    <t xml:space="preserve"> o 회의운영비</t>
    <phoneticPr fontId="15" type="noConversion"/>
  </si>
  <si>
    <t>인건비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</si>
  <si>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</si>
  <si>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</si>
  <si>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</si>
  <si>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지급수수료</t>
    <phoneticPr fontId="15" type="noConversion"/>
  </si>
  <si>
    <t>지급용역료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</si>
  <si>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</si>
  <si>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</si>
  <si>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o 출장비</t>
    <phoneticPr fontId="15" type="noConversion"/>
  </si>
  <si>
    <t xml:space="preserve"> </t>
    <phoneticPr fontId="14" type="noConversion"/>
  </si>
  <si>
    <t xml:space="preserve">   1. 해외항공료</t>
    <phoneticPr fontId="15" type="noConversion"/>
  </si>
  <si>
    <t>1</t>
    <phoneticPr fontId="15" type="noConversion"/>
  </si>
  <si>
    <t>인*</t>
    <phoneticPr fontId="15" type="noConversion"/>
  </si>
  <si>
    <t xml:space="preserve">   2. 해외숙박비</t>
    <phoneticPr fontId="15" type="noConversion"/>
  </si>
  <si>
    <t>일</t>
    <phoneticPr fontId="15" type="noConversion"/>
  </si>
  <si>
    <t xml:space="preserve">   3. 해외체재비</t>
    <phoneticPr fontId="15" type="noConversion"/>
  </si>
  <si>
    <t xml:space="preserve">   1. 통역료 (일--&gt;한)</t>
    <phoneticPr fontId="15" type="noConversion"/>
  </si>
  <si>
    <t>시간</t>
    <phoneticPr fontId="15" type="noConversion"/>
  </si>
  <si>
    <t xml:space="preserve">   2. 녹취료 (일--&gt;한)</t>
    <phoneticPr fontId="15" type="noConversion"/>
  </si>
  <si>
    <t xml:space="preserve">   3. 영상촬영편집</t>
    <phoneticPr fontId="15" type="noConversion"/>
  </si>
  <si>
    <t xml:space="preserve"> o 인터뷰 프로젝트 간담회</t>
    <phoneticPr fontId="14" type="noConversion"/>
  </si>
  <si>
    <t>5</t>
    <phoneticPr fontId="15" type="noConversion"/>
  </si>
  <si>
    <t>회*</t>
    <phoneticPr fontId="15" type="noConversion"/>
  </si>
  <si>
    <t>명</t>
    <phoneticPr fontId="15" type="noConversion"/>
  </si>
  <si>
    <t>통신비</t>
    <phoneticPr fontId="15" type="noConversion"/>
  </si>
  <si>
    <t xml:space="preserve"> o 계</t>
    <phoneticPr fontId="15" type="noConversion"/>
  </si>
  <si>
    <t xml:space="preserve"> </t>
    <phoneticPr fontId="15" type="noConversion"/>
  </si>
  <si>
    <t>원*</t>
    <phoneticPr fontId="15" type="noConversion"/>
  </si>
  <si>
    <t>식</t>
    <phoneticPr fontId="14" type="noConversion"/>
  </si>
  <si>
    <t>=</t>
    <phoneticPr fontId="15" type="noConversion"/>
  </si>
  <si>
    <t>개월</t>
    <phoneticPr fontId="14" type="noConversion"/>
  </si>
  <si>
    <t>회</t>
    <phoneticPr fontId="14" type="noConversion"/>
  </si>
  <si>
    <t xml:space="preserve"> o 청년페스티벌 부스, 장비 임차 등</t>
    <phoneticPr fontId="15" type="noConversion"/>
  </si>
  <si>
    <t xml:space="preserve"> </t>
    <phoneticPr fontId="21" type="noConversion"/>
  </si>
  <si>
    <t>식</t>
    <phoneticPr fontId="15" type="noConversion"/>
  </si>
  <si>
    <t>인건비</t>
    <phoneticPr fontId="15" type="noConversion"/>
  </si>
  <si>
    <t xml:space="preserve"> o 계약직 인건비(4대보험, 퇴직금, 휴일수당 포함)</t>
    <phoneticPr fontId="15" type="noConversion"/>
  </si>
  <si>
    <t>명*</t>
    <phoneticPr fontId="15" type="noConversion"/>
  </si>
  <si>
    <t>개월</t>
    <phoneticPr fontId="21" type="noConversion"/>
  </si>
  <si>
    <t>=</t>
    <phoneticPr fontId="14" type="noConversion"/>
  </si>
  <si>
    <t>소모품비</t>
    <phoneticPr fontId="15" type="noConversion"/>
  </si>
  <si>
    <t xml:space="preserve"> o 아카이브 용품 구입</t>
    <phoneticPr fontId="15" type="noConversion"/>
  </si>
  <si>
    <t>지급수수료</t>
    <phoneticPr fontId="15" type="noConversion"/>
  </si>
  <si>
    <t>지급용역료</t>
    <phoneticPr fontId="15" type="noConversion"/>
  </si>
  <si>
    <t>지급임차료</t>
    <phoneticPr fontId="15" type="noConversion"/>
  </si>
  <si>
    <t>지원비</t>
    <phoneticPr fontId="15" type="noConversion"/>
  </si>
  <si>
    <t xml:space="preserve"> o 청년단체 기획 지원비</t>
    <phoneticPr fontId="15" type="noConversion"/>
  </si>
  <si>
    <t>행사운영비</t>
    <phoneticPr fontId="15" type="noConversion"/>
  </si>
  <si>
    <t xml:space="preserve"> o 청년축제 행사운영비</t>
    <phoneticPr fontId="15" type="noConversion"/>
  </si>
  <si>
    <t>회의운영비</t>
    <phoneticPr fontId="15" type="noConversion"/>
  </si>
  <si>
    <t xml:space="preserve"> o 실무 운영회의</t>
    <phoneticPr fontId="15" type="noConversion"/>
  </si>
  <si>
    <t>회</t>
    <phoneticPr fontId="15" type="noConversion"/>
  </si>
  <si>
    <t>ㅇ 연구보조원 인건비</t>
    <phoneticPr fontId="15" type="noConversion"/>
  </si>
  <si>
    <t>개월</t>
    <phoneticPr fontId="15" type="noConversion"/>
  </si>
  <si>
    <t>ㅇ 출장비</t>
    <phoneticPr fontId="15" type="noConversion"/>
  </si>
  <si>
    <t>명 *</t>
    <phoneticPr fontId="15" type="noConversion"/>
  </si>
  <si>
    <t>ㅇ OUV, 진정성, 완전성, 비교가치 수립</t>
    <phoneticPr fontId="15" type="noConversion"/>
  </si>
  <si>
    <t>식 *</t>
    <phoneticPr fontId="15" type="noConversion"/>
  </si>
  <si>
    <t>원 *</t>
    <phoneticPr fontId="15" type="noConversion"/>
  </si>
  <si>
    <t>회</t>
    <phoneticPr fontId="15" type="noConversion"/>
  </si>
  <si>
    <t>ㅇ 보고서 인쇄비</t>
    <phoneticPr fontId="15" type="noConversion"/>
  </si>
  <si>
    <r>
      <t>ㅇ 전문가 자문</t>
    </r>
    <r>
      <rPr>
        <sz val="12"/>
        <color theme="1"/>
        <rFont val="맑은 고딕"/>
        <family val="3"/>
        <charset val="129"/>
      </rPr>
      <t>ㆍ</t>
    </r>
    <r>
      <rPr>
        <sz val="12"/>
        <color theme="1"/>
        <rFont val="돋움"/>
        <family val="3"/>
        <charset val="129"/>
      </rPr>
      <t>토론회</t>
    </r>
    <phoneticPr fontId="15" type="noConversion"/>
  </si>
  <si>
    <t>ㅇ 전문가 자문비</t>
    <phoneticPr fontId="15" type="noConversion"/>
  </si>
  <si>
    <t>ㅇ 자료조사</t>
    <phoneticPr fontId="15" type="noConversion"/>
  </si>
  <si>
    <t>여비교통비</t>
    <phoneticPr fontId="15" type="noConversion"/>
  </si>
  <si>
    <t>도서인쇄비</t>
    <phoneticPr fontId="14" type="noConversion"/>
  </si>
  <si>
    <t>지급수수료</t>
    <phoneticPr fontId="15" type="noConversion"/>
  </si>
  <si>
    <t>ㅇ 원고료</t>
    <phoneticPr fontId="15" type="noConversion"/>
  </si>
  <si>
    <t>자료구입비</t>
    <phoneticPr fontId="15" type="noConversion"/>
  </si>
  <si>
    <t>ㅇ 자료조사비</t>
    <phoneticPr fontId="15" type="noConversion"/>
  </si>
  <si>
    <t xml:space="preserve"> o 현수막, 배너, 사무용품 등</t>
    <phoneticPr fontId="15" type="noConversion"/>
  </si>
  <si>
    <t xml:space="preserve"> o 리플렛 제작 및 인쇄</t>
    <phoneticPr fontId="14" type="noConversion"/>
  </si>
  <si>
    <t>장</t>
    <phoneticPr fontId="14" type="noConversion"/>
  </si>
  <si>
    <t xml:space="preserve"> o 자문회의, 원고집필 등</t>
    <phoneticPr fontId="15" type="noConversion"/>
  </si>
  <si>
    <t>명*</t>
    <phoneticPr fontId="14" type="noConversion"/>
  </si>
  <si>
    <t xml:space="preserve"> o 지급용역료</t>
    <phoneticPr fontId="15" type="noConversion"/>
  </si>
  <si>
    <t xml:space="preserve"> o 회화자료 및 사진 구입 등</t>
    <phoneticPr fontId="15" type="noConversion"/>
  </si>
  <si>
    <t xml:space="preserve"> o 회의진행비</t>
    <phoneticPr fontId="15" type="noConversion"/>
  </si>
  <si>
    <t xml:space="preserve"> o 계약직 인력채용</t>
    <phoneticPr fontId="15" type="noConversion"/>
  </si>
  <si>
    <t>명*</t>
    <phoneticPr fontId="15" type="noConversion"/>
  </si>
  <si>
    <t>월</t>
    <phoneticPr fontId="21" type="noConversion"/>
  </si>
  <si>
    <t>=</t>
    <phoneticPr fontId="15" type="noConversion"/>
  </si>
  <si>
    <t xml:space="preserve"> o 홍보 브로슈어, 자료집 등 제작</t>
    <phoneticPr fontId="15" type="noConversion"/>
  </si>
  <si>
    <t>식*</t>
    <phoneticPr fontId="15" type="noConversion"/>
  </si>
  <si>
    <t>식</t>
    <phoneticPr fontId="15" type="noConversion"/>
  </si>
  <si>
    <t xml:space="preserve"> o 소모품구입</t>
    <phoneticPr fontId="15" type="noConversion"/>
  </si>
  <si>
    <t>회</t>
    <phoneticPr fontId="15" type="noConversion"/>
  </si>
  <si>
    <t xml:space="preserve"> o 해외선진사례 답사 등 </t>
    <phoneticPr fontId="15" type="noConversion"/>
  </si>
  <si>
    <t xml:space="preserve"> o 계</t>
    <phoneticPr fontId="15" type="noConversion"/>
  </si>
  <si>
    <t xml:space="preserve">   1. 코이네이터양성교육</t>
    <phoneticPr fontId="15" type="noConversion"/>
  </si>
  <si>
    <t xml:space="preserve">   2. 전문가 자문회의 등</t>
    <phoneticPr fontId="15" type="noConversion"/>
  </si>
  <si>
    <t xml:space="preserve">   3. SNS콘텐츠발굴</t>
    <phoneticPr fontId="15" type="noConversion"/>
  </si>
  <si>
    <t>인*</t>
    <phoneticPr fontId="15" type="noConversion"/>
  </si>
  <si>
    <t xml:space="preserve">   4. 주민협의회 네트워크</t>
    <phoneticPr fontId="15" type="noConversion"/>
  </si>
  <si>
    <t xml:space="preserve">   1. 에코뮤지엄 정책개발 연구 </t>
    <phoneticPr fontId="15" type="noConversion"/>
  </si>
  <si>
    <t>식</t>
    <phoneticPr fontId="21" type="noConversion"/>
  </si>
  <si>
    <t xml:space="preserve">   2. 통합브랜드 활성화</t>
    <phoneticPr fontId="15" type="noConversion"/>
  </si>
  <si>
    <t xml:space="preserve">   3. 온라인홍보</t>
    <phoneticPr fontId="15" type="noConversion"/>
  </si>
  <si>
    <t xml:space="preserve"> o 사무기기임차</t>
    <phoneticPr fontId="15" type="noConversion"/>
  </si>
  <si>
    <t xml:space="preserve">   1. 시군연계사업</t>
    <phoneticPr fontId="15" type="noConversion"/>
  </si>
  <si>
    <t>개시군*</t>
    <phoneticPr fontId="15" type="noConversion"/>
  </si>
  <si>
    <t xml:space="preserve">   2. 교육프로그램개발운영</t>
    <phoneticPr fontId="15" type="noConversion"/>
  </si>
  <si>
    <t xml:space="preserve"> o 경기만에코뮤지엄행사운영</t>
    <phoneticPr fontId="15" type="noConversion"/>
  </si>
  <si>
    <t>회*</t>
    <phoneticPr fontId="15" type="noConversion"/>
  </si>
  <si>
    <t xml:space="preserve"> o 회의운영</t>
    <phoneticPr fontId="15" type="noConversion"/>
  </si>
  <si>
    <t>인건비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</si>
  <si>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</si>
  <si>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</si>
  <si>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</si>
  <si>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지급수수료</t>
    <phoneticPr fontId="15" type="noConversion"/>
  </si>
  <si>
    <t>지급용역료</t>
    <phoneticPr fontId="15" type="noConversion"/>
  </si>
  <si>
    <t>지급임차료</t>
    <phoneticPr fontId="15" type="noConversion"/>
  </si>
  <si>
    <t>지원비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</si>
  <si>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</si>
  <si>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</si>
  <si>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  2. 현수막 제작</t>
    <phoneticPr fontId="15" type="noConversion"/>
  </si>
  <si>
    <t>원*</t>
    <phoneticPr fontId="15" type="noConversion"/>
  </si>
  <si>
    <t xml:space="preserve"> o 지역언론홍보</t>
    <phoneticPr fontId="15" type="noConversion"/>
  </si>
  <si>
    <t>건</t>
    <phoneticPr fontId="15" type="noConversion"/>
  </si>
  <si>
    <t xml:space="preserve">   3. 문화정책 블레틴 e-book 제작</t>
    <phoneticPr fontId="15" type="noConversion"/>
  </si>
  <si>
    <t xml:space="preserve">   4. 경기문화예술발전방향 토론회 인쇄물 제작</t>
    <phoneticPr fontId="15" type="noConversion"/>
  </si>
  <si>
    <t xml:space="preserve">   1. 원고료/번역료</t>
    <phoneticPr fontId="15" type="noConversion"/>
  </si>
  <si>
    <t xml:space="preserve">   2. 포럼, 토론회 참석수당</t>
    <phoneticPr fontId="15" type="noConversion"/>
  </si>
  <si>
    <t xml:space="preserve">   1. 문화정책 블레틴 디자인 및 발간</t>
    <phoneticPr fontId="15" type="noConversion"/>
  </si>
  <si>
    <t xml:space="preserve">   2. 문화정책 블레틴 추가인쇄</t>
    <phoneticPr fontId="15" type="noConversion"/>
  </si>
  <si>
    <t xml:space="preserve">   1. 소프트웨어 저작권 구입</t>
    <phoneticPr fontId="15" type="noConversion"/>
  </si>
  <si>
    <t xml:space="preserve">   2. 교육 소모품 및 재료 구입</t>
    <phoneticPr fontId="15" type="noConversion"/>
  </si>
  <si>
    <t xml:space="preserve">   3. 교육 어플리케이션 구입</t>
    <phoneticPr fontId="15" type="noConversion"/>
  </si>
  <si>
    <t xml:space="preserve"> o 국내 출장비</t>
    <phoneticPr fontId="15" type="noConversion"/>
  </si>
  <si>
    <t>명*</t>
    <phoneticPr fontId="27" type="noConversion"/>
  </si>
  <si>
    <t>개월</t>
    <phoneticPr fontId="15" type="noConversion"/>
  </si>
  <si>
    <t xml:space="preserve">   1. 번역료</t>
    <phoneticPr fontId="15" type="noConversion"/>
  </si>
  <si>
    <t xml:space="preserve">   2. 주강사료</t>
    <phoneticPr fontId="15" type="noConversion"/>
  </si>
  <si>
    <t xml:space="preserve">   3. 보조강사료</t>
    <phoneticPr fontId="15" type="noConversion"/>
  </si>
  <si>
    <t xml:space="preserve">   4. 홍보부스 운영강사</t>
    <phoneticPr fontId="15" type="noConversion"/>
  </si>
  <si>
    <t xml:space="preserve">   1. 온라인 전시 콘텐츠 제작</t>
    <phoneticPr fontId="15" type="noConversion"/>
  </si>
  <si>
    <t xml:space="preserve">   2. VR 교육장비 제작</t>
    <phoneticPr fontId="15" type="noConversion"/>
  </si>
  <si>
    <t xml:space="preserve">   3. 교육프로그램 교구재 제작</t>
    <phoneticPr fontId="15" type="noConversion"/>
  </si>
  <si>
    <t xml:space="preserve">   4. 교육 공간 개선</t>
    <phoneticPr fontId="27" type="noConversion"/>
  </si>
  <si>
    <t xml:space="preserve">   5. 아티스트 작업 지원</t>
    <phoneticPr fontId="15" type="noConversion"/>
  </si>
  <si>
    <t xml:space="preserve">   6. 홍보 영상 및 홍보물 제작</t>
    <phoneticPr fontId="15" type="noConversion"/>
  </si>
  <si>
    <t xml:space="preserve"> o VR교육장비 임차</t>
    <phoneticPr fontId="15" type="noConversion"/>
  </si>
  <si>
    <t xml:space="preserve"> o 홍보부스 운영</t>
    <phoneticPr fontId="15" type="noConversion"/>
  </si>
  <si>
    <t xml:space="preserve"> o 각종 회의 개최</t>
    <phoneticPr fontId="15" type="noConversion"/>
  </si>
  <si>
    <t xml:space="preserve"> o G-BUS 광고</t>
    <phoneticPr fontId="15" type="noConversion"/>
  </si>
  <si>
    <t xml:space="preserve">   1. 심사수당</t>
    <phoneticPr fontId="15" type="noConversion"/>
  </si>
  <si>
    <t xml:space="preserve">   2. 자문비</t>
    <phoneticPr fontId="15" type="noConversion"/>
  </si>
  <si>
    <t xml:space="preserve">   3. 강연 등</t>
    <phoneticPr fontId="15" type="noConversion"/>
  </si>
  <si>
    <t xml:space="preserve">   1. 영상 및 사진촬영</t>
    <phoneticPr fontId="15" type="noConversion"/>
  </si>
  <si>
    <t xml:space="preserve">   2. 기념품 제작</t>
    <phoneticPr fontId="15" type="noConversion"/>
  </si>
  <si>
    <t xml:space="preserve">   1. 추진단 지원비</t>
    <phoneticPr fontId="15" type="noConversion"/>
  </si>
  <si>
    <t xml:space="preserve">   2. 플랫폼 지원비</t>
    <phoneticPr fontId="15" type="noConversion"/>
  </si>
  <si>
    <t xml:space="preserve"> o 홍보물 발송</t>
    <phoneticPr fontId="15" type="noConversion"/>
  </si>
  <si>
    <t>회</t>
    <phoneticPr fontId="14" type="noConversion"/>
  </si>
  <si>
    <t xml:space="preserve">   1. 국내 작품 대여처 작품 점검</t>
    <phoneticPr fontId="14" type="noConversion"/>
  </si>
  <si>
    <t xml:space="preserve">   2. 국외 작품 대여처 작품 점검 및 현장 확인</t>
    <phoneticPr fontId="14" type="noConversion"/>
  </si>
  <si>
    <t xml:space="preserve"> o 수장고 유지 관리</t>
    <phoneticPr fontId="15" type="noConversion"/>
  </si>
  <si>
    <t xml:space="preserve">   1. 소장품 기증 보상금</t>
    <phoneticPr fontId="14" type="noConversion"/>
  </si>
  <si>
    <t xml:space="preserve">   2. 심의위원 회의수당</t>
    <phoneticPr fontId="14" type="noConversion"/>
  </si>
  <si>
    <t>회의운영비</t>
    <phoneticPr fontId="14" type="noConversion"/>
  </si>
  <si>
    <t xml:space="preserve">   1. 부가가치세</t>
    <phoneticPr fontId="14" type="noConversion"/>
  </si>
  <si>
    <t xml:space="preserve">   2. 환경개선부담금</t>
    <phoneticPr fontId="14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</si>
  <si>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</si>
  <si>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</si>
  <si>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</si>
  <si>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 xml:space="preserve">   3. 면허세, 재산세, 주민세등</t>
    <phoneticPr fontId="14" type="noConversion"/>
  </si>
  <si>
    <t xml:space="preserve">   4. 협회 연회비(국제박물관협회 등)</t>
    <phoneticPr fontId="14" type="noConversion"/>
  </si>
  <si>
    <t>기관</t>
    <phoneticPr fontId="15" type="noConversion"/>
  </si>
  <si>
    <t xml:space="preserve">   1. 송금수수료</t>
    <phoneticPr fontId="15" type="noConversion"/>
  </si>
  <si>
    <t>50</t>
    <phoneticPr fontId="15" type="noConversion"/>
  </si>
  <si>
    <t>건*</t>
    <phoneticPr fontId="15" type="noConversion"/>
  </si>
  <si>
    <t>월</t>
    <phoneticPr fontId="15" type="noConversion"/>
  </si>
  <si>
    <t xml:space="preserve">   2. 자문 및 실무위원회 수당</t>
    <phoneticPr fontId="15" type="noConversion"/>
  </si>
  <si>
    <t>10</t>
    <phoneticPr fontId="15" type="noConversion"/>
  </si>
  <si>
    <t xml:space="preserve">   3. 전파 및 포스사용료</t>
    <phoneticPr fontId="14" type="noConversion"/>
  </si>
  <si>
    <t>월</t>
    <phoneticPr fontId="14" type="noConversion"/>
  </si>
  <si>
    <t>=</t>
    <phoneticPr fontId="14" type="noConversion"/>
  </si>
  <si>
    <t xml:space="preserve">   4. 관람료 신용카드 수수료</t>
    <phoneticPr fontId="14" type="noConversion"/>
  </si>
  <si>
    <t xml:space="preserve"> </t>
    <phoneticPr fontId="14" type="noConversion"/>
  </si>
  <si>
    <t xml:space="preserve">   5. 각종법률자문수수료</t>
    <phoneticPr fontId="14" type="noConversion"/>
  </si>
  <si>
    <t xml:space="preserve"> </t>
    <phoneticPr fontId="15" type="noConversion"/>
  </si>
  <si>
    <t xml:space="preserve">   6 조달청수수료</t>
    <phoneticPr fontId="14" type="noConversion"/>
  </si>
  <si>
    <t xml:space="preserve"> o 경기도문화재단협의회 지원(전문인력양성기관)</t>
    <phoneticPr fontId="15" type="noConversion"/>
  </si>
  <si>
    <t xml:space="preserve"> o 전문인력양성기관 특강</t>
    <phoneticPr fontId="15" type="noConversion"/>
  </si>
  <si>
    <t>국내광고</t>
    <phoneticPr fontId="15" type="noConversion"/>
  </si>
  <si>
    <t xml:space="preserve"> o 재료비</t>
    <phoneticPr fontId="15" type="noConversion"/>
  </si>
  <si>
    <t xml:space="preserve"> -</t>
    <phoneticPr fontId="15" type="noConversion"/>
  </si>
  <si>
    <t>명</t>
    <phoneticPr fontId="14" type="noConversion"/>
  </si>
  <si>
    <t>-</t>
    <phoneticPr fontId="15" type="noConversion"/>
  </si>
  <si>
    <t>도서인쇄비</t>
    <phoneticPr fontId="14" type="noConversion"/>
  </si>
  <si>
    <t>지급수수료</t>
    <phoneticPr fontId="14" type="noConversion"/>
  </si>
  <si>
    <t>지급용역료</t>
    <phoneticPr fontId="14" type="noConversion"/>
  </si>
  <si>
    <t>지급임차료</t>
    <phoneticPr fontId="14" type="noConversion"/>
  </si>
  <si>
    <t>행사운영비</t>
    <phoneticPr fontId="14" type="noConversion"/>
  </si>
  <si>
    <t>o 계</t>
    <phoneticPr fontId="14" type="noConversion"/>
  </si>
  <si>
    <t>일</t>
    <phoneticPr fontId="15" type="noConversion"/>
  </si>
  <si>
    <t>o 다산묘제 진행</t>
    <phoneticPr fontId="14" type="noConversion"/>
  </si>
  <si>
    <t>o 실학기행 차량임차</t>
    <phoneticPr fontId="14" type="noConversion"/>
  </si>
  <si>
    <t>o 네트워크 회의비</t>
    <phoneticPr fontId="14" type="noConversion"/>
  </si>
  <si>
    <t>o 실학훼밀리 역사답사 소모품</t>
    <phoneticPr fontId="14" type="noConversion"/>
  </si>
  <si>
    <t xml:space="preserve">   1. 실학훼밀리 역사답사 강사료</t>
    <phoneticPr fontId="14" type="noConversion"/>
  </si>
  <si>
    <t xml:space="preserve">   2. 다산문화제 진행</t>
    <phoneticPr fontId="14" type="noConversion"/>
  </si>
  <si>
    <t xml:space="preserve">   1. 실학기행 행사운영비</t>
    <phoneticPr fontId="14" type="noConversion"/>
  </si>
  <si>
    <t xml:space="preserve">   2. 창작뮤지컬 행사운영비</t>
    <phoneticPr fontId="14" type="noConversion"/>
  </si>
  <si>
    <t xml:space="preserve">   3. 조안면 노인잔치 행사운영비</t>
    <phoneticPr fontId="15" type="noConversion"/>
  </si>
  <si>
    <t xml:space="preserve"> o 기간제(4대보험, 퇴직금포함)</t>
    <phoneticPr fontId="15" type="noConversion"/>
  </si>
  <si>
    <t xml:space="preserve"> o 언론광고</t>
    <phoneticPr fontId="15" type="noConversion"/>
  </si>
  <si>
    <t xml:space="preserve">   1. 가이드맵</t>
    <phoneticPr fontId="15" type="noConversion"/>
  </si>
  <si>
    <t xml:space="preserve">   2. 홍보자료 인쇄</t>
    <phoneticPr fontId="15" type="noConversion"/>
  </si>
  <si>
    <t xml:space="preserve"> o 소모품 구입</t>
    <phoneticPr fontId="15" type="noConversion"/>
  </si>
  <si>
    <t>회</t>
    <phoneticPr fontId="21" type="noConversion"/>
  </si>
  <si>
    <t xml:space="preserve">   1. 국내 출장비</t>
    <phoneticPr fontId="15" type="noConversion"/>
  </si>
  <si>
    <t xml:space="preserve">   2. 해외 출장비</t>
    <phoneticPr fontId="15" type="noConversion"/>
  </si>
  <si>
    <t xml:space="preserve"> o 참고서적 구입 등</t>
    <phoneticPr fontId="15" type="noConversion"/>
  </si>
  <si>
    <t>개</t>
    <phoneticPr fontId="15" type="noConversion"/>
  </si>
  <si>
    <t xml:space="preserve">   1. 원고료</t>
    <phoneticPr fontId="15" type="noConversion"/>
  </si>
  <si>
    <t xml:space="preserve">   2. 번역료</t>
    <phoneticPr fontId="15" type="noConversion"/>
  </si>
  <si>
    <t xml:space="preserve">   3. 작품사용료</t>
    <phoneticPr fontId="15" type="noConversion"/>
  </si>
  <si>
    <t xml:space="preserve">   4. 심사료</t>
    <phoneticPr fontId="15" type="noConversion"/>
  </si>
  <si>
    <t xml:space="preserve">   5. 강사료</t>
    <phoneticPr fontId="15" type="noConversion"/>
  </si>
  <si>
    <t xml:space="preserve">   1. 콘텐츠플랫폼개발</t>
    <phoneticPr fontId="15" type="noConversion"/>
  </si>
  <si>
    <t xml:space="preserve">   2. 홈페이지 개편 및 영문 홈페이지 구축</t>
    <phoneticPr fontId="15" type="noConversion"/>
  </si>
  <si>
    <t xml:space="preserve">   3. 플랫폼 BI 및 디자인</t>
    <phoneticPr fontId="27" type="noConversion"/>
  </si>
  <si>
    <t xml:space="preserve">   4. 영상 및 이미지 콘텐츠 제작</t>
    <phoneticPr fontId="15" type="noConversion"/>
  </si>
  <si>
    <t xml:space="preserve">   5. 아카이브 자료 편집</t>
    <phoneticPr fontId="15" type="noConversion"/>
  </si>
  <si>
    <t xml:space="preserve"> o 사무기기 등</t>
    <phoneticPr fontId="15" type="noConversion"/>
  </si>
  <si>
    <t xml:space="preserve"> o 문자 및 우편발송</t>
    <phoneticPr fontId="15" type="noConversion"/>
  </si>
  <si>
    <t xml:space="preserve">   1. 기관 워크숍 운영</t>
    <phoneticPr fontId="15" type="noConversion"/>
  </si>
  <si>
    <t xml:space="preserve">   2. 홍보물 구입</t>
    <phoneticPr fontId="15" type="noConversion"/>
  </si>
  <si>
    <t xml:space="preserve"> o 사업관련 업무협의 및 자문</t>
    <phoneticPr fontId="15" type="noConversion"/>
  </si>
  <si>
    <t xml:space="preserve"> o 서버구입</t>
    <phoneticPr fontId="15" type="noConversion"/>
  </si>
  <si>
    <t xml:space="preserve"> o 교육강사(4대보험료, 퇴직금 포함)</t>
    <phoneticPr fontId="15" type="noConversion"/>
  </si>
  <si>
    <t xml:space="preserve"> o 국내출장</t>
    <phoneticPr fontId="15" type="noConversion"/>
  </si>
  <si>
    <t xml:space="preserve"> o 운영보조아르바이트</t>
    <phoneticPr fontId="15" type="noConversion"/>
  </si>
  <si>
    <t xml:space="preserve"> o 교사초청설명회</t>
    <phoneticPr fontId="15" type="noConversion"/>
  </si>
  <si>
    <t xml:space="preserve"> o 간담회 </t>
    <phoneticPr fontId="15" type="noConversion"/>
  </si>
  <si>
    <t xml:space="preserve"> o 교구 제작</t>
    <phoneticPr fontId="15" type="noConversion"/>
  </si>
  <si>
    <t xml:space="preserve"> o 포스 사용 임차료</t>
    <phoneticPr fontId="15" type="noConversion"/>
  </si>
  <si>
    <t xml:space="preserve">   2. 운영요원 기간제 퇴직금(1년)</t>
    <phoneticPr fontId="15" type="noConversion"/>
  </si>
  <si>
    <t>회</t>
    <phoneticPr fontId="15" type="noConversion"/>
  </si>
  <si>
    <t xml:space="preserve">   3. 초과 및 휴일근무 수당</t>
    <phoneticPr fontId="15" type="noConversion"/>
  </si>
  <si>
    <t xml:space="preserve">   2. 연간 Adobe 등 소프트웨어 라이선스 등</t>
    <phoneticPr fontId="15" type="noConversion"/>
  </si>
  <si>
    <t xml:space="preserve">   3. 연간폰트 라이선스</t>
    <phoneticPr fontId="15" type="noConversion"/>
  </si>
  <si>
    <t xml:space="preserve">   1. 직원 웹메일 유지비 등</t>
    <phoneticPr fontId="15" type="noConversion"/>
  </si>
  <si>
    <t xml:space="preserve">   2. 도메인 및 SSL 서버보안인증서 등</t>
    <phoneticPr fontId="15" type="noConversion"/>
  </si>
  <si>
    <t xml:space="preserve">   3. 자료보관용 클라우드 시스템 유지 등</t>
    <phoneticPr fontId="15" type="noConversion"/>
  </si>
  <si>
    <t>자료구입비</t>
    <phoneticPr fontId="15" type="noConversion"/>
  </si>
  <si>
    <t xml:space="preserve"> o 이미지 저작권 구입 등</t>
    <phoneticPr fontId="15" type="noConversion"/>
  </si>
  <si>
    <t xml:space="preserve">   1. 웹서버 노후화 교체</t>
    <phoneticPr fontId="15" type="noConversion"/>
  </si>
  <si>
    <t xml:space="preserve">   2. 프린트 등 사무기기 교체 등</t>
    <phoneticPr fontId="15" type="noConversion"/>
  </si>
  <si>
    <t xml:space="preserve">   1. 외국어 번역료 및 원고료 등</t>
    <phoneticPr fontId="15" type="noConversion"/>
  </si>
  <si>
    <t xml:space="preserve">   2. 어워드 심사비 등</t>
    <phoneticPr fontId="15" type="noConversion"/>
  </si>
  <si>
    <t xml:space="preserve">   1. 홈페이지 기능개선</t>
    <phoneticPr fontId="15" type="noConversion"/>
  </si>
  <si>
    <t xml:space="preserve">   2. 콘텐츠 생산 및 가공</t>
    <phoneticPr fontId="15" type="noConversion"/>
  </si>
  <si>
    <t xml:space="preserve">   1. 웹용 SMS 문자서비스 등 </t>
    <phoneticPr fontId="15" type="noConversion"/>
  </si>
  <si>
    <t xml:space="preserve"> o 홈페이지 및 블로그 활성화 이벤트 등</t>
    <phoneticPr fontId="15" type="noConversion"/>
  </si>
  <si>
    <t xml:space="preserve">   1. 국외여비</t>
    <phoneticPr fontId="15" type="noConversion"/>
  </si>
  <si>
    <t xml:space="preserve">   2. 자문회의비</t>
    <phoneticPr fontId="15" type="noConversion"/>
  </si>
  <si>
    <t xml:space="preserve">   1. 온라인 소통플랫폼 구축 및 운영</t>
    <phoneticPr fontId="15" type="noConversion"/>
  </si>
  <si>
    <t xml:space="preserve">   2. 오프라인 소통플랫폼 구축 및 운영(타운홀미팅, 정책오디션 포함)</t>
    <phoneticPr fontId="15" type="noConversion"/>
  </si>
  <si>
    <t xml:space="preserve">   1. 보존관리 및 활용 가이드라인 발간</t>
    <phoneticPr fontId="15" type="noConversion"/>
  </si>
  <si>
    <t xml:space="preserve">   2. 포럼 결과보고서 제작</t>
    <phoneticPr fontId="15" type="noConversion"/>
  </si>
  <si>
    <r>
      <t xml:space="preserve">   3. 헤리티지 총서 발간(국</t>
    </r>
    <r>
      <rPr>
        <sz val="12"/>
        <color theme="1"/>
        <rFont val="맑은 고딕"/>
        <family val="3"/>
        <charset val="129"/>
      </rPr>
      <t>·</t>
    </r>
    <r>
      <rPr>
        <sz val="12"/>
        <color theme="1"/>
        <rFont val="돋움"/>
        <family val="3"/>
        <charset val="129"/>
      </rPr>
      <t>영문)</t>
    </r>
    <phoneticPr fontId="15" type="noConversion"/>
  </si>
  <si>
    <t xml:space="preserve">   4. 홍보물 인쇄</t>
    <phoneticPr fontId="15" type="noConversion"/>
  </si>
  <si>
    <t xml:space="preserve">   1. 기록유산 기초조사 원고료</t>
    <phoneticPr fontId="15" type="noConversion"/>
  </si>
  <si>
    <t xml:space="preserve">   2. 헤리티지 총서 원고료</t>
    <phoneticPr fontId="15" type="noConversion"/>
  </si>
  <si>
    <t xml:space="preserve">   3. 헤리티지 총서 번역비</t>
    <phoneticPr fontId="15" type="noConversion"/>
  </si>
  <si>
    <t xml:space="preserve">   4. 자문료</t>
    <phoneticPr fontId="15" type="noConversion"/>
  </si>
  <si>
    <t xml:space="preserve">   1. 세계문화유산등재 타당성 기초조사</t>
    <phoneticPr fontId="15" type="noConversion"/>
  </si>
  <si>
    <t xml:space="preserve">   2. 포럼 개최</t>
    <phoneticPr fontId="15" type="noConversion"/>
  </si>
  <si>
    <t xml:space="preserve">   1. 여비교통비(국외)</t>
    <phoneticPr fontId="15" type="noConversion"/>
  </si>
  <si>
    <t xml:space="preserve">   2. 여비교통비(국내)</t>
    <phoneticPr fontId="15" type="noConversion"/>
  </si>
  <si>
    <t xml:space="preserve">   1. 현수막, 배너 등 포럼 홍보물 제작</t>
    <phoneticPr fontId="15" type="noConversion"/>
  </si>
  <si>
    <t xml:space="preserve"> o 계</t>
    <phoneticPr fontId="15" type="noConversion"/>
  </si>
  <si>
    <t xml:space="preserve">  1. 안내 홍보물 제작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</si>
  <si>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</si>
  <si>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</si>
  <si>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</si>
  <si>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 xml:space="preserve">  2. 연간보고서 발간</t>
    <phoneticPr fontId="15" type="noConversion"/>
  </si>
  <si>
    <t>권</t>
    <phoneticPr fontId="15" type="noConversion"/>
  </si>
  <si>
    <t xml:space="preserve">  3. 뉴스레터</t>
    <phoneticPr fontId="15" type="noConversion"/>
  </si>
  <si>
    <t xml:space="preserve"> o 국내여비</t>
    <phoneticPr fontId="15" type="noConversion"/>
  </si>
  <si>
    <t>월</t>
    <phoneticPr fontId="21" type="noConversion"/>
  </si>
  <si>
    <t>명*</t>
    <phoneticPr fontId="15" type="noConversion"/>
  </si>
  <si>
    <t>회</t>
    <phoneticPr fontId="21" type="noConversion"/>
  </si>
  <si>
    <t xml:space="preserve"> o 도민제안 및 제안 외 사업(비전선포식 등)</t>
    <phoneticPr fontId="15" type="noConversion"/>
  </si>
  <si>
    <t>식</t>
    <phoneticPr fontId="15" type="noConversion"/>
  </si>
  <si>
    <t xml:space="preserve"> o 도민제안 및 제안 외 사업(기획공모사업)</t>
    <phoneticPr fontId="15" type="noConversion"/>
  </si>
  <si>
    <t>식</t>
    <phoneticPr fontId="21" type="noConversion"/>
  </si>
  <si>
    <t xml:space="preserve"> o 미디어 홍보 등</t>
    <phoneticPr fontId="15" type="noConversion"/>
  </si>
  <si>
    <t xml:space="preserve"> o 설명회, 결과공유회 등</t>
    <phoneticPr fontId="15" type="noConversion"/>
  </si>
  <si>
    <t>회</t>
    <phoneticPr fontId="27" type="noConversion"/>
  </si>
  <si>
    <t xml:space="preserve"> o 차량임차</t>
    <phoneticPr fontId="15" type="noConversion"/>
  </si>
  <si>
    <t xml:space="preserve"> o 소모품 구입 등</t>
    <phoneticPr fontId="15" type="noConversion"/>
  </si>
  <si>
    <t xml:space="preserve"> o 현장회의운영</t>
    <phoneticPr fontId="15" type="noConversion"/>
  </si>
  <si>
    <t xml:space="preserve">  1. 심사료</t>
    <phoneticPr fontId="15" type="noConversion"/>
  </si>
  <si>
    <t xml:space="preserve">  2. 자문회의비</t>
    <phoneticPr fontId="15" type="noConversion"/>
  </si>
  <si>
    <t xml:space="preserve"> o  계</t>
    <phoneticPr fontId="15" type="noConversion"/>
  </si>
  <si>
    <t xml:space="preserve">  1. 판매원(4대보험포함)</t>
    <phoneticPr fontId="15" type="noConversion"/>
  </si>
  <si>
    <t xml:space="preserve">  2. 아트샵 주말 아르바이트</t>
    <phoneticPr fontId="15" type="noConversion"/>
  </si>
  <si>
    <t xml:space="preserve"> o 상품구입 및 제작비</t>
    <phoneticPr fontId="15" type="noConversion"/>
  </si>
  <si>
    <t>개월</t>
    <phoneticPr fontId="15" type="noConversion"/>
  </si>
  <si>
    <t xml:space="preserve"> o 포스임차비등</t>
    <phoneticPr fontId="15" type="noConversion"/>
  </si>
  <si>
    <t xml:space="preserve"> o 회의,자문비등</t>
    <phoneticPr fontId="15" type="noConversion"/>
  </si>
  <si>
    <t xml:space="preserve">   1. 자료집제작</t>
    <phoneticPr fontId="15" type="noConversion"/>
  </si>
  <si>
    <t xml:space="preserve">   2. 홍보물제작</t>
    <phoneticPr fontId="15" type="noConversion"/>
  </si>
  <si>
    <t xml:space="preserve">   1. 국내출장</t>
    <phoneticPr fontId="15" type="noConversion"/>
  </si>
  <si>
    <t xml:space="preserve">   2. 해외출장</t>
    <phoneticPr fontId="15" type="noConversion"/>
  </si>
  <si>
    <t xml:space="preserve">   2. 강의 및 자문, 원고료</t>
    <phoneticPr fontId="15" type="noConversion"/>
  </si>
  <si>
    <t xml:space="preserve">   3. 해외코디네이터비</t>
    <phoneticPr fontId="15" type="noConversion"/>
  </si>
  <si>
    <t xml:space="preserve">   1. 영상촬영</t>
    <phoneticPr fontId="15" type="noConversion"/>
  </si>
  <si>
    <t xml:space="preserve">   2. 임차비</t>
    <phoneticPr fontId="15" type="noConversion"/>
  </si>
  <si>
    <t>단체*</t>
    <phoneticPr fontId="15" type="noConversion"/>
  </si>
  <si>
    <t>건</t>
    <phoneticPr fontId="15" type="noConversion"/>
  </si>
  <si>
    <t xml:space="preserve"> o 워크숍, 결과공유회</t>
    <phoneticPr fontId="15" type="noConversion"/>
  </si>
  <si>
    <t xml:space="preserve"> o 전시도록 제작</t>
    <phoneticPr fontId="14" type="noConversion"/>
  </si>
  <si>
    <t>부*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</si>
  <si>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</si>
  <si>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</si>
  <si>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</si>
  <si>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 xml:space="preserve"> o 대여유물 보험가입</t>
    <phoneticPr fontId="15" type="noConversion"/>
  </si>
  <si>
    <t xml:space="preserve"> </t>
    <phoneticPr fontId="14" type="noConversion"/>
  </si>
  <si>
    <t>회</t>
    <phoneticPr fontId="14" type="noConversion"/>
  </si>
  <si>
    <t xml:space="preserve"> o 계</t>
    <phoneticPr fontId="14" type="noConversion"/>
  </si>
  <si>
    <t xml:space="preserve"> </t>
    <phoneticPr fontId="15" type="noConversion"/>
  </si>
  <si>
    <t xml:space="preserve">   1. 도록 원고료</t>
    <phoneticPr fontId="15" type="noConversion"/>
  </si>
  <si>
    <t>명*</t>
    <phoneticPr fontId="15" type="noConversion"/>
  </si>
  <si>
    <t>매</t>
    <phoneticPr fontId="15" type="noConversion"/>
  </si>
  <si>
    <t xml:space="preserve">   2. 자문회의 수당</t>
    <phoneticPr fontId="15" type="noConversion"/>
  </si>
  <si>
    <t xml:space="preserve">   3. 한문 번역료</t>
    <phoneticPr fontId="15" type="noConversion"/>
  </si>
  <si>
    <t>매*</t>
    <phoneticPr fontId="15" type="noConversion"/>
  </si>
  <si>
    <t xml:space="preserve">   1. 설치공사</t>
    <phoneticPr fontId="14" type="noConversion"/>
  </si>
  <si>
    <t xml:space="preserve">   2. 그래픽 및 설계</t>
    <phoneticPr fontId="14" type="noConversion"/>
  </si>
  <si>
    <t xml:space="preserve">   3. 체험물 및 체험지 제작</t>
    <phoneticPr fontId="14" type="noConversion"/>
  </si>
  <si>
    <t xml:space="preserve">   4. 홍보물(리플렛,초청장,포스터 등) 제작</t>
    <phoneticPr fontId="14" type="noConversion"/>
  </si>
  <si>
    <t xml:space="preserve">   5. 입간판,배너,현수막 등 제작</t>
    <phoneticPr fontId="14" type="noConversion"/>
  </si>
  <si>
    <t xml:space="preserve">   6. 유물복제</t>
    <phoneticPr fontId="15" type="noConversion"/>
  </si>
  <si>
    <t xml:space="preserve">   7. 전시유물 촬영</t>
    <phoneticPr fontId="14" type="noConversion"/>
  </si>
  <si>
    <t xml:space="preserve">   8. 전시영상물 제작</t>
    <phoneticPr fontId="14" type="noConversion"/>
  </si>
  <si>
    <t xml:space="preserve"> o 특별전보조인건비(급식, 교통보조, 연월차수당 포함)</t>
    <phoneticPr fontId="15" type="noConversion"/>
  </si>
  <si>
    <t xml:space="preserve"> o 전시유물 운송</t>
    <phoneticPr fontId="14" type="noConversion"/>
  </si>
  <si>
    <t>원*</t>
    <phoneticPr fontId="15" type="noConversion"/>
  </si>
  <si>
    <t>회</t>
    <phoneticPr fontId="14" type="noConversion"/>
  </si>
  <si>
    <t>=</t>
    <phoneticPr fontId="15" type="noConversion"/>
  </si>
  <si>
    <t xml:space="preserve"> o 홍보물 발송</t>
    <phoneticPr fontId="15" type="noConversion"/>
  </si>
  <si>
    <t>회</t>
    <phoneticPr fontId="15" type="noConversion"/>
  </si>
  <si>
    <t xml:space="preserve"> o 개막식 행사비</t>
    <phoneticPr fontId="15" type="noConversion"/>
  </si>
  <si>
    <t xml:space="preserve"> </t>
    <phoneticPr fontId="14" type="noConversion"/>
  </si>
  <si>
    <t xml:space="preserve"> o 특별전 회의 진행비</t>
    <phoneticPr fontId="15" type="noConversion"/>
  </si>
  <si>
    <t>원*</t>
    <phoneticPr fontId="15" type="noConversion"/>
  </si>
  <si>
    <t>회</t>
    <phoneticPr fontId="14" type="noConversion"/>
  </si>
  <si>
    <t>=</t>
    <phoneticPr fontId="15" type="noConversion"/>
  </si>
  <si>
    <t xml:space="preserve"> o 계</t>
    <phoneticPr fontId="15" type="noConversion"/>
  </si>
  <si>
    <t>식</t>
    <phoneticPr fontId="15" type="noConversion"/>
  </si>
  <si>
    <t xml:space="preserve"> o 운영 평가 회의</t>
    <phoneticPr fontId="15" type="noConversion"/>
  </si>
  <si>
    <t xml:space="preserve"> </t>
    <phoneticPr fontId="21" type="noConversion"/>
  </si>
  <si>
    <t xml:space="preserve">   1. 문화다양성 교구 대여시스템 운영 보조인력</t>
    <phoneticPr fontId="15" type="noConversion"/>
  </si>
  <si>
    <t xml:space="preserve">   2. 교구 정리 및 데이터 통계</t>
    <phoneticPr fontId="15" type="noConversion"/>
  </si>
  <si>
    <t xml:space="preserve">   3. 문화다양성 교구 대여시스템 운영 보조인력(추가 고용)</t>
    <phoneticPr fontId="15" type="noConversion"/>
  </si>
  <si>
    <t xml:space="preserve">   1. 교종별 교구 구성품 구입</t>
    <phoneticPr fontId="15" type="noConversion"/>
  </si>
  <si>
    <t xml:space="preserve">   2. 대여 관련 소모품 구입</t>
    <phoneticPr fontId="15" type="noConversion"/>
  </si>
  <si>
    <t>지급용역료</t>
    <phoneticPr fontId="15" type="noConversion"/>
  </si>
  <si>
    <t>행사운영비</t>
    <phoneticPr fontId="15" type="noConversion"/>
  </si>
  <si>
    <t>지급임차료</t>
    <phoneticPr fontId="15" type="noConversion"/>
  </si>
  <si>
    <t xml:space="preserve">   3. 퇴직금</t>
    <phoneticPr fontId="15" type="noConversion"/>
  </si>
  <si>
    <t xml:space="preserve"> o 노트북 등 임차</t>
    <phoneticPr fontId="15" type="noConversion"/>
  </si>
  <si>
    <t>식</t>
    <phoneticPr fontId="15" type="noConversion"/>
  </si>
  <si>
    <t>인*</t>
    <phoneticPr fontId="15" type="noConversion"/>
  </si>
  <si>
    <t xml:space="preserve">   1. 번역료(한영)</t>
    <phoneticPr fontId="15" type="noConversion"/>
  </si>
  <si>
    <t>매*</t>
    <phoneticPr fontId="15" type="noConversion"/>
  </si>
  <si>
    <t xml:space="preserve">   2. 번역료(영한)</t>
    <phoneticPr fontId="15" type="noConversion"/>
  </si>
  <si>
    <t xml:space="preserve">   3. 참여작가사례비</t>
    <phoneticPr fontId="15" type="noConversion"/>
  </si>
  <si>
    <t xml:space="preserve">   4. 실학박물관 특별전 작가사례비</t>
    <phoneticPr fontId="15" type="noConversion"/>
  </si>
  <si>
    <t xml:space="preserve"> o 노동의맛 자산 구입</t>
    <phoneticPr fontId="15" type="noConversion"/>
  </si>
  <si>
    <t xml:space="preserve">   4. 생활문화축제 장소조성</t>
    <phoneticPr fontId="15" type="noConversion"/>
  </si>
  <si>
    <t>=</t>
    <phoneticPr fontId="15" type="noConversion"/>
  </si>
  <si>
    <t xml:space="preserve"> o 주민강사 공모, 매거진 제작 추진단 지원금</t>
    <phoneticPr fontId="15" type="noConversion"/>
  </si>
  <si>
    <t>행사운영비</t>
    <phoneticPr fontId="15" type="noConversion"/>
  </si>
  <si>
    <t xml:space="preserve"> o 계</t>
    <phoneticPr fontId="15" type="noConversion"/>
  </si>
  <si>
    <t xml:space="preserve">   1. 프로그램 운영 관련</t>
    <phoneticPr fontId="15" type="noConversion"/>
  </si>
  <si>
    <t xml:space="preserve">   2. 어린이책놀이터 행사운영</t>
    <phoneticPr fontId="15" type="noConversion"/>
  </si>
  <si>
    <t xml:space="preserve">   3. 생활문화축제</t>
    <phoneticPr fontId="15" type="noConversion"/>
  </si>
  <si>
    <t>회의운영비</t>
    <phoneticPr fontId="15" type="noConversion"/>
  </si>
  <si>
    <t xml:space="preserve"> o 사업 관련 회의운영</t>
    <phoneticPr fontId="15" type="noConversion"/>
  </si>
  <si>
    <t xml:space="preserve"> o 생활문화축제 관련 기자재 임차</t>
    <phoneticPr fontId="15" type="noConversion"/>
  </si>
  <si>
    <t xml:space="preserve">  1. 자문회의</t>
    <phoneticPr fontId="15" type="noConversion"/>
  </si>
  <si>
    <t xml:space="preserve">  2. 회의비</t>
    <phoneticPr fontId="15" type="noConversion"/>
  </si>
  <si>
    <t xml:space="preserve"> o 자료집 디자인 및 인쇄</t>
    <phoneticPr fontId="15" type="noConversion"/>
  </si>
  <si>
    <t>원*</t>
    <phoneticPr fontId="15" type="noConversion"/>
  </si>
  <si>
    <t>부</t>
    <phoneticPr fontId="14" type="noConversion"/>
  </si>
  <si>
    <t>=</t>
    <phoneticPr fontId="15" type="noConversion"/>
  </si>
  <si>
    <t>식</t>
    <phoneticPr fontId="15" type="noConversion"/>
  </si>
  <si>
    <t xml:space="preserve"> o 타기관 리서칭 및 교류 업무</t>
    <phoneticPr fontId="15" type="noConversion"/>
  </si>
  <si>
    <t xml:space="preserve"> o 강사료(외부강사)</t>
    <phoneticPr fontId="15" type="noConversion"/>
  </si>
  <si>
    <t>회</t>
    <phoneticPr fontId="15" type="noConversion"/>
  </si>
  <si>
    <t xml:space="preserve"> o 계</t>
    <phoneticPr fontId="15" type="noConversion"/>
  </si>
  <si>
    <t xml:space="preserve">   1. 현수막,배너제작 등</t>
    <phoneticPr fontId="15" type="noConversion"/>
  </si>
  <si>
    <t xml:space="preserve">   2. 사진 및 동영상촬영</t>
    <phoneticPr fontId="15" type="noConversion"/>
  </si>
  <si>
    <t xml:space="preserve"> o 차량임차</t>
    <phoneticPr fontId="15" type="noConversion"/>
  </si>
  <si>
    <t xml:space="preserve"> o 강의와 답사등 행사진행</t>
    <phoneticPr fontId="15" type="noConversion"/>
  </si>
  <si>
    <t xml:space="preserve"> o 회의 식음료비</t>
    <phoneticPr fontId="15" type="noConversion"/>
  </si>
  <si>
    <t>도서인쇄비</t>
    <phoneticPr fontId="15" type="noConversion"/>
  </si>
  <si>
    <t>소모품비</t>
    <phoneticPr fontId="15" type="noConversion"/>
  </si>
  <si>
    <t>여비교통비</t>
    <phoneticPr fontId="15" type="noConversion"/>
  </si>
  <si>
    <t>지급수수료</t>
    <phoneticPr fontId="15" type="noConversion"/>
  </si>
  <si>
    <t>지급용역료</t>
    <phoneticPr fontId="15" type="noConversion"/>
  </si>
  <si>
    <t>지급임차료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</si>
  <si>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</si>
  <si>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</si>
  <si>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  1. 교육강사(4대보험, 퇴직급여 포함)</t>
    <phoneticPr fontId="15" type="noConversion"/>
  </si>
  <si>
    <t>명*</t>
    <phoneticPr fontId="15" type="noConversion"/>
  </si>
  <si>
    <t>개월</t>
    <phoneticPr fontId="15" type="noConversion"/>
  </si>
  <si>
    <t xml:space="preserve">   2. 전시실지킴이(도슨트)</t>
    <phoneticPr fontId="15" type="noConversion"/>
  </si>
  <si>
    <t xml:space="preserve">   1. 전시 연출 및 운영</t>
    <phoneticPr fontId="15" type="noConversion"/>
  </si>
  <si>
    <t xml:space="preserve">   2. 교육프로그램 운영</t>
    <phoneticPr fontId="15" type="noConversion"/>
  </si>
  <si>
    <t>매</t>
    <phoneticPr fontId="15" type="noConversion"/>
  </si>
  <si>
    <t>명</t>
    <phoneticPr fontId="15" type="noConversion"/>
  </si>
  <si>
    <t xml:space="preserve">   1. 디자인인쇄용역</t>
    <phoneticPr fontId="15" type="noConversion"/>
  </si>
  <si>
    <t xml:space="preserve">   2. 작품 설치 및 철거, 운송</t>
    <phoneticPr fontId="15" type="noConversion"/>
  </si>
  <si>
    <t xml:space="preserve">   3. 전시장 조성 공사</t>
    <phoneticPr fontId="15" type="noConversion"/>
  </si>
  <si>
    <t xml:space="preserve">   4. 전시 사인물 제작 시공</t>
    <phoneticPr fontId="15" type="noConversion"/>
  </si>
  <si>
    <t xml:space="preserve">   5. 영상장비설치 </t>
    <phoneticPr fontId="15" type="noConversion"/>
  </si>
  <si>
    <t xml:space="preserve"> o 우편발송</t>
    <phoneticPr fontId="15" type="noConversion"/>
  </si>
  <si>
    <t xml:space="preserve"> o 오프닝행사진행</t>
    <phoneticPr fontId="15" type="noConversion"/>
  </si>
  <si>
    <t>인건비</t>
    <phoneticPr fontId="15" type="noConversion"/>
  </si>
  <si>
    <t>보험료</t>
    <phoneticPr fontId="14" type="noConversion"/>
  </si>
  <si>
    <t>지급임차료</t>
    <phoneticPr fontId="14" type="noConversion"/>
  </si>
  <si>
    <t>통신비</t>
    <phoneticPr fontId="15" type="noConversion"/>
  </si>
  <si>
    <t xml:space="preserve"> o 전시 기기 임차</t>
    <phoneticPr fontId="15" type="noConversion"/>
  </si>
  <si>
    <t xml:space="preserve"> o 강사섭외, 타기관 리서칭</t>
    <phoneticPr fontId="15" type="noConversion"/>
  </si>
  <si>
    <t xml:space="preserve">   1. 강사료</t>
    <phoneticPr fontId="15" type="noConversion"/>
  </si>
  <si>
    <t xml:space="preserve">   2. 특강강사료</t>
    <phoneticPr fontId="15" type="noConversion"/>
  </si>
  <si>
    <t>광고선전비</t>
    <phoneticPr fontId="15" type="noConversion"/>
  </si>
  <si>
    <t>아</t>
    <phoneticPr fontId="15" type="noConversion"/>
  </si>
  <si>
    <t xml:space="preserve"> o 온라인광고 및 아카이브</t>
    <phoneticPr fontId="15" type="noConversion"/>
  </si>
  <si>
    <t xml:space="preserve"> o 홍보물 제작</t>
    <phoneticPr fontId="15" type="noConversion"/>
  </si>
  <si>
    <t xml:space="preserve"> o 문구류 구입</t>
    <phoneticPr fontId="15" type="noConversion"/>
  </si>
  <si>
    <t xml:space="preserve">   2. 공간 설계디자인</t>
    <phoneticPr fontId="15" type="noConversion"/>
  </si>
  <si>
    <t xml:space="preserve">   3. 작품제작 지원비</t>
    <phoneticPr fontId="15" type="noConversion"/>
  </si>
  <si>
    <t xml:space="preserve">   4. 작가 사례비</t>
    <phoneticPr fontId="15" type="noConversion"/>
  </si>
  <si>
    <t xml:space="preserve"> o 실학총서 발간</t>
    <phoneticPr fontId="14" type="noConversion"/>
  </si>
  <si>
    <t>종*</t>
    <phoneticPr fontId="15" type="noConversion"/>
  </si>
  <si>
    <t xml:space="preserve"> o 실학총서 원고료</t>
    <phoneticPr fontId="14" type="noConversion"/>
  </si>
  <si>
    <t>매</t>
    <phoneticPr fontId="14" type="noConversion"/>
  </si>
  <si>
    <t xml:space="preserve"> o 초청장 인쇄</t>
    <phoneticPr fontId="14" type="noConversion"/>
  </si>
  <si>
    <t>장*</t>
    <phoneticPr fontId="15" type="noConversion"/>
  </si>
  <si>
    <t xml:space="preserve"> o 삭제</t>
    <phoneticPr fontId="14" type="noConversion"/>
  </si>
  <si>
    <t xml:space="preserve"> o 계</t>
    <phoneticPr fontId="14" type="noConversion"/>
  </si>
  <si>
    <t xml:space="preserve">   1. 토론</t>
    <phoneticPr fontId="14" type="noConversion"/>
  </si>
  <si>
    <t>회</t>
    <phoneticPr fontId="14" type="noConversion"/>
  </si>
  <si>
    <t xml:space="preserve">   2. 사회</t>
    <phoneticPr fontId="14" type="noConversion"/>
  </si>
  <si>
    <t xml:space="preserve">   3. 좌장</t>
    <phoneticPr fontId="14" type="noConversion"/>
  </si>
  <si>
    <t xml:space="preserve">   4. 자문회의 등</t>
    <phoneticPr fontId="15" type="noConversion"/>
  </si>
  <si>
    <t xml:space="preserve"> o 초청장 발송</t>
    <phoneticPr fontId="15" type="noConversion"/>
  </si>
  <si>
    <t xml:space="preserve"> o 행사진행 식음료비</t>
    <phoneticPr fontId="14" type="noConversion"/>
  </si>
  <si>
    <t xml:space="preserve"> o 회의운영비</t>
    <phoneticPr fontId="14" type="noConversion"/>
  </si>
  <si>
    <t>북한이탈주민 문화격차해소사업</t>
    <phoneticPr fontId="15" type="noConversion"/>
  </si>
  <si>
    <t>굿모닝하우스 가을음악회</t>
    <phoneticPr fontId="15" type="noConversion"/>
  </si>
  <si>
    <t>지급용역료</t>
    <phoneticPr fontId="15" type="noConversion"/>
  </si>
  <si>
    <t xml:space="preserve"> o 초청 공연비</t>
    <phoneticPr fontId="15" type="noConversion"/>
  </si>
  <si>
    <t xml:space="preserve"> o 업무대행 수수료</t>
    <phoneticPr fontId="15" type="noConversion"/>
  </si>
  <si>
    <t>행복수업</t>
    <phoneticPr fontId="15" type="noConversion"/>
  </si>
  <si>
    <t xml:space="preserve">   1. 디자인비</t>
    <phoneticPr fontId="15" type="noConversion"/>
  </si>
  <si>
    <t xml:space="preserve">   2. 안내문(활동지) 출력</t>
    <phoneticPr fontId="15" type="noConversion"/>
  </si>
  <si>
    <t xml:space="preserve">   1. 보조강사비</t>
    <phoneticPr fontId="15" type="noConversion"/>
  </si>
  <si>
    <t xml:space="preserve">   2. 워크샵 강사비</t>
    <phoneticPr fontId="15" type="noConversion"/>
  </si>
  <si>
    <t xml:space="preserve">   3. 집단 상담 강사비</t>
    <phoneticPr fontId="15" type="noConversion"/>
  </si>
  <si>
    <t>기수*</t>
    <phoneticPr fontId="15" type="noConversion"/>
  </si>
  <si>
    <t xml:space="preserve">   4. 기획자문료</t>
    <phoneticPr fontId="15" type="noConversion"/>
  </si>
  <si>
    <t>지급임차료</t>
    <phoneticPr fontId="15" type="noConversion"/>
  </si>
  <si>
    <t xml:space="preserve">   1. 대관료(4회차)</t>
    <phoneticPr fontId="15" type="noConversion"/>
  </si>
  <si>
    <t xml:space="preserve">   2. 버스 임차료(45인승)</t>
    <phoneticPr fontId="15" type="noConversion"/>
  </si>
  <si>
    <t>행사운영비</t>
    <phoneticPr fontId="15" type="noConversion"/>
  </si>
  <si>
    <t xml:space="preserve">   1. 재료, 다과비</t>
    <phoneticPr fontId="15" type="noConversion"/>
  </si>
  <si>
    <t xml:space="preserve">   2. 여행자 보험료 가입</t>
    <phoneticPr fontId="15" type="noConversion"/>
  </si>
  <si>
    <t xml:space="preserve">   3. 수료식 비용</t>
    <phoneticPr fontId="15" type="noConversion"/>
  </si>
  <si>
    <t>파주 금촌마을 기록화 용역사업</t>
    <phoneticPr fontId="15" type="noConversion"/>
  </si>
  <si>
    <t xml:space="preserve"> o 도서 인쇄</t>
    <phoneticPr fontId="15" type="noConversion"/>
  </si>
  <si>
    <t xml:space="preserve"> o 부가가치세</t>
    <phoneticPr fontId="15" type="noConversion"/>
  </si>
  <si>
    <t xml:space="preserve">   3. 용역수수료</t>
    <phoneticPr fontId="15" type="noConversion"/>
  </si>
  <si>
    <t xml:space="preserve">   1. 조사 집필 원고료</t>
    <phoneticPr fontId="15" type="noConversion"/>
  </si>
  <si>
    <t>=</t>
    <phoneticPr fontId="15" type="noConversion"/>
  </si>
  <si>
    <t xml:space="preserve"> o 주민설명회</t>
    <phoneticPr fontId="15" type="noConversion"/>
  </si>
  <si>
    <t>식*</t>
    <phoneticPr fontId="15" type="noConversion"/>
  </si>
  <si>
    <t xml:space="preserve"> o 연구진 회의비</t>
    <phoneticPr fontId="15" type="noConversion"/>
  </si>
  <si>
    <t>국제전(아이러니앤아이디얼리즘)</t>
    <phoneticPr fontId="15" type="noConversion"/>
  </si>
  <si>
    <t xml:space="preserve">   2. 인쇄물 디자인 제작</t>
    <phoneticPr fontId="15" type="noConversion"/>
  </si>
  <si>
    <t xml:space="preserve"> o 계</t>
    <phoneticPr fontId="15" type="noConversion"/>
  </si>
  <si>
    <t xml:space="preserve"> </t>
    <phoneticPr fontId="21" type="noConversion"/>
  </si>
  <si>
    <t xml:space="preserve">  1. 전기요금</t>
    <phoneticPr fontId="15" type="noConversion"/>
  </si>
  <si>
    <t>원*</t>
    <phoneticPr fontId="15" type="noConversion"/>
  </si>
  <si>
    <t>개월</t>
    <phoneticPr fontId="15" type="noConversion"/>
  </si>
  <si>
    <t>=</t>
    <phoneticPr fontId="15" type="noConversion"/>
  </si>
  <si>
    <t xml:space="preserve">  2. 상하수도 요금</t>
    <phoneticPr fontId="15" type="noConversion"/>
  </si>
  <si>
    <t xml:space="preserve">  3. LPG 가스요금</t>
    <phoneticPr fontId="15" type="noConversion"/>
  </si>
  <si>
    <t xml:space="preserve"> o 전시 연계 활동지 제작</t>
    <phoneticPr fontId="15" type="noConversion"/>
  </si>
  <si>
    <t xml:space="preserve"> o 교육 프로그램 물품 구입</t>
    <phoneticPr fontId="15" type="noConversion"/>
  </si>
  <si>
    <t xml:space="preserve"> o 계</t>
    <phoneticPr fontId="15" type="noConversion"/>
  </si>
  <si>
    <t xml:space="preserve">   1. 에듀케이터 인건비(급식,교통보조,격오지보조 포함)</t>
    <phoneticPr fontId="15" type="noConversion"/>
  </si>
  <si>
    <t>명*</t>
    <phoneticPr fontId="15" type="noConversion"/>
  </si>
  <si>
    <t xml:space="preserve">   2. 제경비(4대 보험료, 연월차수당 포함)</t>
    <phoneticPr fontId="15" type="noConversion"/>
  </si>
  <si>
    <t xml:space="preserve"> </t>
    <phoneticPr fontId="14" type="noConversion"/>
  </si>
  <si>
    <t xml:space="preserve">   1. 교재 제작</t>
    <phoneticPr fontId="14" type="noConversion"/>
  </si>
  <si>
    <t>원*</t>
    <phoneticPr fontId="15" type="noConversion"/>
  </si>
  <si>
    <t>부</t>
    <phoneticPr fontId="14" type="noConversion"/>
  </si>
  <si>
    <t>=</t>
    <phoneticPr fontId="15" type="noConversion"/>
  </si>
  <si>
    <t xml:space="preserve">   2. 안내 리플렛 제작</t>
    <phoneticPr fontId="14" type="noConversion"/>
  </si>
  <si>
    <t xml:space="preserve"> o 계</t>
    <phoneticPr fontId="14" type="noConversion"/>
  </si>
  <si>
    <t xml:space="preserve"> </t>
    <phoneticPr fontId="15" type="noConversion"/>
  </si>
  <si>
    <t xml:space="preserve">   1. 특강 강사료</t>
    <phoneticPr fontId="15" type="noConversion"/>
  </si>
  <si>
    <t>회</t>
    <phoneticPr fontId="15" type="noConversion"/>
  </si>
  <si>
    <t xml:space="preserve">   2. 특강 원고료</t>
    <phoneticPr fontId="15" type="noConversion"/>
  </si>
  <si>
    <t>매*</t>
    <phoneticPr fontId="15" type="noConversion"/>
  </si>
  <si>
    <t xml:space="preserve"> o 체험재료 구입</t>
    <phoneticPr fontId="15" type="noConversion"/>
  </si>
  <si>
    <t>식</t>
    <phoneticPr fontId="14" type="noConversion"/>
  </si>
  <si>
    <t>=</t>
    <phoneticPr fontId="14" type="noConversion"/>
  </si>
  <si>
    <t xml:space="preserve"> o 다과비</t>
    <phoneticPr fontId="15" type="noConversion"/>
  </si>
  <si>
    <t>회</t>
    <phoneticPr fontId="14" type="noConversion"/>
  </si>
  <si>
    <t>인건비</t>
    <phoneticPr fontId="15" type="noConversion"/>
  </si>
  <si>
    <t>도서인쇄비</t>
    <phoneticPr fontId="14" type="noConversion"/>
  </si>
  <si>
    <t>지급수수료</t>
    <phoneticPr fontId="14" type="noConversion"/>
  </si>
  <si>
    <t>소모품비</t>
    <phoneticPr fontId="14" type="noConversion"/>
  </si>
  <si>
    <t>행사운영비</t>
    <phoneticPr fontId="14" type="noConversion"/>
  </si>
  <si>
    <t xml:space="preserve">   1. 업무용 소모품 구입</t>
    <phoneticPr fontId="15" type="noConversion"/>
  </si>
  <si>
    <t xml:space="preserve">   2. 뮤지엄샵 관련 소모품구입</t>
    <phoneticPr fontId="15" type="noConversion"/>
  </si>
  <si>
    <t xml:space="preserve">   1. 고객관리 전산시스템 구축</t>
    <phoneticPr fontId="15" type="noConversion"/>
  </si>
  <si>
    <t xml:space="preserve">   2. 스마트 키오스크 제작</t>
    <phoneticPr fontId="15" type="noConversion"/>
  </si>
  <si>
    <t xml:space="preserve">   3. 뮤지엄파크 편의시설개선</t>
    <phoneticPr fontId="15" type="noConversion"/>
  </si>
  <si>
    <t>보험료</t>
    <phoneticPr fontId="15" type="noConversion"/>
  </si>
  <si>
    <t>-</t>
    <phoneticPr fontId="15" type="noConversion"/>
  </si>
  <si>
    <t xml:space="preserve"> o 소모품 구입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</si>
  <si>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</si>
  <si>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</si>
  <si>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</si>
  <si>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>명*</t>
    <phoneticPr fontId="15" type="noConversion"/>
  </si>
  <si>
    <t>식</t>
    <phoneticPr fontId="15" type="noConversion"/>
  </si>
  <si>
    <t xml:space="preserve"> o 기획수수료</t>
    <phoneticPr fontId="15" type="noConversion"/>
  </si>
  <si>
    <t>%</t>
    <phoneticPr fontId="14" type="noConversion"/>
  </si>
  <si>
    <t xml:space="preserve">   1. 작가 창작 지원금</t>
    <phoneticPr fontId="15" type="noConversion"/>
  </si>
  <si>
    <t>명</t>
    <phoneticPr fontId="15" type="noConversion"/>
  </si>
  <si>
    <t xml:space="preserve">   2. 방조재 패널 제작 및 설치</t>
    <phoneticPr fontId="15" type="noConversion"/>
  </si>
  <si>
    <t xml:space="preserve">   3. 방조제 패널 설계</t>
    <phoneticPr fontId="15" type="noConversion"/>
  </si>
  <si>
    <t xml:space="preserve">   4. 작품제작 영상촬영 및 편집</t>
    <phoneticPr fontId="15" type="noConversion"/>
  </si>
  <si>
    <t xml:space="preserve">   5. 작품제작용 스프레이 구입 및 배송</t>
    <phoneticPr fontId="15" type="noConversion"/>
  </si>
  <si>
    <t>개</t>
    <phoneticPr fontId="15" type="noConversion"/>
  </si>
  <si>
    <t xml:space="preserve">   6. 작품 명제표 제작 및 설치</t>
    <phoneticPr fontId="15" type="noConversion"/>
  </si>
  <si>
    <t xml:space="preserve">   7. 안전 팬스 및 관람객 편의시설 제작</t>
    <phoneticPr fontId="15" type="noConversion"/>
  </si>
  <si>
    <t xml:space="preserve"> o 사업관련 협력회의</t>
    <phoneticPr fontId="15" type="noConversion"/>
  </si>
  <si>
    <t>소모품비</t>
    <phoneticPr fontId="15" type="noConversion"/>
  </si>
  <si>
    <t xml:space="preserve"> o 해외작가 항공권, 여비 지급</t>
    <phoneticPr fontId="15" type="noConversion"/>
  </si>
  <si>
    <t>행사운영비</t>
    <phoneticPr fontId="15" type="noConversion"/>
  </si>
  <si>
    <t>=</t>
    <phoneticPr fontId="15" type="noConversion"/>
  </si>
  <si>
    <t xml:space="preserve"> o 교육연계 국내출장</t>
  </si>
  <si>
    <t xml:space="preserve">   1. 전시연계 프로그램 강사료</t>
    <phoneticPr fontId="15" type="noConversion"/>
  </si>
  <si>
    <t xml:space="preserve">   2. 기획전시 보조강사료</t>
    <phoneticPr fontId="15" type="noConversion"/>
  </si>
  <si>
    <t xml:space="preserve"> o 교육공간 조성(싸인물조성등)</t>
    <phoneticPr fontId="15" type="noConversion"/>
  </si>
  <si>
    <t>원*</t>
    <phoneticPr fontId="15" type="noConversion"/>
  </si>
  <si>
    <t>식</t>
    <phoneticPr fontId="15" type="noConversion"/>
  </si>
  <si>
    <t xml:space="preserve"> o 교육행사 운영</t>
    <phoneticPr fontId="15" type="noConversion"/>
  </si>
  <si>
    <t xml:space="preserve">   1. 기자재 및 장비임차</t>
    <phoneticPr fontId="15" type="noConversion"/>
  </si>
  <si>
    <t xml:space="preserve"> o 국제 교류작가 및 스텝 항공료</t>
    <phoneticPr fontId="15" type="noConversion"/>
  </si>
  <si>
    <t xml:space="preserve">   1. 토크/워크숍/오픈스튜디오 등</t>
    <phoneticPr fontId="15" type="noConversion"/>
  </si>
  <si>
    <t xml:space="preserve">   2. 아트마켓 유닛부스 운영</t>
    <phoneticPr fontId="15" type="noConversion"/>
  </si>
  <si>
    <t xml:space="preserve"> o 운영회의</t>
    <phoneticPr fontId="15" type="noConversion"/>
  </si>
  <si>
    <t xml:space="preserve"> o 스튜디오정비</t>
    <phoneticPr fontId="15" type="noConversion"/>
  </si>
  <si>
    <t xml:space="preserve"> o 스튜디오 장비 임차</t>
    <phoneticPr fontId="15" type="noConversion"/>
  </si>
  <si>
    <t xml:space="preserve"> o 스튜디오 환경개선</t>
    <phoneticPr fontId="15" type="noConversion"/>
  </si>
  <si>
    <t xml:space="preserve">  - 문화예술본부 (북부문화사업단)</t>
    <phoneticPr fontId="15" type="noConversion"/>
  </si>
  <si>
    <t xml:space="preserve">  - 문화예술본부 경기학연구센터 파주금촌마을 기록화 용역사업 (파주시)</t>
    <phoneticPr fontId="15" type="noConversion"/>
  </si>
  <si>
    <t xml:space="preserve">  - 경기도어린이박물관 행복수업 (한샘)</t>
    <phoneticPr fontId="15" type="noConversion"/>
  </si>
  <si>
    <t>북한이탈주민 &lt;굿모닝하우스 가을음악회&gt;</t>
    <phoneticPr fontId="15" type="noConversion"/>
  </si>
  <si>
    <t xml:space="preserve">  - 문화예술본부 문예진흥팀 북한이탈주민 (경기도)</t>
    <phoneticPr fontId="15" type="noConversion"/>
  </si>
  <si>
    <t>국제전 (아이러니&amp;아이디얼리즘)</t>
    <phoneticPr fontId="27" type="noConversion"/>
  </si>
  <si>
    <t xml:space="preserve">  - 경기도미술관 국제전 (아이러니&amp;아이디얼리즘) (한국국제교류재단)</t>
    <phoneticPr fontId="15" type="noConversion"/>
  </si>
  <si>
    <t>=</t>
    <phoneticPr fontId="15" type="noConversion"/>
  </si>
  <si>
    <t xml:space="preserve">   6. 문화예술 단체 및 공연지원 등 (경기도 1회추경)</t>
    <phoneticPr fontId="15" type="noConversion"/>
  </si>
  <si>
    <t xml:space="preserve">   1. 소외계층 문화예술단체 지원</t>
    <phoneticPr fontId="15" type="noConversion"/>
  </si>
  <si>
    <t xml:space="preserve">   2. 사회적 약자 문화향유 확대 지원</t>
    <phoneticPr fontId="15" type="noConversion"/>
  </si>
  <si>
    <t>북한이탈주민 문화격차해소사업</t>
    <phoneticPr fontId="15" type="noConversion"/>
  </si>
  <si>
    <t>굿모닝하우스 가을음악회</t>
    <phoneticPr fontId="15" type="noConversion"/>
  </si>
  <si>
    <t xml:space="preserve">  - 문화예술본부 지역문화팀 경기상상캠퍼스 운영 (경기도)</t>
    <phoneticPr fontId="15" type="noConversion"/>
  </si>
  <si>
    <t xml:space="preserve">  - 문화예술본부 지역문화팀 문화공유 플랫폼 운영 (국비, 경기도)</t>
    <phoneticPr fontId="15" type="noConversion"/>
  </si>
  <si>
    <t xml:space="preserve"> o 공연료</t>
    <phoneticPr fontId="14" type="noConversion"/>
  </si>
  <si>
    <t>임진각 생태탐방로 전시</t>
    <phoneticPr fontId="15" type="noConversion"/>
  </si>
  <si>
    <t>미술관전시운영</t>
    <phoneticPr fontId="15" type="noConversion"/>
  </si>
  <si>
    <t>국제전(아이러니앤아이디얼리즘)</t>
    <phoneticPr fontId="15" type="noConversion"/>
  </si>
  <si>
    <t xml:space="preserve">  1. 주강사료 </t>
    <phoneticPr fontId="15" type="noConversion"/>
  </si>
  <si>
    <t xml:space="preserve">  2. 보조강사료</t>
    <phoneticPr fontId="15" type="noConversion"/>
  </si>
  <si>
    <t xml:space="preserve"> o 계 </t>
    <phoneticPr fontId="15" type="noConversion"/>
  </si>
  <si>
    <t xml:space="preserve">  1. 버스임차료(45인승) </t>
    <phoneticPr fontId="15" type="noConversion"/>
  </si>
  <si>
    <t xml:space="preserve">  2. 버스임차료(25인승) </t>
    <phoneticPr fontId="15" type="noConversion"/>
  </si>
  <si>
    <t xml:space="preserve"> -</t>
    <phoneticPr fontId="15" type="noConversion"/>
  </si>
  <si>
    <t>식</t>
    <phoneticPr fontId="15" type="noConversion"/>
  </si>
  <si>
    <t xml:space="preserve"> o 계</t>
    <phoneticPr fontId="15" type="noConversion"/>
  </si>
  <si>
    <t xml:space="preserve">   1. 설계비</t>
    <phoneticPr fontId="15" type="noConversion"/>
  </si>
  <si>
    <t xml:space="preserve">   2. 태양광 발전장치 물품 구매(현장설치도)</t>
    <phoneticPr fontId="15" type="noConversion"/>
  </si>
  <si>
    <t xml:space="preserve">   3. 태양광 발전장치 2차 간선공사</t>
    <phoneticPr fontId="14" type="noConversion"/>
  </si>
  <si>
    <t xml:space="preserve">   4. 감리비</t>
    <phoneticPr fontId="14" type="noConversion"/>
  </si>
  <si>
    <t xml:space="preserve">   5. 사용전검사 지적사항 보완</t>
    <phoneticPr fontId="14" type="noConversion"/>
  </si>
  <si>
    <t xml:space="preserve"> o 조달 수수료 및 사용전검사 수수료</t>
    <phoneticPr fontId="14" type="noConversion"/>
  </si>
  <si>
    <t>38</t>
    <phoneticPr fontId="15" type="noConversion"/>
  </si>
  <si>
    <t xml:space="preserve">   1. 도슨트 및 일반자원봉사자 활동비</t>
    <phoneticPr fontId="15" type="noConversion"/>
  </si>
  <si>
    <t xml:space="preserve">   2. 자원봉사자 교육 강사료</t>
    <phoneticPr fontId="15" type="noConversion"/>
  </si>
  <si>
    <t xml:space="preserve"> o 초청엽서 리플렛 제작 인쇄</t>
    <phoneticPr fontId="15" type="noConversion"/>
  </si>
  <si>
    <t>원*</t>
    <phoneticPr fontId="15" type="noConversion"/>
  </si>
  <si>
    <t>회</t>
    <phoneticPr fontId="14" type="noConversion"/>
  </si>
  <si>
    <t>=</t>
    <phoneticPr fontId="15" type="noConversion"/>
  </si>
  <si>
    <t>명*</t>
    <phoneticPr fontId="15" type="noConversion"/>
  </si>
  <si>
    <t>회</t>
    <phoneticPr fontId="15" type="noConversion"/>
  </si>
  <si>
    <t xml:space="preserve"> o 오픈식, 특별행사</t>
    <phoneticPr fontId="15" type="noConversion"/>
  </si>
  <si>
    <t xml:space="preserve"> o 번역료</t>
    <phoneticPr fontId="15" type="noConversion"/>
  </si>
  <si>
    <t xml:space="preserve"> o 출장비</t>
    <phoneticPr fontId="15" type="noConversion"/>
  </si>
  <si>
    <t>지급수수료(신)</t>
    <phoneticPr fontId="15" type="noConversion"/>
  </si>
  <si>
    <t>여비교통비(신)</t>
    <phoneticPr fontId="15" type="noConversion"/>
  </si>
  <si>
    <t xml:space="preserve"> o 계</t>
    <phoneticPr fontId="15" type="noConversion"/>
  </si>
  <si>
    <t xml:space="preserve">   1. 아트샵 판매원</t>
    <phoneticPr fontId="14" type="noConversion"/>
  </si>
  <si>
    <t>명*</t>
    <phoneticPr fontId="14" type="noConversion"/>
  </si>
  <si>
    <t>월</t>
    <phoneticPr fontId="14" type="noConversion"/>
  </si>
  <si>
    <t xml:space="preserve">   2. 아트샵 주말 아르바이트</t>
    <phoneticPr fontId="14" type="noConversion"/>
  </si>
  <si>
    <t xml:space="preserve">   3. 제경비(4대 보험료, 연월차수당 포함)</t>
    <phoneticPr fontId="14" type="noConversion"/>
  </si>
  <si>
    <t>%</t>
    <phoneticPr fontId="14" type="noConversion"/>
  </si>
  <si>
    <t xml:space="preserve">   4. 퇴직금</t>
    <phoneticPr fontId="14" type="noConversion"/>
  </si>
  <si>
    <t xml:space="preserve"> o 부가세 납부 세액</t>
    <phoneticPr fontId="14" type="noConversion"/>
  </si>
  <si>
    <t xml:space="preserve"> o 자판기 소모품 및 포장지 등</t>
    <phoneticPr fontId="14" type="noConversion"/>
  </si>
  <si>
    <t xml:space="preserve"> </t>
    <phoneticPr fontId="15" type="noConversion"/>
  </si>
  <si>
    <t xml:space="preserve"> o 계</t>
    <phoneticPr fontId="14" type="noConversion"/>
  </si>
  <si>
    <t xml:space="preserve">   1. 아트샵 상품 구입</t>
    <phoneticPr fontId="14" type="noConversion"/>
  </si>
  <si>
    <t xml:space="preserve">   2. 커피, 음료자판기 상품 구입</t>
    <phoneticPr fontId="14" type="noConversion"/>
  </si>
  <si>
    <t xml:space="preserve"> o POS 유지관리비</t>
    <phoneticPr fontId="14" type="noConversion"/>
  </si>
  <si>
    <t xml:space="preserve"> o 기념품점 운영관련 업무회의</t>
    <phoneticPr fontId="15" type="noConversion"/>
  </si>
  <si>
    <t xml:space="preserve">   1. 면허세(출판물등)</t>
  </si>
  <si>
    <t xml:space="preserve">   2. 부가가치세</t>
  </si>
  <si>
    <t xml:space="preserve">   3. 환경개선부담금</t>
  </si>
  <si>
    <t xml:space="preserve">   4. 교통유발부담금</t>
  </si>
  <si>
    <t xml:space="preserve">   5. 재산세(토지)</t>
  </si>
  <si>
    <t xml:space="preserve">   6. 재산세(건물)</t>
  </si>
  <si>
    <t xml:space="preserve">   7. 종합부동산세(토지)</t>
  </si>
  <si>
    <t xml:space="preserve">   8. 종업원할사업소세</t>
  </si>
  <si>
    <t xml:space="preserve">   9. 장애인고용분담금</t>
  </si>
  <si>
    <t xml:space="preserve">  10. 기타(증지, 인지대 등)</t>
  </si>
  <si>
    <t xml:space="preserve">   1. 전기요금</t>
  </si>
  <si>
    <t xml:space="preserve">   2. 가스요금</t>
  </si>
  <si>
    <t xml:space="preserve">   3. 상하수도요금</t>
  </si>
  <si>
    <t xml:space="preserve"> o 계</t>
    <phoneticPr fontId="15" type="noConversion"/>
  </si>
  <si>
    <t xml:space="preserve">   1. 스토리보드, 방향안내판 제작 설치</t>
    <phoneticPr fontId="15" type="noConversion"/>
  </si>
  <si>
    <t>식*</t>
    <phoneticPr fontId="15" type="noConversion"/>
  </si>
  <si>
    <t>개</t>
    <phoneticPr fontId="21" type="noConversion"/>
  </si>
  <si>
    <t>=</t>
    <phoneticPr fontId="15" type="noConversion"/>
  </si>
  <si>
    <t xml:space="preserve">   2. 종합안내판 제작 설치</t>
    <phoneticPr fontId="15" type="noConversion"/>
  </si>
  <si>
    <t xml:space="preserve">   3. 스탬프함 제작 설치</t>
    <phoneticPr fontId="15" type="noConversion"/>
  </si>
  <si>
    <t xml:space="preserve">   4. 안내시설물 디자인</t>
    <phoneticPr fontId="15" type="noConversion"/>
  </si>
  <si>
    <t>식</t>
    <phoneticPr fontId="21" type="noConversion"/>
  </si>
  <si>
    <t xml:space="preserve">   5. 휴게시설 디자인 및 설치</t>
    <phoneticPr fontId="15" type="noConversion"/>
  </si>
  <si>
    <t xml:space="preserve">   6. BI 및 시설물 디자인</t>
    <phoneticPr fontId="15" type="noConversion"/>
  </si>
  <si>
    <t xml:space="preserve">   7. 홈페이지 유지보수</t>
    <phoneticPr fontId="15" type="noConversion"/>
  </si>
  <si>
    <t xml:space="preserve">   8. 개통식 대행 운영</t>
    <phoneticPr fontId="15" type="noConversion"/>
  </si>
  <si>
    <t xml:space="preserve">   9. 개통식 홍보물 제작</t>
    <phoneticPr fontId="15" type="noConversion"/>
  </si>
  <si>
    <t xml:space="preserve">   10. 스토리북 삽화 제작</t>
    <phoneticPr fontId="15" type="noConversion"/>
  </si>
  <si>
    <t xml:space="preserve">   11. 홍보 영상 제작</t>
    <phoneticPr fontId="15" type="noConversion"/>
  </si>
  <si>
    <t xml:space="preserve"> o 소모품 구입</t>
    <phoneticPr fontId="15" type="noConversion"/>
  </si>
  <si>
    <t>식</t>
    <phoneticPr fontId="15" type="noConversion"/>
  </si>
  <si>
    <t xml:space="preserve">   1. 대행사업 수수료</t>
    <phoneticPr fontId="15" type="noConversion"/>
  </si>
  <si>
    <t>%</t>
    <phoneticPr fontId="15" type="noConversion"/>
  </si>
  <si>
    <t xml:space="preserve">   2. 노선조사 원고료</t>
    <phoneticPr fontId="15" type="noConversion"/>
  </si>
  <si>
    <t>명*</t>
    <phoneticPr fontId="15" type="noConversion"/>
  </si>
  <si>
    <t>원*</t>
    <phoneticPr fontId="15" type="noConversion"/>
  </si>
  <si>
    <t>매</t>
    <phoneticPr fontId="14" type="noConversion"/>
  </si>
  <si>
    <t xml:space="preserve">   3. 스토리북 원고료</t>
    <phoneticPr fontId="15" type="noConversion"/>
  </si>
  <si>
    <t xml:space="preserve">   4. 자문회의 수당</t>
    <phoneticPr fontId="15" type="noConversion"/>
  </si>
  <si>
    <t>회</t>
    <phoneticPr fontId="14" type="noConversion"/>
  </si>
  <si>
    <t xml:space="preserve">   5. 스토리북 교정료</t>
    <phoneticPr fontId="15" type="noConversion"/>
  </si>
  <si>
    <t xml:space="preserve">   6. 개통식 및 행사 강사료</t>
    <phoneticPr fontId="15" type="noConversion"/>
  </si>
  <si>
    <t>회</t>
    <phoneticPr fontId="15" type="noConversion"/>
  </si>
  <si>
    <t xml:space="preserve">   1. 업무용 차량 임차</t>
    <phoneticPr fontId="15" type="noConversion"/>
  </si>
  <si>
    <t>대*</t>
    <phoneticPr fontId="15" type="noConversion"/>
  </si>
  <si>
    <t>개월</t>
    <phoneticPr fontId="15" type="noConversion"/>
  </si>
  <si>
    <t xml:space="preserve">   2. 행사용 버스 임차</t>
    <phoneticPr fontId="15" type="noConversion"/>
  </si>
  <si>
    <t xml:space="preserve">   3. 업무용 PC 등 임차</t>
    <phoneticPr fontId="15" type="noConversion"/>
  </si>
  <si>
    <t>대</t>
    <phoneticPr fontId="15" type="noConversion"/>
  </si>
  <si>
    <t xml:space="preserve">   4. 기타 임차</t>
    <phoneticPr fontId="15" type="noConversion"/>
  </si>
  <si>
    <t xml:space="preserve">   1. 개통식 기념품 제작</t>
    <phoneticPr fontId="15" type="noConversion"/>
  </si>
  <si>
    <t>원 *</t>
    <phoneticPr fontId="15" type="noConversion"/>
  </si>
  <si>
    <t>개</t>
    <phoneticPr fontId="15" type="noConversion"/>
  </si>
  <si>
    <t xml:space="preserve">   2. 개통식 행사운영</t>
    <phoneticPr fontId="15" type="noConversion"/>
  </si>
  <si>
    <t xml:space="preserve">   3. 시민 도보행사 운영</t>
    <phoneticPr fontId="15" type="noConversion"/>
  </si>
  <si>
    <t xml:space="preserve">   4. 전문가 답사 운영</t>
    <phoneticPr fontId="15" type="noConversion"/>
  </si>
  <si>
    <t xml:space="preserve">   5. 행사 관련 보험</t>
    <phoneticPr fontId="15" type="noConversion"/>
  </si>
  <si>
    <t xml:space="preserve">   8. 전시장 홍보물 제작</t>
    <phoneticPr fontId="15" type="noConversion"/>
  </si>
  <si>
    <t xml:space="preserve">   9. 전시시트지 및 현수막제작 </t>
    <phoneticPr fontId="15" type="noConversion"/>
  </si>
  <si>
    <t xml:space="preserve"> o 국내 출장여비</t>
    <phoneticPr fontId="15" type="noConversion"/>
  </si>
  <si>
    <t xml:space="preserve"> o 도록</t>
    <phoneticPr fontId="15" type="noConversion"/>
  </si>
  <si>
    <t>지급용역료</t>
    <phoneticPr fontId="15" type="noConversion"/>
  </si>
  <si>
    <t>회의운영비</t>
    <phoneticPr fontId="15" type="noConversion"/>
  </si>
  <si>
    <t>도서인쇄비</t>
    <phoneticPr fontId="15" type="noConversion"/>
  </si>
  <si>
    <t xml:space="preserve"> -</t>
    <phoneticPr fontId="15" type="noConversion"/>
  </si>
  <si>
    <t>지급임차료</t>
    <phoneticPr fontId="15" type="noConversion"/>
  </si>
  <si>
    <t xml:space="preserve"> o 교육기기 임차</t>
    <phoneticPr fontId="15" type="noConversion"/>
  </si>
  <si>
    <t>보험료</t>
    <phoneticPr fontId="15" type="noConversion"/>
  </si>
  <si>
    <t xml:space="preserve"> o 전시보조연구원(4대보험 포함)</t>
    <phoneticPr fontId="15" type="noConversion"/>
  </si>
  <si>
    <t xml:space="preserve"> o 교육 관련 보험</t>
    <phoneticPr fontId="21" type="noConversion"/>
  </si>
  <si>
    <t xml:space="preserve"> o 미술잡지 등 사업 홍보</t>
    <phoneticPr fontId="15" type="noConversion"/>
  </si>
  <si>
    <t xml:space="preserve"> o 전단지</t>
    <phoneticPr fontId="15" type="noConversion"/>
  </si>
  <si>
    <t>장</t>
    <phoneticPr fontId="15" type="noConversion"/>
  </si>
  <si>
    <t xml:space="preserve"> o 소모품구입</t>
    <phoneticPr fontId="15" type="noConversion"/>
  </si>
  <si>
    <t xml:space="preserve"> o 사업추진 국내여비</t>
    <phoneticPr fontId="15" type="noConversion"/>
  </si>
  <si>
    <t xml:space="preserve">   1. 사업 심사비</t>
    <phoneticPr fontId="15" type="noConversion"/>
  </si>
  <si>
    <t>명</t>
    <phoneticPr fontId="15" type="noConversion"/>
  </si>
  <si>
    <t xml:space="preserve">   2. 수탁수수료</t>
    <phoneticPr fontId="15" type="noConversion"/>
  </si>
  <si>
    <t xml:space="preserve"> o 작품제작 등 지원</t>
    <phoneticPr fontId="15" type="noConversion"/>
  </si>
  <si>
    <t xml:space="preserve"> o 행사운영비</t>
    <phoneticPr fontId="15" type="noConversion"/>
  </si>
  <si>
    <t xml:space="preserve"> o 사무용기기 복사용지</t>
    <phoneticPr fontId="14" type="noConversion"/>
  </si>
  <si>
    <t xml:space="preserve"> o 국내여비</t>
    <phoneticPr fontId="15" type="noConversion"/>
  </si>
  <si>
    <t>=</t>
    <phoneticPr fontId="14" type="noConversion"/>
  </si>
  <si>
    <t xml:space="preserve"> o 센터 회의운영비</t>
    <phoneticPr fontId="14" type="noConversion"/>
  </si>
  <si>
    <t>명*</t>
    <phoneticPr fontId="14" type="noConversion"/>
  </si>
  <si>
    <t xml:space="preserve">   2. 단기용역 고용, 산재 보험료</t>
    <phoneticPr fontId="15" type="noConversion"/>
  </si>
  <si>
    <t xml:space="preserve">   3. 단기용역 기타 세금</t>
    <phoneticPr fontId="15" type="noConversion"/>
  </si>
  <si>
    <t xml:space="preserve">   1. 사진촬영 및 편집</t>
    <phoneticPr fontId="27" type="noConversion"/>
  </si>
  <si>
    <t xml:space="preserve">   2. 회계검사수수료</t>
    <phoneticPr fontId="27" type="noConversion"/>
  </si>
  <si>
    <t xml:space="preserve"> o 전시영상 화상 시청각기기 관리</t>
    <phoneticPr fontId="15" type="noConversion"/>
  </si>
  <si>
    <t xml:space="preserve"> -</t>
    <phoneticPr fontId="15" type="noConversion"/>
  </si>
  <si>
    <t xml:space="preserve">  3. 유물보관장</t>
    <phoneticPr fontId="15" type="noConversion"/>
  </si>
  <si>
    <t xml:space="preserve">  5. 유물훈증 등</t>
    <phoneticPr fontId="15" type="noConversion"/>
  </si>
  <si>
    <t xml:space="preserve">  2. 공기정화살균기 유지관리</t>
    <phoneticPr fontId="15" type="noConversion"/>
  </si>
  <si>
    <t xml:space="preserve">   1. 자문회의</t>
    <phoneticPr fontId="15" type="noConversion"/>
  </si>
  <si>
    <t xml:space="preserve">   2. 원고집필</t>
    <phoneticPr fontId="15" type="noConversion"/>
  </si>
  <si>
    <t xml:space="preserve">   1. 항공사진촬영</t>
    <phoneticPr fontId="15" type="noConversion"/>
  </si>
  <si>
    <t xml:space="preserve">   2. 영상제작</t>
    <phoneticPr fontId="15" type="noConversion"/>
  </si>
  <si>
    <t xml:space="preserve">  1. 소장DB 인건비(정액급식,교통보조,격오지보조 포함)</t>
    <phoneticPr fontId="15" type="noConversion"/>
  </si>
  <si>
    <t xml:space="preserve">  2. 소장DB 인건비(매칭사업 인건비)</t>
    <phoneticPr fontId="15" type="noConversion"/>
  </si>
  <si>
    <t xml:space="preserve">  3. 제경비(4대 보험료 등)</t>
    <phoneticPr fontId="15" type="noConversion"/>
  </si>
  <si>
    <t xml:space="preserve">  1. 서버유지관리</t>
    <phoneticPr fontId="15" type="noConversion"/>
  </si>
  <si>
    <t xml:space="preserve">  4. 상자, 포장재 등</t>
    <phoneticPr fontId="15" type="noConversion"/>
  </si>
  <si>
    <t xml:space="preserve">  6. 유물보관대 개선 등</t>
    <phoneticPr fontId="15" type="noConversion"/>
  </si>
  <si>
    <t xml:space="preserve"> o 소장품 DB 전용 노트북</t>
    <phoneticPr fontId="15" type="noConversion"/>
  </si>
  <si>
    <t xml:space="preserve"> o 공기 살균 청정기 등</t>
    <phoneticPr fontId="15" type="noConversion"/>
  </si>
  <si>
    <t xml:space="preserve"> -</t>
    <phoneticPr fontId="15" type="noConversion"/>
  </si>
  <si>
    <t xml:space="preserve">  1. 4대 보험 부담금</t>
    <phoneticPr fontId="15" type="noConversion"/>
  </si>
  <si>
    <t xml:space="preserve">  2. 선택적 복지제도 운영(재해 단체보장 보험 포함)</t>
    <phoneticPr fontId="15" type="noConversion"/>
  </si>
  <si>
    <t xml:space="preserve">  1. 국내여비</t>
    <phoneticPr fontId="15" type="noConversion"/>
  </si>
  <si>
    <t xml:space="preserve">  2. 국외여비</t>
    <phoneticPr fontId="15" type="noConversion"/>
  </si>
  <si>
    <t>원*</t>
    <phoneticPr fontId="15" type="noConversion"/>
  </si>
  <si>
    <t>=</t>
    <phoneticPr fontId="15" type="noConversion"/>
  </si>
  <si>
    <t>식</t>
    <phoneticPr fontId="15" type="noConversion"/>
  </si>
  <si>
    <t>도서인쇄비</t>
    <phoneticPr fontId="15" type="noConversion"/>
  </si>
  <si>
    <t>세금과공과</t>
    <phoneticPr fontId="15" type="noConversion"/>
  </si>
  <si>
    <t>지원비</t>
    <phoneticPr fontId="15" type="noConversion"/>
  </si>
  <si>
    <t>여비교통비(국비매칭)</t>
    <phoneticPr fontId="15" type="noConversion"/>
  </si>
  <si>
    <t>여비교통비</t>
    <phoneticPr fontId="14" type="noConversion"/>
  </si>
  <si>
    <t>지급수수료(국비매칭)</t>
    <phoneticPr fontId="15" type="noConversion"/>
  </si>
  <si>
    <t>지급수수료</t>
    <phoneticPr fontId="15" type="noConversion"/>
  </si>
  <si>
    <t>행사운영비</t>
    <phoneticPr fontId="15" type="noConversion"/>
  </si>
  <si>
    <t>회의운영비</t>
    <phoneticPr fontId="15" type="noConversion"/>
  </si>
  <si>
    <t xml:space="preserve"> o 전문인력양성기관 교육생 연수 및 숙박</t>
    <phoneticPr fontId="15" type="noConversion"/>
  </si>
  <si>
    <t xml:space="preserve"> o 협의체 발제비</t>
    <phoneticPr fontId="15" type="noConversion"/>
  </si>
  <si>
    <t xml:space="preserve"> o 뮤지엄 나이트 페스티벌 개최</t>
    <phoneticPr fontId="15" type="noConversion"/>
  </si>
  <si>
    <t xml:space="preserve"> o 브로셔 추가 제작</t>
    <phoneticPr fontId="15" type="noConversion"/>
  </si>
  <si>
    <t xml:space="preserve"> o 재단 기념품 제작</t>
    <phoneticPr fontId="15" type="noConversion"/>
  </si>
  <si>
    <t xml:space="preserve"> o 토론회 수당</t>
    <phoneticPr fontId="15" type="noConversion"/>
  </si>
  <si>
    <t xml:space="preserve"> o 토론회 행사</t>
    <phoneticPr fontId="15" type="noConversion"/>
  </si>
  <si>
    <t xml:space="preserve">   1. 경기도문화재단협의회 대표자회의 개최</t>
    <phoneticPr fontId="15" type="noConversion"/>
  </si>
  <si>
    <t xml:space="preserve">   2. 문화청책포럼 개최</t>
    <phoneticPr fontId="15" type="noConversion"/>
  </si>
  <si>
    <t>지급용역료</t>
    <phoneticPr fontId="15" type="noConversion"/>
  </si>
  <si>
    <t>지급임차료</t>
    <phoneticPr fontId="15" type="noConversion"/>
  </si>
  <si>
    <t>소모품비</t>
    <phoneticPr fontId="15" type="noConversion"/>
  </si>
  <si>
    <t>자산구입비</t>
    <phoneticPr fontId="15" type="noConversion"/>
  </si>
  <si>
    <t xml:space="preserve"> o 교육체험동 가구 구입</t>
    <phoneticPr fontId="15" type="noConversion"/>
  </si>
  <si>
    <t xml:space="preserve"> o 어린이박물관 운영 관련 회의 </t>
    <phoneticPr fontId="15" type="noConversion"/>
  </si>
  <si>
    <t xml:space="preserve"> o 구글컬처럴 인스터럭트 협력사업 운영 기간제 급여 4대보험</t>
    <phoneticPr fontId="15" type="noConversion"/>
  </si>
  <si>
    <t xml:space="preserve"> o 소프트웨어(라이센서) 구입 등</t>
    <phoneticPr fontId="27" type="noConversion"/>
  </si>
  <si>
    <t>원*</t>
    <phoneticPr fontId="27" type="noConversion"/>
  </si>
  <si>
    <t>식</t>
    <phoneticPr fontId="27" type="noConversion"/>
  </si>
  <si>
    <t>=</t>
    <phoneticPr fontId="27" type="noConversion"/>
  </si>
  <si>
    <t xml:space="preserve"> o 프로그램 제작을 위한 취재 등</t>
    <phoneticPr fontId="27" type="noConversion"/>
  </si>
  <si>
    <t>자산구입비</t>
    <phoneticPr fontId="27" type="noConversion"/>
  </si>
  <si>
    <t xml:space="preserve"> o 전산, 촬영장비 구입 등</t>
    <phoneticPr fontId="27" type="noConversion"/>
  </si>
  <si>
    <t>회</t>
    <phoneticPr fontId="27" type="noConversion"/>
  </si>
  <si>
    <t>유지관리비</t>
    <phoneticPr fontId="15" type="noConversion"/>
  </si>
  <si>
    <t xml:space="preserve"> o 시럽 모바일 멤버십 서비스 유지 등</t>
    <phoneticPr fontId="15" type="noConversion"/>
  </si>
  <si>
    <t>월</t>
    <phoneticPr fontId="15" type="noConversion"/>
  </si>
  <si>
    <t xml:space="preserve"> o 구글 연계사업 예산과목 변경</t>
    <phoneticPr fontId="15" type="noConversion"/>
  </si>
  <si>
    <t xml:space="preserve">   1. 연간 사진 촬영 및 편집 용역</t>
    <phoneticPr fontId="15" type="noConversion"/>
  </si>
  <si>
    <t>식</t>
    <phoneticPr fontId="15" type="noConversion"/>
  </si>
  <si>
    <t xml:space="preserve">   2. 연간 영상, 사진 촬영 및 편집 용역</t>
    <phoneticPr fontId="15" type="noConversion"/>
  </si>
  <si>
    <t>통신비</t>
    <phoneticPr fontId="15" type="noConversion"/>
  </si>
  <si>
    <t xml:space="preserve"> o 우편 및 택배 발송 등</t>
    <phoneticPr fontId="27" type="noConversion"/>
  </si>
  <si>
    <t xml:space="preserve"> o 콘텐츠 제작관련 현장 답사</t>
    <phoneticPr fontId="15" type="noConversion"/>
  </si>
  <si>
    <t xml:space="preserve"> o 관련회의 식음료 등</t>
    <phoneticPr fontId="15" type="noConversion"/>
  </si>
  <si>
    <t xml:space="preserve"> o 계</t>
    <phoneticPr fontId="15" type="noConversion"/>
  </si>
  <si>
    <t>원*</t>
    <phoneticPr fontId="15" type="noConversion"/>
  </si>
  <si>
    <t>회</t>
    <phoneticPr fontId="15" type="noConversion"/>
  </si>
  <si>
    <t>=</t>
    <phoneticPr fontId="21" type="noConversion"/>
  </si>
  <si>
    <t xml:space="preserve"> o 각종 교육운영비</t>
    <phoneticPr fontId="15" type="noConversion"/>
  </si>
  <si>
    <t xml:space="preserve"> o 사업운영비</t>
    <phoneticPr fontId="15" type="noConversion"/>
  </si>
  <si>
    <t xml:space="preserve">  1. 법정의무교육(폭력예방통합교육)</t>
    <phoneticPr fontId="15" type="noConversion"/>
  </si>
  <si>
    <t xml:space="preserve">  2. 법정의무교육(부패방지교육)</t>
    <phoneticPr fontId="15" type="noConversion"/>
  </si>
  <si>
    <t xml:space="preserve">  3. 직무전문교육</t>
    <phoneticPr fontId="15" type="noConversion"/>
  </si>
  <si>
    <t xml:space="preserve">  4. GGCF 특강</t>
    <phoneticPr fontId="15" type="noConversion"/>
  </si>
  <si>
    <t xml:space="preserve">  1. 기본역량교육</t>
    <phoneticPr fontId="15" type="noConversion"/>
  </si>
  <si>
    <t xml:space="preserve">  2. 경영진 리더십과정</t>
    <phoneticPr fontId="15" type="noConversion"/>
  </si>
  <si>
    <t xml:space="preserve">  3. 직무공통교육</t>
    <phoneticPr fontId="15" type="noConversion"/>
  </si>
  <si>
    <t>월</t>
    <phoneticPr fontId="15" type="noConversion"/>
  </si>
  <si>
    <t xml:space="preserve">   4. 케이블TV사용료</t>
    <phoneticPr fontId="15" type="noConversion"/>
  </si>
  <si>
    <t xml:space="preserve">   5. 인터넷회선, 분당KT-IDC회선, 보안솔루션, 웹하드 사용료</t>
    <phoneticPr fontId="15" type="noConversion"/>
  </si>
  <si>
    <t>식</t>
    <phoneticPr fontId="15" type="noConversion"/>
  </si>
  <si>
    <t xml:space="preserve">   1. 복사지 등 소모품</t>
    <phoneticPr fontId="15" type="noConversion"/>
  </si>
  <si>
    <t xml:space="preserve">   2. 업무용인장 및 고무인</t>
    <phoneticPr fontId="15" type="noConversion"/>
  </si>
  <si>
    <t xml:space="preserve">   3. 제본바인더기소모품</t>
    <phoneticPr fontId="15" type="noConversion"/>
  </si>
  <si>
    <t xml:space="preserve">   4. 생수사용료</t>
    <phoneticPr fontId="15" type="noConversion"/>
  </si>
  <si>
    <t xml:space="preserve">   5. 복사기토너</t>
    <phoneticPr fontId="15" type="noConversion"/>
  </si>
  <si>
    <t xml:space="preserve">   6. 레이저프린터토너</t>
    <phoneticPr fontId="15" type="noConversion"/>
  </si>
  <si>
    <t xml:space="preserve">   7. 잉크젯프린터토너</t>
    <phoneticPr fontId="15" type="noConversion"/>
  </si>
  <si>
    <t xml:space="preserve">   8. 팩스토너</t>
    <phoneticPr fontId="15" type="noConversion"/>
  </si>
  <si>
    <t xml:space="preserve">   9. 컴퓨터 주변기기 및 행사용 소모품 등</t>
    <phoneticPr fontId="15" type="noConversion"/>
  </si>
  <si>
    <t xml:space="preserve">   10. 업무용 봉투 제작(쇼핑백, 서류봉투)</t>
    <phoneticPr fontId="15" type="noConversion"/>
  </si>
  <si>
    <t xml:space="preserve"> o 메모리전 도록 제작</t>
    <phoneticPr fontId="15" type="noConversion"/>
  </si>
  <si>
    <t>원*</t>
    <phoneticPr fontId="15" type="noConversion"/>
  </si>
  <si>
    <t>부</t>
    <phoneticPr fontId="21" type="noConversion"/>
  </si>
  <si>
    <t>=</t>
    <phoneticPr fontId="21" type="noConversion"/>
  </si>
  <si>
    <t xml:space="preserve"> o 개막행사 소모품 구입</t>
    <phoneticPr fontId="15" type="noConversion"/>
  </si>
  <si>
    <t>식</t>
    <phoneticPr fontId="21" type="noConversion"/>
  </si>
  <si>
    <t xml:space="preserve"> o 계</t>
    <phoneticPr fontId="15" type="noConversion"/>
  </si>
  <si>
    <t xml:space="preserve">   1. 메모리전 도록 원고의뢰</t>
    <phoneticPr fontId="15" type="noConversion"/>
  </si>
  <si>
    <t>명</t>
    <phoneticPr fontId="21" type="noConversion"/>
  </si>
  <si>
    <t xml:space="preserve">   2. 메모리전 도록 윤문작업</t>
    <phoneticPr fontId="15" type="noConversion"/>
  </si>
  <si>
    <t xml:space="preserve">   1. 메모리전 전시 기획 및 설치</t>
    <phoneticPr fontId="15" type="noConversion"/>
  </si>
  <si>
    <t xml:space="preserve">   2. 명사초청 토크콘서트</t>
    <phoneticPr fontId="15" type="noConversion"/>
  </si>
  <si>
    <t xml:space="preserve">   3. 감사콘서트 연출기획 등</t>
    <phoneticPr fontId="15" type="noConversion"/>
  </si>
  <si>
    <t xml:space="preserve">   4. 감사콘서트 음향, 조명 등</t>
    <phoneticPr fontId="15" type="noConversion"/>
  </si>
  <si>
    <t xml:space="preserve">   5. 감사콘서트 영상, 중계 등</t>
    <phoneticPr fontId="15" type="noConversion"/>
  </si>
  <si>
    <t xml:space="preserve">   6. 감사콘서트 홍보물 제작 및 배포</t>
    <phoneticPr fontId="27" type="noConversion"/>
  </si>
  <si>
    <t xml:space="preserve">   2. thanks 콘서트 행사물품</t>
    <phoneticPr fontId="15" type="noConversion"/>
  </si>
  <si>
    <t xml:space="preserve"> o 인건비(부가급여 포함)</t>
    <phoneticPr fontId="15" type="noConversion"/>
  </si>
  <si>
    <t>개월</t>
    <phoneticPr fontId="27" type="noConversion"/>
  </si>
  <si>
    <t>*</t>
    <phoneticPr fontId="27" type="noConversion"/>
  </si>
  <si>
    <t>인</t>
    <phoneticPr fontId="21" type="noConversion"/>
  </si>
  <si>
    <t xml:space="preserve">   1. 지하철 및 버스광고 등</t>
    <phoneticPr fontId="15" type="noConversion"/>
  </si>
  <si>
    <t xml:space="preserve">   2. 사옥 아트공간 공고</t>
    <phoneticPr fontId="15" type="noConversion"/>
  </si>
  <si>
    <t xml:space="preserve">   1. 로비 갤러리 TV설치(75인치)</t>
    <phoneticPr fontId="15" type="noConversion"/>
  </si>
  <si>
    <t>대</t>
    <phoneticPr fontId="21" type="noConversion"/>
  </si>
  <si>
    <t xml:space="preserve">   2. 로비 갤러리 TV설치(55인치)</t>
    <phoneticPr fontId="15" type="noConversion"/>
  </si>
  <si>
    <t xml:space="preserve"> o 사옥 아트공간 디자인 공모비</t>
    <phoneticPr fontId="15" type="noConversion"/>
  </si>
  <si>
    <t xml:space="preserve">   1. 사옥 아트공간 디자인 설치비</t>
    <phoneticPr fontId="15" type="noConversion"/>
  </si>
  <si>
    <t xml:space="preserve">   2. 기념 다이어리 제작</t>
    <phoneticPr fontId="15" type="noConversion"/>
  </si>
  <si>
    <t xml:space="preserve">   3. 20주년 광고 영상 제작</t>
    <phoneticPr fontId="15" type="noConversion"/>
  </si>
  <si>
    <t xml:space="preserve">   1. 스물스물 이벤트 배너설치</t>
    <phoneticPr fontId="15" type="noConversion"/>
  </si>
  <si>
    <t>곳</t>
    <phoneticPr fontId="21" type="noConversion"/>
  </si>
  <si>
    <t xml:space="preserve">   2. 스물스물 이벤트 기념물품 구입</t>
    <phoneticPr fontId="15" type="noConversion"/>
  </si>
  <si>
    <t>곳*</t>
    <phoneticPr fontId="27" type="noConversion"/>
  </si>
  <si>
    <t>회</t>
    <phoneticPr fontId="27" type="noConversion"/>
  </si>
  <si>
    <t xml:space="preserve">   3. 기념품 제작 </t>
    <phoneticPr fontId="15" type="noConversion"/>
  </si>
  <si>
    <t>개</t>
    <phoneticPr fontId="21" type="noConversion"/>
  </si>
  <si>
    <t xml:space="preserve">   1. 사옥 공공디자인 자문회의</t>
    <phoneticPr fontId="15" type="noConversion"/>
  </si>
  <si>
    <t xml:space="preserve">   2. 재단 홍보 자문회의</t>
    <phoneticPr fontId="15" type="noConversion"/>
  </si>
  <si>
    <t xml:space="preserve">   2. 교육용 소모품 구입</t>
    <phoneticPr fontId="15" type="noConversion"/>
  </si>
  <si>
    <t>명*</t>
    <phoneticPr fontId="15" type="noConversion"/>
  </si>
  <si>
    <t xml:space="preserve"> o 교육용 의상 세탁</t>
    <phoneticPr fontId="15" type="noConversion"/>
  </si>
  <si>
    <t>원*</t>
    <phoneticPr fontId="15" type="noConversion"/>
  </si>
  <si>
    <t>회</t>
    <phoneticPr fontId="15" type="noConversion"/>
  </si>
  <si>
    <t>=</t>
    <phoneticPr fontId="15" type="noConversion"/>
  </si>
  <si>
    <t xml:space="preserve"> o 박람회 및 축제 행사</t>
    <phoneticPr fontId="15" type="noConversion"/>
  </si>
  <si>
    <t xml:space="preserve">   1. 발굴체험활동지 제작</t>
    <phoneticPr fontId="15" type="noConversion"/>
  </si>
  <si>
    <t xml:space="preserve">   2. 역사탐험대 활동지 제작</t>
    <phoneticPr fontId="15" type="noConversion"/>
  </si>
  <si>
    <t xml:space="preserve">   1. 동동하하 물품구입비</t>
    <phoneticPr fontId="15" type="noConversion"/>
  </si>
  <si>
    <t xml:space="preserve">   2. 교육프로그램 물품구입</t>
    <phoneticPr fontId="15" type="noConversion"/>
  </si>
  <si>
    <t xml:space="preserve">   1. 발굴체험강사료</t>
    <phoneticPr fontId="15" type="noConversion"/>
  </si>
  <si>
    <t xml:space="preserve">   2. 동동하하 강사료</t>
    <phoneticPr fontId="15" type="noConversion"/>
  </si>
  <si>
    <t xml:space="preserve">   3. 동동하하 프로그램 기획비</t>
    <phoneticPr fontId="15" type="noConversion"/>
  </si>
  <si>
    <t xml:space="preserve">   4. 역사탐험대 강사료</t>
    <phoneticPr fontId="15" type="noConversion"/>
  </si>
  <si>
    <t xml:space="preserve">   1. 발굴체험복장 구입</t>
    <phoneticPr fontId="15" type="noConversion"/>
  </si>
  <si>
    <t xml:space="preserve">   2. 발굴체험장 정비 및 현수막 교체</t>
    <phoneticPr fontId="15" type="noConversion"/>
  </si>
  <si>
    <t xml:space="preserve">   3. 문화재체험 교보재 제작</t>
    <phoneticPr fontId="15" type="noConversion"/>
  </si>
  <si>
    <t xml:space="preserve">   4. 동동하하 교구재 구입</t>
    <phoneticPr fontId="15" type="noConversion"/>
  </si>
  <si>
    <t xml:space="preserve">   1. 연보제작</t>
    <phoneticPr fontId="15" type="noConversion"/>
  </si>
  <si>
    <t xml:space="preserve">   2. 전시안내팜플렛제작</t>
    <phoneticPr fontId="15" type="noConversion"/>
  </si>
  <si>
    <t xml:space="preserve">   3. 교육프로그램안내팜플렛제작</t>
    <phoneticPr fontId="15" type="noConversion"/>
  </si>
  <si>
    <t xml:space="preserve">   4. 홍보인쇄물제작</t>
    <phoneticPr fontId="15" type="noConversion"/>
  </si>
  <si>
    <t>부</t>
    <phoneticPr fontId="15" type="noConversion"/>
  </si>
  <si>
    <t xml:space="preserve"> o 기관홍보 간담회</t>
    <phoneticPr fontId="15" type="noConversion"/>
  </si>
  <si>
    <t xml:space="preserve"> o 홍보이벤트 운영</t>
    <phoneticPr fontId="15" type="noConversion"/>
  </si>
  <si>
    <t>지급용역료</t>
    <phoneticPr fontId="15" type="noConversion"/>
  </si>
  <si>
    <t xml:space="preserve"> o 보존과학실운영관리 소모품(60여종)</t>
    <phoneticPr fontId="15" type="noConversion"/>
  </si>
  <si>
    <t xml:space="preserve">   3. 소장품 훈증</t>
    <phoneticPr fontId="15" type="noConversion"/>
  </si>
  <si>
    <t xml:space="preserve">  o 출토유물 복원 및 보고서 인쇄</t>
    <phoneticPr fontId="15" type="noConversion"/>
  </si>
  <si>
    <t>발간</t>
    <phoneticPr fontId="15" type="noConversion"/>
  </si>
  <si>
    <t xml:space="preserve"> o 연구원 인건비(전래동화전 디자이너)</t>
    <phoneticPr fontId="15" type="noConversion"/>
  </si>
  <si>
    <t xml:space="preserve"> o 계</t>
    <phoneticPr fontId="15" type="noConversion"/>
  </si>
  <si>
    <t xml:space="preserve">   1. 도록제작(전래동화)</t>
    <phoneticPr fontId="15" type="noConversion"/>
  </si>
  <si>
    <t xml:space="preserve">   2. 포스터 등 홍보물 제작</t>
    <phoneticPr fontId="15" type="noConversion"/>
  </si>
  <si>
    <t xml:space="preserve"> o 유물보험 가입(전래동화, 고려전)</t>
    <phoneticPr fontId="15" type="noConversion"/>
  </si>
  <si>
    <t xml:space="preserve">   1. 원고료(전래동화, 고려전)</t>
    <phoneticPr fontId="15" type="noConversion"/>
  </si>
  <si>
    <t>회*</t>
    <phoneticPr fontId="15" type="noConversion"/>
  </si>
  <si>
    <t xml:space="preserve">   2. 외국어 번역료(전래동화, 고려전)</t>
    <phoneticPr fontId="15" type="noConversion"/>
  </si>
  <si>
    <t xml:space="preserve">   3. 전시자문료(전래동화, 고려전)</t>
    <phoneticPr fontId="15" type="noConversion"/>
  </si>
  <si>
    <t xml:space="preserve">   4. 교육강사(전래동화, 고려전)</t>
    <phoneticPr fontId="15" type="noConversion"/>
  </si>
  <si>
    <t xml:space="preserve">   1. 철거 및 전시공사</t>
    <phoneticPr fontId="15" type="noConversion"/>
  </si>
  <si>
    <t>식</t>
    <phoneticPr fontId="15" type="noConversion"/>
  </si>
  <si>
    <t xml:space="preserve">   2. 유물 운송료(전래동화, 고려전)</t>
    <phoneticPr fontId="15" type="noConversion"/>
  </si>
  <si>
    <t xml:space="preserve">   3. 유물 사진 촬영비(전래동화, 고려전)</t>
    <phoneticPr fontId="15" type="noConversion"/>
  </si>
  <si>
    <t xml:space="preserve">   4. 기획전시실 내 고정식진열장, 이동식진열장 제작·설치 </t>
    <phoneticPr fontId="15" type="noConversion"/>
  </si>
  <si>
    <t xml:space="preserve"> o 전시추진 간담회</t>
    <phoneticPr fontId="15" type="noConversion"/>
  </si>
  <si>
    <t xml:space="preserve">   1. 체험, 교육, 전시 물품 및 재료 구입(전래동화, 고려전)</t>
    <phoneticPr fontId="15" type="noConversion"/>
  </si>
  <si>
    <t xml:space="preserve">   2. 체험물품 및 기념품 제작구입(전래동화)</t>
    <phoneticPr fontId="15" type="noConversion"/>
  </si>
  <si>
    <t>자산구입비</t>
    <phoneticPr fontId="15" type="noConversion"/>
  </si>
  <si>
    <t xml:space="preserve"> o 전시용 물품(빔프로젝터) 구입</t>
    <phoneticPr fontId="15" type="noConversion"/>
  </si>
  <si>
    <t>2017년도 5회 추경 지출예산 총괄표</t>
    <phoneticPr fontId="15" type="noConversion"/>
  </si>
  <si>
    <t xml:space="preserve"> 제1조(예산규모) 2017년도 5회 추경 수입·지출예산 규모는 다음과 같다.</t>
    <phoneticPr fontId="15" type="noConversion"/>
  </si>
  <si>
    <t xml:space="preserve">  - 전곡선사박물관 후원사업 (비책)</t>
    <phoneticPr fontId="15" type="noConversion"/>
  </si>
  <si>
    <t xml:space="preserve">  - 실학박물관 실학총서 발간 (류창현)</t>
    <phoneticPr fontId="15" type="noConversion"/>
  </si>
  <si>
    <t xml:space="preserve">  - 전곡선사박물관 통통한 세상 (경기도시공사)</t>
    <phoneticPr fontId="15" type="noConversion"/>
  </si>
  <si>
    <t xml:space="preserve">  - 경기문화재연구원 사회공헌 고고학 체험교실 (경기도시공사)</t>
    <phoneticPr fontId="15" type="noConversion"/>
  </si>
  <si>
    <t>평택시 송탄출장소 공공미술</t>
    <phoneticPr fontId="15" type="noConversion"/>
  </si>
  <si>
    <t xml:space="preserve">  - 경기도미술관 송탄출장소 공공미술 프로젝트(평택시)</t>
    <phoneticPr fontId="15" type="noConversion"/>
  </si>
  <si>
    <t>경기관광공사 송탄출장소 공공미술</t>
    <phoneticPr fontId="15" type="noConversion"/>
  </si>
  <si>
    <t>FACT 레지던시 교환 프로그램</t>
    <phoneticPr fontId="15" type="noConversion"/>
  </si>
  <si>
    <t>통통한 세상</t>
    <phoneticPr fontId="15" type="noConversion"/>
  </si>
  <si>
    <t xml:space="preserve">  - 경기도미술관 송탄출장소 공공미술 프로젝트(경기관광공사)</t>
    <phoneticPr fontId="15" type="noConversion"/>
  </si>
  <si>
    <t xml:space="preserve">  - 백남준아트센터 FACT 레지던시 교환 프로그램(영국 문화예술위원회)</t>
    <phoneticPr fontId="15" type="noConversion"/>
  </si>
  <si>
    <t>2017년도 5회 추경 수입예산 (외부재원)</t>
    <phoneticPr fontId="15" type="noConversion"/>
  </si>
  <si>
    <t>2017년도 5회추경 수입예산 (고유목적)</t>
    <phoneticPr fontId="15" type="noConversion"/>
  </si>
  <si>
    <t>2017년도 5회 추경 수입예산 총괄표</t>
    <phoneticPr fontId="15" type="noConversion"/>
  </si>
  <si>
    <t>2017년도 5회추경 지출예산 (고유목적)</t>
    <phoneticPr fontId="15" type="noConversion"/>
  </si>
  <si>
    <t>북한산성 역사문화 명소화</t>
    <phoneticPr fontId="15" type="noConversion"/>
  </si>
  <si>
    <t>사회공헌 고고학 체험교실</t>
    <phoneticPr fontId="15" type="noConversion"/>
  </si>
  <si>
    <t>북한산성 교육체험프로그램</t>
    <phoneticPr fontId="15" type="noConversion"/>
  </si>
  <si>
    <t>도서인쇄비</t>
    <phoneticPr fontId="15" type="noConversion"/>
  </si>
  <si>
    <t xml:space="preserve"> o 학습지</t>
    <phoneticPr fontId="15" type="noConversion"/>
  </si>
  <si>
    <t>부</t>
    <phoneticPr fontId="15" type="noConversion"/>
  </si>
  <si>
    <t xml:space="preserve">   1. 주 강사</t>
    <phoneticPr fontId="15" type="noConversion"/>
  </si>
  <si>
    <t xml:space="preserve">   2. 보조 강사</t>
    <phoneticPr fontId="15" type="noConversion"/>
  </si>
  <si>
    <t>지급수수료</t>
    <phoneticPr fontId="15" type="noConversion"/>
  </si>
  <si>
    <t xml:space="preserve"> o 체험장 정비</t>
    <phoneticPr fontId="15" type="noConversion"/>
  </si>
  <si>
    <t>지급용역료</t>
    <phoneticPr fontId="15" type="noConversion"/>
  </si>
  <si>
    <t>대 *</t>
    <phoneticPr fontId="15" type="noConversion"/>
  </si>
  <si>
    <t>회</t>
    <phoneticPr fontId="15" type="noConversion"/>
  </si>
  <si>
    <t>지급임차료</t>
    <phoneticPr fontId="15" type="noConversion"/>
  </si>
  <si>
    <t>보험료</t>
    <phoneticPr fontId="15" type="noConversion"/>
  </si>
  <si>
    <t>인 *</t>
    <phoneticPr fontId="15" type="noConversion"/>
  </si>
  <si>
    <t>행사운영비</t>
    <phoneticPr fontId="15" type="noConversion"/>
  </si>
  <si>
    <t xml:space="preserve">   1. 수료증 제작</t>
    <phoneticPr fontId="15" type="noConversion"/>
  </si>
  <si>
    <t xml:space="preserve">   2. 대형 주차비</t>
    <phoneticPr fontId="15" type="noConversion"/>
  </si>
  <si>
    <t xml:space="preserve">   3. 발굴용 모래</t>
    <phoneticPr fontId="15" type="noConversion"/>
  </si>
  <si>
    <t xml:space="preserve">   4. 현수막</t>
    <phoneticPr fontId="15" type="noConversion"/>
  </si>
  <si>
    <t xml:space="preserve">   5. 배너 외</t>
    <phoneticPr fontId="15" type="noConversion"/>
  </si>
  <si>
    <t xml:space="preserve">   7. 다과류</t>
    <phoneticPr fontId="15" type="noConversion"/>
  </si>
  <si>
    <t xml:space="preserve">   8. 생수 외</t>
    <phoneticPr fontId="15" type="noConversion"/>
  </si>
  <si>
    <t>시간 *</t>
    <phoneticPr fontId="15" type="noConversion"/>
  </si>
  <si>
    <t>장 *</t>
    <phoneticPr fontId="15" type="noConversion"/>
  </si>
  <si>
    <t xml:space="preserve">   6. 소모품</t>
    <phoneticPr fontId="15" type="noConversion"/>
  </si>
  <si>
    <t>식 *</t>
    <phoneticPr fontId="15" type="noConversion"/>
  </si>
  <si>
    <t>식 *</t>
    <phoneticPr fontId="15" type="noConversion"/>
  </si>
  <si>
    <t xml:space="preserve">   6. 조사현장 생수비</t>
    <phoneticPr fontId="15" type="noConversion"/>
  </si>
  <si>
    <t>개현장 *</t>
    <phoneticPr fontId="15" type="noConversion"/>
  </si>
  <si>
    <t>원 *</t>
    <phoneticPr fontId="15" type="noConversion"/>
  </si>
  <si>
    <t>월</t>
    <phoneticPr fontId="14" type="noConversion"/>
  </si>
  <si>
    <t>=</t>
    <phoneticPr fontId="15" type="noConversion"/>
  </si>
  <si>
    <t xml:space="preserve">   5. 보존처리 물품 구입</t>
    <phoneticPr fontId="15" type="noConversion"/>
  </si>
  <si>
    <t xml:space="preserve"> o 계</t>
    <phoneticPr fontId="15" type="noConversion"/>
  </si>
  <si>
    <t xml:space="preserve">   1. 발굴(시굴)조사 인부 인건비</t>
    <phoneticPr fontId="15" type="noConversion"/>
  </si>
  <si>
    <t>일*</t>
    <phoneticPr fontId="15" type="noConversion"/>
  </si>
  <si>
    <t>원*</t>
    <phoneticPr fontId="15" type="noConversion"/>
  </si>
  <si>
    <t>명</t>
    <phoneticPr fontId="15" type="noConversion"/>
  </si>
  <si>
    <t>=</t>
    <phoneticPr fontId="14" type="noConversion"/>
  </si>
  <si>
    <t xml:space="preserve">   2. 보고서 작업 인부 인건비</t>
    <phoneticPr fontId="15" type="noConversion"/>
  </si>
  <si>
    <t xml:space="preserve">   3. 유물정리/보존처리 인부 인건비</t>
    <phoneticPr fontId="15" type="noConversion"/>
  </si>
  <si>
    <t xml:space="preserve">   4. 3D 스캔비 </t>
    <phoneticPr fontId="15" type="noConversion"/>
  </si>
  <si>
    <t>회</t>
    <phoneticPr fontId="15" type="noConversion"/>
  </si>
  <si>
    <t xml:space="preserve">   5. 보존처리 관련 용역비</t>
    <phoneticPr fontId="15" type="noConversion"/>
  </si>
  <si>
    <t xml:space="preserve">   6. 도면스캔비</t>
    <phoneticPr fontId="14" type="noConversion"/>
  </si>
  <si>
    <t xml:space="preserve">   7. 학술연구용역관련 용역비</t>
    <phoneticPr fontId="15" type="noConversion"/>
  </si>
  <si>
    <t xml:space="preserve">   8 전문조사분야 보고서 원고료</t>
    <phoneticPr fontId="20" type="noConversion"/>
  </si>
  <si>
    <t>회</t>
    <phoneticPr fontId="20" type="noConversion"/>
  </si>
  <si>
    <t xml:space="preserve">   9. 시굴조사지역 임목벌채 용역</t>
    <phoneticPr fontId="20" type="noConversion"/>
  </si>
  <si>
    <t>㎡ *</t>
    <phoneticPr fontId="20" type="noConversion"/>
  </si>
  <si>
    <t xml:space="preserve">  10. 항공촬영비</t>
    <phoneticPr fontId="15" type="noConversion"/>
  </si>
  <si>
    <t>개현장*</t>
    <phoneticPr fontId="15" type="noConversion"/>
  </si>
  <si>
    <t xml:space="preserve">  11. 사진현상및인화비</t>
    <phoneticPr fontId="15" type="noConversion"/>
  </si>
  <si>
    <t xml:space="preserve"> </t>
    <phoneticPr fontId="15" type="noConversion"/>
  </si>
  <si>
    <t xml:space="preserve">  12. 조사현장 현황 측량비</t>
    <phoneticPr fontId="15" type="noConversion"/>
  </si>
  <si>
    <t xml:space="preserve">  13. 발굴현장 사무실 설치비용</t>
    <phoneticPr fontId="15" type="noConversion"/>
  </si>
  <si>
    <t xml:space="preserve">  14. 발굴현장 임시 전기가설 용역</t>
    <phoneticPr fontId="15" type="noConversion"/>
  </si>
  <si>
    <t>개소*</t>
    <phoneticPr fontId="15" type="noConversion"/>
  </si>
  <si>
    <t>회</t>
    <phoneticPr fontId="14" type="noConversion"/>
  </si>
  <si>
    <t xml:space="preserve">   1. 중장비(굴삭기 06 기종) 임차료</t>
    <phoneticPr fontId="15" type="noConversion"/>
  </si>
  <si>
    <t>일 *</t>
    <phoneticPr fontId="20" type="noConversion"/>
  </si>
  <si>
    <t>대 *</t>
    <phoneticPr fontId="14" type="noConversion"/>
  </si>
  <si>
    <t>개 현장</t>
    <phoneticPr fontId="20" type="noConversion"/>
  </si>
  <si>
    <t>원 *</t>
    <phoneticPr fontId="15" type="noConversion"/>
  </si>
  <si>
    <t>개 현장</t>
    <phoneticPr fontId="20" type="noConversion"/>
  </si>
  <si>
    <t>=</t>
    <phoneticPr fontId="15" type="noConversion"/>
  </si>
  <si>
    <t>월 *</t>
    <phoneticPr fontId="20" type="noConversion"/>
  </si>
  <si>
    <t xml:space="preserve"> 10. 현장 사무실 냉,난방기, 집기류 임차료</t>
    <phoneticPr fontId="20" type="noConversion"/>
  </si>
  <si>
    <t xml:space="preserve">   2. 중장비(굴삭기 08 기종) 임차료</t>
    <phoneticPr fontId="15" type="noConversion"/>
  </si>
  <si>
    <t xml:space="preserve">   3. 중장비(덤프트럭) 임차료</t>
    <phoneticPr fontId="15" type="noConversion"/>
  </si>
  <si>
    <t xml:space="preserve">   4. 중장비 운송료(03 기종)</t>
    <phoneticPr fontId="15" type="noConversion"/>
  </si>
  <si>
    <t xml:space="preserve">   5. 중장비 운송료(06, 06, 08,10.1 기종)</t>
    <phoneticPr fontId="14" type="noConversion"/>
  </si>
  <si>
    <t xml:space="preserve">   6. 현장사무실용 콘테이너 운송료</t>
    <phoneticPr fontId="20" type="noConversion"/>
  </si>
  <si>
    <t>회 *</t>
    <phoneticPr fontId="14" type="noConversion"/>
  </si>
  <si>
    <t xml:space="preserve">   7. 현장사무실 임차료</t>
    <phoneticPr fontId="20" type="noConversion"/>
  </si>
  <si>
    <t>월 *</t>
    <phoneticPr fontId="20" type="noConversion"/>
  </si>
  <si>
    <t xml:space="preserve">   8. 대형유물보관창고 임차료</t>
    <phoneticPr fontId="15" type="noConversion"/>
  </si>
  <si>
    <t xml:space="preserve">   8. 장비 및 물품수송 차량 임차료</t>
    <phoneticPr fontId="20" type="noConversion"/>
  </si>
  <si>
    <t xml:space="preserve">   9. 현장 업무용차량 임차료(4륜구동형)</t>
    <phoneticPr fontId="20" type="noConversion"/>
  </si>
  <si>
    <t>실학박물관</t>
    <phoneticPr fontId="15" type="noConversion"/>
  </si>
  <si>
    <t>선사 교육프로그램</t>
    <phoneticPr fontId="15" type="noConversion"/>
  </si>
  <si>
    <t>보험료</t>
    <phoneticPr fontId="15" type="noConversion"/>
  </si>
  <si>
    <t>지급임차료</t>
    <phoneticPr fontId="15" type="noConversion"/>
  </si>
  <si>
    <t xml:space="preserve"> o 여행자 보험</t>
    <phoneticPr fontId="21" type="noConversion"/>
  </si>
  <si>
    <t xml:space="preserve"> o 점심, 식음료, 기념품 등</t>
    <phoneticPr fontId="15" type="noConversion"/>
  </si>
  <si>
    <t>후원사업</t>
    <phoneticPr fontId="21" type="noConversion"/>
  </si>
  <si>
    <t>2017 외부지원 사업</t>
    <phoneticPr fontId="15" type="noConversion"/>
  </si>
  <si>
    <t>통통한 세상</t>
    <phoneticPr fontId="15" type="noConversion"/>
  </si>
  <si>
    <t>소모품비</t>
    <phoneticPr fontId="15" type="noConversion"/>
  </si>
  <si>
    <t>자산구입비</t>
    <phoneticPr fontId="15" type="noConversion"/>
  </si>
  <si>
    <t xml:space="preserve">   1. 연주용 악기 구입비</t>
    <phoneticPr fontId="14" type="noConversion"/>
  </si>
  <si>
    <t xml:space="preserve">   2. 사진 영상장비 구입비</t>
    <phoneticPr fontId="14" type="noConversion"/>
  </si>
  <si>
    <t xml:space="preserve">   3. 야외 교육장비 구입</t>
    <phoneticPr fontId="15" type="noConversion"/>
  </si>
  <si>
    <t>지급수수료</t>
    <phoneticPr fontId="15" type="noConversion"/>
  </si>
  <si>
    <t xml:space="preserve">   1. 악기 지도 강사</t>
    <phoneticPr fontId="14" type="noConversion"/>
  </si>
  <si>
    <t xml:space="preserve">   2. 합주 지도 강사</t>
    <phoneticPr fontId="14" type="noConversion"/>
  </si>
  <si>
    <t xml:space="preserve">   3. 특강사(작곡, 사진, 동영상 등)</t>
    <phoneticPr fontId="15" type="noConversion"/>
  </si>
  <si>
    <t xml:space="preserve">   8. 두드림뮤직센터 시설 보강 및 운영</t>
    <phoneticPr fontId="15" type="noConversion"/>
  </si>
  <si>
    <t>국제교류 프로그램</t>
    <phoneticPr fontId="15" type="noConversion"/>
  </si>
  <si>
    <t>FACT 레지던시 교환 프로그램</t>
    <phoneticPr fontId="15" type="noConversion"/>
  </si>
  <si>
    <t xml:space="preserve"> o 지원 소모품비</t>
    <phoneticPr fontId="15" type="noConversion"/>
  </si>
  <si>
    <t>여비교통비</t>
    <phoneticPr fontId="15" type="noConversion"/>
  </si>
  <si>
    <t xml:space="preserve">   1. 항공료 및 교통비</t>
    <phoneticPr fontId="15" type="noConversion"/>
  </si>
  <si>
    <t xml:space="preserve"> o 작가 사례비</t>
    <phoneticPr fontId="15" type="noConversion"/>
  </si>
  <si>
    <t>평택시 송탄출장소 공공미술 프로젝트</t>
    <phoneticPr fontId="15" type="noConversion"/>
  </si>
  <si>
    <t>송탄출장소 공공미술(평택시)</t>
    <phoneticPr fontId="15" type="noConversion"/>
  </si>
  <si>
    <t xml:space="preserve"> o 경기문화재단 기획수수료</t>
    <phoneticPr fontId="15" type="noConversion"/>
  </si>
  <si>
    <t>지급용역료</t>
    <phoneticPr fontId="15" type="noConversion"/>
  </si>
  <si>
    <t>회의운영비</t>
    <phoneticPr fontId="15" type="noConversion"/>
  </si>
  <si>
    <t xml:space="preserve"> o 작품제작 및 공사 진행 협력회의</t>
    <phoneticPr fontId="15" type="noConversion"/>
  </si>
  <si>
    <t xml:space="preserve">   1. 건물 라이팅 아트 구조설계 </t>
    <phoneticPr fontId="15" type="noConversion"/>
  </si>
  <si>
    <t xml:space="preserve">   2. 라이팅 아트 디자인</t>
    <phoneticPr fontId="15" type="noConversion"/>
  </si>
  <si>
    <t xml:space="preserve">   3. 라이팅 아트 기초프레임 가설 공사</t>
    <phoneticPr fontId="14" type="noConversion"/>
  </si>
  <si>
    <t xml:space="preserve">   4. 라이팅 아트 컨트롤러 시스템 프로그램</t>
    <phoneticPr fontId="14" type="noConversion"/>
  </si>
  <si>
    <t xml:space="preserve">   5. 작품제작 및 연출 영상제작</t>
    <phoneticPr fontId="14" type="noConversion"/>
  </si>
  <si>
    <t xml:space="preserve">   6. 기초프레임 도장 공사</t>
    <phoneticPr fontId="14" type="noConversion"/>
  </si>
  <si>
    <t>송탄출장소 공공미술(경기관광공사)</t>
    <phoneticPr fontId="15" type="noConversion"/>
  </si>
  <si>
    <t xml:space="preserve"> o 작품제작 및 공사진행 소모품</t>
    <phoneticPr fontId="15" type="noConversion"/>
  </si>
  <si>
    <t xml:space="preserve">   1. 경기문화재단 기획수수료</t>
    <phoneticPr fontId="15" type="noConversion"/>
  </si>
  <si>
    <t xml:space="preserve">   2. 개막행사 연출 기획수수료</t>
    <phoneticPr fontId="15" type="noConversion"/>
  </si>
  <si>
    <t xml:space="preserve">   3. 라이팅 아트 구현 기술 자문위원 수당</t>
    <phoneticPr fontId="14" type="noConversion"/>
  </si>
  <si>
    <t xml:space="preserve">   1. 라이팅 아트 조명 공사</t>
    <phoneticPr fontId="15" type="noConversion"/>
  </si>
  <si>
    <t xml:space="preserve">   2. 작품 안내 사인물 제작</t>
    <phoneticPr fontId="15" type="noConversion"/>
  </si>
  <si>
    <t xml:space="preserve">   3. 전기 안전설비 점검 비용</t>
    <phoneticPr fontId="14" type="noConversion"/>
  </si>
  <si>
    <t xml:space="preserve"> o 교육연주용 악기 외 </t>
    <phoneticPr fontId="27" type="noConversion"/>
  </si>
  <si>
    <t xml:space="preserve">  1. 작곡료 및 편곡료</t>
    <phoneticPr fontId="15" type="noConversion"/>
  </si>
  <si>
    <t>곡</t>
    <phoneticPr fontId="15" type="noConversion"/>
  </si>
  <si>
    <t xml:space="preserve">  2. 다큐 영상 촬영 및 편집</t>
    <phoneticPr fontId="15" type="noConversion"/>
  </si>
  <si>
    <t xml:space="preserve">  3. 사회자</t>
    <phoneticPr fontId="15" type="noConversion"/>
  </si>
  <si>
    <t xml:space="preserve">  4. 객원 연주자</t>
    <phoneticPr fontId="15" type="noConversion"/>
  </si>
  <si>
    <t xml:space="preserve">  1. 차량</t>
    <phoneticPr fontId="15" type="noConversion"/>
  </si>
  <si>
    <t xml:space="preserve">  2. 음향 및 조명 장비</t>
    <phoneticPr fontId="15" type="noConversion"/>
  </si>
  <si>
    <t xml:space="preserve">  3. 연주복 및 연주화</t>
    <phoneticPr fontId="15" type="noConversion"/>
  </si>
  <si>
    <t>행사운영비</t>
    <phoneticPr fontId="15" type="noConversion"/>
  </si>
  <si>
    <t xml:space="preserve">  1. 무대장치 및 소품 제작</t>
    <phoneticPr fontId="15" type="noConversion"/>
  </si>
  <si>
    <t xml:space="preserve">  2. 포토 전시품</t>
    <phoneticPr fontId="15" type="noConversion"/>
  </si>
  <si>
    <t xml:space="preserve">  3. 음악캠프 진행</t>
    <phoneticPr fontId="15" type="noConversion"/>
  </si>
  <si>
    <t xml:space="preserve">  4. 결과발표회 식음료, 간식비</t>
    <phoneticPr fontId="15" type="noConversion"/>
  </si>
  <si>
    <t xml:space="preserve">  5. 현수막 등 홍보인쇄물 제작비</t>
    <phoneticPr fontId="15" type="noConversion"/>
  </si>
  <si>
    <t>작품</t>
    <phoneticPr fontId="15" type="noConversion"/>
  </si>
  <si>
    <t>식</t>
    <phoneticPr fontId="15" type="noConversion"/>
  </si>
  <si>
    <t>2017년도 5회 추경 지출예산 (공기관대행사업, 보조금, 지원금)</t>
    <phoneticPr fontId="15" type="noConversion"/>
  </si>
  <si>
    <t>NJP STEP UP</t>
    <phoneticPr fontId="20" type="noConversion"/>
  </si>
  <si>
    <t>유지관리비</t>
    <phoneticPr fontId="15" type="noConversion"/>
  </si>
  <si>
    <t xml:space="preserve"> o 가이드 시스템 교체 및 도입</t>
    <phoneticPr fontId="15" type="noConversion"/>
  </si>
  <si>
    <t>100</t>
    <phoneticPr fontId="15" type="noConversion"/>
  </si>
  <si>
    <t xml:space="preserve"> o 공간 조성 공사</t>
    <phoneticPr fontId="15" type="noConversion"/>
  </si>
  <si>
    <t>1</t>
    <phoneticPr fontId="15" type="noConversion"/>
  </si>
  <si>
    <t>식*</t>
    <phoneticPr fontId="15" type="noConversion"/>
  </si>
  <si>
    <t>2017년도 5회 추경 지출예산 (공기관대행, 보조금,지원금)</t>
    <phoneticPr fontId="15" type="noConversion"/>
  </si>
  <si>
    <t>송탄출장소 공공미술(평택시)</t>
    <phoneticPr fontId="15" type="noConversion"/>
  </si>
  <si>
    <t>평택시 송탄출장소 공공미술 프로젝트</t>
    <phoneticPr fontId="15" type="noConversion"/>
  </si>
  <si>
    <t>국제교류프로그램</t>
    <phoneticPr fontId="15" type="noConversion"/>
  </si>
  <si>
    <t>2017 경기꿈의학교</t>
    <phoneticPr fontId="15" type="noConversion"/>
  </si>
  <si>
    <t>8</t>
    <phoneticPr fontId="15" type="noConversion"/>
  </si>
  <si>
    <t>2017 송년 제야행사(So one이 이루어지는)</t>
    <phoneticPr fontId="15" type="noConversion"/>
  </si>
  <si>
    <t xml:space="preserve">  - 경영본부 미디어마케팅팀 2017 송년 제야행사(경기도)</t>
    <phoneticPr fontId="15" type="noConversion"/>
  </si>
  <si>
    <t>2017 송년 제야행사</t>
    <phoneticPr fontId="15" type="noConversion"/>
  </si>
  <si>
    <t>So one이 이루어지는</t>
    <phoneticPr fontId="15" type="noConversion"/>
  </si>
  <si>
    <t xml:space="preserve">   1. 무대제작 및 시스템</t>
    <phoneticPr fontId="15" type="noConversion"/>
  </si>
  <si>
    <t xml:space="preserve">   2. 출연료</t>
    <phoneticPr fontId="15" type="noConversion"/>
  </si>
  <si>
    <t xml:space="preserve">   3. 인건비(기획, 기술 PD, 현장운영스텝 등)</t>
    <phoneticPr fontId="15" type="noConversion"/>
  </si>
  <si>
    <t xml:space="preserve">   4. 타종식 연계 프로그램(LED 풍선 날리기, 불꽃 라이트 쇼 등)</t>
    <phoneticPr fontId="15" type="noConversion"/>
  </si>
  <si>
    <t xml:space="preserve">   5. 부대행사 운영(소원박람회, 로드 퍼포먼스 등)</t>
    <phoneticPr fontId="15" type="noConversion"/>
  </si>
  <si>
    <t xml:space="preserve">   6. 행사시설 설치비</t>
    <phoneticPr fontId="15" type="noConversion"/>
  </si>
  <si>
    <t xml:space="preserve"> 제2조(예산명세) 2017년도 5회추경 수입·지출 예산명세는
                         별첨“5회 추경 수입·지출 예산서”와 같다.</t>
    <phoneticPr fontId="15" type="noConversion"/>
  </si>
  <si>
    <t>2017년도 5회 추경 지출예산 (정책실)</t>
    <phoneticPr fontId="15" type="noConversion"/>
  </si>
  <si>
    <t>2017년도 5회 추경 지출예산 (경영본부, 문화예술본부 - 일반관리비)</t>
    <phoneticPr fontId="15" type="noConversion"/>
  </si>
  <si>
    <t>2017년도 5회 추경 지출예산 (경영본부 - 사업비)</t>
    <phoneticPr fontId="15" type="noConversion"/>
  </si>
  <si>
    <t>2017년도 5회 추경 지출예산 (문화예술본부)</t>
    <phoneticPr fontId="15" type="noConversion"/>
  </si>
  <si>
    <t>2017년도 5회 추경 지출예산 (경기문화재연구원)</t>
    <phoneticPr fontId="15" type="noConversion"/>
  </si>
  <si>
    <t>2017년도 5회 추경 지출예산 (경기도박물관)</t>
    <phoneticPr fontId="15" type="noConversion"/>
  </si>
  <si>
    <t>2017년도 5회 추경 지출예산 (경기도미술관)</t>
    <phoneticPr fontId="15" type="noConversion"/>
  </si>
  <si>
    <t>2017년도 5회 추경 지출예산 (백남준아트센터)</t>
    <phoneticPr fontId="15" type="noConversion"/>
  </si>
  <si>
    <t>2017년도 5회 추경 지출예산 (실학박물관)</t>
    <phoneticPr fontId="15" type="noConversion"/>
  </si>
  <si>
    <t>2017년도 5회 추경 지출예산 (전곡선사박물관)</t>
    <phoneticPr fontId="15" type="noConversion"/>
  </si>
  <si>
    <t>2017년도 5회 추경 지출예산 (경기도어린이박물관)</t>
    <phoneticPr fontId="15" type="noConversion"/>
  </si>
  <si>
    <t>2017년도 5회 추경 지출예산 (예비비)</t>
    <phoneticPr fontId="15" type="noConversion"/>
  </si>
  <si>
    <t>2017년도 5회 추경 지출예산 (위탁)</t>
    <phoneticPr fontId="15" type="noConversion"/>
  </si>
  <si>
    <t>2017년도 5회 추경 지출예산 (반납비)</t>
    <phoneticPr fontId="15" type="noConversion"/>
  </si>
  <si>
    <t>전통문화자원 관광상품화</t>
    <phoneticPr fontId="15" type="noConversion"/>
  </si>
  <si>
    <t xml:space="preserve">   1. 전시설치관련 소모품</t>
    <phoneticPr fontId="15" type="noConversion"/>
  </si>
  <si>
    <t xml:space="preserve">   2. 오픈스튜디오 소모품</t>
    <phoneticPr fontId="27" type="noConversion"/>
  </si>
  <si>
    <t xml:space="preserve"> o 예산조정</t>
    <phoneticPr fontId="15" type="noConversion"/>
  </si>
  <si>
    <t xml:space="preserve">   2. 홍보용 디자인 구입</t>
    <phoneticPr fontId="15" type="noConversion"/>
  </si>
  <si>
    <t xml:space="preserve"> o 서포터즈 운영비</t>
    <phoneticPr fontId="15" type="noConversion"/>
  </si>
  <si>
    <t xml:space="preserve">   1. 연차보고서 및 홍보리플릿 등</t>
    <phoneticPr fontId="15" type="noConversion"/>
  </si>
  <si>
    <t xml:space="preserve">   2. 아트포스터 제작 등</t>
    <phoneticPr fontId="15" type="noConversion"/>
  </si>
  <si>
    <t xml:space="preserve">   1. FACT 레지던시 교류 프로그램(사례비, 원고료 등)</t>
    <phoneticPr fontId="15" type="noConversion"/>
  </si>
  <si>
    <t xml:space="preserve"> o 사무용품 구입</t>
    <phoneticPr fontId="15" type="noConversion"/>
  </si>
  <si>
    <t xml:space="preserve">   2. 전문가 자문료</t>
    <phoneticPr fontId="15" type="noConversion"/>
  </si>
  <si>
    <t xml:space="preserve">   1. 심의, 자문 등</t>
    <phoneticPr fontId="15" type="noConversion"/>
  </si>
  <si>
    <t xml:space="preserve">   2. 순회전 등 작가 수당</t>
    <phoneticPr fontId="15" type="noConversion"/>
  </si>
  <si>
    <t xml:space="preserve">  1. 활동보고서 제작</t>
    <phoneticPr fontId="15" type="noConversion"/>
  </si>
  <si>
    <t xml:space="preserve">  2. 포스터 및 리플렛 제작</t>
    <phoneticPr fontId="15" type="noConversion"/>
  </si>
  <si>
    <t xml:space="preserve">   1. 공연, 무대총감독, 행사보조인력, 영상 및 사진 기록 등</t>
    <phoneticPr fontId="15" type="noConversion"/>
  </si>
  <si>
    <t xml:space="preserve">   2. 아트디렉터 사례비</t>
    <phoneticPr fontId="15" type="noConversion"/>
  </si>
  <si>
    <t xml:space="preserve">   3. 플랫폼 운영 자문료 등</t>
    <phoneticPr fontId="15" type="noConversion"/>
  </si>
  <si>
    <t xml:space="preserve">   1. 홍보물 제작 설치</t>
    <phoneticPr fontId="15" type="noConversion"/>
  </si>
  <si>
    <t xml:space="preserve">   2. 아카이브 기록</t>
    <phoneticPr fontId="15" type="noConversion"/>
  </si>
  <si>
    <t xml:space="preserve">   3. 콜렉션발굴 및 재생 </t>
    <phoneticPr fontId="15" type="noConversion"/>
  </si>
  <si>
    <t xml:space="preserve"> o 보조원 인건비</t>
    <phoneticPr fontId="15" type="noConversion"/>
  </si>
  <si>
    <t xml:space="preserve"> o 전문가 자문회의 및 토론회</t>
    <phoneticPr fontId="15" type="noConversion"/>
  </si>
  <si>
    <t xml:space="preserve">   1. 창립기념식 식다과비</t>
    <phoneticPr fontId="15" type="noConversion"/>
  </si>
  <si>
    <t xml:space="preserve">   3. 일비</t>
    <phoneticPr fontId="15" type="noConversion"/>
  </si>
  <si>
    <t xml:space="preserve">   1. 주강사</t>
    <phoneticPr fontId="15" type="noConversion"/>
  </si>
  <si>
    <t xml:space="preserve">   2. 보조강사</t>
    <phoneticPr fontId="15" type="noConversion"/>
  </si>
  <si>
    <t xml:space="preserve"> o 자료집지원</t>
    <phoneticPr fontId="15" type="noConversion"/>
  </si>
  <si>
    <t>건</t>
    <phoneticPr fontId="15" type="noConversion"/>
  </si>
  <si>
    <t xml:space="preserve">   1. 강의및 자문</t>
    <phoneticPr fontId="15" type="noConversion"/>
  </si>
  <si>
    <t>명*</t>
    <phoneticPr fontId="15" type="noConversion"/>
  </si>
  <si>
    <t xml:space="preserve">   2. 녹취및번역</t>
    <phoneticPr fontId="15" type="noConversion"/>
  </si>
  <si>
    <t xml:space="preserve"> o 홍보물</t>
    <phoneticPr fontId="15" type="noConversion"/>
  </si>
  <si>
    <t xml:space="preserve">   1. 행사물품 및 다과</t>
    <phoneticPr fontId="15" type="noConversion"/>
  </si>
  <si>
    <t xml:space="preserve">   2. 답사</t>
    <phoneticPr fontId="15" type="noConversion"/>
  </si>
  <si>
    <t xml:space="preserve"> o 기획회의</t>
    <phoneticPr fontId="15" type="noConversion"/>
  </si>
  <si>
    <t>지원비</t>
    <phoneticPr fontId="15" type="noConversion"/>
  </si>
  <si>
    <t xml:space="preserve">지급수수료 </t>
    <phoneticPr fontId="15" type="noConversion"/>
  </si>
  <si>
    <t>도서인쇄비</t>
    <phoneticPr fontId="15" type="noConversion"/>
  </si>
  <si>
    <t xml:space="preserve">행사운영비 </t>
    <phoneticPr fontId="15" type="noConversion"/>
  </si>
  <si>
    <t>회의운영비</t>
    <phoneticPr fontId="15" type="noConversion"/>
  </si>
  <si>
    <t xml:space="preserve">   1. 급여</t>
    <phoneticPr fontId="15" type="noConversion"/>
  </si>
  <si>
    <t xml:space="preserve">   2. 부가급여</t>
    <phoneticPr fontId="15" type="noConversion"/>
  </si>
  <si>
    <t xml:space="preserve">   2. 복지카드</t>
    <phoneticPr fontId="15" type="noConversion"/>
  </si>
  <si>
    <t xml:space="preserve">   1. 4대보험</t>
    <phoneticPr fontId="15" type="noConversion"/>
  </si>
  <si>
    <t xml:space="preserve">   3. 건강검진</t>
    <phoneticPr fontId="15" type="noConversion"/>
  </si>
  <si>
    <t xml:space="preserve">   4. 보장보험</t>
    <phoneticPr fontId="15" type="noConversion"/>
  </si>
  <si>
    <t xml:space="preserve"> - 직원</t>
    <phoneticPr fontId="15" type="noConversion"/>
  </si>
  <si>
    <t xml:space="preserve">  2. 부가급여(교통비+정액급식비+자녀학비보조수당+가족수당 포함)</t>
    <phoneticPr fontId="15" type="noConversion"/>
  </si>
  <si>
    <t xml:space="preserve">  3. 경영평가 성과금</t>
    <phoneticPr fontId="15" type="noConversion"/>
  </si>
  <si>
    <t xml:space="preserve">  1. 인터넷 전용선 사용료</t>
    <phoneticPr fontId="15" type="noConversion"/>
  </si>
  <si>
    <t xml:space="preserve">  2.  SMS, 전화, 팩스 사용료</t>
    <phoneticPr fontId="14" type="noConversion"/>
  </si>
  <si>
    <t>o 부서운영비</t>
    <phoneticPr fontId="15" type="noConversion"/>
  </si>
  <si>
    <t>o 직책업무추진비</t>
    <phoneticPr fontId="15" type="noConversion"/>
  </si>
  <si>
    <t>o 직원교육훈련비</t>
    <phoneticPr fontId="15" type="noConversion"/>
  </si>
  <si>
    <t>ㅇ 국내 출장여비</t>
    <phoneticPr fontId="15" type="noConversion"/>
  </si>
  <si>
    <t>시군비</t>
    <phoneticPr fontId="15" type="noConversion"/>
  </si>
  <si>
    <t>합 계</t>
    <phoneticPr fontId="15" type="noConversion"/>
  </si>
  <si>
    <t>농생대 문화공간 조성</t>
    <phoneticPr fontId="15" type="noConversion"/>
  </si>
  <si>
    <t>농생대 문화공간 운영</t>
    <phoneticPr fontId="15" type="noConversion"/>
  </si>
</sst>
</file>

<file path=xl/styles.xml><?xml version="1.0" encoding="utf-8"?>
<styleSheet xmlns="http://schemas.openxmlformats.org/spreadsheetml/2006/main">
  <numFmts count="2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#,##0_);[Red]\(#,##0\)"/>
    <numFmt numFmtId="179" formatCode="#,##0.0_);[Red]\(#,##0.0\)"/>
    <numFmt numFmtId="180" formatCode="#,##0_);\(#,##0\)"/>
    <numFmt numFmtId="181" formatCode="_-* #,##0.0_-;\-* #,##0.0_-;_-* &quot;-&quot;_-;_-@_-"/>
    <numFmt numFmtId="182" formatCode="#,##0.0"/>
    <numFmt numFmtId="183" formatCode="#,##0.0_ "/>
    <numFmt numFmtId="184" formatCode="#,##0_ ;[Red]\-#,##0\ "/>
    <numFmt numFmtId="185" formatCode="0_);[Red]\(0\)"/>
    <numFmt numFmtId="186" formatCode="#,##0.000"/>
    <numFmt numFmtId="187" formatCode="#,##0;&quot;△&quot;#,##0"/>
    <numFmt numFmtId="188" formatCode="_ * #,##0_ ;_ * \-#,##0_ ;_ * &quot;-&quot;_ ;_ @_ "/>
    <numFmt numFmtId="189" formatCode="&quot;?#,##0;\-&quot;&quot;?&quot;#,##0"/>
    <numFmt numFmtId="190" formatCode="&quot;?#,##0.00;\-&quot;&quot;?&quot;#,##0.00"/>
    <numFmt numFmtId="191" formatCode="&quot;RM&quot;#,##0.00_);[Red]&quot;₩&quot;\!\(&quot;RM&quot;#,##0.00&quot;₩&quot;\!\)"/>
    <numFmt numFmtId="192" formatCode="_ * #,##0.00_ ;_ * \-#,##0.00_ ;_ * &quot;-&quot;??_ ;_ @_ "/>
    <numFmt numFmtId="193" formatCode="0.0_);[Red]\(0.0\)"/>
    <numFmt numFmtId="194" formatCode="0_);\(0\)"/>
    <numFmt numFmtId="195" formatCode="###,##0"/>
    <numFmt numFmtId="196" formatCode="0_ "/>
    <numFmt numFmtId="197" formatCode="&quot;₩&quot;#,##0_);[Red]\(&quot;₩&quot;#,##0\)"/>
    <numFmt numFmtId="198" formatCode="_-* #,##0.00_-;\-* #,##0.00_-;_-* &quot;-&quot;_-;_-@_-"/>
    <numFmt numFmtId="199" formatCode="0.0_ "/>
  </numFmts>
  <fonts count="8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2"/>
      <name val="돋움"/>
      <family val="3"/>
      <charset val="129"/>
    </font>
    <font>
      <sz val="8"/>
      <name val="돋움"/>
      <family val="3"/>
      <charset val="129"/>
    </font>
    <font>
      <sz val="12"/>
      <name val="돋움"/>
      <family val="3"/>
      <charset val="129"/>
    </font>
    <font>
      <sz val="14"/>
      <name val="돋움"/>
      <family val="3"/>
      <charset val="129"/>
    </font>
    <font>
      <b/>
      <sz val="12"/>
      <name val="돋움"/>
      <family val="3"/>
      <charset val="129"/>
    </font>
    <font>
      <b/>
      <sz val="14"/>
      <name val="돋움"/>
      <family val="3"/>
      <charset val="129"/>
    </font>
    <font>
      <sz val="8"/>
      <name val="새굴림"/>
      <family val="1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0"/>
      <name val="돋움"/>
      <family val="3"/>
      <charset val="129"/>
    </font>
    <font>
      <b/>
      <sz val="20"/>
      <name val="돋움"/>
      <family val="3"/>
      <charset val="129"/>
    </font>
    <font>
      <b/>
      <sz val="11"/>
      <name val="돋움"/>
      <family val="3"/>
      <charset val="129"/>
    </font>
    <font>
      <sz val="22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24"/>
      <name val="돋움"/>
      <family val="3"/>
      <charset val="129"/>
    </font>
    <font>
      <sz val="20"/>
      <name val="HY신명조"/>
      <family val="1"/>
      <charset val="129"/>
    </font>
    <font>
      <sz val="16"/>
      <name val="HY신명조"/>
      <family val="1"/>
      <charset val="129"/>
    </font>
    <font>
      <b/>
      <sz val="14"/>
      <color indexed="8"/>
      <name val="돋움"/>
      <family val="3"/>
      <charset val="129"/>
    </font>
    <font>
      <b/>
      <sz val="28"/>
      <name val="돋움"/>
      <family val="3"/>
      <charset val="129"/>
    </font>
    <font>
      <sz val="28"/>
      <name val="돋움"/>
      <family val="3"/>
      <charset val="129"/>
    </font>
    <font>
      <b/>
      <sz val="14"/>
      <color theme="1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4"/>
      <color theme="1"/>
      <name val="돋움"/>
      <family val="3"/>
      <charset val="129"/>
    </font>
    <font>
      <sz val="14"/>
      <color rgb="FF000000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name val="바탕체"/>
      <family val="1"/>
      <charset val="129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6"/>
      <color indexed="8"/>
      <name val="돋움"/>
      <family val="3"/>
      <charset val="129"/>
    </font>
    <font>
      <sz val="14"/>
      <color indexed="8"/>
      <name val="뼻뮝"/>
      <family val="3"/>
      <charset val="129"/>
    </font>
    <font>
      <sz val="12"/>
      <color rgb="FFFF0000"/>
      <name val="돋움"/>
      <family val="3"/>
      <charset val="129"/>
    </font>
    <font>
      <sz val="12"/>
      <color rgb="FF0070C0"/>
      <name val="돋움"/>
      <family val="3"/>
      <charset val="129"/>
    </font>
    <font>
      <sz val="12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</font>
    <font>
      <b/>
      <sz val="22"/>
      <color theme="1"/>
      <name val="돋움"/>
      <family val="3"/>
      <charset val="129"/>
    </font>
    <font>
      <sz val="22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u/>
      <sz val="11"/>
      <color theme="1"/>
      <name val="돋움"/>
      <family val="3"/>
      <charset val="129"/>
    </font>
    <font>
      <sz val="10.199999999999999"/>
      <color theme="1"/>
      <name val="돋움"/>
      <family val="3"/>
      <charset val="129"/>
    </font>
    <font>
      <u/>
      <sz val="12"/>
      <color theme="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굴림"/>
      <family val="3"/>
      <charset val="129"/>
    </font>
    <font>
      <sz val="9"/>
      <name val="굴림"/>
      <family val="3"/>
      <charset val="129"/>
    </font>
    <font>
      <b/>
      <sz val="9"/>
      <name val="굴림"/>
      <family val="3"/>
      <charset val="129"/>
    </font>
    <font>
      <b/>
      <sz val="10"/>
      <color rgb="FF0000FF"/>
      <name val="굴림"/>
      <family val="3"/>
      <charset val="129"/>
    </font>
    <font>
      <sz val="9"/>
      <color rgb="FF0000FF"/>
      <name val="굴림"/>
      <family val="3"/>
      <charset val="129"/>
    </font>
    <font>
      <b/>
      <sz val="9"/>
      <color rgb="FF0000FF"/>
      <name val="굴림"/>
      <family val="3"/>
      <charset val="129"/>
    </font>
    <font>
      <sz val="10"/>
      <color rgb="FF0000FF"/>
      <name val="굴림"/>
      <family val="3"/>
      <charset val="129"/>
    </font>
    <font>
      <b/>
      <sz val="10"/>
      <name val="굴림"/>
      <family val="3"/>
      <charset val="129"/>
    </font>
    <font>
      <b/>
      <sz val="9"/>
      <color theme="1"/>
      <name val="굴림"/>
      <family val="3"/>
      <charset val="129"/>
    </font>
    <font>
      <sz val="9"/>
      <color theme="1"/>
      <name val="굴림"/>
      <family val="3"/>
      <charset val="129"/>
    </font>
    <font>
      <sz val="9"/>
      <color indexed="63"/>
      <name val="굴림"/>
      <family val="3"/>
      <charset val="129"/>
    </font>
    <font>
      <sz val="11"/>
      <name val="굴림"/>
      <family val="3"/>
      <charset val="129"/>
    </font>
    <font>
      <b/>
      <sz val="26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8"/>
      <name val="돋움"/>
      <family val="3"/>
      <charset val="129"/>
    </font>
    <font>
      <b/>
      <sz val="6"/>
      <name val="돋움"/>
      <family val="3"/>
      <charset val="129"/>
    </font>
    <font>
      <sz val="11"/>
      <color rgb="FFFF0000"/>
      <name val="돋움"/>
      <family val="3"/>
      <charset val="129"/>
    </font>
    <font>
      <sz val="6"/>
      <name val="돋움"/>
      <family val="3"/>
      <charset val="129"/>
    </font>
    <font>
      <b/>
      <sz val="10"/>
      <name val="돋움"/>
      <family val="3"/>
      <charset val="129"/>
    </font>
    <font>
      <sz val="13"/>
      <name val="HY신명조"/>
      <family val="1"/>
      <charset val="129"/>
    </font>
    <font>
      <u/>
      <sz val="7.7"/>
      <color theme="10"/>
      <name val="돋움"/>
      <family val="3"/>
      <charset val="129"/>
    </font>
    <font>
      <sz val="11"/>
      <color rgb="FF000000"/>
      <name val="돋움"/>
      <family val="3"/>
      <charset val="129"/>
    </font>
    <font>
      <sz val="12"/>
      <color rgb="FF0066FF"/>
      <name val="돋움"/>
      <family val="3"/>
      <charset val="129"/>
    </font>
    <font>
      <sz val="12"/>
      <color rgb="FF0000FF"/>
      <name val="돋움"/>
      <family val="3"/>
      <charset val="129"/>
    </font>
    <font>
      <sz val="10"/>
      <color rgb="FFFF0000"/>
      <name val="돋움"/>
      <family val="3"/>
      <charset val="129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1"/>
        <bgColor indexed="64"/>
      </patternFill>
    </fill>
  </fills>
  <borders count="1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/>
      <diagonal/>
    </border>
    <border>
      <left/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ck">
        <color rgb="FF0000FF"/>
      </right>
      <top/>
      <bottom/>
      <diagonal/>
    </border>
    <border>
      <left/>
      <right style="thick">
        <color rgb="FF0000FF"/>
      </right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/>
      <right style="thick">
        <color rgb="FF0000F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736">
    <xf numFmtId="0" fontId="0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22" fillId="0" borderId="0"/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4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38" fillId="0" borderId="0" applyFont="0" applyFill="0" applyBorder="0" applyAlignment="0" applyProtection="0">
      <alignment vertical="center"/>
    </xf>
    <xf numFmtId="187" fontId="13" fillId="0" borderId="0" applyFont="0" applyFill="0" applyBorder="0" applyAlignment="0" applyProtection="0"/>
    <xf numFmtId="0" fontId="38" fillId="0" borderId="0" applyFill="0" applyAlignment="0"/>
    <xf numFmtId="189" fontId="13" fillId="0" borderId="0" applyFont="0" applyFill="0" applyBorder="0" applyAlignment="0" applyProtection="0"/>
    <xf numFmtId="190" fontId="13" fillId="0" borderId="0" applyFont="0" applyFill="0" applyBorder="0" applyAlignment="0" applyProtection="0"/>
    <xf numFmtId="0" fontId="39" fillId="0" borderId="0" applyFont="0" applyFill="0" applyBorder="0" applyAlignment="0" applyProtection="0"/>
    <xf numFmtId="191" fontId="13" fillId="0" borderId="0" applyFont="0" applyFill="0" applyBorder="0" applyAlignment="0" applyProtection="0"/>
    <xf numFmtId="38" fontId="40" fillId="5" borderId="0" applyNumberFormat="0" applyBorder="0" applyAlignment="0" applyProtection="0"/>
    <xf numFmtId="0" fontId="41" fillId="0" borderId="45" applyNumberFormat="0" applyAlignment="0" applyProtection="0">
      <alignment horizontal="left" vertical="center"/>
    </xf>
    <xf numFmtId="0" fontId="41" fillId="0" borderId="30">
      <alignment horizontal="left" vertical="center"/>
    </xf>
    <xf numFmtId="10" fontId="40" fillId="4" borderId="13" applyNumberFormat="0" applyBorder="0" applyAlignment="0" applyProtection="0"/>
    <xf numFmtId="191" fontId="13" fillId="0" borderId="0"/>
    <xf numFmtId="0" fontId="42" fillId="0" borderId="0"/>
    <xf numFmtId="10" fontId="42" fillId="0" borderId="0" applyFont="0" applyFill="0" applyBorder="0" applyAlignment="0" applyProtection="0"/>
    <xf numFmtId="0" fontId="43" fillId="0" borderId="0" applyNumberFormat="0" applyFont="0" applyFill="0" applyAlignment="0">
      <alignment horizontal="centerContinuous"/>
    </xf>
    <xf numFmtId="40" fontId="44" fillId="0" borderId="0" applyFont="0" applyFill="0" applyAlignment="0" applyProtection="0"/>
    <xf numFmtId="38" fontId="44" fillId="0" borderId="0" applyFont="0" applyFill="0" applyAlignment="0" applyProtection="0"/>
    <xf numFmtId="0" fontId="44" fillId="0" borderId="0" applyFont="0" applyFill="0" applyAlignment="0" applyProtection="0"/>
    <xf numFmtId="0" fontId="44" fillId="0" borderId="0" applyFont="0" applyFill="0" applyAlignment="0" applyProtection="0"/>
    <xf numFmtId="188" fontId="38" fillId="0" borderId="0" applyFont="0" applyFill="0" applyAlignment="0" applyProtection="0"/>
    <xf numFmtId="188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2" fillId="0" borderId="0" applyNumberFormat="0" applyFill="0" applyBorder="0" applyAlignment="0" applyProtection="0">
      <alignment vertical="top"/>
      <protection locked="0"/>
    </xf>
    <xf numFmtId="41" fontId="1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</cellStyleXfs>
  <cellXfs count="4219">
    <xf numFmtId="0" fontId="0" fillId="0" borderId="0" xfId="0"/>
    <xf numFmtId="49" fontId="16" fillId="0" borderId="1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77" fontId="16" fillId="0" borderId="56" xfId="2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26" fillId="0" borderId="0" xfId="0" applyNumberFormat="1" applyFont="1" applyFill="1" applyAlignment="1">
      <alignment horizontal="center" vertical="center"/>
    </xf>
    <xf numFmtId="41" fontId="16" fillId="0" borderId="0" xfId="2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177" fontId="16" fillId="0" borderId="0" xfId="2" applyNumberFormat="1" applyFont="1" applyFill="1" applyBorder="1" applyAlignment="1">
      <alignment horizontal="right" vertical="center"/>
    </xf>
    <xf numFmtId="41" fontId="16" fillId="0" borderId="0" xfId="2" applyNumberFormat="1" applyFont="1" applyFill="1" applyBorder="1" applyAlignment="1">
      <alignment horizontal="right" vertical="center"/>
    </xf>
    <xf numFmtId="41" fontId="16" fillId="0" borderId="17" xfId="0" applyNumberFormat="1" applyFont="1" applyFill="1" applyBorder="1" applyAlignment="1">
      <alignment vertical="center"/>
    </xf>
    <xf numFmtId="177" fontId="16" fillId="0" borderId="13" xfId="6" applyNumberFormat="1" applyFont="1" applyFill="1" applyBorder="1" applyAlignment="1">
      <alignment horizontal="right" vertical="center"/>
    </xf>
    <xf numFmtId="41" fontId="16" fillId="0" borderId="0" xfId="2" applyFont="1" applyFill="1" applyBorder="1" applyAlignment="1">
      <alignment horizontal="right" vertical="center"/>
    </xf>
    <xf numFmtId="41" fontId="0" fillId="0" borderId="0" xfId="2" applyFont="1" applyFill="1" applyAlignment="1">
      <alignment vertical="center"/>
    </xf>
    <xf numFmtId="41" fontId="16" fillId="0" borderId="0" xfId="2" applyFont="1" applyFill="1" applyAlignment="1">
      <alignment vertical="center"/>
    </xf>
    <xf numFmtId="0" fontId="17" fillId="0" borderId="0" xfId="0" applyFont="1" applyFill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3" fontId="16" fillId="0" borderId="7" xfId="6" applyNumberFormat="1" applyFont="1" applyFill="1" applyBorder="1" applyAlignment="1">
      <alignment vertical="center"/>
    </xf>
    <xf numFmtId="177" fontId="16" fillId="0" borderId="1" xfId="2" applyNumberFormat="1" applyFont="1" applyFill="1" applyBorder="1" applyAlignment="1">
      <alignment horizontal="right" vertical="center"/>
    </xf>
    <xf numFmtId="41" fontId="16" fillId="0" borderId="0" xfId="6" applyNumberFormat="1" applyFont="1" applyFill="1" applyBorder="1" applyAlignment="1">
      <alignment vertical="center"/>
    </xf>
    <xf numFmtId="41" fontId="0" fillId="0" borderId="0" xfId="2" applyFont="1" applyFill="1" applyBorder="1" applyAlignment="1">
      <alignment vertical="center"/>
    </xf>
    <xf numFmtId="41" fontId="16" fillId="0" borderId="1" xfId="2" applyFont="1" applyFill="1" applyBorder="1" applyAlignment="1">
      <alignment horizontal="right" vertical="center"/>
    </xf>
    <xf numFmtId="176" fontId="16" fillId="0" borderId="0" xfId="0" applyNumberFormat="1" applyFont="1" applyFill="1" applyAlignment="1">
      <alignment horizontal="right" vertical="center"/>
    </xf>
    <xf numFmtId="177" fontId="19" fillId="0" borderId="28" xfId="2" applyNumberFormat="1" applyFont="1" applyFill="1" applyBorder="1" applyAlignment="1">
      <alignment horizontal="right" vertical="center"/>
    </xf>
    <xf numFmtId="0" fontId="17" fillId="0" borderId="74" xfId="0" applyFont="1" applyBorder="1" applyAlignment="1">
      <alignment vertical="center"/>
    </xf>
    <xf numFmtId="177" fontId="17" fillId="0" borderId="37" xfId="2" applyNumberFormat="1" applyFont="1" applyFill="1" applyBorder="1" applyAlignment="1">
      <alignment horizontal="right" vertical="center"/>
    </xf>
    <xf numFmtId="0" fontId="17" fillId="0" borderId="75" xfId="0" applyFont="1" applyBorder="1" applyAlignment="1">
      <alignment vertical="center"/>
    </xf>
    <xf numFmtId="177" fontId="17" fillId="0" borderId="76" xfId="2" applyNumberFormat="1" applyFont="1" applyFill="1" applyBorder="1" applyAlignment="1">
      <alignment horizontal="right" vertical="center"/>
    </xf>
    <xf numFmtId="0" fontId="17" fillId="0" borderId="10" xfId="0" applyFont="1" applyBorder="1" applyAlignment="1">
      <alignment vertical="center"/>
    </xf>
    <xf numFmtId="177" fontId="17" fillId="0" borderId="26" xfId="2" applyNumberFormat="1" applyFont="1" applyFill="1" applyBorder="1" applyAlignment="1">
      <alignment horizontal="right" vertical="center"/>
    </xf>
    <xf numFmtId="0" fontId="17" fillId="0" borderId="78" xfId="0" applyFont="1" applyBorder="1" applyAlignment="1">
      <alignment vertical="center"/>
    </xf>
    <xf numFmtId="177" fontId="17" fillId="0" borderId="79" xfId="2" applyNumberFormat="1" applyFont="1" applyFill="1" applyBorder="1" applyAlignment="1">
      <alignment horizontal="right" vertical="center"/>
    </xf>
    <xf numFmtId="0" fontId="17" fillId="0" borderId="8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7" fillId="0" borderId="0" xfId="0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right" vertical="center"/>
    </xf>
    <xf numFmtId="177" fontId="17" fillId="0" borderId="0" xfId="0" applyNumberFormat="1" applyFont="1" applyFill="1" applyBorder="1" applyAlignment="1">
      <alignment horizontal="right" vertical="center"/>
    </xf>
    <xf numFmtId="0" fontId="17" fillId="0" borderId="0" xfId="2" applyNumberFormat="1" applyFont="1" applyFill="1" applyBorder="1" applyAlignment="1">
      <alignment horizontal="right" vertical="center"/>
    </xf>
    <xf numFmtId="0" fontId="17" fillId="0" borderId="0" xfId="2" applyNumberFormat="1" applyFont="1" applyFill="1" applyBorder="1" applyAlignment="1">
      <alignment vertical="center"/>
    </xf>
    <xf numFmtId="41" fontId="19" fillId="0" borderId="44" xfId="2" applyFont="1" applyFill="1" applyBorder="1" applyAlignment="1">
      <alignment vertical="center"/>
    </xf>
    <xf numFmtId="41" fontId="19" fillId="0" borderId="45" xfId="2" applyFont="1" applyFill="1" applyBorder="1" applyAlignment="1">
      <alignment horizontal="centerContinuous" vertical="center"/>
    </xf>
    <xf numFmtId="41" fontId="19" fillId="0" borderId="45" xfId="2" applyFont="1" applyFill="1" applyBorder="1" applyAlignment="1">
      <alignment vertical="center"/>
    </xf>
    <xf numFmtId="41" fontId="19" fillId="0" borderId="46" xfId="2" applyFont="1" applyFill="1" applyBorder="1" applyAlignment="1">
      <alignment vertical="center"/>
    </xf>
    <xf numFmtId="0" fontId="19" fillId="0" borderId="44" xfId="0" applyNumberFormat="1" applyFont="1" applyFill="1" applyBorder="1" applyAlignment="1">
      <alignment horizontal="left" vertical="center"/>
    </xf>
    <xf numFmtId="0" fontId="17" fillId="0" borderId="8" xfId="0" applyNumberFormat="1" applyFont="1" applyFill="1" applyBorder="1" applyAlignment="1">
      <alignment vertical="center"/>
    </xf>
    <xf numFmtId="41" fontId="17" fillId="0" borderId="12" xfId="2" applyFont="1" applyFill="1" applyBorder="1" applyAlignment="1">
      <alignment vertical="center"/>
    </xf>
    <xf numFmtId="184" fontId="17" fillId="0" borderId="10" xfId="0" applyNumberFormat="1" applyFont="1" applyFill="1" applyBorder="1" applyAlignment="1">
      <alignment horizontal="right" vertical="center"/>
    </xf>
    <xf numFmtId="49" fontId="17" fillId="0" borderId="8" xfId="0" applyNumberFormat="1" applyFont="1" applyFill="1" applyBorder="1" applyAlignment="1">
      <alignment vertical="center"/>
    </xf>
    <xf numFmtId="49" fontId="17" fillId="0" borderId="10" xfId="0" applyNumberFormat="1" applyFont="1" applyFill="1" applyBorder="1" applyAlignment="1">
      <alignment vertical="center"/>
    </xf>
    <xf numFmtId="177" fontId="17" fillId="0" borderId="35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/>
    </xf>
    <xf numFmtId="41" fontId="17" fillId="0" borderId="0" xfId="2" applyNumberFormat="1" applyFont="1" applyFill="1" applyBorder="1" applyAlignment="1">
      <alignment vertical="center"/>
    </xf>
    <xf numFmtId="49" fontId="17" fillId="0" borderId="12" xfId="0" applyNumberFormat="1" applyFont="1" applyFill="1" applyBorder="1" applyAlignment="1">
      <alignment horizontal="left" vertical="center"/>
    </xf>
    <xf numFmtId="49" fontId="17" fillId="0" borderId="11" xfId="0" applyNumberFormat="1" applyFont="1" applyFill="1" applyBorder="1" applyAlignment="1">
      <alignment vertical="center"/>
    </xf>
    <xf numFmtId="49" fontId="17" fillId="0" borderId="25" xfId="0" applyNumberFormat="1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right" vertical="center"/>
    </xf>
    <xf numFmtId="49" fontId="17" fillId="0" borderId="0" xfId="0" applyNumberFormat="1" applyFont="1" applyFill="1" applyBorder="1" applyAlignment="1">
      <alignment horizontal="left" vertical="center"/>
    </xf>
    <xf numFmtId="41" fontId="17" fillId="0" borderId="0" xfId="0" applyNumberFormat="1" applyFont="1" applyFill="1" applyBorder="1" applyAlignment="1">
      <alignment vertical="center"/>
    </xf>
    <xf numFmtId="41" fontId="16" fillId="0" borderId="0" xfId="2" applyFont="1" applyFill="1" applyBorder="1" applyAlignment="1">
      <alignment horizontal="center" vertical="center"/>
    </xf>
    <xf numFmtId="38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41" fontId="18" fillId="0" borderId="0" xfId="2" applyFont="1" applyFill="1" applyAlignment="1">
      <alignment vertical="center"/>
    </xf>
    <xf numFmtId="0" fontId="19" fillId="0" borderId="0" xfId="0" applyFont="1" applyFill="1" applyAlignment="1">
      <alignment vertical="center"/>
    </xf>
    <xf numFmtId="177" fontId="19" fillId="0" borderId="13" xfId="2" applyNumberFormat="1" applyFont="1" applyFill="1" applyBorder="1" applyAlignment="1">
      <alignment horizontal="right" vertical="center"/>
    </xf>
    <xf numFmtId="177" fontId="34" fillId="3" borderId="0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0" fontId="36" fillId="0" borderId="74" xfId="0" applyFont="1" applyFill="1" applyBorder="1" applyAlignment="1">
      <alignment horizontal="left" vertical="center" wrapText="1"/>
    </xf>
    <xf numFmtId="177" fontId="36" fillId="0" borderId="89" xfId="2" applyNumberFormat="1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 wrapText="1"/>
    </xf>
    <xf numFmtId="0" fontId="36" fillId="0" borderId="14" xfId="0" applyFont="1" applyFill="1" applyBorder="1" applyAlignment="1">
      <alignment horizontal="left" vertical="center" wrapText="1"/>
    </xf>
    <xf numFmtId="177" fontId="36" fillId="0" borderId="21" xfId="2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 wrapText="1"/>
    </xf>
    <xf numFmtId="49" fontId="36" fillId="0" borderId="74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177" fontId="17" fillId="0" borderId="0" xfId="2" applyNumberFormat="1" applyFont="1" applyAlignment="1">
      <alignment vertical="center" wrapText="1"/>
    </xf>
    <xf numFmtId="177" fontId="0" fillId="0" borderId="0" xfId="2" applyNumberFormat="1" applyFont="1" applyAlignment="1">
      <alignment vertical="center" wrapText="1"/>
    </xf>
    <xf numFmtId="41" fontId="0" fillId="0" borderId="0" xfId="2" applyFont="1" applyAlignment="1">
      <alignment horizontal="center" vertical="center" wrapText="1"/>
    </xf>
    <xf numFmtId="41" fontId="16" fillId="0" borderId="0" xfId="2" applyFont="1" applyAlignment="1">
      <alignment vertical="center" wrapText="1"/>
    </xf>
    <xf numFmtId="177" fontId="0" fillId="0" borderId="0" xfId="2" applyNumberFormat="1" applyFont="1" applyAlignment="1">
      <alignment vertical="center"/>
    </xf>
    <xf numFmtId="41" fontId="0" fillId="0" borderId="0" xfId="2" applyFont="1" applyAlignment="1">
      <alignment horizontal="center" vertical="center"/>
    </xf>
    <xf numFmtId="41" fontId="16" fillId="0" borderId="0" xfId="2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16" fillId="0" borderId="0" xfId="0" applyNumberFormat="1" applyFont="1" applyFill="1" applyAlignment="1">
      <alignment horizontal="center" vertical="center"/>
    </xf>
    <xf numFmtId="49" fontId="16" fillId="0" borderId="0" xfId="2" applyNumberFormat="1" applyFont="1" applyFill="1" applyBorder="1" applyAlignment="1">
      <alignment horizontal="right" vertical="center"/>
    </xf>
    <xf numFmtId="49" fontId="16" fillId="0" borderId="0" xfId="2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Alignment="1">
      <alignment vertical="center"/>
    </xf>
    <xf numFmtId="49" fontId="16" fillId="0" borderId="0" xfId="6" applyNumberFormat="1" applyFont="1" applyFill="1" applyBorder="1" applyAlignment="1">
      <alignment vertical="center"/>
    </xf>
    <xf numFmtId="177" fontId="16" fillId="0" borderId="9" xfId="6" applyNumberFormat="1" applyFont="1" applyFill="1" applyBorder="1" applyAlignment="1">
      <alignment horizontal="right" vertical="center"/>
    </xf>
    <xf numFmtId="0" fontId="0" fillId="0" borderId="0" xfId="0" applyFont="1" applyFill="1"/>
    <xf numFmtId="3" fontId="16" fillId="0" borderId="14" xfId="6" applyNumberFormat="1" applyFont="1" applyFill="1" applyBorder="1" applyAlignment="1">
      <alignment vertical="center"/>
    </xf>
    <xf numFmtId="177" fontId="16" fillId="0" borderId="14" xfId="6" applyNumberFormat="1" applyFont="1" applyFill="1" applyBorder="1" applyAlignment="1">
      <alignment horizontal="right" vertical="center"/>
    </xf>
    <xf numFmtId="177" fontId="16" fillId="0" borderId="36" xfId="6" applyNumberFormat="1" applyFont="1" applyFill="1" applyBorder="1" applyAlignment="1">
      <alignment horizontal="right" vertical="center"/>
    </xf>
    <xf numFmtId="3" fontId="16" fillId="0" borderId="7" xfId="2" applyNumberFormat="1" applyFont="1" applyFill="1" applyBorder="1" applyAlignment="1">
      <alignment vertical="center"/>
    </xf>
    <xf numFmtId="177" fontId="16" fillId="0" borderId="36" xfId="2" applyNumberFormat="1" applyFont="1" applyFill="1" applyBorder="1" applyAlignment="1">
      <alignment horizontal="right" vertical="center"/>
    </xf>
    <xf numFmtId="3" fontId="16" fillId="0" borderId="10" xfId="6" applyNumberFormat="1" applyFont="1" applyFill="1" applyBorder="1" applyAlignment="1">
      <alignment horizontal="center" vertical="center"/>
    </xf>
    <xf numFmtId="3" fontId="16" fillId="0" borderId="13" xfId="6" applyNumberFormat="1" applyFont="1" applyFill="1" applyBorder="1" applyAlignment="1">
      <alignment vertical="center"/>
    </xf>
    <xf numFmtId="3" fontId="16" fillId="0" borderId="30" xfId="6" applyNumberFormat="1" applyFont="1" applyFill="1" applyBorder="1" applyAlignment="1">
      <alignment vertical="center"/>
    </xf>
    <xf numFmtId="3" fontId="16" fillId="0" borderId="30" xfId="2" applyNumberFormat="1" applyFont="1" applyFill="1" applyBorder="1" applyAlignment="1">
      <alignment vertical="center"/>
    </xf>
    <xf numFmtId="177" fontId="16" fillId="0" borderId="0" xfId="6" applyNumberFormat="1" applyFont="1" applyFill="1" applyBorder="1" applyAlignment="1">
      <alignment horizontal="right" vertical="center"/>
    </xf>
    <xf numFmtId="0" fontId="25" fillId="0" borderId="0" xfId="0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49" fontId="16" fillId="0" borderId="0" xfId="0" applyNumberFormat="1" applyFont="1" applyFill="1" applyAlignment="1">
      <alignment horizontal="right" vertical="center"/>
    </xf>
    <xf numFmtId="41" fontId="16" fillId="0" borderId="0" xfId="2" applyNumberFormat="1" applyFont="1" applyFill="1" applyAlignment="1">
      <alignment vertical="center"/>
    </xf>
    <xf numFmtId="176" fontId="34" fillId="0" borderId="90" xfId="1" applyNumberFormat="1" applyFont="1" applyFill="1" applyBorder="1" applyAlignment="1">
      <alignment vertical="center"/>
    </xf>
    <xf numFmtId="176" fontId="34" fillId="3" borderId="90" xfId="1" applyNumberFormat="1" applyFont="1" applyFill="1" applyBorder="1" applyAlignment="1">
      <alignment vertical="center"/>
    </xf>
    <xf numFmtId="176" fontId="36" fillId="0" borderId="90" xfId="1" applyNumberFormat="1" applyFont="1" applyFill="1" applyBorder="1" applyAlignment="1">
      <alignment vertical="center"/>
    </xf>
    <xf numFmtId="176" fontId="36" fillId="0" borderId="92" xfId="1" applyNumberFormat="1" applyFont="1" applyFill="1" applyBorder="1" applyAlignment="1">
      <alignment vertical="center"/>
    </xf>
    <xf numFmtId="184" fontId="17" fillId="0" borderId="25" xfId="0" applyNumberFormat="1" applyFont="1" applyFill="1" applyBorder="1" applyAlignment="1">
      <alignment horizontal="right" vertical="center"/>
    </xf>
    <xf numFmtId="177" fontId="17" fillId="0" borderId="40" xfId="0" applyNumberFormat="1" applyFont="1" applyFill="1" applyBorder="1" applyAlignment="1">
      <alignment horizontal="right" vertical="center"/>
    </xf>
    <xf numFmtId="177" fontId="35" fillId="3" borderId="86" xfId="0" applyNumberFormat="1" applyFont="1" applyFill="1" applyBorder="1" applyAlignment="1">
      <alignment horizontal="right" vertical="center" wrapText="1"/>
    </xf>
    <xf numFmtId="177" fontId="35" fillId="0" borderId="87" xfId="0" applyNumberFormat="1" applyFont="1" applyBorder="1" applyAlignment="1">
      <alignment horizontal="right" vertical="center" wrapText="1"/>
    </xf>
    <xf numFmtId="177" fontId="35" fillId="2" borderId="87" xfId="0" applyNumberFormat="1" applyFont="1" applyFill="1" applyBorder="1" applyAlignment="1">
      <alignment horizontal="right" vertical="center" wrapText="1"/>
    </xf>
    <xf numFmtId="177" fontId="35" fillId="3" borderId="13" xfId="0" applyNumberFormat="1" applyFont="1" applyFill="1" applyBorder="1" applyAlignment="1">
      <alignment horizontal="right" vertical="center" wrapText="1"/>
    </xf>
    <xf numFmtId="177" fontId="35" fillId="2" borderId="13" xfId="0" applyNumberFormat="1" applyFont="1" applyFill="1" applyBorder="1" applyAlignment="1">
      <alignment horizontal="right" vertical="center" wrapText="1"/>
    </xf>
    <xf numFmtId="177" fontId="37" fillId="2" borderId="88" xfId="0" applyNumberFormat="1" applyFont="1" applyFill="1" applyBorder="1" applyAlignment="1">
      <alignment horizontal="right" vertical="center" wrapText="1"/>
    </xf>
    <xf numFmtId="177" fontId="37" fillId="2" borderId="91" xfId="0" applyNumberFormat="1" applyFont="1" applyFill="1" applyBorder="1" applyAlignment="1">
      <alignment horizontal="right" vertical="center" wrapText="1"/>
    </xf>
    <xf numFmtId="177" fontId="37" fillId="2" borderId="94" xfId="0" applyNumberFormat="1" applyFont="1" applyFill="1" applyBorder="1" applyAlignment="1">
      <alignment horizontal="right" vertical="center" wrapText="1"/>
    </xf>
    <xf numFmtId="177" fontId="37" fillId="0" borderId="88" xfId="0" applyNumberFormat="1" applyFont="1" applyBorder="1" applyAlignment="1">
      <alignment horizontal="right" vertical="center" wrapText="1"/>
    </xf>
    <xf numFmtId="177" fontId="17" fillId="2" borderId="88" xfId="0" applyNumberFormat="1" applyFont="1" applyFill="1" applyBorder="1" applyAlignment="1">
      <alignment horizontal="right" vertical="center" wrapText="1"/>
    </xf>
    <xf numFmtId="177" fontId="17" fillId="2" borderId="91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41" fontId="17" fillId="0" borderId="75" xfId="2" applyFont="1" applyBorder="1" applyAlignment="1">
      <alignment horizontal="right" vertical="center"/>
    </xf>
    <xf numFmtId="0" fontId="16" fillId="0" borderId="0" xfId="6" applyFont="1" applyFill="1" applyBorder="1" applyAlignment="1">
      <alignment vertical="center"/>
    </xf>
    <xf numFmtId="41" fontId="16" fillId="0" borderId="2" xfId="2" applyFont="1" applyFill="1" applyBorder="1" applyAlignment="1">
      <alignment vertical="center"/>
    </xf>
    <xf numFmtId="3" fontId="16" fillId="0" borderId="8" xfId="6" applyNumberFormat="1" applyFont="1" applyFill="1" applyBorder="1" applyAlignment="1">
      <alignment horizontal="center" vertical="center"/>
    </xf>
    <xf numFmtId="3" fontId="16" fillId="0" borderId="26" xfId="6" applyNumberFormat="1" applyFont="1" applyFill="1" applyBorder="1" applyAlignment="1">
      <alignment horizontal="center" vertical="center"/>
    </xf>
    <xf numFmtId="3" fontId="16" fillId="0" borderId="30" xfId="2" applyNumberFormat="1" applyFont="1" applyFill="1" applyBorder="1" applyAlignment="1">
      <alignment horizontal="left" vertical="center"/>
    </xf>
    <xf numFmtId="3" fontId="16" fillId="0" borderId="0" xfId="2" applyNumberFormat="1" applyFont="1" applyFill="1" applyBorder="1" applyAlignment="1">
      <alignment horizontal="left" vertical="center"/>
    </xf>
    <xf numFmtId="41" fontId="16" fillId="0" borderId="15" xfId="2" applyFont="1" applyFill="1" applyBorder="1" applyAlignment="1">
      <alignment vertical="center"/>
    </xf>
    <xf numFmtId="41" fontId="16" fillId="0" borderId="5" xfId="2" applyFont="1" applyFill="1" applyBorder="1" applyAlignment="1">
      <alignment vertical="center"/>
    </xf>
    <xf numFmtId="177" fontId="16" fillId="0" borderId="0" xfId="0" applyNumberFormat="1" applyFont="1" applyFill="1" applyAlignment="1">
      <alignment vertical="center"/>
    </xf>
    <xf numFmtId="177" fontId="16" fillId="0" borderId="0" xfId="2" applyNumberFormat="1" applyFont="1" applyFill="1" applyAlignment="1">
      <alignment vertical="center"/>
    </xf>
    <xf numFmtId="41" fontId="25" fillId="0" borderId="0" xfId="2" applyFont="1" applyFill="1" applyAlignment="1">
      <alignment vertical="center"/>
    </xf>
    <xf numFmtId="0" fontId="16" fillId="0" borderId="0" xfId="0" applyFont="1" applyFill="1" applyBorder="1"/>
    <xf numFmtId="3" fontId="16" fillId="0" borderId="21" xfId="6" applyNumberFormat="1" applyFont="1" applyFill="1" applyBorder="1" applyAlignment="1">
      <alignment vertical="center"/>
    </xf>
    <xf numFmtId="177" fontId="16" fillId="0" borderId="4" xfId="2" applyNumberFormat="1" applyFont="1" applyFill="1" applyBorder="1" applyAlignment="1">
      <alignment vertical="center"/>
    </xf>
    <xf numFmtId="3" fontId="16" fillId="0" borderId="30" xfId="6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vertical="center"/>
    </xf>
    <xf numFmtId="41" fontId="16" fillId="0" borderId="46" xfId="2" applyFont="1" applyFill="1" applyBorder="1" applyAlignment="1">
      <alignment vertical="center"/>
    </xf>
    <xf numFmtId="41" fontId="16" fillId="0" borderId="25" xfId="2" applyFont="1" applyFill="1" applyBorder="1" applyAlignment="1">
      <alignment horizontal="center" vertical="center"/>
    </xf>
    <xf numFmtId="41" fontId="16" fillId="0" borderId="0" xfId="2" applyFont="1" applyFill="1" applyAlignment="1">
      <alignment horizontal="right" vertical="center"/>
    </xf>
    <xf numFmtId="0" fontId="30" fillId="0" borderId="64" xfId="0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horizontal="center" vertical="center"/>
    </xf>
    <xf numFmtId="0" fontId="30" fillId="0" borderId="63" xfId="0" applyFont="1" applyFill="1" applyBorder="1" applyAlignment="1">
      <alignment horizontal="center" vertical="center"/>
    </xf>
    <xf numFmtId="0" fontId="30" fillId="0" borderId="72" xfId="0" applyFont="1" applyFill="1" applyBorder="1" applyAlignment="1">
      <alignment horizontal="center" vertical="center"/>
    </xf>
    <xf numFmtId="38" fontId="30" fillId="0" borderId="13" xfId="0" applyNumberFormat="1" applyFont="1" applyFill="1" applyBorder="1" applyAlignment="1">
      <alignment horizontal="center" vertical="center"/>
    </xf>
    <xf numFmtId="177" fontId="30" fillId="0" borderId="56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38" fontId="30" fillId="0" borderId="19" xfId="0" applyNumberFormat="1" applyFont="1" applyFill="1" applyBorder="1" applyAlignment="1">
      <alignment horizontal="center" vertical="center"/>
    </xf>
    <xf numFmtId="177" fontId="30" fillId="0" borderId="7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20" xfId="0" applyFill="1" applyBorder="1"/>
    <xf numFmtId="38" fontId="17" fillId="0" borderId="0" xfId="0" applyNumberFormat="1" applyFont="1" applyFill="1" applyAlignment="1">
      <alignment horizontal="right" vertical="center"/>
    </xf>
    <xf numFmtId="0" fontId="17" fillId="0" borderId="12" xfId="0" applyNumberFormat="1" applyFont="1" applyFill="1" applyBorder="1" applyAlignment="1">
      <alignment vertical="center"/>
    </xf>
    <xf numFmtId="0" fontId="17" fillId="0" borderId="82" xfId="0" applyNumberFormat="1" applyFont="1" applyFill="1" applyBorder="1" applyAlignment="1">
      <alignment horizontal="center" vertical="center" wrapText="1"/>
    </xf>
    <xf numFmtId="0" fontId="17" fillId="0" borderId="9" xfId="0" applyNumberFormat="1" applyFont="1" applyFill="1" applyBorder="1" applyAlignment="1">
      <alignment horizontal="center" vertical="center"/>
    </xf>
    <xf numFmtId="0" fontId="17" fillId="0" borderId="10" xfId="0" applyNumberFormat="1" applyFont="1" applyFill="1" applyBorder="1" applyAlignment="1">
      <alignment vertical="center"/>
    </xf>
    <xf numFmtId="41" fontId="17" fillId="0" borderId="2" xfId="2" applyFont="1" applyFill="1" applyBorder="1" applyAlignment="1">
      <alignment vertical="center"/>
    </xf>
    <xf numFmtId="184" fontId="17" fillId="0" borderId="10" xfId="2" applyNumberFormat="1" applyFont="1" applyFill="1" applyBorder="1" applyAlignment="1">
      <alignment horizontal="right" vertical="center"/>
    </xf>
    <xf numFmtId="177" fontId="17" fillId="0" borderId="35" xfId="2" applyNumberFormat="1" applyFont="1" applyFill="1" applyBorder="1" applyAlignment="1">
      <alignment horizontal="right" vertical="center"/>
    </xf>
    <xf numFmtId="41" fontId="17" fillId="0" borderId="0" xfId="2" quotePrefix="1" applyFont="1" applyFill="1" applyBorder="1" applyAlignment="1">
      <alignment vertical="center"/>
    </xf>
    <xf numFmtId="41" fontId="17" fillId="0" borderId="0" xfId="2" applyFont="1" applyFill="1" applyBorder="1" applyAlignment="1">
      <alignment horizontal="right" vertical="center"/>
    </xf>
    <xf numFmtId="184" fontId="17" fillId="0" borderId="0" xfId="0" applyNumberFormat="1" applyFont="1" applyFill="1" applyBorder="1" applyAlignment="1">
      <alignment vertical="center"/>
    </xf>
    <xf numFmtId="41" fontId="17" fillId="0" borderId="0" xfId="2" applyFont="1" applyFill="1" applyBorder="1" applyAlignment="1">
      <alignment horizontal="center" vertical="center"/>
    </xf>
    <xf numFmtId="184" fontId="17" fillId="0" borderId="25" xfId="2" applyNumberFormat="1" applyFont="1" applyFill="1" applyBorder="1" applyAlignment="1">
      <alignment horizontal="right" vertical="center"/>
    </xf>
    <xf numFmtId="177" fontId="17" fillId="0" borderId="40" xfId="2" applyNumberFormat="1" applyFont="1" applyFill="1" applyBorder="1" applyAlignment="1">
      <alignment horizontal="right" vertical="center"/>
    </xf>
    <xf numFmtId="41" fontId="17" fillId="0" borderId="20" xfId="2" applyFont="1" applyFill="1" applyBorder="1" applyAlignment="1">
      <alignment vertical="center"/>
    </xf>
    <xf numFmtId="41" fontId="17" fillId="0" borderId="1" xfId="2" quotePrefix="1" applyFont="1" applyFill="1" applyBorder="1" applyAlignment="1">
      <alignment vertical="center"/>
    </xf>
    <xf numFmtId="41" fontId="17" fillId="0" borderId="1" xfId="2" applyFont="1" applyFill="1" applyBorder="1" applyAlignment="1">
      <alignment vertical="center"/>
    </xf>
    <xf numFmtId="41" fontId="17" fillId="0" borderId="1" xfId="2" applyFont="1" applyFill="1" applyBorder="1" applyAlignment="1">
      <alignment horizontal="center" vertical="center"/>
    </xf>
    <xf numFmtId="41" fontId="17" fillId="0" borderId="5" xfId="2" applyFont="1" applyFill="1" applyBorder="1" applyAlignment="1">
      <alignment vertical="center"/>
    </xf>
    <xf numFmtId="0" fontId="17" fillId="0" borderId="9" xfId="0" applyNumberFormat="1" applyFont="1" applyFill="1" applyBorder="1" applyAlignment="1">
      <alignment vertical="center"/>
    </xf>
    <xf numFmtId="177" fontId="17" fillId="0" borderId="0" xfId="0" applyNumberFormat="1" applyFont="1" applyFill="1" applyAlignment="1">
      <alignment horizontal="right" vertical="center"/>
    </xf>
    <xf numFmtId="41" fontId="17" fillId="0" borderId="0" xfId="2" applyFont="1" applyFill="1" applyAlignment="1">
      <alignment vertical="center"/>
    </xf>
    <xf numFmtId="41" fontId="17" fillId="0" borderId="0" xfId="0" applyNumberFormat="1" applyFont="1" applyFill="1" applyAlignment="1">
      <alignment vertical="center"/>
    </xf>
    <xf numFmtId="0" fontId="16" fillId="0" borderId="0" xfId="6" applyFont="1" applyFill="1" applyBorder="1" applyAlignment="1">
      <alignment horizontal="left" vertical="center"/>
    </xf>
    <xf numFmtId="0" fontId="17" fillId="0" borderId="0" xfId="6" applyFont="1" applyFill="1" applyAlignment="1">
      <alignment vertical="center"/>
    </xf>
    <xf numFmtId="184" fontId="17" fillId="0" borderId="0" xfId="6" applyNumberFormat="1" applyFont="1" applyFill="1" applyAlignment="1">
      <alignment horizontal="right" vertical="center"/>
    </xf>
    <xf numFmtId="0" fontId="13" fillId="0" borderId="0" xfId="6" applyFont="1" applyFill="1" applyBorder="1" applyAlignment="1">
      <alignment vertical="center"/>
    </xf>
    <xf numFmtId="0" fontId="17" fillId="0" borderId="0" xfId="6" applyFont="1" applyFill="1" applyBorder="1" applyAlignment="1">
      <alignment vertical="center"/>
    </xf>
    <xf numFmtId="0" fontId="17" fillId="0" borderId="0" xfId="6" applyFont="1" applyFill="1" applyAlignment="1">
      <alignment horizontal="left" vertical="center"/>
    </xf>
    <xf numFmtId="3" fontId="17" fillId="0" borderId="0" xfId="6" applyNumberFormat="1" applyFont="1" applyFill="1" applyAlignment="1">
      <alignment vertical="center"/>
    </xf>
    <xf numFmtId="0" fontId="13" fillId="0" borderId="0" xfId="6" applyFont="1" applyFill="1" applyAlignment="1">
      <alignment vertical="center"/>
    </xf>
    <xf numFmtId="41" fontId="26" fillId="0" borderId="0" xfId="2" applyFont="1" applyFill="1" applyAlignment="1">
      <alignment horizontal="center" vertical="center"/>
    </xf>
    <xf numFmtId="41" fontId="16" fillId="0" borderId="17" xfId="2" applyFont="1" applyFill="1" applyBorder="1" applyAlignment="1">
      <alignment vertical="center"/>
    </xf>
    <xf numFmtId="0" fontId="16" fillId="0" borderId="0" xfId="6" applyFont="1" applyFill="1" applyAlignment="1">
      <alignment vertical="center"/>
    </xf>
    <xf numFmtId="3" fontId="16" fillId="0" borderId="0" xfId="6" applyNumberFormat="1" applyFont="1" applyFill="1" applyAlignment="1">
      <alignment vertical="center"/>
    </xf>
    <xf numFmtId="3" fontId="18" fillId="0" borderId="44" xfId="6" applyNumberFormat="1" applyFont="1" applyFill="1" applyBorder="1" applyAlignment="1">
      <alignment horizontal="left" vertical="center"/>
    </xf>
    <xf numFmtId="3" fontId="16" fillId="0" borderId="45" xfId="6" applyNumberFormat="1" applyFont="1" applyFill="1" applyBorder="1" applyAlignment="1">
      <alignment horizontal="center" vertical="center"/>
    </xf>
    <xf numFmtId="177" fontId="18" fillId="0" borderId="62" xfId="6" applyNumberFormat="1" applyFont="1" applyFill="1" applyBorder="1" applyAlignment="1">
      <alignment horizontal="right" vertical="center"/>
    </xf>
    <xf numFmtId="49" fontId="16" fillId="0" borderId="45" xfId="6" applyNumberFormat="1" applyFont="1" applyFill="1" applyBorder="1" applyAlignment="1">
      <alignment horizontal="center" vertical="center"/>
    </xf>
    <xf numFmtId="0" fontId="17" fillId="0" borderId="8" xfId="6" applyFont="1" applyFill="1" applyBorder="1" applyAlignment="1">
      <alignment vertical="center"/>
    </xf>
    <xf numFmtId="0" fontId="17" fillId="0" borderId="10" xfId="6" applyFont="1" applyFill="1" applyBorder="1" applyAlignment="1">
      <alignment vertical="center"/>
    </xf>
    <xf numFmtId="177" fontId="17" fillId="0" borderId="0" xfId="6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3" fontId="16" fillId="0" borderId="7" xfId="6" applyNumberFormat="1" applyFont="1" applyFill="1" applyBorder="1" applyAlignment="1">
      <alignment horizontal="center" vertical="center"/>
    </xf>
    <xf numFmtId="41" fontId="13" fillId="0" borderId="0" xfId="2" applyFont="1" applyFill="1" applyAlignment="1">
      <alignment vertical="center"/>
    </xf>
    <xf numFmtId="3" fontId="16" fillId="0" borderId="30" xfId="0" applyNumberFormat="1" applyFont="1" applyFill="1" applyBorder="1" applyAlignment="1">
      <alignment horizontal="center" vertical="center"/>
    </xf>
    <xf numFmtId="3" fontId="47" fillId="0" borderId="2" xfId="6" applyNumberFormat="1" applyFont="1" applyFill="1" applyBorder="1" applyAlignment="1">
      <alignment vertical="center"/>
    </xf>
    <xf numFmtId="3" fontId="47" fillId="0" borderId="0" xfId="6" applyNumberFormat="1" applyFont="1" applyFill="1" applyBorder="1" applyAlignment="1">
      <alignment vertical="center"/>
    </xf>
    <xf numFmtId="177" fontId="47" fillId="0" borderId="10" xfId="6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178" fontId="47" fillId="0" borderId="15" xfId="0" applyNumberFormat="1" applyFont="1" applyFill="1" applyBorder="1" applyAlignment="1">
      <alignment vertical="center"/>
    </xf>
    <xf numFmtId="41" fontId="47" fillId="0" borderId="15" xfId="2" applyNumberFormat="1" applyFont="1" applyFill="1" applyBorder="1" applyAlignment="1">
      <alignment vertical="center"/>
    </xf>
    <xf numFmtId="49" fontId="47" fillId="0" borderId="30" xfId="0" applyNumberFormat="1" applyFont="1" applyFill="1" applyBorder="1" applyAlignment="1">
      <alignment horizontal="right" vertical="center"/>
    </xf>
    <xf numFmtId="177" fontId="47" fillId="0" borderId="56" xfId="0" applyNumberFormat="1" applyFont="1" applyFill="1" applyBorder="1" applyAlignment="1">
      <alignment vertical="center"/>
    </xf>
    <xf numFmtId="177" fontId="47" fillId="0" borderId="13" xfId="0" applyNumberFormat="1" applyFont="1" applyFill="1" applyBorder="1" applyAlignment="1">
      <alignment vertical="center"/>
    </xf>
    <xf numFmtId="3" fontId="47" fillId="0" borderId="10" xfId="6" applyNumberFormat="1" applyFont="1" applyFill="1" applyBorder="1" applyAlignment="1">
      <alignment vertical="center"/>
    </xf>
    <xf numFmtId="49" fontId="47" fillId="0" borderId="0" xfId="6" applyNumberFormat="1" applyFont="1" applyFill="1" applyBorder="1" applyAlignment="1">
      <alignment horizontal="right" vertical="center"/>
    </xf>
    <xf numFmtId="49" fontId="47" fillId="0" borderId="16" xfId="6" applyNumberFormat="1" applyFont="1" applyFill="1" applyBorder="1" applyAlignment="1">
      <alignment vertical="center"/>
    </xf>
    <xf numFmtId="177" fontId="47" fillId="0" borderId="34" xfId="0" applyNumberFormat="1" applyFont="1" applyFill="1" applyBorder="1" applyAlignment="1">
      <alignment vertical="center"/>
    </xf>
    <xf numFmtId="49" fontId="47" fillId="0" borderId="0" xfId="6" applyNumberFormat="1" applyFont="1" applyFill="1" applyBorder="1" applyAlignment="1">
      <alignment vertical="center"/>
    </xf>
    <xf numFmtId="49" fontId="47" fillId="0" borderId="0" xfId="2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horizontal="left" vertical="center"/>
    </xf>
    <xf numFmtId="0" fontId="47" fillId="0" borderId="0" xfId="0" applyFont="1" applyFill="1" applyAlignment="1">
      <alignment vertical="center"/>
    </xf>
    <xf numFmtId="41" fontId="47" fillId="0" borderId="0" xfId="2" applyFont="1" applyFill="1" applyAlignment="1">
      <alignment vertical="center"/>
    </xf>
    <xf numFmtId="0" fontId="50" fillId="0" borderId="45" xfId="0" applyFont="1" applyFill="1" applyBorder="1" applyAlignment="1">
      <alignment vertical="center"/>
    </xf>
    <xf numFmtId="49" fontId="47" fillId="0" borderId="29" xfId="0" applyNumberFormat="1" applyFont="1" applyFill="1" applyBorder="1" applyAlignment="1">
      <alignment vertical="center"/>
    </xf>
    <xf numFmtId="49" fontId="47" fillId="0" borderId="3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177" fontId="16" fillId="0" borderId="34" xfId="6" applyNumberFormat="1" applyFont="1" applyFill="1" applyBorder="1" applyAlignment="1">
      <alignment vertical="center"/>
    </xf>
    <xf numFmtId="177" fontId="16" fillId="0" borderId="56" xfId="6" applyNumberFormat="1" applyFont="1" applyFill="1" applyBorder="1" applyAlignment="1">
      <alignment vertical="center"/>
    </xf>
    <xf numFmtId="0" fontId="16" fillId="0" borderId="0" xfId="6" applyFont="1" applyFill="1" applyBorder="1" applyAlignment="1">
      <alignment horizontal="center" vertical="center"/>
    </xf>
    <xf numFmtId="0" fontId="17" fillId="0" borderId="0" xfId="6" applyFont="1" applyFill="1" applyAlignment="1">
      <alignment horizontal="center" vertical="center"/>
    </xf>
    <xf numFmtId="0" fontId="47" fillId="0" borderId="12" xfId="0" applyFont="1" applyFill="1" applyBorder="1" applyAlignment="1">
      <alignment vertical="center"/>
    </xf>
    <xf numFmtId="41" fontId="47" fillId="0" borderId="0" xfId="2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48" fillId="0" borderId="12" xfId="0" applyFont="1" applyFill="1" applyBorder="1" applyAlignment="1">
      <alignment vertical="center"/>
    </xf>
    <xf numFmtId="0" fontId="0" fillId="0" borderId="0" xfId="0" applyAlignment="1">
      <alignment vertical="center"/>
    </xf>
    <xf numFmtId="177" fontId="35" fillId="0" borderId="87" xfId="0" applyNumberFormat="1" applyFont="1" applyFill="1" applyBorder="1" applyAlignment="1">
      <alignment horizontal="right" vertical="center" wrapText="1"/>
    </xf>
    <xf numFmtId="177" fontId="37" fillId="0" borderId="88" xfId="0" applyNumberFormat="1" applyFont="1" applyFill="1" applyBorder="1" applyAlignment="1">
      <alignment horizontal="right" vertical="center" wrapText="1"/>
    </xf>
    <xf numFmtId="177" fontId="37" fillId="0" borderId="91" xfId="0" applyNumberFormat="1" applyFont="1" applyFill="1" applyBorder="1" applyAlignment="1">
      <alignment horizontal="right" vertical="center" wrapText="1"/>
    </xf>
    <xf numFmtId="0" fontId="36" fillId="0" borderId="10" xfId="0" applyFont="1" applyFill="1" applyBorder="1" applyAlignment="1">
      <alignment horizontal="left" vertical="center" wrapText="1"/>
    </xf>
    <xf numFmtId="177" fontId="37" fillId="0" borderId="93" xfId="0" applyNumberFormat="1" applyFont="1" applyFill="1" applyBorder="1" applyAlignment="1">
      <alignment horizontal="right" vertical="center" wrapText="1"/>
    </xf>
    <xf numFmtId="3" fontId="47" fillId="0" borderId="0" xfId="6" applyNumberFormat="1" applyFont="1" applyFill="1" applyAlignment="1">
      <alignment horizontal="left" vertical="center"/>
    </xf>
    <xf numFmtId="3" fontId="47" fillId="0" borderId="2" xfId="2" applyNumberFormat="1" applyFont="1" applyFill="1" applyBorder="1" applyAlignment="1">
      <alignment vertical="center"/>
    </xf>
    <xf numFmtId="3" fontId="47" fillId="0" borderId="0" xfId="6" applyNumberFormat="1" applyFont="1" applyFill="1" applyBorder="1" applyAlignment="1">
      <alignment horizontal="center" vertical="center"/>
    </xf>
    <xf numFmtId="0" fontId="47" fillId="0" borderId="8" xfId="0" applyFont="1" applyFill="1" applyBorder="1" applyAlignment="1">
      <alignment horizontal="left" vertical="center"/>
    </xf>
    <xf numFmtId="178" fontId="47" fillId="0" borderId="4" xfId="0" applyNumberFormat="1" applyFont="1" applyFill="1" applyBorder="1" applyAlignment="1">
      <alignment vertical="center"/>
    </xf>
    <xf numFmtId="0" fontId="48" fillId="0" borderId="0" xfId="6" applyFont="1" applyFill="1" applyAlignment="1">
      <alignment vertical="center"/>
    </xf>
    <xf numFmtId="0" fontId="36" fillId="0" borderId="0" xfId="6" applyFont="1" applyFill="1" applyBorder="1" applyAlignment="1">
      <alignment vertical="center"/>
    </xf>
    <xf numFmtId="3" fontId="47" fillId="0" borderId="1" xfId="6" applyNumberFormat="1" applyFont="1" applyFill="1" applyBorder="1" applyAlignment="1">
      <alignment horizontal="center" vertical="center"/>
    </xf>
    <xf numFmtId="0" fontId="36" fillId="0" borderId="0" xfId="6" applyFont="1" applyFill="1" applyAlignment="1">
      <alignment vertical="center"/>
    </xf>
    <xf numFmtId="0" fontId="47" fillId="0" borderId="0" xfId="6" applyFont="1" applyFill="1" applyAlignment="1">
      <alignment vertical="center"/>
    </xf>
    <xf numFmtId="41" fontId="47" fillId="0" borderId="0" xfId="2" applyFont="1" applyFill="1"/>
    <xf numFmtId="0" fontId="48" fillId="0" borderId="0" xfId="0" applyFont="1" applyFill="1"/>
    <xf numFmtId="41" fontId="50" fillId="0" borderId="0" xfId="2" applyFont="1" applyFill="1"/>
    <xf numFmtId="0" fontId="49" fillId="0" borderId="0" xfId="0" applyFont="1" applyFill="1"/>
    <xf numFmtId="41" fontId="36" fillId="0" borderId="0" xfId="2" applyFont="1" applyFill="1"/>
    <xf numFmtId="41" fontId="47" fillId="0" borderId="0" xfId="2" applyFont="1" applyFill="1" applyBorder="1"/>
    <xf numFmtId="0" fontId="48" fillId="0" borderId="0" xfId="0" applyFont="1" applyFill="1" applyBorder="1"/>
    <xf numFmtId="41" fontId="48" fillId="0" borderId="0" xfId="0" applyNumberFormat="1" applyFont="1" applyFill="1" applyBorder="1"/>
    <xf numFmtId="184" fontId="36" fillId="0" borderId="0" xfId="6" applyNumberFormat="1" applyFont="1" applyFill="1" applyAlignment="1">
      <alignment horizontal="right" vertical="center"/>
    </xf>
    <xf numFmtId="184" fontId="36" fillId="0" borderId="0" xfId="6" applyNumberFormat="1" applyFont="1" applyFill="1" applyBorder="1" applyAlignment="1">
      <alignment horizontal="right" vertical="center"/>
    </xf>
    <xf numFmtId="0" fontId="48" fillId="0" borderId="0" xfId="6" applyFont="1" applyFill="1" applyBorder="1" applyAlignment="1">
      <alignment vertical="center"/>
    </xf>
    <xf numFmtId="0" fontId="36" fillId="0" borderId="0" xfId="6" applyFont="1" applyFill="1" applyAlignment="1">
      <alignment horizontal="left" vertical="center"/>
    </xf>
    <xf numFmtId="0" fontId="36" fillId="0" borderId="0" xfId="6" applyFont="1" applyFill="1" applyAlignment="1">
      <alignment horizontal="center" vertical="center"/>
    </xf>
    <xf numFmtId="3" fontId="36" fillId="0" borderId="0" xfId="6" applyNumberFormat="1" applyFont="1" applyFill="1" applyAlignment="1">
      <alignment vertical="center"/>
    </xf>
    <xf numFmtId="41" fontId="36" fillId="0" borderId="0" xfId="2" applyFont="1" applyFill="1" applyAlignment="1">
      <alignment vertical="center"/>
    </xf>
    <xf numFmtId="0" fontId="50" fillId="0" borderId="47" xfId="0" applyFont="1" applyFill="1" applyBorder="1" applyAlignment="1">
      <alignment vertical="center"/>
    </xf>
    <xf numFmtId="0" fontId="50" fillId="0" borderId="54" xfId="0" applyFont="1" applyFill="1" applyBorder="1" applyAlignment="1">
      <alignment vertical="center"/>
    </xf>
    <xf numFmtId="0" fontId="50" fillId="0" borderId="49" xfId="0" applyFont="1" applyFill="1" applyBorder="1" applyAlignment="1">
      <alignment vertical="center"/>
    </xf>
    <xf numFmtId="178" fontId="50" fillId="0" borderId="39" xfId="2" applyNumberFormat="1" applyFont="1" applyFill="1" applyBorder="1" applyAlignment="1">
      <alignment vertical="center"/>
    </xf>
    <xf numFmtId="177" fontId="50" fillId="0" borderId="62" xfId="2" applyNumberFormat="1" applyFont="1" applyFill="1" applyBorder="1" applyAlignment="1">
      <alignment vertical="center"/>
    </xf>
    <xf numFmtId="177" fontId="50" fillId="0" borderId="12" xfId="0" applyNumberFormat="1" applyFont="1" applyFill="1" applyBorder="1" applyAlignment="1">
      <alignment vertical="center"/>
    </xf>
    <xf numFmtId="49" fontId="47" fillId="0" borderId="44" xfId="0" applyNumberFormat="1" applyFont="1" applyFill="1" applyBorder="1" applyAlignment="1">
      <alignment vertical="center"/>
    </xf>
    <xf numFmtId="49" fontId="47" fillId="0" borderId="45" xfId="0" applyNumberFormat="1" applyFont="1" applyFill="1" applyBorder="1" applyAlignment="1">
      <alignment vertical="center"/>
    </xf>
    <xf numFmtId="49" fontId="47" fillId="0" borderId="45" xfId="0" applyNumberFormat="1" applyFont="1" applyFill="1" applyBorder="1" applyAlignment="1">
      <alignment horizontal="left" vertical="center"/>
    </xf>
    <xf numFmtId="49" fontId="47" fillId="0" borderId="45" xfId="0" applyNumberFormat="1" applyFont="1" applyFill="1" applyBorder="1" applyAlignment="1">
      <alignment horizontal="right" vertical="center"/>
    </xf>
    <xf numFmtId="0" fontId="47" fillId="0" borderId="45" xfId="0" applyFont="1" applyFill="1" applyBorder="1" applyAlignment="1">
      <alignment horizontal="left" vertical="center"/>
    </xf>
    <xf numFmtId="177" fontId="47" fillId="0" borderId="45" xfId="0" applyNumberFormat="1" applyFont="1" applyFill="1" applyBorder="1" applyAlignment="1">
      <alignment vertical="center"/>
    </xf>
    <xf numFmtId="0" fontId="47" fillId="0" borderId="45" xfId="0" applyFont="1" applyFill="1" applyBorder="1" applyAlignment="1">
      <alignment vertical="center"/>
    </xf>
    <xf numFmtId="41" fontId="47" fillId="0" borderId="46" xfId="2" applyNumberFormat="1" applyFont="1" applyFill="1" applyBorder="1" applyAlignment="1">
      <alignment vertical="center"/>
    </xf>
    <xf numFmtId="178" fontId="47" fillId="0" borderId="46" xfId="0" applyNumberFormat="1" applyFont="1" applyFill="1" applyBorder="1" applyAlignment="1">
      <alignment vertical="center"/>
    </xf>
    <xf numFmtId="49" fontId="47" fillId="0" borderId="48" xfId="0" applyNumberFormat="1" applyFont="1" applyFill="1" applyBorder="1" applyAlignment="1">
      <alignment vertical="center"/>
    </xf>
    <xf numFmtId="49" fontId="47" fillId="0" borderId="50" xfId="0" applyNumberFormat="1" applyFont="1" applyFill="1" applyBorder="1" applyAlignment="1">
      <alignment vertical="center"/>
    </xf>
    <xf numFmtId="49" fontId="47" fillId="0" borderId="50" xfId="0" applyNumberFormat="1" applyFont="1" applyFill="1" applyBorder="1" applyAlignment="1">
      <alignment horizontal="left" vertical="center"/>
    </xf>
    <xf numFmtId="49" fontId="47" fillId="0" borderId="50" xfId="0" applyNumberFormat="1" applyFont="1" applyFill="1" applyBorder="1" applyAlignment="1">
      <alignment horizontal="right" vertical="center"/>
    </xf>
    <xf numFmtId="0" fontId="47" fillId="0" borderId="50" xfId="0" applyFont="1" applyFill="1" applyBorder="1" applyAlignment="1">
      <alignment horizontal="left" vertical="center"/>
    </xf>
    <xf numFmtId="177" fontId="47" fillId="0" borderId="50" xfId="0" applyNumberFormat="1" applyFont="1" applyFill="1" applyBorder="1" applyAlignment="1">
      <alignment vertical="center"/>
    </xf>
    <xf numFmtId="0" fontId="47" fillId="0" borderId="50" xfId="0" applyFont="1" applyFill="1" applyBorder="1" applyAlignment="1">
      <alignment vertical="center"/>
    </xf>
    <xf numFmtId="41" fontId="47" fillId="0" borderId="53" xfId="2" applyNumberFormat="1" applyFont="1" applyFill="1" applyBorder="1" applyAlignment="1">
      <alignment vertical="center"/>
    </xf>
    <xf numFmtId="49" fontId="47" fillId="0" borderId="30" xfId="0" applyNumberFormat="1" applyFont="1" applyFill="1" applyBorder="1" applyAlignment="1">
      <alignment horizontal="left" vertical="center"/>
    </xf>
    <xf numFmtId="177" fontId="47" fillId="0" borderId="30" xfId="0" applyNumberFormat="1" applyFont="1" applyFill="1" applyBorder="1" applyAlignment="1">
      <alignment vertical="center"/>
    </xf>
    <xf numFmtId="41" fontId="47" fillId="0" borderId="0" xfId="2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41" fontId="47" fillId="0" borderId="0" xfId="0" applyNumberFormat="1" applyFont="1" applyFill="1" applyBorder="1" applyAlignment="1">
      <alignment horizontal="center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0" borderId="30" xfId="0" applyNumberFormat="1" applyFont="1" applyFill="1" applyBorder="1" applyAlignment="1">
      <alignment horizontal="right" vertical="center"/>
    </xf>
    <xf numFmtId="3" fontId="16" fillId="0" borderId="8" xfId="6" applyNumberFormat="1" applyFont="1" applyFill="1" applyBorder="1" applyAlignment="1">
      <alignment horizontal="left" vertical="center"/>
    </xf>
    <xf numFmtId="177" fontId="16" fillId="0" borderId="15" xfId="2" applyNumberFormat="1" applyFont="1" applyFill="1" applyBorder="1" applyAlignment="1">
      <alignment horizontal="left" vertical="center"/>
    </xf>
    <xf numFmtId="41" fontId="16" fillId="0" borderId="15" xfId="2" applyFont="1" applyFill="1" applyBorder="1" applyAlignment="1">
      <alignment horizontal="left" vertical="center"/>
    </xf>
    <xf numFmtId="41" fontId="16" fillId="2" borderId="0" xfId="2" applyFont="1" applyFill="1" applyBorder="1" applyAlignment="1">
      <alignment horizontal="righ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0" borderId="45" xfId="6" applyNumberFormat="1" applyFont="1" applyFill="1" applyBorder="1" applyAlignment="1">
      <alignment horizontal="left" vertical="center"/>
    </xf>
    <xf numFmtId="3" fontId="16" fillId="0" borderId="0" xfId="6" applyNumberFormat="1" applyFont="1" applyFill="1" applyAlignment="1">
      <alignment horizontal="left" vertical="center"/>
    </xf>
    <xf numFmtId="41" fontId="16" fillId="0" borderId="4" xfId="2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3" fontId="61" fillId="0" borderId="0" xfId="6" applyNumberFormat="1" applyFont="1" applyFill="1" applyBorder="1" applyAlignment="1">
      <alignment horizontal="left" vertical="center"/>
    </xf>
    <xf numFmtId="3" fontId="16" fillId="0" borderId="7" xfId="2" applyNumberFormat="1" applyFont="1" applyFill="1" applyBorder="1" applyAlignment="1">
      <alignment horizontal="left" vertical="center"/>
    </xf>
    <xf numFmtId="3" fontId="16" fillId="0" borderId="23" xfId="6" applyNumberFormat="1" applyFont="1" applyFill="1" applyBorder="1" applyAlignment="1">
      <alignment vertical="center"/>
    </xf>
    <xf numFmtId="41" fontId="16" fillId="2" borderId="0" xfId="2" applyFont="1" applyFill="1" applyBorder="1" applyAlignment="1">
      <alignment vertical="center"/>
    </xf>
    <xf numFmtId="177" fontId="35" fillId="0" borderId="13" xfId="0" applyNumberFormat="1" applyFont="1" applyFill="1" applyBorder="1" applyAlignment="1">
      <alignment horizontal="right" vertical="center" wrapText="1"/>
    </xf>
    <xf numFmtId="177" fontId="17" fillId="0" borderId="88" xfId="0" applyNumberFormat="1" applyFont="1" applyFill="1" applyBorder="1" applyAlignment="1">
      <alignment horizontal="right" vertical="center" wrapText="1"/>
    </xf>
    <xf numFmtId="177" fontId="17" fillId="0" borderId="91" xfId="0" applyNumberFormat="1" applyFont="1" applyFill="1" applyBorder="1" applyAlignment="1">
      <alignment horizontal="right" vertical="center" wrapText="1"/>
    </xf>
    <xf numFmtId="177" fontId="36" fillId="0" borderId="32" xfId="2" applyNumberFormat="1" applyFont="1" applyFill="1" applyBorder="1" applyAlignment="1">
      <alignment horizontal="right" vertical="center"/>
    </xf>
    <xf numFmtId="0" fontId="17" fillId="0" borderId="0" xfId="0" applyFont="1" applyFill="1" applyAlignment="1">
      <alignment horizontal="center" vertical="center"/>
    </xf>
    <xf numFmtId="177" fontId="35" fillId="3" borderId="97" xfId="0" applyNumberFormat="1" applyFont="1" applyFill="1" applyBorder="1" applyAlignment="1">
      <alignment horizontal="right" vertical="center" wrapText="1"/>
    </xf>
    <xf numFmtId="177" fontId="34" fillId="3" borderId="43" xfId="2" applyNumberFormat="1" applyFont="1" applyFill="1" applyBorder="1" applyAlignment="1">
      <alignment horizontal="right" vertical="center"/>
    </xf>
    <xf numFmtId="176" fontId="34" fillId="3" borderId="98" xfId="1" applyNumberFormat="1" applyFont="1" applyFill="1" applyBorder="1" applyAlignment="1">
      <alignment vertical="center"/>
    </xf>
    <xf numFmtId="41" fontId="0" fillId="0" borderId="0" xfId="2" applyFont="1" applyFill="1" applyBorder="1" applyAlignment="1">
      <alignment horizontal="center" vertical="center"/>
    </xf>
    <xf numFmtId="0" fontId="62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41" fontId="62" fillId="0" borderId="0" xfId="35" applyFont="1" applyAlignment="1">
      <alignment horizontal="right" vertical="center"/>
    </xf>
    <xf numFmtId="0" fontId="62" fillId="0" borderId="0" xfId="4" applyNumberFormat="1" applyFont="1" applyAlignment="1">
      <alignment vertical="center"/>
    </xf>
    <xf numFmtId="0" fontId="62" fillId="0" borderId="0" xfId="4" applyFont="1" applyAlignment="1">
      <alignment horizontal="left" vertical="center"/>
    </xf>
    <xf numFmtId="0" fontId="62" fillId="0" borderId="0" xfId="4" applyFont="1" applyAlignment="1">
      <alignment horizontal="center" vertical="center"/>
    </xf>
    <xf numFmtId="41" fontId="62" fillId="2" borderId="0" xfId="35" applyFont="1" applyFill="1" applyAlignment="1">
      <alignment horizontal="right" vertical="center"/>
    </xf>
    <xf numFmtId="0" fontId="64" fillId="0" borderId="0" xfId="4" applyFont="1" applyFill="1" applyAlignment="1">
      <alignment vertical="center"/>
    </xf>
    <xf numFmtId="0" fontId="63" fillId="0" borderId="19" xfId="4" applyFont="1" applyFill="1" applyBorder="1" applyAlignment="1">
      <alignment horizontal="left" vertical="center" wrapText="1"/>
    </xf>
    <xf numFmtId="41" fontId="63" fillId="2" borderId="19" xfId="35" applyFont="1" applyFill="1" applyBorder="1" applyAlignment="1">
      <alignment horizontal="right" vertical="center" wrapText="1"/>
    </xf>
    <xf numFmtId="41" fontId="63" fillId="0" borderId="19" xfId="35" applyFont="1" applyFill="1" applyBorder="1" applyAlignment="1">
      <alignment horizontal="right" vertical="center" wrapText="1"/>
    </xf>
    <xf numFmtId="0" fontId="63" fillId="0" borderId="19" xfId="4" applyFont="1" applyFill="1" applyBorder="1" applyAlignment="1">
      <alignment horizontal="left" vertical="center"/>
    </xf>
    <xf numFmtId="0" fontId="63" fillId="0" borderId="19" xfId="4" applyFont="1" applyFill="1" applyBorder="1" applyAlignment="1">
      <alignment horizontal="center" vertical="center" shrinkToFit="1"/>
    </xf>
    <xf numFmtId="0" fontId="64" fillId="7" borderId="56" xfId="4" applyFont="1" applyFill="1" applyBorder="1" applyAlignment="1">
      <alignment horizontal="center" vertical="center"/>
    </xf>
    <xf numFmtId="41" fontId="64" fillId="7" borderId="13" xfId="35" applyFont="1" applyFill="1" applyBorder="1" applyAlignment="1">
      <alignment horizontal="right" vertical="center" wrapText="1"/>
    </xf>
    <xf numFmtId="0" fontId="63" fillId="0" borderId="0" xfId="4" applyFont="1" applyFill="1" applyAlignment="1">
      <alignment vertical="center"/>
    </xf>
    <xf numFmtId="41" fontId="63" fillId="2" borderId="13" xfId="36" applyNumberFormat="1" applyFont="1" applyFill="1" applyBorder="1" applyAlignment="1">
      <alignment horizontal="right" vertical="center" wrapText="1" shrinkToFit="1"/>
    </xf>
    <xf numFmtId="188" fontId="63" fillId="0" borderId="13" xfId="36" applyNumberFormat="1" applyFont="1" applyFill="1" applyBorder="1" applyAlignment="1">
      <alignment horizontal="right" vertical="center" wrapText="1" shrinkToFit="1"/>
    </xf>
    <xf numFmtId="0" fontId="63" fillId="0" borderId="13" xfId="36" applyNumberFormat="1" applyFont="1" applyFill="1" applyBorder="1" applyAlignment="1">
      <alignment vertical="center" wrapText="1"/>
    </xf>
    <xf numFmtId="0" fontId="63" fillId="0" borderId="13" xfId="4" applyFont="1" applyFill="1" applyBorder="1" applyAlignment="1">
      <alignment horizontal="center" vertical="center" shrinkToFit="1"/>
    </xf>
    <xf numFmtId="41" fontId="63" fillId="2" borderId="13" xfId="35" applyFont="1" applyFill="1" applyBorder="1" applyAlignment="1">
      <alignment horizontal="right" vertical="center" wrapText="1" shrinkToFit="1"/>
    </xf>
    <xf numFmtId="41" fontId="63" fillId="0" borderId="13" xfId="35" applyFont="1" applyFill="1" applyBorder="1" applyAlignment="1">
      <alignment horizontal="right" vertical="center" wrapText="1" shrinkToFit="1"/>
    </xf>
    <xf numFmtId="0" fontId="63" fillId="0" borderId="99" xfId="36" applyNumberFormat="1" applyFont="1" applyFill="1" applyBorder="1" applyAlignment="1">
      <alignment vertical="center" wrapText="1"/>
    </xf>
    <xf numFmtId="0" fontId="65" fillId="0" borderId="0" xfId="4" applyFont="1" applyFill="1" applyAlignment="1">
      <alignment vertical="center"/>
    </xf>
    <xf numFmtId="41" fontId="63" fillId="0" borderId="13" xfId="35" applyFont="1" applyFill="1" applyBorder="1" applyAlignment="1">
      <alignment horizontal="right" vertical="center" wrapText="1"/>
    </xf>
    <xf numFmtId="0" fontId="63" fillId="0" borderId="13" xfId="4" applyFont="1" applyFill="1" applyBorder="1" applyAlignment="1">
      <alignment horizontal="left" vertical="center"/>
    </xf>
    <xf numFmtId="0" fontId="67" fillId="7" borderId="56" xfId="4" applyFont="1" applyFill="1" applyBorder="1" applyAlignment="1">
      <alignment horizontal="center" vertical="center"/>
    </xf>
    <xf numFmtId="0" fontId="68" fillId="0" borderId="0" xfId="4" applyFont="1" applyAlignment="1">
      <alignment vertical="center"/>
    </xf>
    <xf numFmtId="0" fontId="68" fillId="0" borderId="0" xfId="4" applyFont="1" applyAlignment="1">
      <alignment horizontal="center" vertical="center"/>
    </xf>
    <xf numFmtId="0" fontId="68" fillId="2" borderId="100" xfId="4" applyFont="1" applyFill="1" applyBorder="1" applyAlignment="1">
      <alignment horizontal="center" vertical="center" wrapText="1"/>
    </xf>
    <xf numFmtId="0" fontId="63" fillId="2" borderId="13" xfId="4" applyFont="1" applyFill="1" applyBorder="1" applyAlignment="1">
      <alignment horizontal="left" vertical="center" wrapText="1"/>
    </xf>
    <xf numFmtId="0" fontId="63" fillId="2" borderId="13" xfId="36" applyNumberFormat="1" applyFont="1" applyFill="1" applyBorder="1" applyAlignment="1">
      <alignment vertical="center" wrapText="1"/>
    </xf>
    <xf numFmtId="0" fontId="63" fillId="2" borderId="13" xfId="4" applyFont="1" applyFill="1" applyBorder="1" applyAlignment="1">
      <alignment horizontal="center" vertical="center" shrinkToFit="1"/>
    </xf>
    <xf numFmtId="0" fontId="63" fillId="2" borderId="13" xfId="4" applyFont="1" applyFill="1" applyBorder="1" applyAlignment="1">
      <alignment horizontal="center" vertical="center" wrapText="1" shrinkToFit="1"/>
    </xf>
    <xf numFmtId="0" fontId="69" fillId="0" borderId="0" xfId="4" applyFont="1" applyFill="1" applyAlignment="1">
      <alignment vertical="center"/>
    </xf>
    <xf numFmtId="41" fontId="69" fillId="0" borderId="0" xfId="35" applyFont="1" applyFill="1" applyAlignment="1">
      <alignment horizontal="right" vertical="center"/>
    </xf>
    <xf numFmtId="0" fontId="69" fillId="0" borderId="0" xfId="4" applyFont="1" applyFill="1" applyAlignment="1">
      <alignment horizontal="center" vertical="center"/>
    </xf>
    <xf numFmtId="0" fontId="64" fillId="7" borderId="15" xfId="4" applyFont="1" applyFill="1" applyBorder="1" applyAlignment="1">
      <alignment horizontal="center" vertical="center"/>
    </xf>
    <xf numFmtId="0" fontId="67" fillId="0" borderId="56" xfId="4" applyFont="1" applyFill="1" applyBorder="1" applyAlignment="1">
      <alignment horizontal="center" vertical="center"/>
    </xf>
    <xf numFmtId="0" fontId="65" fillId="2" borderId="0" xfId="4" applyFont="1" applyFill="1" applyAlignment="1">
      <alignment vertical="center"/>
    </xf>
    <xf numFmtId="0" fontId="67" fillId="2" borderId="56" xfId="4" applyFont="1" applyFill="1" applyBorder="1" applyAlignment="1">
      <alignment horizontal="center" vertical="center"/>
    </xf>
    <xf numFmtId="0" fontId="63" fillId="2" borderId="13" xfId="4" applyFont="1" applyFill="1" applyBorder="1" applyAlignment="1">
      <alignment horizontal="center" vertical="center" wrapText="1"/>
    </xf>
    <xf numFmtId="41" fontId="70" fillId="7" borderId="13" xfId="35" applyFont="1" applyFill="1" applyBorder="1" applyAlignment="1">
      <alignment horizontal="right" vertical="center" wrapText="1"/>
    </xf>
    <xf numFmtId="0" fontId="64" fillId="6" borderId="56" xfId="4" applyFont="1" applyFill="1" applyBorder="1" applyAlignment="1">
      <alignment horizontal="center" vertical="center"/>
    </xf>
    <xf numFmtId="41" fontId="64" fillId="6" borderId="13" xfId="35" applyFont="1" applyFill="1" applyBorder="1" applyAlignment="1">
      <alignment horizontal="right" vertical="center" wrapText="1"/>
    </xf>
    <xf numFmtId="0" fontId="62" fillId="0" borderId="0" xfId="4" applyFont="1" applyFill="1" applyAlignment="1">
      <alignment vertical="center"/>
    </xf>
    <xf numFmtId="0" fontId="63" fillId="0" borderId="56" xfId="4" applyFont="1" applyFill="1" applyBorder="1" applyAlignment="1">
      <alignment horizontal="center" vertical="center" wrapText="1"/>
    </xf>
    <xf numFmtId="0" fontId="63" fillId="0" borderId="13" xfId="36" applyNumberFormat="1" applyFont="1" applyFill="1" applyBorder="1" applyAlignment="1">
      <alignment horizontal="left" vertical="center" wrapText="1"/>
    </xf>
    <xf numFmtId="0" fontId="71" fillId="0" borderId="13" xfId="4" applyFont="1" applyFill="1" applyBorder="1" applyAlignment="1">
      <alignment horizontal="left" vertical="center" wrapText="1"/>
    </xf>
    <xf numFmtId="41" fontId="71" fillId="2" borderId="13" xfId="35" applyFont="1" applyFill="1" applyBorder="1" applyAlignment="1">
      <alignment horizontal="right" vertical="center" wrapText="1" shrinkToFit="1"/>
    </xf>
    <xf numFmtId="41" fontId="71" fillId="0" borderId="13" xfId="35" applyFont="1" applyFill="1" applyBorder="1" applyAlignment="1">
      <alignment horizontal="right" vertical="center" wrapText="1" shrinkToFit="1"/>
    </xf>
    <xf numFmtId="0" fontId="71" fillId="0" borderId="13" xfId="36" applyNumberFormat="1" applyFont="1" applyFill="1" applyBorder="1" applyAlignment="1">
      <alignment vertical="center" wrapText="1"/>
    </xf>
    <xf numFmtId="0" fontId="71" fillId="0" borderId="13" xfId="4" applyFont="1" applyFill="1" applyBorder="1" applyAlignment="1">
      <alignment horizontal="center" vertical="center" shrinkToFit="1"/>
    </xf>
    <xf numFmtId="0" fontId="63" fillId="0" borderId="13" xfId="4" applyFont="1" applyFill="1" applyBorder="1" applyAlignment="1">
      <alignment horizontal="left" vertical="center" shrinkToFit="1"/>
    </xf>
    <xf numFmtId="188" fontId="63" fillId="2" borderId="13" xfId="36" applyNumberFormat="1" applyFont="1" applyFill="1" applyBorder="1" applyAlignment="1">
      <alignment horizontal="right" vertical="center" wrapText="1" shrinkToFit="1"/>
    </xf>
    <xf numFmtId="188" fontId="71" fillId="0" borderId="13" xfId="36" applyNumberFormat="1" applyFont="1" applyFill="1" applyBorder="1" applyAlignment="1">
      <alignment horizontal="right" vertical="center" wrapText="1" shrinkToFit="1"/>
    </xf>
    <xf numFmtId="0" fontId="71" fillId="2" borderId="56" xfId="4" applyFont="1" applyFill="1" applyBorder="1" applyAlignment="1">
      <alignment horizontal="center" vertical="center" wrapText="1"/>
    </xf>
    <xf numFmtId="195" fontId="72" fillId="0" borderId="13" xfId="0" applyNumberFormat="1" applyFont="1" applyFill="1" applyBorder="1" applyAlignment="1" applyProtection="1">
      <alignment horizontal="right" vertical="center" wrapText="1"/>
    </xf>
    <xf numFmtId="195" fontId="71" fillId="2" borderId="13" xfId="36" applyNumberFormat="1" applyFont="1" applyFill="1" applyBorder="1" applyAlignment="1">
      <alignment vertical="center" wrapText="1"/>
    </xf>
    <xf numFmtId="0" fontId="71" fillId="2" borderId="13" xfId="4" applyFont="1" applyFill="1" applyBorder="1" applyAlignment="1">
      <alignment horizontal="center" vertical="center" shrinkToFit="1"/>
    </xf>
    <xf numFmtId="188" fontId="71" fillId="2" borderId="13" xfId="36" applyNumberFormat="1" applyFont="1" applyFill="1" applyBorder="1" applyAlignment="1">
      <alignment horizontal="right" vertical="center" wrapText="1" shrinkToFit="1"/>
    </xf>
    <xf numFmtId="0" fontId="71" fillId="2" borderId="13" xfId="36" applyNumberFormat="1" applyFont="1" applyFill="1" applyBorder="1" applyAlignment="1">
      <alignment vertical="center" wrapText="1"/>
    </xf>
    <xf numFmtId="41" fontId="63" fillId="2" borderId="13" xfId="105" applyFont="1" applyFill="1" applyBorder="1" applyAlignment="1">
      <alignment horizontal="left" vertical="center" shrinkToFit="1"/>
    </xf>
    <xf numFmtId="0" fontId="63" fillId="2" borderId="13" xfId="4" applyFont="1" applyFill="1" applyBorder="1" applyAlignment="1">
      <alignment horizontal="left" vertical="center" wrapText="1" shrinkToFit="1"/>
    </xf>
    <xf numFmtId="0" fontId="63" fillId="2" borderId="13" xfId="4" applyFont="1" applyFill="1" applyBorder="1" applyAlignment="1">
      <alignment horizontal="left" vertical="center" shrinkToFit="1"/>
    </xf>
    <xf numFmtId="0" fontId="71" fillId="2" borderId="13" xfId="4" applyFont="1" applyFill="1" applyBorder="1" applyAlignment="1">
      <alignment horizontal="left" vertical="center" wrapText="1"/>
    </xf>
    <xf numFmtId="0" fontId="64" fillId="2" borderId="56" xfId="4" applyFont="1" applyFill="1" applyBorder="1" applyAlignment="1">
      <alignment horizontal="center" vertical="center"/>
    </xf>
    <xf numFmtId="0" fontId="63" fillId="0" borderId="13" xfId="0" applyFont="1" applyBorder="1" applyAlignment="1">
      <alignment horizontal="left" vertical="center"/>
    </xf>
    <xf numFmtId="41" fontId="64" fillId="6" borderId="13" xfId="4" applyNumberFormat="1" applyFont="1" applyFill="1" applyBorder="1" applyAlignment="1">
      <alignment horizontal="center" vertical="center"/>
    </xf>
    <xf numFmtId="0" fontId="69" fillId="4" borderId="13" xfId="4" applyFont="1" applyFill="1" applyBorder="1" applyAlignment="1">
      <alignment horizontal="center" vertical="center" wrapText="1"/>
    </xf>
    <xf numFmtId="0" fontId="69" fillId="4" borderId="13" xfId="4" applyFont="1" applyFill="1" applyBorder="1" applyAlignment="1">
      <alignment horizontal="center" vertical="center"/>
    </xf>
    <xf numFmtId="0" fontId="69" fillId="4" borderId="72" xfId="4" applyFont="1" applyFill="1" applyBorder="1" applyAlignment="1">
      <alignment horizontal="center" vertical="center"/>
    </xf>
    <xf numFmtId="3" fontId="16" fillId="0" borderId="27" xfId="6" applyNumberFormat="1" applyFont="1" applyFill="1" applyBorder="1" applyAlignment="1">
      <alignment vertical="center"/>
    </xf>
    <xf numFmtId="0" fontId="50" fillId="0" borderId="0" xfId="6" applyFont="1" applyFill="1" applyAlignment="1">
      <alignment vertical="center"/>
    </xf>
    <xf numFmtId="177" fontId="19" fillId="3" borderId="33" xfId="2" applyNumberFormat="1" applyFont="1" applyFill="1" applyBorder="1" applyAlignment="1">
      <alignment horizontal="center" vertical="center"/>
    </xf>
    <xf numFmtId="177" fontId="19" fillId="3" borderId="33" xfId="2" applyNumberFormat="1" applyFont="1" applyFill="1" applyBorder="1" applyAlignment="1">
      <alignment horizontal="center" vertical="center" wrapText="1"/>
    </xf>
    <xf numFmtId="41" fontId="19" fillId="3" borderId="63" xfId="2" applyFont="1" applyFill="1" applyBorder="1" applyAlignment="1">
      <alignment horizontal="center" vertical="center"/>
    </xf>
    <xf numFmtId="177" fontId="19" fillId="3" borderId="13" xfId="2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 applyAlignment="1">
      <alignment vertical="center"/>
    </xf>
    <xf numFmtId="0" fontId="34" fillId="0" borderId="25" xfId="0" applyFont="1" applyFill="1" applyBorder="1" applyAlignment="1">
      <alignment horizontal="center" vertical="center" wrapText="1"/>
    </xf>
    <xf numFmtId="3" fontId="16" fillId="0" borderId="0" xfId="6" applyNumberFormat="1" applyFont="1" applyFill="1" applyBorder="1" applyAlignment="1">
      <alignment horizontal="left" vertical="center"/>
    </xf>
    <xf numFmtId="0" fontId="19" fillId="0" borderId="11" xfId="0" applyFont="1" applyFill="1" applyBorder="1" applyAlignment="1">
      <alignment vertical="center" wrapText="1"/>
    </xf>
    <xf numFmtId="0" fontId="36" fillId="0" borderId="83" xfId="0" applyFont="1" applyFill="1" applyBorder="1" applyAlignment="1">
      <alignment horizontal="left" vertical="center" wrapText="1"/>
    </xf>
    <xf numFmtId="177" fontId="37" fillId="2" borderId="93" xfId="0" applyNumberFormat="1" applyFont="1" applyFill="1" applyBorder="1" applyAlignment="1">
      <alignment horizontal="right" vertical="center" wrapText="1"/>
    </xf>
    <xf numFmtId="177" fontId="36" fillId="0" borderId="26" xfId="2" applyNumberFormat="1" applyFont="1" applyFill="1" applyBorder="1" applyAlignment="1">
      <alignment horizontal="right" vertical="center"/>
    </xf>
    <xf numFmtId="176" fontId="36" fillId="0" borderId="102" xfId="1" applyNumberFormat="1" applyFont="1" applyFill="1" applyBorder="1" applyAlignment="1">
      <alignment vertical="center"/>
    </xf>
    <xf numFmtId="177" fontId="35" fillId="2" borderId="103" xfId="0" applyNumberFormat="1" applyFont="1" applyFill="1" applyBorder="1" applyAlignment="1">
      <alignment horizontal="right" vertical="center" wrapText="1"/>
    </xf>
    <xf numFmtId="177" fontId="35" fillId="0" borderId="103" xfId="0" applyNumberFormat="1" applyFont="1" applyFill="1" applyBorder="1" applyAlignment="1">
      <alignment horizontal="right" vertical="center" wrapText="1"/>
    </xf>
    <xf numFmtId="177" fontId="19" fillId="0" borderId="21" xfId="2" applyNumberFormat="1" applyFont="1" applyFill="1" applyBorder="1" applyAlignment="1">
      <alignment horizontal="right" vertical="center"/>
    </xf>
    <xf numFmtId="177" fontId="35" fillId="3" borderId="104" xfId="0" applyNumberFormat="1" applyFont="1" applyFill="1" applyBorder="1" applyAlignment="1">
      <alignment horizontal="right" vertical="center" wrapText="1"/>
    </xf>
    <xf numFmtId="177" fontId="34" fillId="3" borderId="19" xfId="2" applyNumberFormat="1" applyFont="1" applyFill="1" applyBorder="1" applyAlignment="1">
      <alignment horizontal="right" vertical="center"/>
    </xf>
    <xf numFmtId="176" fontId="34" fillId="3" borderId="70" xfId="1" applyNumberFormat="1" applyFont="1" applyFill="1" applyBorder="1" applyAlignment="1">
      <alignment vertical="center"/>
    </xf>
    <xf numFmtId="177" fontId="35" fillId="3" borderId="101" xfId="0" applyNumberFormat="1" applyFont="1" applyFill="1" applyBorder="1" applyAlignment="1">
      <alignment horizontal="right" vertical="center" wrapText="1"/>
    </xf>
    <xf numFmtId="177" fontId="19" fillId="3" borderId="28" xfId="2" applyNumberFormat="1" applyFont="1" applyFill="1" applyBorder="1" applyAlignment="1">
      <alignment horizontal="right" vertical="center"/>
    </xf>
    <xf numFmtId="177" fontId="35" fillId="3" borderId="105" xfId="0" applyNumberFormat="1" applyFont="1" applyFill="1" applyBorder="1" applyAlignment="1">
      <alignment horizontal="right" vertical="center" wrapText="1"/>
    </xf>
    <xf numFmtId="177" fontId="34" fillId="3" borderId="30" xfId="2" applyNumberFormat="1" applyFont="1" applyFill="1" applyBorder="1" applyAlignment="1">
      <alignment horizontal="right" vertical="center"/>
    </xf>
    <xf numFmtId="176" fontId="34" fillId="3" borderId="56" xfId="1" applyNumberFormat="1" applyFont="1" applyFill="1" applyBorder="1" applyAlignment="1">
      <alignment vertical="center"/>
    </xf>
    <xf numFmtId="41" fontId="18" fillId="0" borderId="0" xfId="2" applyFont="1" applyFill="1" applyBorder="1" applyAlignment="1">
      <alignment horizontal="center" vertical="center"/>
    </xf>
    <xf numFmtId="41" fontId="18" fillId="0" borderId="0" xfId="2" applyFont="1" applyAlignment="1">
      <alignment vertical="center" wrapText="1"/>
    </xf>
    <xf numFmtId="41" fontId="18" fillId="0" borderId="0" xfId="2" applyFont="1" applyAlignment="1">
      <alignment vertical="center"/>
    </xf>
    <xf numFmtId="0" fontId="71" fillId="2" borderId="13" xfId="4" applyFont="1" applyFill="1" applyBorder="1" applyAlignment="1">
      <alignment horizontal="left" vertical="center" shrinkToFit="1"/>
    </xf>
    <xf numFmtId="0" fontId="66" fillId="0" borderId="56" xfId="4" applyFont="1" applyFill="1" applyBorder="1" applyAlignment="1">
      <alignment horizontal="center" vertical="center" wrapText="1"/>
    </xf>
    <xf numFmtId="0" fontId="63" fillId="0" borderId="70" xfId="4" applyFont="1" applyFill="1" applyBorder="1" applyAlignment="1">
      <alignment horizontal="center" vertical="center" wrapText="1"/>
    </xf>
    <xf numFmtId="3" fontId="47" fillId="0" borderId="0" xfId="6" applyNumberFormat="1" applyFont="1" applyFill="1" applyBorder="1" applyAlignment="1">
      <alignment horizontal="left" vertical="center"/>
    </xf>
    <xf numFmtId="3" fontId="16" fillId="0" borderId="7" xfId="0" applyNumberFormat="1" applyFont="1" applyFill="1" applyBorder="1" applyAlignment="1">
      <alignment vertical="center"/>
    </xf>
    <xf numFmtId="41" fontId="16" fillId="0" borderId="0" xfId="2" applyFont="1" applyFill="1" applyBorder="1" applyAlignment="1">
      <alignment horizontal="left" vertical="center"/>
    </xf>
    <xf numFmtId="177" fontId="16" fillId="0" borderId="56" xfId="6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26" fillId="0" borderId="0" xfId="0" applyNumberFormat="1" applyFont="1" applyFill="1" applyAlignment="1">
      <alignment horizontal="center" vertical="center"/>
    </xf>
    <xf numFmtId="41" fontId="16" fillId="0" borderId="0" xfId="2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180" fontId="16" fillId="0" borderId="0" xfId="2" applyNumberFormat="1" applyFont="1" applyFill="1" applyBorder="1" applyAlignment="1">
      <alignment horizontal="right" vertical="center"/>
    </xf>
    <xf numFmtId="3" fontId="16" fillId="0" borderId="18" xfId="0" applyNumberFormat="1" applyFont="1" applyFill="1" applyBorder="1" applyAlignment="1">
      <alignment horizontal="center" vertical="center"/>
    </xf>
    <xf numFmtId="3" fontId="16" fillId="0" borderId="19" xfId="0" applyNumberFormat="1" applyFont="1" applyFill="1" applyBorder="1" applyAlignment="1">
      <alignment horizontal="center" vertical="center"/>
    </xf>
    <xf numFmtId="177" fontId="16" fillId="0" borderId="0" xfId="2" applyNumberFormat="1" applyFont="1" applyFill="1" applyBorder="1" applyAlignment="1">
      <alignment horizontal="right" vertical="center"/>
    </xf>
    <xf numFmtId="41" fontId="0" fillId="0" borderId="0" xfId="2" applyFont="1" applyFill="1" applyAlignment="1">
      <alignment vertical="center"/>
    </xf>
    <xf numFmtId="41" fontId="16" fillId="0" borderId="0" xfId="2" applyFont="1" applyFill="1" applyAlignment="1">
      <alignment vertical="center"/>
    </xf>
    <xf numFmtId="3" fontId="16" fillId="0" borderId="12" xfId="0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vertical="center"/>
    </xf>
    <xf numFmtId="3" fontId="16" fillId="0" borderId="5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6" fillId="0" borderId="12" xfId="0" applyFont="1" applyFill="1" applyBorder="1" applyAlignment="1">
      <alignment vertical="center"/>
    </xf>
    <xf numFmtId="0" fontId="0" fillId="0" borderId="0" xfId="0" applyFont="1" applyFill="1" applyBorder="1"/>
    <xf numFmtId="3" fontId="16" fillId="0" borderId="30" xfId="0" applyNumberFormat="1" applyFont="1" applyFill="1" applyBorder="1" applyAlignment="1">
      <alignment vertical="center"/>
    </xf>
    <xf numFmtId="3" fontId="16" fillId="0" borderId="30" xfId="0" applyNumberFormat="1" applyFont="1" applyFill="1" applyBorder="1" applyAlignment="1">
      <alignment horizontal="left" vertical="center"/>
    </xf>
    <xf numFmtId="3" fontId="16" fillId="0" borderId="10" xfId="6" applyNumberFormat="1" applyFont="1" applyFill="1" applyBorder="1" applyAlignment="1">
      <alignment horizontal="left" vertical="center"/>
    </xf>
    <xf numFmtId="0" fontId="0" fillId="0" borderId="0" xfId="0" applyNumberFormat="1" applyFont="1" applyFill="1" applyAlignment="1">
      <alignment vertical="center"/>
    </xf>
    <xf numFmtId="177" fontId="16" fillId="0" borderId="14" xfId="0" applyNumberFormat="1" applyFont="1" applyFill="1" applyBorder="1" applyAlignment="1">
      <alignment horizontal="right" vertical="center"/>
    </xf>
    <xf numFmtId="177" fontId="16" fillId="0" borderId="36" xfId="0" applyNumberFormat="1" applyFont="1" applyFill="1" applyBorder="1" applyAlignment="1">
      <alignment horizontal="right" vertical="center"/>
    </xf>
    <xf numFmtId="177" fontId="16" fillId="0" borderId="13" xfId="0" applyNumberFormat="1" applyFont="1" applyFill="1" applyBorder="1" applyAlignment="1">
      <alignment horizontal="right" vertical="center"/>
    </xf>
    <xf numFmtId="177" fontId="16" fillId="0" borderId="56" xfId="0" applyNumberFormat="1" applyFont="1" applyFill="1" applyBorder="1" applyAlignment="1">
      <alignment horizontal="right" vertical="center"/>
    </xf>
    <xf numFmtId="41" fontId="0" fillId="0" borderId="0" xfId="2" applyFont="1" applyFill="1" applyBorder="1" applyAlignment="1">
      <alignment vertical="center"/>
    </xf>
    <xf numFmtId="41" fontId="0" fillId="0" borderId="0" xfId="0" applyNumberFormat="1" applyFont="1" applyFill="1" applyAlignment="1">
      <alignment horizontal="right" vertical="center"/>
    </xf>
    <xf numFmtId="184" fontId="19" fillId="0" borderId="39" xfId="2" applyNumberFormat="1" applyFont="1" applyFill="1" applyBorder="1" applyAlignment="1">
      <alignment horizontal="right" vertical="center"/>
    </xf>
    <xf numFmtId="41" fontId="0" fillId="0" borderId="0" xfId="0" applyNumberFormat="1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177" fontId="16" fillId="0" borderId="2" xfId="2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3" fontId="16" fillId="0" borderId="30" xfId="6" applyNumberFormat="1" applyFont="1" applyFill="1" applyBorder="1" applyAlignment="1">
      <alignment horizontal="center" vertical="center"/>
    </xf>
    <xf numFmtId="177" fontId="16" fillId="0" borderId="15" xfId="2" applyNumberFormat="1" applyFont="1" applyFill="1" applyBorder="1" applyAlignment="1">
      <alignment horizontal="right" vertical="center"/>
    </xf>
    <xf numFmtId="3" fontId="16" fillId="0" borderId="7" xfId="0" applyNumberFormat="1" applyFont="1" applyFill="1" applyBorder="1" applyAlignment="1">
      <alignment horizontal="center" vertical="center"/>
    </xf>
    <xf numFmtId="41" fontId="0" fillId="0" borderId="0" xfId="2" applyFont="1" applyFill="1" applyBorder="1"/>
    <xf numFmtId="43" fontId="0" fillId="0" borderId="0" xfId="0" applyNumberFormat="1" applyFont="1" applyFill="1" applyAlignment="1">
      <alignment vertical="center"/>
    </xf>
    <xf numFmtId="177" fontId="16" fillId="0" borderId="15" xfId="2" applyNumberFormat="1" applyFont="1" applyFill="1" applyBorder="1" applyAlignment="1">
      <alignment vertical="center"/>
    </xf>
    <xf numFmtId="41" fontId="16" fillId="0" borderId="15" xfId="2" applyFont="1" applyFill="1" applyBorder="1" applyAlignment="1">
      <alignment horizontal="right" vertical="center"/>
    </xf>
    <xf numFmtId="0" fontId="0" fillId="2" borderId="8" xfId="0" applyFont="1" applyFill="1" applyBorder="1" applyAlignment="1">
      <alignment vertical="center"/>
    </xf>
    <xf numFmtId="0" fontId="16" fillId="2" borderId="26" xfId="0" applyFont="1" applyFill="1" applyBorder="1" applyAlignment="1">
      <alignment horizontal="left" vertical="center"/>
    </xf>
    <xf numFmtId="0" fontId="16" fillId="2" borderId="10" xfId="0" applyFont="1" applyFill="1" applyBorder="1" applyAlignment="1">
      <alignment vertical="center"/>
    </xf>
    <xf numFmtId="177" fontId="16" fillId="2" borderId="10" xfId="0" applyNumberFormat="1" applyFont="1" applyFill="1" applyBorder="1" applyAlignment="1">
      <alignment vertical="center"/>
    </xf>
    <xf numFmtId="177" fontId="16" fillId="2" borderId="35" xfId="0" applyNumberFormat="1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3" fontId="16" fillId="2" borderId="16" xfId="6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right" vertical="center"/>
    </xf>
    <xf numFmtId="41" fontId="16" fillId="2" borderId="0" xfId="0" applyNumberFormat="1" applyFont="1" applyFill="1" applyBorder="1" applyAlignment="1">
      <alignment vertical="center"/>
    </xf>
    <xf numFmtId="0" fontId="16" fillId="2" borderId="0" xfId="0" applyNumberFormat="1" applyFont="1" applyFill="1" applyBorder="1" applyAlignment="1">
      <alignment vertical="center"/>
    </xf>
    <xf numFmtId="3" fontId="16" fillId="2" borderId="4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1" fontId="0" fillId="2" borderId="0" xfId="2" applyFont="1" applyFill="1" applyBorder="1" applyAlignment="1">
      <alignment vertical="center"/>
    </xf>
    <xf numFmtId="0" fontId="16" fillId="2" borderId="16" xfId="0" applyFont="1" applyFill="1" applyBorder="1" applyAlignment="1">
      <alignment vertical="center"/>
    </xf>
    <xf numFmtId="178" fontId="16" fillId="2" borderId="0" xfId="0" applyNumberFormat="1" applyFont="1" applyFill="1" applyBorder="1" applyAlignment="1">
      <alignment vertical="center"/>
    </xf>
    <xf numFmtId="3" fontId="16" fillId="2" borderId="2" xfId="2" applyNumberFormat="1" applyFont="1" applyFill="1" applyBorder="1" applyAlignment="1">
      <alignment vertical="center"/>
    </xf>
    <xf numFmtId="0" fontId="16" fillId="2" borderId="9" xfId="0" applyFont="1" applyFill="1" applyBorder="1" applyAlignment="1">
      <alignment vertical="center"/>
    </xf>
    <xf numFmtId="177" fontId="16" fillId="2" borderId="9" xfId="0" applyNumberFormat="1" applyFont="1" applyFill="1" applyBorder="1" applyAlignment="1">
      <alignment vertical="center"/>
    </xf>
    <xf numFmtId="177" fontId="16" fillId="2" borderId="34" xfId="0" applyNumberFormat="1" applyFont="1" applyFill="1" applyBorder="1" applyAlignment="1">
      <alignment vertical="center"/>
    </xf>
    <xf numFmtId="178" fontId="16" fillId="2" borderId="6" xfId="0" applyNumberFormat="1" applyFont="1" applyFill="1" applyBorder="1" applyAlignment="1">
      <alignment vertical="center"/>
    </xf>
    <xf numFmtId="41" fontId="16" fillId="2" borderId="0" xfId="2" applyNumberFormat="1" applyFont="1" applyFill="1" applyBorder="1" applyAlignment="1">
      <alignment horizontal="right" vertical="center"/>
    </xf>
    <xf numFmtId="3" fontId="16" fillId="2" borderId="2" xfId="6" applyNumberFormat="1" applyFont="1" applyFill="1" applyBorder="1" applyAlignment="1">
      <alignment vertical="center"/>
    </xf>
    <xf numFmtId="3" fontId="16" fillId="2" borderId="3" xfId="2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41" fontId="0" fillId="2" borderId="0" xfId="2" applyFont="1" applyFill="1" applyAlignment="1">
      <alignment vertical="center"/>
    </xf>
    <xf numFmtId="0" fontId="16" fillId="2" borderId="14" xfId="0" applyFont="1" applyFill="1" applyBorder="1" applyAlignment="1">
      <alignment vertical="center"/>
    </xf>
    <xf numFmtId="177" fontId="16" fillId="2" borderId="14" xfId="0" applyNumberFormat="1" applyFont="1" applyFill="1" applyBorder="1" applyAlignment="1">
      <alignment vertical="center"/>
    </xf>
    <xf numFmtId="177" fontId="16" fillId="2" borderId="36" xfId="0" applyNumberFormat="1" applyFont="1" applyFill="1" applyBorder="1" applyAlignment="1">
      <alignment vertical="center"/>
    </xf>
    <xf numFmtId="0" fontId="16" fillId="2" borderId="22" xfId="0" applyFont="1" applyFill="1" applyBorder="1" applyAlignment="1">
      <alignment vertical="center"/>
    </xf>
    <xf numFmtId="178" fontId="16" fillId="2" borderId="7" xfId="0" applyNumberFormat="1" applyFont="1" applyFill="1" applyBorder="1" applyAlignment="1">
      <alignment vertical="center"/>
    </xf>
    <xf numFmtId="0" fontId="16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178" fontId="16" fillId="2" borderId="7" xfId="0" applyNumberFormat="1" applyFont="1" applyFill="1" applyBorder="1" applyAlignment="1">
      <alignment vertical="center" wrapText="1"/>
    </xf>
    <xf numFmtId="3" fontId="16" fillId="2" borderId="4" xfId="6" applyNumberFormat="1" applyFont="1" applyFill="1" applyBorder="1" applyAlignment="1">
      <alignment vertical="center"/>
    </xf>
    <xf numFmtId="41" fontId="16" fillId="2" borderId="0" xfId="2" applyFont="1" applyFill="1" applyBorder="1" applyAlignment="1">
      <alignment horizontal="left" vertical="center" shrinkToFit="1"/>
    </xf>
    <xf numFmtId="3" fontId="16" fillId="2" borderId="0" xfId="0" applyNumberFormat="1" applyFont="1" applyFill="1" applyBorder="1" applyAlignment="1">
      <alignment vertical="center"/>
    </xf>
    <xf numFmtId="178" fontId="16" fillId="2" borderId="0" xfId="0" applyNumberFormat="1" applyFont="1" applyFill="1" applyBorder="1" applyAlignment="1">
      <alignment vertical="center" wrapText="1"/>
    </xf>
    <xf numFmtId="0" fontId="16" fillId="2" borderId="10" xfId="0" applyFont="1" applyFill="1" applyBorder="1" applyAlignment="1">
      <alignment vertical="center" wrapText="1"/>
    </xf>
    <xf numFmtId="0" fontId="16" fillId="2" borderId="9" xfId="0" applyFont="1" applyFill="1" applyBorder="1" applyAlignment="1">
      <alignment vertical="center" wrapText="1"/>
    </xf>
    <xf numFmtId="3" fontId="16" fillId="2" borderId="7" xfId="6" applyNumberFormat="1" applyFont="1" applyFill="1" applyBorder="1" applyAlignment="1">
      <alignment horizontal="right" vertical="center"/>
    </xf>
    <xf numFmtId="41" fontId="16" fillId="2" borderId="0" xfId="6" applyNumberFormat="1" applyFont="1" applyFill="1" applyBorder="1" applyAlignment="1">
      <alignment vertical="center"/>
    </xf>
    <xf numFmtId="41" fontId="0" fillId="2" borderId="0" xfId="0" applyNumberFormat="1" applyFont="1" applyFill="1" applyAlignment="1">
      <alignment vertical="center"/>
    </xf>
    <xf numFmtId="3" fontId="16" fillId="2" borderId="7" xfId="6" applyNumberFormat="1" applyFont="1" applyFill="1" applyBorder="1" applyAlignment="1">
      <alignment vertical="center"/>
    </xf>
    <xf numFmtId="178" fontId="16" fillId="2" borderId="0" xfId="0" applyNumberFormat="1" applyFont="1" applyFill="1" applyBorder="1" applyAlignment="1">
      <alignment horizontal="right" vertical="center"/>
    </xf>
    <xf numFmtId="177" fontId="16" fillId="2" borderId="13" xfId="0" applyNumberFormat="1" applyFont="1" applyFill="1" applyBorder="1" applyAlignment="1">
      <alignment vertical="center"/>
    </xf>
    <xf numFmtId="177" fontId="16" fillId="2" borderId="56" xfId="0" applyNumberFormat="1" applyFont="1" applyFill="1" applyBorder="1" applyAlignment="1">
      <alignment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178" fontId="16" fillId="2" borderId="30" xfId="0" applyNumberFormat="1" applyFont="1" applyFill="1" applyBorder="1" applyAlignment="1">
      <alignment horizontal="center" vertical="center"/>
    </xf>
    <xf numFmtId="3" fontId="16" fillId="2" borderId="15" xfId="2" applyNumberFormat="1" applyFont="1" applyFill="1" applyBorder="1" applyAlignment="1">
      <alignment vertical="center"/>
    </xf>
    <xf numFmtId="178" fontId="16" fillId="2" borderId="59" xfId="0" applyNumberFormat="1" applyFont="1" applyFill="1" applyBorder="1" applyAlignment="1">
      <alignment vertical="center"/>
    </xf>
    <xf numFmtId="0" fontId="16" fillId="2" borderId="25" xfId="0" applyFont="1" applyFill="1" applyBorder="1" applyAlignment="1">
      <alignment vertical="center"/>
    </xf>
    <xf numFmtId="0" fontId="16" fillId="2" borderId="2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3" fontId="16" fillId="2" borderId="5" xfId="2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0" fontId="16" fillId="0" borderId="0" xfId="0" applyFont="1" applyFill="1"/>
    <xf numFmtId="184" fontId="16" fillId="2" borderId="13" xfId="6" applyNumberFormat="1" applyFont="1" applyFill="1" applyBorder="1" applyAlignment="1">
      <alignment horizontal="right" vertical="center"/>
    </xf>
    <xf numFmtId="184" fontId="16" fillId="2" borderId="10" xfId="0" applyNumberFormat="1" applyFont="1" applyFill="1" applyBorder="1" applyAlignment="1">
      <alignment horizontal="right" vertical="center"/>
    </xf>
    <xf numFmtId="41" fontId="16" fillId="2" borderId="28" xfId="2" applyFont="1" applyFill="1" applyBorder="1" applyAlignment="1">
      <alignment horizontal="left" vertical="center"/>
    </xf>
    <xf numFmtId="184" fontId="16" fillId="2" borderId="13" xfId="0" applyNumberFormat="1" applyFont="1" applyFill="1" applyBorder="1" applyAlignment="1">
      <alignment horizontal="right" vertical="center"/>
    </xf>
    <xf numFmtId="177" fontId="16" fillId="2" borderId="56" xfId="2" applyNumberFormat="1" applyFont="1" applyFill="1" applyBorder="1" applyAlignment="1">
      <alignment horizontal="right" vertical="center"/>
    </xf>
    <xf numFmtId="41" fontId="16" fillId="2" borderId="21" xfId="2" applyFont="1" applyFill="1" applyBorder="1" applyAlignment="1">
      <alignment vertical="center" shrinkToFit="1"/>
    </xf>
    <xf numFmtId="177" fontId="16" fillId="2" borderId="56" xfId="2" applyNumberFormat="1" applyFont="1" applyFill="1" applyBorder="1" applyAlignment="1">
      <alignment vertical="center"/>
    </xf>
    <xf numFmtId="3" fontId="16" fillId="2" borderId="26" xfId="0" applyNumberFormat="1" applyFont="1" applyFill="1" applyBorder="1" applyAlignment="1">
      <alignment vertical="center"/>
    </xf>
    <xf numFmtId="41" fontId="16" fillId="2" borderId="26" xfId="2" applyFont="1" applyFill="1" applyBorder="1" applyAlignment="1">
      <alignment vertical="center"/>
    </xf>
    <xf numFmtId="177" fontId="16" fillId="2" borderId="35" xfId="2" applyNumberFormat="1" applyFont="1" applyFill="1" applyBorder="1" applyAlignment="1">
      <alignment horizontal="right" vertical="center"/>
    </xf>
    <xf numFmtId="3" fontId="16" fillId="2" borderId="10" xfId="0" applyNumberFormat="1" applyFont="1" applyFill="1" applyBorder="1" applyAlignment="1">
      <alignment vertical="center"/>
    </xf>
    <xf numFmtId="41" fontId="16" fillId="2" borderId="10" xfId="2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3" fontId="16" fillId="2" borderId="29" xfId="6" applyNumberFormat="1" applyFont="1" applyFill="1" applyBorder="1" applyAlignment="1">
      <alignment horizontal="left" vertical="center"/>
    </xf>
    <xf numFmtId="3" fontId="16" fillId="2" borderId="30" xfId="2" applyNumberFormat="1" applyFont="1" applyFill="1" applyBorder="1" applyAlignment="1">
      <alignment horizontal="left" vertical="center"/>
    </xf>
    <xf numFmtId="3" fontId="16" fillId="2" borderId="8" xfId="6" applyNumberFormat="1" applyFont="1" applyFill="1" applyBorder="1" applyAlignment="1">
      <alignment horizontal="center"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2" borderId="0" xfId="6" applyNumberFormat="1" applyFont="1" applyFill="1" applyBorder="1" applyAlignment="1">
      <alignment horizontal="center" vertical="center"/>
    </xf>
    <xf numFmtId="3" fontId="16" fillId="2" borderId="12" xfId="6" applyNumberFormat="1" applyFont="1" applyFill="1" applyBorder="1" applyAlignment="1">
      <alignment horizontal="left" vertical="center"/>
    </xf>
    <xf numFmtId="3" fontId="16" fillId="2" borderId="30" xfId="0" applyNumberFormat="1" applyFont="1" applyFill="1" applyBorder="1" applyAlignment="1">
      <alignment vertical="center"/>
    </xf>
    <xf numFmtId="3" fontId="16" fillId="2" borderId="30" xfId="2" applyNumberFormat="1" applyFont="1" applyFill="1" applyBorder="1" applyAlignment="1">
      <alignment vertical="center"/>
    </xf>
    <xf numFmtId="41" fontId="16" fillId="2" borderId="4" xfId="2" applyFont="1" applyFill="1" applyBorder="1" applyAlignment="1">
      <alignment vertical="center"/>
    </xf>
    <xf numFmtId="41" fontId="16" fillId="2" borderId="0" xfId="2" applyFont="1" applyFill="1" applyBorder="1" applyAlignment="1">
      <alignment horizontal="left" vertical="center"/>
    </xf>
    <xf numFmtId="3" fontId="16" fillId="2" borderId="31" xfId="6" applyNumberFormat="1" applyFont="1" applyFill="1" applyBorder="1" applyAlignment="1">
      <alignment vertical="center"/>
    </xf>
    <xf numFmtId="177" fontId="16" fillId="2" borderId="10" xfId="0" applyNumberFormat="1" applyFont="1" applyFill="1" applyBorder="1" applyAlignment="1">
      <alignment horizontal="right" vertical="center"/>
    </xf>
    <xf numFmtId="177" fontId="16" fillId="2" borderId="10" xfId="6" applyNumberFormat="1" applyFont="1" applyFill="1" applyBorder="1" applyAlignment="1">
      <alignment vertical="center"/>
    </xf>
    <xf numFmtId="177" fontId="16" fillId="2" borderId="35" xfId="6" applyNumberFormat="1" applyFont="1" applyFill="1" applyBorder="1" applyAlignment="1">
      <alignment horizontal="right" vertical="center"/>
    </xf>
    <xf numFmtId="3" fontId="16" fillId="2" borderId="0" xfId="2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center" vertical="center"/>
    </xf>
    <xf numFmtId="177" fontId="16" fillId="2" borderId="2" xfId="2" applyNumberFormat="1" applyFont="1" applyFill="1" applyBorder="1" applyAlignment="1">
      <alignment vertical="center"/>
    </xf>
    <xf numFmtId="41" fontId="16" fillId="2" borderId="2" xfId="2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horizontal="right" vertical="center"/>
    </xf>
    <xf numFmtId="3" fontId="16" fillId="2" borderId="2" xfId="6" applyNumberFormat="1" applyFont="1" applyFill="1" applyBorder="1" applyAlignment="1">
      <alignment horizontal="left" vertical="center"/>
    </xf>
    <xf numFmtId="178" fontId="16" fillId="2" borderId="1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178" fontId="16" fillId="2" borderId="2" xfId="2" applyNumberFormat="1" applyFont="1" applyFill="1" applyBorder="1" applyAlignment="1">
      <alignment vertical="center"/>
    </xf>
    <xf numFmtId="3" fontId="16" fillId="2" borderId="10" xfId="0" applyNumberFormat="1" applyFont="1" applyFill="1" applyBorder="1" applyAlignment="1">
      <alignment horizontal="left" vertical="center"/>
    </xf>
    <xf numFmtId="0" fontId="17" fillId="2" borderId="8" xfId="6" applyFont="1" applyFill="1" applyBorder="1" applyAlignment="1">
      <alignment vertical="center"/>
    </xf>
    <xf numFmtId="0" fontId="17" fillId="2" borderId="10" xfId="6" applyFont="1" applyFill="1" applyBorder="1" applyAlignment="1">
      <alignment vertical="center"/>
    </xf>
    <xf numFmtId="3" fontId="16" fillId="2" borderId="26" xfId="6" applyNumberFormat="1" applyFont="1" applyFill="1" applyBorder="1" applyAlignment="1">
      <alignment vertical="center"/>
    </xf>
    <xf numFmtId="41" fontId="16" fillId="2" borderId="0" xfId="2" applyFont="1" applyFill="1" applyAlignment="1">
      <alignment vertical="center"/>
    </xf>
    <xf numFmtId="0" fontId="13" fillId="2" borderId="0" xfId="6" applyFont="1" applyFill="1" applyAlignment="1">
      <alignment vertical="center"/>
    </xf>
    <xf numFmtId="177" fontId="16" fillId="2" borderId="31" xfId="0" applyNumberFormat="1" applyFont="1" applyFill="1" applyBorder="1" applyAlignment="1">
      <alignment horizontal="right" vertical="center"/>
    </xf>
    <xf numFmtId="3" fontId="18" fillId="2" borderId="39" xfId="6" applyNumberFormat="1" applyFont="1" applyFill="1" applyBorder="1" applyAlignment="1">
      <alignment vertical="center"/>
    </xf>
    <xf numFmtId="3" fontId="18" fillId="2" borderId="54" xfId="6" applyNumberFormat="1" applyFont="1" applyFill="1" applyBorder="1" applyAlignment="1">
      <alignment vertical="center"/>
    </xf>
    <xf numFmtId="3" fontId="18" fillId="2" borderId="45" xfId="6" applyNumberFormat="1" applyFont="1" applyFill="1" applyBorder="1" applyAlignment="1">
      <alignment vertical="center"/>
    </xf>
    <xf numFmtId="3" fontId="18" fillId="2" borderId="49" xfId="6" applyNumberFormat="1" applyFont="1" applyFill="1" applyBorder="1" applyAlignment="1">
      <alignment vertical="center"/>
    </xf>
    <xf numFmtId="184" fontId="18" fillId="2" borderId="39" xfId="6" applyNumberFormat="1" applyFont="1" applyFill="1" applyBorder="1" applyAlignment="1">
      <alignment horizontal="right" vertical="center"/>
    </xf>
    <xf numFmtId="177" fontId="18" fillId="2" borderId="62" xfId="6" applyNumberFormat="1" applyFont="1" applyFill="1" applyBorder="1" applyAlignment="1">
      <alignment horizontal="right" vertical="center"/>
    </xf>
    <xf numFmtId="3" fontId="18" fillId="2" borderId="44" xfId="6" applyNumberFormat="1" applyFont="1" applyFill="1" applyBorder="1" applyAlignment="1">
      <alignment horizontal="left" vertical="center"/>
    </xf>
    <xf numFmtId="3" fontId="18" fillId="2" borderId="45" xfId="6" applyNumberFormat="1" applyFont="1" applyFill="1" applyBorder="1" applyAlignment="1">
      <alignment horizontal="left" vertical="center"/>
    </xf>
    <xf numFmtId="3" fontId="18" fillId="2" borderId="45" xfId="6" applyNumberFormat="1" applyFont="1" applyFill="1" applyBorder="1" applyAlignment="1">
      <alignment horizontal="center" vertical="center"/>
    </xf>
    <xf numFmtId="3" fontId="18" fillId="2" borderId="46" xfId="2" applyNumberFormat="1" applyFont="1" applyFill="1" applyBorder="1" applyAlignment="1">
      <alignment horizontal="left" vertical="center"/>
    </xf>
    <xf numFmtId="177" fontId="16" fillId="2" borderId="14" xfId="2" applyNumberFormat="1" applyFont="1" applyFill="1" applyBorder="1" applyAlignment="1">
      <alignment horizontal="right" vertical="center"/>
    </xf>
    <xf numFmtId="177" fontId="16" fillId="2" borderId="36" xfId="2" applyNumberFormat="1" applyFont="1" applyFill="1" applyBorder="1" applyAlignment="1">
      <alignment horizontal="right" vertical="center"/>
    </xf>
    <xf numFmtId="3" fontId="16" fillId="2" borderId="22" xfId="6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center" vertical="center"/>
    </xf>
    <xf numFmtId="177" fontId="16" fillId="2" borderId="4" xfId="2" applyNumberFormat="1" applyFont="1" applyFill="1" applyBorder="1" applyAlignment="1">
      <alignment horizontal="left" vertical="center"/>
    </xf>
    <xf numFmtId="41" fontId="16" fillId="2" borderId="4" xfId="2" applyFont="1" applyFill="1" applyBorder="1" applyAlignment="1">
      <alignment horizontal="left" vertical="center"/>
    </xf>
    <xf numFmtId="177" fontId="16" fillId="2" borderId="13" xfId="2" applyNumberFormat="1" applyFont="1" applyFill="1" applyBorder="1" applyAlignment="1">
      <alignment horizontal="right" vertical="center"/>
    </xf>
    <xf numFmtId="3" fontId="16" fillId="2" borderId="30" xfId="6" applyNumberFormat="1" applyFont="1" applyFill="1" applyBorder="1" applyAlignment="1">
      <alignment horizontal="center" vertical="center"/>
    </xf>
    <xf numFmtId="177" fontId="16" fillId="2" borderId="15" xfId="2" applyNumberFormat="1" applyFont="1" applyFill="1" applyBorder="1" applyAlignment="1">
      <alignment vertical="center"/>
    </xf>
    <xf numFmtId="41" fontId="16" fillId="2" borderId="15" xfId="2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horizontal="left" vertical="center" shrinkToFit="1"/>
    </xf>
    <xf numFmtId="0" fontId="16" fillId="2" borderId="9" xfId="0" applyFont="1" applyFill="1" applyBorder="1" applyAlignment="1">
      <alignment horizontal="left" vertical="center" shrinkToFit="1"/>
    </xf>
    <xf numFmtId="177" fontId="16" fillId="2" borderId="10" xfId="2" applyNumberFormat="1" applyFont="1" applyFill="1" applyBorder="1" applyAlignment="1">
      <alignment horizontal="right" vertical="center"/>
    </xf>
    <xf numFmtId="3" fontId="16" fillId="2" borderId="8" xfId="6" applyNumberFormat="1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left" vertical="center"/>
    </xf>
    <xf numFmtId="177" fontId="16" fillId="2" borderId="10" xfId="2" applyNumberFormat="1" applyFont="1" applyFill="1" applyBorder="1" applyAlignment="1">
      <alignment vertical="center"/>
    </xf>
    <xf numFmtId="177" fontId="16" fillId="2" borderId="15" xfId="2" applyNumberFormat="1" applyFont="1" applyFill="1" applyBorder="1" applyAlignment="1">
      <alignment horizontal="right" vertical="center"/>
    </xf>
    <xf numFmtId="41" fontId="16" fillId="2" borderId="15" xfId="2" applyFont="1" applyFill="1" applyBorder="1" applyAlignment="1">
      <alignment horizontal="left" vertical="center"/>
    </xf>
    <xf numFmtId="0" fontId="16" fillId="2" borderId="31" xfId="0" applyFont="1" applyFill="1" applyBorder="1" applyAlignment="1">
      <alignment vertical="center" wrapText="1"/>
    </xf>
    <xf numFmtId="0" fontId="13" fillId="2" borderId="8" xfId="6" applyFont="1" applyFill="1" applyBorder="1">
      <alignment vertical="center"/>
    </xf>
    <xf numFmtId="177" fontId="16" fillId="2" borderId="13" xfId="6" applyNumberFormat="1" applyFont="1" applyFill="1" applyBorder="1" applyAlignment="1">
      <alignment horizontal="right" vertical="center"/>
    </xf>
    <xf numFmtId="177" fontId="16" fillId="2" borderId="15" xfId="2" applyNumberFormat="1" applyFont="1" applyFill="1" applyBorder="1" applyAlignment="1">
      <alignment horizontal="left" vertical="center"/>
    </xf>
    <xf numFmtId="3" fontId="16" fillId="2" borderId="15" xfId="2" applyNumberFormat="1" applyFont="1" applyFill="1" applyBorder="1" applyAlignment="1">
      <alignment horizontal="right" vertical="center"/>
    </xf>
    <xf numFmtId="0" fontId="13" fillId="2" borderId="8" xfId="0" applyFont="1" applyFill="1" applyBorder="1"/>
    <xf numFmtId="3" fontId="16" fillId="2" borderId="9" xfId="0" applyNumberFormat="1" applyFont="1" applyFill="1" applyBorder="1" applyAlignment="1">
      <alignment vertical="center"/>
    </xf>
    <xf numFmtId="177" fontId="16" fillId="2" borderId="9" xfId="6" applyNumberFormat="1" applyFont="1" applyFill="1" applyBorder="1" applyAlignment="1">
      <alignment vertical="center"/>
    </xf>
    <xf numFmtId="3" fontId="16" fillId="2" borderId="24" xfId="0" applyNumberFormat="1" applyFont="1" applyFill="1" applyBorder="1" applyAlignment="1">
      <alignment vertical="center"/>
    </xf>
    <xf numFmtId="3" fontId="16" fillId="2" borderId="6" xfId="6" applyNumberFormat="1" applyFont="1" applyFill="1" applyBorder="1" applyAlignment="1">
      <alignment horizontal="left" vertical="center"/>
    </xf>
    <xf numFmtId="3" fontId="16" fillId="2" borderId="6" xfId="0" applyNumberFormat="1" applyFont="1" applyFill="1" applyBorder="1" applyAlignment="1">
      <alignment horizontal="right" vertical="center"/>
    </xf>
    <xf numFmtId="3" fontId="16" fillId="2" borderId="6" xfId="0" applyNumberFormat="1" applyFont="1" applyFill="1" applyBorder="1" applyAlignment="1">
      <alignment horizontal="left" vertical="center"/>
    </xf>
    <xf numFmtId="3" fontId="16" fillId="2" borderId="6" xfId="2" applyNumberFormat="1" applyFont="1" applyFill="1" applyBorder="1" applyAlignment="1">
      <alignment vertical="center"/>
    </xf>
    <xf numFmtId="3" fontId="16" fillId="2" borderId="6" xfId="0" applyNumberFormat="1" applyFont="1" applyFill="1" applyBorder="1" applyAlignment="1">
      <alignment vertical="center"/>
    </xf>
    <xf numFmtId="3" fontId="16" fillId="2" borderId="6" xfId="0" applyNumberFormat="1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vertical="center" wrapText="1"/>
    </xf>
    <xf numFmtId="3" fontId="16" fillId="2" borderId="21" xfId="0" applyNumberFormat="1" applyFont="1" applyFill="1" applyBorder="1" applyAlignment="1">
      <alignment vertical="center"/>
    </xf>
    <xf numFmtId="177" fontId="16" fillId="2" borderId="14" xfId="6" applyNumberFormat="1" applyFont="1" applyFill="1" applyBorder="1" applyAlignment="1">
      <alignment vertical="center"/>
    </xf>
    <xf numFmtId="3" fontId="16" fillId="2" borderId="22" xfId="0" applyNumberFormat="1" applyFont="1" applyFill="1" applyBorder="1" applyAlignment="1">
      <alignment vertical="center"/>
    </xf>
    <xf numFmtId="3" fontId="16" fillId="2" borderId="7" xfId="0" applyNumberFormat="1" applyFont="1" applyFill="1" applyBorder="1" applyAlignment="1">
      <alignment horizontal="right" vertical="center"/>
    </xf>
    <xf numFmtId="3" fontId="16" fillId="2" borderId="7" xfId="0" applyNumberFormat="1" applyFont="1" applyFill="1" applyBorder="1" applyAlignment="1">
      <alignment horizontal="left" vertical="center"/>
    </xf>
    <xf numFmtId="3" fontId="16" fillId="2" borderId="7" xfId="2" applyNumberFormat="1" applyFont="1" applyFill="1" applyBorder="1" applyAlignment="1">
      <alignment vertical="center"/>
    </xf>
    <xf numFmtId="3" fontId="16" fillId="2" borderId="7" xfId="0" applyNumberFormat="1" applyFont="1" applyFill="1" applyBorder="1" applyAlignment="1">
      <alignment vertical="center"/>
    </xf>
    <xf numFmtId="3" fontId="16" fillId="2" borderId="7" xfId="0" applyNumberFormat="1" applyFont="1" applyFill="1" applyBorder="1" applyAlignment="1">
      <alignment horizontal="center" vertical="center"/>
    </xf>
    <xf numFmtId="177" fontId="16" fillId="2" borderId="56" xfId="6" applyNumberFormat="1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vertical="center"/>
    </xf>
    <xf numFmtId="41" fontId="16" fillId="2" borderId="15" xfId="2" applyFont="1" applyFill="1" applyBorder="1" applyAlignment="1">
      <alignment vertical="center"/>
    </xf>
    <xf numFmtId="0" fontId="17" fillId="2" borderId="16" xfId="6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vertical="center" wrapText="1"/>
    </xf>
    <xf numFmtId="177" fontId="16" fillId="2" borderId="2" xfId="6" applyNumberFormat="1" applyFont="1" applyFill="1" applyBorder="1" applyAlignment="1">
      <alignment horizontal="right" vertical="center"/>
    </xf>
    <xf numFmtId="177" fontId="16" fillId="2" borderId="56" xfId="6" applyNumberFormat="1" applyFont="1" applyFill="1" applyBorder="1" applyAlignment="1">
      <alignment horizontal="right" vertical="center"/>
    </xf>
    <xf numFmtId="0" fontId="47" fillId="2" borderId="16" xfId="6" applyFont="1" applyFill="1" applyBorder="1" applyAlignment="1">
      <alignment vertical="center"/>
    </xf>
    <xf numFmtId="0" fontId="47" fillId="2" borderId="0" xfId="6" applyFont="1" applyFill="1" applyAlignment="1">
      <alignment vertical="center"/>
    </xf>
    <xf numFmtId="0" fontId="16" fillId="2" borderId="10" xfId="0" applyFont="1" applyFill="1" applyBorder="1" applyAlignment="1">
      <alignment horizontal="left" vertical="center"/>
    </xf>
    <xf numFmtId="0" fontId="16" fillId="2" borderId="26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184" fontId="16" fillId="2" borderId="10" xfId="6" applyNumberFormat="1" applyFont="1" applyFill="1" applyBorder="1" applyAlignment="1">
      <alignment horizontal="right" vertical="center"/>
    </xf>
    <xf numFmtId="0" fontId="16" fillId="2" borderId="12" xfId="0" applyFont="1" applyFill="1" applyBorder="1" applyAlignment="1">
      <alignment vertical="center"/>
    </xf>
    <xf numFmtId="0" fontId="0" fillId="2" borderId="0" xfId="0" applyFont="1" applyFill="1" applyBorder="1"/>
    <xf numFmtId="0" fontId="16" fillId="2" borderId="8" xfId="0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left" vertical="center"/>
    </xf>
    <xf numFmtId="3" fontId="16" fillId="2" borderId="25" xfId="6" applyNumberFormat="1" applyFont="1" applyFill="1" applyBorder="1" applyAlignment="1">
      <alignment vertical="center"/>
    </xf>
    <xf numFmtId="3" fontId="16" fillId="2" borderId="20" xfId="6" applyNumberFormat="1" applyFont="1" applyFill="1" applyBorder="1" applyAlignment="1">
      <alignment vertical="center"/>
    </xf>
    <xf numFmtId="3" fontId="16" fillId="2" borderId="1" xfId="6" applyNumberFormat="1" applyFont="1" applyFill="1" applyBorder="1" applyAlignment="1">
      <alignment vertical="center"/>
    </xf>
    <xf numFmtId="3" fontId="16" fillId="2" borderId="1" xfId="2" applyNumberFormat="1" applyFont="1" applyFill="1" applyBorder="1" applyAlignment="1">
      <alignment vertical="center"/>
    </xf>
    <xf numFmtId="3" fontId="16" fillId="2" borderId="1" xfId="6" applyNumberFormat="1" applyFont="1" applyFill="1" applyBorder="1" applyAlignment="1">
      <alignment horizontal="right" vertical="center"/>
    </xf>
    <xf numFmtId="177" fontId="16" fillId="2" borderId="35" xfId="2" applyNumberFormat="1" applyFont="1" applyFill="1" applyBorder="1" applyAlignment="1">
      <alignment vertical="center"/>
    </xf>
    <xf numFmtId="178" fontId="16" fillId="2" borderId="13" xfId="0" applyNumberFormat="1" applyFont="1" applyFill="1" applyBorder="1" applyAlignment="1">
      <alignment horizontal="right" vertical="center"/>
    </xf>
    <xf numFmtId="178" fontId="16" fillId="2" borderId="30" xfId="0" applyNumberFormat="1" applyFont="1" applyFill="1" applyBorder="1" applyAlignment="1">
      <alignment vertical="center"/>
    </xf>
    <xf numFmtId="178" fontId="16" fillId="2" borderId="30" xfId="0" applyNumberFormat="1" applyFont="1" applyFill="1" applyBorder="1" applyAlignment="1">
      <alignment horizontal="right" vertical="center"/>
    </xf>
    <xf numFmtId="0" fontId="16" fillId="2" borderId="30" xfId="6" applyNumberFormat="1" applyFont="1" applyFill="1" applyBorder="1" applyAlignment="1">
      <alignment horizontal="left" vertical="center"/>
    </xf>
    <xf numFmtId="178" fontId="16" fillId="2" borderId="30" xfId="6" applyNumberFormat="1" applyFont="1" applyFill="1" applyBorder="1" applyAlignment="1">
      <alignment horizontal="right" vertical="center"/>
    </xf>
    <xf numFmtId="3" fontId="16" fillId="2" borderId="26" xfId="6" applyNumberFormat="1" applyFont="1" applyFill="1" applyBorder="1" applyAlignment="1">
      <alignment horizontal="left" vertical="center"/>
    </xf>
    <xf numFmtId="178" fontId="16" fillId="2" borderId="13" xfId="6" applyNumberFormat="1" applyFont="1" applyFill="1" applyBorder="1" applyAlignment="1">
      <alignment horizontal="right" vertical="center"/>
    </xf>
    <xf numFmtId="0" fontId="0" fillId="2" borderId="30" xfId="0" applyFont="1" applyFill="1" applyBorder="1" applyAlignment="1">
      <alignment vertical="center"/>
    </xf>
    <xf numFmtId="0" fontId="0" fillId="2" borderId="31" xfId="0" applyFont="1" applyFill="1" applyBorder="1" applyAlignment="1">
      <alignment vertical="center"/>
    </xf>
    <xf numFmtId="178" fontId="16" fillId="2" borderId="10" xfId="0" applyNumberFormat="1" applyFont="1" applyFill="1" applyBorder="1" applyAlignment="1">
      <alignment horizontal="right" vertical="center"/>
    </xf>
    <xf numFmtId="177" fontId="16" fillId="2" borderId="31" xfId="0" applyNumberFormat="1" applyFont="1" applyFill="1" applyBorder="1" applyAlignment="1">
      <alignment vertical="center"/>
    </xf>
    <xf numFmtId="177" fontId="16" fillId="2" borderId="35" xfId="6" applyNumberFormat="1" applyFont="1" applyFill="1" applyBorder="1" applyAlignment="1">
      <alignment vertical="center"/>
    </xf>
    <xf numFmtId="178" fontId="16" fillId="2" borderId="0" xfId="6" applyNumberFormat="1" applyFont="1" applyFill="1" applyBorder="1" applyAlignment="1">
      <alignment horizontal="right" vertical="center"/>
    </xf>
    <xf numFmtId="0" fontId="16" fillId="2" borderId="0" xfId="6" applyNumberFormat="1" applyFont="1" applyFill="1" applyBorder="1" applyAlignment="1">
      <alignment horizontal="left" vertical="center"/>
    </xf>
    <xf numFmtId="178" fontId="16" fillId="2" borderId="2" xfId="0" applyNumberFormat="1" applyFont="1" applyFill="1" applyBorder="1" applyAlignment="1">
      <alignment vertical="center"/>
    </xf>
    <xf numFmtId="0" fontId="16" fillId="2" borderId="10" xfId="0" applyFont="1" applyFill="1" applyBorder="1" applyAlignment="1">
      <alignment horizontal="left" vertical="center" wrapText="1"/>
    </xf>
    <xf numFmtId="0" fontId="16" fillId="2" borderId="26" xfId="5" applyFont="1" applyFill="1" applyBorder="1" applyAlignment="1" applyProtection="1">
      <alignment horizontal="left" vertical="center"/>
    </xf>
    <xf numFmtId="178" fontId="16" fillId="2" borderId="31" xfId="0" applyNumberFormat="1" applyFont="1" applyFill="1" applyBorder="1" applyAlignment="1">
      <alignment horizontal="right" vertical="center"/>
    </xf>
    <xf numFmtId="0" fontId="16" fillId="2" borderId="0" xfId="5" applyFont="1" applyFill="1" applyBorder="1" applyAlignment="1" applyProtection="1">
      <alignment horizontal="left" vertical="center"/>
    </xf>
    <xf numFmtId="178" fontId="16" fillId="2" borderId="13" xfId="6" applyNumberFormat="1" applyFont="1" applyFill="1" applyBorder="1" applyAlignment="1">
      <alignment vertical="center"/>
    </xf>
    <xf numFmtId="177" fontId="16" fillId="2" borderId="13" xfId="6" applyNumberFormat="1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quotePrefix="1" applyFont="1" applyFill="1" applyBorder="1" applyAlignment="1">
      <alignment horizontal="center" vertical="center"/>
    </xf>
    <xf numFmtId="178" fontId="16" fillId="2" borderId="15" xfId="0" applyNumberFormat="1" applyFont="1" applyFill="1" applyBorder="1" applyAlignment="1">
      <alignment vertical="center"/>
    </xf>
    <xf numFmtId="0" fontId="0" fillId="2" borderId="0" xfId="0" applyFont="1" applyFill="1"/>
    <xf numFmtId="41" fontId="16" fillId="2" borderId="0" xfId="2" applyFont="1" applyFill="1" applyAlignment="1">
      <alignment horizontal="center" vertical="center"/>
    </xf>
    <xf numFmtId="0" fontId="16" fillId="2" borderId="26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horizontal="center"/>
    </xf>
    <xf numFmtId="3" fontId="16" fillId="2" borderId="0" xfId="6" applyNumberFormat="1" applyFont="1" applyFill="1" applyBorder="1" applyAlignment="1">
      <alignment horizontal="justify"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vertical="center"/>
    </xf>
    <xf numFmtId="0" fontId="47" fillId="2" borderId="10" xfId="0" applyFont="1" applyFill="1" applyBorder="1" applyAlignment="1">
      <alignment vertical="center" wrapText="1"/>
    </xf>
    <xf numFmtId="3" fontId="47" fillId="2" borderId="10" xfId="0" applyNumberFormat="1" applyFont="1" applyFill="1" applyBorder="1" applyAlignment="1">
      <alignment vertical="center"/>
    </xf>
    <xf numFmtId="178" fontId="47" fillId="2" borderId="10" xfId="0" applyNumberFormat="1" applyFont="1" applyFill="1" applyBorder="1" applyAlignment="1">
      <alignment vertical="center"/>
    </xf>
    <xf numFmtId="177" fontId="47" fillId="2" borderId="10" xfId="6" applyNumberFormat="1" applyFont="1" applyFill="1" applyBorder="1" applyAlignment="1">
      <alignment vertical="center"/>
    </xf>
    <xf numFmtId="177" fontId="47" fillId="2" borderId="35" xfId="6" applyNumberFormat="1" applyFont="1" applyFill="1" applyBorder="1" applyAlignment="1">
      <alignment vertical="center"/>
    </xf>
    <xf numFmtId="3" fontId="47" fillId="2" borderId="16" xfId="0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center" vertical="center"/>
    </xf>
    <xf numFmtId="178" fontId="47" fillId="2" borderId="2" xfId="2" applyNumberFormat="1" applyFont="1" applyFill="1" applyBorder="1" applyAlignment="1">
      <alignment vertical="center"/>
    </xf>
    <xf numFmtId="178" fontId="47" fillId="2" borderId="2" xfId="0" applyNumberFormat="1" applyFont="1" applyFill="1" applyBorder="1" applyAlignment="1">
      <alignment vertical="center"/>
    </xf>
    <xf numFmtId="0" fontId="48" fillId="2" borderId="0" xfId="0" applyFont="1" applyFill="1" applyBorder="1"/>
    <xf numFmtId="41" fontId="47" fillId="2" borderId="0" xfId="2" applyFont="1" applyFill="1" applyAlignment="1">
      <alignment horizontal="center" vertical="center"/>
    </xf>
    <xf numFmtId="0" fontId="48" fillId="2" borderId="0" xfId="0" applyFont="1" applyFill="1"/>
    <xf numFmtId="0" fontId="47" fillId="2" borderId="31" xfId="0" applyFont="1" applyFill="1" applyBorder="1" applyAlignment="1">
      <alignment vertical="center"/>
    </xf>
    <xf numFmtId="0" fontId="47" fillId="2" borderId="31" xfId="0" applyFont="1" applyFill="1" applyBorder="1" applyAlignment="1">
      <alignment vertical="center" wrapText="1"/>
    </xf>
    <xf numFmtId="0" fontId="48" fillId="2" borderId="31" xfId="0" applyFont="1" applyFill="1" applyBorder="1"/>
    <xf numFmtId="0" fontId="47" fillId="2" borderId="23" xfId="0" applyFont="1" applyFill="1" applyBorder="1" applyAlignment="1">
      <alignment vertical="center" wrapText="1"/>
    </xf>
    <xf numFmtId="3" fontId="47" fillId="2" borderId="14" xfId="0" applyNumberFormat="1" applyFont="1" applyFill="1" applyBorder="1" applyAlignment="1">
      <alignment vertical="center"/>
    </xf>
    <xf numFmtId="178" fontId="47" fillId="2" borderId="14" xfId="0" applyNumberFormat="1" applyFont="1" applyFill="1" applyBorder="1" applyAlignment="1">
      <alignment vertical="center"/>
    </xf>
    <xf numFmtId="177" fontId="47" fillId="2" borderId="14" xfId="6" applyNumberFormat="1" applyFont="1" applyFill="1" applyBorder="1" applyAlignment="1">
      <alignment vertical="center"/>
    </xf>
    <xf numFmtId="177" fontId="47" fillId="2" borderId="36" xfId="6" applyNumberFormat="1" applyFont="1" applyFill="1" applyBorder="1" applyAlignment="1">
      <alignment vertical="center"/>
    </xf>
    <xf numFmtId="3" fontId="47" fillId="2" borderId="22" xfId="0" applyNumberFormat="1" applyFont="1" applyFill="1" applyBorder="1" applyAlignment="1">
      <alignment vertical="center"/>
    </xf>
    <xf numFmtId="3" fontId="47" fillId="2" borderId="7" xfId="6" applyNumberFormat="1" applyFont="1" applyFill="1" applyBorder="1" applyAlignment="1">
      <alignment horizontal="left" vertical="center"/>
    </xf>
    <xf numFmtId="0" fontId="48" fillId="2" borderId="7" xfId="0" applyFont="1" applyFill="1" applyBorder="1" applyAlignment="1">
      <alignment vertical="center"/>
    </xf>
    <xf numFmtId="3" fontId="47" fillId="2" borderId="7" xfId="0" applyNumberFormat="1" applyFont="1" applyFill="1" applyBorder="1" applyAlignment="1">
      <alignment vertical="center"/>
    </xf>
    <xf numFmtId="3" fontId="47" fillId="2" borderId="7" xfId="0" applyNumberFormat="1" applyFont="1" applyFill="1" applyBorder="1" applyAlignment="1">
      <alignment horizontal="left" vertical="center"/>
    </xf>
    <xf numFmtId="3" fontId="47" fillId="2" borderId="7" xfId="0" applyNumberFormat="1" applyFont="1" applyFill="1" applyBorder="1" applyAlignment="1">
      <alignment horizontal="center" vertical="center"/>
    </xf>
    <xf numFmtId="178" fontId="47" fillId="2" borderId="4" xfId="2" applyNumberFormat="1" applyFont="1" applyFill="1" applyBorder="1" applyAlignment="1">
      <alignment vertical="center"/>
    </xf>
    <xf numFmtId="0" fontId="57" fillId="2" borderId="16" xfId="0" applyFont="1" applyFill="1" applyBorder="1" applyAlignment="1"/>
    <xf numFmtId="0" fontId="57" fillId="2" borderId="10" xfId="0" applyFont="1" applyFill="1" applyBorder="1" applyAlignment="1"/>
    <xf numFmtId="0" fontId="47" fillId="2" borderId="0" xfId="0" applyFont="1" applyFill="1" applyBorder="1" applyAlignment="1">
      <alignment vertical="center"/>
    </xf>
    <xf numFmtId="178" fontId="16" fillId="2" borderId="13" xfId="0" applyNumberFormat="1" applyFont="1" applyFill="1" applyBorder="1" applyAlignment="1">
      <alignment vertical="center"/>
    </xf>
    <xf numFmtId="178" fontId="16" fillId="2" borderId="30" xfId="0" applyNumberFormat="1" applyFont="1" applyFill="1" applyBorder="1" applyAlignment="1">
      <alignment horizontal="right" vertical="center" wrapText="1"/>
    </xf>
    <xf numFmtId="178" fontId="16" fillId="2" borderId="30" xfId="0" applyNumberFormat="1" applyFont="1" applyFill="1" applyBorder="1" applyAlignment="1">
      <alignment vertical="center" wrapText="1"/>
    </xf>
    <xf numFmtId="41" fontId="48" fillId="2" borderId="0" xfId="2" applyFont="1" applyFill="1" applyBorder="1" applyAlignment="1"/>
    <xf numFmtId="41" fontId="36" fillId="2" borderId="0" xfId="2" applyFont="1" applyFill="1" applyBorder="1" applyAlignment="1"/>
    <xf numFmtId="0" fontId="48" fillId="2" borderId="0" xfId="0" applyFont="1" applyFill="1" applyBorder="1" applyAlignment="1"/>
    <xf numFmtId="0" fontId="16" fillId="2" borderId="31" xfId="0" applyFont="1" applyFill="1" applyBorder="1" applyAlignment="1">
      <alignment vertical="center"/>
    </xf>
    <xf numFmtId="177" fontId="16" fillId="2" borderId="35" xfId="0" applyNumberFormat="1" applyFont="1" applyFill="1" applyBorder="1" applyAlignment="1">
      <alignment vertical="center" shrinkToFit="1"/>
    </xf>
    <xf numFmtId="178" fontId="16" fillId="2" borderId="0" xfId="0" applyNumberFormat="1" applyFont="1" applyFill="1" applyBorder="1" applyAlignment="1">
      <alignment horizontal="right" vertical="center" wrapText="1"/>
    </xf>
    <xf numFmtId="0" fontId="16" fillId="2" borderId="0" xfId="0" applyFont="1" applyFill="1" applyBorder="1" applyAlignment="1">
      <alignment horizontal="center" vertical="center"/>
    </xf>
    <xf numFmtId="41" fontId="47" fillId="2" borderId="0" xfId="2" applyFont="1" applyFill="1" applyBorder="1" applyAlignment="1"/>
    <xf numFmtId="41" fontId="16" fillId="2" borderId="10" xfId="0" applyNumberFormat="1" applyFont="1" applyFill="1" applyBorder="1" applyAlignment="1">
      <alignment vertical="center"/>
    </xf>
    <xf numFmtId="178" fontId="16" fillId="2" borderId="14" xfId="0" applyNumberFormat="1" applyFont="1" applyFill="1" applyBorder="1" applyAlignment="1">
      <alignment vertical="center"/>
    </xf>
    <xf numFmtId="177" fontId="16" fillId="2" borderId="36" xfId="0" applyNumberFormat="1" applyFont="1" applyFill="1" applyBorder="1" applyAlignment="1">
      <alignment vertical="center" shrinkToFit="1"/>
    </xf>
    <xf numFmtId="178" fontId="16" fillId="2" borderId="7" xfId="0" applyNumberFormat="1" applyFont="1" applyFill="1" applyBorder="1" applyAlignment="1">
      <alignment horizontal="right" vertical="center"/>
    </xf>
    <xf numFmtId="178" fontId="16" fillId="2" borderId="7" xfId="0" applyNumberFormat="1" applyFont="1" applyFill="1" applyBorder="1" applyAlignment="1">
      <alignment horizontal="right" vertical="center" wrapText="1"/>
    </xf>
    <xf numFmtId="0" fontId="16" fillId="2" borderId="7" xfId="0" applyFont="1" applyFill="1" applyBorder="1" applyAlignment="1">
      <alignment vertical="center" wrapText="1"/>
    </xf>
    <xf numFmtId="0" fontId="16" fillId="2" borderId="7" xfId="0" applyFont="1" applyFill="1" applyBorder="1" applyAlignment="1">
      <alignment horizontal="center" vertical="center"/>
    </xf>
    <xf numFmtId="178" fontId="47" fillId="2" borderId="0" xfId="0" applyNumberFormat="1" applyFont="1" applyFill="1" applyBorder="1" applyAlignment="1">
      <alignment horizontal="right" vertical="center" wrapText="1"/>
    </xf>
    <xf numFmtId="0" fontId="47" fillId="2" borderId="0" xfId="0" applyFont="1" applyFill="1" applyBorder="1" applyAlignment="1">
      <alignment vertical="center" wrapText="1"/>
    </xf>
    <xf numFmtId="178" fontId="47" fillId="2" borderId="0" xfId="0" applyNumberFormat="1" applyFont="1" applyFill="1" applyBorder="1" applyAlignment="1">
      <alignment vertical="center" wrapText="1"/>
    </xf>
    <xf numFmtId="0" fontId="47" fillId="2" borderId="0" xfId="0" applyFont="1" applyFill="1" applyBorder="1" applyAlignment="1">
      <alignment horizontal="center" vertical="center"/>
    </xf>
    <xf numFmtId="41" fontId="47" fillId="2" borderId="2" xfId="2" applyFont="1" applyFill="1" applyBorder="1" applyAlignment="1">
      <alignment vertical="center"/>
    </xf>
    <xf numFmtId="177" fontId="47" fillId="2" borderId="2" xfId="0" applyNumberFormat="1" applyFont="1" applyFill="1" applyBorder="1" applyAlignment="1">
      <alignment vertical="center" shrinkToFit="1"/>
    </xf>
    <xf numFmtId="0" fontId="47" fillId="2" borderId="12" xfId="0" applyFont="1" applyFill="1" applyBorder="1" applyAlignment="1">
      <alignment vertical="center"/>
    </xf>
    <xf numFmtId="178" fontId="47" fillId="2" borderId="0" xfId="0" applyNumberFormat="1" applyFont="1" applyFill="1" applyBorder="1" applyAlignment="1">
      <alignment horizontal="right" vertical="center"/>
    </xf>
    <xf numFmtId="178" fontId="47" fillId="2" borderId="0" xfId="0" applyNumberFormat="1" applyFont="1" applyFill="1" applyBorder="1" applyAlignment="1">
      <alignment vertical="center"/>
    </xf>
    <xf numFmtId="177" fontId="47" fillId="2" borderId="4" xfId="0" applyNumberFormat="1" applyFont="1" applyFill="1" applyBorder="1" applyAlignment="1">
      <alignment vertical="center"/>
    </xf>
    <xf numFmtId="41" fontId="23" fillId="2" borderId="16" xfId="2" applyFont="1" applyFill="1" applyBorder="1" applyAlignment="1">
      <alignment vertical="center"/>
    </xf>
    <xf numFmtId="41" fontId="23" fillId="2" borderId="10" xfId="2" applyFont="1" applyFill="1" applyBorder="1" applyAlignment="1">
      <alignment vertical="center"/>
    </xf>
    <xf numFmtId="178" fontId="16" fillId="2" borderId="13" xfId="2" applyNumberFormat="1" applyFont="1" applyFill="1" applyBorder="1" applyAlignment="1">
      <alignment horizontal="right" vertical="center" shrinkToFit="1"/>
    </xf>
    <xf numFmtId="41" fontId="16" fillId="2" borderId="30" xfId="2" applyFont="1" applyFill="1" applyBorder="1" applyAlignment="1">
      <alignment vertical="center" wrapText="1"/>
    </xf>
    <xf numFmtId="41" fontId="16" fillId="2" borderId="30" xfId="2" applyFont="1" applyFill="1" applyBorder="1" applyAlignment="1">
      <alignment horizontal="left" vertical="center"/>
    </xf>
    <xf numFmtId="41" fontId="16" fillId="2" borderId="30" xfId="2" applyFont="1" applyFill="1" applyBorder="1" applyAlignment="1">
      <alignment vertical="center"/>
    </xf>
    <xf numFmtId="41" fontId="13" fillId="2" borderId="0" xfId="2" applyFont="1" applyFill="1" applyBorder="1" applyAlignment="1">
      <alignment vertical="center"/>
    </xf>
    <xf numFmtId="0" fontId="16" fillId="2" borderId="10" xfId="0" applyFont="1" applyFill="1" applyBorder="1" applyAlignment="1">
      <alignment horizontal="left" vertical="center" shrinkToFit="1"/>
    </xf>
    <xf numFmtId="0" fontId="16" fillId="2" borderId="26" xfId="0" applyFont="1" applyFill="1" applyBorder="1" applyAlignment="1">
      <alignment horizontal="left" vertical="center" shrinkToFit="1"/>
    </xf>
    <xf numFmtId="178" fontId="16" fillId="2" borderId="10" xfId="2" applyNumberFormat="1" applyFont="1" applyFill="1" applyBorder="1" applyAlignment="1">
      <alignment horizontal="right" vertical="center" shrinkToFit="1"/>
    </xf>
    <xf numFmtId="177" fontId="16" fillId="2" borderId="3" xfId="2" applyNumberFormat="1" applyFont="1" applyFill="1" applyBorder="1" applyAlignment="1">
      <alignment vertical="center"/>
    </xf>
    <xf numFmtId="41" fontId="16" fillId="2" borderId="0" xfId="2" applyFont="1" applyFill="1" applyBorder="1" applyAlignment="1">
      <alignment horizontal="right" vertical="center" wrapText="1"/>
    </xf>
    <xf numFmtId="3" fontId="16" fillId="2" borderId="0" xfId="0" applyNumberFormat="1" applyFont="1" applyFill="1" applyBorder="1" applyAlignment="1">
      <alignment vertical="center" wrapText="1"/>
    </xf>
    <xf numFmtId="41" fontId="16" fillId="2" borderId="0" xfId="2" applyFont="1" applyFill="1" applyBorder="1" applyAlignment="1">
      <alignment vertical="center" wrapText="1"/>
    </xf>
    <xf numFmtId="178" fontId="16" fillId="2" borderId="0" xfId="0" applyNumberFormat="1" applyFont="1" applyFill="1" applyBorder="1" applyAlignment="1">
      <alignment horizontal="left" vertical="center"/>
    </xf>
    <xf numFmtId="178" fontId="16" fillId="2" borderId="2" xfId="2" applyNumberFormat="1" applyFont="1" applyFill="1" applyBorder="1" applyAlignment="1">
      <alignment horizontal="right" vertical="center" shrinkToFit="1"/>
    </xf>
    <xf numFmtId="41" fontId="13" fillId="2" borderId="12" xfId="2" applyFont="1" applyFill="1" applyBorder="1" applyAlignment="1">
      <alignment vertical="center"/>
    </xf>
    <xf numFmtId="0" fontId="16" fillId="2" borderId="14" xfId="0" applyFont="1" applyFill="1" applyBorder="1" applyAlignment="1">
      <alignment horizontal="left" vertical="center" shrinkToFit="1"/>
    </xf>
    <xf numFmtId="177" fontId="16" fillId="2" borderId="4" xfId="2" applyNumberFormat="1" applyFont="1" applyFill="1" applyBorder="1" applyAlignment="1">
      <alignment vertical="center"/>
    </xf>
    <xf numFmtId="178" fontId="16" fillId="2" borderId="7" xfId="0" applyNumberFormat="1" applyFont="1" applyFill="1" applyBorder="1" applyAlignment="1">
      <alignment horizontal="left" vertical="center"/>
    </xf>
    <xf numFmtId="41" fontId="16" fillId="2" borderId="7" xfId="2" applyFont="1" applyFill="1" applyBorder="1" applyAlignment="1">
      <alignment vertical="center"/>
    </xf>
    <xf numFmtId="41" fontId="13" fillId="2" borderId="7" xfId="2" applyFont="1" applyFill="1" applyBorder="1" applyAlignment="1">
      <alignment vertical="center"/>
    </xf>
    <xf numFmtId="178" fontId="16" fillId="2" borderId="4" xfId="2" applyNumberFormat="1" applyFont="1" applyFill="1" applyBorder="1" applyAlignment="1">
      <alignment horizontal="right" vertical="center" shrinkToFit="1"/>
    </xf>
    <xf numFmtId="0" fontId="23" fillId="2" borderId="8" xfId="0" applyFont="1" applyFill="1" applyBorder="1" applyAlignment="1">
      <alignment vertical="center"/>
    </xf>
    <xf numFmtId="0" fontId="23" fillId="2" borderId="26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178" fontId="16" fillId="2" borderId="13" xfId="2" applyNumberFormat="1" applyFont="1" applyFill="1" applyBorder="1" applyAlignment="1">
      <alignment horizontal="right" vertical="center"/>
    </xf>
    <xf numFmtId="3" fontId="16" fillId="2" borderId="7" xfId="0" applyNumberFormat="1" applyFont="1" applyFill="1" applyBorder="1" applyAlignment="1">
      <alignment vertical="center" wrapText="1"/>
    </xf>
    <xf numFmtId="178" fontId="16" fillId="2" borderId="4" xfId="0" applyNumberFormat="1" applyFont="1" applyFill="1" applyBorder="1" applyAlignment="1">
      <alignment horizontal="right" vertical="center"/>
    </xf>
    <xf numFmtId="178" fontId="16" fillId="2" borderId="4" xfId="2" applyNumberFormat="1" applyFont="1" applyFill="1" applyBorder="1" applyAlignment="1">
      <alignment vertical="center"/>
    </xf>
    <xf numFmtId="178" fontId="16" fillId="2" borderId="14" xfId="6" applyNumberFormat="1" applyFont="1" applyFill="1" applyBorder="1" applyAlignment="1">
      <alignment vertical="center"/>
    </xf>
    <xf numFmtId="177" fontId="16" fillId="2" borderId="36" xfId="6" applyNumberFormat="1" applyFont="1" applyFill="1" applyBorder="1" applyAlignment="1">
      <alignment vertical="center"/>
    </xf>
    <xf numFmtId="0" fontId="16" fillId="2" borderId="7" xfId="0" quotePrefix="1" applyFont="1" applyFill="1" applyBorder="1" applyAlignment="1">
      <alignment horizontal="center" vertical="center"/>
    </xf>
    <xf numFmtId="178" fontId="16" fillId="2" borderId="4" xfId="0" applyNumberFormat="1" applyFont="1" applyFill="1" applyBorder="1" applyAlignment="1">
      <alignment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vertical="center"/>
    </xf>
    <xf numFmtId="3" fontId="16" fillId="2" borderId="25" xfId="0" applyNumberFormat="1" applyFont="1" applyFill="1" applyBorder="1" applyAlignment="1">
      <alignment vertical="center"/>
    </xf>
    <xf numFmtId="178" fontId="16" fillId="2" borderId="25" xfId="0" applyNumberFormat="1" applyFont="1" applyFill="1" applyBorder="1" applyAlignment="1">
      <alignment vertical="center"/>
    </xf>
    <xf numFmtId="177" fontId="16" fillId="2" borderId="25" xfId="6" applyNumberFormat="1" applyFont="1" applyFill="1" applyBorder="1" applyAlignment="1">
      <alignment vertical="center"/>
    </xf>
    <xf numFmtId="177" fontId="16" fillId="2" borderId="40" xfId="6" applyNumberFormat="1" applyFont="1" applyFill="1" applyBorder="1" applyAlignment="1">
      <alignment vertical="center"/>
    </xf>
    <xf numFmtId="3" fontId="16" fillId="2" borderId="1" xfId="0" applyNumberFormat="1" applyFont="1" applyFill="1" applyBorder="1" applyAlignment="1">
      <alignment vertical="center"/>
    </xf>
    <xf numFmtId="3" fontId="16" fillId="2" borderId="1" xfId="0" applyNumberFormat="1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center" vertical="center"/>
    </xf>
    <xf numFmtId="178" fontId="16" fillId="2" borderId="5" xfId="2" applyNumberFormat="1" applyFont="1" applyFill="1" applyBorder="1" applyAlignment="1">
      <alignment vertical="center"/>
    </xf>
    <xf numFmtId="178" fontId="16" fillId="2" borderId="5" xfId="0" applyNumberFormat="1" applyFont="1" applyFill="1" applyBorder="1" applyAlignment="1">
      <alignment vertical="center"/>
    </xf>
    <xf numFmtId="0" fontId="33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41" fontId="17" fillId="0" borderId="0" xfId="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vertical="center"/>
    </xf>
    <xf numFmtId="177" fontId="16" fillId="2" borderId="2" xfId="0" applyNumberFormat="1" applyFont="1" applyFill="1" applyBorder="1" applyAlignment="1">
      <alignment vertical="center" shrinkToFit="1"/>
    </xf>
    <xf numFmtId="177" fontId="47" fillId="2" borderId="2" xfId="0" applyNumberFormat="1" applyFont="1" applyFill="1" applyBorder="1" applyAlignment="1">
      <alignment vertical="center"/>
    </xf>
    <xf numFmtId="0" fontId="47" fillId="2" borderId="16" xfId="0" applyFont="1" applyFill="1" applyBorder="1" applyAlignment="1">
      <alignment vertical="center"/>
    </xf>
    <xf numFmtId="0" fontId="47" fillId="2" borderId="0" xfId="0" applyFont="1" applyFill="1" applyBorder="1" applyAlignment="1">
      <alignment horizontal="center" vertical="center" wrapText="1"/>
    </xf>
    <xf numFmtId="41" fontId="0" fillId="2" borderId="0" xfId="2" applyFont="1" applyFill="1"/>
    <xf numFmtId="41" fontId="0" fillId="2" borderId="0" xfId="2" applyFont="1" applyFill="1" applyBorder="1"/>
    <xf numFmtId="43" fontId="48" fillId="0" borderId="0" xfId="0" applyNumberFormat="1" applyFont="1" applyFill="1"/>
    <xf numFmtId="0" fontId="0" fillId="0" borderId="0" xfId="0" applyFont="1" applyFill="1" applyBorder="1" applyAlignment="1">
      <alignment vertical="center"/>
    </xf>
    <xf numFmtId="184" fontId="17" fillId="0" borderId="0" xfId="0" applyNumberFormat="1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/>
    </xf>
    <xf numFmtId="41" fontId="19" fillId="0" borderId="13" xfId="2" applyFont="1" applyFill="1" applyBorder="1" applyAlignment="1">
      <alignment horizontal="center" vertical="center"/>
    </xf>
    <xf numFmtId="41" fontId="19" fillId="0" borderId="0" xfId="2" applyFont="1" applyFill="1" applyBorder="1" applyAlignment="1">
      <alignment vertical="center"/>
    </xf>
    <xf numFmtId="41" fontId="17" fillId="0" borderId="0" xfId="0" applyNumberFormat="1" applyFont="1" applyFill="1" applyBorder="1" applyAlignment="1">
      <alignment horizontal="center" vertical="center"/>
    </xf>
    <xf numFmtId="184" fontId="19" fillId="0" borderId="12" xfId="2" applyNumberFormat="1" applyFont="1" applyFill="1" applyBorder="1" applyAlignment="1">
      <alignment horizontal="right" vertical="center"/>
    </xf>
    <xf numFmtId="184" fontId="19" fillId="0" borderId="62" xfId="2" applyNumberFormat="1" applyFont="1" applyFill="1" applyBorder="1" applyAlignment="1">
      <alignment horizontal="right" vertical="center"/>
    </xf>
    <xf numFmtId="177" fontId="16" fillId="0" borderId="46" xfId="6" applyNumberFormat="1" applyFont="1" applyFill="1" applyBorder="1" applyAlignment="1">
      <alignment horizontal="center" vertical="center"/>
    </xf>
    <xf numFmtId="41" fontId="18" fillId="0" borderId="0" xfId="2" applyFont="1" applyFill="1" applyBorder="1" applyAlignment="1">
      <alignment horizontal="left" vertical="center"/>
    </xf>
    <xf numFmtId="3" fontId="18" fillId="0" borderId="0" xfId="6" applyNumberFormat="1" applyFont="1" applyFill="1" applyAlignment="1">
      <alignment horizontal="left" vertical="center"/>
    </xf>
    <xf numFmtId="177" fontId="16" fillId="0" borderId="4" xfId="2" applyNumberFormat="1" applyFont="1" applyFill="1" applyBorder="1" applyAlignment="1">
      <alignment horizontal="left" vertical="center"/>
    </xf>
    <xf numFmtId="3" fontId="45" fillId="0" borderId="0" xfId="6" applyNumberFormat="1" applyFont="1" applyFill="1" applyBorder="1" applyAlignment="1">
      <alignment horizontal="center" vertical="center"/>
    </xf>
    <xf numFmtId="3" fontId="45" fillId="0" borderId="0" xfId="6" applyNumberFormat="1" applyFont="1" applyFill="1" applyBorder="1" applyAlignment="1">
      <alignment horizontal="left" vertical="center"/>
    </xf>
    <xf numFmtId="41" fontId="45" fillId="0" borderId="0" xfId="2" applyFont="1" applyFill="1" applyBorder="1" applyAlignment="1">
      <alignment horizontal="left" vertical="center"/>
    </xf>
    <xf numFmtId="41" fontId="16" fillId="0" borderId="3" xfId="2" applyFont="1" applyFill="1" applyBorder="1" applyAlignment="1">
      <alignment horizontal="left" vertical="center"/>
    </xf>
    <xf numFmtId="0" fontId="78" fillId="0" borderId="0" xfId="6" applyFont="1" applyFill="1" applyAlignment="1">
      <alignment vertical="center"/>
    </xf>
    <xf numFmtId="41" fontId="18" fillId="0" borderId="15" xfId="2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0" fontId="13" fillId="0" borderId="0" xfId="0" applyFont="1" applyFill="1"/>
    <xf numFmtId="3" fontId="16" fillId="0" borderId="28" xfId="6" applyNumberFormat="1" applyFont="1" applyFill="1" applyBorder="1" applyAlignment="1">
      <alignment vertical="center"/>
    </xf>
    <xf numFmtId="0" fontId="17" fillId="0" borderId="11" xfId="6" applyFont="1" applyFill="1" applyBorder="1" applyAlignment="1">
      <alignment vertical="center"/>
    </xf>
    <xf numFmtId="0" fontId="17" fillId="0" borderId="25" xfId="6" applyFont="1" applyFill="1" applyBorder="1" applyAlignment="1">
      <alignment vertical="center"/>
    </xf>
    <xf numFmtId="177" fontId="17" fillId="0" borderId="0" xfId="6" applyNumberFormat="1" applyFont="1" applyFill="1" applyAlignment="1">
      <alignment vertical="center"/>
    </xf>
    <xf numFmtId="3" fontId="18" fillId="2" borderId="7" xfId="6" applyNumberFormat="1" applyFont="1" applyFill="1" applyBorder="1" applyAlignment="1">
      <alignment horizontal="left" vertical="center"/>
    </xf>
    <xf numFmtId="177" fontId="18" fillId="2" borderId="38" xfId="6" applyNumberFormat="1" applyFont="1" applyFill="1" applyBorder="1" applyAlignment="1">
      <alignment horizontal="right" vertical="center"/>
    </xf>
    <xf numFmtId="177" fontId="18" fillId="2" borderId="39" xfId="6" applyNumberFormat="1" applyFont="1" applyFill="1" applyBorder="1" applyAlignment="1">
      <alignment horizontal="right" vertical="center"/>
    </xf>
    <xf numFmtId="177" fontId="16" fillId="2" borderId="14" xfId="6" applyNumberFormat="1" applyFont="1" applyFill="1" applyBorder="1" applyAlignment="1">
      <alignment horizontal="right" vertical="center"/>
    </xf>
    <xf numFmtId="177" fontId="16" fillId="2" borderId="10" xfId="6" applyNumberFormat="1" applyFont="1" applyFill="1" applyBorder="1" applyAlignment="1">
      <alignment horizontal="right" vertical="center"/>
    </xf>
    <xf numFmtId="177" fontId="16" fillId="2" borderId="13" xfId="0" applyNumberFormat="1" applyFont="1" applyFill="1" applyBorder="1" applyAlignment="1">
      <alignment horizontal="right" vertical="center"/>
    </xf>
    <xf numFmtId="177" fontId="16" fillId="2" borderId="14" xfId="0" applyNumberFormat="1" applyFont="1" applyFill="1" applyBorder="1" applyAlignment="1">
      <alignment horizontal="right" vertical="center"/>
    </xf>
    <xf numFmtId="184" fontId="17" fillId="2" borderId="0" xfId="6" applyNumberFormat="1" applyFont="1" applyFill="1" applyAlignment="1">
      <alignment horizontal="right" vertical="center"/>
    </xf>
    <xf numFmtId="177" fontId="16" fillId="2" borderId="19" xfId="6" applyNumberFormat="1" applyFont="1" applyFill="1" applyBorder="1" applyAlignment="1">
      <alignment horizontal="right" vertical="center"/>
    </xf>
    <xf numFmtId="177" fontId="16" fillId="0" borderId="70" xfId="6" applyNumberFormat="1" applyFont="1" applyFill="1" applyBorder="1" applyAlignment="1">
      <alignment vertical="center"/>
    </xf>
    <xf numFmtId="0" fontId="16" fillId="0" borderId="0" xfId="6" applyFont="1" applyFill="1" applyAlignment="1">
      <alignment horizontal="center" vertical="center"/>
    </xf>
    <xf numFmtId="0" fontId="13" fillId="0" borderId="0" xfId="6" applyFont="1" applyFill="1" applyAlignment="1">
      <alignment horizontal="center" vertical="center"/>
    </xf>
    <xf numFmtId="3" fontId="16" fillId="0" borderId="0" xfId="6" applyNumberFormat="1" applyFont="1" applyFill="1" applyAlignment="1">
      <alignment horizontal="center" vertical="center"/>
    </xf>
    <xf numFmtId="3" fontId="18" fillId="0" borderId="0" xfId="6" applyNumberFormat="1" applyFont="1" applyFill="1" applyAlignment="1">
      <alignment horizontal="center" vertical="center"/>
    </xf>
    <xf numFmtId="0" fontId="78" fillId="0" borderId="0" xfId="6" applyFont="1" applyFill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3" fontId="18" fillId="0" borderId="0" xfId="6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177" fontId="16" fillId="0" borderId="46" xfId="2" applyNumberFormat="1" applyFont="1" applyFill="1" applyBorder="1" applyAlignment="1">
      <alignment horizontal="left" vertical="center"/>
    </xf>
    <xf numFmtId="41" fontId="16" fillId="0" borderId="53" xfId="2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6" fillId="0" borderId="14" xfId="6" applyNumberFormat="1" applyFont="1" applyFill="1" applyBorder="1" applyAlignment="1">
      <alignment horizontal="center" vertical="center"/>
    </xf>
    <xf numFmtId="177" fontId="16" fillId="2" borderId="9" xfId="6" applyNumberFormat="1" applyFont="1" applyFill="1" applyBorder="1" applyAlignment="1">
      <alignment horizontal="right" vertical="center"/>
    </xf>
    <xf numFmtId="0" fontId="17" fillId="0" borderId="9" xfId="6" applyFont="1" applyFill="1" applyBorder="1" applyAlignment="1">
      <alignment vertical="center"/>
    </xf>
    <xf numFmtId="0" fontId="17" fillId="0" borderId="14" xfId="6" applyFont="1" applyFill="1" applyBorder="1" applyAlignment="1">
      <alignment vertical="center"/>
    </xf>
    <xf numFmtId="3" fontId="18" fillId="0" borderId="107" xfId="6" applyNumberFormat="1" applyFont="1" applyFill="1" applyBorder="1" applyAlignment="1">
      <alignment horizontal="left" vertical="center"/>
    </xf>
    <xf numFmtId="177" fontId="18" fillId="2" borderId="39" xfId="0" applyNumberFormat="1" applyFont="1" applyFill="1" applyBorder="1" applyAlignment="1">
      <alignment horizontal="right" vertical="center"/>
    </xf>
    <xf numFmtId="177" fontId="18" fillId="2" borderId="62" xfId="0" applyNumberFormat="1" applyFont="1" applyFill="1" applyBorder="1" applyAlignment="1">
      <alignment horizontal="right" vertical="center"/>
    </xf>
    <xf numFmtId="177" fontId="18" fillId="2" borderId="10" xfId="0" applyNumberFormat="1" applyFont="1" applyFill="1" applyBorder="1" applyAlignment="1">
      <alignment horizontal="right" vertical="center"/>
    </xf>
    <xf numFmtId="3" fontId="47" fillId="2" borderId="8" xfId="6" applyNumberFormat="1" applyFont="1" applyFill="1" applyBorder="1">
      <alignment vertical="center"/>
    </xf>
    <xf numFmtId="3" fontId="47" fillId="2" borderId="10" xfId="6" applyNumberFormat="1" applyFont="1" applyFill="1" applyBorder="1">
      <alignment vertical="center"/>
    </xf>
    <xf numFmtId="3" fontId="47" fillId="2" borderId="10" xfId="6" applyNumberFormat="1" applyFont="1" applyFill="1" applyBorder="1" applyAlignment="1">
      <alignment vertical="center"/>
    </xf>
    <xf numFmtId="3" fontId="47" fillId="2" borderId="9" xfId="6" applyNumberFormat="1" applyFont="1" applyFill="1" applyBorder="1" applyAlignment="1">
      <alignment vertical="center"/>
    </xf>
    <xf numFmtId="177" fontId="47" fillId="2" borderId="9" xfId="2" applyNumberFormat="1" applyFont="1" applyFill="1" applyBorder="1" applyAlignment="1">
      <alignment horizontal="right" vertical="center"/>
    </xf>
    <xf numFmtId="177" fontId="47" fillId="2" borderId="34" xfId="2" applyNumberFormat="1" applyFont="1" applyFill="1" applyBorder="1" applyAlignment="1">
      <alignment horizontal="right" vertical="center"/>
    </xf>
    <xf numFmtId="3" fontId="47" fillId="2" borderId="12" xfId="6" applyNumberFormat="1" applyFont="1" applyFill="1" applyBorder="1">
      <alignment vertical="center"/>
    </xf>
    <xf numFmtId="3" fontId="47" fillId="2" borderId="24" xfId="6" applyNumberFormat="1" applyFont="1" applyFill="1" applyBorder="1" applyAlignment="1">
      <alignment vertical="center"/>
    </xf>
    <xf numFmtId="3" fontId="47" fillId="2" borderId="6" xfId="6" applyNumberFormat="1" applyFont="1" applyFill="1" applyBorder="1" applyAlignment="1">
      <alignment vertical="center"/>
    </xf>
    <xf numFmtId="3" fontId="47" fillId="2" borderId="6" xfId="2" applyNumberFormat="1" applyFont="1" applyFill="1" applyBorder="1" applyAlignment="1">
      <alignment vertical="center"/>
    </xf>
    <xf numFmtId="3" fontId="47" fillId="2" borderId="6" xfId="6" applyNumberFormat="1" applyFont="1" applyFill="1" applyBorder="1" applyAlignment="1">
      <alignment horizontal="right" vertical="center"/>
    </xf>
    <xf numFmtId="3" fontId="47" fillId="2" borderId="6" xfId="6" applyNumberFormat="1" applyFont="1" applyFill="1" applyBorder="1" applyAlignment="1">
      <alignment horizontal="center" vertical="center"/>
    </xf>
    <xf numFmtId="3" fontId="47" fillId="2" borderId="3" xfId="2" applyNumberFormat="1" applyFont="1" applyFill="1" applyBorder="1" applyAlignment="1">
      <alignment vertical="center"/>
    </xf>
    <xf numFmtId="3" fontId="47" fillId="2" borderId="3" xfId="6" applyNumberFormat="1" applyFont="1" applyFill="1" applyBorder="1" applyAlignment="1">
      <alignment vertical="center"/>
    </xf>
    <xf numFmtId="41" fontId="47" fillId="2" borderId="0" xfId="2" applyFont="1" applyFill="1"/>
    <xf numFmtId="177" fontId="47" fillId="2" borderId="10" xfId="2" applyNumberFormat="1" applyFont="1" applyFill="1" applyBorder="1" applyAlignment="1">
      <alignment horizontal="right" vertical="center"/>
    </xf>
    <xf numFmtId="177" fontId="47" fillId="2" borderId="35" xfId="2" applyNumberFormat="1" applyFont="1" applyFill="1" applyBorder="1" applyAlignment="1">
      <alignment horizontal="right" vertical="center"/>
    </xf>
    <xf numFmtId="3" fontId="47" fillId="2" borderId="16" xfId="6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right" vertical="center"/>
    </xf>
    <xf numFmtId="3" fontId="47" fillId="2" borderId="0" xfId="6" applyNumberFormat="1" applyFont="1" applyFill="1" applyBorder="1" applyAlignment="1">
      <alignment horizontal="center" vertical="center"/>
    </xf>
    <xf numFmtId="3" fontId="47" fillId="2" borderId="2" xfId="2" applyNumberFormat="1" applyFont="1" applyFill="1" applyBorder="1" applyAlignment="1">
      <alignment vertical="center"/>
    </xf>
    <xf numFmtId="3" fontId="47" fillId="2" borderId="2" xfId="6" applyNumberFormat="1" applyFont="1" applyFill="1" applyBorder="1" applyAlignment="1">
      <alignment vertical="center"/>
    </xf>
    <xf numFmtId="3" fontId="47" fillId="2" borderId="58" xfId="6" applyNumberFormat="1" applyFont="1" applyFill="1" applyBorder="1">
      <alignment vertical="center"/>
    </xf>
    <xf numFmtId="41" fontId="0" fillId="0" borderId="1" xfId="2" applyFont="1" applyFill="1" applyBorder="1" applyAlignment="1">
      <alignment vertical="center"/>
    </xf>
    <xf numFmtId="0" fontId="28" fillId="0" borderId="0" xfId="0" applyFont="1" applyFill="1" applyAlignment="1">
      <alignment horizontal="center"/>
    </xf>
    <xf numFmtId="0" fontId="19" fillId="0" borderId="45" xfId="0" applyNumberFormat="1" applyFont="1" applyFill="1" applyBorder="1" applyAlignment="1">
      <alignment horizontal="center" vertical="center"/>
    </xf>
    <xf numFmtId="0" fontId="19" fillId="0" borderId="49" xfId="0" applyNumberFormat="1" applyFont="1" applyFill="1" applyBorder="1" applyAlignment="1">
      <alignment horizontal="center" vertical="center"/>
    </xf>
    <xf numFmtId="41" fontId="17" fillId="0" borderId="0" xfId="2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47" fillId="0" borderId="30" xfId="0" applyFont="1" applyFill="1" applyBorder="1" applyAlignment="1">
      <alignment vertical="center"/>
    </xf>
    <xf numFmtId="0" fontId="47" fillId="0" borderId="30" xfId="0" applyFont="1" applyFill="1" applyBorder="1" applyAlignment="1">
      <alignment horizontal="left" vertical="center"/>
    </xf>
    <xf numFmtId="0" fontId="47" fillId="0" borderId="26" xfId="0" applyFont="1" applyFill="1" applyBorder="1" applyAlignment="1">
      <alignment horizontal="left" vertical="center"/>
    </xf>
    <xf numFmtId="0" fontId="28" fillId="0" borderId="0" xfId="0" applyFont="1" applyFill="1" applyAlignment="1">
      <alignment horizontal="center"/>
    </xf>
    <xf numFmtId="38" fontId="16" fillId="2" borderId="0" xfId="0" applyNumberFormat="1" applyFont="1" applyFill="1" applyAlignment="1">
      <alignment horizontal="center" vertical="center"/>
    </xf>
    <xf numFmtId="49" fontId="16" fillId="2" borderId="0" xfId="0" applyNumberFormat="1" applyFont="1" applyFill="1" applyBorder="1" applyAlignment="1">
      <alignment vertical="center"/>
    </xf>
    <xf numFmtId="177" fontId="16" fillId="2" borderId="0" xfId="2" applyNumberFormat="1" applyFont="1" applyFill="1" applyBorder="1" applyAlignment="1">
      <alignment horizontal="right" vertical="center"/>
    </xf>
    <xf numFmtId="49" fontId="16" fillId="2" borderId="0" xfId="2" applyNumberFormat="1" applyFont="1" applyFill="1" applyBorder="1" applyAlignment="1">
      <alignment horizontal="right" vertical="center"/>
    </xf>
    <xf numFmtId="49" fontId="16" fillId="2" borderId="0" xfId="2" applyNumberFormat="1" applyFont="1" applyFill="1" applyBorder="1" applyAlignment="1">
      <alignment vertical="center"/>
    </xf>
    <xf numFmtId="49" fontId="16" fillId="2" borderId="0" xfId="0" applyNumberFormat="1" applyFont="1" applyFill="1" applyBorder="1" applyAlignment="1">
      <alignment horizontal="right" vertical="center"/>
    </xf>
    <xf numFmtId="41" fontId="16" fillId="2" borderId="17" xfId="0" applyNumberFormat="1" applyFont="1" applyFill="1" applyBorder="1" applyAlignment="1">
      <alignment vertical="center"/>
    </xf>
    <xf numFmtId="3" fontId="16" fillId="2" borderId="18" xfId="0" applyNumberFormat="1" applyFont="1" applyFill="1" applyBorder="1" applyAlignment="1">
      <alignment horizontal="center" vertical="center"/>
    </xf>
    <xf numFmtId="3" fontId="16" fillId="2" borderId="51" xfId="0" applyNumberFormat="1" applyFont="1" applyFill="1" applyBorder="1" applyAlignment="1">
      <alignment horizontal="center" vertical="center"/>
    </xf>
    <xf numFmtId="3" fontId="16" fillId="2" borderId="19" xfId="0" applyNumberFormat="1" applyFont="1" applyFill="1" applyBorder="1" applyAlignment="1">
      <alignment horizontal="center" vertical="center"/>
    </xf>
    <xf numFmtId="3" fontId="16" fillId="2" borderId="12" xfId="0" applyNumberFormat="1" applyFont="1" applyFill="1" applyBorder="1" applyAlignment="1">
      <alignment vertical="center"/>
    </xf>
    <xf numFmtId="3" fontId="16" fillId="2" borderId="2" xfId="0" applyNumberFormat="1" applyFont="1" applyFill="1" applyBorder="1" applyAlignment="1">
      <alignment vertical="center"/>
    </xf>
    <xf numFmtId="3" fontId="16" fillId="2" borderId="0" xfId="0" applyNumberFormat="1" applyFont="1" applyFill="1" applyAlignment="1">
      <alignment vertical="center"/>
    </xf>
    <xf numFmtId="41" fontId="16" fillId="2" borderId="25" xfId="2" applyFont="1" applyFill="1" applyBorder="1" applyAlignment="1">
      <alignment horizontal="center" vertical="center"/>
    </xf>
    <xf numFmtId="0" fontId="50" fillId="2" borderId="47" xfId="0" applyFont="1" applyFill="1" applyBorder="1" applyAlignment="1">
      <alignment vertical="center"/>
    </xf>
    <xf numFmtId="0" fontId="50" fillId="2" borderId="54" xfId="0" applyFont="1" applyFill="1" applyBorder="1" applyAlignment="1">
      <alignment vertical="center"/>
    </xf>
    <xf numFmtId="0" fontId="50" fillId="2" borderId="45" xfId="0" applyFont="1" applyFill="1" applyBorder="1" applyAlignment="1">
      <alignment vertical="center"/>
    </xf>
    <xf numFmtId="0" fontId="50" fillId="2" borderId="49" xfId="0" applyFont="1" applyFill="1" applyBorder="1" applyAlignment="1">
      <alignment vertical="center"/>
    </xf>
    <xf numFmtId="178" fontId="50" fillId="2" borderId="39" xfId="2" applyNumberFormat="1" applyFont="1" applyFill="1" applyBorder="1" applyAlignment="1">
      <alignment vertical="center"/>
    </xf>
    <xf numFmtId="177" fontId="50" fillId="2" borderId="62" xfId="2" applyNumberFormat="1" applyFont="1" applyFill="1" applyBorder="1" applyAlignment="1">
      <alignment vertical="center"/>
    </xf>
    <xf numFmtId="177" fontId="50" fillId="2" borderId="12" xfId="0" applyNumberFormat="1" applyFont="1" applyFill="1" applyBorder="1" applyAlignment="1">
      <alignment vertical="center"/>
    </xf>
    <xf numFmtId="49" fontId="47" fillId="2" borderId="44" xfId="0" applyNumberFormat="1" applyFont="1" applyFill="1" applyBorder="1" applyAlignment="1">
      <alignment vertical="center"/>
    </xf>
    <xf numFmtId="49" fontId="47" fillId="2" borderId="45" xfId="0" applyNumberFormat="1" applyFont="1" applyFill="1" applyBorder="1" applyAlignment="1">
      <alignment vertical="center"/>
    </xf>
    <xf numFmtId="49" fontId="47" fillId="2" borderId="45" xfId="0" applyNumberFormat="1" applyFont="1" applyFill="1" applyBorder="1" applyAlignment="1">
      <alignment horizontal="left" vertical="center"/>
    </xf>
    <xf numFmtId="49" fontId="47" fillId="2" borderId="45" xfId="0" applyNumberFormat="1" applyFont="1" applyFill="1" applyBorder="1" applyAlignment="1">
      <alignment horizontal="right" vertical="center"/>
    </xf>
    <xf numFmtId="0" fontId="47" fillId="2" borderId="45" xfId="0" applyFont="1" applyFill="1" applyBorder="1" applyAlignment="1">
      <alignment horizontal="left" vertical="center"/>
    </xf>
    <xf numFmtId="177" fontId="47" fillId="2" borderId="45" xfId="0" applyNumberFormat="1" applyFont="1" applyFill="1" applyBorder="1" applyAlignment="1">
      <alignment vertical="center"/>
    </xf>
    <xf numFmtId="0" fontId="47" fillId="2" borderId="45" xfId="0" applyFont="1" applyFill="1" applyBorder="1" applyAlignment="1">
      <alignment vertical="center"/>
    </xf>
    <xf numFmtId="41" fontId="47" fillId="2" borderId="46" xfId="2" applyNumberFormat="1" applyFont="1" applyFill="1" applyBorder="1" applyAlignment="1">
      <alignment vertical="center"/>
    </xf>
    <xf numFmtId="178" fontId="47" fillId="2" borderId="46" xfId="0" applyNumberFormat="1" applyFont="1" applyFill="1" applyBorder="1" applyAlignment="1">
      <alignment vertical="center"/>
    </xf>
    <xf numFmtId="41" fontId="47" fillId="2" borderId="0" xfId="2" applyFont="1" applyFill="1" applyBorder="1" applyAlignment="1">
      <alignment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178" fontId="50" fillId="2" borderId="33" xfId="2" applyNumberFormat="1" applyFont="1" applyFill="1" applyBorder="1" applyAlignment="1">
      <alignment vertical="center"/>
    </xf>
    <xf numFmtId="177" fontId="50" fillId="2" borderId="63" xfId="2" applyNumberFormat="1" applyFont="1" applyFill="1" applyBorder="1" applyAlignment="1">
      <alignment vertical="center"/>
    </xf>
    <xf numFmtId="0" fontId="48" fillId="2" borderId="12" xfId="0" applyFont="1" applyFill="1" applyBorder="1" applyAlignment="1">
      <alignment vertical="center"/>
    </xf>
    <xf numFmtId="49" fontId="47" fillId="2" borderId="48" xfId="0" applyNumberFormat="1" applyFont="1" applyFill="1" applyBorder="1" applyAlignment="1">
      <alignment vertical="center"/>
    </xf>
    <xf numFmtId="49" fontId="47" fillId="2" borderId="50" xfId="0" applyNumberFormat="1" applyFont="1" applyFill="1" applyBorder="1" applyAlignment="1">
      <alignment vertical="center"/>
    </xf>
    <xf numFmtId="49" fontId="47" fillId="2" borderId="50" xfId="0" applyNumberFormat="1" applyFont="1" applyFill="1" applyBorder="1" applyAlignment="1">
      <alignment horizontal="left" vertical="center"/>
    </xf>
    <xf numFmtId="49" fontId="47" fillId="2" borderId="50" xfId="0" applyNumberFormat="1" applyFont="1" applyFill="1" applyBorder="1" applyAlignment="1">
      <alignment horizontal="right" vertical="center"/>
    </xf>
    <xf numFmtId="0" fontId="47" fillId="2" borderId="50" xfId="0" applyFont="1" applyFill="1" applyBorder="1" applyAlignment="1">
      <alignment horizontal="left" vertical="center"/>
    </xf>
    <xf numFmtId="177" fontId="47" fillId="2" borderId="50" xfId="0" applyNumberFormat="1" applyFont="1" applyFill="1" applyBorder="1" applyAlignment="1">
      <alignment vertical="center"/>
    </xf>
    <xf numFmtId="0" fontId="47" fillId="2" borderId="50" xfId="0" applyFont="1" applyFill="1" applyBorder="1" applyAlignment="1">
      <alignment vertical="center"/>
    </xf>
    <xf numFmtId="41" fontId="47" fillId="2" borderId="53" xfId="2" applyNumberFormat="1" applyFont="1" applyFill="1" applyBorder="1" applyAlignment="1">
      <alignment vertical="center"/>
    </xf>
    <xf numFmtId="178" fontId="47" fillId="2" borderId="4" xfId="0" applyNumberFormat="1" applyFont="1" applyFill="1" applyBorder="1" applyAlignment="1">
      <alignment vertical="center"/>
    </xf>
    <xf numFmtId="41" fontId="47" fillId="2" borderId="0" xfId="2" applyFont="1" applyFill="1" applyAlignment="1">
      <alignment vertical="center"/>
    </xf>
    <xf numFmtId="0" fontId="47" fillId="2" borderId="0" xfId="0" applyFont="1" applyFill="1" applyAlignment="1">
      <alignment vertical="center"/>
    </xf>
    <xf numFmtId="177" fontId="47" fillId="2" borderId="13" xfId="0" applyNumberFormat="1" applyFont="1" applyFill="1" applyBorder="1" applyAlignment="1">
      <alignment vertical="center"/>
    </xf>
    <xf numFmtId="177" fontId="47" fillId="2" borderId="56" xfId="0" applyNumberFormat="1" applyFont="1" applyFill="1" applyBorder="1" applyAlignment="1">
      <alignment vertical="center"/>
    </xf>
    <xf numFmtId="49" fontId="47" fillId="2" borderId="29" xfId="0" applyNumberFormat="1" applyFont="1" applyFill="1" applyBorder="1" applyAlignment="1">
      <alignment vertical="center"/>
    </xf>
    <xf numFmtId="49" fontId="47" fillId="2" borderId="30" xfId="0" applyNumberFormat="1" applyFont="1" applyFill="1" applyBorder="1" applyAlignment="1">
      <alignment vertical="center"/>
    </xf>
    <xf numFmtId="49" fontId="47" fillId="2" borderId="30" xfId="0" applyNumberFormat="1" applyFont="1" applyFill="1" applyBorder="1" applyAlignment="1">
      <alignment horizontal="left" vertical="center"/>
    </xf>
    <xf numFmtId="49" fontId="47" fillId="2" borderId="30" xfId="0" applyNumberFormat="1" applyFont="1" applyFill="1" applyBorder="1" applyAlignment="1">
      <alignment horizontal="right" vertical="center"/>
    </xf>
    <xf numFmtId="177" fontId="47" fillId="2" borderId="30" xfId="0" applyNumberFormat="1" applyFont="1" applyFill="1" applyBorder="1" applyAlignment="1">
      <alignment vertical="center"/>
    </xf>
    <xf numFmtId="41" fontId="47" fillId="2" borderId="15" xfId="2" applyNumberFormat="1" applyFont="1" applyFill="1" applyBorder="1" applyAlignment="1">
      <alignment vertical="center"/>
    </xf>
    <xf numFmtId="178" fontId="47" fillId="2" borderId="15" xfId="0" applyNumberFormat="1" applyFont="1" applyFill="1" applyBorder="1" applyAlignment="1">
      <alignment vertical="center"/>
    </xf>
    <xf numFmtId="177" fontId="47" fillId="2" borderId="10" xfId="6" applyNumberFormat="1" applyFont="1" applyFill="1" applyBorder="1" applyAlignment="1">
      <alignment horizontal="right" vertical="center"/>
    </xf>
    <xf numFmtId="177" fontId="47" fillId="2" borderId="34" xfId="0" applyNumberFormat="1" applyFont="1" applyFill="1" applyBorder="1" applyAlignment="1">
      <alignment vertical="center"/>
    </xf>
    <xf numFmtId="49" fontId="47" fillId="2" borderId="16" xfId="6" applyNumberFormat="1" applyFont="1" applyFill="1" applyBorder="1" applyAlignment="1">
      <alignment vertical="center"/>
    </xf>
    <xf numFmtId="49" fontId="47" fillId="2" borderId="0" xfId="6" applyNumberFormat="1" applyFont="1" applyFill="1" applyBorder="1" applyAlignment="1">
      <alignment vertical="center"/>
    </xf>
    <xf numFmtId="49" fontId="47" fillId="2" borderId="0" xfId="2" applyNumberFormat="1" applyFont="1" applyFill="1" applyBorder="1" applyAlignment="1">
      <alignment vertical="center"/>
    </xf>
    <xf numFmtId="49" fontId="47" fillId="2" borderId="0" xfId="6" applyNumberFormat="1" applyFont="1" applyFill="1" applyBorder="1" applyAlignment="1">
      <alignment horizontal="right" vertical="center"/>
    </xf>
    <xf numFmtId="41" fontId="47" fillId="2" borderId="0" xfId="0" applyNumberFormat="1" applyFont="1" applyFill="1" applyBorder="1" applyAlignment="1">
      <alignment horizontal="center" vertical="center"/>
    </xf>
    <xf numFmtId="0" fontId="47" fillId="2" borderId="26" xfId="0" applyFont="1" applyFill="1" applyBorder="1" applyAlignment="1">
      <alignment vertical="center"/>
    </xf>
    <xf numFmtId="177" fontId="47" fillId="2" borderId="35" xfId="6" applyNumberFormat="1" applyFont="1" applyFill="1" applyBorder="1" applyAlignment="1">
      <alignment horizontal="right" vertical="center"/>
    </xf>
    <xf numFmtId="49" fontId="47" fillId="2" borderId="0" xfId="6" applyNumberFormat="1" applyFont="1" applyFill="1" applyBorder="1" applyAlignment="1">
      <alignment horizontal="center" vertical="center"/>
    </xf>
    <xf numFmtId="49" fontId="47" fillId="2" borderId="0" xfId="0" applyNumberFormat="1" applyFont="1" applyFill="1" applyBorder="1" applyAlignment="1">
      <alignment vertical="center"/>
    </xf>
    <xf numFmtId="3" fontId="47" fillId="2" borderId="0" xfId="6" quotePrefix="1" applyNumberFormat="1" applyFont="1" applyFill="1" applyBorder="1" applyAlignment="1">
      <alignment vertical="center"/>
    </xf>
    <xf numFmtId="49" fontId="47" fillId="2" borderId="0" xfId="6" applyNumberFormat="1" applyFont="1" applyFill="1" applyBorder="1" applyAlignment="1">
      <alignment horizontal="left" vertical="center"/>
    </xf>
    <xf numFmtId="49" fontId="47" fillId="2" borderId="0" xfId="2" applyNumberFormat="1" applyFont="1" applyFill="1" applyBorder="1" applyAlignment="1">
      <alignment horizontal="center" vertical="center"/>
    </xf>
    <xf numFmtId="177" fontId="47" fillId="2" borderId="13" xfId="6" applyNumberFormat="1" applyFont="1" applyFill="1" applyBorder="1" applyAlignment="1">
      <alignment horizontal="right" vertical="center"/>
    </xf>
    <xf numFmtId="177" fontId="47" fillId="2" borderId="9" xfId="6" applyNumberFormat="1" applyFont="1" applyFill="1" applyBorder="1" applyAlignment="1">
      <alignment horizontal="right" vertical="center"/>
    </xf>
    <xf numFmtId="177" fontId="47" fillId="2" borderId="34" xfId="6" applyNumberFormat="1" applyFont="1" applyFill="1" applyBorder="1" applyAlignment="1">
      <alignment horizontal="right" vertical="center"/>
    </xf>
    <xf numFmtId="49" fontId="47" fillId="2" borderId="24" xfId="6" applyNumberFormat="1" applyFont="1" applyFill="1" applyBorder="1" applyAlignment="1">
      <alignment vertical="center"/>
    </xf>
    <xf numFmtId="49" fontId="47" fillId="2" borderId="6" xfId="6" applyNumberFormat="1" applyFont="1" applyFill="1" applyBorder="1" applyAlignment="1">
      <alignment vertical="center"/>
    </xf>
    <xf numFmtId="49" fontId="47" fillId="2" borderId="6" xfId="0" applyNumberFormat="1" applyFont="1" applyFill="1" applyBorder="1" applyAlignment="1">
      <alignment vertical="center"/>
    </xf>
    <xf numFmtId="49" fontId="47" fillId="2" borderId="6" xfId="2" applyNumberFormat="1" applyFont="1" applyFill="1" applyBorder="1" applyAlignment="1">
      <alignment vertical="center"/>
    </xf>
    <xf numFmtId="49" fontId="47" fillId="2" borderId="6" xfId="6" applyNumberFormat="1" applyFont="1" applyFill="1" applyBorder="1" applyAlignment="1">
      <alignment horizontal="right" vertical="center"/>
    </xf>
    <xf numFmtId="41" fontId="47" fillId="2" borderId="6" xfId="2" applyFont="1" applyFill="1" applyBorder="1" applyAlignment="1">
      <alignment vertical="center"/>
    </xf>
    <xf numFmtId="181" fontId="47" fillId="2" borderId="6" xfId="2" applyNumberFormat="1" applyFont="1" applyFill="1" applyBorder="1" applyAlignment="1">
      <alignment vertical="center"/>
    </xf>
    <xf numFmtId="3" fontId="47" fillId="2" borderId="15" xfId="2" applyNumberFormat="1" applyFont="1" applyFill="1" applyBorder="1" applyAlignment="1">
      <alignment vertical="center"/>
    </xf>
    <xf numFmtId="41" fontId="48" fillId="2" borderId="0" xfId="2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3" fontId="47" fillId="2" borderId="26" xfId="6" applyNumberFormat="1" applyFont="1" applyFill="1" applyBorder="1" applyAlignment="1">
      <alignment vertical="center"/>
    </xf>
    <xf numFmtId="9" fontId="47" fillId="2" borderId="0" xfId="1" applyNumberFormat="1" applyFont="1" applyFill="1" applyBorder="1" applyAlignment="1">
      <alignment vertical="center"/>
    </xf>
    <xf numFmtId="0" fontId="47" fillId="2" borderId="14" xfId="0" applyFont="1" applyFill="1" applyBorder="1" applyAlignment="1">
      <alignment vertical="center"/>
    </xf>
    <xf numFmtId="3" fontId="47" fillId="2" borderId="14" xfId="6" applyNumberFormat="1" applyFont="1" applyFill="1" applyBorder="1" applyAlignment="1">
      <alignment vertical="center"/>
    </xf>
    <xf numFmtId="177" fontId="47" fillId="2" borderId="14" xfId="6" applyNumberFormat="1" applyFont="1" applyFill="1" applyBorder="1" applyAlignment="1">
      <alignment horizontal="right" vertical="center"/>
    </xf>
    <xf numFmtId="177" fontId="47" fillId="2" borderId="36" xfId="6" applyNumberFormat="1" applyFont="1" applyFill="1" applyBorder="1" applyAlignment="1">
      <alignment horizontal="right" vertical="center"/>
    </xf>
    <xf numFmtId="49" fontId="47" fillId="2" borderId="22" xfId="6" applyNumberFormat="1" applyFont="1" applyFill="1" applyBorder="1" applyAlignment="1">
      <alignment horizontal="left" vertical="center"/>
    </xf>
    <xf numFmtId="49" fontId="47" fillId="2" borderId="7" xfId="6" applyNumberFormat="1" applyFont="1" applyFill="1" applyBorder="1" applyAlignment="1">
      <alignment vertical="center"/>
    </xf>
    <xf numFmtId="49" fontId="47" fillId="2" borderId="7" xfId="2" applyNumberFormat="1" applyFont="1" applyFill="1" applyBorder="1" applyAlignment="1">
      <alignment vertical="center"/>
    </xf>
    <xf numFmtId="49" fontId="47" fillId="2" borderId="7" xfId="6" applyNumberFormat="1" applyFont="1" applyFill="1" applyBorder="1" applyAlignment="1">
      <alignment horizontal="right" vertical="center"/>
    </xf>
    <xf numFmtId="3" fontId="47" fillId="2" borderId="7" xfId="6" applyNumberFormat="1" applyFont="1" applyFill="1" applyBorder="1" applyAlignment="1">
      <alignment vertical="center"/>
    </xf>
    <xf numFmtId="3" fontId="47" fillId="2" borderId="7" xfId="2" applyNumberFormat="1" applyFont="1" applyFill="1" applyBorder="1" applyAlignment="1">
      <alignment vertical="center"/>
    </xf>
    <xf numFmtId="184" fontId="47" fillId="2" borderId="7" xfId="1" applyNumberFormat="1" applyFont="1" applyFill="1" applyBorder="1" applyAlignment="1">
      <alignment vertical="center"/>
    </xf>
    <xf numFmtId="3" fontId="47" fillId="2" borderId="4" xfId="2" applyNumberFormat="1" applyFont="1" applyFill="1" applyBorder="1" applyAlignment="1">
      <alignment vertical="center"/>
    </xf>
    <xf numFmtId="3" fontId="47" fillId="2" borderId="4" xfId="6" applyNumberFormat="1" applyFont="1" applyFill="1" applyBorder="1" applyAlignment="1">
      <alignment vertical="center"/>
    </xf>
    <xf numFmtId="178" fontId="47" fillId="2" borderId="13" xfId="2" applyNumberFormat="1" applyFont="1" applyFill="1" applyBorder="1" applyAlignment="1">
      <alignment horizontal="right" vertical="center"/>
    </xf>
    <xf numFmtId="177" fontId="47" fillId="2" borderId="56" xfId="2" applyNumberFormat="1" applyFont="1" applyFill="1" applyBorder="1" applyAlignment="1">
      <alignment horizontal="right" vertical="center"/>
    </xf>
    <xf numFmtId="49" fontId="47" fillId="2" borderId="22" xfId="0" applyNumberFormat="1" applyFont="1" applyFill="1" applyBorder="1" applyAlignment="1">
      <alignment horizontal="center" vertical="center"/>
    </xf>
    <xf numFmtId="49" fontId="47" fillId="2" borderId="7" xfId="0" applyNumberFormat="1" applyFont="1" applyFill="1" applyBorder="1" applyAlignment="1">
      <alignment horizontal="center" vertical="center"/>
    </xf>
    <xf numFmtId="49" fontId="47" fillId="2" borderId="7" xfId="0" applyNumberFormat="1" applyFont="1" applyFill="1" applyBorder="1" applyAlignment="1">
      <alignment horizontal="right" vertical="center"/>
    </xf>
    <xf numFmtId="178" fontId="47" fillId="2" borderId="7" xfId="0" applyNumberFormat="1" applyFont="1" applyFill="1" applyBorder="1" applyAlignment="1">
      <alignment horizontal="center" vertical="center"/>
    </xf>
    <xf numFmtId="177" fontId="47" fillId="2" borderId="10" xfId="2" applyNumberFormat="1" applyFont="1" applyFill="1" applyBorder="1" applyAlignment="1">
      <alignment vertical="center"/>
    </xf>
    <xf numFmtId="177" fontId="47" fillId="2" borderId="36" xfId="2" applyNumberFormat="1" applyFont="1" applyFill="1" applyBorder="1" applyAlignment="1">
      <alignment horizontal="right" vertical="center"/>
    </xf>
    <xf numFmtId="49" fontId="47" fillId="2" borderId="22" xfId="0" applyNumberFormat="1" applyFont="1" applyFill="1" applyBorder="1" applyAlignment="1">
      <alignment vertical="center"/>
    </xf>
    <xf numFmtId="49" fontId="47" fillId="2" borderId="0" xfId="0" applyNumberFormat="1" applyFont="1" applyFill="1" applyBorder="1" applyAlignment="1">
      <alignment horizontal="right" vertical="center"/>
    </xf>
    <xf numFmtId="177" fontId="47" fillId="2" borderId="0" xfId="0" applyNumberFormat="1" applyFont="1" applyFill="1" applyBorder="1" applyAlignment="1">
      <alignment vertical="center"/>
    </xf>
    <xf numFmtId="0" fontId="47" fillId="2" borderId="9" xfId="0" applyFont="1" applyFill="1" applyBorder="1" applyAlignment="1">
      <alignment horizontal="left" vertical="center"/>
    </xf>
    <xf numFmtId="178" fontId="47" fillId="2" borderId="9" xfId="2" applyNumberFormat="1" applyFont="1" applyFill="1" applyBorder="1" applyAlignment="1">
      <alignment vertical="center"/>
    </xf>
    <xf numFmtId="178" fontId="47" fillId="2" borderId="9" xfId="2" applyNumberFormat="1" applyFont="1" applyFill="1" applyBorder="1" applyAlignment="1">
      <alignment horizontal="right" vertical="center"/>
    </xf>
    <xf numFmtId="0" fontId="47" fillId="2" borderId="14" xfId="0" applyFont="1" applyFill="1" applyBorder="1" applyAlignment="1">
      <alignment horizontal="left" vertical="center"/>
    </xf>
    <xf numFmtId="178" fontId="47" fillId="2" borderId="14" xfId="2" applyNumberFormat="1" applyFont="1" applyFill="1" applyBorder="1" applyAlignment="1">
      <alignment vertical="center"/>
    </xf>
    <xf numFmtId="178" fontId="47" fillId="2" borderId="14" xfId="2" applyNumberFormat="1" applyFont="1" applyFill="1" applyBorder="1" applyAlignment="1">
      <alignment horizontal="right" vertical="center"/>
    </xf>
    <xf numFmtId="177" fontId="47" fillId="2" borderId="36" xfId="2" applyNumberFormat="1" applyFont="1" applyFill="1" applyBorder="1" applyAlignment="1">
      <alignment vertical="center"/>
    </xf>
    <xf numFmtId="49" fontId="47" fillId="2" borderId="22" xfId="6" applyNumberFormat="1" applyFont="1" applyFill="1" applyBorder="1" applyAlignment="1">
      <alignment vertical="center"/>
    </xf>
    <xf numFmtId="49" fontId="47" fillId="2" borderId="16" xfId="0" applyNumberFormat="1" applyFont="1" applyFill="1" applyBorder="1" applyAlignment="1">
      <alignment vertical="center"/>
    </xf>
    <xf numFmtId="3" fontId="47" fillId="2" borderId="13" xfId="6" applyNumberFormat="1" applyFont="1" applyFill="1" applyBorder="1" applyAlignment="1">
      <alignment vertical="center"/>
    </xf>
    <xf numFmtId="177" fontId="47" fillId="2" borderId="34" xfId="2" applyNumberFormat="1" applyFont="1" applyFill="1" applyBorder="1" applyAlignment="1">
      <alignment vertical="center"/>
    </xf>
    <xf numFmtId="49" fontId="47" fillId="2" borderId="29" xfId="6" applyNumberFormat="1" applyFont="1" applyFill="1" applyBorder="1" applyAlignment="1">
      <alignment vertical="center"/>
    </xf>
    <xf numFmtId="49" fontId="47" fillId="2" borderId="30" xfId="6" applyNumberFormat="1" applyFont="1" applyFill="1" applyBorder="1" applyAlignment="1">
      <alignment vertical="center"/>
    </xf>
    <xf numFmtId="49" fontId="47" fillId="2" borderId="30" xfId="2" applyNumberFormat="1" applyFont="1" applyFill="1" applyBorder="1" applyAlignment="1">
      <alignment vertical="center"/>
    </xf>
    <xf numFmtId="49" fontId="47" fillId="2" borderId="30" xfId="6" applyNumberFormat="1" applyFont="1" applyFill="1" applyBorder="1" applyAlignment="1">
      <alignment horizontal="right" vertical="center"/>
    </xf>
    <xf numFmtId="3" fontId="47" fillId="2" borderId="30" xfId="6" applyNumberFormat="1" applyFont="1" applyFill="1" applyBorder="1" applyAlignment="1">
      <alignment vertical="center"/>
    </xf>
    <xf numFmtId="3" fontId="47" fillId="2" borderId="30" xfId="2" applyNumberFormat="1" applyFont="1" applyFill="1" applyBorder="1" applyAlignment="1">
      <alignment vertical="center"/>
    </xf>
    <xf numFmtId="3" fontId="47" fillId="2" borderId="15" xfId="6" applyNumberFormat="1" applyFont="1" applyFill="1" applyBorder="1" applyAlignment="1">
      <alignment vertical="center"/>
    </xf>
    <xf numFmtId="49" fontId="47" fillId="2" borderId="24" xfId="0" applyNumberFormat="1" applyFont="1" applyFill="1" applyBorder="1" applyAlignment="1">
      <alignment vertical="center"/>
    </xf>
    <xf numFmtId="178" fontId="47" fillId="2" borderId="10" xfId="2" applyNumberFormat="1" applyFont="1" applyFill="1" applyBorder="1" applyAlignment="1">
      <alignment horizontal="right" vertical="center"/>
    </xf>
    <xf numFmtId="178" fontId="47" fillId="2" borderId="2" xfId="6" applyNumberFormat="1" applyFont="1" applyFill="1" applyBorder="1" applyAlignment="1">
      <alignment vertical="center"/>
    </xf>
    <xf numFmtId="43" fontId="47" fillId="2" borderId="0" xfId="0" applyNumberFormat="1" applyFont="1" applyFill="1" applyAlignment="1">
      <alignment vertical="center"/>
    </xf>
    <xf numFmtId="3" fontId="47" fillId="2" borderId="16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justify" vertical="center"/>
    </xf>
    <xf numFmtId="3" fontId="47" fillId="2" borderId="22" xfId="6" applyNumberFormat="1" applyFont="1" applyFill="1" applyBorder="1" applyAlignment="1">
      <alignment vertical="center"/>
    </xf>
    <xf numFmtId="3" fontId="47" fillId="2" borderId="7" xfId="6" applyNumberFormat="1" applyFont="1" applyFill="1" applyBorder="1" applyAlignment="1">
      <alignment horizontal="right" vertical="center"/>
    </xf>
    <xf numFmtId="178" fontId="47" fillId="2" borderId="10" xfId="2" applyNumberFormat="1" applyFont="1" applyFill="1" applyBorder="1" applyAlignment="1">
      <alignment vertical="center"/>
    </xf>
    <xf numFmtId="177" fontId="47" fillId="2" borderId="35" xfId="2" applyNumberFormat="1" applyFont="1" applyFill="1" applyBorder="1" applyAlignment="1">
      <alignment vertical="center"/>
    </xf>
    <xf numFmtId="177" fontId="47" fillId="2" borderId="2" xfId="2" applyNumberFormat="1" applyFont="1" applyFill="1" applyBorder="1" applyAlignment="1">
      <alignment vertical="center"/>
    </xf>
    <xf numFmtId="0" fontId="47" fillId="2" borderId="1" xfId="0" applyFont="1" applyFill="1" applyBorder="1" applyAlignment="1">
      <alignment vertical="center"/>
    </xf>
    <xf numFmtId="177" fontId="47" fillId="2" borderId="3" xfId="2" applyNumberFormat="1" applyFont="1" applyFill="1" applyBorder="1" applyAlignment="1">
      <alignment vertical="center"/>
    </xf>
    <xf numFmtId="3" fontId="47" fillId="2" borderId="7" xfId="6" applyNumberFormat="1" applyFont="1" applyFill="1" applyBorder="1" applyAlignment="1">
      <alignment horizontal="center" vertical="center"/>
    </xf>
    <xf numFmtId="177" fontId="47" fillId="2" borderId="4" xfId="2" applyNumberFormat="1" applyFont="1" applyFill="1" applyBorder="1" applyAlignment="1">
      <alignment vertical="center"/>
    </xf>
    <xf numFmtId="183" fontId="47" fillId="2" borderId="0" xfId="6" applyNumberFormat="1" applyFont="1" applyFill="1" applyBorder="1" applyAlignment="1">
      <alignment vertical="center"/>
    </xf>
    <xf numFmtId="41" fontId="47" fillId="2" borderId="2" xfId="2" applyNumberFormat="1" applyFont="1" applyFill="1" applyBorder="1" applyAlignment="1">
      <alignment vertical="center"/>
    </xf>
    <xf numFmtId="41" fontId="47" fillId="2" borderId="4" xfId="2" applyNumberFormat="1" applyFont="1" applyFill="1" applyBorder="1" applyAlignment="1">
      <alignment vertical="center"/>
    </xf>
    <xf numFmtId="178" fontId="47" fillId="2" borderId="13" xfId="2" applyNumberFormat="1" applyFont="1" applyFill="1" applyBorder="1" applyAlignment="1">
      <alignment vertical="center"/>
    </xf>
    <xf numFmtId="49" fontId="47" fillId="2" borderId="29" xfId="0" applyNumberFormat="1" applyFont="1" applyFill="1" applyBorder="1" applyAlignment="1">
      <alignment horizontal="center" vertical="center"/>
    </xf>
    <xf numFmtId="49" fontId="47" fillId="2" borderId="30" xfId="0" applyNumberFormat="1" applyFont="1" applyFill="1" applyBorder="1" applyAlignment="1">
      <alignment horizontal="center" vertical="center"/>
    </xf>
    <xf numFmtId="178" fontId="47" fillId="2" borderId="30" xfId="0" applyNumberFormat="1" applyFont="1" applyFill="1" applyBorder="1" applyAlignment="1">
      <alignment horizontal="center" vertical="center"/>
    </xf>
    <xf numFmtId="0" fontId="47" fillId="2" borderId="9" xfId="0" applyFont="1" applyFill="1" applyBorder="1" applyAlignment="1">
      <alignment vertical="center"/>
    </xf>
    <xf numFmtId="0" fontId="47" fillId="2" borderId="6" xfId="0" applyFont="1" applyFill="1" applyBorder="1" applyAlignment="1">
      <alignment vertical="center"/>
    </xf>
    <xf numFmtId="41" fontId="47" fillId="2" borderId="3" xfId="2" applyNumberFormat="1" applyFont="1" applyFill="1" applyBorder="1" applyAlignment="1">
      <alignment vertical="center"/>
    </xf>
    <xf numFmtId="3" fontId="47" fillId="2" borderId="6" xfId="0" applyNumberFormat="1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right" vertical="center"/>
    </xf>
    <xf numFmtId="0" fontId="47" fillId="2" borderId="25" xfId="0" applyFont="1" applyFill="1" applyBorder="1" applyAlignment="1">
      <alignment vertical="center"/>
    </xf>
    <xf numFmtId="178" fontId="47" fillId="2" borderId="25" xfId="2" applyNumberFormat="1" applyFont="1" applyFill="1" applyBorder="1" applyAlignment="1">
      <alignment horizontal="right" vertical="center"/>
    </xf>
    <xf numFmtId="178" fontId="47" fillId="2" borderId="25" xfId="2" applyNumberFormat="1" applyFont="1" applyFill="1" applyBorder="1" applyAlignment="1">
      <alignment vertical="center"/>
    </xf>
    <xf numFmtId="177" fontId="47" fillId="2" borderId="40" xfId="2" applyNumberFormat="1" applyFont="1" applyFill="1" applyBorder="1" applyAlignment="1">
      <alignment horizontal="right" vertical="center"/>
    </xf>
    <xf numFmtId="49" fontId="47" fillId="2" borderId="20" xfId="0" applyNumberFormat="1" applyFont="1" applyFill="1" applyBorder="1" applyAlignment="1">
      <alignment vertical="center"/>
    </xf>
    <xf numFmtId="49" fontId="47" fillId="2" borderId="1" xfId="6" applyNumberFormat="1" applyFont="1" applyFill="1" applyBorder="1" applyAlignment="1">
      <alignment horizontal="left" vertical="center"/>
    </xf>
    <xf numFmtId="49" fontId="47" fillId="2" borderId="1" xfId="0" applyNumberFormat="1" applyFont="1" applyFill="1" applyBorder="1" applyAlignment="1">
      <alignment vertical="center"/>
    </xf>
    <xf numFmtId="49" fontId="47" fillId="2" borderId="1" xfId="0" applyNumberFormat="1" applyFont="1" applyFill="1" applyBorder="1" applyAlignment="1">
      <alignment horizontal="right" vertical="center"/>
    </xf>
    <xf numFmtId="3" fontId="47" fillId="2" borderId="1" xfId="0" applyNumberFormat="1" applyFont="1" applyFill="1" applyBorder="1" applyAlignment="1">
      <alignment horizontal="left" vertical="center"/>
    </xf>
    <xf numFmtId="3" fontId="47" fillId="2" borderId="1" xfId="0" applyNumberFormat="1" applyFont="1" applyFill="1" applyBorder="1" applyAlignment="1">
      <alignment horizontal="right" vertical="center"/>
    </xf>
    <xf numFmtId="3" fontId="47" fillId="2" borderId="1" xfId="0" applyNumberFormat="1" applyFont="1" applyFill="1" applyBorder="1" applyAlignment="1">
      <alignment vertical="center"/>
    </xf>
    <xf numFmtId="3" fontId="47" fillId="2" borderId="1" xfId="6" applyNumberFormat="1" applyFont="1" applyFill="1" applyBorder="1" applyAlignment="1">
      <alignment vertical="center"/>
    </xf>
    <xf numFmtId="41" fontId="47" fillId="2" borderId="5" xfId="2" applyNumberFormat="1" applyFont="1" applyFill="1" applyBorder="1" applyAlignment="1">
      <alignment vertical="center"/>
    </xf>
    <xf numFmtId="3" fontId="47" fillId="2" borderId="5" xfId="6" applyNumberFormat="1" applyFont="1" applyFill="1" applyBorder="1" applyAlignment="1">
      <alignment vertical="center"/>
    </xf>
    <xf numFmtId="178" fontId="47" fillId="2" borderId="45" xfId="0" applyNumberFormat="1" applyFont="1" applyFill="1" applyBorder="1" applyAlignment="1">
      <alignment vertical="center"/>
    </xf>
    <xf numFmtId="3" fontId="47" fillId="2" borderId="45" xfId="0" applyNumberFormat="1" applyFont="1" applyFill="1" applyBorder="1" applyAlignment="1">
      <alignment vertical="center"/>
    </xf>
    <xf numFmtId="41" fontId="48" fillId="2" borderId="0" xfId="2" applyFont="1" applyFill="1" applyAlignment="1">
      <alignment vertical="center"/>
    </xf>
    <xf numFmtId="177" fontId="47" fillId="2" borderId="15" xfId="2" applyNumberFormat="1" applyFont="1" applyFill="1" applyBorder="1" applyAlignment="1">
      <alignment vertical="center"/>
    </xf>
    <xf numFmtId="178" fontId="47" fillId="2" borderId="0" xfId="0" applyNumberFormat="1" applyFont="1" applyFill="1" applyBorder="1" applyAlignment="1">
      <alignment horizontal="left" vertical="center" wrapText="1"/>
    </xf>
    <xf numFmtId="178" fontId="48" fillId="2" borderId="4" xfId="0" applyNumberFormat="1" applyFont="1" applyFill="1" applyBorder="1" applyAlignment="1">
      <alignment vertical="center"/>
    </xf>
    <xf numFmtId="177" fontId="47" fillId="2" borderId="56" xfId="2" applyNumberFormat="1" applyFont="1" applyFill="1" applyBorder="1" applyAlignment="1">
      <alignment vertical="center"/>
    </xf>
    <xf numFmtId="0" fontId="47" fillId="2" borderId="30" xfId="0" applyFont="1" applyFill="1" applyBorder="1" applyAlignment="1">
      <alignment vertical="center" wrapText="1"/>
    </xf>
    <xf numFmtId="178" fontId="47" fillId="2" borderId="30" xfId="0" applyNumberFormat="1" applyFont="1" applyFill="1" applyBorder="1" applyAlignment="1">
      <alignment horizontal="left" vertical="center"/>
    </xf>
    <xf numFmtId="3" fontId="47" fillId="2" borderId="30" xfId="0" applyNumberFormat="1" applyFont="1" applyFill="1" applyBorder="1" applyAlignment="1">
      <alignment vertical="center" wrapText="1"/>
    </xf>
    <xf numFmtId="178" fontId="47" fillId="2" borderId="30" xfId="0" applyNumberFormat="1" applyFont="1" applyFill="1" applyBorder="1" applyAlignment="1">
      <alignment vertical="center" wrapText="1"/>
    </xf>
    <xf numFmtId="178" fontId="47" fillId="2" borderId="15" xfId="0" applyNumberFormat="1" applyFont="1" applyFill="1" applyBorder="1" applyAlignment="1">
      <alignment horizontal="right" vertical="center"/>
    </xf>
    <xf numFmtId="0" fontId="47" fillId="2" borderId="10" xfId="0" applyFont="1" applyFill="1" applyBorder="1" applyAlignment="1">
      <alignment horizontal="center" vertical="center"/>
    </xf>
    <xf numFmtId="178" fontId="47" fillId="2" borderId="0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vertical="center" wrapText="1"/>
    </xf>
    <xf numFmtId="178" fontId="47" fillId="2" borderId="2" xfId="0" applyNumberFormat="1" applyFont="1" applyFill="1" applyBorder="1" applyAlignment="1">
      <alignment horizontal="right" vertical="center"/>
    </xf>
    <xf numFmtId="0" fontId="47" fillId="2" borderId="31" xfId="0" applyFont="1" applyFill="1" applyBorder="1" applyAlignment="1">
      <alignment horizontal="left" vertical="center" shrinkToFit="1"/>
    </xf>
    <xf numFmtId="177" fontId="47" fillId="2" borderId="35" xfId="2" applyNumberFormat="1" applyFont="1" applyFill="1" applyBorder="1" applyAlignment="1">
      <alignment vertical="center" shrinkToFit="1"/>
    </xf>
    <xf numFmtId="0" fontId="57" fillId="2" borderId="16" xfId="0" applyFont="1" applyFill="1" applyBorder="1" applyAlignment="1">
      <alignment vertical="center"/>
    </xf>
    <xf numFmtId="0" fontId="57" fillId="2" borderId="10" xfId="0" applyFont="1" applyFill="1" applyBorder="1" applyAlignment="1">
      <alignment vertical="center"/>
    </xf>
    <xf numFmtId="41" fontId="48" fillId="2" borderId="0" xfId="2" applyFont="1" applyFill="1" applyBorder="1" applyAlignment="1">
      <alignment vertical="center"/>
    </xf>
    <xf numFmtId="0" fontId="47" fillId="2" borderId="29" xfId="0" applyFont="1" applyFill="1" applyBorder="1" applyAlignment="1">
      <alignment vertical="center"/>
    </xf>
    <xf numFmtId="178" fontId="47" fillId="2" borderId="30" xfId="0" applyNumberFormat="1" applyFont="1" applyFill="1" applyBorder="1" applyAlignment="1">
      <alignment vertical="center"/>
    </xf>
    <xf numFmtId="0" fontId="47" fillId="2" borderId="13" xfId="0" applyFont="1" applyFill="1" applyBorder="1" applyAlignment="1">
      <alignment horizontal="left" vertical="center"/>
    </xf>
    <xf numFmtId="178" fontId="47" fillId="2" borderId="13" xfId="2" applyNumberFormat="1" applyFont="1" applyFill="1" applyBorder="1" applyAlignment="1">
      <alignment horizontal="right" vertical="center" shrinkToFit="1"/>
    </xf>
    <xf numFmtId="178" fontId="47" fillId="2" borderId="26" xfId="0" applyNumberFormat="1" applyFont="1" applyFill="1" applyBorder="1" applyAlignment="1">
      <alignment vertical="center"/>
    </xf>
    <xf numFmtId="3" fontId="48" fillId="2" borderId="0" xfId="0" applyNumberFormat="1" applyFont="1" applyFill="1" applyBorder="1" applyAlignment="1">
      <alignment vertical="center"/>
    </xf>
    <xf numFmtId="41" fontId="50" fillId="2" borderId="0" xfId="2" applyFont="1" applyFill="1" applyBorder="1" applyAlignment="1"/>
    <xf numFmtId="41" fontId="49" fillId="2" borderId="0" xfId="2" applyFont="1" applyFill="1" applyBorder="1" applyAlignment="1"/>
    <xf numFmtId="0" fontId="50" fillId="2" borderId="0" xfId="0" applyFont="1" applyFill="1" applyAlignment="1">
      <alignment vertical="center"/>
    </xf>
    <xf numFmtId="0" fontId="47" fillId="2" borderId="10" xfId="0" applyFont="1" applyFill="1" applyBorder="1" applyAlignment="1">
      <alignment horizontal="left" vertical="center" shrinkToFit="1"/>
    </xf>
    <xf numFmtId="3" fontId="47" fillId="2" borderId="30" xfId="0" applyNumberFormat="1" applyFont="1" applyFill="1" applyBorder="1" applyAlignment="1">
      <alignment vertical="center"/>
    </xf>
    <xf numFmtId="41" fontId="48" fillId="2" borderId="6" xfId="2" applyFont="1" applyFill="1" applyBorder="1" applyAlignment="1">
      <alignment vertical="center"/>
    </xf>
    <xf numFmtId="0" fontId="48" fillId="2" borderId="6" xfId="0" applyFont="1" applyFill="1" applyBorder="1" applyAlignment="1">
      <alignment vertical="center"/>
    </xf>
    <xf numFmtId="178" fontId="47" fillId="2" borderId="3" xfId="0" applyNumberFormat="1" applyFont="1" applyFill="1" applyBorder="1" applyAlignment="1">
      <alignment horizontal="right" vertical="center"/>
    </xf>
    <xf numFmtId="0" fontId="47" fillId="2" borderId="14" xfId="0" applyFont="1" applyFill="1" applyBorder="1" applyAlignment="1">
      <alignment horizontal="left" vertical="center" shrinkToFit="1"/>
    </xf>
    <xf numFmtId="177" fontId="47" fillId="2" borderId="36" xfId="2" applyNumberFormat="1" applyFont="1" applyFill="1" applyBorder="1" applyAlignment="1">
      <alignment vertical="center" shrinkToFit="1"/>
    </xf>
    <xf numFmtId="0" fontId="47" fillId="2" borderId="7" xfId="0" applyFont="1" applyFill="1" applyBorder="1" applyAlignment="1">
      <alignment vertical="center" wrapText="1"/>
    </xf>
    <xf numFmtId="178" fontId="47" fillId="2" borderId="7" xfId="0" applyNumberFormat="1" applyFont="1" applyFill="1" applyBorder="1" applyAlignment="1">
      <alignment horizontal="left" vertical="center"/>
    </xf>
    <xf numFmtId="3" fontId="47" fillId="2" borderId="7" xfId="0" applyNumberFormat="1" applyFont="1" applyFill="1" applyBorder="1" applyAlignment="1">
      <alignment vertical="center" wrapText="1"/>
    </xf>
    <xf numFmtId="0" fontId="47" fillId="2" borderId="7" xfId="0" applyFont="1" applyFill="1" applyBorder="1" applyAlignment="1">
      <alignment vertical="center"/>
    </xf>
    <xf numFmtId="178" fontId="47" fillId="2" borderId="7" xfId="0" applyNumberFormat="1" applyFont="1" applyFill="1" applyBorder="1" applyAlignment="1">
      <alignment vertical="center" wrapText="1"/>
    </xf>
    <xf numFmtId="178" fontId="47" fillId="2" borderId="4" xfId="0" applyNumberFormat="1" applyFont="1" applyFill="1" applyBorder="1" applyAlignment="1">
      <alignment horizontal="right" vertical="center"/>
    </xf>
    <xf numFmtId="41" fontId="48" fillId="2" borderId="7" xfId="2" applyFont="1" applyFill="1" applyBorder="1" applyAlignment="1">
      <alignment vertical="center"/>
    </xf>
    <xf numFmtId="41" fontId="57" fillId="2" borderId="16" xfId="2" applyFont="1" applyFill="1" applyBorder="1" applyAlignment="1">
      <alignment vertical="center"/>
    </xf>
    <xf numFmtId="41" fontId="57" fillId="2" borderId="10" xfId="2" applyFont="1" applyFill="1" applyBorder="1" applyAlignment="1">
      <alignment vertical="center"/>
    </xf>
    <xf numFmtId="41" fontId="47" fillId="2" borderId="31" xfId="2" applyFont="1" applyFill="1" applyBorder="1" applyAlignment="1">
      <alignment vertical="center"/>
    </xf>
    <xf numFmtId="41" fontId="47" fillId="2" borderId="13" xfId="2" applyFont="1" applyFill="1" applyBorder="1" applyAlignment="1">
      <alignment horizontal="right" vertical="center" shrinkToFit="1"/>
    </xf>
    <xf numFmtId="41" fontId="47" fillId="2" borderId="30" xfId="2" applyFont="1" applyFill="1" applyBorder="1" applyAlignment="1">
      <alignment vertical="center" wrapText="1"/>
    </xf>
    <xf numFmtId="41" fontId="47" fillId="2" borderId="30" xfId="2" applyFont="1" applyFill="1" applyBorder="1" applyAlignment="1">
      <alignment horizontal="left" vertical="center"/>
    </xf>
    <xf numFmtId="41" fontId="47" fillId="2" borderId="30" xfId="2" applyFont="1" applyFill="1" applyBorder="1" applyAlignment="1">
      <alignment vertical="center"/>
    </xf>
    <xf numFmtId="41" fontId="47" fillId="2" borderId="15" xfId="2" applyFont="1" applyFill="1" applyBorder="1" applyAlignment="1">
      <alignment horizontal="right" vertical="center"/>
    </xf>
    <xf numFmtId="41" fontId="47" fillId="2" borderId="15" xfId="2" applyFont="1" applyFill="1" applyBorder="1" applyAlignment="1">
      <alignment vertical="center"/>
    </xf>
    <xf numFmtId="41" fontId="47" fillId="2" borderId="13" xfId="2" applyFont="1" applyFill="1" applyBorder="1" applyAlignment="1">
      <alignment horizontal="left" vertical="center" shrinkToFit="1"/>
    </xf>
    <xf numFmtId="41" fontId="47" fillId="2" borderId="28" xfId="2" applyFont="1" applyFill="1" applyBorder="1" applyAlignment="1">
      <alignment horizontal="left" vertical="center" shrinkToFit="1"/>
    </xf>
    <xf numFmtId="41" fontId="47" fillId="2" borderId="13" xfId="2" applyFont="1" applyFill="1" applyBorder="1" applyAlignment="1">
      <alignment vertical="center"/>
    </xf>
    <xf numFmtId="41" fontId="47" fillId="2" borderId="7" xfId="2" applyFont="1" applyFill="1" applyBorder="1" applyAlignment="1">
      <alignment horizontal="right" vertical="center" wrapText="1"/>
    </xf>
    <xf numFmtId="41" fontId="47" fillId="2" borderId="7" xfId="2" applyFont="1" applyFill="1" applyBorder="1" applyAlignment="1">
      <alignment horizontal="left" vertical="center"/>
    </xf>
    <xf numFmtId="41" fontId="47" fillId="2" borderId="7" xfId="2" applyFont="1" applyFill="1" applyBorder="1" applyAlignment="1">
      <alignment vertical="center"/>
    </xf>
    <xf numFmtId="41" fontId="47" fillId="2" borderId="7" xfId="2" applyFont="1" applyFill="1" applyBorder="1" applyAlignment="1">
      <alignment vertical="center" wrapText="1"/>
    </xf>
    <xf numFmtId="41" fontId="47" fillId="2" borderId="4" xfId="2" applyFont="1" applyFill="1" applyBorder="1" applyAlignment="1">
      <alignment horizontal="right" vertical="center"/>
    </xf>
    <xf numFmtId="41" fontId="47" fillId="2" borderId="4" xfId="2" applyFont="1" applyFill="1" applyBorder="1" applyAlignment="1">
      <alignment vertical="center"/>
    </xf>
    <xf numFmtId="0" fontId="47" fillId="2" borderId="22" xfId="0" applyFont="1" applyFill="1" applyBorder="1" applyAlignment="1">
      <alignment vertical="center"/>
    </xf>
    <xf numFmtId="178" fontId="47" fillId="2" borderId="7" xfId="0" applyNumberFormat="1" applyFont="1" applyFill="1" applyBorder="1" applyAlignment="1">
      <alignment vertical="center"/>
    </xf>
    <xf numFmtId="178" fontId="48" fillId="2" borderId="2" xfId="0" applyNumberFormat="1" applyFont="1" applyFill="1" applyBorder="1" applyAlignment="1">
      <alignment vertical="center"/>
    </xf>
    <xf numFmtId="178" fontId="57" fillId="2" borderId="10" xfId="0" applyNumberFormat="1" applyFont="1" applyFill="1" applyBorder="1" applyAlignment="1">
      <alignment vertical="center"/>
    </xf>
    <xf numFmtId="178" fontId="47" fillId="2" borderId="30" xfId="0" applyNumberFormat="1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3" fontId="48" fillId="2" borderId="2" xfId="0" applyNumberFormat="1" applyFont="1" applyFill="1" applyBorder="1" applyAlignment="1">
      <alignment vertical="center"/>
    </xf>
    <xf numFmtId="0" fontId="47" fillId="2" borderId="8" xfId="0" applyFont="1" applyFill="1" applyBorder="1" applyAlignment="1">
      <alignment vertical="center"/>
    </xf>
    <xf numFmtId="0" fontId="57" fillId="2" borderId="8" xfId="0" applyFont="1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47" fillId="2" borderId="9" xfId="0" applyFont="1" applyFill="1" applyBorder="1" applyAlignment="1">
      <alignment horizontal="center" vertical="center"/>
    </xf>
    <xf numFmtId="0" fontId="47" fillId="2" borderId="6" xfId="0" applyFont="1" applyFill="1" applyBorder="1" applyAlignment="1">
      <alignment vertical="center" wrapText="1"/>
    </xf>
    <xf numFmtId="178" fontId="47" fillId="2" borderId="6" xfId="0" applyNumberFormat="1" applyFont="1" applyFill="1" applyBorder="1" applyAlignment="1">
      <alignment horizontal="left" vertical="center"/>
    </xf>
    <xf numFmtId="3" fontId="47" fillId="2" borderId="6" xfId="0" applyNumberFormat="1" applyFont="1" applyFill="1" applyBorder="1" applyAlignment="1">
      <alignment vertical="center" wrapText="1"/>
    </xf>
    <xf numFmtId="178" fontId="47" fillId="2" borderId="6" xfId="0" applyNumberFormat="1" applyFont="1" applyFill="1" applyBorder="1" applyAlignment="1">
      <alignment vertical="center" wrapText="1"/>
    </xf>
    <xf numFmtId="178" fontId="48" fillId="2" borderId="0" xfId="0" applyNumberFormat="1" applyFont="1" applyFill="1" applyBorder="1" applyAlignment="1">
      <alignment vertical="center" wrapText="1"/>
    </xf>
    <xf numFmtId="178" fontId="47" fillId="2" borderId="10" xfId="0" applyNumberFormat="1" applyFont="1" applyFill="1" applyBorder="1" applyAlignment="1">
      <alignment horizontal="right" vertical="center"/>
    </xf>
    <xf numFmtId="0" fontId="47" fillId="2" borderId="14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center" vertical="center"/>
    </xf>
    <xf numFmtId="178" fontId="47" fillId="2" borderId="0" xfId="0" applyNumberFormat="1" applyFont="1" applyFill="1" applyBorder="1" applyAlignment="1">
      <alignment horizontal="center" vertical="center" wrapText="1"/>
    </xf>
    <xf numFmtId="0" fontId="57" fillId="2" borderId="26" xfId="0" applyFont="1" applyFill="1" applyBorder="1" applyAlignment="1">
      <alignment vertical="center"/>
    </xf>
    <xf numFmtId="0" fontId="57" fillId="2" borderId="31" xfId="0" applyFont="1" applyFill="1" applyBorder="1" applyAlignment="1">
      <alignment vertical="center"/>
    </xf>
    <xf numFmtId="0" fontId="23" fillId="2" borderId="0" xfId="0" applyFont="1" applyFill="1" applyBorder="1" applyAlignment="1">
      <alignment vertical="center"/>
    </xf>
    <xf numFmtId="178" fontId="16" fillId="2" borderId="26" xfId="2" applyNumberFormat="1" applyFont="1" applyFill="1" applyBorder="1" applyAlignment="1">
      <alignment vertical="center"/>
    </xf>
    <xf numFmtId="178" fontId="16" fillId="2" borderId="2" xfId="0" applyNumberFormat="1" applyFont="1" applyFill="1" applyBorder="1" applyAlignment="1">
      <alignment horizontal="right" vertical="center"/>
    </xf>
    <xf numFmtId="178" fontId="16" fillId="2" borderId="10" xfId="2" applyNumberFormat="1" applyFont="1" applyFill="1" applyBorder="1" applyAlignment="1">
      <alignment vertical="center"/>
    </xf>
    <xf numFmtId="178" fontId="16" fillId="2" borderId="21" xfId="2" applyNumberFormat="1" applyFont="1" applyFill="1" applyBorder="1" applyAlignment="1">
      <alignment vertical="center"/>
    </xf>
    <xf numFmtId="41" fontId="16" fillId="2" borderId="0" xfId="2" applyFont="1" applyFill="1" applyAlignment="1">
      <alignment horizontal="right" vertical="center"/>
    </xf>
    <xf numFmtId="49" fontId="16" fillId="2" borderId="0" xfId="0" applyNumberFormat="1" applyFont="1" applyFill="1" applyAlignment="1">
      <alignment vertical="center"/>
    </xf>
    <xf numFmtId="49" fontId="16" fillId="2" borderId="0" xfId="0" applyNumberFormat="1" applyFont="1" applyFill="1" applyAlignment="1">
      <alignment horizontal="right" vertical="center"/>
    </xf>
    <xf numFmtId="41" fontId="16" fillId="2" borderId="0" xfId="2" applyNumberFormat="1" applyFont="1" applyFill="1" applyAlignment="1">
      <alignment vertical="center"/>
    </xf>
    <xf numFmtId="41" fontId="17" fillId="2" borderId="0" xfId="2" applyFont="1" applyFill="1" applyBorder="1" applyAlignment="1">
      <alignment vertical="center"/>
    </xf>
    <xf numFmtId="49" fontId="23" fillId="2" borderId="0" xfId="0" applyNumberFormat="1" applyFont="1" applyFill="1" applyBorder="1" applyAlignment="1">
      <alignment vertical="center"/>
    </xf>
    <xf numFmtId="177" fontId="23" fillId="2" borderId="0" xfId="0" applyNumberFormat="1" applyFont="1" applyFill="1" applyBorder="1" applyAlignment="1">
      <alignment horizontal="right" vertical="center"/>
    </xf>
    <xf numFmtId="41" fontId="23" fillId="2" borderId="0" xfId="2" applyFont="1" applyFill="1" applyBorder="1" applyAlignment="1">
      <alignment horizontal="right" vertical="center"/>
    </xf>
    <xf numFmtId="3" fontId="16" fillId="2" borderId="32" xfId="0" applyNumberFormat="1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vertical="center"/>
    </xf>
    <xf numFmtId="3" fontId="16" fillId="2" borderId="45" xfId="0" applyNumberFormat="1" applyFont="1" applyFill="1" applyBorder="1" applyAlignment="1">
      <alignment horizontal="center" vertical="center"/>
    </xf>
    <xf numFmtId="3" fontId="16" fillId="2" borderId="49" xfId="0" applyNumberFormat="1" applyFont="1" applyFill="1" applyBorder="1" applyAlignment="1">
      <alignment horizontal="center" vertical="center"/>
    </xf>
    <xf numFmtId="178" fontId="16" fillId="2" borderId="39" xfId="0" applyNumberFormat="1" applyFont="1" applyFill="1" applyBorder="1" applyAlignment="1">
      <alignment horizontal="center" vertical="center"/>
    </xf>
    <xf numFmtId="177" fontId="16" fillId="2" borderId="39" xfId="2" applyNumberFormat="1" applyFont="1" applyFill="1" applyBorder="1" applyAlignment="1">
      <alignment horizontal="center" vertical="center"/>
    </xf>
    <xf numFmtId="177" fontId="16" fillId="2" borderId="46" xfId="0" applyNumberFormat="1" applyFont="1" applyFill="1" applyBorder="1" applyAlignment="1">
      <alignment horizontal="center" vertical="center"/>
    </xf>
    <xf numFmtId="49" fontId="17" fillId="2" borderId="44" xfId="0" applyNumberFormat="1" applyFont="1" applyFill="1" applyBorder="1" applyAlignment="1">
      <alignment horizontal="center" vertical="center"/>
    </xf>
    <xf numFmtId="49" fontId="17" fillId="2" borderId="45" xfId="0" applyNumberFormat="1" applyFont="1" applyFill="1" applyBorder="1" applyAlignment="1">
      <alignment horizontal="center" vertical="center"/>
    </xf>
    <xf numFmtId="49" fontId="17" fillId="2" borderId="46" xfId="0" applyNumberFormat="1" applyFont="1" applyFill="1" applyBorder="1" applyAlignment="1">
      <alignment horizontal="center" vertical="center"/>
    </xf>
    <xf numFmtId="0" fontId="50" fillId="2" borderId="65" xfId="0" applyFont="1" applyFill="1" applyBorder="1" applyAlignment="1">
      <alignment vertical="center"/>
    </xf>
    <xf numFmtId="178" fontId="50" fillId="2" borderId="39" xfId="0" applyNumberFormat="1" applyFont="1" applyFill="1" applyBorder="1" applyAlignment="1">
      <alignment vertical="center" shrinkToFit="1"/>
    </xf>
    <xf numFmtId="177" fontId="50" fillId="2" borderId="62" xfId="0" applyNumberFormat="1" applyFont="1" applyFill="1" applyBorder="1" applyAlignment="1">
      <alignment vertical="center" shrinkToFit="1"/>
    </xf>
    <xf numFmtId="0" fontId="47" fillId="2" borderId="44" xfId="0" applyFont="1" applyFill="1" applyBorder="1" applyAlignment="1">
      <alignment vertical="center"/>
    </xf>
    <xf numFmtId="178" fontId="47" fillId="2" borderId="45" xfId="0" applyNumberFormat="1" applyFont="1" applyFill="1" applyBorder="1" applyAlignment="1">
      <alignment horizontal="right" vertical="center"/>
    </xf>
    <xf numFmtId="178" fontId="47" fillId="2" borderId="45" xfId="0" applyNumberFormat="1" applyFont="1" applyFill="1" applyBorder="1" applyAlignment="1">
      <alignment horizontal="right" vertical="center" wrapText="1"/>
    </xf>
    <xf numFmtId="178" fontId="47" fillId="2" borderId="45" xfId="0" applyNumberFormat="1" applyFont="1" applyFill="1" applyBorder="1" applyAlignment="1">
      <alignment vertical="center" wrapText="1"/>
    </xf>
    <xf numFmtId="0" fontId="47" fillId="2" borderId="45" xfId="0" applyFont="1" applyFill="1" applyBorder="1" applyAlignment="1">
      <alignment horizontal="center" vertical="center"/>
    </xf>
    <xf numFmtId="41" fontId="47" fillId="2" borderId="46" xfId="2" applyFont="1" applyFill="1" applyBorder="1" applyAlignment="1">
      <alignment vertical="center"/>
    </xf>
    <xf numFmtId="41" fontId="36" fillId="2" borderId="0" xfId="2" applyFont="1" applyFill="1" applyBorder="1" applyAlignment="1">
      <alignment vertical="center"/>
    </xf>
    <xf numFmtId="178" fontId="50" fillId="2" borderId="14" xfId="0" applyNumberFormat="1" applyFont="1" applyFill="1" applyBorder="1" applyAlignment="1">
      <alignment vertical="center"/>
    </xf>
    <xf numFmtId="177" fontId="50" fillId="2" borderId="36" xfId="0" applyNumberFormat="1" applyFont="1" applyFill="1" applyBorder="1" applyAlignment="1">
      <alignment vertical="center"/>
    </xf>
    <xf numFmtId="0" fontId="50" fillId="2" borderId="12" xfId="0" applyFont="1" applyFill="1" applyBorder="1" applyAlignment="1">
      <alignment vertical="center"/>
    </xf>
    <xf numFmtId="0" fontId="50" fillId="2" borderId="22" xfId="0" applyFont="1" applyFill="1" applyBorder="1" applyAlignment="1">
      <alignment vertical="center"/>
    </xf>
    <xf numFmtId="0" fontId="50" fillId="2" borderId="7" xfId="0" applyFont="1" applyFill="1" applyBorder="1" applyAlignment="1">
      <alignment vertical="center"/>
    </xf>
    <xf numFmtId="178" fontId="50" fillId="2" borderId="7" xfId="0" applyNumberFormat="1" applyFont="1" applyFill="1" applyBorder="1" applyAlignment="1">
      <alignment horizontal="right" vertical="center"/>
    </xf>
    <xf numFmtId="178" fontId="50" fillId="2" borderId="7" xfId="0" applyNumberFormat="1" applyFont="1" applyFill="1" applyBorder="1" applyAlignment="1">
      <alignment vertical="center"/>
    </xf>
    <xf numFmtId="178" fontId="50" fillId="2" borderId="7" xfId="0" applyNumberFormat="1" applyFont="1" applyFill="1" applyBorder="1" applyAlignment="1">
      <alignment horizontal="right" vertical="center" wrapText="1"/>
    </xf>
    <xf numFmtId="178" fontId="50" fillId="2" borderId="7" xfId="0" applyNumberFormat="1" applyFont="1" applyFill="1" applyBorder="1" applyAlignment="1">
      <alignment vertical="center" wrapText="1"/>
    </xf>
    <xf numFmtId="0" fontId="50" fillId="2" borderId="7" xfId="0" applyFont="1" applyFill="1" applyBorder="1" applyAlignment="1">
      <alignment horizontal="center" vertical="center"/>
    </xf>
    <xf numFmtId="41" fontId="50" fillId="2" borderId="4" xfId="2" applyFont="1" applyFill="1" applyBorder="1" applyAlignment="1">
      <alignment horizontal="right" vertical="center"/>
    </xf>
    <xf numFmtId="41" fontId="50" fillId="2" borderId="0" xfId="2" applyFont="1" applyFill="1" applyBorder="1" applyAlignment="1">
      <alignment vertical="center"/>
    </xf>
    <xf numFmtId="41" fontId="34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177" fontId="47" fillId="2" borderId="30" xfId="0" applyNumberFormat="1" applyFont="1" applyFill="1" applyBorder="1" applyAlignment="1">
      <alignment horizontal="center" vertical="center"/>
    </xf>
    <xf numFmtId="41" fontId="47" fillId="2" borderId="0" xfId="2" applyFont="1" applyFill="1" applyBorder="1" applyAlignment="1">
      <alignment horizontal="center" vertical="center"/>
    </xf>
    <xf numFmtId="41" fontId="47" fillId="2" borderId="3" xfId="2" applyFont="1" applyFill="1" applyBorder="1" applyAlignment="1">
      <alignment vertical="center"/>
    </xf>
    <xf numFmtId="178" fontId="47" fillId="2" borderId="7" xfId="0" applyNumberFormat="1" applyFont="1" applyFill="1" applyBorder="1" applyAlignment="1">
      <alignment horizontal="right" vertical="center"/>
    </xf>
    <xf numFmtId="178" fontId="47" fillId="2" borderId="7" xfId="0" applyNumberFormat="1" applyFont="1" applyFill="1" applyBorder="1" applyAlignment="1">
      <alignment horizontal="right" vertical="center" wrapText="1"/>
    </xf>
    <xf numFmtId="0" fontId="47" fillId="2" borderId="26" xfId="0" applyFont="1" applyFill="1" applyBorder="1" applyAlignment="1">
      <alignment vertical="center" shrinkToFit="1"/>
    </xf>
    <xf numFmtId="177" fontId="47" fillId="2" borderId="35" xfId="0" applyNumberFormat="1" applyFont="1" applyFill="1" applyBorder="1" applyAlignment="1">
      <alignment vertical="center" shrinkToFit="1"/>
    </xf>
    <xf numFmtId="0" fontId="47" fillId="2" borderId="13" xfId="0" applyFont="1" applyFill="1" applyBorder="1" applyAlignment="1">
      <alignment vertical="center"/>
    </xf>
    <xf numFmtId="178" fontId="47" fillId="2" borderId="13" xfId="0" applyNumberFormat="1" applyFont="1" applyFill="1" applyBorder="1" applyAlignment="1">
      <alignment vertical="center"/>
    </xf>
    <xf numFmtId="178" fontId="47" fillId="2" borderId="6" xfId="0" applyNumberFormat="1" applyFont="1" applyFill="1" applyBorder="1" applyAlignment="1">
      <alignment horizontal="right" vertical="center"/>
    </xf>
    <xf numFmtId="178" fontId="47" fillId="2" borderId="6" xfId="0" applyNumberFormat="1" applyFont="1" applyFill="1" applyBorder="1" applyAlignment="1">
      <alignment vertical="center"/>
    </xf>
    <xf numFmtId="178" fontId="47" fillId="2" borderId="6" xfId="0" applyNumberFormat="1" applyFont="1" applyFill="1" applyBorder="1" applyAlignment="1">
      <alignment horizontal="right" vertical="center" wrapText="1"/>
    </xf>
    <xf numFmtId="0" fontId="47" fillId="2" borderId="6" xfId="0" applyFont="1" applyFill="1" applyBorder="1" applyAlignment="1">
      <alignment horizontal="center" vertical="center"/>
    </xf>
    <xf numFmtId="177" fontId="47" fillId="2" borderId="36" xfId="0" applyNumberFormat="1" applyFont="1" applyFill="1" applyBorder="1" applyAlignment="1">
      <alignment vertical="center" shrinkToFit="1"/>
    </xf>
    <xf numFmtId="178" fontId="47" fillId="2" borderId="9" xfId="0" applyNumberFormat="1" applyFont="1" applyFill="1" applyBorder="1" applyAlignment="1">
      <alignment vertical="center"/>
    </xf>
    <xf numFmtId="177" fontId="47" fillId="2" borderId="34" xfId="0" applyNumberFormat="1" applyFont="1" applyFill="1" applyBorder="1" applyAlignment="1">
      <alignment vertical="center" shrinkToFit="1"/>
    </xf>
    <xf numFmtId="0" fontId="47" fillId="2" borderId="37" xfId="0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horizontal="right" vertical="center" wrapText="1"/>
    </xf>
    <xf numFmtId="3" fontId="47" fillId="2" borderId="22" xfId="6" applyNumberFormat="1" applyFont="1" applyFill="1" applyBorder="1" applyAlignment="1">
      <alignment horizontal="left" vertical="center"/>
    </xf>
    <xf numFmtId="178" fontId="47" fillId="2" borderId="0" xfId="0" applyNumberFormat="1" applyFont="1" applyFill="1" applyBorder="1" applyAlignment="1">
      <alignment horizontal="right" vertical="center" shrinkToFit="1"/>
    </xf>
    <xf numFmtId="179" fontId="47" fillId="2" borderId="0" xfId="0" applyNumberFormat="1" applyFont="1" applyFill="1" applyBorder="1" applyAlignment="1">
      <alignment vertical="center" wrapText="1"/>
    </xf>
    <xf numFmtId="41" fontId="47" fillId="2" borderId="0" xfId="2" applyFont="1" applyFill="1" applyBorder="1" applyAlignment="1">
      <alignment horizontal="right" vertical="center"/>
    </xf>
    <xf numFmtId="3" fontId="47" fillId="2" borderId="0" xfId="2" applyNumberFormat="1" applyFont="1" applyFill="1" applyBorder="1" applyAlignment="1">
      <alignment horizontal="left" vertical="center" wrapText="1"/>
    </xf>
    <xf numFmtId="3" fontId="50" fillId="2" borderId="0" xfId="6" applyNumberFormat="1" applyFont="1" applyFill="1" applyBorder="1" applyAlignment="1">
      <alignment vertical="center"/>
    </xf>
    <xf numFmtId="177" fontId="47" fillId="2" borderId="36" xfId="0" applyNumberFormat="1" applyFont="1" applyFill="1" applyBorder="1" applyAlignment="1">
      <alignment vertical="center"/>
    </xf>
    <xf numFmtId="3" fontId="47" fillId="2" borderId="29" xfId="6" applyNumberFormat="1" applyFont="1" applyFill="1" applyBorder="1" applyAlignment="1">
      <alignment vertical="center"/>
    </xf>
    <xf numFmtId="178" fontId="47" fillId="2" borderId="30" xfId="0" applyNumberFormat="1" applyFont="1" applyFill="1" applyBorder="1" applyAlignment="1">
      <alignment horizontal="right" vertical="center" wrapText="1"/>
    </xf>
    <xf numFmtId="41" fontId="47" fillId="2" borderId="0" xfId="2" applyFont="1" applyFill="1" applyBorder="1" applyAlignment="1">
      <alignment horizontal="center" vertical="center" wrapText="1"/>
    </xf>
    <xf numFmtId="0" fontId="47" fillId="2" borderId="32" xfId="0" applyFont="1" applyFill="1" applyBorder="1" applyAlignment="1">
      <alignment vertical="center"/>
    </xf>
    <xf numFmtId="178" fontId="47" fillId="2" borderId="25" xfId="0" applyNumberFormat="1" applyFont="1" applyFill="1" applyBorder="1" applyAlignment="1">
      <alignment vertical="center"/>
    </xf>
    <xf numFmtId="177" fontId="47" fillId="2" borderId="40" xfId="0" applyNumberFormat="1" applyFont="1" applyFill="1" applyBorder="1" applyAlignment="1">
      <alignment vertical="center" shrinkToFit="1"/>
    </xf>
    <xf numFmtId="3" fontId="47" fillId="2" borderId="20" xfId="6" applyNumberFormat="1" applyFont="1" applyFill="1" applyBorder="1" applyAlignment="1">
      <alignment vertical="center"/>
    </xf>
    <xf numFmtId="178" fontId="47" fillId="2" borderId="1" xfId="0" applyNumberFormat="1" applyFont="1" applyFill="1" applyBorder="1" applyAlignment="1">
      <alignment horizontal="right" vertical="center"/>
    </xf>
    <xf numFmtId="178" fontId="47" fillId="2" borderId="1" xfId="0" applyNumberFormat="1" applyFont="1" applyFill="1" applyBorder="1" applyAlignment="1">
      <alignment vertical="center"/>
    </xf>
    <xf numFmtId="178" fontId="47" fillId="2" borderId="1" xfId="0" applyNumberFormat="1" applyFont="1" applyFill="1" applyBorder="1" applyAlignment="1">
      <alignment horizontal="right" vertical="center" wrapText="1"/>
    </xf>
    <xf numFmtId="178" fontId="47" fillId="2" borderId="1" xfId="0" applyNumberFormat="1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center" vertical="center" wrapText="1"/>
    </xf>
    <xf numFmtId="178" fontId="50" fillId="2" borderId="25" xfId="0" applyNumberFormat="1" applyFont="1" applyFill="1" applyBorder="1" applyAlignment="1">
      <alignment vertical="center"/>
    </xf>
    <xf numFmtId="177" fontId="50" fillId="2" borderId="5" xfId="0" applyNumberFormat="1" applyFont="1" applyFill="1" applyBorder="1" applyAlignment="1">
      <alignment vertical="center" shrinkToFit="1"/>
    </xf>
    <xf numFmtId="3" fontId="50" fillId="2" borderId="20" xfId="6" applyNumberFormat="1" applyFont="1" applyFill="1" applyBorder="1" applyAlignment="1">
      <alignment vertical="center"/>
    </xf>
    <xf numFmtId="3" fontId="50" fillId="2" borderId="1" xfId="6" applyNumberFormat="1" applyFont="1" applyFill="1" applyBorder="1" applyAlignment="1">
      <alignment vertical="center"/>
    </xf>
    <xf numFmtId="178" fontId="50" fillId="2" borderId="1" xfId="0" applyNumberFormat="1" applyFont="1" applyFill="1" applyBorder="1" applyAlignment="1">
      <alignment horizontal="right" vertical="center"/>
    </xf>
    <xf numFmtId="178" fontId="50" fillId="2" borderId="1" xfId="0" applyNumberFormat="1" applyFont="1" applyFill="1" applyBorder="1" applyAlignment="1">
      <alignment vertical="center"/>
    </xf>
    <xf numFmtId="178" fontId="50" fillId="2" borderId="1" xfId="0" applyNumberFormat="1" applyFont="1" applyFill="1" applyBorder="1" applyAlignment="1">
      <alignment horizontal="right" vertical="center" wrapText="1"/>
    </xf>
    <xf numFmtId="0" fontId="50" fillId="2" borderId="1" xfId="0" applyFont="1" applyFill="1" applyBorder="1" applyAlignment="1">
      <alignment vertical="center"/>
    </xf>
    <xf numFmtId="0" fontId="50" fillId="2" borderId="1" xfId="0" applyFont="1" applyFill="1" applyBorder="1" applyAlignment="1">
      <alignment horizontal="center" vertical="center"/>
    </xf>
    <xf numFmtId="41" fontId="50" fillId="2" borderId="5" xfId="2" applyFont="1" applyFill="1" applyBorder="1" applyAlignment="1">
      <alignment horizontal="right" vertical="center"/>
    </xf>
    <xf numFmtId="177" fontId="47" fillId="2" borderId="7" xfId="0" applyNumberFormat="1" applyFont="1" applyFill="1" applyBorder="1" applyAlignment="1">
      <alignment vertical="center"/>
    </xf>
    <xf numFmtId="177" fontId="47" fillId="2" borderId="7" xfId="0" applyNumberFormat="1" applyFont="1" applyFill="1" applyBorder="1" applyAlignment="1">
      <alignment horizontal="right" vertical="center"/>
    </xf>
    <xf numFmtId="0" fontId="47" fillId="2" borderId="29" xfId="0" applyFont="1" applyFill="1" applyBorder="1" applyAlignment="1">
      <alignment horizontal="center" vertical="center"/>
    </xf>
    <xf numFmtId="0" fontId="47" fillId="2" borderId="22" xfId="0" applyFont="1" applyFill="1" applyBorder="1" applyAlignment="1">
      <alignment horizontal="center" vertical="center"/>
    </xf>
    <xf numFmtId="0" fontId="47" fillId="2" borderId="22" xfId="0" applyFont="1" applyFill="1" applyBorder="1" applyAlignment="1">
      <alignment horizontal="left" vertical="center"/>
    </xf>
    <xf numFmtId="41" fontId="48" fillId="2" borderId="0" xfId="2" applyFont="1" applyFill="1" applyBorder="1" applyAlignment="1">
      <alignment horizontal="center"/>
    </xf>
    <xf numFmtId="0" fontId="57" fillId="2" borderId="0" xfId="0" applyFont="1" applyFill="1" applyBorder="1" applyAlignment="1"/>
    <xf numFmtId="0" fontId="57" fillId="2" borderId="26" xfId="0" applyFont="1" applyFill="1" applyBorder="1" applyAlignment="1"/>
    <xf numFmtId="177" fontId="47" fillId="2" borderId="35" xfId="0" applyNumberFormat="1" applyFont="1" applyFill="1" applyBorder="1" applyAlignment="1">
      <alignment vertical="center"/>
    </xf>
    <xf numFmtId="0" fontId="47" fillId="2" borderId="52" xfId="0" applyFont="1" applyFill="1" applyBorder="1" applyAlignment="1">
      <alignment vertical="center"/>
    </xf>
    <xf numFmtId="41" fontId="0" fillId="2" borderId="0" xfId="2" applyFont="1" applyFill="1" applyBorder="1" applyAlignment="1"/>
    <xf numFmtId="0" fontId="0" fillId="2" borderId="0" xfId="0" applyFont="1" applyFill="1" applyBorder="1" applyAlignment="1"/>
    <xf numFmtId="176" fontId="16" fillId="2" borderId="0" xfId="0" applyNumberFormat="1" applyFont="1" applyFill="1" applyBorder="1" applyAlignment="1">
      <alignment horizontal="left" vertical="center" wrapText="1"/>
    </xf>
    <xf numFmtId="41" fontId="17" fillId="2" borderId="0" xfId="2" applyFont="1" applyFill="1" applyBorder="1" applyAlignment="1"/>
    <xf numFmtId="0" fontId="47" fillId="2" borderId="52" xfId="0" applyFont="1" applyFill="1" applyBorder="1" applyAlignment="1">
      <alignment horizontal="left" vertical="center"/>
    </xf>
    <xf numFmtId="176" fontId="47" fillId="2" borderId="24" xfId="0" applyNumberFormat="1" applyFont="1" applyFill="1" applyBorder="1" applyAlignment="1">
      <alignment horizontal="left" vertical="center"/>
    </xf>
    <xf numFmtId="176" fontId="47" fillId="2" borderId="6" xfId="0" applyNumberFormat="1" applyFont="1" applyFill="1" applyBorder="1" applyAlignment="1">
      <alignment horizontal="left" vertical="center" wrapText="1"/>
    </xf>
    <xf numFmtId="176" fontId="47" fillId="2" borderId="16" xfId="0" applyNumberFormat="1" applyFont="1" applyFill="1" applyBorder="1" applyAlignment="1">
      <alignment horizontal="left" vertical="center"/>
    </xf>
    <xf numFmtId="176" fontId="47" fillId="2" borderId="0" xfId="0" applyNumberFormat="1" applyFont="1" applyFill="1" applyBorder="1" applyAlignment="1">
      <alignment horizontal="left" vertical="center" wrapText="1"/>
    </xf>
    <xf numFmtId="177" fontId="47" fillId="2" borderId="30" xfId="0" applyNumberFormat="1" applyFont="1" applyFill="1" applyBorder="1" applyAlignment="1">
      <alignment horizontal="right" vertical="center"/>
    </xf>
    <xf numFmtId="3" fontId="16" fillId="2" borderId="13" xfId="6" applyNumberFormat="1" applyFont="1" applyFill="1" applyBorder="1" applyAlignment="1">
      <alignment vertical="center"/>
    </xf>
    <xf numFmtId="3" fontId="16" fillId="2" borderId="28" xfId="0" applyNumberFormat="1" applyFont="1" applyFill="1" applyBorder="1" applyAlignment="1">
      <alignment vertical="center"/>
    </xf>
    <xf numFmtId="177" fontId="16" fillId="2" borderId="13" xfId="2" applyNumberFormat="1" applyFont="1" applyFill="1" applyBorder="1" applyAlignment="1">
      <alignment vertical="center"/>
    </xf>
    <xf numFmtId="3" fontId="16" fillId="2" borderId="10" xfId="0" applyNumberFormat="1" applyFont="1" applyFill="1" applyBorder="1" applyAlignment="1">
      <alignment vertical="center" wrapText="1"/>
    </xf>
    <xf numFmtId="177" fontId="16" fillId="2" borderId="31" xfId="0" applyNumberFormat="1" applyFont="1" applyFill="1" applyBorder="1" applyAlignment="1">
      <alignment vertical="center" wrapText="1"/>
    </xf>
    <xf numFmtId="3" fontId="16" fillId="2" borderId="0" xfId="0" quotePrefix="1" applyNumberFormat="1" applyFont="1" applyFill="1" applyBorder="1" applyAlignment="1">
      <alignment horizontal="center" vertical="center"/>
    </xf>
    <xf numFmtId="177" fontId="16" fillId="2" borderId="2" xfId="2" applyNumberFormat="1" applyFont="1" applyFill="1" applyBorder="1" applyAlignment="1">
      <alignment horizontal="right" vertical="center"/>
    </xf>
    <xf numFmtId="177" fontId="47" fillId="2" borderId="13" xfId="6" applyNumberFormat="1" applyFont="1" applyFill="1" applyBorder="1" applyAlignment="1">
      <alignment vertical="center"/>
    </xf>
    <xf numFmtId="0" fontId="48" fillId="2" borderId="30" xfId="0" applyFont="1" applyFill="1" applyBorder="1" applyAlignment="1">
      <alignment vertical="center"/>
    </xf>
    <xf numFmtId="0" fontId="47" fillId="2" borderId="30" xfId="0" quotePrefix="1" applyFont="1" applyFill="1" applyBorder="1" applyAlignment="1">
      <alignment horizontal="center" vertical="center"/>
    </xf>
    <xf numFmtId="177" fontId="47" fillId="2" borderId="10" xfId="0" applyNumberFormat="1" applyFont="1" applyFill="1" applyBorder="1" applyAlignment="1">
      <alignment vertical="center"/>
    </xf>
    <xf numFmtId="9" fontId="47" fillId="2" borderId="0" xfId="0" applyNumberFormat="1" applyFont="1" applyFill="1" applyBorder="1" applyAlignment="1">
      <alignment vertical="center"/>
    </xf>
    <xf numFmtId="0" fontId="47" fillId="2" borderId="11" xfId="0" applyFont="1" applyFill="1" applyBorder="1" applyAlignment="1">
      <alignment horizontal="left" vertical="center"/>
    </xf>
    <xf numFmtId="0" fontId="47" fillId="2" borderId="25" xfId="0" applyFont="1" applyFill="1" applyBorder="1" applyAlignment="1">
      <alignment horizontal="left" vertical="center"/>
    </xf>
    <xf numFmtId="0" fontId="47" fillId="2" borderId="41" xfId="0" applyFont="1" applyFill="1" applyBorder="1" applyAlignment="1">
      <alignment vertical="center" wrapText="1"/>
    </xf>
    <xf numFmtId="3" fontId="47" fillId="2" borderId="25" xfId="0" applyNumberFormat="1" applyFont="1" applyFill="1" applyBorder="1" applyAlignment="1">
      <alignment vertical="center"/>
    </xf>
    <xf numFmtId="177" fontId="47" fillId="2" borderId="25" xfId="0" applyNumberFormat="1" applyFont="1" applyFill="1" applyBorder="1" applyAlignment="1">
      <alignment vertical="center"/>
    </xf>
    <xf numFmtId="3" fontId="47" fillId="2" borderId="20" xfId="0" applyNumberFormat="1" applyFont="1" applyFill="1" applyBorder="1" applyAlignment="1">
      <alignment vertical="center"/>
    </xf>
    <xf numFmtId="3" fontId="47" fillId="2" borderId="1" xfId="6" applyNumberFormat="1" applyFont="1" applyFill="1" applyBorder="1" applyAlignment="1">
      <alignment horizontal="left" vertical="center"/>
    </xf>
    <xf numFmtId="3" fontId="47" fillId="2" borderId="1" xfId="6" applyNumberFormat="1" applyFont="1" applyFill="1" applyBorder="1" applyAlignment="1">
      <alignment horizontal="right" vertical="center"/>
    </xf>
    <xf numFmtId="0" fontId="48" fillId="2" borderId="1" xfId="0" applyFont="1" applyFill="1" applyBorder="1" applyAlignment="1">
      <alignment vertical="center"/>
    </xf>
    <xf numFmtId="3" fontId="47" fillId="2" borderId="1" xfId="0" applyNumberFormat="1" applyFont="1" applyFill="1" applyBorder="1" applyAlignment="1">
      <alignment horizontal="center" vertical="center"/>
    </xf>
    <xf numFmtId="178" fontId="47" fillId="2" borderId="5" xfId="2" applyNumberFormat="1" applyFont="1" applyFill="1" applyBorder="1" applyAlignment="1">
      <alignment vertical="center"/>
    </xf>
    <xf numFmtId="0" fontId="23" fillId="2" borderId="0" xfId="0" applyFont="1" applyFill="1" applyBorder="1" applyAlignment="1"/>
    <xf numFmtId="178" fontId="23" fillId="2" borderId="0" xfId="0" applyNumberFormat="1" applyFont="1" applyFill="1" applyBorder="1" applyAlignment="1"/>
    <xf numFmtId="177" fontId="23" fillId="2" borderId="0" xfId="0" applyNumberFormat="1" applyFont="1" applyFill="1" applyBorder="1" applyAlignment="1"/>
    <xf numFmtId="178" fontId="0" fillId="2" borderId="0" xfId="0" applyNumberFormat="1" applyFont="1" applyFill="1" applyBorder="1" applyAlignment="1">
      <alignment horizontal="right"/>
    </xf>
    <xf numFmtId="178" fontId="0" fillId="2" borderId="0" xfId="0" applyNumberFormat="1" applyFont="1" applyFill="1" applyBorder="1" applyAlignment="1">
      <alignment horizontal="right" wrapText="1"/>
    </xf>
    <xf numFmtId="178" fontId="0" fillId="2" borderId="0" xfId="0" applyNumberFormat="1" applyFont="1" applyFill="1" applyBorder="1" applyAlignment="1">
      <alignment wrapText="1"/>
    </xf>
    <xf numFmtId="41" fontId="13" fillId="2" borderId="0" xfId="2" applyFont="1" applyFill="1" applyAlignment="1">
      <alignment vertical="center"/>
    </xf>
    <xf numFmtId="177" fontId="46" fillId="2" borderId="0" xfId="0" applyNumberFormat="1" applyFont="1" applyFill="1" applyBorder="1" applyAlignment="1">
      <alignment vertical="center"/>
    </xf>
    <xf numFmtId="177" fontId="16" fillId="2" borderId="0" xfId="0" applyNumberFormat="1" applyFont="1" applyFill="1" applyBorder="1" applyAlignment="1">
      <alignment horizontal="right" vertical="center"/>
    </xf>
    <xf numFmtId="180" fontId="16" fillId="2" borderId="0" xfId="2" applyNumberFormat="1" applyFont="1" applyFill="1" applyBorder="1" applyAlignment="1">
      <alignment horizontal="right" vertical="center"/>
    </xf>
    <xf numFmtId="177" fontId="16" fillId="2" borderId="25" xfId="0" applyNumberFormat="1" applyFont="1" applyFill="1" applyBorder="1" applyAlignment="1">
      <alignment horizontal="center" vertical="center"/>
    </xf>
    <xf numFmtId="0" fontId="18" fillId="2" borderId="47" xfId="0" applyFont="1" applyFill="1" applyBorder="1" applyAlignment="1">
      <alignment vertical="center"/>
    </xf>
    <xf numFmtId="0" fontId="18" fillId="2" borderId="54" xfId="0" applyFont="1" applyFill="1" applyBorder="1" applyAlignment="1">
      <alignment vertical="center"/>
    </xf>
    <xf numFmtId="0" fontId="18" fillId="2" borderId="45" xfId="0" applyFont="1" applyFill="1" applyBorder="1" applyAlignment="1">
      <alignment vertical="center"/>
    </xf>
    <xf numFmtId="0" fontId="18" fillId="2" borderId="49" xfId="0" applyFont="1" applyFill="1" applyBorder="1" applyAlignment="1">
      <alignment vertical="center"/>
    </xf>
    <xf numFmtId="177" fontId="18" fillId="2" borderId="25" xfId="0" applyNumberFormat="1" applyFont="1" applyFill="1" applyBorder="1" applyAlignment="1">
      <alignment vertical="center"/>
    </xf>
    <xf numFmtId="177" fontId="18" fillId="2" borderId="40" xfId="0" applyNumberFormat="1" applyFont="1" applyFill="1" applyBorder="1" applyAlignment="1">
      <alignment vertical="center"/>
    </xf>
    <xf numFmtId="177" fontId="16" fillId="2" borderId="1" xfId="0" applyNumberFormat="1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/>
    </xf>
    <xf numFmtId="177" fontId="16" fillId="2" borderId="1" xfId="0" applyNumberFormat="1" applyFont="1" applyFill="1" applyBorder="1" applyAlignment="1">
      <alignment horizontal="right" vertical="center"/>
    </xf>
    <xf numFmtId="41" fontId="25" fillId="2" borderId="0" xfId="2" applyFont="1" applyFill="1" applyAlignment="1">
      <alignment vertical="center"/>
    </xf>
    <xf numFmtId="0" fontId="18" fillId="2" borderId="16" xfId="0" applyFont="1" applyFill="1" applyBorder="1" applyAlignment="1">
      <alignment horizontal="left" vertical="center"/>
    </xf>
    <xf numFmtId="0" fontId="18" fillId="2" borderId="38" xfId="0" applyFont="1" applyFill="1" applyBorder="1" applyAlignment="1">
      <alignment horizontal="left" vertical="center"/>
    </xf>
    <xf numFmtId="177" fontId="18" fillId="2" borderId="14" xfId="0" applyNumberFormat="1" applyFont="1" applyFill="1" applyBorder="1" applyAlignment="1">
      <alignment vertical="center"/>
    </xf>
    <xf numFmtId="177" fontId="18" fillId="2" borderId="36" xfId="0" applyNumberFormat="1" applyFont="1" applyFill="1" applyBorder="1" applyAlignment="1">
      <alignment vertical="center"/>
    </xf>
    <xf numFmtId="0" fontId="25" fillId="2" borderId="12" xfId="0" applyFont="1" applyFill="1" applyBorder="1" applyAlignment="1">
      <alignment vertical="center"/>
    </xf>
    <xf numFmtId="0" fontId="18" fillId="2" borderId="22" xfId="0" applyFont="1" applyFill="1" applyBorder="1" applyAlignment="1">
      <alignment vertical="center"/>
    </xf>
    <xf numFmtId="0" fontId="18" fillId="2" borderId="7" xfId="0" applyFont="1" applyFill="1" applyBorder="1" applyAlignment="1">
      <alignment vertical="center"/>
    </xf>
    <xf numFmtId="177" fontId="18" fillId="2" borderId="7" xfId="0" applyNumberFormat="1" applyFont="1" applyFill="1" applyBorder="1" applyAlignment="1">
      <alignment vertical="center"/>
    </xf>
    <xf numFmtId="177" fontId="18" fillId="2" borderId="7" xfId="0" applyNumberFormat="1" applyFont="1" applyFill="1" applyBorder="1" applyAlignment="1">
      <alignment horizontal="right" vertical="center"/>
    </xf>
    <xf numFmtId="3" fontId="18" fillId="2" borderId="4" xfId="2" applyNumberFormat="1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49" fontId="16" fillId="2" borderId="29" xfId="0" applyNumberFormat="1" applyFont="1" applyFill="1" applyBorder="1" applyAlignment="1">
      <alignment vertical="center"/>
    </xf>
    <xf numFmtId="49" fontId="16" fillId="2" borderId="30" xfId="0" applyNumberFormat="1" applyFont="1" applyFill="1" applyBorder="1" applyAlignment="1">
      <alignment vertical="center"/>
    </xf>
    <xf numFmtId="49" fontId="16" fillId="2" borderId="30" xfId="0" applyNumberFormat="1" applyFont="1" applyFill="1" applyBorder="1" applyAlignment="1">
      <alignment horizontal="left" vertical="center"/>
    </xf>
    <xf numFmtId="49" fontId="16" fillId="2" borderId="30" xfId="0" applyNumberFormat="1" applyFont="1" applyFill="1" applyBorder="1" applyAlignment="1">
      <alignment horizontal="right" vertical="center"/>
    </xf>
    <xf numFmtId="177" fontId="16" fillId="2" borderId="30" xfId="0" applyNumberFormat="1" applyFont="1" applyFill="1" applyBorder="1" applyAlignment="1">
      <alignment vertical="center"/>
    </xf>
    <xf numFmtId="41" fontId="16" fillId="2" borderId="15" xfId="2" applyNumberFormat="1" applyFont="1" applyFill="1" applyBorder="1" applyAlignment="1">
      <alignment vertical="center"/>
    </xf>
    <xf numFmtId="49" fontId="16" fillId="2" borderId="16" xfId="6" applyNumberFormat="1" applyFont="1" applyFill="1" applyBorder="1" applyAlignment="1">
      <alignment vertical="center"/>
    </xf>
    <xf numFmtId="49" fontId="16" fillId="2" borderId="0" xfId="6" applyNumberFormat="1" applyFont="1" applyFill="1" applyBorder="1" applyAlignment="1">
      <alignment vertical="center"/>
    </xf>
    <xf numFmtId="49" fontId="16" fillId="2" borderId="0" xfId="6" applyNumberFormat="1" applyFont="1" applyFill="1" applyBorder="1" applyAlignment="1">
      <alignment horizontal="right" vertical="center"/>
    </xf>
    <xf numFmtId="49" fontId="16" fillId="2" borderId="0" xfId="6" applyNumberFormat="1" applyFont="1" applyFill="1" applyBorder="1" applyAlignment="1">
      <alignment horizontal="center" vertical="center"/>
    </xf>
    <xf numFmtId="3" fontId="16" fillId="2" borderId="0" xfId="6" quotePrefix="1" applyNumberFormat="1" applyFont="1" applyFill="1" applyBorder="1" applyAlignment="1">
      <alignment vertical="center"/>
    </xf>
    <xf numFmtId="49" fontId="16" fillId="2" borderId="0" xfId="6" applyNumberFormat="1" applyFont="1" applyFill="1" applyBorder="1" applyAlignment="1">
      <alignment horizontal="left" vertical="center"/>
    </xf>
    <xf numFmtId="49" fontId="16" fillId="2" borderId="0" xfId="2" applyNumberFormat="1" applyFont="1" applyFill="1" applyBorder="1" applyAlignment="1">
      <alignment horizontal="center" vertical="center"/>
    </xf>
    <xf numFmtId="3" fontId="16" fillId="2" borderId="9" xfId="6" applyNumberFormat="1" applyFont="1" applyFill="1" applyBorder="1" applyAlignment="1">
      <alignment vertical="center"/>
    </xf>
    <xf numFmtId="177" fontId="16" fillId="2" borderId="34" xfId="6" applyNumberFormat="1" applyFont="1" applyFill="1" applyBorder="1" applyAlignment="1">
      <alignment horizontal="right" vertical="center"/>
    </xf>
    <xf numFmtId="49" fontId="16" fillId="2" borderId="24" xfId="6" applyNumberFormat="1" applyFont="1" applyFill="1" applyBorder="1" applyAlignment="1">
      <alignment vertical="center"/>
    </xf>
    <xf numFmtId="49" fontId="16" fillId="2" borderId="6" xfId="6" applyNumberFormat="1" applyFont="1" applyFill="1" applyBorder="1" applyAlignment="1">
      <alignment vertical="center"/>
    </xf>
    <xf numFmtId="49" fontId="16" fillId="2" borderId="6" xfId="0" applyNumberFormat="1" applyFont="1" applyFill="1" applyBorder="1" applyAlignment="1">
      <alignment vertical="center"/>
    </xf>
    <xf numFmtId="49" fontId="16" fillId="2" borderId="6" xfId="2" applyNumberFormat="1" applyFont="1" applyFill="1" applyBorder="1" applyAlignment="1">
      <alignment vertical="center"/>
    </xf>
    <xf numFmtId="49" fontId="16" fillId="2" borderId="6" xfId="6" applyNumberFormat="1" applyFont="1" applyFill="1" applyBorder="1" applyAlignment="1">
      <alignment horizontal="right" vertical="center"/>
    </xf>
    <xf numFmtId="3" fontId="16" fillId="2" borderId="6" xfId="6" applyNumberFormat="1" applyFont="1" applyFill="1" applyBorder="1" applyAlignment="1">
      <alignment vertical="center"/>
    </xf>
    <xf numFmtId="41" fontId="16" fillId="2" borderId="6" xfId="2" applyFont="1" applyFill="1" applyBorder="1" applyAlignment="1">
      <alignment vertical="center"/>
    </xf>
    <xf numFmtId="181" fontId="16" fillId="2" borderId="6" xfId="2" applyNumberFormat="1" applyFont="1" applyFill="1" applyBorder="1" applyAlignment="1">
      <alignment vertical="center"/>
    </xf>
    <xf numFmtId="41" fontId="0" fillId="2" borderId="0" xfId="2" applyFont="1" applyFill="1" applyAlignment="1">
      <alignment horizontal="center" vertical="center"/>
    </xf>
    <xf numFmtId="9" fontId="16" fillId="2" borderId="0" xfId="1" applyNumberFormat="1" applyFont="1" applyFill="1" applyBorder="1" applyAlignment="1">
      <alignment vertical="center"/>
    </xf>
    <xf numFmtId="3" fontId="16" fillId="2" borderId="14" xfId="6" applyNumberFormat="1" applyFont="1" applyFill="1" applyBorder="1" applyAlignment="1">
      <alignment vertical="center"/>
    </xf>
    <xf numFmtId="177" fontId="16" fillId="2" borderId="36" xfId="6" applyNumberFormat="1" applyFont="1" applyFill="1" applyBorder="1" applyAlignment="1">
      <alignment horizontal="right" vertical="center"/>
    </xf>
    <xf numFmtId="49" fontId="16" fillId="2" borderId="22" xfId="6" applyNumberFormat="1" applyFont="1" applyFill="1" applyBorder="1" applyAlignment="1">
      <alignment horizontal="left" vertical="center"/>
    </xf>
    <xf numFmtId="49" fontId="16" fillId="2" borderId="7" xfId="6" applyNumberFormat="1" applyFont="1" applyFill="1" applyBorder="1" applyAlignment="1">
      <alignment vertical="center"/>
    </xf>
    <xf numFmtId="49" fontId="16" fillId="2" borderId="7" xfId="2" applyNumberFormat="1" applyFont="1" applyFill="1" applyBorder="1" applyAlignment="1">
      <alignment vertical="center"/>
    </xf>
    <xf numFmtId="49" fontId="16" fillId="2" borderId="7" xfId="6" applyNumberFormat="1" applyFont="1" applyFill="1" applyBorder="1" applyAlignment="1">
      <alignment horizontal="right" vertical="center"/>
    </xf>
    <xf numFmtId="184" fontId="16" fillId="2" borderId="7" xfId="1" applyNumberFormat="1" applyFont="1" applyFill="1" applyBorder="1" applyAlignment="1">
      <alignment vertical="center"/>
    </xf>
    <xf numFmtId="0" fontId="16" fillId="2" borderId="22" xfId="0" applyFont="1" applyFill="1" applyBorder="1" applyAlignment="1">
      <alignment horizontal="center" vertical="center"/>
    </xf>
    <xf numFmtId="178" fontId="16" fillId="2" borderId="7" xfId="0" applyNumberFormat="1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vertical="center" shrinkToFit="1"/>
    </xf>
    <xf numFmtId="3" fontId="16" fillId="2" borderId="12" xfId="6" applyNumberFormat="1" applyFont="1" applyFill="1" applyBorder="1" applyAlignment="1">
      <alignment vertical="center"/>
    </xf>
    <xf numFmtId="3" fontId="16" fillId="2" borderId="22" xfId="6" applyNumberFormat="1" applyFont="1" applyFill="1" applyBorder="1" applyAlignment="1">
      <alignment vertical="center"/>
    </xf>
    <xf numFmtId="3" fontId="16" fillId="2" borderId="7" xfId="1" applyNumberFormat="1" applyFont="1" applyFill="1" applyBorder="1" applyAlignment="1">
      <alignment vertical="center"/>
    </xf>
    <xf numFmtId="3" fontId="16" fillId="2" borderId="6" xfId="6" applyNumberFormat="1" applyFont="1" applyFill="1" applyBorder="1" applyAlignment="1">
      <alignment horizontal="right" vertical="center"/>
    </xf>
    <xf numFmtId="176" fontId="16" fillId="2" borderId="7" xfId="1" applyNumberFormat="1" applyFont="1" applyFill="1" applyBorder="1" applyAlignment="1">
      <alignment vertical="center"/>
    </xf>
    <xf numFmtId="0" fontId="0" fillId="2" borderId="12" xfId="0" applyFont="1" applyFill="1" applyBorder="1"/>
    <xf numFmtId="3" fontId="15" fillId="2" borderId="10" xfId="6" applyNumberFormat="1" applyFont="1" applyFill="1" applyBorder="1" applyAlignment="1">
      <alignment horizontal="center" vertical="center"/>
    </xf>
    <xf numFmtId="3" fontId="16" fillId="2" borderId="29" xfId="6" applyNumberFormat="1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right" vertical="center"/>
    </xf>
    <xf numFmtId="0" fontId="16" fillId="2" borderId="52" xfId="0" applyFont="1" applyFill="1" applyBorder="1" applyAlignment="1">
      <alignment vertical="center"/>
    </xf>
    <xf numFmtId="177" fontId="18" fillId="2" borderId="62" xfId="0" applyNumberFormat="1" applyFont="1" applyFill="1" applyBorder="1" applyAlignment="1">
      <alignment vertical="center"/>
    </xf>
    <xf numFmtId="3" fontId="18" fillId="2" borderId="44" xfId="6" applyNumberFormat="1" applyFont="1" applyFill="1" applyBorder="1" applyAlignment="1">
      <alignment vertical="center"/>
    </xf>
    <xf numFmtId="3" fontId="18" fillId="2" borderId="45" xfId="2" applyNumberFormat="1" applyFont="1" applyFill="1" applyBorder="1" applyAlignment="1">
      <alignment vertical="center"/>
    </xf>
    <xf numFmtId="3" fontId="18" fillId="2" borderId="45" xfId="6" applyNumberFormat="1" applyFont="1" applyFill="1" applyBorder="1" applyAlignment="1">
      <alignment horizontal="right" vertical="center"/>
    </xf>
    <xf numFmtId="3" fontId="18" fillId="2" borderId="46" xfId="2" applyNumberFormat="1" applyFont="1" applyFill="1" applyBorder="1" applyAlignment="1">
      <alignment vertical="center"/>
    </xf>
    <xf numFmtId="41" fontId="18" fillId="2" borderId="0" xfId="2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16" fillId="2" borderId="14" xfId="0" applyFont="1" applyFill="1" applyBorder="1" applyAlignment="1">
      <alignment horizontal="left" vertical="center"/>
    </xf>
    <xf numFmtId="177" fontId="16" fillId="2" borderId="7" xfId="0" applyNumberFormat="1" applyFont="1" applyFill="1" applyBorder="1" applyAlignment="1">
      <alignment vertical="center"/>
    </xf>
    <xf numFmtId="177" fontId="16" fillId="2" borderId="7" xfId="0" applyNumberFormat="1" applyFont="1" applyFill="1" applyBorder="1" applyAlignment="1">
      <alignment horizontal="right" vertical="center"/>
    </xf>
    <xf numFmtId="177" fontId="16" fillId="2" borderId="4" xfId="0" applyNumberFormat="1" applyFont="1" applyFill="1" applyBorder="1" applyAlignment="1">
      <alignment vertical="center"/>
    </xf>
    <xf numFmtId="177" fontId="16" fillId="2" borderId="2" xfId="6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177" fontId="16" fillId="2" borderId="34" xfId="6" applyNumberFormat="1" applyFont="1" applyFill="1" applyBorder="1" applyAlignment="1">
      <alignment vertical="center"/>
    </xf>
    <xf numFmtId="0" fontId="16" fillId="2" borderId="15" xfId="0" quotePrefix="1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182" fontId="16" fillId="2" borderId="0" xfId="0" applyNumberFormat="1" applyFont="1" applyFill="1" applyBorder="1" applyAlignment="1">
      <alignment vertical="center"/>
    </xf>
    <xf numFmtId="43" fontId="0" fillId="2" borderId="0" xfId="0" applyNumberFormat="1" applyFont="1" applyFill="1" applyBorder="1" applyAlignment="1">
      <alignment vertical="center"/>
    </xf>
    <xf numFmtId="0" fontId="16" fillId="2" borderId="21" xfId="0" applyFont="1" applyFill="1" applyBorder="1" applyAlignment="1">
      <alignment vertical="center" wrapText="1"/>
    </xf>
    <xf numFmtId="3" fontId="16" fillId="2" borderId="14" xfId="0" applyNumberFormat="1" applyFont="1" applyFill="1" applyBorder="1" applyAlignment="1">
      <alignment vertical="center"/>
    </xf>
    <xf numFmtId="0" fontId="16" fillId="2" borderId="23" xfId="0" applyFont="1" applyFill="1" applyBorder="1" applyAlignment="1">
      <alignment horizontal="left" vertical="center"/>
    </xf>
    <xf numFmtId="4" fontId="16" fillId="2" borderId="0" xfId="0" applyNumberFormat="1" applyFont="1" applyFill="1" applyBorder="1" applyAlignment="1">
      <alignment vertical="center"/>
    </xf>
    <xf numFmtId="0" fontId="16" fillId="2" borderId="13" xfId="0" applyFont="1" applyFill="1" applyBorder="1" applyAlignment="1">
      <alignment horizontal="left" vertical="center"/>
    </xf>
    <xf numFmtId="177" fontId="16" fillId="2" borderId="30" xfId="0" applyNumberFormat="1" applyFont="1" applyFill="1" applyBorder="1" applyAlignment="1">
      <alignment horizontal="right" vertical="center"/>
    </xf>
    <xf numFmtId="177" fontId="16" fillId="2" borderId="15" xfId="0" applyNumberFormat="1" applyFont="1" applyFill="1" applyBorder="1" applyAlignment="1">
      <alignment vertical="center"/>
    </xf>
    <xf numFmtId="3" fontId="16" fillId="2" borderId="23" xfId="6" applyNumberFormat="1" applyFont="1" applyFill="1" applyBorder="1" applyAlignment="1">
      <alignment vertical="center"/>
    </xf>
    <xf numFmtId="177" fontId="16" fillId="2" borderId="4" xfId="6" applyNumberFormat="1" applyFont="1" applyFill="1" applyBorder="1" applyAlignment="1">
      <alignment vertical="center"/>
    </xf>
    <xf numFmtId="0" fontId="47" fillId="2" borderId="7" xfId="0" quotePrefix="1" applyFont="1" applyFill="1" applyBorder="1" applyAlignment="1">
      <alignment horizontal="center" vertical="center"/>
    </xf>
    <xf numFmtId="3" fontId="47" fillId="2" borderId="31" xfId="6" applyNumberFormat="1" applyFont="1" applyFill="1" applyBorder="1" applyAlignment="1">
      <alignment vertical="center"/>
    </xf>
    <xf numFmtId="177" fontId="47" fillId="2" borderId="56" xfId="6" applyNumberFormat="1" applyFont="1" applyFill="1" applyBorder="1" applyAlignment="1">
      <alignment vertical="center"/>
    </xf>
    <xf numFmtId="177" fontId="47" fillId="2" borderId="15" xfId="0" applyNumberFormat="1" applyFont="1" applyFill="1" applyBorder="1" applyAlignment="1">
      <alignment vertical="center"/>
    </xf>
    <xf numFmtId="182" fontId="47" fillId="2" borderId="0" xfId="0" applyNumberFormat="1" applyFont="1" applyFill="1" applyBorder="1" applyAlignment="1">
      <alignment vertical="center"/>
    </xf>
    <xf numFmtId="3" fontId="47" fillId="2" borderId="23" xfId="6" applyNumberFormat="1" applyFont="1" applyFill="1" applyBorder="1" applyAlignment="1">
      <alignment vertical="center"/>
    </xf>
    <xf numFmtId="0" fontId="47" fillId="2" borderId="14" xfId="0" applyFont="1" applyFill="1" applyBorder="1" applyAlignment="1">
      <alignment vertical="center" wrapText="1"/>
    </xf>
    <xf numFmtId="177" fontId="47" fillId="2" borderId="14" xfId="0" applyNumberFormat="1" applyFont="1" applyFill="1" applyBorder="1" applyAlignment="1">
      <alignment vertical="center"/>
    </xf>
    <xf numFmtId="3" fontId="16" fillId="2" borderId="27" xfId="6" applyNumberFormat="1" applyFont="1" applyFill="1" applyBorder="1" applyAlignment="1">
      <alignment vertical="center"/>
    </xf>
    <xf numFmtId="0" fontId="16" fillId="2" borderId="25" xfId="0" applyFont="1" applyFill="1" applyBorder="1" applyAlignment="1">
      <alignment vertical="center" wrapText="1"/>
    </xf>
    <xf numFmtId="3" fontId="16" fillId="2" borderId="1" xfId="0" applyNumberFormat="1" applyFont="1" applyFill="1" applyBorder="1" applyAlignment="1">
      <alignment horizontal="right" vertical="center"/>
    </xf>
    <xf numFmtId="177" fontId="0" fillId="2" borderId="0" xfId="0" applyNumberFormat="1" applyFont="1" applyFill="1" applyAlignment="1">
      <alignment vertical="center"/>
    </xf>
    <xf numFmtId="177" fontId="16" fillId="2" borderId="0" xfId="0" applyNumberFormat="1" applyFont="1" applyFill="1" applyBorder="1" applyAlignment="1">
      <alignment vertical="center"/>
    </xf>
    <xf numFmtId="177" fontId="50" fillId="2" borderId="39" xfId="0" applyNumberFormat="1" applyFont="1" applyFill="1" applyBorder="1" applyAlignment="1">
      <alignment vertical="center"/>
    </xf>
    <xf numFmtId="177" fontId="50" fillId="2" borderId="62" xfId="0" applyNumberFormat="1" applyFont="1" applyFill="1" applyBorder="1" applyAlignment="1">
      <alignment vertical="center"/>
    </xf>
    <xf numFmtId="177" fontId="47" fillId="2" borderId="45" xfId="0" applyNumberFormat="1" applyFont="1" applyFill="1" applyBorder="1" applyAlignment="1">
      <alignment horizontal="center" vertical="center"/>
    </xf>
    <xf numFmtId="0" fontId="50" fillId="2" borderId="8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177" fontId="50" fillId="2" borderId="14" xfId="0" applyNumberFormat="1" applyFont="1" applyFill="1" applyBorder="1" applyAlignment="1">
      <alignment vertical="center"/>
    </xf>
    <xf numFmtId="49" fontId="50" fillId="2" borderId="22" xfId="0" applyNumberFormat="1" applyFont="1" applyFill="1" applyBorder="1" applyAlignment="1">
      <alignment vertical="center"/>
    </xf>
    <xf numFmtId="49" fontId="50" fillId="2" borderId="7" xfId="0" applyNumberFormat="1" applyFont="1" applyFill="1" applyBorder="1" applyAlignment="1">
      <alignment vertical="center"/>
    </xf>
    <xf numFmtId="49" fontId="50" fillId="2" borderId="7" xfId="0" applyNumberFormat="1" applyFont="1" applyFill="1" applyBorder="1" applyAlignment="1">
      <alignment horizontal="left" vertical="center"/>
    </xf>
    <xf numFmtId="49" fontId="50" fillId="2" borderId="7" xfId="0" applyNumberFormat="1" applyFont="1" applyFill="1" applyBorder="1" applyAlignment="1">
      <alignment horizontal="right" vertical="center"/>
    </xf>
    <xf numFmtId="177" fontId="50" fillId="2" borderId="7" xfId="0" applyNumberFormat="1" applyFont="1" applyFill="1" applyBorder="1" applyAlignment="1">
      <alignment vertical="center"/>
    </xf>
    <xf numFmtId="177" fontId="50" fillId="2" borderId="7" xfId="0" applyNumberFormat="1" applyFont="1" applyFill="1" applyBorder="1" applyAlignment="1">
      <alignment horizontal="center" vertical="center"/>
    </xf>
    <xf numFmtId="41" fontId="50" fillId="2" borderId="4" xfId="2" applyNumberFormat="1" applyFont="1" applyFill="1" applyBorder="1" applyAlignment="1">
      <alignment vertical="center"/>
    </xf>
    <xf numFmtId="41" fontId="50" fillId="2" borderId="0" xfId="2" applyFont="1" applyFill="1" applyAlignment="1">
      <alignment vertical="center"/>
    </xf>
    <xf numFmtId="3" fontId="47" fillId="2" borderId="12" xfId="6" applyNumberFormat="1" applyFont="1" applyFill="1" applyBorder="1" applyAlignment="1">
      <alignment vertical="center"/>
    </xf>
    <xf numFmtId="3" fontId="47" fillId="2" borderId="7" xfId="1" applyNumberFormat="1" applyFont="1" applyFill="1" applyBorder="1" applyAlignment="1">
      <alignment vertical="center"/>
    </xf>
    <xf numFmtId="49" fontId="47" fillId="2" borderId="16" xfId="6" applyNumberFormat="1" applyFont="1" applyFill="1" applyBorder="1" applyAlignment="1">
      <alignment horizontal="left" vertical="center"/>
    </xf>
    <xf numFmtId="49" fontId="47" fillId="2" borderId="0" xfId="6" applyNumberFormat="1" applyFont="1" applyFill="1" applyBorder="1" applyAlignment="1">
      <alignment horizontal="justify" vertical="center"/>
    </xf>
    <xf numFmtId="178" fontId="47" fillId="2" borderId="0" xfId="2" applyNumberFormat="1" applyFont="1" applyFill="1" applyBorder="1" applyAlignment="1">
      <alignment horizontal="right" vertical="center" shrinkToFit="1"/>
    </xf>
    <xf numFmtId="178" fontId="47" fillId="2" borderId="0" xfId="2" applyNumberFormat="1" applyFont="1" applyFill="1" applyBorder="1" applyAlignment="1">
      <alignment horizontal="right" vertical="center"/>
    </xf>
    <xf numFmtId="49" fontId="47" fillId="2" borderId="7" xfId="6" applyNumberFormat="1" applyFont="1" applyFill="1" applyBorder="1" applyAlignment="1">
      <alignment horizontal="left" vertical="center"/>
    </xf>
    <xf numFmtId="49" fontId="47" fillId="2" borderId="7" xfId="6" applyNumberFormat="1" applyFont="1" applyFill="1" applyBorder="1" applyAlignment="1">
      <alignment horizontal="justify" vertical="center"/>
    </xf>
    <xf numFmtId="178" fontId="47" fillId="2" borderId="7" xfId="2" applyNumberFormat="1" applyFont="1" applyFill="1" applyBorder="1" applyAlignment="1">
      <alignment horizontal="right" vertical="center"/>
    </xf>
    <xf numFmtId="177" fontId="47" fillId="2" borderId="31" xfId="6" applyNumberFormat="1" applyFont="1" applyFill="1" applyBorder="1" applyAlignment="1">
      <alignment horizontal="right" vertical="center"/>
    </xf>
    <xf numFmtId="49" fontId="47" fillId="2" borderId="7" xfId="0" applyNumberFormat="1" applyFont="1" applyFill="1" applyBorder="1" applyAlignment="1">
      <alignment vertical="center"/>
    </xf>
    <xf numFmtId="181" fontId="47" fillId="2" borderId="7" xfId="2" applyNumberFormat="1" applyFont="1" applyFill="1" applyBorder="1" applyAlignment="1">
      <alignment vertical="center"/>
    </xf>
    <xf numFmtId="49" fontId="48" fillId="2" borderId="0" xfId="6" applyNumberFormat="1" applyFont="1" applyFill="1" applyBorder="1" applyAlignment="1">
      <alignment vertical="center"/>
    </xf>
    <xf numFmtId="0" fontId="47" fillId="2" borderId="12" xfId="0" applyFont="1" applyFill="1" applyBorder="1"/>
    <xf numFmtId="0" fontId="47" fillId="2" borderId="0" xfId="0" applyFont="1" applyFill="1" applyBorder="1" applyAlignment="1"/>
    <xf numFmtId="3" fontId="47" fillId="2" borderId="10" xfId="6" applyNumberFormat="1" applyFont="1" applyFill="1" applyBorder="1" applyAlignment="1">
      <alignment horizontal="center" vertical="center"/>
    </xf>
    <xf numFmtId="177" fontId="47" fillId="2" borderId="56" xfId="6" applyNumberFormat="1" applyFont="1" applyFill="1" applyBorder="1" applyAlignment="1">
      <alignment horizontal="right" vertical="center"/>
    </xf>
    <xf numFmtId="3" fontId="47" fillId="2" borderId="30" xfId="6" applyNumberFormat="1" applyFont="1" applyFill="1" applyBorder="1" applyAlignment="1">
      <alignment horizontal="center" vertical="center"/>
    </xf>
    <xf numFmtId="177" fontId="47" fillId="2" borderId="9" xfId="0" applyNumberFormat="1" applyFont="1" applyFill="1" applyBorder="1" applyAlignment="1">
      <alignment vertical="center"/>
    </xf>
    <xf numFmtId="49" fontId="47" fillId="2" borderId="6" xfId="6" applyNumberFormat="1" applyFont="1" applyFill="1" applyBorder="1" applyAlignment="1">
      <alignment horizontal="left" vertical="center"/>
    </xf>
    <xf numFmtId="49" fontId="47" fillId="2" borderId="6" xfId="0" applyNumberFormat="1" applyFont="1" applyFill="1" applyBorder="1" applyAlignment="1">
      <alignment horizontal="right" vertical="center"/>
    </xf>
    <xf numFmtId="3" fontId="47" fillId="2" borderId="6" xfId="0" applyNumberFormat="1" applyFont="1" applyFill="1" applyBorder="1" applyAlignment="1">
      <alignment horizontal="left" vertical="center"/>
    </xf>
    <xf numFmtId="3" fontId="47" fillId="2" borderId="25" xfId="6" applyNumberFormat="1" applyFont="1" applyFill="1" applyBorder="1" applyAlignment="1">
      <alignment vertical="center"/>
    </xf>
    <xf numFmtId="177" fontId="47" fillId="2" borderId="25" xfId="6" applyNumberFormat="1" applyFont="1" applyFill="1" applyBorder="1" applyAlignment="1">
      <alignment horizontal="right" vertical="center"/>
    </xf>
    <xf numFmtId="177" fontId="47" fillId="2" borderId="40" xfId="6" applyNumberFormat="1" applyFont="1" applyFill="1" applyBorder="1" applyAlignment="1">
      <alignment horizontal="right" vertical="center"/>
    </xf>
    <xf numFmtId="3" fontId="47" fillId="2" borderId="1" xfId="2" applyNumberFormat="1" applyFont="1" applyFill="1" applyBorder="1" applyAlignment="1">
      <alignment vertical="center"/>
    </xf>
    <xf numFmtId="0" fontId="50" fillId="2" borderId="16" xfId="0" applyFont="1" applyFill="1" applyBorder="1" applyAlignment="1">
      <alignment vertical="center"/>
    </xf>
    <xf numFmtId="0" fontId="50" fillId="2" borderId="10" xfId="0" applyFont="1" applyFill="1" applyBorder="1" applyAlignment="1">
      <alignment vertical="center"/>
    </xf>
    <xf numFmtId="0" fontId="49" fillId="2" borderId="44" xfId="0" applyFont="1" applyFill="1" applyBorder="1" applyAlignment="1">
      <alignment vertical="center"/>
    </xf>
    <xf numFmtId="177" fontId="50" fillId="2" borderId="45" xfId="0" applyNumberFormat="1" applyFont="1" applyFill="1" applyBorder="1" applyAlignment="1">
      <alignment vertical="center"/>
    </xf>
    <xf numFmtId="177" fontId="50" fillId="2" borderId="45" xfId="0" applyNumberFormat="1" applyFont="1" applyFill="1" applyBorder="1" applyAlignment="1">
      <alignment horizontal="right" vertical="center"/>
    </xf>
    <xf numFmtId="3" fontId="50" fillId="2" borderId="45" xfId="6" applyNumberFormat="1" applyFont="1" applyFill="1" applyBorder="1" applyAlignment="1">
      <alignment horizontal="center" vertical="center"/>
    </xf>
    <xf numFmtId="184" fontId="50" fillId="2" borderId="46" xfId="0" applyNumberFormat="1" applyFont="1" applyFill="1" applyBorder="1" applyAlignment="1">
      <alignment vertical="center"/>
    </xf>
    <xf numFmtId="177" fontId="50" fillId="2" borderId="46" xfId="0" applyNumberFormat="1" applyFont="1" applyFill="1" applyBorder="1" applyAlignment="1">
      <alignment vertical="center"/>
    </xf>
    <xf numFmtId="41" fontId="49" fillId="2" borderId="0" xfId="2" applyFont="1" applyFill="1" applyBorder="1" applyAlignment="1">
      <alignment vertical="center"/>
    </xf>
    <xf numFmtId="0" fontId="49" fillId="2" borderId="0" xfId="0" applyFont="1" applyFill="1" applyBorder="1" applyAlignment="1">
      <alignment vertical="center"/>
    </xf>
    <xf numFmtId="177" fontId="47" fillId="2" borderId="23" xfId="0" applyNumberFormat="1" applyFont="1" applyFill="1" applyBorder="1" applyAlignment="1">
      <alignment vertical="center"/>
    </xf>
    <xf numFmtId="177" fontId="47" fillId="2" borderId="27" xfId="0" applyNumberFormat="1" applyFont="1" applyFill="1" applyBorder="1" applyAlignment="1">
      <alignment vertical="center"/>
    </xf>
    <xf numFmtId="38" fontId="47" fillId="2" borderId="30" xfId="0" applyNumberFormat="1" applyFont="1" applyFill="1" applyBorder="1" applyAlignment="1">
      <alignment horizontal="center" vertical="center"/>
    </xf>
    <xf numFmtId="177" fontId="47" fillId="2" borderId="0" xfId="0" applyNumberFormat="1" applyFont="1" applyFill="1" applyBorder="1" applyAlignment="1">
      <alignment horizontal="right" vertical="center"/>
    </xf>
    <xf numFmtId="177" fontId="47" fillId="2" borderId="10" xfId="0" applyNumberFormat="1" applyFont="1" applyFill="1" applyBorder="1" applyAlignment="1">
      <alignment horizontal="right" vertical="center"/>
    </xf>
    <xf numFmtId="0" fontId="47" fillId="2" borderId="0" xfId="0" applyNumberFormat="1" applyFont="1" applyFill="1" applyBorder="1" applyAlignment="1">
      <alignment horizontal="right" vertical="center"/>
    </xf>
    <xf numFmtId="182" fontId="47" fillId="2" borderId="0" xfId="6" applyNumberFormat="1" applyFont="1" applyFill="1" applyBorder="1" applyAlignment="1">
      <alignment vertical="center"/>
    </xf>
    <xf numFmtId="49" fontId="16" fillId="2" borderId="29" xfId="0" applyNumberFormat="1" applyFont="1" applyFill="1" applyBorder="1" applyAlignment="1">
      <alignment horizontal="center" vertical="center"/>
    </xf>
    <xf numFmtId="49" fontId="16" fillId="2" borderId="30" xfId="0" applyNumberFormat="1" applyFont="1" applyFill="1" applyBorder="1" applyAlignment="1">
      <alignment horizontal="center" vertical="center"/>
    </xf>
    <xf numFmtId="177" fontId="16" fillId="2" borderId="31" xfId="6" applyNumberFormat="1" applyFont="1" applyFill="1" applyBorder="1" applyAlignment="1">
      <alignment horizontal="right" vertical="center"/>
    </xf>
    <xf numFmtId="49" fontId="16" fillId="2" borderId="16" xfId="0" applyNumberFormat="1" applyFont="1" applyFill="1" applyBorder="1" applyAlignment="1">
      <alignment vertical="center"/>
    </xf>
    <xf numFmtId="41" fontId="16" fillId="2" borderId="2" xfId="2" applyNumberFormat="1" applyFont="1" applyFill="1" applyBorder="1" applyAlignment="1">
      <alignment vertical="center"/>
    </xf>
    <xf numFmtId="0" fontId="16" fillId="2" borderId="0" xfId="0" applyNumberFormat="1" applyFont="1" applyFill="1" applyBorder="1" applyAlignment="1">
      <alignment horizontal="right" vertical="center"/>
    </xf>
    <xf numFmtId="49" fontId="47" fillId="2" borderId="30" xfId="6" applyNumberFormat="1" applyFont="1" applyFill="1" applyBorder="1" applyAlignment="1">
      <alignment horizontal="left" vertical="center"/>
    </xf>
    <xf numFmtId="0" fontId="47" fillId="2" borderId="7" xfId="0" applyNumberFormat="1" applyFont="1" applyFill="1" applyBorder="1" applyAlignment="1">
      <alignment horizontal="right" vertical="center"/>
    </xf>
    <xf numFmtId="0" fontId="47" fillId="2" borderId="10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vertical="center" shrinkToFit="1"/>
    </xf>
    <xf numFmtId="41" fontId="16" fillId="2" borderId="4" xfId="2" applyNumberFormat="1" applyFont="1" applyFill="1" applyBorder="1" applyAlignment="1">
      <alignment vertical="center"/>
    </xf>
    <xf numFmtId="49" fontId="50" fillId="2" borderId="7" xfId="6" applyNumberFormat="1" applyFont="1" applyFill="1" applyBorder="1" applyAlignment="1">
      <alignment horizontal="left" vertical="center"/>
    </xf>
    <xf numFmtId="49" fontId="50" fillId="2" borderId="7" xfId="6" applyNumberFormat="1" applyFont="1" applyFill="1" applyBorder="1" applyAlignment="1">
      <alignment horizontal="right" vertical="center"/>
    </xf>
    <xf numFmtId="3" fontId="50" fillId="2" borderId="7" xfId="6" applyNumberFormat="1" applyFont="1" applyFill="1" applyBorder="1" applyAlignment="1">
      <alignment vertical="center"/>
    </xf>
    <xf numFmtId="3" fontId="50" fillId="2" borderId="7" xfId="2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left" vertical="center"/>
    </xf>
    <xf numFmtId="49" fontId="16" fillId="2" borderId="0" xfId="0" applyNumberFormat="1" applyFont="1" applyFill="1" applyBorder="1" applyAlignment="1">
      <alignment horizontal="center" vertical="center"/>
    </xf>
    <xf numFmtId="178" fontId="16" fillId="2" borderId="0" xfId="0" applyNumberFormat="1" applyFont="1" applyFill="1" applyBorder="1" applyAlignment="1">
      <alignment horizontal="center" vertical="center"/>
    </xf>
    <xf numFmtId="0" fontId="47" fillId="2" borderId="0" xfId="6" applyNumberFormat="1" applyFont="1" applyFill="1" applyBorder="1" applyAlignment="1">
      <alignment horizontal="right"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10" xfId="0" applyFont="1" applyFill="1" applyBorder="1" applyAlignment="1">
      <alignment horizontal="left" vertical="center"/>
    </xf>
    <xf numFmtId="49" fontId="50" fillId="2" borderId="29" xfId="0" applyNumberFormat="1" applyFont="1" applyFill="1" applyBorder="1" applyAlignment="1">
      <alignment vertical="center"/>
    </xf>
    <xf numFmtId="49" fontId="50" fillId="2" borderId="30" xfId="6" applyNumberFormat="1" applyFont="1" applyFill="1" applyBorder="1" applyAlignment="1">
      <alignment horizontal="left" vertical="center"/>
    </xf>
    <xf numFmtId="49" fontId="50" fillId="2" borderId="30" xfId="0" applyNumberFormat="1" applyFont="1" applyFill="1" applyBorder="1" applyAlignment="1">
      <alignment vertical="center"/>
    </xf>
    <xf numFmtId="0" fontId="50" fillId="2" borderId="30" xfId="0" applyNumberFormat="1" applyFont="1" applyFill="1" applyBorder="1" applyAlignment="1">
      <alignment horizontal="right" vertical="center"/>
    </xf>
    <xf numFmtId="3" fontId="50" fillId="2" borderId="30" xfId="0" applyNumberFormat="1" applyFont="1" applyFill="1" applyBorder="1" applyAlignment="1">
      <alignment horizontal="left" vertical="center"/>
    </xf>
    <xf numFmtId="3" fontId="50" fillId="2" borderId="30" xfId="2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horizontal="center" vertical="center"/>
    </xf>
    <xf numFmtId="41" fontId="50" fillId="2" borderId="15" xfId="2" applyNumberFormat="1" applyFont="1" applyFill="1" applyBorder="1" applyAlignment="1">
      <alignment vertical="center"/>
    </xf>
    <xf numFmtId="177" fontId="47" fillId="2" borderId="13" xfId="0" applyNumberFormat="1" applyFont="1" applyFill="1" applyBorder="1" applyAlignment="1">
      <alignment horizontal="right" vertical="center"/>
    </xf>
    <xf numFmtId="177" fontId="16" fillId="2" borderId="0" xfId="0" applyNumberFormat="1" applyFont="1" applyFill="1" applyAlignment="1">
      <alignment horizontal="right" vertical="center"/>
    </xf>
    <xf numFmtId="0" fontId="16" fillId="2" borderId="0" xfId="0" applyFont="1" applyFill="1" applyAlignment="1">
      <alignment horizontal="center" vertical="center"/>
    </xf>
    <xf numFmtId="38" fontId="55" fillId="2" borderId="0" xfId="0" applyNumberFormat="1" applyFont="1" applyFill="1" applyAlignment="1">
      <alignment horizontal="center" vertical="center"/>
    </xf>
    <xf numFmtId="41" fontId="48" fillId="2" borderId="0" xfId="2" applyFont="1" applyFill="1"/>
    <xf numFmtId="38" fontId="47" fillId="2" borderId="1" xfId="0" applyNumberFormat="1" applyFont="1" applyFill="1" applyBorder="1" applyAlignment="1">
      <alignment horizontal="right" vertical="center"/>
    </xf>
    <xf numFmtId="177" fontId="47" fillId="2" borderId="1" xfId="0" applyNumberFormat="1" applyFont="1" applyFill="1" applyBorder="1" applyAlignment="1">
      <alignment horizontal="right" vertical="center"/>
    </xf>
    <xf numFmtId="180" fontId="47" fillId="2" borderId="1" xfId="2" applyNumberFormat="1" applyFont="1" applyFill="1" applyBorder="1" applyAlignment="1">
      <alignment horizontal="right" vertical="center"/>
    </xf>
    <xf numFmtId="41" fontId="47" fillId="2" borderId="1" xfId="0" applyNumberFormat="1" applyFont="1" applyFill="1" applyBorder="1" applyAlignment="1">
      <alignment vertical="center"/>
    </xf>
    <xf numFmtId="41" fontId="47" fillId="2" borderId="1" xfId="2" applyFont="1" applyFill="1" applyBorder="1" applyAlignment="1">
      <alignment vertical="center"/>
    </xf>
    <xf numFmtId="0" fontId="47" fillId="2" borderId="1" xfId="0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center" vertical="center"/>
    </xf>
    <xf numFmtId="3" fontId="47" fillId="2" borderId="18" xfId="0" applyNumberFormat="1" applyFont="1" applyFill="1" applyBorder="1" applyAlignment="1">
      <alignment horizontal="center" vertical="center"/>
    </xf>
    <xf numFmtId="3" fontId="47" fillId="2" borderId="19" xfId="0" applyNumberFormat="1" applyFont="1" applyFill="1" applyBorder="1" applyAlignment="1">
      <alignment horizontal="center" vertical="center"/>
    </xf>
    <xf numFmtId="0" fontId="47" fillId="2" borderId="10" xfId="0" applyNumberFormat="1" applyFont="1" applyFill="1" applyBorder="1" applyAlignment="1">
      <alignment horizontal="center" vertical="center"/>
    </xf>
    <xf numFmtId="177" fontId="47" fillId="2" borderId="10" xfId="2" applyNumberFormat="1" applyFont="1" applyFill="1" applyBorder="1" applyAlignment="1">
      <alignment horizontal="center" vertical="center"/>
    </xf>
    <xf numFmtId="177" fontId="47" fillId="2" borderId="35" xfId="0" applyNumberFormat="1" applyFont="1" applyFill="1" applyBorder="1" applyAlignment="1">
      <alignment horizontal="center" vertical="center"/>
    </xf>
    <xf numFmtId="49" fontId="47" fillId="2" borderId="16" xfId="0" applyNumberFormat="1" applyFont="1" applyFill="1" applyBorder="1" applyAlignment="1">
      <alignment horizontal="center" vertical="center"/>
    </xf>
    <xf numFmtId="49" fontId="47" fillId="2" borderId="0" xfId="0" applyNumberFormat="1" applyFont="1" applyFill="1" applyBorder="1" applyAlignment="1">
      <alignment horizontal="center" vertical="center"/>
    </xf>
    <xf numFmtId="49" fontId="47" fillId="2" borderId="2" xfId="0" applyNumberFormat="1" applyFont="1" applyFill="1" applyBorder="1" applyAlignment="1">
      <alignment horizontal="center" vertical="center"/>
    </xf>
    <xf numFmtId="178" fontId="50" fillId="2" borderId="39" xfId="0" applyNumberFormat="1" applyFont="1" applyFill="1" applyBorder="1" applyAlignment="1">
      <alignment vertical="center"/>
    </xf>
    <xf numFmtId="0" fontId="50" fillId="2" borderId="44" xfId="0" applyFont="1" applyFill="1" applyBorder="1" applyAlignment="1">
      <alignment vertical="center"/>
    </xf>
    <xf numFmtId="0" fontId="50" fillId="2" borderId="45" xfId="0" applyFont="1" applyFill="1" applyBorder="1" applyAlignment="1">
      <alignment horizontal="left" vertical="center"/>
    </xf>
    <xf numFmtId="177" fontId="50" fillId="2" borderId="45" xfId="0" applyNumberFormat="1" applyFont="1" applyFill="1" applyBorder="1" applyAlignment="1">
      <alignment horizontal="center" vertical="center"/>
    </xf>
    <xf numFmtId="3" fontId="50" fillId="2" borderId="46" xfId="2" applyNumberFormat="1" applyFont="1" applyFill="1" applyBorder="1" applyAlignment="1">
      <alignment vertical="center"/>
    </xf>
    <xf numFmtId="0" fontId="50" fillId="2" borderId="38" xfId="0" applyFont="1" applyFill="1" applyBorder="1" applyAlignment="1">
      <alignment horizontal="left" vertical="center"/>
    </xf>
    <xf numFmtId="177" fontId="50" fillId="2" borderId="7" xfId="0" applyNumberFormat="1" applyFont="1" applyFill="1" applyBorder="1" applyAlignment="1">
      <alignment horizontal="right" vertical="center"/>
    </xf>
    <xf numFmtId="3" fontId="50" fillId="2" borderId="4" xfId="2" applyNumberFormat="1" applyFont="1" applyFill="1" applyBorder="1" applyAlignment="1">
      <alignment vertical="center"/>
    </xf>
    <xf numFmtId="178" fontId="47" fillId="2" borderId="13" xfId="6" applyNumberFormat="1" applyFont="1" applyFill="1" applyBorder="1" applyAlignment="1">
      <alignment horizontal="right" vertical="center"/>
    </xf>
    <xf numFmtId="0" fontId="47" fillId="2" borderId="7" xfId="0" applyFont="1" applyFill="1" applyBorder="1" applyAlignment="1">
      <alignment horizontal="right" vertical="center"/>
    </xf>
    <xf numFmtId="178" fontId="47" fillId="2" borderId="10" xfId="6" applyNumberFormat="1" applyFont="1" applyFill="1" applyBorder="1" applyAlignment="1">
      <alignment horizontal="right" vertical="center"/>
    </xf>
    <xf numFmtId="3" fontId="47" fillId="2" borderId="52" xfId="6" applyNumberFormat="1" applyFont="1" applyFill="1" applyBorder="1" applyAlignment="1">
      <alignment vertical="center"/>
    </xf>
    <xf numFmtId="178" fontId="47" fillId="2" borderId="9" xfId="6" applyNumberFormat="1" applyFont="1" applyFill="1" applyBorder="1" applyAlignment="1">
      <alignment horizontal="right" vertical="center"/>
    </xf>
    <xf numFmtId="178" fontId="47" fillId="2" borderId="37" xfId="6" applyNumberFormat="1" applyFont="1" applyFill="1" applyBorder="1" applyAlignment="1">
      <alignment horizontal="right" vertical="center"/>
    </xf>
    <xf numFmtId="178" fontId="47" fillId="2" borderId="3" xfId="2" applyNumberFormat="1" applyFont="1" applyFill="1" applyBorder="1" applyAlignment="1">
      <alignment vertical="center"/>
    </xf>
    <xf numFmtId="178" fontId="47" fillId="2" borderId="26" xfId="6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vertical="center"/>
    </xf>
    <xf numFmtId="178" fontId="47" fillId="2" borderId="14" xfId="6" applyNumberFormat="1" applyFont="1" applyFill="1" applyBorder="1" applyAlignment="1">
      <alignment horizontal="right" vertical="center"/>
    </xf>
    <xf numFmtId="178" fontId="47" fillId="2" borderId="21" xfId="6" applyNumberFormat="1" applyFont="1" applyFill="1" applyBorder="1" applyAlignment="1">
      <alignment horizontal="right" vertical="center"/>
    </xf>
    <xf numFmtId="0" fontId="36" fillId="2" borderId="7" xfId="0" applyFont="1" applyFill="1" applyBorder="1" applyAlignment="1">
      <alignment vertical="center"/>
    </xf>
    <xf numFmtId="176" fontId="47" fillId="2" borderId="7" xfId="1" applyNumberFormat="1" applyFont="1" applyFill="1" applyBorder="1" applyAlignment="1">
      <alignment vertical="center"/>
    </xf>
    <xf numFmtId="3" fontId="36" fillId="2" borderId="10" xfId="6" applyNumberFormat="1" applyFont="1" applyFill="1" applyBorder="1" applyAlignment="1">
      <alignment vertical="center"/>
    </xf>
    <xf numFmtId="178" fontId="36" fillId="2" borderId="10" xfId="6" applyNumberFormat="1" applyFont="1" applyFill="1" applyBorder="1" applyAlignment="1">
      <alignment horizontal="right" vertical="center"/>
    </xf>
    <xf numFmtId="177" fontId="36" fillId="2" borderId="35" xfId="6" applyNumberFormat="1" applyFont="1" applyFill="1" applyBorder="1" applyAlignment="1">
      <alignment horizontal="right" vertical="center"/>
    </xf>
    <xf numFmtId="3" fontId="47" fillId="2" borderId="10" xfId="6" applyNumberFormat="1" applyFont="1" applyFill="1" applyBorder="1" applyAlignment="1">
      <alignment horizontal="right" vertical="center"/>
    </xf>
    <xf numFmtId="0" fontId="47" fillId="2" borderId="0" xfId="6" applyNumberFormat="1" applyFont="1" applyFill="1" applyBorder="1" applyAlignment="1">
      <alignment vertical="center"/>
    </xf>
    <xf numFmtId="179" fontId="47" fillId="2" borderId="0" xfId="6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horizontal="right" vertical="center"/>
    </xf>
    <xf numFmtId="3" fontId="47" fillId="2" borderId="14" xfId="6" applyNumberFormat="1" applyFont="1" applyFill="1" applyBorder="1" applyAlignment="1">
      <alignment horizontal="right" vertical="center"/>
    </xf>
    <xf numFmtId="3" fontId="56" fillId="2" borderId="10" xfId="6" applyNumberFormat="1" applyFont="1" applyFill="1" applyBorder="1" applyAlignment="1">
      <alignment horizontal="center" vertical="center"/>
    </xf>
    <xf numFmtId="178" fontId="47" fillId="2" borderId="13" xfId="6" applyNumberFormat="1" applyFont="1" applyFill="1" applyBorder="1" applyAlignment="1">
      <alignment vertical="center"/>
    </xf>
    <xf numFmtId="0" fontId="47" fillId="2" borderId="26" xfId="0" applyFont="1" applyFill="1" applyBorder="1" applyAlignment="1">
      <alignment vertical="center" wrapText="1"/>
    </xf>
    <xf numFmtId="10" fontId="47" fillId="2" borderId="0" xfId="1" applyNumberFormat="1" applyFont="1" applyFill="1" applyBorder="1" applyAlignment="1">
      <alignment vertical="center"/>
    </xf>
    <xf numFmtId="178" fontId="47" fillId="2" borderId="14" xfId="6" applyNumberFormat="1" applyFont="1" applyFill="1" applyBorder="1" applyAlignment="1">
      <alignment vertical="center"/>
    </xf>
    <xf numFmtId="178" fontId="47" fillId="2" borderId="10" xfId="0" applyNumberFormat="1" applyFont="1" applyFill="1" applyBorder="1" applyAlignment="1">
      <alignment horizontal="left" vertical="center"/>
    </xf>
    <xf numFmtId="3" fontId="47" fillId="2" borderId="26" xfId="0" applyNumberFormat="1" applyFont="1" applyFill="1" applyBorder="1" applyAlignment="1">
      <alignment vertical="center"/>
    </xf>
    <xf numFmtId="3" fontId="47" fillId="2" borderId="29" xfId="0" applyNumberFormat="1" applyFont="1" applyFill="1" applyBorder="1" applyAlignment="1">
      <alignment vertical="center"/>
    </xf>
    <xf numFmtId="3" fontId="47" fillId="2" borderId="30" xfId="6" applyNumberFormat="1" applyFont="1" applyFill="1" applyBorder="1" applyAlignment="1">
      <alignment horizontal="left" vertical="center"/>
    </xf>
    <xf numFmtId="3" fontId="47" fillId="2" borderId="30" xfId="0" applyNumberFormat="1" applyFont="1" applyFill="1" applyBorder="1" applyAlignment="1">
      <alignment horizontal="left" vertical="center"/>
    </xf>
    <xf numFmtId="3" fontId="47" fillId="2" borderId="30" xfId="0" applyNumberFormat="1" applyFont="1" applyFill="1" applyBorder="1" applyAlignment="1">
      <alignment horizontal="center" vertical="center"/>
    </xf>
    <xf numFmtId="178" fontId="47" fillId="2" borderId="15" xfId="2" applyNumberFormat="1" applyFont="1" applyFill="1" applyBorder="1" applyAlignment="1">
      <alignment vertical="center"/>
    </xf>
    <xf numFmtId="41" fontId="47" fillId="2" borderId="0" xfId="2" applyFont="1" applyFill="1" applyBorder="1" applyAlignment="1">
      <alignment vertical="center" shrinkToFit="1"/>
    </xf>
    <xf numFmtId="0" fontId="47" fillId="2" borderId="20" xfId="0" applyFont="1" applyFill="1" applyBorder="1" applyAlignment="1">
      <alignment horizontal="left" vertical="center"/>
    </xf>
    <xf numFmtId="0" fontId="47" fillId="2" borderId="41" xfId="0" applyFont="1" applyFill="1" applyBorder="1" applyAlignment="1">
      <alignment vertical="center"/>
    </xf>
    <xf numFmtId="177" fontId="48" fillId="2" borderId="0" xfId="0" applyNumberFormat="1" applyFont="1" applyFill="1"/>
    <xf numFmtId="0" fontId="48" fillId="2" borderId="0" xfId="0" applyFont="1" applyFill="1" applyAlignment="1">
      <alignment horizontal="center"/>
    </xf>
    <xf numFmtId="38" fontId="26" fillId="2" borderId="0" xfId="0" applyNumberFormat="1" applyFont="1" applyFill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177" fontId="18" fillId="2" borderId="14" xfId="2" applyNumberFormat="1" applyFont="1" applyFill="1" applyBorder="1" applyAlignment="1">
      <alignment vertical="center"/>
    </xf>
    <xf numFmtId="177" fontId="18" fillId="2" borderId="36" xfId="2" applyNumberFormat="1" applyFont="1" applyFill="1" applyBorder="1" applyAlignment="1">
      <alignment vertical="center"/>
    </xf>
    <xf numFmtId="0" fontId="18" fillId="2" borderId="12" xfId="0" applyFont="1" applyFill="1" applyBorder="1" applyAlignment="1">
      <alignment vertical="center"/>
    </xf>
    <xf numFmtId="177" fontId="18" fillId="2" borderId="30" xfId="0" applyNumberFormat="1" applyFont="1" applyFill="1" applyBorder="1" applyAlignment="1">
      <alignment horizontal="right" vertical="center"/>
    </xf>
    <xf numFmtId="0" fontId="18" fillId="2" borderId="30" xfId="0" applyFont="1" applyFill="1" applyBorder="1" applyAlignment="1">
      <alignment horizontal="left" vertical="center"/>
    </xf>
    <xf numFmtId="177" fontId="18" fillId="2" borderId="30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177" fontId="18" fillId="2" borderId="30" xfId="0" applyNumberFormat="1" applyFont="1" applyFill="1" applyBorder="1" applyAlignment="1">
      <alignment horizontal="center" vertical="center"/>
    </xf>
    <xf numFmtId="3" fontId="18" fillId="2" borderId="15" xfId="2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177" fontId="18" fillId="2" borderId="13" xfId="2" applyNumberFormat="1" applyFont="1" applyFill="1" applyBorder="1" applyAlignment="1">
      <alignment vertical="center"/>
    </xf>
    <xf numFmtId="177" fontId="16" fillId="2" borderId="30" xfId="0" applyNumberFormat="1" applyFont="1" applyFill="1" applyBorder="1" applyAlignment="1">
      <alignment horizontal="center" vertical="center"/>
    </xf>
    <xf numFmtId="3" fontId="16" fillId="2" borderId="6" xfId="6" applyNumberFormat="1" applyFont="1" applyFill="1" applyBorder="1" applyAlignment="1">
      <alignment horizontal="center" vertical="center"/>
    </xf>
    <xf numFmtId="41" fontId="16" fillId="2" borderId="0" xfId="2" applyFont="1" applyFill="1" applyBorder="1" applyAlignment="1">
      <alignment horizontal="center" vertical="center"/>
    </xf>
    <xf numFmtId="177" fontId="16" fillId="2" borderId="34" xfId="2" applyNumberFormat="1" applyFont="1" applyFill="1" applyBorder="1" applyAlignment="1">
      <alignment horizontal="right" vertical="center"/>
    </xf>
    <xf numFmtId="3" fontId="16" fillId="2" borderId="0" xfId="1" applyNumberFormat="1" applyFont="1" applyFill="1" applyBorder="1" applyAlignment="1">
      <alignment vertical="center"/>
    </xf>
    <xf numFmtId="178" fontId="16" fillId="2" borderId="2" xfId="0" applyNumberFormat="1" applyFont="1" applyFill="1" applyBorder="1" applyAlignment="1">
      <alignment horizontal="right" vertical="center" wrapText="1"/>
    </xf>
    <xf numFmtId="41" fontId="24" fillId="2" borderId="0" xfId="2" applyFont="1" applyFill="1" applyAlignment="1">
      <alignment vertical="center"/>
    </xf>
    <xf numFmtId="0" fontId="16" fillId="2" borderId="8" xfId="0" applyFont="1" applyFill="1" applyBorder="1" applyAlignment="1">
      <alignment vertical="center"/>
    </xf>
    <xf numFmtId="3" fontId="16" fillId="2" borderId="24" xfId="6" applyNumberFormat="1" applyFont="1" applyFill="1" applyBorder="1" applyAlignment="1">
      <alignment vertical="center"/>
    </xf>
    <xf numFmtId="49" fontId="16" fillId="2" borderId="22" xfId="6" applyNumberFormat="1" applyFont="1" applyFill="1" applyBorder="1" applyAlignment="1">
      <alignment vertical="center"/>
    </xf>
    <xf numFmtId="177" fontId="16" fillId="2" borderId="9" xfId="2" applyNumberFormat="1" applyFont="1" applyFill="1" applyBorder="1" applyAlignment="1">
      <alignment horizontal="right" vertical="center"/>
    </xf>
    <xf numFmtId="3" fontId="16" fillId="2" borderId="0" xfId="6" applyNumberFormat="1" applyFont="1" applyFill="1" applyBorder="1" applyAlignment="1">
      <alignment horizontal="right" vertical="center" shrinkToFit="1"/>
    </xf>
    <xf numFmtId="176" fontId="16" fillId="2" borderId="0" xfId="6" applyNumberFormat="1" applyFont="1" applyFill="1" applyBorder="1" applyAlignment="1">
      <alignment vertical="center"/>
    </xf>
    <xf numFmtId="177" fontId="16" fillId="2" borderId="0" xfId="6" applyNumberFormat="1" applyFont="1" applyFill="1" applyBorder="1" applyAlignment="1">
      <alignment vertical="center"/>
    </xf>
    <xf numFmtId="49" fontId="16" fillId="2" borderId="7" xfId="2" applyNumberFormat="1" applyFont="1" applyFill="1" applyBorder="1" applyAlignment="1">
      <alignment horizontal="right" vertical="center"/>
    </xf>
    <xf numFmtId="177" fontId="16" fillId="2" borderId="7" xfId="6" applyNumberFormat="1" applyFont="1" applyFill="1" applyBorder="1" applyAlignment="1">
      <alignment vertical="center"/>
    </xf>
    <xf numFmtId="3" fontId="16" fillId="2" borderId="37" xfId="6" applyNumberFormat="1" applyFont="1" applyFill="1" applyBorder="1" applyAlignment="1">
      <alignment vertical="center"/>
    </xf>
    <xf numFmtId="3" fontId="16" fillId="2" borderId="32" xfId="6" applyNumberFormat="1" applyFont="1" applyFill="1" applyBorder="1" applyAlignment="1">
      <alignment vertical="center"/>
    </xf>
    <xf numFmtId="177" fontId="16" fillId="2" borderId="25" xfId="2" applyNumberFormat="1" applyFont="1" applyFill="1" applyBorder="1" applyAlignment="1">
      <alignment horizontal="right" vertical="center"/>
    </xf>
    <xf numFmtId="177" fontId="16" fillId="2" borderId="40" xfId="2" applyNumberFormat="1" applyFont="1" applyFill="1" applyBorder="1" applyAlignment="1">
      <alignment horizontal="right" vertical="center"/>
    </xf>
    <xf numFmtId="3" fontId="16" fillId="2" borderId="1" xfId="6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left" vertical="center"/>
    </xf>
    <xf numFmtId="0" fontId="18" fillId="2" borderId="31" xfId="0" applyFont="1" applyFill="1" applyBorder="1" applyAlignment="1">
      <alignment horizontal="left" vertical="center"/>
    </xf>
    <xf numFmtId="177" fontId="18" fillId="2" borderId="39" xfId="2" applyNumberFormat="1" applyFont="1" applyFill="1" applyBorder="1" applyAlignment="1">
      <alignment vertical="center"/>
    </xf>
    <xf numFmtId="177" fontId="18" fillId="2" borderId="62" xfId="2" applyNumberFormat="1" applyFont="1" applyFill="1" applyBorder="1" applyAlignment="1">
      <alignment vertical="center"/>
    </xf>
    <xf numFmtId="177" fontId="18" fillId="2" borderId="45" xfId="0" applyNumberFormat="1" applyFont="1" applyFill="1" applyBorder="1" applyAlignment="1">
      <alignment vertical="center"/>
    </xf>
    <xf numFmtId="177" fontId="18" fillId="2" borderId="45" xfId="0" applyNumberFormat="1" applyFont="1" applyFill="1" applyBorder="1" applyAlignment="1">
      <alignment horizontal="right" vertical="center"/>
    </xf>
    <xf numFmtId="177" fontId="18" fillId="2" borderId="46" xfId="0" applyNumberFormat="1" applyFont="1" applyFill="1" applyBorder="1" applyAlignment="1">
      <alignment vertical="center"/>
    </xf>
    <xf numFmtId="3" fontId="16" fillId="2" borderId="21" xfId="6" applyNumberFormat="1" applyFont="1" applyFill="1" applyBorder="1" applyAlignment="1">
      <alignment vertical="center"/>
    </xf>
    <xf numFmtId="177" fontId="16" fillId="2" borderId="14" xfId="2" applyNumberFormat="1" applyFont="1" applyFill="1" applyBorder="1" applyAlignment="1">
      <alignment vertical="center"/>
    </xf>
    <xf numFmtId="177" fontId="16" fillId="2" borderId="9" xfId="2" applyNumberFormat="1" applyFont="1" applyFill="1" applyBorder="1" applyAlignment="1">
      <alignment vertical="center"/>
    </xf>
    <xf numFmtId="177" fontId="16" fillId="2" borderId="34" xfId="0" applyNumberFormat="1" applyFont="1" applyFill="1" applyBorder="1" applyAlignment="1">
      <alignment vertical="center" shrinkToFit="1"/>
    </xf>
    <xf numFmtId="3" fontId="16" fillId="2" borderId="71" xfId="6" applyNumberFormat="1" applyFont="1" applyFill="1" applyBorder="1" applyAlignment="1">
      <alignment vertical="center"/>
    </xf>
    <xf numFmtId="177" fontId="16" fillId="2" borderId="10" xfId="0" applyNumberFormat="1" applyFont="1" applyFill="1" applyBorder="1" applyAlignment="1">
      <alignment horizontal="left" vertical="center"/>
    </xf>
    <xf numFmtId="0" fontId="16" fillId="2" borderId="9" xfId="0" applyFont="1" applyFill="1" applyBorder="1" applyAlignment="1">
      <alignment vertical="center" shrinkToFit="1"/>
    </xf>
    <xf numFmtId="177" fontId="16" fillId="2" borderId="4" xfId="2" applyNumberFormat="1" applyFont="1" applyFill="1" applyBorder="1" applyAlignment="1">
      <alignment horizontal="right" vertical="center"/>
    </xf>
    <xf numFmtId="3" fontId="16" fillId="2" borderId="30" xfId="0" quotePrefix="1" applyNumberFormat="1" applyFont="1" applyFill="1" applyBorder="1" applyAlignment="1">
      <alignment horizontal="center" vertical="center"/>
    </xf>
    <xf numFmtId="3" fontId="18" fillId="2" borderId="16" xfId="0" applyNumberFormat="1" applyFont="1" applyFill="1" applyBorder="1" applyAlignment="1">
      <alignment horizontal="left" vertical="center"/>
    </xf>
    <xf numFmtId="3" fontId="18" fillId="2" borderId="54" xfId="0" applyNumberFormat="1" applyFont="1" applyFill="1" applyBorder="1" applyAlignment="1">
      <alignment horizontal="left" vertical="center"/>
    </xf>
    <xf numFmtId="177" fontId="18" fillId="2" borderId="39" xfId="2" applyNumberFormat="1" applyFont="1" applyFill="1" applyBorder="1" applyAlignment="1">
      <alignment vertical="center" shrinkToFit="1"/>
    </xf>
    <xf numFmtId="177" fontId="18" fillId="2" borderId="62" xfId="2" applyNumberFormat="1" applyFont="1" applyFill="1" applyBorder="1" applyAlignment="1">
      <alignment vertical="center" shrinkToFit="1"/>
    </xf>
    <xf numFmtId="49" fontId="16" fillId="2" borderId="44" xfId="0" applyNumberFormat="1" applyFont="1" applyFill="1" applyBorder="1" applyAlignment="1">
      <alignment horizontal="center" vertical="center"/>
    </xf>
    <xf numFmtId="49" fontId="16" fillId="2" borderId="45" xfId="0" applyNumberFormat="1" applyFont="1" applyFill="1" applyBorder="1" applyAlignment="1">
      <alignment horizontal="center" vertical="center"/>
    </xf>
    <xf numFmtId="49" fontId="16" fillId="2" borderId="46" xfId="0" applyNumberFormat="1" applyFont="1" applyFill="1" applyBorder="1" applyAlignment="1">
      <alignment horizontal="center" vertical="center"/>
    </xf>
    <xf numFmtId="49" fontId="18" fillId="2" borderId="22" xfId="0" applyNumberFormat="1" applyFont="1" applyFill="1" applyBorder="1" applyAlignment="1">
      <alignment vertical="center"/>
    </xf>
    <xf numFmtId="49" fontId="18" fillId="2" borderId="7" xfId="0" applyNumberFormat="1" applyFont="1" applyFill="1" applyBorder="1" applyAlignment="1">
      <alignment vertical="center"/>
    </xf>
    <xf numFmtId="49" fontId="18" fillId="2" borderId="7" xfId="0" applyNumberFormat="1" applyFont="1" applyFill="1" applyBorder="1" applyAlignment="1">
      <alignment horizontal="left" vertical="center"/>
    </xf>
    <xf numFmtId="49" fontId="18" fillId="2" borderId="7" xfId="0" applyNumberFormat="1" applyFont="1" applyFill="1" applyBorder="1" applyAlignment="1">
      <alignment horizontal="right" vertical="center"/>
    </xf>
    <xf numFmtId="177" fontId="18" fillId="2" borderId="7" xfId="0" applyNumberFormat="1" applyFont="1" applyFill="1" applyBorder="1" applyAlignment="1">
      <alignment horizontal="center" vertical="center"/>
    </xf>
    <xf numFmtId="41" fontId="16" fillId="2" borderId="3" xfId="2" applyNumberFormat="1" applyFont="1" applyFill="1" applyBorder="1" applyAlignment="1">
      <alignment vertical="center"/>
    </xf>
    <xf numFmtId="41" fontId="51" fillId="2" borderId="0" xfId="2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16" fillId="2" borderId="13" xfId="0" applyFont="1" applyFill="1" applyBorder="1" applyAlignment="1">
      <alignment vertical="center"/>
    </xf>
    <xf numFmtId="41" fontId="51" fillId="2" borderId="0" xfId="2" applyFont="1" applyFill="1" applyBorder="1" applyAlignment="1">
      <alignment vertical="center"/>
    </xf>
    <xf numFmtId="0" fontId="51" fillId="2" borderId="0" xfId="0" applyFont="1" applyFill="1" applyBorder="1" applyAlignment="1">
      <alignment vertical="center"/>
    </xf>
    <xf numFmtId="0" fontId="16" fillId="2" borderId="19" xfId="0" applyFont="1" applyFill="1" applyBorder="1" applyAlignment="1">
      <alignment horizontal="left" vertical="center"/>
    </xf>
    <xf numFmtId="3" fontId="16" fillId="2" borderId="51" xfId="6" applyNumberFormat="1" applyFont="1" applyFill="1" applyBorder="1" applyAlignment="1">
      <alignment vertical="center"/>
    </xf>
    <xf numFmtId="177" fontId="16" fillId="2" borderId="19" xfId="2" applyNumberFormat="1" applyFont="1" applyFill="1" applyBorder="1" applyAlignment="1">
      <alignment horizontal="right" vertical="center"/>
    </xf>
    <xf numFmtId="177" fontId="16" fillId="2" borderId="70" xfId="2" applyNumberFormat="1" applyFont="1" applyFill="1" applyBorder="1" applyAlignment="1">
      <alignment horizontal="right" vertical="center"/>
    </xf>
    <xf numFmtId="177" fontId="16" fillId="2" borderId="0" xfId="0" applyNumberFormat="1" applyFont="1" applyFill="1" applyAlignment="1">
      <alignment vertical="center"/>
    </xf>
    <xf numFmtId="177" fontId="16" fillId="2" borderId="0" xfId="2" applyNumberFormat="1" applyFont="1" applyFill="1" applyAlignment="1">
      <alignment vertical="center"/>
    </xf>
    <xf numFmtId="41" fontId="25" fillId="2" borderId="0" xfId="2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41" fontId="80" fillId="0" borderId="0" xfId="2" applyFont="1" applyFill="1" applyAlignment="1">
      <alignment horizontal="center"/>
    </xf>
    <xf numFmtId="41" fontId="0" fillId="0" borderId="0" xfId="2" applyFont="1" applyAlignment="1">
      <alignment vertical="center"/>
    </xf>
    <xf numFmtId="0" fontId="25" fillId="0" borderId="0" xfId="0" applyFont="1" applyAlignment="1">
      <alignment vertical="center"/>
    </xf>
    <xf numFmtId="41" fontId="17" fillId="0" borderId="37" xfId="2" applyFont="1" applyBorder="1" applyAlignment="1">
      <alignment horizontal="right" vertical="center"/>
    </xf>
    <xf numFmtId="41" fontId="17" fillId="0" borderId="76" xfId="2" applyFont="1" applyBorder="1" applyAlignment="1">
      <alignment horizontal="right" vertical="center"/>
    </xf>
    <xf numFmtId="41" fontId="17" fillId="0" borderId="78" xfId="2" applyFont="1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41" fontId="0" fillId="0" borderId="0" xfId="2" applyFont="1" applyBorder="1" applyAlignment="1">
      <alignment vertical="center"/>
    </xf>
    <xf numFmtId="177" fontId="0" fillId="0" borderId="0" xfId="2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vertical="center"/>
    </xf>
    <xf numFmtId="177" fontId="0" fillId="0" borderId="0" xfId="2" applyNumberFormat="1" applyFont="1" applyAlignment="1">
      <alignment horizontal="right" vertical="center"/>
    </xf>
    <xf numFmtId="176" fontId="0" fillId="0" borderId="0" xfId="0" applyNumberFormat="1" applyAlignment="1">
      <alignment vertical="center"/>
    </xf>
    <xf numFmtId="176" fontId="19" fillId="0" borderId="56" xfId="1" applyNumberFormat="1" applyFont="1" applyFill="1" applyBorder="1" applyAlignment="1">
      <alignment horizontal="center" vertical="center"/>
    </xf>
    <xf numFmtId="176" fontId="17" fillId="0" borderId="34" xfId="1" applyNumberFormat="1" applyFont="1" applyFill="1" applyBorder="1" applyAlignment="1">
      <alignment horizontal="center" vertical="center"/>
    </xf>
    <xf numFmtId="176" fontId="17" fillId="0" borderId="77" xfId="1" applyNumberFormat="1" applyFont="1" applyFill="1" applyBorder="1" applyAlignment="1">
      <alignment horizontal="center" vertical="center"/>
    </xf>
    <xf numFmtId="41" fontId="25" fillId="0" borderId="0" xfId="2" applyFont="1" applyFill="1" applyBorder="1" applyAlignment="1">
      <alignment vertical="center"/>
    </xf>
    <xf numFmtId="0" fontId="19" fillId="0" borderId="16" xfId="0" applyNumberFormat="1" applyFont="1" applyFill="1" applyBorder="1" applyAlignment="1">
      <alignment horizontal="center" vertical="center"/>
    </xf>
    <xf numFmtId="0" fontId="17" fillId="0" borderId="37" xfId="0" applyNumberFormat="1" applyFont="1" applyFill="1" applyBorder="1" applyAlignment="1">
      <alignment horizontal="center" vertical="center" wrapText="1"/>
    </xf>
    <xf numFmtId="0" fontId="17" fillId="0" borderId="26" xfId="0" applyNumberFormat="1" applyFont="1" applyFill="1" applyBorder="1" applyAlignment="1">
      <alignment vertical="center"/>
    </xf>
    <xf numFmtId="49" fontId="17" fillId="0" borderId="32" xfId="0" applyNumberFormat="1" applyFont="1" applyFill="1" applyBorder="1" applyAlignment="1">
      <alignment vertical="center"/>
    </xf>
    <xf numFmtId="43" fontId="48" fillId="2" borderId="0" xfId="0" applyNumberFormat="1" applyFont="1" applyFill="1"/>
    <xf numFmtId="41" fontId="17" fillId="0" borderId="31" xfId="2" applyFont="1" applyFill="1" applyBorder="1" applyAlignment="1">
      <alignment vertical="center"/>
    </xf>
    <xf numFmtId="41" fontId="17" fillId="0" borderId="38" xfId="2" applyFont="1" applyFill="1" applyBorder="1" applyAlignment="1">
      <alignment vertical="center"/>
    </xf>
    <xf numFmtId="41" fontId="17" fillId="0" borderId="10" xfId="2" applyFont="1" applyFill="1" applyBorder="1" applyAlignment="1">
      <alignment vertical="center"/>
    </xf>
    <xf numFmtId="41" fontId="17" fillId="0" borderId="25" xfId="2" applyFont="1" applyFill="1" applyBorder="1" applyAlignment="1">
      <alignment vertical="center"/>
    </xf>
    <xf numFmtId="0" fontId="19" fillId="0" borderId="8" xfId="0" applyNumberFormat="1" applyFont="1" applyFill="1" applyBorder="1" applyAlignment="1">
      <alignment vertical="center"/>
    </xf>
    <xf numFmtId="41" fontId="80" fillId="0" borderId="0" xfId="2" applyFont="1" applyFill="1" applyAlignment="1">
      <alignment horizontal="center"/>
    </xf>
    <xf numFmtId="41" fontId="80" fillId="0" borderId="0" xfId="2" applyFont="1" applyFill="1" applyAlignment="1">
      <alignment horizontal="center" vertical="center"/>
    </xf>
    <xf numFmtId="0" fontId="81" fillId="0" borderId="0" xfId="0" applyFont="1" applyFill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0" fontId="16" fillId="2" borderId="7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41" fontId="16" fillId="2" borderId="10" xfId="2" applyFont="1" applyFill="1" applyBorder="1" applyAlignment="1">
      <alignment horizontal="right" vertical="center"/>
    </xf>
    <xf numFmtId="178" fontId="47" fillId="2" borderId="14" xfId="2" applyNumberFormat="1" applyFont="1" applyFill="1" applyBorder="1" applyAlignment="1">
      <alignment horizontal="right" vertical="center" shrinkToFit="1"/>
    </xf>
    <xf numFmtId="178" fontId="16" fillId="2" borderId="14" xfId="2" applyNumberFormat="1" applyFont="1" applyFill="1" applyBorder="1" applyAlignment="1">
      <alignment horizontal="right" vertical="center" shrinkToFit="1"/>
    </xf>
    <xf numFmtId="177" fontId="16" fillId="2" borderId="25" xfId="6" applyNumberFormat="1" applyFont="1" applyFill="1" applyBorder="1" applyAlignment="1">
      <alignment horizontal="right" vertical="center"/>
    </xf>
    <xf numFmtId="177" fontId="16" fillId="2" borderId="40" xfId="6" applyNumberFormat="1" applyFont="1" applyFill="1" applyBorder="1" applyAlignment="1">
      <alignment horizontal="right" vertical="center"/>
    </xf>
    <xf numFmtId="178" fontId="16" fillId="2" borderId="9" xfId="0" applyNumberFormat="1" applyFont="1" applyFill="1" applyBorder="1" applyAlignment="1">
      <alignment vertical="center"/>
    </xf>
    <xf numFmtId="177" fontId="16" fillId="2" borderId="25" xfId="2" applyNumberFormat="1" applyFont="1" applyFill="1" applyBorder="1" applyAlignment="1">
      <alignment vertical="center"/>
    </xf>
    <xf numFmtId="41" fontId="13" fillId="0" borderId="0" xfId="2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16" fillId="2" borderId="0" xfId="6" applyNumberFormat="1" applyFont="1" applyFill="1" applyBorder="1">
      <alignment vertical="center"/>
    </xf>
    <xf numFmtId="178" fontId="18" fillId="2" borderId="0" xfId="0" applyNumberFormat="1" applyFont="1" applyFill="1" applyBorder="1" applyAlignment="1">
      <alignment vertical="center"/>
    </xf>
    <xf numFmtId="41" fontId="18" fillId="2" borderId="0" xfId="2" applyFont="1" applyFill="1" applyBorder="1" applyAlignment="1">
      <alignment horizontal="right" vertical="center"/>
    </xf>
    <xf numFmtId="3" fontId="16" fillId="2" borderId="66" xfId="6" applyNumberFormat="1" applyFont="1" applyFill="1" applyBorder="1" applyAlignment="1">
      <alignment vertical="center"/>
    </xf>
    <xf numFmtId="3" fontId="16" fillId="2" borderId="67" xfId="6" applyNumberFormat="1" applyFont="1" applyFill="1" applyBorder="1" applyAlignment="1">
      <alignment vertical="center"/>
    </xf>
    <xf numFmtId="3" fontId="16" fillId="2" borderId="67" xfId="2" applyNumberFormat="1" applyFont="1" applyFill="1" applyBorder="1" applyAlignment="1">
      <alignment vertical="center"/>
    </xf>
    <xf numFmtId="3" fontId="16" fillId="2" borderId="67" xfId="6" applyNumberFormat="1" applyFont="1" applyFill="1" applyBorder="1" applyAlignment="1">
      <alignment horizontal="right" vertical="center"/>
    </xf>
    <xf numFmtId="3" fontId="16" fillId="2" borderId="68" xfId="2" applyNumberFormat="1" applyFont="1" applyFill="1" applyBorder="1" applyAlignment="1">
      <alignment horizontal="right" vertical="center"/>
    </xf>
    <xf numFmtId="41" fontId="47" fillId="2" borderId="0" xfId="0" applyNumberFormat="1" applyFont="1" applyFill="1" applyBorder="1" applyAlignment="1">
      <alignment vertical="center"/>
    </xf>
    <xf numFmtId="41" fontId="48" fillId="2" borderId="0" xfId="2" applyFont="1" applyFill="1" applyBorder="1"/>
    <xf numFmtId="178" fontId="50" fillId="2" borderId="0" xfId="0" applyNumberFormat="1" applyFont="1" applyFill="1" applyBorder="1" applyAlignment="1">
      <alignment vertical="center"/>
    </xf>
    <xf numFmtId="178" fontId="47" fillId="2" borderId="0" xfId="6" applyNumberFormat="1" applyFont="1" applyFill="1" applyBorder="1" applyAlignment="1">
      <alignment vertical="center"/>
    </xf>
    <xf numFmtId="178" fontId="16" fillId="2" borderId="0" xfId="6" applyNumberFormat="1" applyFont="1" applyFill="1" applyBorder="1" applyAlignment="1">
      <alignment vertical="center"/>
    </xf>
    <xf numFmtId="177" fontId="50" fillId="2" borderId="0" xfId="0" applyNumberFormat="1" applyFont="1" applyFill="1" applyBorder="1" applyAlignment="1">
      <alignment vertical="center"/>
    </xf>
    <xf numFmtId="38" fontId="47" fillId="2" borderId="0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horizontal="left" vertical="center"/>
    </xf>
    <xf numFmtId="41" fontId="17" fillId="0" borderId="16" xfId="2" applyFont="1" applyFill="1" applyBorder="1" applyAlignment="1">
      <alignment vertical="center"/>
    </xf>
    <xf numFmtId="41" fontId="17" fillId="0" borderId="0" xfId="2" applyFont="1" applyFill="1" applyBorder="1" applyAlignment="1">
      <alignment vertical="center"/>
    </xf>
    <xf numFmtId="0" fontId="17" fillId="0" borderId="1" xfId="2" applyNumberFormat="1" applyFont="1" applyFill="1" applyBorder="1" applyAlignment="1">
      <alignment horizontal="left" vertical="center"/>
    </xf>
    <xf numFmtId="177" fontId="16" fillId="0" borderId="25" xfId="2" applyNumberFormat="1" applyFont="1" applyFill="1" applyBorder="1" applyAlignment="1">
      <alignment horizontal="center" vertical="center"/>
    </xf>
    <xf numFmtId="177" fontId="16" fillId="0" borderId="40" xfId="2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41" fontId="48" fillId="2" borderId="16" xfId="2" applyFont="1" applyFill="1" applyBorder="1" applyAlignment="1"/>
    <xf numFmtId="178" fontId="16" fillId="2" borderId="16" xfId="0" applyNumberFormat="1" applyFont="1" applyFill="1" applyBorder="1" applyAlignment="1">
      <alignment vertical="center"/>
    </xf>
    <xf numFmtId="41" fontId="18" fillId="2" borderId="16" xfId="2" applyFont="1" applyFill="1" applyBorder="1" applyAlignment="1">
      <alignment vertical="center"/>
    </xf>
    <xf numFmtId="41" fontId="13" fillId="0" borderId="0" xfId="0" applyNumberFormat="1" applyFont="1" applyFill="1" applyAlignment="1">
      <alignment vertical="center"/>
    </xf>
    <xf numFmtId="178" fontId="47" fillId="0" borderId="33" xfId="2" applyNumberFormat="1" applyFont="1" applyFill="1" applyBorder="1" applyAlignment="1">
      <alignment vertical="center"/>
    </xf>
    <xf numFmtId="177" fontId="47" fillId="0" borderId="63" xfId="2" applyNumberFormat="1" applyFont="1" applyFill="1" applyBorder="1" applyAlignment="1">
      <alignment vertical="center"/>
    </xf>
    <xf numFmtId="49" fontId="16" fillId="2" borderId="29" xfId="6" applyNumberFormat="1" applyFont="1" applyFill="1" applyBorder="1" applyAlignment="1">
      <alignment vertical="center"/>
    </xf>
    <xf numFmtId="9" fontId="45" fillId="0" borderId="0" xfId="13" applyFont="1" applyFill="1" applyBorder="1" applyAlignment="1">
      <alignment horizontal="left" vertical="center"/>
    </xf>
    <xf numFmtId="0" fontId="36" fillId="0" borderId="81" xfId="0" applyFont="1" applyFill="1" applyBorder="1" applyAlignment="1">
      <alignment horizontal="left" vertical="center" wrapText="1"/>
    </xf>
    <xf numFmtId="177" fontId="36" fillId="0" borderId="109" xfId="2" applyNumberFormat="1" applyFont="1" applyFill="1" applyBorder="1" applyAlignment="1">
      <alignment horizontal="right" vertical="center"/>
    </xf>
    <xf numFmtId="177" fontId="37" fillId="2" borderId="110" xfId="0" applyNumberFormat="1" applyFont="1" applyFill="1" applyBorder="1" applyAlignment="1">
      <alignment horizontal="right" vertical="center" wrapText="1"/>
    </xf>
    <xf numFmtId="0" fontId="47" fillId="2" borderId="16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47" fillId="2" borderId="22" xfId="0" applyFont="1" applyFill="1" applyBorder="1" applyAlignment="1">
      <alignment horizontal="left" vertical="center" wrapText="1"/>
    </xf>
    <xf numFmtId="0" fontId="47" fillId="2" borderId="7" xfId="0" applyFont="1" applyFill="1" applyBorder="1" applyAlignment="1">
      <alignment horizontal="left" vertical="center" wrapText="1"/>
    </xf>
    <xf numFmtId="49" fontId="17" fillId="0" borderId="20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0" fontId="36" fillId="0" borderId="25" xfId="0" applyFont="1" applyFill="1" applyBorder="1" applyAlignment="1">
      <alignment horizontal="left" vertical="center" wrapText="1"/>
    </xf>
    <xf numFmtId="177" fontId="37" fillId="0" borderId="111" xfId="0" applyNumberFormat="1" applyFont="1" applyBorder="1" applyAlignment="1">
      <alignment horizontal="right" vertical="center" wrapText="1"/>
    </xf>
    <xf numFmtId="177" fontId="37" fillId="0" borderId="111" xfId="0" applyNumberFormat="1" applyFont="1" applyFill="1" applyBorder="1" applyAlignment="1">
      <alignment horizontal="right" vertical="center" wrapText="1"/>
    </xf>
    <xf numFmtId="176" fontId="36" fillId="0" borderId="40" xfId="1" applyNumberFormat="1" applyFont="1" applyFill="1" applyBorder="1" applyAlignment="1">
      <alignment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13" xfId="0" applyFont="1" applyFill="1" applyBorder="1" applyAlignment="1">
      <alignment horizontal="left" vertical="center" wrapText="1"/>
    </xf>
    <xf numFmtId="177" fontId="37" fillId="2" borderId="112" xfId="0" applyNumberFormat="1" applyFont="1" applyFill="1" applyBorder="1" applyAlignment="1">
      <alignment horizontal="right" vertical="center" wrapText="1"/>
    </xf>
    <xf numFmtId="177" fontId="36" fillId="0" borderId="28" xfId="2" applyNumberFormat="1" applyFont="1" applyFill="1" applyBorder="1" applyAlignment="1">
      <alignment horizontal="right" vertical="center"/>
    </xf>
    <xf numFmtId="176" fontId="36" fillId="0" borderId="56" xfId="1" applyNumberFormat="1" applyFont="1" applyFill="1" applyBorder="1" applyAlignment="1">
      <alignment vertical="center"/>
    </xf>
    <xf numFmtId="0" fontId="16" fillId="2" borderId="30" xfId="0" applyNumberFormat="1" applyFont="1" applyFill="1" applyBorder="1" applyAlignment="1">
      <alignment vertical="center"/>
    </xf>
    <xf numFmtId="49" fontId="16" fillId="2" borderId="30" xfId="2" applyNumberFormat="1" applyFont="1" applyFill="1" applyBorder="1" applyAlignment="1">
      <alignment horizontal="right" vertical="center"/>
    </xf>
    <xf numFmtId="49" fontId="16" fillId="2" borderId="30" xfId="6" applyNumberFormat="1" applyFont="1" applyFill="1" applyBorder="1" applyAlignment="1">
      <alignment vertical="center"/>
    </xf>
    <xf numFmtId="49" fontId="16" fillId="2" borderId="30" xfId="6" applyNumberFormat="1" applyFont="1" applyFill="1" applyBorder="1" applyAlignment="1">
      <alignment horizontal="right" vertical="center"/>
    </xf>
    <xf numFmtId="177" fontId="16" fillId="2" borderId="30" xfId="6" applyNumberFormat="1" applyFont="1" applyFill="1" applyBorder="1" applyAlignment="1">
      <alignment vertical="center"/>
    </xf>
    <xf numFmtId="177" fontId="16" fillId="2" borderId="31" xfId="2" applyNumberFormat="1" applyFont="1" applyFill="1" applyBorder="1" applyAlignment="1">
      <alignment horizontal="right" vertical="center"/>
    </xf>
    <xf numFmtId="177" fontId="16" fillId="2" borderId="23" xfId="2" applyNumberFormat="1" applyFont="1" applyFill="1" applyBorder="1" applyAlignment="1">
      <alignment horizontal="right" vertical="center"/>
    </xf>
    <xf numFmtId="3" fontId="47" fillId="2" borderId="12" xfId="0" applyNumberFormat="1" applyFont="1" applyFill="1" applyBorder="1" applyAlignment="1">
      <alignment vertical="center"/>
    </xf>
    <xf numFmtId="0" fontId="49" fillId="2" borderId="12" xfId="0" applyFont="1" applyFill="1" applyBorder="1" applyAlignment="1">
      <alignment vertical="center"/>
    </xf>
    <xf numFmtId="3" fontId="16" fillId="2" borderId="30" xfId="1" applyNumberFormat="1" applyFont="1" applyFill="1" applyBorder="1" applyAlignment="1">
      <alignment vertical="center"/>
    </xf>
    <xf numFmtId="49" fontId="19" fillId="0" borderId="13" xfId="0" applyNumberFormat="1" applyFont="1" applyFill="1" applyBorder="1" applyAlignment="1">
      <alignment horizontal="left" vertical="center"/>
    </xf>
    <xf numFmtId="178" fontId="48" fillId="2" borderId="46" xfId="0" applyNumberFormat="1" applyFont="1" applyFill="1" applyBorder="1" applyAlignment="1">
      <alignment vertical="center"/>
    </xf>
    <xf numFmtId="41" fontId="16" fillId="2" borderId="2" xfId="2" applyFont="1" applyFill="1" applyBorder="1" applyAlignment="1">
      <alignment horizontal="right" vertical="center"/>
    </xf>
    <xf numFmtId="177" fontId="47" fillId="2" borderId="13" xfId="2" applyNumberFormat="1" applyFont="1" applyFill="1" applyBorder="1" applyAlignment="1">
      <alignment vertical="center"/>
    </xf>
    <xf numFmtId="197" fontId="47" fillId="2" borderId="16" xfId="6" applyNumberFormat="1" applyFont="1" applyFill="1" applyBorder="1" applyAlignment="1">
      <alignment vertical="center"/>
    </xf>
    <xf numFmtId="197" fontId="47" fillId="2" borderId="0" xfId="6" applyNumberFormat="1" applyFont="1" applyFill="1" applyBorder="1" applyAlignment="1">
      <alignment vertical="center"/>
    </xf>
    <xf numFmtId="197" fontId="47" fillId="2" borderId="0" xfId="2" applyNumberFormat="1" applyFont="1" applyFill="1" applyBorder="1" applyAlignment="1">
      <alignment vertical="center"/>
    </xf>
    <xf numFmtId="197" fontId="47" fillId="2" borderId="0" xfId="6" applyNumberFormat="1" applyFont="1" applyFill="1" applyBorder="1" applyAlignment="1">
      <alignment horizontal="center" vertical="center"/>
    </xf>
    <xf numFmtId="197" fontId="47" fillId="2" borderId="0" xfId="0" applyNumberFormat="1" applyFont="1" applyFill="1" applyBorder="1" applyAlignment="1">
      <alignment vertical="center"/>
    </xf>
    <xf numFmtId="197" fontId="47" fillId="2" borderId="0" xfId="6" applyNumberFormat="1" applyFont="1" applyFill="1" applyBorder="1" applyAlignment="1">
      <alignment horizontal="left" vertical="center"/>
    </xf>
    <xf numFmtId="197" fontId="47" fillId="2" borderId="0" xfId="2" applyNumberFormat="1" applyFont="1" applyFill="1" applyBorder="1" applyAlignment="1">
      <alignment horizontal="center" vertical="center"/>
    </xf>
    <xf numFmtId="197" fontId="47" fillId="2" borderId="24" xfId="6" applyNumberFormat="1" applyFont="1" applyFill="1" applyBorder="1" applyAlignment="1">
      <alignment vertical="center"/>
    </xf>
    <xf numFmtId="197" fontId="47" fillId="2" borderId="6" xfId="6" applyNumberFormat="1" applyFont="1" applyFill="1" applyBorder="1" applyAlignment="1">
      <alignment vertical="center"/>
    </xf>
    <xf numFmtId="197" fontId="47" fillId="2" borderId="6" xfId="0" applyNumberFormat="1" applyFont="1" applyFill="1" applyBorder="1" applyAlignment="1">
      <alignment vertical="center"/>
    </xf>
    <xf numFmtId="197" fontId="47" fillId="2" borderId="6" xfId="2" applyNumberFormat="1" applyFont="1" applyFill="1" applyBorder="1" applyAlignment="1">
      <alignment vertical="center"/>
    </xf>
    <xf numFmtId="197" fontId="47" fillId="2" borderId="22" xfId="6" applyNumberFormat="1" applyFont="1" applyFill="1" applyBorder="1" applyAlignment="1">
      <alignment horizontal="left" vertical="center"/>
    </xf>
    <xf numFmtId="197" fontId="47" fillId="2" borderId="7" xfId="6" applyNumberFormat="1" applyFont="1" applyFill="1" applyBorder="1" applyAlignment="1">
      <alignment vertical="center"/>
    </xf>
    <xf numFmtId="197" fontId="47" fillId="2" borderId="7" xfId="2" applyNumberFormat="1" applyFont="1" applyFill="1" applyBorder="1" applyAlignment="1">
      <alignment vertical="center"/>
    </xf>
    <xf numFmtId="197" fontId="47" fillId="2" borderId="22" xfId="0" applyNumberFormat="1" applyFont="1" applyFill="1" applyBorder="1" applyAlignment="1">
      <alignment horizontal="center" vertical="center"/>
    </xf>
    <xf numFmtId="197" fontId="47" fillId="2" borderId="7" xfId="0" applyNumberFormat="1" applyFont="1" applyFill="1" applyBorder="1" applyAlignment="1">
      <alignment horizontal="center" vertical="center"/>
    </xf>
    <xf numFmtId="197" fontId="47" fillId="2" borderId="29" xfId="0" applyNumberFormat="1" applyFont="1" applyFill="1" applyBorder="1" applyAlignment="1">
      <alignment vertical="center"/>
    </xf>
    <xf numFmtId="197" fontId="47" fillId="2" borderId="30" xfId="0" applyNumberFormat="1" applyFont="1" applyFill="1" applyBorder="1" applyAlignment="1">
      <alignment vertical="center"/>
    </xf>
    <xf numFmtId="197" fontId="47" fillId="2" borderId="16" xfId="0" applyNumberFormat="1" applyFont="1" applyFill="1" applyBorder="1" applyAlignment="1">
      <alignment vertical="center"/>
    </xf>
    <xf numFmtId="197" fontId="47" fillId="2" borderId="22" xfId="6" applyNumberFormat="1" applyFont="1" applyFill="1" applyBorder="1" applyAlignment="1">
      <alignment vertical="center"/>
    </xf>
    <xf numFmtId="197" fontId="47" fillId="2" borderId="24" xfId="0" applyNumberFormat="1" applyFont="1" applyFill="1" applyBorder="1" applyAlignment="1">
      <alignment vertical="center"/>
    </xf>
    <xf numFmtId="197" fontId="47" fillId="2" borderId="16" xfId="6" applyNumberFormat="1" applyFont="1" applyFill="1" applyBorder="1" applyAlignment="1">
      <alignment horizontal="left" vertical="center"/>
    </xf>
    <xf numFmtId="197" fontId="47" fillId="2" borderId="0" xfId="6" applyNumberFormat="1" applyFont="1" applyFill="1" applyBorder="1" applyAlignment="1">
      <alignment horizontal="justify" vertical="center"/>
    </xf>
    <xf numFmtId="197" fontId="47" fillId="2" borderId="0" xfId="2" applyNumberFormat="1" applyFont="1" applyFill="1" applyBorder="1" applyAlignment="1">
      <alignment horizontal="right" vertical="center"/>
    </xf>
    <xf numFmtId="197" fontId="47" fillId="2" borderId="29" xfId="0" applyNumberFormat="1" applyFont="1" applyFill="1" applyBorder="1" applyAlignment="1">
      <alignment horizontal="center" vertical="center"/>
    </xf>
    <xf numFmtId="197" fontId="47" fillId="2" borderId="30" xfId="0" applyNumberFormat="1" applyFont="1" applyFill="1" applyBorder="1" applyAlignment="1">
      <alignment horizontal="center" vertical="center"/>
    </xf>
    <xf numFmtId="197" fontId="47" fillId="2" borderId="20" xfId="0" applyNumberFormat="1" applyFont="1" applyFill="1" applyBorder="1" applyAlignment="1">
      <alignment vertical="center"/>
    </xf>
    <xf numFmtId="197" fontId="47" fillId="2" borderId="1" xfId="6" applyNumberFormat="1" applyFont="1" applyFill="1" applyBorder="1" applyAlignment="1">
      <alignment horizontal="left" vertical="center"/>
    </xf>
    <xf numFmtId="197" fontId="47" fillId="2" borderId="1" xfId="0" applyNumberFormat="1" applyFont="1" applyFill="1" applyBorder="1" applyAlignment="1">
      <alignment vertical="center"/>
    </xf>
    <xf numFmtId="197" fontId="47" fillId="2" borderId="44" xfId="0" applyNumberFormat="1" applyFont="1" applyFill="1" applyBorder="1" applyAlignment="1">
      <alignment horizontal="left" vertical="center" wrapText="1"/>
    </xf>
    <xf numFmtId="197" fontId="47" fillId="2" borderId="45" xfId="0" applyNumberFormat="1" applyFont="1" applyFill="1" applyBorder="1" applyAlignment="1">
      <alignment horizontal="left" vertical="center" wrapText="1"/>
    </xf>
    <xf numFmtId="197" fontId="47" fillId="2" borderId="29" xfId="0" applyNumberFormat="1" applyFont="1" applyFill="1" applyBorder="1" applyAlignment="1">
      <alignment horizontal="left" vertical="center" wrapText="1"/>
    </xf>
    <xf numFmtId="197" fontId="47" fillId="2" borderId="30" xfId="0" applyNumberFormat="1" applyFont="1" applyFill="1" applyBorder="1" applyAlignment="1">
      <alignment horizontal="left" vertical="center" wrapText="1"/>
    </xf>
    <xf numFmtId="197" fontId="47" fillId="2" borderId="16" xfId="0" applyNumberFormat="1" applyFont="1" applyFill="1" applyBorder="1" applyAlignment="1">
      <alignment horizontal="left" vertical="center"/>
    </xf>
    <xf numFmtId="197" fontId="47" fillId="2" borderId="0" xfId="0" applyNumberFormat="1" applyFont="1" applyFill="1" applyBorder="1" applyAlignment="1">
      <alignment horizontal="left" vertical="center"/>
    </xf>
    <xf numFmtId="197" fontId="47" fillId="2" borderId="29" xfId="0" applyNumberFormat="1" applyFont="1" applyFill="1" applyBorder="1" applyAlignment="1">
      <alignment horizontal="left" vertical="center"/>
    </xf>
    <xf numFmtId="197" fontId="47" fillId="2" borderId="30" xfId="0" applyNumberFormat="1" applyFont="1" applyFill="1" applyBorder="1" applyAlignment="1">
      <alignment horizontal="left" vertical="center"/>
    </xf>
    <xf numFmtId="197" fontId="47" fillId="2" borderId="29" xfId="2" applyNumberFormat="1" applyFont="1" applyFill="1" applyBorder="1" applyAlignment="1">
      <alignment horizontal="left" vertical="center" wrapText="1"/>
    </xf>
    <xf numFmtId="197" fontId="47" fillId="2" borderId="30" xfId="2" applyNumberFormat="1" applyFont="1" applyFill="1" applyBorder="1" applyAlignment="1">
      <alignment horizontal="left" vertical="center" wrapText="1"/>
    </xf>
    <xf numFmtId="197" fontId="16" fillId="2" borderId="29" xfId="2" applyNumberFormat="1" applyFont="1" applyFill="1" applyBorder="1" applyAlignment="1">
      <alignment horizontal="left" vertical="center" wrapText="1"/>
    </xf>
    <xf numFmtId="197" fontId="16" fillId="2" borderId="30" xfId="2" applyNumberFormat="1" applyFont="1" applyFill="1" applyBorder="1" applyAlignment="1">
      <alignment horizontal="left" vertical="center" wrapText="1"/>
    </xf>
    <xf numFmtId="197" fontId="47" fillId="2" borderId="22" xfId="0" applyNumberFormat="1" applyFont="1" applyFill="1" applyBorder="1" applyAlignment="1">
      <alignment vertical="center"/>
    </xf>
    <xf numFmtId="197" fontId="47" fillId="2" borderId="7" xfId="0" applyNumberFormat="1" applyFont="1" applyFill="1" applyBorder="1" applyAlignment="1">
      <alignment vertical="center"/>
    </xf>
    <xf numFmtId="197" fontId="16" fillId="2" borderId="22" xfId="0" applyNumberFormat="1" applyFont="1" applyFill="1" applyBorder="1" applyAlignment="1">
      <alignment vertical="center"/>
    </xf>
    <xf numFmtId="197" fontId="16" fillId="2" borderId="7" xfId="6" applyNumberFormat="1" applyFont="1" applyFill="1" applyBorder="1" applyAlignment="1">
      <alignment horizontal="left" vertical="center"/>
    </xf>
    <xf numFmtId="197" fontId="0" fillId="2" borderId="7" xfId="0" applyNumberFormat="1" applyFont="1" applyFill="1" applyBorder="1" applyAlignment="1">
      <alignment vertical="center"/>
    </xf>
    <xf numFmtId="197" fontId="16" fillId="2" borderId="7" xfId="0" applyNumberFormat="1" applyFont="1" applyFill="1" applyBorder="1" applyAlignment="1">
      <alignment vertical="center"/>
    </xf>
    <xf numFmtId="197" fontId="16" fillId="2" borderId="16" xfId="0" applyNumberFormat="1" applyFont="1" applyFill="1" applyBorder="1" applyAlignment="1">
      <alignment vertical="center"/>
    </xf>
    <xf numFmtId="197" fontId="16" fillId="2" borderId="0" xfId="6" applyNumberFormat="1" applyFont="1" applyFill="1" applyBorder="1" applyAlignment="1">
      <alignment horizontal="left" vertical="center"/>
    </xf>
    <xf numFmtId="197" fontId="0" fillId="2" borderId="0" xfId="0" applyNumberFormat="1" applyFont="1" applyFill="1" applyBorder="1" applyAlignment="1">
      <alignment vertical="center"/>
    </xf>
    <xf numFmtId="197" fontId="16" fillId="2" borderId="20" xfId="0" applyNumberFormat="1" applyFont="1" applyFill="1" applyBorder="1" applyAlignment="1">
      <alignment vertical="center"/>
    </xf>
    <xf numFmtId="197" fontId="16" fillId="2" borderId="1" xfId="6" applyNumberFormat="1" applyFont="1" applyFill="1" applyBorder="1" applyAlignment="1">
      <alignment horizontal="left" vertical="center"/>
    </xf>
    <xf numFmtId="197" fontId="0" fillId="2" borderId="1" xfId="0" applyNumberFormat="1" applyFont="1" applyFill="1" applyBorder="1" applyAlignment="1">
      <alignment vertical="center"/>
    </xf>
    <xf numFmtId="41" fontId="19" fillId="0" borderId="13" xfId="2" applyFont="1" applyFill="1" applyBorder="1" applyAlignment="1">
      <alignment horizontal="right" vertical="center"/>
    </xf>
    <xf numFmtId="41" fontId="17" fillId="0" borderId="9" xfId="2" applyFont="1" applyBorder="1" applyAlignment="1">
      <alignment horizontal="right" vertical="center"/>
    </xf>
    <xf numFmtId="0" fontId="19" fillId="0" borderId="13" xfId="0" applyFont="1" applyBorder="1" applyAlignment="1">
      <alignment horizontal="left" vertical="center"/>
    </xf>
    <xf numFmtId="41" fontId="19" fillId="0" borderId="13" xfId="2" applyFont="1" applyBorder="1" applyAlignment="1">
      <alignment horizontal="right" vertical="center"/>
    </xf>
    <xf numFmtId="49" fontId="19" fillId="8" borderId="13" xfId="0" applyNumberFormat="1" applyFont="1" applyFill="1" applyBorder="1" applyAlignment="1">
      <alignment horizontal="center" vertical="center"/>
    </xf>
    <xf numFmtId="41" fontId="19" fillId="8" borderId="13" xfId="2" applyFont="1" applyFill="1" applyBorder="1" applyAlignment="1">
      <alignment horizontal="right" vertical="center"/>
    </xf>
    <xf numFmtId="176" fontId="19" fillId="8" borderId="56" xfId="1" applyNumberFormat="1" applyFont="1" applyFill="1" applyBorder="1" applyAlignment="1">
      <alignment horizontal="center" vertical="center"/>
    </xf>
    <xf numFmtId="49" fontId="19" fillId="8" borderId="14" xfId="0" applyNumberFormat="1" applyFont="1" applyFill="1" applyBorder="1" applyAlignment="1">
      <alignment horizontal="center" vertical="center"/>
    </xf>
    <xf numFmtId="41" fontId="19" fillId="8" borderId="14" xfId="2" applyFont="1" applyFill="1" applyBorder="1" applyAlignment="1">
      <alignment horizontal="right" vertical="center"/>
    </xf>
    <xf numFmtId="41" fontId="17" fillId="0" borderId="81" xfId="2" applyFont="1" applyBorder="1" applyAlignment="1">
      <alignment horizontal="right" vertical="center"/>
    </xf>
    <xf numFmtId="177" fontId="17" fillId="0" borderId="109" xfId="2" applyNumberFormat="1" applyFont="1" applyFill="1" applyBorder="1" applyAlignment="1">
      <alignment horizontal="right" vertical="center"/>
    </xf>
    <xf numFmtId="41" fontId="19" fillId="8" borderId="51" xfId="2" applyFont="1" applyFill="1" applyBorder="1" applyAlignment="1">
      <alignment horizontal="right" vertical="center"/>
    </xf>
    <xf numFmtId="176" fontId="19" fillId="8" borderId="70" xfId="1" applyNumberFormat="1" applyFont="1" applyFill="1" applyBorder="1" applyAlignment="1">
      <alignment horizontal="right" vertical="center"/>
    </xf>
    <xf numFmtId="41" fontId="19" fillId="3" borderId="33" xfId="2" applyFont="1" applyFill="1" applyBorder="1" applyAlignment="1">
      <alignment horizontal="right" vertical="center"/>
    </xf>
    <xf numFmtId="177" fontId="19" fillId="3" borderId="14" xfId="2" applyNumberFormat="1" applyFont="1" applyFill="1" applyBorder="1" applyAlignment="1">
      <alignment horizontal="right" vertical="center"/>
    </xf>
    <xf numFmtId="176" fontId="19" fillId="3" borderId="63" xfId="1" applyNumberFormat="1" applyFont="1" applyFill="1" applyBorder="1" applyAlignment="1">
      <alignment horizontal="center" vertical="center"/>
    </xf>
    <xf numFmtId="41" fontId="31" fillId="9" borderId="39" xfId="2" applyFont="1" applyFill="1" applyBorder="1" applyAlignment="1">
      <alignment horizontal="center" vertical="center"/>
    </xf>
    <xf numFmtId="177" fontId="31" fillId="9" borderId="39" xfId="2" applyNumberFormat="1" applyFont="1" applyFill="1" applyBorder="1" applyAlignment="1">
      <alignment horizontal="center" vertical="center"/>
    </xf>
    <xf numFmtId="176" fontId="19" fillId="9" borderId="62" xfId="0" applyNumberFormat="1" applyFont="1" applyFill="1" applyBorder="1" applyAlignment="1">
      <alignment horizontal="center" vertical="center"/>
    </xf>
    <xf numFmtId="177" fontId="19" fillId="8" borderId="13" xfId="2" applyNumberFormat="1" applyFont="1" applyFill="1" applyBorder="1" applyAlignment="1">
      <alignment horizontal="right" vertical="center"/>
    </xf>
    <xf numFmtId="176" fontId="34" fillId="8" borderId="13" xfId="1" applyNumberFormat="1" applyFont="1" applyFill="1" applyBorder="1" applyAlignment="1">
      <alignment vertical="center"/>
    </xf>
    <xf numFmtId="176" fontId="34" fillId="9" borderId="13" xfId="1" applyNumberFormat="1" applyFont="1" applyFill="1" applyBorder="1" applyAlignment="1">
      <alignment vertical="center"/>
    </xf>
    <xf numFmtId="41" fontId="19" fillId="0" borderId="0" xfId="2" applyFont="1" applyFill="1" applyAlignment="1">
      <alignment vertical="center"/>
    </xf>
    <xf numFmtId="0" fontId="17" fillId="0" borderId="0" xfId="0" applyFont="1" applyAlignment="1">
      <alignment vertical="center" wrapText="1"/>
    </xf>
    <xf numFmtId="177" fontId="17" fillId="0" borderId="0" xfId="2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9" fillId="8" borderId="13" xfId="0" applyFont="1" applyFill="1" applyBorder="1" applyAlignment="1">
      <alignment horizontal="center" vertical="center"/>
    </xf>
    <xf numFmtId="177" fontId="19" fillId="3" borderId="13" xfId="2" applyNumberFormat="1" applyFont="1" applyFill="1" applyBorder="1" applyAlignment="1">
      <alignment vertical="center"/>
    </xf>
    <xf numFmtId="0" fontId="36" fillId="2" borderId="74" xfId="0" applyFont="1" applyFill="1" applyBorder="1" applyAlignment="1">
      <alignment horizontal="center" vertical="center" wrapText="1"/>
    </xf>
    <xf numFmtId="177" fontId="37" fillId="2" borderId="74" xfId="0" applyNumberFormat="1" applyFont="1" applyFill="1" applyBorder="1" applyAlignment="1">
      <alignment horizontal="right" vertical="center"/>
    </xf>
    <xf numFmtId="177" fontId="36" fillId="2" borderId="74" xfId="2" applyNumberFormat="1" applyFont="1" applyFill="1" applyBorder="1" applyAlignment="1">
      <alignment horizontal="right" vertical="center"/>
    </xf>
    <xf numFmtId="176" fontId="36" fillId="2" borderId="74" xfId="1" applyNumberFormat="1" applyFont="1" applyFill="1" applyBorder="1" applyAlignment="1">
      <alignment vertical="center"/>
    </xf>
    <xf numFmtId="0" fontId="17" fillId="2" borderId="75" xfId="0" applyFont="1" applyFill="1" applyBorder="1" applyAlignment="1">
      <alignment horizontal="center" vertical="center"/>
    </xf>
    <xf numFmtId="177" fontId="37" fillId="2" borderId="75" xfId="0" applyNumberFormat="1" applyFont="1" applyFill="1" applyBorder="1" applyAlignment="1">
      <alignment horizontal="right" vertical="center"/>
    </xf>
    <xf numFmtId="177" fontId="36" fillId="2" borderId="75" xfId="2" applyNumberFormat="1" applyFont="1" applyFill="1" applyBorder="1" applyAlignment="1">
      <alignment horizontal="right" vertical="center"/>
    </xf>
    <xf numFmtId="176" fontId="36" fillId="2" borderId="75" xfId="1" applyNumberFormat="1" applyFont="1" applyFill="1" applyBorder="1" applyAlignment="1">
      <alignment vertical="center"/>
    </xf>
    <xf numFmtId="49" fontId="17" fillId="2" borderId="75" xfId="0" applyNumberFormat="1" applyFont="1" applyFill="1" applyBorder="1" applyAlignment="1">
      <alignment horizontal="center" vertical="center"/>
    </xf>
    <xf numFmtId="0" fontId="17" fillId="2" borderId="81" xfId="0" applyFont="1" applyFill="1" applyBorder="1" applyAlignment="1">
      <alignment horizontal="center" vertical="center"/>
    </xf>
    <xf numFmtId="177" fontId="37" fillId="2" borderId="81" xfId="0" applyNumberFormat="1" applyFont="1" applyFill="1" applyBorder="1" applyAlignment="1">
      <alignment horizontal="right" vertical="center"/>
    </xf>
    <xf numFmtId="177" fontId="36" fillId="2" borderId="81" xfId="2" applyNumberFormat="1" applyFont="1" applyFill="1" applyBorder="1" applyAlignment="1">
      <alignment horizontal="right" vertical="center"/>
    </xf>
    <xf numFmtId="176" fontId="36" fillId="2" borderId="81" xfId="1" applyNumberFormat="1" applyFont="1" applyFill="1" applyBorder="1" applyAlignment="1">
      <alignment vertical="center"/>
    </xf>
    <xf numFmtId="0" fontId="17" fillId="0" borderId="74" xfId="0" applyFont="1" applyBorder="1" applyAlignment="1">
      <alignment horizontal="center" vertical="center" wrapText="1"/>
    </xf>
    <xf numFmtId="177" fontId="17" fillId="0" borderId="74" xfId="2" applyNumberFormat="1" applyFont="1" applyBorder="1" applyAlignment="1">
      <alignment vertical="center"/>
    </xf>
    <xf numFmtId="0" fontId="17" fillId="0" borderId="75" xfId="0" applyFont="1" applyBorder="1" applyAlignment="1">
      <alignment horizontal="center" vertical="center" wrapText="1"/>
    </xf>
    <xf numFmtId="177" fontId="17" fillId="0" borderId="75" xfId="2" applyNumberFormat="1" applyFont="1" applyBorder="1" applyAlignment="1">
      <alignment vertical="center"/>
    </xf>
    <xf numFmtId="0" fontId="17" fillId="0" borderId="81" xfId="0" applyFont="1" applyBorder="1" applyAlignment="1">
      <alignment horizontal="center" vertical="center" wrapText="1"/>
    </xf>
    <xf numFmtId="177" fontId="17" fillId="0" borderId="81" xfId="2" applyNumberFormat="1" applyFont="1" applyBorder="1" applyAlignment="1">
      <alignment vertical="center"/>
    </xf>
    <xf numFmtId="0" fontId="19" fillId="9" borderId="13" xfId="0" applyFont="1" applyFill="1" applyBorder="1" applyAlignment="1">
      <alignment horizontal="center" vertical="center"/>
    </xf>
    <xf numFmtId="177" fontId="19" fillId="9" borderId="13" xfId="2" applyNumberFormat="1" applyFont="1" applyFill="1" applyBorder="1" applyAlignment="1">
      <alignment horizontal="center" vertical="center"/>
    </xf>
    <xf numFmtId="177" fontId="19" fillId="9" borderId="13" xfId="2" applyNumberFormat="1" applyFont="1" applyFill="1" applyBorder="1" applyAlignment="1">
      <alignment horizontal="center" vertical="center" wrapText="1"/>
    </xf>
    <xf numFmtId="41" fontId="19" fillId="9" borderId="13" xfId="2" applyFont="1" applyFill="1" applyBorder="1" applyAlignment="1">
      <alignment horizontal="center" vertical="center"/>
    </xf>
    <xf numFmtId="177" fontId="19" fillId="9" borderId="13" xfId="2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horizontal="center"/>
    </xf>
    <xf numFmtId="176" fontId="36" fillId="0" borderId="80" xfId="1" applyNumberFormat="1" applyFont="1" applyFill="1" applyBorder="1" applyAlignment="1">
      <alignment vertical="center"/>
    </xf>
    <xf numFmtId="176" fontId="34" fillId="0" borderId="56" xfId="1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horizontal="left" vertical="center"/>
    </xf>
    <xf numFmtId="41" fontId="17" fillId="0" borderId="16" xfId="2" applyFont="1" applyFill="1" applyBorder="1" applyAlignment="1">
      <alignment vertical="center"/>
    </xf>
    <xf numFmtId="41" fontId="17" fillId="0" borderId="0" xfId="2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77" fontId="50" fillId="2" borderId="39" xfId="0" applyNumberFormat="1" applyFont="1" applyFill="1" applyBorder="1" applyAlignment="1">
      <alignment horizontal="right" vertical="center"/>
    </xf>
    <xf numFmtId="177" fontId="50" fillId="2" borderId="39" xfId="6" applyNumberFormat="1" applyFont="1" applyFill="1" applyBorder="1" applyAlignment="1">
      <alignment horizontal="right" vertical="center"/>
    </xf>
    <xf numFmtId="41" fontId="17" fillId="0" borderId="16" xfId="2" applyFont="1" applyFill="1" applyBorder="1" applyAlignment="1">
      <alignment vertical="center"/>
    </xf>
    <xf numFmtId="41" fontId="17" fillId="0" borderId="0" xfId="2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184" fontId="17" fillId="0" borderId="38" xfId="0" applyNumberFormat="1" applyFont="1" applyFill="1" applyBorder="1" applyAlignment="1">
      <alignment horizontal="right" vertical="center"/>
    </xf>
    <xf numFmtId="184" fontId="17" fillId="0" borderId="38" xfId="2" applyNumberFormat="1" applyFont="1" applyFill="1" applyBorder="1" applyAlignment="1">
      <alignment horizontal="right" vertical="center"/>
    </xf>
    <xf numFmtId="177" fontId="17" fillId="0" borderId="55" xfId="2" applyNumberFormat="1" applyFont="1" applyFill="1" applyBorder="1" applyAlignment="1">
      <alignment horizontal="right" vertical="center"/>
    </xf>
    <xf numFmtId="0" fontId="19" fillId="0" borderId="44" xfId="4" applyNumberFormat="1" applyFont="1" applyFill="1" applyBorder="1" applyAlignment="1">
      <alignment horizontal="left" vertical="center"/>
    </xf>
    <xf numFmtId="0" fontId="19" fillId="0" borderId="45" xfId="4" applyNumberFormat="1" applyFont="1" applyFill="1" applyBorder="1" applyAlignment="1">
      <alignment horizontal="center" vertical="center"/>
    </xf>
    <xf numFmtId="0" fontId="19" fillId="0" borderId="49" xfId="4" applyNumberFormat="1" applyFont="1" applyFill="1" applyBorder="1" applyAlignment="1">
      <alignment horizontal="center" vertical="center"/>
    </xf>
    <xf numFmtId="0" fontId="17" fillId="0" borderId="0" xfId="4" applyNumberFormat="1" applyFont="1" applyFill="1" applyBorder="1" applyAlignment="1">
      <alignment vertical="center"/>
    </xf>
    <xf numFmtId="0" fontId="17" fillId="0" borderId="38" xfId="4" applyNumberFormat="1" applyFont="1" applyFill="1" applyBorder="1" applyAlignment="1">
      <alignment vertical="center"/>
    </xf>
    <xf numFmtId="41" fontId="17" fillId="0" borderId="31" xfId="12708" applyFont="1" applyFill="1" applyBorder="1" applyAlignment="1">
      <alignment vertical="center"/>
    </xf>
    <xf numFmtId="0" fontId="17" fillId="0" borderId="26" xfId="4" applyNumberFormat="1" applyFont="1" applyFill="1" applyBorder="1" applyAlignment="1">
      <alignment vertical="center"/>
    </xf>
    <xf numFmtId="41" fontId="17" fillId="0" borderId="16" xfId="12708" applyFont="1" applyFill="1" applyBorder="1" applyAlignment="1">
      <alignment vertical="center"/>
    </xf>
    <xf numFmtId="41" fontId="17" fillId="0" borderId="74" xfId="2" applyFont="1" applyBorder="1" applyAlignment="1">
      <alignment horizontal="right" vertical="center"/>
    </xf>
    <xf numFmtId="41" fontId="17" fillId="0" borderId="89" xfId="2" applyFont="1" applyBorder="1" applyAlignment="1">
      <alignment horizontal="right" vertical="center"/>
    </xf>
    <xf numFmtId="177" fontId="17" fillId="0" borderId="89" xfId="2" applyNumberFormat="1" applyFont="1" applyFill="1" applyBorder="1" applyAlignment="1">
      <alignment horizontal="right" vertical="center"/>
    </xf>
    <xf numFmtId="176" fontId="17" fillId="0" borderId="90" xfId="1" applyNumberFormat="1" applyFont="1" applyFill="1" applyBorder="1" applyAlignment="1">
      <alignment horizontal="center" vertical="center"/>
    </xf>
    <xf numFmtId="41" fontId="17" fillId="0" borderId="16" xfId="2" applyFont="1" applyFill="1" applyBorder="1" applyAlignment="1">
      <alignment vertical="center"/>
    </xf>
    <xf numFmtId="41" fontId="17" fillId="0" borderId="0" xfId="2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177" fontId="28" fillId="0" borderId="0" xfId="0" applyNumberFormat="1" applyFont="1" applyFill="1" applyAlignment="1">
      <alignment horizontal="center"/>
    </xf>
    <xf numFmtId="0" fontId="17" fillId="0" borderId="78" xfId="0" applyFont="1" applyBorder="1" applyAlignment="1">
      <alignment horizontal="center" vertical="center" wrapText="1"/>
    </xf>
    <xf numFmtId="177" fontId="17" fillId="0" borderId="78" xfId="2" applyNumberFormat="1" applyFont="1" applyBorder="1" applyAlignment="1">
      <alignment vertical="center"/>
    </xf>
    <xf numFmtId="0" fontId="17" fillId="0" borderId="83" xfId="0" applyFont="1" applyBorder="1" applyAlignment="1">
      <alignment horizontal="center" vertical="center" wrapText="1"/>
    </xf>
    <xf numFmtId="177" fontId="17" fillId="0" borderId="83" xfId="2" applyNumberFormat="1" applyFont="1" applyBorder="1" applyAlignment="1">
      <alignment vertical="center"/>
    </xf>
    <xf numFmtId="184" fontId="19" fillId="0" borderId="0" xfId="0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38" fontId="28" fillId="0" borderId="0" xfId="0" applyNumberFormat="1" applyFont="1" applyFill="1" applyAlignment="1">
      <alignment horizont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184" fontId="16" fillId="2" borderId="25" xfId="0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horizontal="center" vertical="center"/>
    </xf>
    <xf numFmtId="3" fontId="16" fillId="2" borderId="25" xfId="6" applyNumberFormat="1" applyFont="1" applyFill="1" applyBorder="1" applyAlignment="1">
      <alignment horizontal="center" vertical="center"/>
    </xf>
    <xf numFmtId="177" fontId="16" fillId="2" borderId="0" xfId="6" applyNumberFormat="1" applyFont="1" applyFill="1" applyBorder="1" applyAlignment="1">
      <alignment horizontal="right" vertical="center"/>
    </xf>
    <xf numFmtId="41" fontId="16" fillId="2" borderId="5" xfId="2" applyFont="1" applyFill="1" applyBorder="1" applyAlignment="1">
      <alignment vertical="center"/>
    </xf>
    <xf numFmtId="177" fontId="16" fillId="2" borderId="9" xfId="0" applyNumberFormat="1" applyFont="1" applyFill="1" applyBorder="1" applyAlignment="1">
      <alignment horizontal="right" vertical="center"/>
    </xf>
    <xf numFmtId="41" fontId="16" fillId="2" borderId="3" xfId="2" applyFont="1" applyFill="1" applyBorder="1" applyAlignment="1">
      <alignment vertical="center"/>
    </xf>
    <xf numFmtId="3" fontId="16" fillId="2" borderId="31" xfId="0" applyNumberFormat="1" applyFont="1" applyFill="1" applyBorder="1" applyAlignment="1">
      <alignment vertical="center"/>
    </xf>
    <xf numFmtId="177" fontId="16" fillId="2" borderId="108" xfId="0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48" fillId="0" borderId="0" xfId="0" applyFont="1" applyFill="1" applyAlignment="1">
      <alignment vertical="center"/>
    </xf>
    <xf numFmtId="41" fontId="16" fillId="2" borderId="2" xfId="0" applyNumberFormat="1" applyFont="1" applyFill="1" applyBorder="1" applyAlignment="1">
      <alignment vertical="center"/>
    </xf>
    <xf numFmtId="41" fontId="16" fillId="2" borderId="13" xfId="2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/>
    <xf numFmtId="3" fontId="16" fillId="2" borderId="13" xfId="6" applyNumberFormat="1" applyFont="1" applyFill="1" applyBorder="1" applyAlignment="1">
      <alignment horizontal="center" vertical="center"/>
    </xf>
    <xf numFmtId="41" fontId="16" fillId="2" borderId="2" xfId="2" applyNumberFormat="1" applyFont="1" applyFill="1" applyBorder="1" applyAlignment="1">
      <alignment horizontal="right" vertical="center"/>
    </xf>
    <xf numFmtId="0" fontId="17" fillId="2" borderId="31" xfId="6" applyFont="1" applyFill="1" applyBorder="1" applyAlignment="1">
      <alignment vertical="center"/>
    </xf>
    <xf numFmtId="41" fontId="16" fillId="2" borderId="12" xfId="2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3" fontId="16" fillId="2" borderId="11" xfId="6" applyNumberFormat="1" applyFont="1" applyFill="1" applyBorder="1" applyAlignment="1">
      <alignment horizontal="center" vertical="center"/>
    </xf>
    <xf numFmtId="3" fontId="16" fillId="2" borderId="32" xfId="6" applyNumberFormat="1" applyFont="1" applyFill="1" applyBorder="1" applyAlignment="1">
      <alignment horizontal="center" vertical="center"/>
    </xf>
    <xf numFmtId="3" fontId="16" fillId="2" borderId="43" xfId="6" applyNumberFormat="1" applyFont="1" applyFill="1" applyBorder="1" applyAlignment="1">
      <alignment horizontal="center" vertical="center"/>
    </xf>
    <xf numFmtId="3" fontId="18" fillId="2" borderId="8" xfId="6" applyNumberFormat="1" applyFont="1" applyFill="1" applyBorder="1" applyAlignment="1">
      <alignment vertical="center"/>
    </xf>
    <xf numFmtId="3" fontId="16" fillId="2" borderId="9" xfId="6" applyNumberFormat="1" applyFont="1" applyFill="1" applyBorder="1" applyAlignment="1">
      <alignment horizontal="center" vertical="center"/>
    </xf>
    <xf numFmtId="3" fontId="16" fillId="2" borderId="52" xfId="6" applyNumberFormat="1" applyFont="1" applyFill="1" applyBorder="1" applyAlignment="1">
      <alignment vertical="top"/>
    </xf>
    <xf numFmtId="3" fontId="16" fillId="2" borderId="9" xfId="6" applyNumberFormat="1" applyFont="1" applyFill="1" applyBorder="1" applyAlignment="1">
      <alignment vertical="top"/>
    </xf>
    <xf numFmtId="3" fontId="16" fillId="2" borderId="31" xfId="6" applyNumberFormat="1" applyFont="1" applyFill="1" applyBorder="1" applyAlignment="1">
      <alignment vertical="top"/>
    </xf>
    <xf numFmtId="3" fontId="16" fillId="2" borderId="10" xfId="6" applyNumberFormat="1" applyFont="1" applyFill="1" applyBorder="1" applyAlignment="1">
      <alignment vertical="top"/>
    </xf>
    <xf numFmtId="3" fontId="16" fillId="2" borderId="25" xfId="6" applyNumberFormat="1" applyFont="1" applyFill="1" applyBorder="1" applyAlignment="1">
      <alignment vertical="top"/>
    </xf>
    <xf numFmtId="3" fontId="16" fillId="2" borderId="26" xfId="6" applyNumberFormat="1" applyFont="1" applyFill="1" applyBorder="1" applyAlignment="1">
      <alignment horizontal="center" vertical="center"/>
    </xf>
    <xf numFmtId="0" fontId="17" fillId="2" borderId="26" xfId="6" applyFont="1" applyFill="1" applyBorder="1" applyAlignment="1">
      <alignment vertical="center"/>
    </xf>
    <xf numFmtId="3" fontId="18" fillId="2" borderId="8" xfId="6" applyNumberFormat="1" applyFont="1" applyFill="1" applyBorder="1" applyAlignment="1">
      <alignment horizontal="center" vertical="center"/>
    </xf>
    <xf numFmtId="0" fontId="17" fillId="2" borderId="11" xfId="6" applyFont="1" applyFill="1" applyBorder="1" applyAlignment="1">
      <alignment vertical="center"/>
    </xf>
    <xf numFmtId="0" fontId="17" fillId="2" borderId="25" xfId="6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 shrinkToFit="1"/>
    </xf>
    <xf numFmtId="0" fontId="17" fillId="2" borderId="0" xfId="6" applyFont="1" applyFill="1" applyAlignment="1">
      <alignment vertical="center"/>
    </xf>
    <xf numFmtId="3" fontId="16" fillId="2" borderId="10" xfId="6" applyNumberFormat="1" applyFont="1" applyFill="1" applyBorder="1" applyAlignment="1">
      <alignment horizontal="right" vertical="center"/>
    </xf>
    <xf numFmtId="184" fontId="16" fillId="2" borderId="10" xfId="6" applyNumberFormat="1" applyFont="1" applyFill="1" applyBorder="1" applyAlignment="1">
      <alignment vertical="center"/>
    </xf>
    <xf numFmtId="184" fontId="16" fillId="2" borderId="14" xfId="6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177" fontId="47" fillId="2" borderId="9" xfId="2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45" fillId="2" borderId="31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16" fillId="2" borderId="7" xfId="0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177" fontId="16" fillId="2" borderId="25" xfId="2" applyNumberFormat="1" applyFont="1" applyFill="1" applyBorder="1" applyAlignment="1">
      <alignment horizontal="center" vertical="center"/>
    </xf>
    <xf numFmtId="177" fontId="16" fillId="2" borderId="40" xfId="2" applyNumberFormat="1" applyFont="1" applyFill="1" applyBorder="1" applyAlignment="1">
      <alignment horizontal="center" vertical="center"/>
    </xf>
    <xf numFmtId="49" fontId="16" fillId="2" borderId="20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6" fillId="2" borderId="28" xfId="0" applyFont="1" applyFill="1" applyBorder="1" applyAlignment="1">
      <alignment vertical="center" shrinkToFit="1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/>
    </xf>
    <xf numFmtId="0" fontId="50" fillId="2" borderId="7" xfId="0" applyFont="1" applyFill="1" applyBorder="1" applyAlignment="1">
      <alignment horizontal="left" vertical="center"/>
    </xf>
    <xf numFmtId="0" fontId="47" fillId="2" borderId="27" xfId="0" applyFont="1" applyFill="1" applyBorder="1" applyAlignment="1">
      <alignment horizontal="left" vertical="center"/>
    </xf>
    <xf numFmtId="0" fontId="47" fillId="2" borderId="28" xfId="0" applyFont="1" applyFill="1" applyBorder="1" applyAlignment="1">
      <alignment horizontal="left" vertical="center"/>
    </xf>
    <xf numFmtId="0" fontId="47" fillId="2" borderId="23" xfId="0" applyFont="1" applyFill="1" applyBorder="1" applyAlignment="1">
      <alignment vertical="center"/>
    </xf>
    <xf numFmtId="0" fontId="47" fillId="2" borderId="21" xfId="0" applyFont="1" applyFill="1" applyBorder="1" applyAlignment="1">
      <alignment vertical="center"/>
    </xf>
    <xf numFmtId="0" fontId="50" fillId="2" borderId="45" xfId="0" applyFont="1" applyFill="1" applyBorder="1" applyAlignment="1">
      <alignment horizontal="center" vertical="center"/>
    </xf>
    <xf numFmtId="0" fontId="47" fillId="2" borderId="27" xfId="0" applyFont="1" applyFill="1" applyBorder="1" applyAlignment="1">
      <alignment vertical="center"/>
    </xf>
    <xf numFmtId="0" fontId="47" fillId="2" borderId="30" xfId="0" applyFont="1" applyFill="1" applyBorder="1" applyAlignment="1">
      <alignment vertical="center"/>
    </xf>
    <xf numFmtId="0" fontId="47" fillId="2" borderId="28" xfId="0" applyFont="1" applyFill="1" applyBorder="1" applyAlignment="1">
      <alignment vertical="center"/>
    </xf>
    <xf numFmtId="0" fontId="47" fillId="2" borderId="21" xfId="0" applyFont="1" applyFill="1" applyBorder="1" applyAlignment="1">
      <alignment vertical="center" shrinkToFit="1"/>
    </xf>
    <xf numFmtId="0" fontId="47" fillId="2" borderId="23" xfId="0" applyFont="1" applyFill="1" applyBorder="1" applyAlignment="1">
      <alignment horizontal="left" vertical="center"/>
    </xf>
    <xf numFmtId="0" fontId="47" fillId="2" borderId="21" xfId="0" applyFont="1" applyFill="1" applyBorder="1" applyAlignment="1">
      <alignment horizontal="left" vertical="center"/>
    </xf>
    <xf numFmtId="177" fontId="16" fillId="2" borderId="40" xfId="0" applyNumberFormat="1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49" fontId="17" fillId="2" borderId="20" xfId="0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47" fillId="2" borderId="30" xfId="0" applyFont="1" applyFill="1" applyBorder="1" applyAlignment="1">
      <alignment horizontal="left" vertical="center"/>
    </xf>
    <xf numFmtId="0" fontId="47" fillId="2" borderId="21" xfId="0" applyFont="1" applyFill="1" applyBorder="1" applyAlignment="1">
      <alignment horizontal="left" vertical="center" shrinkToFit="1"/>
    </xf>
    <xf numFmtId="197" fontId="47" fillId="2" borderId="16" xfId="0" applyNumberFormat="1" applyFont="1" applyFill="1" applyBorder="1" applyAlignment="1">
      <alignment horizontal="left" vertical="center" wrapText="1"/>
    </xf>
    <xf numFmtId="197" fontId="47" fillId="2" borderId="0" xfId="0" applyNumberFormat="1" applyFont="1" applyFill="1" applyBorder="1" applyAlignment="1">
      <alignment horizontal="left" vertical="center" wrapText="1"/>
    </xf>
    <xf numFmtId="0" fontId="47" fillId="2" borderId="30" xfId="0" applyFont="1" applyFill="1" applyBorder="1" applyAlignment="1">
      <alignment horizontal="center" vertical="center"/>
    </xf>
    <xf numFmtId="0" fontId="47" fillId="2" borderId="15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left" vertical="center"/>
    </xf>
    <xf numFmtId="0" fontId="47" fillId="2" borderId="7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left" vertical="center" shrinkToFit="1"/>
    </xf>
    <xf numFmtId="0" fontId="47" fillId="2" borderId="26" xfId="0" applyFont="1" applyFill="1" applyBorder="1" applyAlignment="1">
      <alignment horizontal="left" vertical="center" shrinkToFit="1"/>
    </xf>
    <xf numFmtId="197" fontId="16" fillId="2" borderId="22" xfId="0" applyNumberFormat="1" applyFont="1" applyFill="1" applyBorder="1" applyAlignment="1">
      <alignment horizontal="left" vertical="center" wrapText="1"/>
    </xf>
    <xf numFmtId="197" fontId="16" fillId="2" borderId="7" xfId="0" applyNumberFormat="1" applyFont="1" applyFill="1" applyBorder="1" applyAlignment="1">
      <alignment horizontal="left" vertical="center" wrapText="1"/>
    </xf>
    <xf numFmtId="0" fontId="47" fillId="2" borderId="31" xfId="0" applyFont="1" applyFill="1" applyBorder="1" applyAlignment="1">
      <alignment horizontal="left" vertical="center"/>
    </xf>
    <xf numFmtId="0" fontId="47" fillId="2" borderId="26" xfId="0" applyFont="1" applyFill="1" applyBorder="1" applyAlignment="1">
      <alignment horizontal="left" vertical="center"/>
    </xf>
    <xf numFmtId="184" fontId="47" fillId="2" borderId="14" xfId="6" applyNumberFormat="1" applyFont="1" applyFill="1" applyBorder="1" applyAlignment="1">
      <alignment horizontal="right" vertical="center"/>
    </xf>
    <xf numFmtId="3" fontId="47" fillId="2" borderId="12" xfId="6" applyNumberFormat="1" applyFont="1" applyFill="1" applyBorder="1" applyAlignment="1">
      <alignment horizontal="left" vertical="center"/>
    </xf>
    <xf numFmtId="3" fontId="47" fillId="2" borderId="7" xfId="2" applyNumberFormat="1" applyFont="1" applyFill="1" applyBorder="1" applyAlignment="1">
      <alignment horizontal="left" vertical="center"/>
    </xf>
    <xf numFmtId="3" fontId="47" fillId="2" borderId="4" xfId="2" applyNumberFormat="1" applyFont="1" applyFill="1" applyBorder="1" applyAlignment="1">
      <alignment horizontal="left" vertical="center"/>
    </xf>
    <xf numFmtId="41" fontId="47" fillId="2" borderId="15" xfId="2" applyFont="1" applyFill="1" applyBorder="1" applyAlignment="1">
      <alignment horizontal="left" vertical="center"/>
    </xf>
    <xf numFmtId="184" fontId="47" fillId="2" borderId="13" xfId="0" applyNumberFormat="1" applyFont="1" applyFill="1" applyBorder="1" applyAlignment="1">
      <alignment horizontal="right" vertical="center"/>
    </xf>
    <xf numFmtId="3" fontId="47" fillId="2" borderId="29" xfId="6" applyNumberFormat="1" applyFont="1" applyFill="1" applyBorder="1" applyAlignment="1">
      <alignment horizontal="left" vertical="center"/>
    </xf>
    <xf numFmtId="3" fontId="47" fillId="2" borderId="30" xfId="2" applyNumberFormat="1" applyFont="1" applyFill="1" applyBorder="1" applyAlignment="1">
      <alignment horizontal="left" vertical="center"/>
    </xf>
    <xf numFmtId="3" fontId="47" fillId="2" borderId="15" xfId="2" applyNumberFormat="1" applyFont="1" applyFill="1" applyBorder="1" applyAlignment="1">
      <alignment horizontal="left" vertical="center"/>
    </xf>
    <xf numFmtId="3" fontId="47" fillId="2" borderId="27" xfId="6" applyNumberFormat="1" applyFont="1" applyFill="1" applyBorder="1" applyAlignment="1">
      <alignment vertical="center"/>
    </xf>
    <xf numFmtId="3" fontId="47" fillId="2" borderId="15" xfId="0" applyNumberFormat="1" applyFont="1" applyFill="1" applyBorder="1" applyAlignment="1">
      <alignment horizontal="left" vertical="center"/>
    </xf>
    <xf numFmtId="0" fontId="47" fillId="2" borderId="30" xfId="0" quotePrefix="1" applyFont="1" applyFill="1" applyBorder="1" applyAlignment="1">
      <alignment vertical="center"/>
    </xf>
    <xf numFmtId="3" fontId="47" fillId="2" borderId="28" xfId="0" applyNumberFormat="1" applyFont="1" applyFill="1" applyBorder="1" applyAlignment="1">
      <alignment vertical="center"/>
    </xf>
    <xf numFmtId="3" fontId="47" fillId="2" borderId="41" xfId="6" applyNumberFormat="1" applyFont="1" applyFill="1" applyBorder="1" applyAlignment="1">
      <alignment vertical="center"/>
    </xf>
    <xf numFmtId="0" fontId="47" fillId="2" borderId="25" xfId="0" applyFont="1" applyFill="1" applyBorder="1" applyAlignment="1">
      <alignment vertical="center" wrapText="1"/>
    </xf>
    <xf numFmtId="177" fontId="47" fillId="2" borderId="25" xfId="6" applyNumberFormat="1" applyFont="1" applyFill="1" applyBorder="1" applyAlignment="1">
      <alignment vertical="center"/>
    </xf>
    <xf numFmtId="177" fontId="47" fillId="2" borderId="40" xfId="6" applyNumberFormat="1" applyFont="1" applyFill="1" applyBorder="1" applyAlignment="1">
      <alignment vertical="center"/>
    </xf>
    <xf numFmtId="3" fontId="47" fillId="2" borderId="5" xfId="2" applyNumberFormat="1" applyFont="1" applyFill="1" applyBorder="1" applyAlignment="1">
      <alignment vertical="center"/>
    </xf>
    <xf numFmtId="0" fontId="47" fillId="2" borderId="30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47" fillId="2" borderId="27" xfId="0" applyFont="1" applyFill="1" applyBorder="1" applyAlignment="1">
      <alignment vertical="center"/>
    </xf>
    <xf numFmtId="0" fontId="47" fillId="2" borderId="30" xfId="0" applyFont="1" applyFill="1" applyBorder="1" applyAlignment="1">
      <alignment vertical="center"/>
    </xf>
    <xf numFmtId="0" fontId="47" fillId="2" borderId="28" xfId="0" applyFont="1" applyFill="1" applyBorder="1" applyAlignment="1">
      <alignment vertical="center"/>
    </xf>
    <xf numFmtId="197" fontId="16" fillId="2" borderId="22" xfId="0" applyNumberFormat="1" applyFont="1" applyFill="1" applyBorder="1" applyAlignment="1">
      <alignment horizontal="left" vertical="center" wrapText="1"/>
    </xf>
    <xf numFmtId="197" fontId="16" fillId="2" borderId="7" xfId="0" applyNumberFormat="1" applyFont="1" applyFill="1" applyBorder="1" applyAlignment="1">
      <alignment horizontal="left" vertical="center" wrapText="1"/>
    </xf>
    <xf numFmtId="0" fontId="47" fillId="2" borderId="31" xfId="0" applyFont="1" applyFill="1" applyBorder="1" applyAlignment="1">
      <alignment horizontal="left" vertical="center"/>
    </xf>
    <xf numFmtId="178" fontId="16" fillId="2" borderId="14" xfId="2" applyNumberFormat="1" applyFont="1" applyFill="1" applyBorder="1" applyAlignment="1">
      <alignment vertical="center"/>
    </xf>
    <xf numFmtId="177" fontId="16" fillId="2" borderId="36" xfId="2" applyNumberFormat="1" applyFont="1" applyFill="1" applyBorder="1" applyAlignment="1">
      <alignment vertical="center"/>
    </xf>
    <xf numFmtId="41" fontId="17" fillId="0" borderId="16" xfId="2" applyFont="1" applyFill="1" applyBorder="1" applyAlignment="1">
      <alignment vertical="center"/>
    </xf>
    <xf numFmtId="0" fontId="16" fillId="2" borderId="10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178" fontId="16" fillId="2" borderId="0" xfId="0" applyNumberFormat="1" applyFont="1" applyFill="1" applyBorder="1" applyAlignment="1">
      <alignment vertical="center"/>
    </xf>
    <xf numFmtId="0" fontId="16" fillId="2" borderId="22" xfId="0" applyFont="1" applyFill="1" applyBorder="1" applyAlignment="1">
      <alignment vertical="center"/>
    </xf>
    <xf numFmtId="178" fontId="16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16" fillId="2" borderId="10" xfId="0" applyFont="1" applyFill="1" applyBorder="1" applyAlignment="1">
      <alignment vertical="center" wrapText="1"/>
    </xf>
    <xf numFmtId="177" fontId="16" fillId="2" borderId="56" xfId="0" applyNumberFormat="1" applyFont="1" applyFill="1" applyBorder="1" applyAlignment="1">
      <alignment vertical="center"/>
    </xf>
    <xf numFmtId="0" fontId="16" fillId="2" borderId="25" xfId="0" applyFont="1" applyFill="1" applyBorder="1" applyAlignment="1">
      <alignment vertical="center"/>
    </xf>
    <xf numFmtId="3" fontId="16" fillId="2" borderId="10" xfId="0" applyNumberFormat="1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9" xfId="0" applyNumberFormat="1" applyFont="1" applyFill="1" applyBorder="1" applyAlignment="1">
      <alignment vertical="center"/>
    </xf>
    <xf numFmtId="3" fontId="16" fillId="2" borderId="30" xfId="0" applyNumberFormat="1" applyFont="1" applyFill="1" applyBorder="1" applyAlignment="1">
      <alignment vertical="center"/>
    </xf>
    <xf numFmtId="3" fontId="16" fillId="2" borderId="30" xfId="0" applyNumberFormat="1" applyFont="1" applyFill="1" applyBorder="1" applyAlignment="1">
      <alignment horizontal="left" vertical="center"/>
    </xf>
    <xf numFmtId="3" fontId="16" fillId="2" borderId="30" xfId="0" applyNumberFormat="1" applyFont="1" applyFill="1" applyBorder="1" applyAlignment="1">
      <alignment horizontal="center" vertical="center"/>
    </xf>
    <xf numFmtId="177" fontId="16" fillId="2" borderId="10" xfId="6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horizontal="center" vertical="center"/>
    </xf>
    <xf numFmtId="178" fontId="16" fillId="2" borderId="10" xfId="0" applyNumberFormat="1" applyFont="1" applyFill="1" applyBorder="1" applyAlignment="1">
      <alignment vertical="center"/>
    </xf>
    <xf numFmtId="178" fontId="16" fillId="2" borderId="2" xfId="2" applyNumberFormat="1" applyFont="1" applyFill="1" applyBorder="1" applyAlignment="1">
      <alignment vertical="center"/>
    </xf>
    <xf numFmtId="41" fontId="16" fillId="2" borderId="0" xfId="2" applyFont="1" applyFill="1" applyAlignment="1">
      <alignment vertical="center"/>
    </xf>
    <xf numFmtId="0" fontId="16" fillId="2" borderId="31" xfId="0" applyFont="1" applyFill="1" applyBorder="1" applyAlignment="1">
      <alignment vertical="center" wrapText="1"/>
    </xf>
    <xf numFmtId="0" fontId="16" fillId="2" borderId="10" xfId="0" applyFont="1" applyFill="1" applyBorder="1" applyAlignment="1">
      <alignment horizontal="left" vertical="center"/>
    </xf>
    <xf numFmtId="0" fontId="0" fillId="2" borderId="30" xfId="0" applyFont="1" applyFill="1" applyBorder="1" applyAlignment="1">
      <alignment vertical="center"/>
    </xf>
    <xf numFmtId="177" fontId="16" fillId="2" borderId="35" xfId="6" applyNumberFormat="1" applyFont="1" applyFill="1" applyBorder="1" applyAlignment="1">
      <alignment vertical="center"/>
    </xf>
    <xf numFmtId="0" fontId="16" fillId="2" borderId="26" xfId="0" applyFont="1" applyFill="1" applyBorder="1" applyAlignment="1">
      <alignment vertical="center" wrapText="1"/>
    </xf>
    <xf numFmtId="3" fontId="47" fillId="2" borderId="14" xfId="0" applyNumberFormat="1" applyFont="1" applyFill="1" applyBorder="1" applyAlignment="1">
      <alignment vertical="center"/>
    </xf>
    <xf numFmtId="178" fontId="47" fillId="2" borderId="14" xfId="0" applyNumberFormat="1" applyFont="1" applyFill="1" applyBorder="1" applyAlignment="1">
      <alignment vertical="center"/>
    </xf>
    <xf numFmtId="177" fontId="47" fillId="2" borderId="14" xfId="6" applyNumberFormat="1" applyFont="1" applyFill="1" applyBorder="1" applyAlignment="1">
      <alignment vertical="center"/>
    </xf>
    <xf numFmtId="3" fontId="47" fillId="2" borderId="22" xfId="0" applyNumberFormat="1" applyFont="1" applyFill="1" applyBorder="1" applyAlignment="1">
      <alignment vertical="center"/>
    </xf>
    <xf numFmtId="3" fontId="47" fillId="2" borderId="7" xfId="6" applyNumberFormat="1" applyFont="1" applyFill="1" applyBorder="1" applyAlignment="1">
      <alignment horizontal="left" vertical="center"/>
    </xf>
    <xf numFmtId="0" fontId="48" fillId="2" borderId="7" xfId="0" applyFont="1" applyFill="1" applyBorder="1" applyAlignment="1">
      <alignment vertical="center"/>
    </xf>
    <xf numFmtId="3" fontId="47" fillId="2" borderId="7" xfId="0" applyNumberFormat="1" applyFont="1" applyFill="1" applyBorder="1" applyAlignment="1">
      <alignment vertical="center"/>
    </xf>
    <xf numFmtId="3" fontId="47" fillId="2" borderId="7" xfId="0" applyNumberFormat="1" applyFont="1" applyFill="1" applyBorder="1" applyAlignment="1">
      <alignment horizontal="left" vertical="center"/>
    </xf>
    <xf numFmtId="3" fontId="47" fillId="2" borderId="7" xfId="0" applyNumberFormat="1" applyFont="1" applyFill="1" applyBorder="1" applyAlignment="1">
      <alignment horizontal="center" vertical="center"/>
    </xf>
    <xf numFmtId="178" fontId="47" fillId="2" borderId="4" xfId="2" applyNumberFormat="1" applyFont="1" applyFill="1" applyBorder="1" applyAlignment="1">
      <alignment vertical="center"/>
    </xf>
    <xf numFmtId="178" fontId="16" fillId="2" borderId="13" xfId="0" applyNumberFormat="1" applyFont="1" applyFill="1" applyBorder="1" applyAlignment="1">
      <alignment vertical="center"/>
    </xf>
    <xf numFmtId="0" fontId="16" fillId="2" borderId="31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178" fontId="16" fillId="2" borderId="14" xfId="6" applyNumberFormat="1" applyFont="1" applyFill="1" applyBorder="1" applyAlignment="1">
      <alignment vertical="center"/>
    </xf>
    <xf numFmtId="0" fontId="16" fillId="2" borderId="7" xfId="0" quotePrefix="1" applyFont="1" applyFill="1" applyBorder="1" applyAlignment="1">
      <alignment horizontal="center" vertical="center"/>
    </xf>
    <xf numFmtId="178" fontId="16" fillId="2" borderId="4" xfId="0" applyNumberFormat="1" applyFont="1" applyFill="1" applyBorder="1" applyAlignment="1">
      <alignment vertical="center"/>
    </xf>
    <xf numFmtId="3" fontId="16" fillId="2" borderId="25" xfId="0" applyNumberFormat="1" applyFont="1" applyFill="1" applyBorder="1" applyAlignment="1">
      <alignment vertical="center"/>
    </xf>
    <xf numFmtId="3" fontId="16" fillId="2" borderId="20" xfId="0" applyNumberFormat="1" applyFont="1" applyFill="1" applyBorder="1" applyAlignment="1">
      <alignment vertical="center"/>
    </xf>
    <xf numFmtId="3" fontId="16" fillId="2" borderId="1" xfId="6" applyNumberFormat="1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vertical="center"/>
    </xf>
    <xf numFmtId="3" fontId="16" fillId="2" borderId="1" xfId="0" applyNumberFormat="1" applyFont="1" applyFill="1" applyBorder="1" applyAlignment="1">
      <alignment horizontal="center" vertical="center"/>
    </xf>
    <xf numFmtId="0" fontId="48" fillId="2" borderId="12" xfId="0" applyFont="1" applyFill="1" applyBorder="1" applyAlignment="1">
      <alignment vertical="center"/>
    </xf>
    <xf numFmtId="177" fontId="47" fillId="2" borderId="13" xfId="0" applyNumberFormat="1" applyFont="1" applyFill="1" applyBorder="1" applyAlignment="1">
      <alignment vertical="center"/>
    </xf>
    <xf numFmtId="177" fontId="47" fillId="2" borderId="36" xfId="6" applyNumberFormat="1" applyFont="1" applyFill="1" applyBorder="1" applyAlignment="1">
      <alignment horizontal="right" vertical="center"/>
    </xf>
    <xf numFmtId="0" fontId="16" fillId="2" borderId="25" xfId="0" applyFont="1" applyFill="1" applyBorder="1" applyAlignment="1">
      <alignment vertical="center" wrapText="1"/>
    </xf>
    <xf numFmtId="178" fontId="16" fillId="2" borderId="15" xfId="2" applyNumberFormat="1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178" fontId="47" fillId="2" borderId="0" xfId="6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8" xfId="6" applyNumberFormat="1" applyFont="1" applyFill="1" applyBorder="1" applyAlignment="1">
      <alignment horizontal="left" vertical="center"/>
    </xf>
    <xf numFmtId="0" fontId="16" fillId="2" borderId="7" xfId="0" applyFont="1" applyFill="1" applyBorder="1" applyAlignment="1">
      <alignment horizontal="left" vertical="center"/>
    </xf>
    <xf numFmtId="3" fontId="16" fillId="2" borderId="27" xfId="6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3" fontId="16" fillId="2" borderId="13" xfId="6" applyNumberFormat="1" applyFont="1" applyFill="1" applyBorder="1" applyAlignment="1">
      <alignment horizontal="left" vertical="center"/>
    </xf>
    <xf numFmtId="0" fontId="16" fillId="2" borderId="6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3" fontId="18" fillId="2" borderId="1" xfId="6" applyNumberFormat="1" applyFont="1" applyFill="1" applyBorder="1" applyAlignment="1">
      <alignment vertical="center"/>
    </xf>
    <xf numFmtId="0" fontId="16" fillId="2" borderId="6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6" fillId="2" borderId="7" xfId="0" applyFont="1" applyFill="1" applyBorder="1" applyAlignment="1">
      <alignment horizontal="left" vertical="center" wrapText="1"/>
    </xf>
    <xf numFmtId="0" fontId="16" fillId="2" borderId="27" xfId="0" applyFont="1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8" fillId="2" borderId="45" xfId="0" applyFont="1" applyFill="1" applyBorder="1" applyAlignment="1">
      <alignment horizontal="center" vertical="center"/>
    </xf>
    <xf numFmtId="177" fontId="16" fillId="2" borderId="25" xfId="2" applyNumberFormat="1" applyFont="1" applyFill="1" applyBorder="1" applyAlignment="1">
      <alignment horizontal="center" vertical="center"/>
    </xf>
    <xf numFmtId="177" fontId="16" fillId="2" borderId="40" xfId="2" applyNumberFormat="1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47" fillId="2" borderId="30" xfId="0" applyFont="1" applyFill="1" applyBorder="1" applyAlignment="1">
      <alignment vertical="center"/>
    </xf>
    <xf numFmtId="0" fontId="47" fillId="2" borderId="28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vertical="center" shrinkToFit="1"/>
    </xf>
    <xf numFmtId="49" fontId="47" fillId="2" borderId="20" xfId="0" applyNumberFormat="1" applyFont="1" applyFill="1" applyBorder="1" applyAlignment="1">
      <alignment horizontal="center" vertical="center"/>
    </xf>
    <xf numFmtId="49" fontId="47" fillId="2" borderId="1" xfId="0" applyNumberFormat="1" applyFont="1" applyFill="1" applyBorder="1" applyAlignment="1">
      <alignment horizontal="center" vertical="center"/>
    </xf>
    <xf numFmtId="49" fontId="47" fillId="2" borderId="5" xfId="0" applyNumberFormat="1" applyFont="1" applyFill="1" applyBorder="1" applyAlignment="1">
      <alignment horizontal="center" vertical="center"/>
    </xf>
    <xf numFmtId="0" fontId="50" fillId="2" borderId="45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vertical="center"/>
    </xf>
    <xf numFmtId="0" fontId="47" fillId="2" borderId="23" xfId="0" applyFont="1" applyFill="1" applyBorder="1" applyAlignment="1">
      <alignment horizontal="left" vertical="center"/>
    </xf>
    <xf numFmtId="0" fontId="47" fillId="2" borderId="21" xfId="0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 wrapText="1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49" fontId="17" fillId="2" borderId="20" xfId="0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47" fillId="2" borderId="30" xfId="0" applyFont="1" applyFill="1" applyBorder="1" applyAlignment="1">
      <alignment horizontal="left" vertical="center"/>
    </xf>
    <xf numFmtId="197" fontId="47" fillId="2" borderId="0" xfId="0" applyNumberFormat="1" applyFont="1" applyFill="1" applyBorder="1" applyAlignment="1">
      <alignment horizontal="left" vertical="center" wrapText="1"/>
    </xf>
    <xf numFmtId="0" fontId="47" fillId="2" borderId="30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left" vertical="center" shrinkToFit="1"/>
    </xf>
    <xf numFmtId="0" fontId="47" fillId="2" borderId="7" xfId="0" applyFont="1" applyFill="1" applyBorder="1" applyAlignment="1">
      <alignment horizontal="left" vertical="center"/>
    </xf>
    <xf numFmtId="0" fontId="47" fillId="2" borderId="7" xfId="0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horizontal="left" vertical="center"/>
    </xf>
    <xf numFmtId="0" fontId="47" fillId="2" borderId="26" xfId="0" applyFont="1" applyFill="1" applyBorder="1" applyAlignment="1">
      <alignment horizontal="left" vertical="center"/>
    </xf>
    <xf numFmtId="10" fontId="16" fillId="2" borderId="0" xfId="13" applyNumberFormat="1" applyFont="1" applyFill="1" applyBorder="1" applyAlignment="1">
      <alignment horizontal="right" vertical="center"/>
    </xf>
    <xf numFmtId="3" fontId="16" fillId="2" borderId="5" xfId="0" applyNumberFormat="1" applyFont="1" applyFill="1" applyBorder="1" applyAlignment="1">
      <alignment vertical="center"/>
    </xf>
    <xf numFmtId="177" fontId="18" fillId="2" borderId="25" xfId="0" applyNumberFormat="1" applyFont="1" applyFill="1" applyBorder="1" applyAlignment="1">
      <alignment horizontal="right" vertical="center"/>
    </xf>
    <xf numFmtId="177" fontId="18" fillId="2" borderId="2" xfId="0" applyNumberFormat="1" applyFont="1" applyFill="1" applyBorder="1" applyAlignment="1">
      <alignment horizontal="right" vertical="center"/>
    </xf>
    <xf numFmtId="3" fontId="16" fillId="2" borderId="46" xfId="0" applyNumberFormat="1" applyFont="1" applyFill="1" applyBorder="1" applyAlignment="1">
      <alignment vertical="center"/>
    </xf>
    <xf numFmtId="184" fontId="16" fillId="2" borderId="56" xfId="6" applyNumberFormat="1" applyFont="1" applyFill="1" applyBorder="1" applyAlignment="1">
      <alignment horizontal="right" vertical="center"/>
    </xf>
    <xf numFmtId="3" fontId="16" fillId="2" borderId="15" xfId="2" applyNumberFormat="1" applyFont="1" applyFill="1" applyBorder="1" applyAlignment="1">
      <alignment horizontal="left" vertical="center"/>
    </xf>
    <xf numFmtId="184" fontId="47" fillId="2" borderId="10" xfId="0" applyNumberFormat="1" applyFont="1" applyFill="1" applyBorder="1" applyAlignment="1">
      <alignment horizontal="right" vertical="center"/>
    </xf>
    <xf numFmtId="184" fontId="47" fillId="2" borderId="10" xfId="6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horizontal="left" vertical="center"/>
    </xf>
    <xf numFmtId="0" fontId="16" fillId="2" borderId="8" xfId="6" applyFont="1" applyFill="1" applyBorder="1" applyAlignment="1">
      <alignment vertical="center"/>
    </xf>
    <xf numFmtId="0" fontId="16" fillId="2" borderId="10" xfId="6" applyFont="1" applyFill="1" applyBorder="1" applyAlignment="1">
      <alignment vertical="center"/>
    </xf>
    <xf numFmtId="41" fontId="16" fillId="2" borderId="28" xfId="2" applyFont="1" applyFill="1" applyBorder="1" applyAlignment="1">
      <alignment horizontal="left" vertical="center" shrinkToFit="1"/>
    </xf>
    <xf numFmtId="0" fontId="47" fillId="2" borderId="13" xfId="0" applyFont="1" applyFill="1" applyBorder="1" applyAlignment="1">
      <alignment horizontal="left" vertical="center" shrinkToFit="1"/>
    </xf>
    <xf numFmtId="3" fontId="47" fillId="2" borderId="9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77" fontId="16" fillId="2" borderId="40" xfId="2" applyNumberFormat="1" applyFont="1" applyFill="1" applyBorder="1" applyAlignment="1">
      <alignment vertical="center"/>
    </xf>
    <xf numFmtId="3" fontId="16" fillId="2" borderId="31" xfId="0" applyNumberFormat="1" applyFont="1" applyFill="1" applyBorder="1" applyAlignment="1">
      <alignment vertical="center" wrapText="1"/>
    </xf>
    <xf numFmtId="41" fontId="18" fillId="2" borderId="2" xfId="2" applyFont="1" applyFill="1" applyBorder="1" applyAlignment="1">
      <alignment vertical="center"/>
    </xf>
    <xf numFmtId="3" fontId="16" fillId="2" borderId="2" xfId="6" applyNumberFormat="1" applyFont="1" applyFill="1" applyBorder="1" applyAlignment="1">
      <alignment horizontal="right" vertical="center"/>
    </xf>
    <xf numFmtId="177" fontId="16" fillId="2" borderId="34" xfId="2" applyNumberFormat="1" applyFont="1" applyFill="1" applyBorder="1" applyAlignment="1">
      <alignment vertical="center"/>
    </xf>
    <xf numFmtId="38" fontId="55" fillId="2" borderId="0" xfId="6" applyNumberFormat="1" applyFont="1" applyFill="1" applyAlignment="1">
      <alignment horizontal="center" vertical="center"/>
    </xf>
    <xf numFmtId="0" fontId="47" fillId="2" borderId="0" xfId="6" applyFont="1" applyFill="1" applyBorder="1" applyAlignment="1">
      <alignment vertical="center"/>
    </xf>
    <xf numFmtId="177" fontId="47" fillId="2" borderId="0" xfId="2" applyNumberFormat="1" applyFont="1" applyFill="1" applyBorder="1" applyAlignment="1">
      <alignment vertical="center"/>
    </xf>
    <xf numFmtId="177" fontId="47" fillId="2" borderId="0" xfId="2" applyNumberFormat="1" applyFont="1" applyFill="1" applyBorder="1" applyAlignment="1">
      <alignment horizontal="right" vertical="center"/>
    </xf>
    <xf numFmtId="3" fontId="47" fillId="2" borderId="0" xfId="6" applyNumberFormat="1" applyFont="1" applyFill="1" applyBorder="1">
      <alignment vertical="center"/>
    </xf>
    <xf numFmtId="180" fontId="47" fillId="2" borderId="0" xfId="2" applyNumberFormat="1" applyFont="1" applyFill="1" applyBorder="1" applyAlignment="1">
      <alignment horizontal="right" vertical="center"/>
    </xf>
    <xf numFmtId="41" fontId="47" fillId="2" borderId="0" xfId="6" applyNumberFormat="1" applyFont="1" applyFill="1" applyBorder="1" applyAlignment="1">
      <alignment vertical="center"/>
    </xf>
    <xf numFmtId="0" fontId="47" fillId="2" borderId="0" xfId="6" applyFont="1" applyFill="1" applyBorder="1" applyAlignment="1">
      <alignment horizontal="left" vertical="center"/>
    </xf>
    <xf numFmtId="0" fontId="47" fillId="2" borderId="0" xfId="6" applyFont="1" applyFill="1" applyBorder="1" applyAlignment="1">
      <alignment horizontal="center" vertical="center"/>
    </xf>
    <xf numFmtId="41" fontId="47" fillId="2" borderId="61" xfId="6" applyNumberFormat="1" applyFont="1" applyFill="1" applyBorder="1" applyAlignment="1">
      <alignment vertical="center"/>
    </xf>
    <xf numFmtId="3" fontId="47" fillId="2" borderId="18" xfId="6" applyNumberFormat="1" applyFont="1" applyFill="1" applyBorder="1" applyAlignment="1">
      <alignment horizontal="center" vertical="center"/>
    </xf>
    <xf numFmtId="3" fontId="47" fillId="2" borderId="51" xfId="6" applyNumberFormat="1" applyFont="1" applyFill="1" applyBorder="1" applyAlignment="1">
      <alignment horizontal="center" vertical="center"/>
    </xf>
    <xf numFmtId="3" fontId="47" fillId="2" borderId="19" xfId="6" applyNumberFormat="1" applyFont="1" applyFill="1" applyBorder="1" applyAlignment="1">
      <alignment horizontal="center" vertical="center"/>
    </xf>
    <xf numFmtId="3" fontId="47" fillId="2" borderId="57" xfId="6" applyNumberFormat="1" applyFont="1" applyFill="1" applyBorder="1" applyAlignment="1">
      <alignment vertical="center"/>
    </xf>
    <xf numFmtId="177" fontId="50" fillId="2" borderId="39" xfId="2" applyNumberFormat="1" applyFont="1" applyFill="1" applyBorder="1" applyAlignment="1">
      <alignment horizontal="right" vertical="center"/>
    </xf>
    <xf numFmtId="177" fontId="50" fillId="2" borderId="62" xfId="2" applyNumberFormat="1" applyFont="1" applyFill="1" applyBorder="1" applyAlignment="1">
      <alignment horizontal="right" vertical="center"/>
    </xf>
    <xf numFmtId="3" fontId="47" fillId="2" borderId="44" xfId="6" applyNumberFormat="1" applyFont="1" applyFill="1" applyBorder="1" applyAlignment="1">
      <alignment vertical="center"/>
    </xf>
    <xf numFmtId="3" fontId="47" fillId="2" borderId="45" xfId="6" applyNumberFormat="1" applyFont="1" applyFill="1" applyBorder="1" applyAlignment="1">
      <alignment vertical="center"/>
    </xf>
    <xf numFmtId="3" fontId="47" fillId="2" borderId="45" xfId="6" applyNumberFormat="1" applyFont="1" applyFill="1" applyBorder="1" applyAlignment="1">
      <alignment horizontal="centerContinuous" vertical="center"/>
    </xf>
    <xf numFmtId="3" fontId="47" fillId="2" borderId="45" xfId="2" applyNumberFormat="1" applyFont="1" applyFill="1" applyBorder="1" applyAlignment="1">
      <alignment horizontal="centerContinuous" vertical="center"/>
    </xf>
    <xf numFmtId="3" fontId="47" fillId="2" borderId="45" xfId="6" applyNumberFormat="1" applyFont="1" applyFill="1" applyBorder="1" applyAlignment="1">
      <alignment horizontal="left" vertical="center"/>
    </xf>
    <xf numFmtId="3" fontId="47" fillId="2" borderId="45" xfId="6" applyNumberFormat="1" applyFont="1" applyFill="1" applyBorder="1" applyAlignment="1">
      <alignment horizontal="center" vertical="center"/>
    </xf>
    <xf numFmtId="3" fontId="47" fillId="2" borderId="46" xfId="2" applyNumberFormat="1" applyFont="1" applyFill="1" applyBorder="1" applyAlignment="1">
      <alignment vertical="center"/>
    </xf>
    <xf numFmtId="3" fontId="47" fillId="2" borderId="73" xfId="6" applyNumberFormat="1" applyFont="1" applyFill="1" applyBorder="1" applyAlignment="1">
      <alignment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5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16" xfId="6" applyNumberFormat="1" applyFont="1" applyFill="1" applyBorder="1">
      <alignment vertical="center"/>
    </xf>
    <xf numFmtId="3" fontId="47" fillId="2" borderId="16" xfId="6" applyNumberFormat="1" applyFont="1" applyFill="1" applyBorder="1">
      <alignment vertical="center"/>
    </xf>
    <xf numFmtId="3" fontId="47" fillId="2" borderId="21" xfId="6" applyNumberFormat="1" applyFont="1" applyFill="1" applyBorder="1" applyAlignment="1">
      <alignment vertical="center"/>
    </xf>
    <xf numFmtId="177" fontId="47" fillId="2" borderId="14" xfId="2" applyNumberFormat="1" applyFont="1" applyFill="1" applyBorder="1" applyAlignment="1">
      <alignment horizontal="right" vertical="center"/>
    </xf>
    <xf numFmtId="3" fontId="50" fillId="2" borderId="6" xfId="6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horizontal="center" vertical="center"/>
    </xf>
    <xf numFmtId="3" fontId="47" fillId="2" borderId="0" xfId="6" applyNumberFormat="1" applyFont="1" applyFill="1" applyBorder="1" applyAlignment="1">
      <alignment horizontal="right"/>
    </xf>
    <xf numFmtId="3" fontId="47" fillId="2" borderId="0" xfId="6" applyNumberFormat="1" applyFont="1" applyFill="1" applyBorder="1" applyAlignment="1">
      <alignment horizontal="left"/>
    </xf>
    <xf numFmtId="177" fontId="47" fillId="2" borderId="13" xfId="2" applyNumberFormat="1" applyFont="1" applyFill="1" applyBorder="1" applyAlignment="1">
      <alignment horizontal="right" vertical="center"/>
    </xf>
    <xf numFmtId="3" fontId="47" fillId="2" borderId="30" xfId="6" applyNumberFormat="1" applyFont="1" applyFill="1" applyBorder="1" applyAlignment="1">
      <alignment horizontal="right" vertical="center"/>
    </xf>
    <xf numFmtId="183" fontId="47" fillId="2" borderId="30" xfId="2" applyNumberFormat="1" applyFont="1" applyFill="1" applyBorder="1" applyAlignment="1">
      <alignment vertical="center"/>
    </xf>
    <xf numFmtId="9" fontId="47" fillId="2" borderId="0" xfId="1" applyNumberFormat="1" applyFont="1" applyFill="1" applyBorder="1" applyAlignment="1">
      <alignment vertical="center" wrapText="1"/>
    </xf>
    <xf numFmtId="184" fontId="47" fillId="2" borderId="7" xfId="1" applyNumberFormat="1" applyFont="1" applyFill="1" applyBorder="1" applyAlignment="1">
      <alignment vertical="center" wrapText="1"/>
    </xf>
    <xf numFmtId="3" fontId="47" fillId="2" borderId="28" xfId="6" applyNumberFormat="1" applyFont="1" applyFill="1" applyBorder="1" applyAlignment="1">
      <alignment vertical="center"/>
    </xf>
    <xf numFmtId="3" fontId="47" fillId="2" borderId="59" xfId="6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horizontal="right" vertical="center"/>
    </xf>
    <xf numFmtId="178" fontId="47" fillId="2" borderId="2" xfId="0" applyNumberFormat="1" applyFont="1" applyFill="1" applyBorder="1" applyAlignment="1">
      <alignment horizontal="right" vertical="center" wrapText="1"/>
    </xf>
    <xf numFmtId="41" fontId="47" fillId="2" borderId="0" xfId="2" applyFont="1" applyFill="1" applyBorder="1" applyAlignment="1">
      <alignment horizontal="right" vertical="center" wrapText="1"/>
    </xf>
    <xf numFmtId="184" fontId="47" fillId="2" borderId="0" xfId="1" applyNumberFormat="1" applyFont="1" applyFill="1" applyBorder="1" applyAlignment="1">
      <alignment vertical="center" wrapText="1"/>
    </xf>
    <xf numFmtId="186" fontId="47" fillId="2" borderId="0" xfId="6" applyNumberFormat="1" applyFont="1" applyFill="1" applyBorder="1" applyAlignment="1">
      <alignment vertical="center"/>
    </xf>
    <xf numFmtId="3" fontId="47" fillId="2" borderId="60" xfId="6" applyNumberFormat="1" applyFont="1" applyFill="1" applyBorder="1">
      <alignment vertical="center"/>
    </xf>
    <xf numFmtId="3" fontId="47" fillId="2" borderId="60" xfId="6" applyNumberFormat="1" applyFont="1" applyFill="1" applyBorder="1" applyAlignment="1">
      <alignment vertical="center"/>
    </xf>
    <xf numFmtId="177" fontId="48" fillId="2" borderId="10" xfId="2" applyNumberFormat="1" applyFont="1" applyFill="1" applyBorder="1"/>
    <xf numFmtId="3" fontId="47" fillId="2" borderId="0" xfId="6" applyNumberFormat="1" applyFont="1" applyFill="1" applyBorder="1" applyAlignment="1">
      <alignment vertical="center" wrapText="1"/>
    </xf>
    <xf numFmtId="3" fontId="47" fillId="2" borderId="30" xfId="6" applyNumberFormat="1" applyFont="1" applyFill="1" applyBorder="1">
      <alignment vertical="center"/>
    </xf>
    <xf numFmtId="176" fontId="47" fillId="2" borderId="0" xfId="1" applyNumberFormat="1" applyFont="1" applyFill="1" applyBorder="1" applyAlignment="1">
      <alignment vertical="center"/>
    </xf>
    <xf numFmtId="3" fontId="47" fillId="2" borderId="11" xfId="6" applyNumberFormat="1" applyFont="1" applyFill="1" applyBorder="1">
      <alignment vertical="center"/>
    </xf>
    <xf numFmtId="3" fontId="47" fillId="2" borderId="25" xfId="6" applyNumberFormat="1" applyFont="1" applyFill="1" applyBorder="1">
      <alignment vertical="center"/>
    </xf>
    <xf numFmtId="177" fontId="47" fillId="2" borderId="25" xfId="2" applyNumberFormat="1" applyFont="1" applyFill="1" applyBorder="1" applyAlignment="1">
      <alignment vertical="center"/>
    </xf>
    <xf numFmtId="3" fontId="47" fillId="2" borderId="1" xfId="6" applyNumberFormat="1" applyFont="1" applyFill="1" applyBorder="1" applyAlignment="1">
      <alignment horizontal="center" vertical="center"/>
    </xf>
    <xf numFmtId="41" fontId="26" fillId="2" borderId="0" xfId="2" applyFont="1" applyFill="1" applyAlignment="1">
      <alignment horizontal="center" vertical="center"/>
    </xf>
    <xf numFmtId="184" fontId="16" fillId="2" borderId="0" xfId="6" applyNumberFormat="1" applyFont="1" applyFill="1" applyBorder="1" applyAlignment="1">
      <alignment horizontal="right" vertical="center"/>
    </xf>
    <xf numFmtId="0" fontId="16" fillId="2" borderId="0" xfId="6" applyFont="1" applyFill="1" applyBorder="1" applyAlignment="1">
      <alignment horizontal="left" vertical="center"/>
    </xf>
    <xf numFmtId="0" fontId="16" fillId="2" borderId="0" xfId="6" applyFont="1" applyFill="1" applyBorder="1" applyAlignment="1">
      <alignment vertical="center"/>
    </xf>
    <xf numFmtId="0" fontId="16" fillId="2" borderId="0" xfId="6" applyFont="1" applyFill="1" applyBorder="1" applyAlignment="1">
      <alignment horizontal="center" vertical="center"/>
    </xf>
    <xf numFmtId="41" fontId="16" fillId="2" borderId="17" xfId="2" applyFont="1" applyFill="1" applyBorder="1" applyAlignment="1">
      <alignment vertical="center"/>
    </xf>
    <xf numFmtId="184" fontId="18" fillId="2" borderId="10" xfId="6" applyNumberFormat="1" applyFont="1" applyFill="1" applyBorder="1" applyAlignment="1">
      <alignment horizontal="right" vertical="center"/>
    </xf>
    <xf numFmtId="177" fontId="18" fillId="2" borderId="62" xfId="2" applyNumberFormat="1" applyFont="1" applyFill="1" applyBorder="1" applyAlignment="1">
      <alignment horizontal="right" vertical="center"/>
    </xf>
    <xf numFmtId="49" fontId="16" fillId="2" borderId="44" xfId="6" applyNumberFormat="1" applyFont="1" applyFill="1" applyBorder="1" applyAlignment="1">
      <alignment horizontal="center" vertical="center"/>
    </xf>
    <xf numFmtId="49" fontId="16" fillId="2" borderId="45" xfId="6" applyNumberFormat="1" applyFont="1" applyFill="1" applyBorder="1" applyAlignment="1">
      <alignment horizontal="center" vertical="center"/>
    </xf>
    <xf numFmtId="49" fontId="16" fillId="2" borderId="46" xfId="6" applyNumberFormat="1" applyFont="1" applyFill="1" applyBorder="1" applyAlignment="1">
      <alignment horizontal="center" vertical="center"/>
    </xf>
    <xf numFmtId="41" fontId="16" fillId="2" borderId="46" xfId="2" applyFont="1" applyFill="1" applyBorder="1" applyAlignment="1">
      <alignment vertical="center"/>
    </xf>
    <xf numFmtId="184" fontId="18" fillId="2" borderId="39" xfId="0" applyNumberFormat="1" applyFont="1" applyFill="1" applyBorder="1" applyAlignment="1">
      <alignment vertical="center"/>
    </xf>
    <xf numFmtId="0" fontId="16" fillId="2" borderId="22" xfId="0" applyFont="1" applyFill="1" applyBorder="1"/>
    <xf numFmtId="177" fontId="18" fillId="2" borderId="4" xfId="0" applyNumberFormat="1" applyFont="1" applyFill="1" applyBorder="1" applyAlignment="1">
      <alignment vertical="center"/>
    </xf>
    <xf numFmtId="3" fontId="47" fillId="2" borderId="65" xfId="6" applyNumberFormat="1" applyFont="1" applyFill="1" applyBorder="1" applyAlignment="1">
      <alignment vertical="center"/>
    </xf>
    <xf numFmtId="0" fontId="50" fillId="2" borderId="54" xfId="6" applyFont="1" applyFill="1" applyBorder="1" applyAlignment="1">
      <alignment vertical="center"/>
    </xf>
    <xf numFmtId="3" fontId="50" fillId="2" borderId="54" xfId="6" applyNumberFormat="1" applyFont="1" applyFill="1" applyBorder="1" applyAlignment="1">
      <alignment vertical="center"/>
    </xf>
    <xf numFmtId="3" fontId="50" fillId="2" borderId="45" xfId="6" applyNumberFormat="1" applyFont="1" applyFill="1" applyBorder="1" applyAlignment="1">
      <alignment vertical="center"/>
    </xf>
    <xf numFmtId="3" fontId="50" fillId="2" borderId="49" xfId="6" applyNumberFormat="1" applyFont="1" applyFill="1" applyBorder="1" applyAlignment="1">
      <alignment vertical="center"/>
    </xf>
    <xf numFmtId="184" fontId="50" fillId="2" borderId="39" xfId="6" applyNumberFormat="1" applyFont="1" applyFill="1" applyBorder="1" applyAlignment="1">
      <alignment horizontal="right" vertical="center"/>
    </xf>
    <xf numFmtId="3" fontId="50" fillId="2" borderId="44" xfId="6" applyNumberFormat="1" applyFont="1" applyFill="1" applyBorder="1" applyAlignment="1">
      <alignment horizontal="left" vertical="center"/>
    </xf>
    <xf numFmtId="3" fontId="50" fillId="2" borderId="45" xfId="6" applyNumberFormat="1" applyFont="1" applyFill="1" applyBorder="1" applyAlignment="1">
      <alignment horizontal="left" vertical="center"/>
    </xf>
    <xf numFmtId="3" fontId="50" fillId="2" borderId="46" xfId="2" applyNumberFormat="1" applyFont="1" applyFill="1" applyBorder="1" applyAlignment="1">
      <alignment horizontal="left" vertical="center"/>
    </xf>
    <xf numFmtId="41" fontId="50" fillId="2" borderId="46" xfId="2" applyFont="1" applyFill="1" applyBorder="1" applyAlignment="1">
      <alignment horizontal="left" vertical="center"/>
    </xf>
    <xf numFmtId="0" fontId="47" fillId="2" borderId="10" xfId="6" applyFont="1" applyFill="1" applyBorder="1" applyAlignment="1">
      <alignment vertical="center"/>
    </xf>
    <xf numFmtId="184" fontId="47" fillId="2" borderId="13" xfId="6" applyNumberFormat="1" applyFont="1" applyFill="1" applyBorder="1" applyAlignment="1">
      <alignment horizontal="right" vertical="center"/>
    </xf>
    <xf numFmtId="0" fontId="47" fillId="2" borderId="9" xfId="0" applyFont="1" applyFill="1" applyBorder="1" applyAlignment="1">
      <alignment vertical="center" wrapText="1"/>
    </xf>
    <xf numFmtId="184" fontId="47" fillId="2" borderId="9" xfId="0" applyNumberFormat="1" applyFont="1" applyFill="1" applyBorder="1" applyAlignment="1">
      <alignment horizontal="right" vertical="center"/>
    </xf>
    <xf numFmtId="3" fontId="47" fillId="2" borderId="24" xfId="0" applyNumberFormat="1" applyFont="1" applyFill="1" applyBorder="1" applyAlignment="1">
      <alignment vertical="center"/>
    </xf>
    <xf numFmtId="3" fontId="47" fillId="2" borderId="6" xfId="6" applyNumberFormat="1" applyFont="1" applyFill="1" applyBorder="1" applyAlignment="1">
      <alignment horizontal="left" vertical="center"/>
    </xf>
    <xf numFmtId="3" fontId="47" fillId="2" borderId="6" xfId="2" applyNumberFormat="1" applyFont="1" applyFill="1" applyBorder="1" applyAlignment="1">
      <alignment horizontal="left" vertical="center"/>
    </xf>
    <xf numFmtId="3" fontId="47" fillId="2" borderId="6" xfId="0" applyNumberFormat="1" applyFont="1" applyFill="1" applyBorder="1" applyAlignment="1">
      <alignment horizontal="center" vertical="center"/>
    </xf>
    <xf numFmtId="0" fontId="47" fillId="2" borderId="31" xfId="6" applyFont="1" applyFill="1" applyBorder="1" applyAlignment="1">
      <alignment vertical="center"/>
    </xf>
    <xf numFmtId="3" fontId="47" fillId="2" borderId="30" xfId="0" applyNumberFormat="1" applyFont="1" applyFill="1" applyBorder="1" applyAlignment="1">
      <alignment horizontal="right" vertical="center"/>
    </xf>
    <xf numFmtId="3" fontId="47" fillId="2" borderId="16" xfId="2" applyNumberFormat="1" applyFont="1" applyFill="1" applyBorder="1" applyAlignment="1">
      <alignment vertical="center"/>
    </xf>
    <xf numFmtId="41" fontId="47" fillId="2" borderId="58" xfId="2" applyFont="1" applyFill="1" applyBorder="1" applyAlignment="1">
      <alignment vertical="center"/>
    </xf>
    <xf numFmtId="41" fontId="47" fillId="2" borderId="12" xfId="2" applyFont="1" applyFill="1" applyBorder="1" applyAlignment="1">
      <alignment vertical="center"/>
    </xf>
    <xf numFmtId="177" fontId="47" fillId="2" borderId="2" xfId="2" applyNumberFormat="1" applyFont="1" applyFill="1" applyBorder="1" applyAlignment="1">
      <alignment horizontal="right" vertical="center"/>
    </xf>
    <xf numFmtId="0" fontId="50" fillId="2" borderId="8" xfId="6" applyFont="1" applyFill="1" applyBorder="1" applyAlignment="1">
      <alignment vertical="center"/>
    </xf>
    <xf numFmtId="0" fontId="50" fillId="2" borderId="45" xfId="6" applyFont="1" applyFill="1" applyBorder="1" applyAlignment="1">
      <alignment vertical="center"/>
    </xf>
    <xf numFmtId="178" fontId="50" fillId="2" borderId="46" xfId="0" applyNumberFormat="1" applyFont="1" applyFill="1" applyBorder="1" applyAlignment="1">
      <alignment vertical="center"/>
    </xf>
    <xf numFmtId="3" fontId="50" fillId="2" borderId="44" xfId="2" applyNumberFormat="1" applyFont="1" applyFill="1" applyBorder="1" applyAlignment="1">
      <alignment vertical="center"/>
    </xf>
    <xf numFmtId="3" fontId="50" fillId="2" borderId="45" xfId="2" applyNumberFormat="1" applyFont="1" applyFill="1" applyBorder="1" applyAlignment="1">
      <alignment vertical="center"/>
    </xf>
    <xf numFmtId="178" fontId="47" fillId="2" borderId="33" xfId="0" applyNumberFormat="1" applyFont="1" applyFill="1" applyBorder="1" applyAlignment="1">
      <alignment vertical="center"/>
    </xf>
    <xf numFmtId="178" fontId="47" fillId="2" borderId="53" xfId="0" applyNumberFormat="1" applyFont="1" applyFill="1" applyBorder="1" applyAlignment="1">
      <alignment vertical="center"/>
    </xf>
    <xf numFmtId="3" fontId="47" fillId="2" borderId="48" xfId="2" applyNumberFormat="1" applyFont="1" applyFill="1" applyBorder="1" applyAlignment="1">
      <alignment vertical="center"/>
    </xf>
    <xf numFmtId="3" fontId="47" fillId="2" borderId="50" xfId="2" applyNumberFormat="1" applyFont="1" applyFill="1" applyBorder="1" applyAlignment="1">
      <alignment vertical="center"/>
    </xf>
    <xf numFmtId="3" fontId="47" fillId="2" borderId="53" xfId="2" applyNumberFormat="1" applyFont="1" applyFill="1" applyBorder="1" applyAlignment="1">
      <alignment vertical="center"/>
    </xf>
    <xf numFmtId="3" fontId="47" fillId="2" borderId="29" xfId="2" applyNumberFormat="1" applyFont="1" applyFill="1" applyBorder="1" applyAlignment="1">
      <alignment vertical="center"/>
    </xf>
    <xf numFmtId="178" fontId="47" fillId="2" borderId="27" xfId="0" applyNumberFormat="1" applyFont="1" applyFill="1" applyBorder="1" applyAlignment="1">
      <alignment vertical="center"/>
    </xf>
    <xf numFmtId="184" fontId="47" fillId="2" borderId="9" xfId="6" applyNumberFormat="1" applyFont="1" applyFill="1" applyBorder="1" applyAlignment="1">
      <alignment horizontal="right" vertical="center"/>
    </xf>
    <xf numFmtId="3" fontId="47" fillId="2" borderId="24" xfId="6" applyNumberFormat="1" applyFont="1" applyFill="1" applyBorder="1" applyAlignment="1">
      <alignment horizontal="left" vertical="center"/>
    </xf>
    <xf numFmtId="3" fontId="47" fillId="2" borderId="3" xfId="2" applyNumberFormat="1" applyFont="1" applyFill="1" applyBorder="1" applyAlignment="1">
      <alignment horizontal="left" vertical="center"/>
    </xf>
    <xf numFmtId="3" fontId="47" fillId="2" borderId="31" xfId="6" applyNumberFormat="1" applyFont="1" applyFill="1" applyBorder="1" applyAlignment="1">
      <alignment horizontal="center" vertical="center"/>
    </xf>
    <xf numFmtId="3" fontId="47" fillId="2" borderId="13" xfId="0" applyNumberFormat="1" applyFont="1" applyFill="1" applyBorder="1" applyAlignment="1">
      <alignment vertical="center"/>
    </xf>
    <xf numFmtId="0" fontId="50" fillId="2" borderId="16" xfId="6" applyFont="1" applyFill="1" applyBorder="1" applyAlignment="1">
      <alignment vertical="center"/>
    </xf>
    <xf numFmtId="0" fontId="50" fillId="2" borderId="45" xfId="0" applyFont="1" applyFill="1" applyBorder="1" applyAlignment="1">
      <alignment vertical="center" wrapText="1"/>
    </xf>
    <xf numFmtId="3" fontId="50" fillId="2" borderId="49" xfId="0" applyNumberFormat="1" applyFont="1" applyFill="1" applyBorder="1" applyAlignment="1">
      <alignment vertical="center"/>
    </xf>
    <xf numFmtId="184" fontId="50" fillId="2" borderId="39" xfId="0" applyNumberFormat="1" applyFont="1" applyFill="1" applyBorder="1" applyAlignment="1">
      <alignment horizontal="right" vertical="center"/>
    </xf>
    <xf numFmtId="3" fontId="50" fillId="2" borderId="44" xfId="0" applyNumberFormat="1" applyFont="1" applyFill="1" applyBorder="1" applyAlignment="1">
      <alignment vertical="center"/>
    </xf>
    <xf numFmtId="3" fontId="50" fillId="2" borderId="45" xfId="0" applyNumberFormat="1" applyFont="1" applyFill="1" applyBorder="1" applyAlignment="1">
      <alignment horizontal="right" vertical="center"/>
    </xf>
    <xf numFmtId="3" fontId="50" fillId="2" borderId="45" xfId="0" applyNumberFormat="1" applyFont="1" applyFill="1" applyBorder="1" applyAlignment="1">
      <alignment horizontal="left" vertical="center"/>
    </xf>
    <xf numFmtId="3" fontId="50" fillId="2" borderId="45" xfId="0" applyNumberFormat="1" applyFont="1" applyFill="1" applyBorder="1" applyAlignment="1">
      <alignment vertical="center"/>
    </xf>
    <xf numFmtId="3" fontId="50" fillId="2" borderId="45" xfId="0" applyNumberFormat="1" applyFont="1" applyFill="1" applyBorder="1" applyAlignment="1">
      <alignment horizontal="center" vertical="center"/>
    </xf>
    <xf numFmtId="41" fontId="50" fillId="2" borderId="46" xfId="2" applyFont="1" applyFill="1" applyBorder="1" applyAlignment="1">
      <alignment vertical="center"/>
    </xf>
    <xf numFmtId="0" fontId="18" fillId="2" borderId="16" xfId="6" applyFont="1" applyFill="1" applyBorder="1" applyAlignment="1">
      <alignment vertical="center"/>
    </xf>
    <xf numFmtId="0" fontId="18" fillId="2" borderId="38" xfId="6" applyFont="1" applyFill="1" applyBorder="1" applyAlignment="1">
      <alignment vertical="center"/>
    </xf>
    <xf numFmtId="184" fontId="16" fillId="2" borderId="38" xfId="0" applyNumberFormat="1" applyFont="1" applyFill="1" applyBorder="1" applyAlignment="1">
      <alignment horizontal="right" vertical="center"/>
    </xf>
    <xf numFmtId="177" fontId="16" fillId="2" borderId="55" xfId="2" applyNumberFormat="1" applyFont="1" applyFill="1" applyBorder="1" applyAlignment="1">
      <alignment horizontal="right" vertical="center"/>
    </xf>
    <xf numFmtId="3" fontId="18" fillId="2" borderId="48" xfId="0" applyNumberFormat="1" applyFont="1" applyFill="1" applyBorder="1" applyAlignment="1">
      <alignment vertical="center"/>
    </xf>
    <xf numFmtId="3" fontId="18" fillId="2" borderId="50" xfId="6" applyNumberFormat="1" applyFont="1" applyFill="1" applyBorder="1" applyAlignment="1">
      <alignment horizontal="left" vertical="center"/>
    </xf>
    <xf numFmtId="3" fontId="18" fillId="2" borderId="50" xfId="0" applyNumberFormat="1" applyFont="1" applyFill="1" applyBorder="1" applyAlignment="1">
      <alignment horizontal="right" vertical="center"/>
    </xf>
    <xf numFmtId="3" fontId="18" fillId="2" borderId="50" xfId="0" applyNumberFormat="1" applyFont="1" applyFill="1" applyBorder="1" applyAlignment="1">
      <alignment horizontal="left" vertical="center"/>
    </xf>
    <xf numFmtId="3" fontId="18" fillId="2" borderId="50" xfId="2" applyNumberFormat="1" applyFont="1" applyFill="1" applyBorder="1" applyAlignment="1">
      <alignment vertical="center"/>
    </xf>
    <xf numFmtId="3" fontId="18" fillId="2" borderId="50" xfId="0" applyNumberFormat="1" applyFont="1" applyFill="1" applyBorder="1" applyAlignment="1">
      <alignment vertical="center"/>
    </xf>
    <xf numFmtId="3" fontId="18" fillId="2" borderId="50" xfId="0" applyNumberFormat="1" applyFont="1" applyFill="1" applyBorder="1" applyAlignment="1">
      <alignment horizontal="center" vertical="center"/>
    </xf>
    <xf numFmtId="3" fontId="18" fillId="2" borderId="53" xfId="2" applyNumberFormat="1" applyFont="1" applyFill="1" applyBorder="1" applyAlignment="1">
      <alignment vertical="center"/>
    </xf>
    <xf numFmtId="41" fontId="18" fillId="2" borderId="53" xfId="2" applyFont="1" applyFill="1" applyBorder="1" applyAlignment="1">
      <alignment vertical="center"/>
    </xf>
    <xf numFmtId="0" fontId="18" fillId="2" borderId="10" xfId="6" applyFont="1" applyFill="1" applyBorder="1" applyAlignment="1">
      <alignment vertical="center"/>
    </xf>
    <xf numFmtId="3" fontId="18" fillId="2" borderId="29" xfId="0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30" xfId="0" applyNumberFormat="1" applyFont="1" applyFill="1" applyBorder="1" applyAlignment="1">
      <alignment horizontal="right" vertical="center"/>
    </xf>
    <xf numFmtId="3" fontId="18" fillId="2" borderId="30" xfId="0" applyNumberFormat="1" applyFont="1" applyFill="1" applyBorder="1" applyAlignment="1">
      <alignment horizontal="left" vertical="center"/>
    </xf>
    <xf numFmtId="3" fontId="18" fillId="2" borderId="30" xfId="2" applyNumberFormat="1" applyFont="1" applyFill="1" applyBorder="1" applyAlignment="1">
      <alignment vertical="center"/>
    </xf>
    <xf numFmtId="3" fontId="18" fillId="2" borderId="30" xfId="0" applyNumberFormat="1" applyFont="1" applyFill="1" applyBorder="1" applyAlignment="1">
      <alignment vertical="center"/>
    </xf>
    <xf numFmtId="3" fontId="18" fillId="2" borderId="30" xfId="0" applyNumberFormat="1" applyFont="1" applyFill="1" applyBorder="1" applyAlignment="1">
      <alignment horizontal="center" vertical="center"/>
    </xf>
    <xf numFmtId="41" fontId="18" fillId="2" borderId="15" xfId="2" applyFont="1" applyFill="1" applyBorder="1" applyAlignment="1">
      <alignment vertical="center"/>
    </xf>
    <xf numFmtId="0" fontId="82" fillId="2" borderId="16" xfId="12707" applyFill="1" applyBorder="1" applyAlignment="1" applyProtection="1"/>
    <xf numFmtId="0" fontId="18" fillId="2" borderId="25" xfId="6" applyFont="1" applyFill="1" applyBorder="1" applyAlignment="1">
      <alignment vertical="center"/>
    </xf>
    <xf numFmtId="3" fontId="16" fillId="2" borderId="66" xfId="0" applyNumberFormat="1" applyFont="1" applyFill="1" applyBorder="1" applyAlignment="1">
      <alignment vertical="center"/>
    </xf>
    <xf numFmtId="3" fontId="16" fillId="2" borderId="67" xfId="6" applyNumberFormat="1" applyFont="1" applyFill="1" applyBorder="1" applyAlignment="1">
      <alignment horizontal="left" vertical="center"/>
    </xf>
    <xf numFmtId="3" fontId="16" fillId="2" borderId="67" xfId="0" applyNumberFormat="1" applyFont="1" applyFill="1" applyBorder="1" applyAlignment="1">
      <alignment vertical="center"/>
    </xf>
    <xf numFmtId="3" fontId="16" fillId="2" borderId="67" xfId="0" applyNumberFormat="1" applyFont="1" applyFill="1" applyBorder="1" applyAlignment="1">
      <alignment horizontal="left"/>
    </xf>
    <xf numFmtId="3" fontId="16" fillId="2" borderId="68" xfId="2" applyNumberFormat="1" applyFont="1" applyFill="1" applyBorder="1" applyAlignment="1">
      <alignment vertical="center"/>
    </xf>
    <xf numFmtId="41" fontId="16" fillId="2" borderId="68" xfId="2" applyFont="1" applyFill="1" applyBorder="1" applyAlignment="1">
      <alignment vertical="center"/>
    </xf>
    <xf numFmtId="3" fontId="47" fillId="2" borderId="1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/>
    </xf>
    <xf numFmtId="3" fontId="16" fillId="2" borderId="31" xfId="6" applyNumberFormat="1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vertical="center" shrinkToFit="1"/>
    </xf>
    <xf numFmtId="3" fontId="47" fillId="2" borderId="0" xfId="0" applyNumberFormat="1" applyFont="1" applyFill="1" applyBorder="1" applyAlignment="1">
      <alignment horizontal="left"/>
    </xf>
    <xf numFmtId="3" fontId="47" fillId="2" borderId="8" xfId="6" applyNumberFormat="1" applyFont="1" applyFill="1" applyBorder="1" applyAlignment="1">
      <alignment horizontal="center" vertical="center"/>
    </xf>
    <xf numFmtId="0" fontId="47" fillId="2" borderId="29" xfId="6" applyFont="1" applyFill="1" applyBorder="1" applyAlignment="1">
      <alignment vertical="center"/>
    </xf>
    <xf numFmtId="0" fontId="47" fillId="2" borderId="30" xfId="6" applyFont="1" applyFill="1" applyBorder="1" applyAlignment="1">
      <alignment vertical="center"/>
    </xf>
    <xf numFmtId="0" fontId="47" fillId="2" borderId="30" xfId="6" applyFont="1" applyFill="1" applyBorder="1" applyAlignment="1">
      <alignment horizontal="left" vertical="center"/>
    </xf>
    <xf numFmtId="0" fontId="47" fillId="2" borderId="30" xfId="6" applyFont="1" applyFill="1" applyBorder="1" applyAlignment="1">
      <alignment horizontal="center" vertical="center"/>
    </xf>
    <xf numFmtId="0" fontId="16" fillId="2" borderId="16" xfId="6" applyFont="1" applyFill="1" applyBorder="1" applyAlignment="1">
      <alignment vertical="center"/>
    </xf>
    <xf numFmtId="0" fontId="16" fillId="2" borderId="31" xfId="6" applyFont="1" applyFill="1" applyBorder="1" applyAlignment="1">
      <alignment vertical="center"/>
    </xf>
    <xf numFmtId="0" fontId="16" fillId="2" borderId="29" xfId="6" applyFont="1" applyFill="1" applyBorder="1" applyAlignment="1">
      <alignment vertical="center"/>
    </xf>
    <xf numFmtId="0" fontId="16" fillId="2" borderId="30" xfId="6" applyFont="1" applyFill="1" applyBorder="1" applyAlignment="1">
      <alignment vertical="center"/>
    </xf>
    <xf numFmtId="0" fontId="16" fillId="2" borderId="30" xfId="6" applyFont="1" applyFill="1" applyBorder="1" applyAlignment="1">
      <alignment horizontal="left" vertical="center"/>
    </xf>
    <xf numFmtId="0" fontId="16" fillId="2" borderId="30" xfId="6" applyFont="1" applyFill="1" applyBorder="1" applyAlignment="1">
      <alignment horizontal="center" vertical="center"/>
    </xf>
    <xf numFmtId="3" fontId="16" fillId="2" borderId="15" xfId="6" applyNumberFormat="1" applyFont="1" applyFill="1" applyBorder="1" applyAlignment="1">
      <alignment vertical="center"/>
    </xf>
    <xf numFmtId="0" fontId="16" fillId="2" borderId="10" xfId="6" applyFont="1" applyFill="1" applyBorder="1" applyAlignment="1">
      <alignment horizontal="left" vertical="center"/>
    </xf>
    <xf numFmtId="0" fontId="16" fillId="2" borderId="26" xfId="6" applyFont="1" applyFill="1" applyBorder="1" applyAlignment="1">
      <alignment horizontal="left" vertical="center"/>
    </xf>
    <xf numFmtId="0" fontId="47" fillId="2" borderId="10" xfId="6" applyFont="1" applyFill="1" applyBorder="1" applyAlignment="1">
      <alignment horizontal="left" vertical="center"/>
    </xf>
    <xf numFmtId="184" fontId="47" fillId="2" borderId="31" xfId="6" applyNumberFormat="1" applyFont="1" applyFill="1" applyBorder="1" applyAlignment="1">
      <alignment horizontal="right" vertical="center"/>
    </xf>
    <xf numFmtId="3" fontId="47" fillId="2" borderId="2" xfId="0" applyNumberFormat="1" applyFont="1" applyFill="1" applyBorder="1" applyAlignment="1">
      <alignment vertical="center"/>
    </xf>
    <xf numFmtId="3" fontId="16" fillId="2" borderId="45" xfId="6" applyNumberFormat="1" applyFont="1" applyFill="1" applyBorder="1" applyAlignment="1">
      <alignment horizontal="center" vertical="center"/>
    </xf>
    <xf numFmtId="3" fontId="16" fillId="2" borderId="8" xfId="6" applyNumberFormat="1" applyFont="1" applyFill="1" applyBorder="1" applyAlignment="1">
      <alignment vertical="center"/>
    </xf>
    <xf numFmtId="3" fontId="16" fillId="2" borderId="44" xfId="6" applyNumberFormat="1" applyFont="1" applyFill="1" applyBorder="1" applyAlignment="1">
      <alignment horizontal="left" vertical="center"/>
    </xf>
    <xf numFmtId="3" fontId="16" fillId="2" borderId="45" xfId="6" applyNumberFormat="1" applyFont="1" applyFill="1" applyBorder="1" applyAlignment="1">
      <alignment horizontal="left" vertical="center"/>
    </xf>
    <xf numFmtId="3" fontId="16" fillId="2" borderId="46" xfId="2" applyNumberFormat="1" applyFont="1" applyFill="1" applyBorder="1" applyAlignment="1">
      <alignment horizontal="left" vertical="center"/>
    </xf>
    <xf numFmtId="184" fontId="16" fillId="2" borderId="14" xfId="6" applyNumberFormat="1" applyFont="1" applyFill="1" applyBorder="1" applyAlignment="1">
      <alignment horizontal="right" vertical="center"/>
    </xf>
    <xf numFmtId="184" fontId="16" fillId="2" borderId="36" xfId="6" applyNumberFormat="1" applyFont="1" applyFill="1" applyBorder="1" applyAlignment="1">
      <alignment horizontal="right" vertical="center"/>
    </xf>
    <xf numFmtId="3" fontId="16" fillId="2" borderId="4" xfId="2" applyNumberFormat="1" applyFont="1" applyFill="1" applyBorder="1" applyAlignment="1">
      <alignment horizontal="left" vertical="center"/>
    </xf>
    <xf numFmtId="3" fontId="16" fillId="2" borderId="30" xfId="0" applyNumberFormat="1" applyFont="1" applyFill="1" applyBorder="1" applyAlignment="1">
      <alignment horizontal="right" vertical="center"/>
    </xf>
    <xf numFmtId="0" fontId="13" fillId="2" borderId="2" xfId="0" applyFont="1" applyFill="1" applyBorder="1" applyAlignment="1">
      <alignment vertical="center"/>
    </xf>
    <xf numFmtId="10" fontId="16" fillId="2" borderId="0" xfId="1" applyNumberFormat="1" applyFont="1" applyFill="1" applyBorder="1" applyAlignment="1">
      <alignment vertical="center"/>
    </xf>
    <xf numFmtId="178" fontId="16" fillId="2" borderId="12" xfId="0" applyNumberFormat="1" applyFont="1" applyFill="1" applyBorder="1" applyAlignment="1">
      <alignment vertical="center"/>
    </xf>
    <xf numFmtId="184" fontId="16" fillId="2" borderId="10" xfId="0" applyNumberFormat="1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 wrapText="1"/>
    </xf>
    <xf numFmtId="0" fontId="16" fillId="2" borderId="10" xfId="5" applyFont="1" applyFill="1" applyBorder="1" applyAlignment="1" applyProtection="1">
      <alignment horizontal="left" vertical="center"/>
    </xf>
    <xf numFmtId="178" fontId="16" fillId="2" borderId="0" xfId="2" applyNumberFormat="1" applyFont="1" applyFill="1" applyBorder="1" applyAlignment="1">
      <alignment horizontal="right" vertical="center"/>
    </xf>
    <xf numFmtId="3" fontId="61" fillId="2" borderId="8" xfId="6" applyNumberFormat="1" applyFont="1" applyFill="1" applyBorder="1" applyAlignment="1">
      <alignment horizontal="left" vertical="center"/>
    </xf>
    <xf numFmtId="3" fontId="61" fillId="2" borderId="10" xfId="6" applyNumberFormat="1" applyFont="1" applyFill="1" applyBorder="1" applyAlignment="1">
      <alignment horizontal="left" vertical="center"/>
    </xf>
    <xf numFmtId="3" fontId="61" fillId="2" borderId="0" xfId="6" applyNumberFormat="1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left" vertical="center" wrapText="1"/>
    </xf>
    <xf numFmtId="0" fontId="16" fillId="2" borderId="14" xfId="5" applyFont="1" applyFill="1" applyBorder="1" applyAlignment="1" applyProtection="1">
      <alignment horizontal="left" vertical="center"/>
    </xf>
    <xf numFmtId="177" fontId="16" fillId="2" borderId="23" xfId="0" applyNumberFormat="1" applyFont="1" applyFill="1" applyBorder="1" applyAlignment="1">
      <alignment horizontal="right" vertical="center"/>
    </xf>
    <xf numFmtId="178" fontId="16" fillId="2" borderId="7" xfId="2" applyNumberFormat="1" applyFont="1" applyFill="1" applyBorder="1" applyAlignment="1">
      <alignment horizontal="right" vertical="center"/>
    </xf>
    <xf numFmtId="0" fontId="13" fillId="2" borderId="7" xfId="0" applyFont="1" applyFill="1" applyBorder="1" applyAlignment="1">
      <alignment vertical="center"/>
    </xf>
    <xf numFmtId="0" fontId="13" fillId="2" borderId="12" xfId="0" applyFont="1" applyFill="1" applyBorder="1" applyAlignment="1">
      <alignment vertical="center"/>
    </xf>
    <xf numFmtId="178" fontId="16" fillId="2" borderId="60" xfId="0" applyNumberFormat="1" applyFont="1" applyFill="1" applyBorder="1" applyAlignment="1">
      <alignment vertical="center"/>
    </xf>
    <xf numFmtId="3" fontId="16" fillId="2" borderId="4" xfId="6" applyNumberFormat="1" applyFont="1" applyFill="1" applyBorder="1" applyAlignment="1">
      <alignment horizontal="left" vertical="center"/>
    </xf>
    <xf numFmtId="177" fontId="18" fillId="2" borderId="62" xfId="6" applyNumberFormat="1" applyFont="1" applyFill="1" applyBorder="1" applyAlignment="1">
      <alignment vertical="center"/>
    </xf>
    <xf numFmtId="3" fontId="47" fillId="2" borderId="30" xfId="2" applyNumberFormat="1" applyFont="1" applyFill="1" applyBorder="1" applyAlignment="1">
      <alignment horizontal="center" vertical="center"/>
    </xf>
    <xf numFmtId="3" fontId="47" fillId="2" borderId="59" xfId="6" applyNumberFormat="1" applyFont="1" applyFill="1" applyBorder="1" applyAlignment="1">
      <alignment horizontal="left" vertical="center"/>
    </xf>
    <xf numFmtId="3" fontId="16" fillId="2" borderId="16" xfId="2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horizontal="center" vertical="center"/>
    </xf>
    <xf numFmtId="177" fontId="16" fillId="2" borderId="2" xfId="0" applyNumberFormat="1" applyFont="1" applyFill="1" applyBorder="1" applyAlignment="1">
      <alignment vertical="center"/>
    </xf>
    <xf numFmtId="0" fontId="61" fillId="2" borderId="10" xfId="0" applyFont="1" applyFill="1" applyBorder="1" applyAlignment="1"/>
    <xf numFmtId="3" fontId="16" fillId="2" borderId="7" xfId="2" applyNumberFormat="1" applyFont="1" applyFill="1" applyBorder="1" applyAlignment="1">
      <alignment horizontal="left" vertical="center"/>
    </xf>
    <xf numFmtId="3" fontId="16" fillId="2" borderId="4" xfId="2" applyNumberFormat="1" applyFont="1" applyFill="1" applyBorder="1" applyAlignment="1">
      <alignment horizontal="right" vertical="center"/>
    </xf>
    <xf numFmtId="41" fontId="16" fillId="2" borderId="4" xfId="2" applyFont="1" applyFill="1" applyBorder="1" applyAlignment="1">
      <alignment horizontal="right" vertical="center"/>
    </xf>
    <xf numFmtId="184" fontId="16" fillId="2" borderId="13" xfId="0" applyNumberFormat="1" applyFont="1" applyFill="1" applyBorder="1" applyAlignment="1">
      <alignment vertical="center"/>
    </xf>
    <xf numFmtId="0" fontId="17" fillId="2" borderId="0" xfId="6" applyFont="1" applyFill="1" applyBorder="1" applyAlignment="1">
      <alignment vertical="center"/>
    </xf>
    <xf numFmtId="0" fontId="13" fillId="2" borderId="16" xfId="6" applyFont="1" applyFill="1" applyBorder="1" applyAlignment="1">
      <alignment vertical="center"/>
    </xf>
    <xf numFmtId="184" fontId="16" fillId="2" borderId="14" xfId="0" applyNumberFormat="1" applyFont="1" applyFill="1" applyBorder="1" applyAlignment="1">
      <alignment horizontal="right" vertical="center"/>
    </xf>
    <xf numFmtId="177" fontId="16" fillId="2" borderId="15" xfId="6" applyNumberFormat="1" applyFont="1" applyFill="1" applyBorder="1" applyAlignment="1">
      <alignment horizontal="right" vertical="center"/>
    </xf>
    <xf numFmtId="184" fontId="16" fillId="2" borderId="9" xfId="0" applyNumberFormat="1" applyFont="1" applyFill="1" applyBorder="1" applyAlignment="1">
      <alignment vertical="center"/>
    </xf>
    <xf numFmtId="3" fontId="83" fillId="2" borderId="10" xfId="0" applyNumberFormat="1" applyFont="1" applyFill="1" applyBorder="1" applyAlignment="1">
      <alignment horizontal="right" vertical="center" wrapText="1"/>
    </xf>
    <xf numFmtId="184" fontId="16" fillId="2" borderId="14" xfId="0" applyNumberFormat="1" applyFont="1" applyFill="1" applyBorder="1" applyAlignment="1">
      <alignment vertical="center"/>
    </xf>
    <xf numFmtId="3" fontId="47" fillId="2" borderId="2" xfId="6" applyNumberFormat="1" applyFont="1" applyFill="1" applyBorder="1" applyAlignment="1">
      <alignment horizontal="left" vertical="center"/>
    </xf>
    <xf numFmtId="0" fontId="17" fillId="2" borderId="0" xfId="6" applyFont="1" applyFill="1" applyAlignment="1">
      <alignment horizontal="left" vertical="center"/>
    </xf>
    <xf numFmtId="184" fontId="16" fillId="2" borderId="25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vertical="center"/>
    </xf>
    <xf numFmtId="0" fontId="16" fillId="2" borderId="44" xfId="0" applyFont="1" applyFill="1" applyBorder="1" applyAlignment="1">
      <alignment vertical="center"/>
    </xf>
    <xf numFmtId="0" fontId="16" fillId="2" borderId="45" xfId="0" applyFont="1" applyFill="1" applyBorder="1" applyAlignment="1">
      <alignment vertical="center"/>
    </xf>
    <xf numFmtId="177" fontId="16" fillId="2" borderId="45" xfId="0" applyNumberFormat="1" applyFont="1" applyFill="1" applyBorder="1" applyAlignment="1">
      <alignment vertical="center"/>
    </xf>
    <xf numFmtId="0" fontId="16" fillId="2" borderId="45" xfId="0" applyFont="1" applyFill="1" applyBorder="1" applyAlignment="1">
      <alignment horizontal="left" vertical="center"/>
    </xf>
    <xf numFmtId="177" fontId="16" fillId="2" borderId="45" xfId="0" applyNumberFormat="1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horizontal="left" vertical="center"/>
    </xf>
    <xf numFmtId="184" fontId="18" fillId="2" borderId="14" xfId="0" applyNumberFormat="1" applyFont="1" applyFill="1" applyBorder="1" applyAlignment="1">
      <alignment vertical="center"/>
    </xf>
    <xf numFmtId="49" fontId="16" fillId="2" borderId="30" xfId="2" applyNumberFormat="1" applyFont="1" applyFill="1" applyBorder="1" applyAlignment="1">
      <alignment vertical="center"/>
    </xf>
    <xf numFmtId="181" fontId="16" fillId="2" borderId="30" xfId="2" applyNumberFormat="1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vertical="center" shrinkToFit="1"/>
    </xf>
    <xf numFmtId="0" fontId="0" fillId="2" borderId="16" xfId="0" applyFont="1" applyFill="1" applyBorder="1" applyAlignment="1">
      <alignment vertical="center"/>
    </xf>
    <xf numFmtId="184" fontId="16" fillId="2" borderId="9" xfId="6" applyNumberFormat="1" applyFont="1" applyFill="1" applyBorder="1" applyAlignment="1">
      <alignment horizontal="right" vertical="center"/>
    </xf>
    <xf numFmtId="0" fontId="48" fillId="2" borderId="16" xfId="0" applyFont="1" applyFill="1" applyBorder="1" applyAlignment="1">
      <alignment vertical="center"/>
    </xf>
    <xf numFmtId="184" fontId="47" fillId="2" borderId="56" xfId="6" applyNumberFormat="1" applyFont="1" applyFill="1" applyBorder="1" applyAlignment="1">
      <alignment horizontal="right" vertical="center"/>
    </xf>
    <xf numFmtId="178" fontId="47" fillId="2" borderId="60" xfId="0" applyNumberFormat="1" applyFont="1" applyFill="1" applyBorder="1" applyAlignment="1">
      <alignment vertical="center"/>
    </xf>
    <xf numFmtId="184" fontId="16" fillId="2" borderId="34" xfId="6" applyNumberFormat="1" applyFont="1" applyFill="1" applyBorder="1" applyAlignment="1">
      <alignment horizontal="right" vertical="center"/>
    </xf>
    <xf numFmtId="184" fontId="16" fillId="2" borderId="35" xfId="6" applyNumberFormat="1" applyFont="1" applyFill="1" applyBorder="1" applyAlignment="1">
      <alignment horizontal="right" vertical="center"/>
    </xf>
    <xf numFmtId="0" fontId="16" fillId="2" borderId="0" xfId="1" applyNumberFormat="1" applyFont="1" applyFill="1" applyBorder="1" applyAlignment="1">
      <alignment vertical="center"/>
    </xf>
    <xf numFmtId="184" fontId="47" fillId="2" borderId="10" xfId="6" applyNumberFormat="1" applyFont="1" applyFill="1" applyBorder="1" applyAlignment="1">
      <alignment horizontal="right" vertical="center"/>
    </xf>
    <xf numFmtId="184" fontId="47" fillId="2" borderId="35" xfId="6" applyNumberFormat="1" applyFont="1" applyFill="1" applyBorder="1" applyAlignment="1">
      <alignment horizontal="right" vertical="center"/>
    </xf>
    <xf numFmtId="194" fontId="47" fillId="2" borderId="0" xfId="1" applyNumberFormat="1" applyFont="1" applyFill="1" applyBorder="1" applyAlignment="1">
      <alignment vertical="center"/>
    </xf>
    <xf numFmtId="9" fontId="47" fillId="2" borderId="0" xfId="1" applyFont="1" applyFill="1" applyBorder="1" applyAlignment="1">
      <alignment vertical="center"/>
    </xf>
    <xf numFmtId="194" fontId="16" fillId="2" borderId="0" xfId="1" applyNumberFormat="1" applyFont="1" applyFill="1" applyBorder="1" applyAlignment="1">
      <alignment vertical="center"/>
    </xf>
    <xf numFmtId="9" fontId="16" fillId="2" borderId="0" xfId="1" applyFont="1" applyFill="1" applyBorder="1" applyAlignment="1">
      <alignment vertical="center"/>
    </xf>
    <xf numFmtId="9" fontId="16" fillId="2" borderId="7" xfId="1" applyFont="1" applyFill="1" applyBorder="1" applyAlignment="1">
      <alignment vertical="center"/>
    </xf>
    <xf numFmtId="3" fontId="16" fillId="2" borderId="52" xfId="6" applyNumberFormat="1" applyFont="1" applyFill="1" applyBorder="1" applyAlignment="1">
      <alignment vertical="center"/>
    </xf>
    <xf numFmtId="184" fontId="16" fillId="2" borderId="37" xfId="6" applyNumberFormat="1" applyFont="1" applyFill="1" applyBorder="1" applyAlignment="1">
      <alignment horizontal="right" vertical="center"/>
    </xf>
    <xf numFmtId="184" fontId="16" fillId="2" borderId="3" xfId="6" applyNumberFormat="1" applyFont="1" applyFill="1" applyBorder="1" applyAlignment="1">
      <alignment horizontal="right" vertical="center"/>
    </xf>
    <xf numFmtId="184" fontId="16" fillId="2" borderId="26" xfId="6" applyNumberFormat="1" applyFont="1" applyFill="1" applyBorder="1" applyAlignment="1">
      <alignment horizontal="right" vertical="center"/>
    </xf>
    <xf numFmtId="184" fontId="16" fillId="2" borderId="2" xfId="6" applyNumberFormat="1" applyFont="1" applyFill="1" applyBorder="1" applyAlignment="1">
      <alignment horizontal="right" vertical="center"/>
    </xf>
    <xf numFmtId="0" fontId="0" fillId="2" borderId="44" xfId="0" applyFont="1" applyFill="1" applyBorder="1" applyAlignment="1">
      <alignment vertical="center"/>
    </xf>
    <xf numFmtId="3" fontId="16" fillId="2" borderId="45" xfId="6" applyNumberFormat="1" applyFont="1" applyFill="1" applyBorder="1" applyAlignment="1">
      <alignment vertical="center"/>
    </xf>
    <xf numFmtId="177" fontId="18" fillId="2" borderId="60" xfId="0" applyNumberFormat="1" applyFont="1" applyFill="1" applyBorder="1" applyAlignment="1">
      <alignment vertical="center"/>
    </xf>
    <xf numFmtId="0" fontId="0" fillId="2" borderId="22" xfId="0" applyFont="1" applyFill="1" applyBorder="1" applyAlignment="1">
      <alignment vertical="center"/>
    </xf>
    <xf numFmtId="0" fontId="17" fillId="2" borderId="16" xfId="0" applyFont="1" applyFill="1" applyBorder="1" applyAlignment="1">
      <alignment vertical="center"/>
    </xf>
    <xf numFmtId="0" fontId="17" fillId="2" borderId="10" xfId="0" applyFont="1" applyFill="1" applyBorder="1" applyAlignment="1">
      <alignment vertical="center"/>
    </xf>
    <xf numFmtId="3" fontId="16" fillId="2" borderId="60" xfId="0" applyNumberFormat="1" applyFont="1" applyFill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0" fontId="45" fillId="2" borderId="10" xfId="0" applyFont="1" applyFill="1" applyBorder="1" applyAlignment="1">
      <alignment horizontal="left" vertical="center"/>
    </xf>
    <xf numFmtId="0" fontId="45" fillId="2" borderId="31" xfId="0" applyFont="1" applyFill="1" applyBorder="1" applyAlignment="1">
      <alignment horizontal="left" vertical="center"/>
    </xf>
    <xf numFmtId="184" fontId="47" fillId="2" borderId="26" xfId="6" applyNumberFormat="1" applyFont="1" applyFill="1" applyBorder="1" applyAlignment="1">
      <alignment horizontal="right" vertical="center"/>
    </xf>
    <xf numFmtId="177" fontId="16" fillId="2" borderId="59" xfId="0" applyNumberFormat="1" applyFont="1" applyFill="1" applyBorder="1" applyAlignment="1">
      <alignment vertical="center"/>
    </xf>
    <xf numFmtId="3" fontId="16" fillId="2" borderId="59" xfId="0" applyNumberFormat="1" applyFont="1" applyFill="1" applyBorder="1" applyAlignment="1">
      <alignment vertical="center"/>
    </xf>
    <xf numFmtId="177" fontId="16" fillId="2" borderId="60" xfId="0" applyNumberFormat="1" applyFont="1" applyFill="1" applyBorder="1" applyAlignment="1">
      <alignment vertical="center"/>
    </xf>
    <xf numFmtId="0" fontId="16" fillId="2" borderId="29" xfId="0" applyFont="1" applyFill="1" applyBorder="1" applyAlignment="1" applyProtection="1">
      <alignment vertical="center"/>
      <protection locked="0"/>
    </xf>
    <xf numFmtId="0" fontId="16" fillId="2" borderId="30" xfId="0" applyFont="1" applyFill="1" applyBorder="1" applyAlignment="1">
      <alignment horizontal="left" vertical="center" wrapText="1"/>
    </xf>
    <xf numFmtId="0" fontId="16" fillId="2" borderId="30" xfId="0" applyFont="1" applyFill="1" applyBorder="1" applyAlignment="1">
      <alignment vertical="center" wrapText="1"/>
    </xf>
    <xf numFmtId="3" fontId="16" fillId="2" borderId="30" xfId="0" applyNumberFormat="1" applyFont="1" applyFill="1" applyBorder="1" applyAlignment="1">
      <alignment vertical="center" wrapText="1"/>
    </xf>
    <xf numFmtId="178" fontId="16" fillId="2" borderId="58" xfId="0" applyNumberFormat="1" applyFont="1" applyFill="1" applyBorder="1" applyAlignment="1">
      <alignment vertical="center"/>
    </xf>
    <xf numFmtId="177" fontId="16" fillId="2" borderId="40" xfId="0" applyNumberFormat="1" applyFont="1" applyFill="1" applyBorder="1" applyAlignment="1">
      <alignment vertical="center"/>
    </xf>
    <xf numFmtId="178" fontId="18" fillId="2" borderId="39" xfId="0" applyNumberFormat="1" applyFont="1" applyFill="1" applyBorder="1" applyAlignment="1">
      <alignment vertical="center"/>
    </xf>
    <xf numFmtId="0" fontId="16" fillId="2" borderId="44" xfId="0" applyFont="1" applyFill="1" applyBorder="1" applyAlignment="1">
      <alignment horizontal="left" vertical="center" wrapText="1"/>
    </xf>
    <xf numFmtId="0" fontId="16" fillId="2" borderId="45" xfId="0" applyFont="1" applyFill="1" applyBorder="1" applyAlignment="1">
      <alignment horizontal="left" vertical="center" wrapText="1"/>
    </xf>
    <xf numFmtId="0" fontId="0" fillId="2" borderId="45" xfId="0" applyFont="1" applyFill="1" applyBorder="1" applyAlignment="1">
      <alignment vertical="center"/>
    </xf>
    <xf numFmtId="0" fontId="0" fillId="2" borderId="45" xfId="0" applyNumberFormat="1" applyFont="1" applyFill="1" applyBorder="1" applyAlignment="1">
      <alignment vertical="center"/>
    </xf>
    <xf numFmtId="178" fontId="16" fillId="2" borderId="45" xfId="0" applyNumberFormat="1" applyFont="1" applyFill="1" applyBorder="1" applyAlignment="1">
      <alignment horizontal="right" vertical="center"/>
    </xf>
    <xf numFmtId="0" fontId="16" fillId="2" borderId="45" xfId="0" applyNumberFormat="1" applyFont="1" applyFill="1" applyBorder="1" applyAlignment="1">
      <alignment vertical="center"/>
    </xf>
    <xf numFmtId="178" fontId="16" fillId="2" borderId="45" xfId="0" applyNumberFormat="1" applyFont="1" applyFill="1" applyBorder="1" applyAlignment="1">
      <alignment vertical="center"/>
    </xf>
    <xf numFmtId="0" fontId="16" fillId="2" borderId="45" xfId="0" quotePrefix="1" applyFont="1" applyFill="1" applyBorder="1" applyAlignment="1">
      <alignment vertical="center"/>
    </xf>
    <xf numFmtId="178" fontId="16" fillId="2" borderId="46" xfId="0" applyNumberFormat="1" applyFont="1" applyFill="1" applyBorder="1" applyAlignment="1">
      <alignment vertical="center"/>
    </xf>
    <xf numFmtId="3" fontId="18" fillId="2" borderId="29" xfId="6" applyNumberFormat="1" applyFont="1" applyFill="1" applyBorder="1" applyAlignment="1">
      <alignment horizontal="left" vertical="center"/>
    </xf>
    <xf numFmtId="41" fontId="18" fillId="2" borderId="30" xfId="2" applyFont="1" applyFill="1" applyBorder="1" applyAlignment="1">
      <alignment horizontal="left" vertical="center"/>
    </xf>
    <xf numFmtId="3" fontId="18" fillId="2" borderId="30" xfId="6" applyNumberFormat="1" applyFont="1" applyFill="1" applyBorder="1" applyAlignment="1">
      <alignment horizontal="center" vertical="center"/>
    </xf>
    <xf numFmtId="177" fontId="18" fillId="2" borderId="15" xfId="2" applyNumberFormat="1" applyFont="1" applyFill="1" applyBorder="1" applyAlignment="1">
      <alignment horizontal="right" vertical="center"/>
    </xf>
    <xf numFmtId="3" fontId="16" fillId="2" borderId="9" xfId="0" applyNumberFormat="1" applyFont="1" applyFill="1" applyBorder="1" applyAlignment="1">
      <alignment horizontal="left" vertical="center"/>
    </xf>
    <xf numFmtId="41" fontId="16" fillId="2" borderId="0" xfId="2" applyNumberFormat="1" applyFont="1" applyFill="1" applyBorder="1" applyAlignment="1">
      <alignment horizontal="left" vertical="center"/>
    </xf>
    <xf numFmtId="3" fontId="16" fillId="2" borderId="13" xfId="0" applyNumberFormat="1" applyFont="1" applyFill="1" applyBorder="1" applyAlignment="1">
      <alignment horizontal="left" vertical="center"/>
    </xf>
    <xf numFmtId="3" fontId="16" fillId="2" borderId="29" xfId="0" applyNumberFormat="1" applyFont="1" applyFill="1" applyBorder="1" applyAlignment="1">
      <alignment horizontal="left" vertical="center"/>
    </xf>
    <xf numFmtId="182" fontId="16" fillId="2" borderId="30" xfId="0" applyNumberFormat="1" applyFont="1" applyFill="1" applyBorder="1" applyAlignment="1">
      <alignment vertical="center"/>
    </xf>
    <xf numFmtId="3" fontId="16" fillId="2" borderId="10" xfId="0" applyNumberFormat="1" applyFont="1" applyFill="1" applyBorder="1" applyAlignment="1">
      <alignment horizontal="left" vertical="center" shrinkToFit="1"/>
    </xf>
    <xf numFmtId="9" fontId="16" fillId="2" borderId="0" xfId="0" applyNumberFormat="1" applyFont="1" applyFill="1" applyBorder="1" applyAlignment="1">
      <alignment vertical="center"/>
    </xf>
    <xf numFmtId="3" fontId="16" fillId="2" borderId="14" xfId="0" applyNumberFormat="1" applyFont="1" applyFill="1" applyBorder="1" applyAlignment="1">
      <alignment horizontal="left" vertical="center"/>
    </xf>
    <xf numFmtId="3" fontId="16" fillId="2" borderId="22" xfId="0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>
      <alignment vertical="center"/>
    </xf>
    <xf numFmtId="3" fontId="16" fillId="2" borderId="10" xfId="6" applyNumberFormat="1" applyFont="1" applyFill="1" applyBorder="1">
      <alignment vertical="center"/>
    </xf>
    <xf numFmtId="3" fontId="16" fillId="2" borderId="9" xfId="6" applyNumberFormat="1" applyFont="1" applyFill="1" applyBorder="1" applyAlignment="1">
      <alignment vertical="center" shrinkToFit="1"/>
    </xf>
    <xf numFmtId="41" fontId="16" fillId="2" borderId="30" xfId="2" applyFont="1" applyFill="1" applyBorder="1" applyAlignment="1">
      <alignment horizontal="left" vertical="center" shrinkToFit="1"/>
    </xf>
    <xf numFmtId="3" fontId="16" fillId="2" borderId="24" xfId="0" applyNumberFormat="1" applyFont="1" applyFill="1" applyBorder="1" applyAlignment="1">
      <alignment horizontal="left" vertical="center"/>
    </xf>
    <xf numFmtId="177" fontId="16" fillId="2" borderId="3" xfId="2" applyNumberFormat="1" applyFont="1" applyFill="1" applyBorder="1" applyAlignment="1">
      <alignment horizontal="right" vertical="center"/>
    </xf>
    <xf numFmtId="41" fontId="16" fillId="2" borderId="6" xfId="2" applyFont="1" applyFill="1" applyBorder="1" applyAlignment="1">
      <alignment vertical="center" shrinkToFit="1"/>
    </xf>
    <xf numFmtId="41" fontId="16" fillId="2" borderId="6" xfId="2" applyFont="1" applyFill="1" applyBorder="1" applyAlignment="1">
      <alignment horizontal="left" vertical="center" shrinkToFit="1"/>
    </xf>
    <xf numFmtId="41" fontId="16" fillId="2" borderId="7" xfId="2" applyFont="1" applyFill="1" applyBorder="1" applyAlignment="1">
      <alignment horizontal="left" vertical="center" shrinkToFit="1"/>
    </xf>
    <xf numFmtId="3" fontId="16" fillId="2" borderId="25" xfId="0" applyNumberFormat="1" applyFont="1" applyFill="1" applyBorder="1" applyAlignment="1">
      <alignment horizontal="left" vertical="center"/>
    </xf>
    <xf numFmtId="41" fontId="16" fillId="2" borderId="1" xfId="2" applyFont="1" applyFill="1" applyBorder="1" applyAlignment="1">
      <alignment horizontal="left" vertical="center" shrinkToFit="1"/>
    </xf>
    <xf numFmtId="177" fontId="16" fillId="2" borderId="5" xfId="2" applyNumberFormat="1" applyFont="1" applyFill="1" applyBorder="1" applyAlignment="1">
      <alignment horizontal="right" vertical="center"/>
    </xf>
    <xf numFmtId="3" fontId="47" fillId="2" borderId="10" xfId="0" applyNumberFormat="1" applyFont="1" applyFill="1" applyBorder="1" applyAlignment="1">
      <alignment horizontal="left" vertical="center"/>
    </xf>
    <xf numFmtId="177" fontId="16" fillId="2" borderId="36" xfId="0" applyNumberFormat="1" applyFont="1" applyFill="1" applyBorder="1" applyAlignment="1">
      <alignment horizontal="right" vertical="center"/>
    </xf>
    <xf numFmtId="177" fontId="16" fillId="2" borderId="56" xfId="0" applyNumberFormat="1" applyFont="1" applyFill="1" applyBorder="1" applyAlignment="1">
      <alignment horizontal="right" vertical="center"/>
    </xf>
    <xf numFmtId="41" fontId="16" fillId="2" borderId="26" xfId="2" applyFont="1" applyFill="1" applyBorder="1" applyAlignment="1">
      <alignment horizontal="left" vertical="center"/>
    </xf>
    <xf numFmtId="178" fontId="47" fillId="2" borderId="0" xfId="6" applyNumberFormat="1" applyFont="1" applyFill="1" applyBorder="1" applyAlignment="1">
      <alignment horizontal="right" vertical="center"/>
    </xf>
    <xf numFmtId="178" fontId="47" fillId="2" borderId="12" xfId="0" applyNumberFormat="1" applyFont="1" applyFill="1" applyBorder="1" applyAlignment="1">
      <alignment vertical="center"/>
    </xf>
    <xf numFmtId="0" fontId="47" fillId="2" borderId="10" xfId="5" applyFont="1" applyFill="1" applyBorder="1" applyAlignment="1" applyProtection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0" fontId="47" fillId="2" borderId="26" xfId="5" applyFont="1" applyFill="1" applyBorder="1" applyAlignment="1" applyProtection="1">
      <alignment horizontal="left" vertical="center"/>
    </xf>
    <xf numFmtId="0" fontId="47" fillId="2" borderId="0" xfId="5" applyFont="1" applyFill="1" applyBorder="1" applyAlignment="1" applyProtection="1">
      <alignment horizontal="left" vertical="center"/>
    </xf>
    <xf numFmtId="3" fontId="47" fillId="2" borderId="31" xfId="0" applyNumberFormat="1" applyFont="1" applyFill="1" applyBorder="1" applyAlignment="1">
      <alignment horizontal="left" vertical="center" shrinkToFit="1"/>
    </xf>
    <xf numFmtId="3" fontId="47" fillId="2" borderId="9" xfId="0" applyNumberFormat="1" applyFont="1" applyFill="1" applyBorder="1" applyAlignment="1">
      <alignment horizontal="left" vertical="center" shrinkToFit="1"/>
    </xf>
    <xf numFmtId="178" fontId="47" fillId="2" borderId="31" xfId="6" applyNumberFormat="1" applyFont="1" applyFill="1" applyBorder="1" applyAlignment="1">
      <alignment horizontal="right" vertical="center"/>
    </xf>
    <xf numFmtId="3" fontId="45" fillId="2" borderId="0" xfId="6" applyNumberFormat="1" applyFont="1" applyFill="1" applyBorder="1" applyAlignment="1">
      <alignment horizontal="left" vertical="center"/>
    </xf>
    <xf numFmtId="3" fontId="47" fillId="2" borderId="10" xfId="0" applyNumberFormat="1" applyFont="1" applyFill="1" applyBorder="1" applyAlignment="1">
      <alignment horizontal="left" vertical="center" shrinkToFit="1"/>
    </xf>
    <xf numFmtId="0" fontId="48" fillId="2" borderId="31" xfId="0" applyFont="1" applyFill="1" applyBorder="1" applyAlignment="1">
      <alignment vertical="center"/>
    </xf>
    <xf numFmtId="0" fontId="47" fillId="2" borderId="31" xfId="0" applyFont="1" applyFill="1" applyBorder="1" applyAlignment="1">
      <alignment horizontal="left" vertical="center" wrapText="1"/>
    </xf>
    <xf numFmtId="178" fontId="47" fillId="2" borderId="31" xfId="0" applyNumberFormat="1" applyFont="1" applyFill="1" applyBorder="1" applyAlignment="1">
      <alignment horizontal="right" vertical="center"/>
    </xf>
    <xf numFmtId="0" fontId="47" fillId="2" borderId="14" xfId="5" applyFont="1" applyFill="1" applyBorder="1" applyAlignment="1" applyProtection="1">
      <alignment horizontal="left" vertical="center"/>
    </xf>
    <xf numFmtId="178" fontId="47" fillId="2" borderId="30" xfId="6" applyNumberFormat="1" applyFont="1" applyFill="1" applyBorder="1" applyAlignment="1">
      <alignment horizontal="right" vertical="center"/>
    </xf>
    <xf numFmtId="0" fontId="47" fillId="2" borderId="30" xfId="6" applyNumberFormat="1" applyFont="1" applyFill="1" applyBorder="1" applyAlignment="1">
      <alignment horizontal="left" vertical="center"/>
    </xf>
    <xf numFmtId="177" fontId="47" fillId="2" borderId="15" xfId="2" applyNumberFormat="1" applyFont="1" applyFill="1" applyBorder="1" applyAlignment="1">
      <alignment horizontal="right" vertical="center"/>
    </xf>
    <xf numFmtId="178" fontId="47" fillId="2" borderId="0" xfId="2" applyNumberFormat="1" applyFont="1" applyFill="1" applyBorder="1" applyAlignment="1">
      <alignment horizontal="left" vertical="center"/>
    </xf>
    <xf numFmtId="0" fontId="47" fillId="2" borderId="0" xfId="6" applyNumberFormat="1" applyFont="1" applyFill="1" applyBorder="1" applyAlignment="1">
      <alignment horizontal="left" vertical="center"/>
    </xf>
    <xf numFmtId="178" fontId="47" fillId="2" borderId="26" xfId="0" applyNumberFormat="1" applyFont="1" applyFill="1" applyBorder="1" applyAlignment="1">
      <alignment horizontal="right" vertical="center"/>
    </xf>
    <xf numFmtId="0" fontId="48" fillId="2" borderId="10" xfId="0" applyFont="1" applyFill="1" applyBorder="1" applyAlignment="1">
      <alignment vertical="center"/>
    </xf>
    <xf numFmtId="177" fontId="47" fillId="2" borderId="31" xfId="0" applyNumberFormat="1" applyFont="1" applyFill="1" applyBorder="1" applyAlignment="1">
      <alignment vertical="center"/>
    </xf>
    <xf numFmtId="178" fontId="47" fillId="2" borderId="12" xfId="2" applyNumberFormat="1" applyFont="1" applyFill="1" applyBorder="1" applyAlignment="1">
      <alignment horizontal="right" vertical="center"/>
    </xf>
    <xf numFmtId="38" fontId="47" fillId="2" borderId="0" xfId="0" applyNumberFormat="1" applyFont="1" applyFill="1" applyBorder="1" applyAlignment="1">
      <alignment horizontal="right" vertical="center"/>
    </xf>
    <xf numFmtId="41" fontId="47" fillId="2" borderId="0" xfId="0" applyNumberFormat="1" applyFont="1" applyFill="1" applyBorder="1" applyAlignment="1">
      <alignment horizontal="right" vertical="center"/>
    </xf>
    <xf numFmtId="3" fontId="47" fillId="2" borderId="51" xfId="0" applyNumberFormat="1" applyFont="1" applyFill="1" applyBorder="1" applyAlignment="1">
      <alignment horizontal="center" vertical="center"/>
    </xf>
    <xf numFmtId="178" fontId="50" fillId="2" borderId="25" xfId="0" applyNumberFormat="1" applyFont="1" applyFill="1" applyBorder="1" applyAlignment="1">
      <alignment horizontal="right" vertical="center"/>
    </xf>
    <xf numFmtId="0" fontId="48" fillId="2" borderId="65" xfId="0" applyFont="1" applyFill="1" applyBorder="1" applyAlignment="1">
      <alignment vertical="center"/>
    </xf>
    <xf numFmtId="177" fontId="50" fillId="2" borderId="25" xfId="0" applyNumberFormat="1" applyFont="1" applyFill="1" applyBorder="1" applyAlignment="1">
      <alignment vertical="center"/>
    </xf>
    <xf numFmtId="177" fontId="50" fillId="2" borderId="40" xfId="0" applyNumberFormat="1" applyFont="1" applyFill="1" applyBorder="1" applyAlignment="1">
      <alignment vertical="center"/>
    </xf>
    <xf numFmtId="0" fontId="47" fillId="2" borderId="20" xfId="0" applyFont="1" applyFill="1" applyBorder="1" applyAlignment="1">
      <alignment vertical="center"/>
    </xf>
    <xf numFmtId="177" fontId="47" fillId="2" borderId="1" xfId="0" applyNumberFormat="1" applyFont="1" applyFill="1" applyBorder="1" applyAlignment="1">
      <alignment vertical="center"/>
    </xf>
    <xf numFmtId="0" fontId="47" fillId="2" borderId="1" xfId="0" applyNumberFormat="1" applyFont="1" applyFill="1" applyBorder="1" applyAlignment="1">
      <alignment vertical="center"/>
    </xf>
    <xf numFmtId="41" fontId="47" fillId="2" borderId="1" xfId="0" applyNumberFormat="1" applyFont="1" applyFill="1" applyBorder="1" applyAlignment="1">
      <alignment horizontal="right" vertical="center"/>
    </xf>
    <xf numFmtId="177" fontId="47" fillId="2" borderId="5" xfId="0" applyNumberFormat="1" applyFont="1" applyFill="1" applyBorder="1" applyAlignment="1">
      <alignment vertical="center"/>
    </xf>
    <xf numFmtId="0" fontId="48" fillId="2" borderId="8" xfId="0" applyFont="1" applyFill="1" applyBorder="1" applyAlignment="1">
      <alignment vertical="center"/>
    </xf>
    <xf numFmtId="0" fontId="47" fillId="2" borderId="26" xfId="0" applyFont="1" applyFill="1" applyBorder="1" applyAlignment="1">
      <alignment horizontal="left" vertical="center" wrapText="1"/>
    </xf>
    <xf numFmtId="177" fontId="47" fillId="2" borderId="14" xfId="0" applyNumberFormat="1" applyFont="1" applyFill="1" applyBorder="1" applyAlignment="1">
      <alignment horizontal="right" vertical="center"/>
    </xf>
    <xf numFmtId="177" fontId="47" fillId="2" borderId="36" xfId="0" applyNumberFormat="1" applyFont="1" applyFill="1" applyBorder="1" applyAlignment="1">
      <alignment horizontal="right" vertical="center"/>
    </xf>
    <xf numFmtId="0" fontId="47" fillId="2" borderId="7" xfId="0" applyNumberFormat="1" applyFont="1" applyFill="1" applyBorder="1" applyAlignment="1">
      <alignment horizontal="left" vertical="center"/>
    </xf>
    <xf numFmtId="41" fontId="47" fillId="2" borderId="7" xfId="0" applyNumberFormat="1" applyFont="1" applyFill="1" applyBorder="1" applyAlignment="1">
      <alignment horizontal="right" vertical="center"/>
    </xf>
    <xf numFmtId="0" fontId="47" fillId="2" borderId="7" xfId="0" applyNumberFormat="1" applyFont="1" applyFill="1" applyBorder="1" applyAlignment="1">
      <alignment vertical="center"/>
    </xf>
    <xf numFmtId="177" fontId="47" fillId="2" borderId="56" xfId="0" applyNumberFormat="1" applyFont="1" applyFill="1" applyBorder="1" applyAlignment="1">
      <alignment horizontal="right" vertical="center"/>
    </xf>
    <xf numFmtId="0" fontId="47" fillId="2" borderId="30" xfId="0" applyNumberFormat="1" applyFont="1" applyFill="1" applyBorder="1" applyAlignment="1">
      <alignment horizontal="left" vertical="center"/>
    </xf>
    <xf numFmtId="41" fontId="47" fillId="2" borderId="30" xfId="0" applyNumberFormat="1" applyFont="1" applyFill="1" applyBorder="1" applyAlignment="1">
      <alignment horizontal="right" vertical="center"/>
    </xf>
    <xf numFmtId="0" fontId="47" fillId="2" borderId="30" xfId="0" applyNumberFormat="1" applyFont="1" applyFill="1" applyBorder="1" applyAlignment="1">
      <alignment vertical="center"/>
    </xf>
    <xf numFmtId="0" fontId="48" fillId="2" borderId="9" xfId="0" applyFont="1" applyFill="1" applyBorder="1" applyAlignment="1">
      <alignment vertical="center"/>
    </xf>
    <xf numFmtId="3" fontId="47" fillId="2" borderId="16" xfId="0" applyNumberFormat="1" applyFont="1" applyFill="1" applyBorder="1" applyAlignment="1">
      <alignment horizontal="left" vertical="center"/>
    </xf>
    <xf numFmtId="41" fontId="47" fillId="2" borderId="0" xfId="2" applyNumberFormat="1" applyFont="1" applyFill="1" applyBorder="1" applyAlignment="1">
      <alignment horizontal="left" vertical="center"/>
    </xf>
    <xf numFmtId="181" fontId="47" fillId="2" borderId="10" xfId="2" applyNumberFormat="1" applyFont="1" applyFill="1" applyBorder="1" applyAlignment="1">
      <alignment vertical="center"/>
    </xf>
    <xf numFmtId="41" fontId="47" fillId="2" borderId="0" xfId="2" applyFont="1" applyFill="1" applyBorder="1" applyAlignment="1">
      <alignment horizontal="left" vertical="center"/>
    </xf>
    <xf numFmtId="181" fontId="56" fillId="2" borderId="10" xfId="2" applyNumberFormat="1" applyFont="1" applyFill="1" applyBorder="1" applyAlignment="1">
      <alignment vertical="center"/>
    </xf>
    <xf numFmtId="193" fontId="47" fillId="2" borderId="30" xfId="2" applyNumberFormat="1" applyFont="1" applyFill="1" applyBorder="1" applyAlignment="1">
      <alignment vertical="center"/>
    </xf>
    <xf numFmtId="0" fontId="47" fillId="2" borderId="9" xfId="0" applyFont="1" applyFill="1" applyBorder="1" applyAlignment="1">
      <alignment vertical="center" shrinkToFit="1"/>
    </xf>
    <xf numFmtId="0" fontId="47" fillId="2" borderId="0" xfId="0" applyNumberFormat="1" applyFont="1" applyFill="1" applyBorder="1" applyAlignment="1">
      <alignment horizontal="left" vertical="center"/>
    </xf>
    <xf numFmtId="0" fontId="47" fillId="2" borderId="0" xfId="0" quotePrefix="1" applyFont="1" applyFill="1" applyBorder="1" applyAlignment="1">
      <alignment vertical="center"/>
    </xf>
    <xf numFmtId="3" fontId="47" fillId="2" borderId="22" xfId="0" applyNumberFormat="1" applyFont="1" applyFill="1" applyBorder="1" applyAlignment="1">
      <alignment horizontal="left" vertical="center"/>
    </xf>
    <xf numFmtId="3" fontId="47" fillId="2" borderId="7" xfId="0" applyNumberFormat="1" applyFont="1" applyFill="1" applyBorder="1" applyAlignment="1">
      <alignment horizontal="right" vertical="center"/>
    </xf>
    <xf numFmtId="41" fontId="47" fillId="2" borderId="7" xfId="2" applyNumberFormat="1" applyFont="1" applyFill="1" applyBorder="1" applyAlignment="1">
      <alignment vertical="center"/>
    </xf>
    <xf numFmtId="177" fontId="47" fillId="2" borderId="4" xfId="2" applyNumberFormat="1" applyFont="1" applyFill="1" applyBorder="1" applyAlignment="1">
      <alignment horizontal="right" vertical="center"/>
    </xf>
    <xf numFmtId="0" fontId="47" fillId="2" borderId="30" xfId="0" applyNumberFormat="1" applyFont="1" applyFill="1" applyBorder="1" applyAlignment="1">
      <alignment horizontal="center" vertical="center"/>
    </xf>
    <xf numFmtId="0" fontId="47" fillId="2" borderId="24" xfId="0" applyFont="1" applyFill="1" applyBorder="1" applyAlignment="1">
      <alignment vertical="center"/>
    </xf>
    <xf numFmtId="0" fontId="47" fillId="2" borderId="6" xfId="0" applyNumberFormat="1" applyFont="1" applyFill="1" applyBorder="1" applyAlignment="1">
      <alignment vertical="center"/>
    </xf>
    <xf numFmtId="41" fontId="47" fillId="2" borderId="6" xfId="0" applyNumberFormat="1" applyFont="1" applyFill="1" applyBorder="1" applyAlignment="1">
      <alignment horizontal="right" vertical="center"/>
    </xf>
    <xf numFmtId="41" fontId="47" fillId="2" borderId="0" xfId="2" applyNumberFormat="1" applyFont="1" applyFill="1" applyBorder="1" applyAlignment="1">
      <alignment vertical="center"/>
    </xf>
    <xf numFmtId="0" fontId="47" fillId="2" borderId="30" xfId="6" applyNumberFormat="1" applyFont="1" applyFill="1" applyBorder="1" applyAlignment="1">
      <alignment vertical="center"/>
    </xf>
    <xf numFmtId="41" fontId="47" fillId="2" borderId="30" xfId="2" applyNumberFormat="1" applyFont="1" applyFill="1" applyBorder="1" applyAlignment="1">
      <alignment horizontal="right" vertical="center"/>
    </xf>
    <xf numFmtId="178" fontId="47" fillId="2" borderId="30" xfId="2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41" fontId="47" fillId="2" borderId="0" xfId="2" applyFont="1" applyFill="1" applyBorder="1" applyAlignment="1">
      <alignment horizontal="left" vertical="center" shrinkToFit="1"/>
    </xf>
    <xf numFmtId="0" fontId="47" fillId="2" borderId="7" xfId="6" applyNumberFormat="1" applyFont="1" applyFill="1" applyBorder="1" applyAlignment="1">
      <alignment vertical="center"/>
    </xf>
    <xf numFmtId="0" fontId="47" fillId="2" borderId="7" xfId="0" quotePrefix="1" applyFont="1" applyFill="1" applyBorder="1" applyAlignment="1">
      <alignment vertical="center"/>
    </xf>
    <xf numFmtId="177" fontId="47" fillId="2" borderId="0" xfId="0" applyNumberFormat="1" applyFont="1" applyFill="1" applyBorder="1" applyAlignment="1">
      <alignment horizontal="right" vertical="center" wrapText="1"/>
    </xf>
    <xf numFmtId="41" fontId="47" fillId="2" borderId="7" xfId="6" applyNumberFormat="1" applyFont="1" applyFill="1" applyBorder="1" applyAlignment="1">
      <alignment vertical="center"/>
    </xf>
    <xf numFmtId="176" fontId="47" fillId="2" borderId="7" xfId="6" applyNumberFormat="1" applyFont="1" applyFill="1" applyBorder="1" applyAlignment="1">
      <alignment vertical="center"/>
    </xf>
    <xf numFmtId="0" fontId="47" fillId="2" borderId="6" xfId="0" applyFont="1" applyFill="1" applyBorder="1" applyAlignment="1">
      <alignment horizontal="left" vertical="center"/>
    </xf>
    <xf numFmtId="0" fontId="48" fillId="2" borderId="0" xfId="0" applyNumberFormat="1" applyFont="1" applyFill="1" applyBorder="1" applyAlignment="1">
      <alignment horizontal="right" vertical="center"/>
    </xf>
    <xf numFmtId="177" fontId="47" fillId="2" borderId="0" xfId="0" applyNumberFormat="1" applyFont="1" applyFill="1" applyBorder="1" applyAlignment="1">
      <alignment vertical="center" shrinkToFit="1"/>
    </xf>
    <xf numFmtId="0" fontId="48" fillId="2" borderId="1" xfId="0" applyNumberFormat="1" applyFont="1" applyFill="1" applyBorder="1" applyAlignment="1">
      <alignment vertical="center"/>
    </xf>
    <xf numFmtId="0" fontId="47" fillId="2" borderId="1" xfId="0" quotePrefix="1" applyFont="1" applyFill="1" applyBorder="1" applyAlignment="1">
      <alignment vertical="center"/>
    </xf>
    <xf numFmtId="177" fontId="47" fillId="2" borderId="39" xfId="0" applyNumberFormat="1" applyFont="1" applyFill="1" applyBorder="1" applyAlignment="1">
      <alignment horizontal="right" vertical="center"/>
    </xf>
    <xf numFmtId="177" fontId="47" fillId="2" borderId="62" xfId="0" applyNumberFormat="1" applyFont="1" applyFill="1" applyBorder="1" applyAlignment="1">
      <alignment horizontal="right" vertical="center"/>
    </xf>
    <xf numFmtId="0" fontId="47" fillId="2" borderId="22" xfId="2" applyNumberFormat="1" applyFont="1" applyFill="1" applyBorder="1" applyAlignment="1">
      <alignment vertical="center"/>
    </xf>
    <xf numFmtId="185" fontId="48" fillId="2" borderId="7" xfId="2" applyNumberFormat="1" applyFont="1" applyFill="1" applyBorder="1" applyAlignment="1">
      <alignment vertical="center"/>
    </xf>
    <xf numFmtId="0" fontId="47" fillId="2" borderId="7" xfId="2" applyNumberFormat="1" applyFont="1" applyFill="1" applyBorder="1" applyAlignment="1">
      <alignment vertical="center"/>
    </xf>
    <xf numFmtId="0" fontId="47" fillId="2" borderId="6" xfId="0" applyFont="1" applyFill="1" applyBorder="1" applyAlignment="1">
      <alignment horizontal="right" vertical="center"/>
    </xf>
    <xf numFmtId="178" fontId="47" fillId="2" borderId="0" xfId="2" applyNumberFormat="1" applyFont="1" applyFill="1" applyBorder="1" applyAlignment="1">
      <alignment vertical="center"/>
    </xf>
    <xf numFmtId="185" fontId="47" fillId="2" borderId="0" xfId="0" applyNumberFormat="1" applyFont="1" applyFill="1" applyBorder="1" applyAlignment="1">
      <alignment vertical="center"/>
    </xf>
    <xf numFmtId="185" fontId="47" fillId="2" borderId="7" xfId="0" applyNumberFormat="1" applyFont="1" applyFill="1" applyBorder="1" applyAlignment="1">
      <alignment vertical="center"/>
    </xf>
    <xf numFmtId="0" fontId="48" fillId="2" borderId="30" xfId="0" applyNumberFormat="1" applyFont="1" applyFill="1" applyBorder="1" applyAlignment="1">
      <alignment vertical="center"/>
    </xf>
    <xf numFmtId="0" fontId="47" fillId="2" borderId="13" xfId="0" applyFont="1" applyFill="1" applyBorder="1" applyAlignment="1">
      <alignment vertical="center" wrapText="1"/>
    </xf>
    <xf numFmtId="41" fontId="47" fillId="2" borderId="30" xfId="2" applyFont="1" applyFill="1" applyBorder="1" applyAlignment="1">
      <alignment horizontal="right" vertical="center" wrapText="1"/>
    </xf>
    <xf numFmtId="41" fontId="47" fillId="2" borderId="26" xfId="2" applyFont="1" applyFill="1" applyBorder="1" applyAlignment="1">
      <alignment horizontal="left" vertical="center"/>
    </xf>
    <xf numFmtId="41" fontId="47" fillId="2" borderId="10" xfId="2" applyFont="1" applyFill="1" applyBorder="1" applyAlignment="1">
      <alignment vertical="center"/>
    </xf>
    <xf numFmtId="41" fontId="47" fillId="2" borderId="35" xfId="2" applyFont="1" applyFill="1" applyBorder="1" applyAlignment="1">
      <alignment vertical="center"/>
    </xf>
    <xf numFmtId="185" fontId="48" fillId="2" borderId="0" xfId="2" applyNumberFormat="1" applyFont="1" applyFill="1" applyBorder="1" applyAlignment="1">
      <alignment vertical="center"/>
    </xf>
    <xf numFmtId="178" fontId="47" fillId="2" borderId="13" xfId="0" applyNumberFormat="1" applyFont="1" applyFill="1" applyBorder="1" applyAlignment="1">
      <alignment horizontal="right" vertical="center"/>
    </xf>
    <xf numFmtId="178" fontId="47" fillId="2" borderId="15" xfId="6" applyNumberFormat="1" applyFont="1" applyFill="1" applyBorder="1" applyAlignment="1">
      <alignment horizontal="left" vertical="center"/>
    </xf>
    <xf numFmtId="178" fontId="47" fillId="2" borderId="0" xfId="6" applyNumberFormat="1" applyFont="1" applyFill="1" applyBorder="1" applyAlignment="1">
      <alignment horizontal="left" vertical="center"/>
    </xf>
    <xf numFmtId="3" fontId="47" fillId="2" borderId="26" xfId="6" applyNumberFormat="1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left" vertical="center" wrapText="1"/>
    </xf>
    <xf numFmtId="178" fontId="47" fillId="2" borderId="15" xfId="2" applyNumberFormat="1" applyFont="1" applyFill="1" applyBorder="1" applyAlignment="1">
      <alignment horizontal="right" vertical="center"/>
    </xf>
    <xf numFmtId="0" fontId="47" fillId="2" borderId="7" xfId="6" applyNumberFormat="1" applyFont="1" applyFill="1" applyBorder="1" applyAlignment="1">
      <alignment horizontal="left" vertical="center"/>
    </xf>
    <xf numFmtId="178" fontId="47" fillId="2" borderId="7" xfId="6" applyNumberFormat="1" applyFont="1" applyFill="1" applyBorder="1" applyAlignment="1">
      <alignment horizontal="right" vertical="center"/>
    </xf>
    <xf numFmtId="178" fontId="47" fillId="2" borderId="12" xfId="2" applyNumberFormat="1" applyFont="1" applyFill="1" applyBorder="1" applyAlignment="1">
      <alignment horizontal="left" vertical="center"/>
    </xf>
    <xf numFmtId="0" fontId="47" fillId="2" borderId="6" xfId="6" applyNumberFormat="1" applyFont="1" applyFill="1" applyBorder="1" applyAlignment="1">
      <alignment horizontal="left" vertical="center"/>
    </xf>
    <xf numFmtId="178" fontId="47" fillId="2" borderId="6" xfId="6" applyNumberFormat="1" applyFont="1" applyFill="1" applyBorder="1" applyAlignment="1">
      <alignment horizontal="right" vertical="center"/>
    </xf>
    <xf numFmtId="178" fontId="47" fillId="2" borderId="1" xfId="6" applyNumberFormat="1" applyFont="1" applyFill="1" applyBorder="1" applyAlignment="1">
      <alignment horizontal="right" vertical="center"/>
    </xf>
    <xf numFmtId="0" fontId="47" fillId="2" borderId="1" xfId="6" applyNumberFormat="1" applyFont="1" applyFill="1" applyBorder="1" applyAlignment="1">
      <alignment horizontal="left" vertical="center"/>
    </xf>
    <xf numFmtId="177" fontId="47" fillId="2" borderId="5" xfId="2" applyNumberFormat="1" applyFont="1" applyFill="1" applyBorder="1" applyAlignment="1">
      <alignment vertical="center"/>
    </xf>
    <xf numFmtId="0" fontId="50" fillId="2" borderId="54" xfId="0" applyFont="1" applyFill="1" applyBorder="1" applyAlignment="1">
      <alignment horizontal="left" vertical="center"/>
    </xf>
    <xf numFmtId="0" fontId="48" fillId="2" borderId="49" xfId="0" applyFont="1" applyFill="1" applyBorder="1" applyAlignment="1">
      <alignment vertical="center"/>
    </xf>
    <xf numFmtId="0" fontId="47" fillId="2" borderId="20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178" fontId="47" fillId="2" borderId="5" xfId="0" applyNumberFormat="1" applyFont="1" applyFill="1" applyBorder="1" applyAlignment="1">
      <alignment vertical="center"/>
    </xf>
    <xf numFmtId="0" fontId="47" fillId="2" borderId="38" xfId="0" applyFont="1" applyFill="1" applyBorder="1" applyAlignment="1">
      <alignment horizontal="left" vertical="center"/>
    </xf>
    <xf numFmtId="177" fontId="47" fillId="2" borderId="14" xfId="2" applyNumberFormat="1" applyFont="1" applyFill="1" applyBorder="1" applyAlignment="1">
      <alignment vertical="center"/>
    </xf>
    <xf numFmtId="41" fontId="47" fillId="2" borderId="0" xfId="2" applyFont="1" applyFill="1" applyBorder="1"/>
    <xf numFmtId="3" fontId="47" fillId="2" borderId="9" xfId="0" applyNumberFormat="1" applyFont="1" applyFill="1" applyBorder="1" applyAlignment="1">
      <alignment horizontal="left" vertical="center"/>
    </xf>
    <xf numFmtId="3" fontId="47" fillId="2" borderId="2" xfId="2" applyNumberFormat="1" applyFont="1" applyFill="1" applyBorder="1" applyAlignment="1">
      <alignment horizontal="right" vertical="center"/>
    </xf>
    <xf numFmtId="3" fontId="47" fillId="2" borderId="13" xfId="0" applyNumberFormat="1" applyFont="1" applyFill="1" applyBorder="1" applyAlignment="1">
      <alignment horizontal="left" vertical="center"/>
    </xf>
    <xf numFmtId="182" fontId="47" fillId="2" borderId="30" xfId="0" applyNumberFormat="1" applyFont="1" applyFill="1" applyBorder="1" applyAlignment="1">
      <alignment vertical="center"/>
    </xf>
    <xf numFmtId="3" fontId="47" fillId="2" borderId="15" xfId="2" applyNumberFormat="1" applyFont="1" applyFill="1" applyBorder="1" applyAlignment="1">
      <alignment horizontal="right" vertical="center"/>
    </xf>
    <xf numFmtId="3" fontId="47" fillId="2" borderId="29" xfId="0" applyNumberFormat="1" applyFont="1" applyFill="1" applyBorder="1" applyAlignment="1">
      <alignment horizontal="left" vertical="center"/>
    </xf>
    <xf numFmtId="3" fontId="47" fillId="2" borderId="24" xfId="0" applyNumberFormat="1" applyFont="1" applyFill="1" applyBorder="1" applyAlignment="1">
      <alignment horizontal="left" vertical="center"/>
    </xf>
    <xf numFmtId="3" fontId="47" fillId="2" borderId="6" xfId="0" applyNumberFormat="1" applyFont="1" applyFill="1" applyBorder="1" applyAlignment="1">
      <alignment horizontal="right" vertical="center"/>
    </xf>
    <xf numFmtId="41" fontId="47" fillId="2" borderId="6" xfId="2" applyFont="1" applyFill="1" applyBorder="1" applyAlignment="1">
      <alignment horizontal="left" vertical="center" shrinkToFit="1"/>
    </xf>
    <xf numFmtId="3" fontId="47" fillId="2" borderId="3" xfId="2" applyNumberFormat="1" applyFont="1" applyFill="1" applyBorder="1" applyAlignment="1">
      <alignment horizontal="right" vertical="center"/>
    </xf>
    <xf numFmtId="3" fontId="47" fillId="2" borderId="14" xfId="0" applyNumberFormat="1" applyFont="1" applyFill="1" applyBorder="1" applyAlignment="1">
      <alignment horizontal="left" vertical="center"/>
    </xf>
    <xf numFmtId="41" fontId="47" fillId="2" borderId="7" xfId="2" applyFont="1" applyFill="1" applyBorder="1" applyAlignment="1">
      <alignment horizontal="left" vertical="center" shrinkToFit="1"/>
    </xf>
    <xf numFmtId="41" fontId="47" fillId="2" borderId="6" xfId="2" applyFont="1" applyFill="1" applyBorder="1" applyAlignment="1">
      <alignment horizontal="left" vertical="center"/>
    </xf>
    <xf numFmtId="41" fontId="47" fillId="2" borderId="30" xfId="2" applyFont="1" applyFill="1" applyBorder="1" applyAlignment="1">
      <alignment horizontal="left" vertical="center" shrinkToFit="1"/>
    </xf>
    <xf numFmtId="41" fontId="47" fillId="2" borderId="6" xfId="2" applyFont="1" applyFill="1" applyBorder="1" applyAlignment="1">
      <alignment vertical="center" shrinkToFit="1"/>
    </xf>
    <xf numFmtId="3" fontId="47" fillId="2" borderId="4" xfId="2" applyNumberFormat="1" applyFont="1" applyFill="1" applyBorder="1" applyAlignment="1">
      <alignment horizontal="right" vertical="center"/>
    </xf>
    <xf numFmtId="3" fontId="47" fillId="2" borderId="25" xfId="0" applyNumberFormat="1" applyFont="1" applyFill="1" applyBorder="1" applyAlignment="1">
      <alignment horizontal="left" vertical="center"/>
    </xf>
    <xf numFmtId="177" fontId="47" fillId="2" borderId="40" xfId="2" applyNumberFormat="1" applyFont="1" applyFill="1" applyBorder="1" applyAlignment="1">
      <alignment vertical="center"/>
    </xf>
    <xf numFmtId="3" fontId="47" fillId="2" borderId="66" xfId="6" applyNumberFormat="1" applyFont="1" applyFill="1" applyBorder="1" applyAlignment="1">
      <alignment vertical="center"/>
    </xf>
    <xf numFmtId="3" fontId="47" fillId="2" borderId="67" xfId="6" applyNumberFormat="1" applyFont="1" applyFill="1" applyBorder="1" applyAlignment="1">
      <alignment vertical="center"/>
    </xf>
    <xf numFmtId="3" fontId="47" fillId="2" borderId="67" xfId="2" applyNumberFormat="1" applyFont="1" applyFill="1" applyBorder="1" applyAlignment="1">
      <alignment vertical="center"/>
    </xf>
    <xf numFmtId="3" fontId="47" fillId="2" borderId="67" xfId="6" applyNumberFormat="1" applyFont="1" applyFill="1" applyBorder="1" applyAlignment="1">
      <alignment horizontal="right" vertical="center"/>
    </xf>
    <xf numFmtId="3" fontId="47" fillId="2" borderId="68" xfId="2" applyNumberFormat="1" applyFont="1" applyFill="1" applyBorder="1" applyAlignment="1">
      <alignment horizontal="right" vertical="center"/>
    </xf>
    <xf numFmtId="41" fontId="48" fillId="2" borderId="10" xfId="2" applyFont="1" applyFill="1" applyBorder="1" applyAlignment="1">
      <alignment vertical="center"/>
    </xf>
    <xf numFmtId="41" fontId="48" fillId="2" borderId="35" xfId="2" applyFont="1" applyFill="1" applyBorder="1" applyAlignment="1">
      <alignment vertical="center"/>
    </xf>
    <xf numFmtId="3" fontId="47" fillId="2" borderId="3" xfId="0" applyNumberFormat="1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48" fillId="2" borderId="10" xfId="0" applyFont="1" applyFill="1" applyBorder="1"/>
    <xf numFmtId="3" fontId="47" fillId="2" borderId="0" xfId="0" quotePrefix="1" applyNumberFormat="1" applyFont="1" applyFill="1" applyBorder="1" applyAlignment="1">
      <alignment horizontal="center" vertical="center"/>
    </xf>
    <xf numFmtId="177" fontId="16" fillId="2" borderId="7" xfId="0" applyNumberFormat="1" applyFont="1" applyFill="1" applyBorder="1" applyAlignment="1">
      <alignment horizontal="center" vertical="center"/>
    </xf>
    <xf numFmtId="3" fontId="16" fillId="2" borderId="4" xfId="0" applyNumberFormat="1" applyFont="1" applyFill="1" applyBorder="1" applyAlignment="1">
      <alignment vertical="center"/>
    </xf>
    <xf numFmtId="49" fontId="60" fillId="2" borderId="7" xfId="6" applyNumberFormat="1" applyFont="1" applyFill="1" applyBorder="1" applyAlignment="1">
      <alignment horizontal="left" vertical="center"/>
    </xf>
    <xf numFmtId="3" fontId="48" fillId="2" borderId="7" xfId="6" applyNumberFormat="1" applyFont="1" applyFill="1" applyBorder="1" applyAlignment="1">
      <alignment horizontal="center" vertical="center"/>
    </xf>
    <xf numFmtId="49" fontId="60" fillId="2" borderId="7" xfId="0" applyNumberFormat="1" applyFont="1" applyFill="1" applyBorder="1" applyAlignment="1">
      <alignment vertical="center"/>
    </xf>
    <xf numFmtId="177" fontId="47" fillId="2" borderId="34" xfId="6" applyNumberFormat="1" applyFont="1" applyFill="1" applyBorder="1" applyAlignment="1">
      <alignment vertical="center"/>
    </xf>
    <xf numFmtId="41" fontId="48" fillId="2" borderId="12" xfId="2" applyFont="1" applyFill="1" applyBorder="1" applyAlignment="1">
      <alignment vertical="center"/>
    </xf>
    <xf numFmtId="177" fontId="47" fillId="2" borderId="15" xfId="0" applyNumberFormat="1" applyFont="1" applyFill="1" applyBorder="1" applyAlignment="1">
      <alignment vertical="center" shrinkToFit="1"/>
    </xf>
    <xf numFmtId="10" fontId="47" fillId="2" borderId="0" xfId="0" applyNumberFormat="1" applyFont="1" applyFill="1" applyBorder="1" applyAlignment="1">
      <alignment vertical="center" wrapText="1"/>
    </xf>
    <xf numFmtId="177" fontId="47" fillId="2" borderId="31" xfId="0" applyNumberFormat="1" applyFont="1" applyFill="1" applyBorder="1" applyAlignment="1">
      <alignment vertical="center" shrinkToFit="1"/>
    </xf>
    <xf numFmtId="0" fontId="47" fillId="2" borderId="0" xfId="0" applyNumberFormat="1" applyFont="1" applyFill="1" applyBorder="1" applyAlignment="1">
      <alignment vertical="center" wrapText="1"/>
    </xf>
    <xf numFmtId="176" fontId="47" fillId="2" borderId="0" xfId="0" applyNumberFormat="1" applyFont="1" applyFill="1" applyBorder="1" applyAlignment="1">
      <alignment vertical="center" wrapText="1"/>
    </xf>
    <xf numFmtId="3" fontId="47" fillId="2" borderId="10" xfId="0" applyNumberFormat="1" applyFont="1" applyFill="1" applyBorder="1" applyAlignment="1">
      <alignment vertical="center" wrapText="1"/>
    </xf>
    <xf numFmtId="178" fontId="47" fillId="2" borderId="113" xfId="0" applyNumberFormat="1" applyFont="1" applyFill="1" applyBorder="1" applyAlignment="1">
      <alignment horizontal="right" vertical="center"/>
    </xf>
    <xf numFmtId="178" fontId="47" fillId="2" borderId="114" xfId="0" applyNumberFormat="1" applyFont="1" applyFill="1" applyBorder="1" applyAlignment="1">
      <alignment horizontal="right" vertical="center"/>
    </xf>
    <xf numFmtId="178" fontId="47" fillId="2" borderId="116" xfId="2" applyNumberFormat="1" applyFont="1" applyFill="1" applyBorder="1" applyAlignment="1">
      <alignment horizontal="right" vertical="center"/>
    </xf>
    <xf numFmtId="177" fontId="47" fillId="2" borderId="117" xfId="2" applyNumberFormat="1" applyFont="1" applyFill="1" applyBorder="1" applyAlignment="1">
      <alignment vertical="center"/>
    </xf>
    <xf numFmtId="0" fontId="47" fillId="2" borderId="118" xfId="0" applyFont="1" applyFill="1" applyBorder="1" applyAlignment="1">
      <alignment vertical="center"/>
    </xf>
    <xf numFmtId="197" fontId="47" fillId="2" borderId="119" xfId="0" applyNumberFormat="1" applyFont="1" applyFill="1" applyBorder="1" applyAlignment="1">
      <alignment horizontal="left" vertical="center" wrapText="1"/>
    </xf>
    <xf numFmtId="197" fontId="47" fillId="2" borderId="120" xfId="0" applyNumberFormat="1" applyFont="1" applyFill="1" applyBorder="1" applyAlignment="1">
      <alignment horizontal="left" vertical="center" wrapText="1"/>
    </xf>
    <xf numFmtId="0" fontId="47" fillId="2" borderId="120" xfId="0" applyFont="1" applyFill="1" applyBorder="1" applyAlignment="1">
      <alignment vertical="center" wrapText="1"/>
    </xf>
    <xf numFmtId="178" fontId="47" fillId="2" borderId="120" xfId="0" applyNumberFormat="1" applyFont="1" applyFill="1" applyBorder="1" applyAlignment="1">
      <alignment horizontal="left" vertical="center"/>
    </xf>
    <xf numFmtId="3" fontId="47" fillId="2" borderId="120" xfId="0" applyNumberFormat="1" applyFont="1" applyFill="1" applyBorder="1" applyAlignment="1">
      <alignment vertical="center" wrapText="1"/>
    </xf>
    <xf numFmtId="0" fontId="47" fillId="2" borderId="120" xfId="0" applyFont="1" applyFill="1" applyBorder="1" applyAlignment="1">
      <alignment vertical="center"/>
    </xf>
    <xf numFmtId="178" fontId="47" fillId="2" borderId="120" xfId="0" applyNumberFormat="1" applyFont="1" applyFill="1" applyBorder="1" applyAlignment="1">
      <alignment vertical="center" wrapText="1"/>
    </xf>
    <xf numFmtId="178" fontId="47" fillId="2" borderId="121" xfId="0" applyNumberFormat="1" applyFont="1" applyFill="1" applyBorder="1" applyAlignment="1">
      <alignment horizontal="right" vertical="center"/>
    </xf>
    <xf numFmtId="3" fontId="47" fillId="2" borderId="122" xfId="6" applyNumberFormat="1" applyFont="1" applyFill="1" applyBorder="1" applyAlignment="1">
      <alignment vertical="center"/>
    </xf>
    <xf numFmtId="0" fontId="47" fillId="2" borderId="123" xfId="0" applyFont="1" applyFill="1" applyBorder="1" applyAlignment="1">
      <alignment vertical="center"/>
    </xf>
    <xf numFmtId="178" fontId="47" fillId="2" borderId="26" xfId="2" applyNumberFormat="1" applyFont="1" applyFill="1" applyBorder="1" applyAlignment="1">
      <alignment horizontal="right" vertical="center"/>
    </xf>
    <xf numFmtId="178" fontId="47" fillId="2" borderId="26" xfId="2" applyNumberFormat="1" applyFont="1" applyFill="1" applyBorder="1" applyAlignment="1">
      <alignment vertical="center"/>
    </xf>
    <xf numFmtId="3" fontId="47" fillId="2" borderId="124" xfId="6" applyNumberFormat="1" applyFont="1" applyFill="1" applyBorder="1" applyAlignment="1">
      <alignment vertical="center"/>
    </xf>
    <xf numFmtId="0" fontId="47" fillId="2" borderId="125" xfId="0" applyFont="1" applyFill="1" applyBorder="1" applyAlignment="1">
      <alignment vertical="center"/>
    </xf>
    <xf numFmtId="0" fontId="47" fillId="2" borderId="126" xfId="0" applyFont="1" applyFill="1" applyBorder="1" applyAlignment="1">
      <alignment vertical="center"/>
    </xf>
    <xf numFmtId="0" fontId="47" fillId="2" borderId="127" xfId="0" applyFont="1" applyFill="1" applyBorder="1" applyAlignment="1">
      <alignment horizontal="left" vertical="center"/>
    </xf>
    <xf numFmtId="178" fontId="47" fillId="2" borderId="128" xfId="2" applyNumberFormat="1" applyFont="1" applyFill="1" applyBorder="1" applyAlignment="1">
      <alignment vertical="center"/>
    </xf>
    <xf numFmtId="177" fontId="47" fillId="2" borderId="129" xfId="2" applyNumberFormat="1" applyFont="1" applyFill="1" applyBorder="1" applyAlignment="1">
      <alignment vertical="center"/>
    </xf>
    <xf numFmtId="0" fontId="47" fillId="2" borderId="130" xfId="0" applyFont="1" applyFill="1" applyBorder="1" applyAlignment="1">
      <alignment vertical="center"/>
    </xf>
    <xf numFmtId="0" fontId="47" fillId="2" borderId="132" xfId="0" applyFont="1" applyFill="1" applyBorder="1" applyAlignment="1">
      <alignment vertical="center" wrapText="1"/>
    </xf>
    <xf numFmtId="178" fontId="47" fillId="2" borderId="132" xfId="0" applyNumberFormat="1" applyFont="1" applyFill="1" applyBorder="1" applyAlignment="1">
      <alignment horizontal="left" vertical="center"/>
    </xf>
    <xf numFmtId="3" fontId="47" fillId="2" borderId="132" xfId="0" applyNumberFormat="1" applyFont="1" applyFill="1" applyBorder="1" applyAlignment="1">
      <alignment vertical="center" wrapText="1"/>
    </xf>
    <xf numFmtId="0" fontId="47" fillId="2" borderId="132" xfId="0" applyFont="1" applyFill="1" applyBorder="1" applyAlignment="1">
      <alignment vertical="center"/>
    </xf>
    <xf numFmtId="178" fontId="47" fillId="2" borderId="132" xfId="0" applyNumberFormat="1" applyFont="1" applyFill="1" applyBorder="1" applyAlignment="1">
      <alignment vertical="center" wrapText="1"/>
    </xf>
    <xf numFmtId="178" fontId="47" fillId="2" borderId="129" xfId="0" applyNumberFormat="1" applyFont="1" applyFill="1" applyBorder="1" applyAlignment="1">
      <alignment horizontal="right" vertical="center"/>
    </xf>
    <xf numFmtId="3" fontId="47" fillId="2" borderId="133" xfId="6" applyNumberFormat="1" applyFont="1" applyFill="1" applyBorder="1" applyAlignment="1">
      <alignment vertical="center"/>
    </xf>
    <xf numFmtId="0" fontId="47" fillId="2" borderId="32" xfId="0" applyFont="1" applyFill="1" applyBorder="1" applyAlignment="1">
      <alignment horizontal="left" vertical="center"/>
    </xf>
    <xf numFmtId="177" fontId="47" fillId="2" borderId="70" xfId="0" applyNumberFormat="1" applyFont="1" applyFill="1" applyBorder="1" applyAlignment="1">
      <alignment vertical="center"/>
    </xf>
    <xf numFmtId="49" fontId="47" fillId="2" borderId="20" xfId="6" applyNumberFormat="1" applyFont="1" applyFill="1" applyBorder="1" applyAlignment="1">
      <alignment vertical="center"/>
    </xf>
    <xf numFmtId="49" fontId="47" fillId="2" borderId="1" xfId="6" applyNumberFormat="1" applyFont="1" applyFill="1" applyBorder="1" applyAlignment="1">
      <alignment vertical="center"/>
    </xf>
    <xf numFmtId="49" fontId="47" fillId="2" borderId="1" xfId="2" applyNumberFormat="1" applyFont="1" applyFill="1" applyBorder="1" applyAlignment="1">
      <alignment vertical="center"/>
    </xf>
    <xf numFmtId="49" fontId="47" fillId="2" borderId="1" xfId="6" applyNumberFormat="1" applyFont="1" applyFill="1" applyBorder="1" applyAlignment="1">
      <alignment horizontal="right" vertical="center"/>
    </xf>
    <xf numFmtId="177" fontId="18" fillId="2" borderId="35" xfId="6" applyNumberFormat="1" applyFont="1" applyFill="1" applyBorder="1" applyAlignment="1">
      <alignment horizontal="right" vertical="center"/>
    </xf>
    <xf numFmtId="49" fontId="16" fillId="2" borderId="20" xfId="6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/>
    </xf>
    <xf numFmtId="49" fontId="16" fillId="2" borderId="5" xfId="6" applyNumberFormat="1" applyFont="1" applyFill="1" applyBorder="1" applyAlignment="1">
      <alignment horizontal="center" vertical="center"/>
    </xf>
    <xf numFmtId="177" fontId="18" fillId="2" borderId="55" xfId="6" applyNumberFormat="1" applyFont="1" applyFill="1" applyBorder="1" applyAlignment="1">
      <alignment horizontal="right" vertical="center"/>
    </xf>
    <xf numFmtId="177" fontId="16" fillId="2" borderId="46" xfId="6" applyNumberFormat="1" applyFont="1" applyFill="1" applyBorder="1" applyAlignment="1">
      <alignment horizontal="center" vertical="center"/>
    </xf>
    <xf numFmtId="3" fontId="77" fillId="2" borderId="45" xfId="6" applyNumberFormat="1" applyFont="1" applyFill="1" applyBorder="1" applyAlignment="1">
      <alignment horizontal="left" vertical="center"/>
    </xf>
    <xf numFmtId="177" fontId="18" fillId="2" borderId="46" xfId="2" applyNumberFormat="1" applyFont="1" applyFill="1" applyBorder="1" applyAlignment="1">
      <alignment horizontal="left" vertical="center"/>
    </xf>
    <xf numFmtId="41" fontId="18" fillId="2" borderId="4" xfId="2" applyFont="1" applyFill="1" applyBorder="1" applyAlignment="1">
      <alignment horizontal="left" vertical="center"/>
    </xf>
    <xf numFmtId="41" fontId="16" fillId="2" borderId="37" xfId="2" applyFont="1" applyFill="1" applyBorder="1" applyAlignment="1">
      <alignment horizontal="left" vertical="center"/>
    </xf>
    <xf numFmtId="41" fontId="16" fillId="2" borderId="3" xfId="2" applyFont="1" applyFill="1" applyBorder="1" applyAlignment="1">
      <alignment horizontal="left" vertical="center"/>
    </xf>
    <xf numFmtId="41" fontId="18" fillId="2" borderId="15" xfId="2" applyFont="1" applyFill="1" applyBorder="1" applyAlignment="1">
      <alignment horizontal="right" vertical="center"/>
    </xf>
    <xf numFmtId="41" fontId="18" fillId="2" borderId="68" xfId="2" applyFont="1" applyFill="1" applyBorder="1" applyAlignment="1">
      <alignment horizontal="right" vertical="center"/>
    </xf>
    <xf numFmtId="41" fontId="16" fillId="2" borderId="2" xfId="2" applyFont="1" applyFill="1" applyBorder="1" applyAlignment="1">
      <alignment horizontal="left" vertical="center"/>
    </xf>
    <xf numFmtId="41" fontId="18" fillId="2" borderId="53" xfId="2" applyFont="1" applyFill="1" applyBorder="1" applyAlignment="1">
      <alignment horizontal="left" vertical="center"/>
    </xf>
    <xf numFmtId="177" fontId="16" fillId="2" borderId="2" xfId="2" applyNumberFormat="1" applyFont="1" applyFill="1" applyBorder="1" applyAlignment="1">
      <alignment horizontal="left" vertical="center"/>
    </xf>
    <xf numFmtId="41" fontId="18" fillId="2" borderId="15" xfId="2" applyFont="1" applyFill="1" applyBorder="1" applyAlignment="1">
      <alignment horizontal="left" vertical="center"/>
    </xf>
    <xf numFmtId="177" fontId="16" fillId="2" borderId="70" xfId="6" applyNumberFormat="1" applyFont="1" applyFill="1" applyBorder="1" applyAlignment="1">
      <alignment vertical="center"/>
    </xf>
    <xf numFmtId="3" fontId="16" fillId="2" borderId="67" xfId="2" applyNumberFormat="1" applyFont="1" applyFill="1" applyBorder="1" applyAlignment="1">
      <alignment horizontal="left" vertical="center"/>
    </xf>
    <xf numFmtId="3" fontId="16" fillId="2" borderId="67" xfId="0" applyNumberFormat="1" applyFont="1" applyFill="1" applyBorder="1" applyAlignment="1">
      <alignment horizontal="center" vertical="center"/>
    </xf>
    <xf numFmtId="177" fontId="16" fillId="2" borderId="68" xfId="2" applyNumberFormat="1" applyFont="1" applyFill="1" applyBorder="1" applyAlignment="1">
      <alignment vertical="center"/>
    </xf>
    <xf numFmtId="41" fontId="16" fillId="2" borderId="10" xfId="2" applyFont="1" applyFill="1" applyBorder="1" applyAlignment="1">
      <alignment vertical="center" wrapText="1"/>
    </xf>
    <xf numFmtId="41" fontId="13" fillId="2" borderId="0" xfId="2" applyFont="1" applyFill="1" applyAlignment="1">
      <alignment horizontal="center" vertical="center"/>
    </xf>
    <xf numFmtId="0" fontId="13" fillId="2" borderId="0" xfId="6" applyFont="1" applyFill="1" applyAlignment="1">
      <alignment horizontal="center" vertical="center"/>
    </xf>
    <xf numFmtId="0" fontId="16" fillId="2" borderId="13" xfId="6" applyFont="1" applyFill="1" applyBorder="1" applyAlignment="1">
      <alignment horizontal="center" vertical="center"/>
    </xf>
    <xf numFmtId="41" fontId="18" fillId="2" borderId="13" xfId="2" applyFont="1" applyFill="1" applyBorder="1" applyAlignment="1">
      <alignment horizontal="center" vertical="center"/>
    </xf>
    <xf numFmtId="3" fontId="18" fillId="2" borderId="13" xfId="6" applyNumberFormat="1" applyFont="1" applyFill="1" applyBorder="1" applyAlignment="1">
      <alignment horizontal="center" vertical="center"/>
    </xf>
    <xf numFmtId="3" fontId="16" fillId="2" borderId="0" xfId="6" applyNumberFormat="1" applyFont="1" applyFill="1" applyAlignment="1">
      <alignment vertical="center"/>
    </xf>
    <xf numFmtId="41" fontId="18" fillId="2" borderId="0" xfId="2" applyFont="1" applyFill="1" applyBorder="1" applyAlignment="1">
      <alignment horizontal="left" vertical="center"/>
    </xf>
    <xf numFmtId="3" fontId="18" fillId="2" borderId="0" xfId="6" applyNumberFormat="1" applyFont="1" applyFill="1" applyAlignment="1">
      <alignment horizontal="left" vertical="center"/>
    </xf>
    <xf numFmtId="3" fontId="16" fillId="2" borderId="41" xfId="6" applyNumberFormat="1" applyFont="1" applyFill="1" applyBorder="1" applyAlignment="1">
      <alignment vertical="center"/>
    </xf>
    <xf numFmtId="3" fontId="18" fillId="2" borderId="2" xfId="6" applyNumberFormat="1" applyFont="1" applyFill="1" applyBorder="1" applyAlignment="1">
      <alignment horizontal="left" vertical="center"/>
    </xf>
    <xf numFmtId="3" fontId="45" fillId="2" borderId="8" xfId="6" applyNumberFormat="1" applyFont="1" applyFill="1" applyBorder="1" applyAlignment="1">
      <alignment horizontal="center" vertical="center"/>
    </xf>
    <xf numFmtId="3" fontId="45" fillId="2" borderId="10" xfId="6" applyNumberFormat="1" applyFont="1" applyFill="1" applyBorder="1" applyAlignment="1">
      <alignment horizontal="center" vertical="center"/>
    </xf>
    <xf numFmtId="3" fontId="45" fillId="2" borderId="0" xfId="6" applyNumberFormat="1" applyFont="1" applyFill="1" applyBorder="1" applyAlignment="1">
      <alignment horizontal="center" vertical="center"/>
    </xf>
    <xf numFmtId="3" fontId="45" fillId="2" borderId="31" xfId="6" applyNumberFormat="1" applyFont="1" applyFill="1" applyBorder="1" applyAlignment="1">
      <alignment vertical="center"/>
    </xf>
    <xf numFmtId="41" fontId="45" fillId="2" borderId="0" xfId="2" applyFont="1" applyFill="1" applyBorder="1" applyAlignment="1">
      <alignment horizontal="left" vertical="center"/>
    </xf>
    <xf numFmtId="41" fontId="45" fillId="2" borderId="13" xfId="2" applyFont="1" applyFill="1" applyBorder="1" applyAlignment="1">
      <alignment horizontal="center" vertical="center"/>
    </xf>
    <xf numFmtId="3" fontId="45" fillId="2" borderId="13" xfId="6" applyNumberFormat="1" applyFont="1" applyFill="1" applyBorder="1" applyAlignment="1">
      <alignment horizontal="center" vertical="center"/>
    </xf>
    <xf numFmtId="0" fontId="45" fillId="2" borderId="31" xfId="0" applyFont="1" applyFill="1" applyBorder="1" applyAlignment="1">
      <alignment vertical="center" wrapText="1"/>
    </xf>
    <xf numFmtId="3" fontId="45" fillId="2" borderId="10" xfId="6" applyNumberFormat="1" applyFont="1" applyFill="1" applyBorder="1" applyAlignment="1">
      <alignment horizontal="left" vertical="center"/>
    </xf>
    <xf numFmtId="3" fontId="16" fillId="2" borderId="9" xfId="6" applyNumberFormat="1" applyFont="1" applyFill="1" applyBorder="1" applyAlignment="1">
      <alignment horizontal="left" vertical="center"/>
    </xf>
    <xf numFmtId="41" fontId="16" fillId="2" borderId="5" xfId="2" applyFont="1" applyFill="1" applyBorder="1" applyAlignment="1">
      <alignment horizontal="left" vertical="center"/>
    </xf>
    <xf numFmtId="3" fontId="16" fillId="2" borderId="14" xfId="6" applyNumberFormat="1" applyFont="1" applyFill="1" applyBorder="1" applyAlignment="1">
      <alignment horizontal="left" vertical="center"/>
    </xf>
    <xf numFmtId="41" fontId="17" fillId="2" borderId="2" xfId="2" applyFont="1" applyFill="1" applyBorder="1" applyAlignment="1">
      <alignment vertical="center"/>
    </xf>
    <xf numFmtId="41" fontId="17" fillId="2" borderId="0" xfId="2" applyFont="1" applyFill="1" applyAlignment="1">
      <alignment vertical="center"/>
    </xf>
    <xf numFmtId="41" fontId="17" fillId="2" borderId="3" xfId="2" applyFont="1" applyFill="1" applyBorder="1" applyAlignment="1">
      <alignment vertical="center"/>
    </xf>
    <xf numFmtId="3" fontId="45" fillId="2" borderId="2" xfId="6" applyNumberFormat="1" applyFont="1" applyFill="1" applyBorder="1" applyAlignment="1">
      <alignment horizontal="left" vertical="center"/>
    </xf>
    <xf numFmtId="41" fontId="45" fillId="2" borderId="2" xfId="2" applyFont="1" applyFill="1" applyBorder="1" applyAlignment="1">
      <alignment vertical="center"/>
    </xf>
    <xf numFmtId="0" fontId="13" fillId="2" borderId="13" xfId="6" applyFont="1" applyFill="1" applyBorder="1" applyAlignment="1">
      <alignment horizontal="center" vertical="center"/>
    </xf>
    <xf numFmtId="3" fontId="18" fillId="2" borderId="10" xfId="6" applyNumberFormat="1" applyFont="1" applyFill="1" applyBorder="1" applyAlignment="1">
      <alignment horizontal="center" vertical="center"/>
    </xf>
    <xf numFmtId="3" fontId="18" fillId="2" borderId="26" xfId="6" applyNumberFormat="1" applyFont="1" applyFill="1" applyBorder="1" applyAlignment="1">
      <alignment horizontal="center" vertical="center"/>
    </xf>
    <xf numFmtId="3" fontId="18" fillId="2" borderId="31" xfId="6" applyNumberFormat="1" applyFont="1" applyFill="1" applyBorder="1" applyAlignment="1">
      <alignment vertical="center"/>
    </xf>
    <xf numFmtId="3" fontId="18" fillId="2" borderId="44" xfId="0" applyNumberFormat="1" applyFont="1" applyFill="1" applyBorder="1" applyAlignment="1">
      <alignment vertical="center"/>
    </xf>
    <xf numFmtId="3" fontId="18" fillId="2" borderId="45" xfId="0" applyNumberFormat="1" applyFont="1" applyFill="1" applyBorder="1" applyAlignment="1">
      <alignment vertical="center"/>
    </xf>
    <xf numFmtId="3" fontId="18" fillId="2" borderId="45" xfId="0" applyNumberFormat="1" applyFont="1" applyFill="1" applyBorder="1" applyAlignment="1">
      <alignment horizontal="center" vertical="center"/>
    </xf>
    <xf numFmtId="177" fontId="18" fillId="2" borderId="46" xfId="2" applyNumberFormat="1" applyFont="1" applyFill="1" applyBorder="1" applyAlignment="1">
      <alignment vertical="center"/>
    </xf>
    <xf numFmtId="41" fontId="18" fillId="2" borderId="46" xfId="2" applyFont="1" applyFill="1" applyBorder="1" applyAlignment="1">
      <alignment vertical="center"/>
    </xf>
    <xf numFmtId="41" fontId="16" fillId="2" borderId="21" xfId="2" applyFont="1" applyFill="1" applyBorder="1" applyAlignment="1">
      <alignment horizontal="left" vertical="center"/>
    </xf>
    <xf numFmtId="3" fontId="16" fillId="2" borderId="28" xfId="6" applyNumberFormat="1" applyFont="1" applyFill="1" applyBorder="1" applyAlignment="1">
      <alignment vertical="center"/>
    </xf>
    <xf numFmtId="41" fontId="16" fillId="2" borderId="59" xfId="2" applyFont="1" applyFill="1" applyBorder="1" applyAlignment="1">
      <alignment vertical="center"/>
    </xf>
    <xf numFmtId="0" fontId="18" fillId="2" borderId="10" xfId="0" applyFont="1" applyFill="1" applyBorder="1" applyAlignment="1">
      <alignment vertical="center" wrapText="1"/>
    </xf>
    <xf numFmtId="3" fontId="18" fillId="2" borderId="10" xfId="6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horizontal="right" vertical="center"/>
    </xf>
    <xf numFmtId="0" fontId="18" fillId="2" borderId="14" xfId="0" applyFont="1" applyFill="1" applyBorder="1" applyAlignment="1">
      <alignment vertical="center" wrapText="1"/>
    </xf>
    <xf numFmtId="41" fontId="16" fillId="2" borderId="60" xfId="2" applyFont="1" applyFill="1" applyBorder="1" applyAlignment="1">
      <alignment vertical="center"/>
    </xf>
    <xf numFmtId="177" fontId="16" fillId="2" borderId="26" xfId="0" applyNumberFormat="1" applyFont="1" applyFill="1" applyBorder="1" applyAlignment="1">
      <alignment horizontal="right" vertical="center"/>
    </xf>
    <xf numFmtId="177" fontId="18" fillId="2" borderId="10" xfId="0" applyNumberFormat="1" applyFont="1" applyFill="1" applyBorder="1" applyAlignment="1">
      <alignment vertical="center" wrapText="1"/>
    </xf>
    <xf numFmtId="177" fontId="23" fillId="2" borderId="10" xfId="0" applyNumberFormat="1" applyFont="1" applyFill="1" applyBorder="1" applyAlignment="1">
      <alignment vertical="center" wrapText="1"/>
    </xf>
    <xf numFmtId="184" fontId="16" fillId="2" borderId="108" xfId="0" applyNumberFormat="1" applyFont="1" applyFill="1" applyBorder="1" applyAlignment="1">
      <alignment horizontal="right" vertical="center"/>
    </xf>
    <xf numFmtId="177" fontId="16" fillId="2" borderId="15" xfId="0" applyNumberFormat="1" applyFont="1" applyFill="1" applyBorder="1" applyAlignment="1">
      <alignment horizontal="right" vertical="center"/>
    </xf>
    <xf numFmtId="3" fontId="16" fillId="2" borderId="45" xfId="2" applyNumberFormat="1" applyFont="1" applyFill="1" applyBorder="1" applyAlignment="1">
      <alignment horizontal="left" vertical="center"/>
    </xf>
    <xf numFmtId="177" fontId="16" fillId="2" borderId="46" xfId="2" applyNumberFormat="1" applyFont="1" applyFill="1" applyBorder="1" applyAlignment="1">
      <alignment vertical="center"/>
    </xf>
    <xf numFmtId="41" fontId="16" fillId="2" borderId="46" xfId="2" applyFont="1" applyFill="1" applyBorder="1" applyAlignment="1">
      <alignment horizontal="right" vertical="center"/>
    </xf>
    <xf numFmtId="3" fontId="18" fillId="2" borderId="20" xfId="6" applyNumberFormat="1" applyFont="1" applyFill="1" applyBorder="1" applyAlignment="1">
      <alignment horizontal="left" vertical="center"/>
    </xf>
    <xf numFmtId="3" fontId="18" fillId="2" borderId="1" xfId="6" applyNumberFormat="1" applyFont="1" applyFill="1" applyBorder="1" applyAlignment="1">
      <alignment horizontal="left" vertical="center"/>
    </xf>
    <xf numFmtId="3" fontId="18" fillId="2" borderId="1" xfId="6" applyNumberFormat="1" applyFont="1" applyFill="1" applyBorder="1" applyAlignment="1">
      <alignment horizontal="center" vertical="center"/>
    </xf>
    <xf numFmtId="177" fontId="18" fillId="2" borderId="5" xfId="2" applyNumberFormat="1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center"/>
    </xf>
    <xf numFmtId="178" fontId="16" fillId="2" borderId="28" xfId="2" applyNumberFormat="1" applyFont="1" applyFill="1" applyBorder="1" applyAlignment="1">
      <alignment horizontal="left" vertical="center"/>
    </xf>
    <xf numFmtId="0" fontId="16" fillId="2" borderId="52" xfId="5" applyFont="1" applyFill="1" applyBorder="1" applyAlignment="1" applyProtection="1">
      <alignment horizontal="left" vertical="center"/>
    </xf>
    <xf numFmtId="178" fontId="16" fillId="2" borderId="52" xfId="0" applyNumberFormat="1" applyFont="1" applyFill="1" applyBorder="1" applyAlignment="1">
      <alignment horizontal="right" vertical="center"/>
    </xf>
    <xf numFmtId="0" fontId="16" fillId="2" borderId="10" xfId="5" applyFont="1" applyFill="1" applyBorder="1" applyAlignment="1" applyProtection="1">
      <alignment vertical="center"/>
    </xf>
    <xf numFmtId="0" fontId="48" fillId="2" borderId="58" xfId="0" applyFont="1" applyFill="1" applyBorder="1" applyAlignment="1">
      <alignment vertical="center"/>
    </xf>
    <xf numFmtId="178" fontId="16" fillId="2" borderId="9" xfId="6" applyNumberFormat="1" applyFont="1" applyFill="1" applyBorder="1" applyAlignment="1">
      <alignment horizontal="right" vertical="center"/>
    </xf>
    <xf numFmtId="178" fontId="16" fillId="2" borderId="59" xfId="2" applyNumberFormat="1" applyFont="1" applyFill="1" applyBorder="1" applyAlignment="1">
      <alignment horizontal="left" vertical="center"/>
    </xf>
    <xf numFmtId="178" fontId="16" fillId="2" borderId="31" xfId="0" applyNumberFormat="1" applyFont="1" applyFill="1" applyBorder="1" applyAlignment="1">
      <alignment vertical="center"/>
    </xf>
    <xf numFmtId="178" fontId="16" fillId="2" borderId="14" xfId="6" applyNumberFormat="1" applyFont="1" applyFill="1" applyBorder="1" applyAlignment="1">
      <alignment horizontal="right" vertical="center"/>
    </xf>
    <xf numFmtId="41" fontId="45" fillId="2" borderId="0" xfId="2" applyFont="1" applyFill="1" applyBorder="1" applyAlignment="1">
      <alignment vertical="center"/>
    </xf>
    <xf numFmtId="3" fontId="16" fillId="2" borderId="48" xfId="0" applyNumberFormat="1" applyFont="1" applyFill="1" applyBorder="1" applyAlignment="1">
      <alignment vertical="center"/>
    </xf>
    <xf numFmtId="3" fontId="16" fillId="2" borderId="50" xfId="6" applyNumberFormat="1" applyFont="1" applyFill="1" applyBorder="1" applyAlignment="1">
      <alignment horizontal="left" vertical="center"/>
    </xf>
    <xf numFmtId="3" fontId="16" fillId="2" borderId="50" xfId="6" applyNumberFormat="1" applyFont="1" applyFill="1" applyBorder="1" applyAlignment="1">
      <alignment vertical="center"/>
    </xf>
    <xf numFmtId="3" fontId="16" fillId="2" borderId="50" xfId="2" applyNumberFormat="1" applyFont="1" applyFill="1" applyBorder="1" applyAlignment="1">
      <alignment horizontal="left" vertical="center"/>
    </xf>
    <xf numFmtId="3" fontId="16" fillId="2" borderId="50" xfId="2" applyNumberFormat="1" applyFont="1" applyFill="1" applyBorder="1" applyAlignment="1">
      <alignment vertical="center"/>
    </xf>
    <xf numFmtId="3" fontId="16" fillId="2" borderId="50" xfId="0" applyNumberFormat="1" applyFont="1" applyFill="1" applyBorder="1" applyAlignment="1">
      <alignment vertical="center"/>
    </xf>
    <xf numFmtId="3" fontId="16" fillId="2" borderId="50" xfId="0" applyNumberFormat="1" applyFont="1" applyFill="1" applyBorder="1" applyAlignment="1">
      <alignment horizontal="center" vertical="center"/>
    </xf>
    <xf numFmtId="177" fontId="16" fillId="2" borderId="53" xfId="2" applyNumberFormat="1" applyFont="1" applyFill="1" applyBorder="1" applyAlignment="1">
      <alignment vertical="center"/>
    </xf>
    <xf numFmtId="3" fontId="16" fillId="2" borderId="11" xfId="6" applyNumberFormat="1" applyFont="1" applyFill="1" applyBorder="1" applyAlignment="1">
      <alignment horizontal="left" vertical="center"/>
    </xf>
    <xf numFmtId="41" fontId="16" fillId="2" borderId="53" xfId="2" applyFont="1" applyFill="1" applyBorder="1" applyAlignment="1">
      <alignment horizontal="right" vertical="center"/>
    </xf>
    <xf numFmtId="0" fontId="17" fillId="2" borderId="20" xfId="6" applyFont="1" applyFill="1" applyBorder="1" applyAlignment="1">
      <alignment vertical="center"/>
    </xf>
    <xf numFmtId="0" fontId="17" fillId="2" borderId="1" xfId="6" applyFont="1" applyFill="1" applyBorder="1" applyAlignment="1">
      <alignment vertical="center"/>
    </xf>
    <xf numFmtId="3" fontId="16" fillId="2" borderId="31" xfId="6" applyNumberFormat="1" applyFont="1" applyFill="1" applyBorder="1">
      <alignment vertical="center"/>
    </xf>
    <xf numFmtId="3" fontId="16" fillId="2" borderId="14" xfId="6" applyNumberFormat="1" applyFont="1" applyFill="1" applyBorder="1" applyAlignment="1">
      <alignment horizontal="right" vertical="center"/>
    </xf>
    <xf numFmtId="3" fontId="16" fillId="2" borderId="8" xfId="6" applyNumberFormat="1" applyFont="1" applyFill="1" applyBorder="1">
      <alignment vertical="center"/>
    </xf>
    <xf numFmtId="3" fontId="16" fillId="2" borderId="26" xfId="6" applyNumberFormat="1" applyFont="1" applyFill="1" applyBorder="1">
      <alignment vertical="center"/>
    </xf>
    <xf numFmtId="3" fontId="16" fillId="2" borderId="9" xfId="6" applyNumberFormat="1" applyFont="1" applyFill="1" applyBorder="1" applyAlignment="1">
      <alignment horizontal="right" vertical="center"/>
    </xf>
    <xf numFmtId="177" fontId="45" fillId="2" borderId="2" xfId="6" applyNumberFormat="1" applyFont="1" applyFill="1" applyBorder="1" applyAlignment="1">
      <alignment horizontal="right" vertical="center"/>
    </xf>
    <xf numFmtId="3" fontId="18" fillId="2" borderId="0" xfId="6" applyNumberFormat="1" applyFont="1" applyFill="1" applyBorder="1" applyAlignment="1">
      <alignment vertical="center"/>
    </xf>
    <xf numFmtId="3" fontId="16" fillId="2" borderId="13" xfId="6" applyNumberFormat="1" applyFont="1" applyFill="1" applyBorder="1" applyAlignment="1">
      <alignment horizontal="right" vertical="center"/>
    </xf>
    <xf numFmtId="3" fontId="47" fillId="2" borderId="13" xfId="6" applyNumberFormat="1" applyFont="1" applyFill="1" applyBorder="1" applyAlignment="1">
      <alignment horizontal="right" vertical="center"/>
    </xf>
    <xf numFmtId="41" fontId="45" fillId="2" borderId="2" xfId="2" applyFont="1" applyFill="1" applyBorder="1" applyAlignment="1">
      <alignment horizontal="left" vertical="center"/>
    </xf>
    <xf numFmtId="0" fontId="13" fillId="2" borderId="10" xfId="6" applyFont="1" applyFill="1" applyBorder="1" applyAlignment="1">
      <alignment vertical="center"/>
    </xf>
    <xf numFmtId="3" fontId="16" fillId="2" borderId="0" xfId="9" applyNumberFormat="1" applyFont="1" applyFill="1" applyBorder="1" applyAlignment="1">
      <alignment vertical="center"/>
    </xf>
    <xf numFmtId="3" fontId="16" fillId="2" borderId="2" xfId="9" applyNumberFormat="1" applyFont="1" applyFill="1" applyBorder="1" applyAlignment="1">
      <alignment vertical="center"/>
    </xf>
    <xf numFmtId="3" fontId="16" fillId="2" borderId="0" xfId="36" applyNumberFormat="1" applyFont="1" applyFill="1" applyBorder="1" applyAlignment="1">
      <alignment vertical="center"/>
    </xf>
    <xf numFmtId="3" fontId="16" fillId="2" borderId="2" xfId="36" applyNumberFormat="1" applyFont="1" applyFill="1" applyBorder="1" applyAlignment="1">
      <alignment vertical="center"/>
    </xf>
    <xf numFmtId="41" fontId="45" fillId="2" borderId="12" xfId="2" applyFont="1" applyFill="1" applyBorder="1" applyAlignment="1">
      <alignment vertical="center"/>
    </xf>
    <xf numFmtId="3" fontId="47" fillId="2" borderId="0" xfId="36" applyNumberFormat="1" applyFont="1" applyFill="1" applyBorder="1" applyAlignment="1">
      <alignment vertical="center"/>
    </xf>
    <xf numFmtId="3" fontId="47" fillId="2" borderId="2" xfId="36" applyNumberFormat="1" applyFont="1" applyFill="1" applyBorder="1" applyAlignment="1">
      <alignment vertical="center"/>
    </xf>
    <xf numFmtId="0" fontId="13" fillId="2" borderId="20" xfId="6" applyFont="1" applyFill="1" applyBorder="1" applyAlignment="1">
      <alignment vertical="center"/>
    </xf>
    <xf numFmtId="0" fontId="13" fillId="2" borderId="25" xfId="6" applyFont="1" applyFill="1" applyBorder="1" applyAlignment="1">
      <alignment vertical="center"/>
    </xf>
    <xf numFmtId="3" fontId="16" fillId="2" borderId="25" xfId="6" applyNumberFormat="1" applyFont="1" applyFill="1" applyBorder="1" applyAlignment="1">
      <alignment horizontal="right" vertical="center"/>
    </xf>
    <xf numFmtId="196" fontId="16" fillId="2" borderId="1" xfId="1" applyNumberFormat="1" applyFont="1" applyFill="1" applyBorder="1" applyAlignment="1">
      <alignment vertical="center"/>
    </xf>
    <xf numFmtId="177" fontId="16" fillId="2" borderId="46" xfId="2" applyNumberFormat="1" applyFont="1" applyFill="1" applyBorder="1" applyAlignment="1">
      <alignment horizontal="left" vertical="center"/>
    </xf>
    <xf numFmtId="41" fontId="16" fillId="2" borderId="53" xfId="2" applyFont="1" applyFill="1" applyBorder="1" applyAlignment="1">
      <alignment horizontal="left" vertical="center"/>
    </xf>
    <xf numFmtId="3" fontId="18" fillId="2" borderId="107" xfId="6" applyNumberFormat="1" applyFont="1" applyFill="1" applyBorder="1" applyAlignment="1">
      <alignment horizontal="left" vertical="center"/>
    </xf>
    <xf numFmtId="0" fontId="17" fillId="2" borderId="9" xfId="6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17" fillId="2" borderId="0" xfId="0" applyNumberFormat="1" applyFont="1" applyFill="1" applyBorder="1" applyAlignment="1">
      <alignment vertical="center"/>
    </xf>
    <xf numFmtId="38" fontId="17" fillId="2" borderId="0" xfId="0" applyNumberFormat="1" applyFont="1" applyFill="1" applyAlignment="1">
      <alignment horizontal="right" vertical="center"/>
    </xf>
    <xf numFmtId="0" fontId="17" fillId="2" borderId="0" xfId="0" applyNumberFormat="1" applyFont="1" applyFill="1" applyBorder="1" applyAlignment="1">
      <alignment horizontal="right" vertical="center"/>
    </xf>
    <xf numFmtId="177" fontId="17" fillId="2" borderId="0" xfId="0" applyNumberFormat="1" applyFont="1" applyFill="1" applyBorder="1" applyAlignment="1">
      <alignment horizontal="right" vertical="center"/>
    </xf>
    <xf numFmtId="0" fontId="17" fillId="2" borderId="0" xfId="2" applyNumberFormat="1" applyFont="1" applyFill="1" applyBorder="1" applyAlignment="1">
      <alignment horizontal="right" vertical="center"/>
    </xf>
    <xf numFmtId="0" fontId="17" fillId="2" borderId="0" xfId="0" applyNumberFormat="1" applyFont="1" applyFill="1" applyBorder="1" applyAlignment="1">
      <alignment horizontal="center" vertical="center"/>
    </xf>
    <xf numFmtId="0" fontId="17" fillId="2" borderId="0" xfId="2" applyNumberFormat="1" applyFont="1" applyFill="1" applyBorder="1" applyAlignment="1">
      <alignment vertical="center"/>
    </xf>
    <xf numFmtId="0" fontId="17" fillId="2" borderId="12" xfId="0" applyNumberFormat="1" applyFont="1" applyFill="1" applyBorder="1" applyAlignment="1">
      <alignment vertical="center"/>
    </xf>
    <xf numFmtId="0" fontId="17" fillId="2" borderId="82" xfId="0" applyNumberFormat="1" applyFont="1" applyFill="1" applyBorder="1" applyAlignment="1">
      <alignment horizontal="center" vertical="center" wrapText="1"/>
    </xf>
    <xf numFmtId="0" fontId="17" fillId="2" borderId="37" xfId="0" applyNumberFormat="1" applyFont="1" applyFill="1" applyBorder="1" applyAlignment="1">
      <alignment horizontal="center" vertical="center" wrapText="1"/>
    </xf>
    <xf numFmtId="0" fontId="17" fillId="2" borderId="9" xfId="0" applyNumberFormat="1" applyFont="1" applyFill="1" applyBorder="1" applyAlignment="1">
      <alignment horizontal="center" vertical="center"/>
    </xf>
    <xf numFmtId="0" fontId="19" fillId="2" borderId="45" xfId="0" applyNumberFormat="1" applyFont="1" applyFill="1" applyBorder="1" applyAlignment="1">
      <alignment vertical="center"/>
    </xf>
    <xf numFmtId="0" fontId="19" fillId="2" borderId="49" xfId="0" applyNumberFormat="1" applyFont="1" applyFill="1" applyBorder="1" applyAlignment="1">
      <alignment vertical="center"/>
    </xf>
    <xf numFmtId="184" fontId="19" fillId="2" borderId="39" xfId="2" applyNumberFormat="1" applyFont="1" applyFill="1" applyBorder="1" applyAlignment="1">
      <alignment horizontal="right" vertical="center"/>
    </xf>
    <xf numFmtId="177" fontId="19" fillId="2" borderId="62" xfId="2" applyNumberFormat="1" applyFont="1" applyFill="1" applyBorder="1" applyAlignment="1">
      <alignment horizontal="right" vertical="center"/>
    </xf>
    <xf numFmtId="41" fontId="19" fillId="2" borderId="12" xfId="2" applyFont="1" applyFill="1" applyBorder="1" applyAlignment="1">
      <alignment vertical="center"/>
    </xf>
    <xf numFmtId="41" fontId="19" fillId="2" borderId="44" xfId="2" applyFont="1" applyFill="1" applyBorder="1" applyAlignment="1">
      <alignment vertical="center"/>
    </xf>
    <xf numFmtId="41" fontId="19" fillId="2" borderId="45" xfId="2" applyFont="1" applyFill="1" applyBorder="1" applyAlignment="1">
      <alignment horizontal="centerContinuous" vertical="center"/>
    </xf>
    <xf numFmtId="41" fontId="19" fillId="2" borderId="45" xfId="2" applyFont="1" applyFill="1" applyBorder="1" applyAlignment="1">
      <alignment horizontal="center" vertical="center"/>
    </xf>
    <xf numFmtId="41" fontId="19" fillId="2" borderId="45" xfId="2" applyFont="1" applyFill="1" applyBorder="1" applyAlignment="1">
      <alignment vertical="center"/>
    </xf>
    <xf numFmtId="41" fontId="19" fillId="2" borderId="46" xfId="2" applyFont="1" applyFill="1" applyBorder="1" applyAlignment="1">
      <alignment vertical="center"/>
    </xf>
    <xf numFmtId="0" fontId="19" fillId="2" borderId="47" xfId="0" applyNumberFormat="1" applyFont="1" applyFill="1" applyBorder="1" applyAlignment="1">
      <alignment horizontal="left" vertical="center"/>
    </xf>
    <xf numFmtId="0" fontId="19" fillId="2" borderId="44" xfId="0" applyNumberFormat="1" applyFont="1" applyFill="1" applyBorder="1" applyAlignment="1">
      <alignment horizontal="left" vertical="center"/>
    </xf>
    <xf numFmtId="0" fontId="19" fillId="2" borderId="45" xfId="0" applyNumberFormat="1" applyFont="1" applyFill="1" applyBorder="1" applyAlignment="1">
      <alignment horizontal="left" vertical="center"/>
    </xf>
    <xf numFmtId="0" fontId="17" fillId="2" borderId="8" xfId="0" applyNumberFormat="1" applyFont="1" applyFill="1" applyBorder="1" applyAlignment="1">
      <alignment vertical="center"/>
    </xf>
    <xf numFmtId="0" fontId="17" fillId="2" borderId="23" xfId="0" applyNumberFormat="1" applyFont="1" applyFill="1" applyBorder="1" applyAlignment="1">
      <alignment vertical="center"/>
    </xf>
    <xf numFmtId="0" fontId="17" fillId="2" borderId="21" xfId="0" applyNumberFormat="1" applyFont="1" applyFill="1" applyBorder="1" applyAlignment="1">
      <alignment vertical="center"/>
    </xf>
    <xf numFmtId="184" fontId="17" fillId="2" borderId="14" xfId="2" applyNumberFormat="1" applyFont="1" applyFill="1" applyBorder="1" applyAlignment="1">
      <alignment horizontal="right" vertical="center"/>
    </xf>
    <xf numFmtId="177" fontId="17" fillId="2" borderId="36" xfId="2" applyNumberFormat="1" applyFont="1" applyFill="1" applyBorder="1" applyAlignment="1">
      <alignment horizontal="right" vertical="center"/>
    </xf>
    <xf numFmtId="41" fontId="17" fillId="2" borderId="12" xfId="2" applyFont="1" applyFill="1" applyBorder="1" applyAlignment="1">
      <alignment vertical="center"/>
    </xf>
    <xf numFmtId="41" fontId="17" fillId="2" borderId="22" xfId="2" applyFont="1" applyFill="1" applyBorder="1" applyAlignment="1">
      <alignment vertical="center"/>
    </xf>
    <xf numFmtId="41" fontId="17" fillId="2" borderId="7" xfId="2" applyFont="1" applyFill="1" applyBorder="1" applyAlignment="1">
      <alignment vertical="center"/>
    </xf>
    <xf numFmtId="41" fontId="17" fillId="2" borderId="7" xfId="2" applyFont="1" applyFill="1" applyBorder="1" applyAlignment="1">
      <alignment horizontal="center" vertical="center"/>
    </xf>
    <xf numFmtId="41" fontId="17" fillId="2" borderId="4" xfId="2" applyFont="1" applyFill="1" applyBorder="1" applyAlignment="1">
      <alignment vertical="center"/>
    </xf>
    <xf numFmtId="0" fontId="17" fillId="2" borderId="26" xfId="0" applyNumberFormat="1" applyFont="1" applyFill="1" applyBorder="1" applyAlignment="1">
      <alignment vertical="center"/>
    </xf>
    <xf numFmtId="0" fontId="17" fillId="2" borderId="10" xfId="0" applyNumberFormat="1" applyFont="1" applyFill="1" applyBorder="1" applyAlignment="1">
      <alignment vertical="center"/>
    </xf>
    <xf numFmtId="0" fontId="17" fillId="2" borderId="13" xfId="0" applyNumberFormat="1" applyFont="1" applyFill="1" applyBorder="1" applyAlignment="1">
      <alignment vertical="center"/>
    </xf>
    <xf numFmtId="184" fontId="17" fillId="2" borderId="13" xfId="0" applyNumberFormat="1" applyFont="1" applyFill="1" applyBorder="1" applyAlignment="1">
      <alignment horizontal="right" vertical="center"/>
    </xf>
    <xf numFmtId="184" fontId="17" fillId="2" borderId="13" xfId="2" applyNumberFormat="1" applyFont="1" applyFill="1" applyBorder="1" applyAlignment="1">
      <alignment horizontal="right" vertical="center"/>
    </xf>
    <xf numFmtId="177" fontId="17" fillId="2" borderId="56" xfId="2" applyNumberFormat="1" applyFont="1" applyFill="1" applyBorder="1" applyAlignment="1">
      <alignment horizontal="right" vertical="center"/>
    </xf>
    <xf numFmtId="41" fontId="17" fillId="2" borderId="84" xfId="2" applyFont="1" applyFill="1" applyBorder="1" applyAlignment="1">
      <alignment vertical="center"/>
    </xf>
    <xf numFmtId="10" fontId="17" fillId="2" borderId="0" xfId="2" applyNumberFormat="1" applyFont="1" applyFill="1" applyBorder="1" applyAlignment="1">
      <alignment vertical="center"/>
    </xf>
    <xf numFmtId="176" fontId="16" fillId="2" borderId="0" xfId="2" applyNumberFormat="1" applyFont="1" applyFill="1" applyBorder="1" applyAlignment="1">
      <alignment vertical="center"/>
    </xf>
    <xf numFmtId="9" fontId="16" fillId="2" borderId="0" xfId="2" applyNumberFormat="1" applyFont="1" applyFill="1" applyBorder="1" applyAlignment="1">
      <alignment vertical="center"/>
    </xf>
    <xf numFmtId="41" fontId="17" fillId="2" borderId="29" xfId="2" applyFont="1" applyFill="1" applyBorder="1" applyAlignment="1">
      <alignment vertical="center"/>
    </xf>
    <xf numFmtId="41" fontId="17" fillId="2" borderId="30" xfId="2" quotePrefix="1" applyFont="1" applyFill="1" applyBorder="1" applyAlignment="1">
      <alignment vertical="center"/>
    </xf>
    <xf numFmtId="41" fontId="17" fillId="2" borderId="30" xfId="2" applyFont="1" applyFill="1" applyBorder="1" applyAlignment="1">
      <alignment horizontal="center" vertical="center"/>
    </xf>
    <xf numFmtId="41" fontId="17" fillId="2" borderId="30" xfId="2" applyFont="1" applyFill="1" applyBorder="1" applyAlignment="1">
      <alignment vertical="center"/>
    </xf>
    <xf numFmtId="41" fontId="17" fillId="2" borderId="15" xfId="2" applyFont="1" applyFill="1" applyBorder="1" applyAlignment="1">
      <alignment vertical="center"/>
    </xf>
    <xf numFmtId="184" fontId="17" fillId="2" borderId="10" xfId="0" applyNumberFormat="1" applyFont="1" applyFill="1" applyBorder="1" applyAlignment="1">
      <alignment horizontal="right" vertical="center"/>
    </xf>
    <xf numFmtId="184" fontId="17" fillId="2" borderId="10" xfId="2" applyNumberFormat="1" applyFont="1" applyFill="1" applyBorder="1" applyAlignment="1">
      <alignment horizontal="right" vertical="center"/>
    </xf>
    <xf numFmtId="177" fontId="17" fillId="2" borderId="35" xfId="2" applyNumberFormat="1" applyFont="1" applyFill="1" applyBorder="1" applyAlignment="1">
      <alignment horizontal="right" vertical="center"/>
    </xf>
    <xf numFmtId="41" fontId="17" fillId="2" borderId="16" xfId="2" applyFont="1" applyFill="1" applyBorder="1" applyAlignment="1">
      <alignment vertical="center"/>
    </xf>
    <xf numFmtId="41" fontId="17" fillId="2" borderId="0" xfId="2" quotePrefix="1" applyFont="1" applyFill="1" applyBorder="1" applyAlignment="1">
      <alignment vertical="center"/>
    </xf>
    <xf numFmtId="41" fontId="17" fillId="2" borderId="0" xfId="2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41" fontId="17" fillId="2" borderId="0" xfId="2" applyFont="1" applyFill="1" applyBorder="1" applyAlignment="1">
      <alignment horizontal="right" vertical="center"/>
    </xf>
    <xf numFmtId="184" fontId="17" fillId="2" borderId="10" xfId="0" applyNumberFormat="1" applyFont="1" applyFill="1" applyBorder="1" applyAlignment="1">
      <alignment vertical="center"/>
    </xf>
    <xf numFmtId="0" fontId="17" fillId="2" borderId="0" xfId="2" applyNumberFormat="1" applyFont="1" applyFill="1" applyBorder="1" applyAlignment="1">
      <alignment horizontal="left" vertical="center"/>
    </xf>
    <xf numFmtId="49" fontId="17" fillId="2" borderId="8" xfId="0" applyNumberFormat="1" applyFont="1" applyFill="1" applyBorder="1" applyAlignment="1">
      <alignment vertical="center"/>
    </xf>
    <xf numFmtId="49" fontId="17" fillId="2" borderId="26" xfId="0" applyNumberFormat="1" applyFont="1" applyFill="1" applyBorder="1" applyAlignment="1">
      <alignment vertical="center"/>
    </xf>
    <xf numFmtId="49" fontId="17" fillId="2" borderId="10" xfId="0" applyNumberFormat="1" applyFont="1" applyFill="1" applyBorder="1" applyAlignment="1">
      <alignment vertical="center"/>
    </xf>
    <xf numFmtId="49" fontId="17" fillId="2" borderId="9" xfId="0" applyNumberFormat="1" applyFont="1" applyFill="1" applyBorder="1" applyAlignment="1">
      <alignment vertical="center" shrinkToFit="1"/>
    </xf>
    <xf numFmtId="184" fontId="17" fillId="2" borderId="9" xfId="0" applyNumberFormat="1" applyFont="1" applyFill="1" applyBorder="1" applyAlignment="1">
      <alignment horizontal="right" vertical="center"/>
    </xf>
    <xf numFmtId="177" fontId="17" fillId="2" borderId="34" xfId="0" applyNumberFormat="1" applyFont="1" applyFill="1" applyBorder="1" applyAlignment="1">
      <alignment horizontal="right" vertical="center"/>
    </xf>
    <xf numFmtId="49" fontId="17" fillId="2" borderId="12" xfId="0" applyNumberFormat="1" applyFont="1" applyFill="1" applyBorder="1" applyAlignment="1">
      <alignment vertical="center"/>
    </xf>
    <xf numFmtId="49" fontId="17" fillId="2" borderId="24" xfId="0" applyNumberFormat="1" applyFont="1" applyFill="1" applyBorder="1" applyAlignment="1">
      <alignment vertical="center"/>
    </xf>
    <xf numFmtId="0" fontId="17" fillId="2" borderId="6" xfId="0" applyFont="1" applyFill="1" applyBorder="1" applyAlignment="1">
      <alignment horizontal="right" vertical="center"/>
    </xf>
    <xf numFmtId="41" fontId="16" fillId="2" borderId="6" xfId="2" applyFont="1" applyFill="1" applyBorder="1" applyAlignment="1">
      <alignment horizontal="center" vertical="center" wrapText="1"/>
    </xf>
    <xf numFmtId="41" fontId="16" fillId="2" borderId="6" xfId="2" applyFont="1" applyFill="1" applyBorder="1" applyAlignment="1">
      <alignment vertical="center" wrapText="1"/>
    </xf>
    <xf numFmtId="0" fontId="17" fillId="2" borderId="6" xfId="0" applyFont="1" applyFill="1" applyBorder="1" applyAlignment="1">
      <alignment horizontal="center" vertical="center"/>
    </xf>
    <xf numFmtId="41" fontId="17" fillId="2" borderId="3" xfId="2" applyNumberFormat="1" applyFont="1" applyFill="1" applyBorder="1" applyAlignment="1">
      <alignment vertical="center"/>
    </xf>
    <xf numFmtId="49" fontId="17" fillId="2" borderId="9" xfId="0" applyNumberFormat="1" applyFont="1" applyFill="1" applyBorder="1" applyAlignment="1">
      <alignment vertical="center"/>
    </xf>
    <xf numFmtId="41" fontId="17" fillId="2" borderId="24" xfId="2" applyFont="1" applyFill="1" applyBorder="1" applyAlignment="1">
      <alignment vertical="center"/>
    </xf>
    <xf numFmtId="41" fontId="17" fillId="2" borderId="6" xfId="2" quotePrefix="1" applyFont="1" applyFill="1" applyBorder="1" applyAlignment="1">
      <alignment vertical="center"/>
    </xf>
    <xf numFmtId="41" fontId="17" fillId="2" borderId="6" xfId="2" applyFont="1" applyFill="1" applyBorder="1" applyAlignment="1">
      <alignment horizontal="center" vertical="center"/>
    </xf>
    <xf numFmtId="41" fontId="17" fillId="2" borderId="6" xfId="2" applyFont="1" applyFill="1" applyBorder="1" applyAlignment="1">
      <alignment vertical="center"/>
    </xf>
    <xf numFmtId="0" fontId="17" fillId="2" borderId="6" xfId="2" applyNumberFormat="1" applyFont="1" applyFill="1" applyBorder="1" applyAlignment="1">
      <alignment horizontal="left" vertical="center"/>
    </xf>
    <xf numFmtId="177" fontId="17" fillId="2" borderId="35" xfId="0" applyNumberFormat="1" applyFont="1" applyFill="1" applyBorder="1" applyAlignment="1">
      <alignment horizontal="right" vertical="center"/>
    </xf>
    <xf numFmtId="41" fontId="17" fillId="2" borderId="7" xfId="2" quotePrefix="1" applyFont="1" applyFill="1" applyBorder="1" applyAlignment="1">
      <alignment vertical="center"/>
    </xf>
    <xf numFmtId="0" fontId="17" fillId="2" borderId="7" xfId="2" applyNumberFormat="1" applyFont="1" applyFill="1" applyBorder="1" applyAlignment="1">
      <alignment horizontal="left" vertical="center"/>
    </xf>
    <xf numFmtId="0" fontId="17" fillId="2" borderId="9" xfId="0" applyNumberFormat="1" applyFont="1" applyFill="1" applyBorder="1" applyAlignment="1">
      <alignment vertical="center"/>
    </xf>
    <xf numFmtId="184" fontId="17" fillId="2" borderId="9" xfId="2" applyNumberFormat="1" applyFont="1" applyFill="1" applyBorder="1" applyAlignment="1">
      <alignment horizontal="right" vertical="center"/>
    </xf>
    <xf numFmtId="177" fontId="17" fillId="2" borderId="34" xfId="2" applyNumberFormat="1" applyFont="1" applyFill="1" applyBorder="1" applyAlignment="1">
      <alignment horizontal="right" vertical="center"/>
    </xf>
    <xf numFmtId="41" fontId="17" fillId="2" borderId="3" xfId="2" applyFont="1" applyFill="1" applyBorder="1" applyAlignment="1">
      <alignment vertical="center" wrapText="1"/>
    </xf>
    <xf numFmtId="49" fontId="19" fillId="2" borderId="16" xfId="0" applyNumberFormat="1" applyFont="1" applyFill="1" applyBorder="1" applyAlignment="1">
      <alignment vertical="center"/>
    </xf>
    <xf numFmtId="49" fontId="19" fillId="2" borderId="27" xfId="0" applyNumberFormat="1" applyFont="1" applyFill="1" applyBorder="1" applyAlignment="1">
      <alignment vertical="center"/>
    </xf>
    <xf numFmtId="49" fontId="19" fillId="2" borderId="30" xfId="0" applyNumberFormat="1" applyFont="1" applyFill="1" applyBorder="1" applyAlignment="1">
      <alignment vertical="center"/>
    </xf>
    <xf numFmtId="49" fontId="19" fillId="2" borderId="28" xfId="0" applyNumberFormat="1" applyFont="1" applyFill="1" applyBorder="1" applyAlignment="1">
      <alignment vertical="center"/>
    </xf>
    <xf numFmtId="184" fontId="19" fillId="2" borderId="13" xfId="0" applyNumberFormat="1" applyFont="1" applyFill="1" applyBorder="1" applyAlignment="1">
      <alignment horizontal="right" vertical="center"/>
    </xf>
    <xf numFmtId="177" fontId="19" fillId="2" borderId="56" xfId="0" applyNumberFormat="1" applyFont="1" applyFill="1" applyBorder="1" applyAlignment="1">
      <alignment horizontal="right" vertical="center"/>
    </xf>
    <xf numFmtId="49" fontId="19" fillId="2" borderId="29" xfId="0" applyNumberFormat="1" applyFont="1" applyFill="1" applyBorder="1" applyAlignment="1">
      <alignment vertical="center"/>
    </xf>
    <xf numFmtId="0" fontId="19" fillId="2" borderId="30" xfId="0" applyFont="1" applyFill="1" applyBorder="1" applyAlignment="1">
      <alignment horizontal="right" vertical="center"/>
    </xf>
    <xf numFmtId="41" fontId="19" fillId="2" borderId="30" xfId="2" applyFont="1" applyFill="1" applyBorder="1" applyAlignment="1">
      <alignment horizontal="center" vertical="center"/>
    </xf>
    <xf numFmtId="41" fontId="19" fillId="2" borderId="30" xfId="2" applyNumberFormat="1" applyFont="1" applyFill="1" applyBorder="1" applyAlignment="1">
      <alignment vertical="center"/>
    </xf>
    <xf numFmtId="0" fontId="19" fillId="2" borderId="30" xfId="0" applyFont="1" applyFill="1" applyBorder="1" applyAlignment="1">
      <alignment vertical="center"/>
    </xf>
    <xf numFmtId="9" fontId="19" fillId="2" borderId="30" xfId="0" applyNumberFormat="1" applyFont="1" applyFill="1" applyBorder="1" applyAlignment="1">
      <alignment vertical="center"/>
    </xf>
    <xf numFmtId="41" fontId="19" fillId="2" borderId="15" xfId="2" applyNumberFormat="1" applyFont="1" applyFill="1" applyBorder="1" applyAlignment="1">
      <alignment vertical="center"/>
    </xf>
    <xf numFmtId="49" fontId="17" fillId="2" borderId="0" xfId="0" applyNumberFormat="1" applyFont="1" applyFill="1" applyBorder="1" applyAlignment="1">
      <alignment vertical="center"/>
    </xf>
    <xf numFmtId="184" fontId="17" fillId="2" borderId="14" xfId="0" applyNumberFormat="1" applyFont="1" applyFill="1" applyBorder="1" applyAlignment="1">
      <alignment horizontal="right" vertical="center"/>
    </xf>
    <xf numFmtId="41" fontId="17" fillId="2" borderId="7" xfId="2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vertical="center"/>
    </xf>
    <xf numFmtId="10" fontId="17" fillId="2" borderId="7" xfId="0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horizontal="right" vertical="center"/>
    </xf>
    <xf numFmtId="41" fontId="17" fillId="2" borderId="4" xfId="0" applyNumberFormat="1" applyFont="1" applyFill="1" applyBorder="1" applyAlignment="1">
      <alignment vertical="center"/>
    </xf>
    <xf numFmtId="184" fontId="17" fillId="2" borderId="83" xfId="0" applyNumberFormat="1" applyFont="1" applyFill="1" applyBorder="1" applyAlignment="1">
      <alignment horizontal="right" vertical="center"/>
    </xf>
    <xf numFmtId="49" fontId="17" fillId="2" borderId="16" xfId="0" applyNumberFormat="1" applyFont="1" applyFill="1" applyBorder="1" applyAlignment="1">
      <alignment vertical="center"/>
    </xf>
    <xf numFmtId="41" fontId="17" fillId="2" borderId="0" xfId="2" applyNumberFormat="1" applyFont="1" applyFill="1" applyBorder="1" applyAlignment="1">
      <alignment vertical="center"/>
    </xf>
    <xf numFmtId="41" fontId="17" fillId="2" borderId="2" xfId="0" applyNumberFormat="1" applyFont="1" applyFill="1" applyBorder="1" applyAlignment="1">
      <alignment vertical="center"/>
    </xf>
    <xf numFmtId="49" fontId="17" fillId="2" borderId="29" xfId="0" applyNumberFormat="1" applyFont="1" applyFill="1" applyBorder="1" applyAlignment="1">
      <alignment vertical="center"/>
    </xf>
    <xf numFmtId="49" fontId="17" fillId="2" borderId="30" xfId="0" applyNumberFormat="1" applyFont="1" applyFill="1" applyBorder="1" applyAlignment="1">
      <alignment vertical="center"/>
    </xf>
    <xf numFmtId="49" fontId="17" fillId="2" borderId="30" xfId="0" applyNumberFormat="1" applyFont="1" applyFill="1" applyBorder="1" applyAlignment="1">
      <alignment horizontal="right" vertical="center"/>
    </xf>
    <xf numFmtId="41" fontId="17" fillId="2" borderId="6" xfId="2" applyNumberFormat="1" applyFont="1" applyFill="1" applyBorder="1" applyAlignment="1">
      <alignment vertical="center"/>
    </xf>
    <xf numFmtId="0" fontId="17" fillId="2" borderId="6" xfId="0" applyFont="1" applyFill="1" applyBorder="1" applyAlignment="1">
      <alignment vertical="center"/>
    </xf>
    <xf numFmtId="42" fontId="17" fillId="2" borderId="16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center" vertical="center"/>
    </xf>
    <xf numFmtId="41" fontId="17" fillId="2" borderId="2" xfId="2" applyNumberFormat="1" applyFont="1" applyFill="1" applyBorder="1" applyAlignment="1">
      <alignment vertical="center"/>
    </xf>
    <xf numFmtId="49" fontId="17" fillId="2" borderId="14" xfId="0" applyNumberFormat="1" applyFont="1" applyFill="1" applyBorder="1" applyAlignment="1">
      <alignment vertical="center"/>
    </xf>
    <xf numFmtId="177" fontId="17" fillId="2" borderId="36" xfId="0" applyNumberFormat="1" applyFont="1" applyFill="1" applyBorder="1" applyAlignment="1">
      <alignment horizontal="right" vertical="center"/>
    </xf>
    <xf numFmtId="42" fontId="17" fillId="2" borderId="22" xfId="0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horizontal="center" vertical="center"/>
    </xf>
    <xf numFmtId="41" fontId="17" fillId="2" borderId="4" xfId="2" applyNumberFormat="1" applyFont="1" applyFill="1" applyBorder="1" applyAlignment="1">
      <alignment vertical="center"/>
    </xf>
    <xf numFmtId="49" fontId="17" fillId="2" borderId="13" xfId="0" applyNumberFormat="1" applyFont="1" applyFill="1" applyBorder="1" applyAlignment="1">
      <alignment vertical="center"/>
    </xf>
    <xf numFmtId="177" fontId="17" fillId="2" borderId="56" xfId="0" applyNumberFormat="1" applyFont="1" applyFill="1" applyBorder="1" applyAlignment="1">
      <alignment horizontal="right" vertical="center"/>
    </xf>
    <xf numFmtId="49" fontId="17" fillId="2" borderId="12" xfId="0" applyNumberFormat="1" applyFont="1" applyFill="1" applyBorder="1" applyAlignment="1">
      <alignment horizontal="left" vertical="center"/>
    </xf>
    <xf numFmtId="49" fontId="17" fillId="2" borderId="29" xfId="0" applyNumberFormat="1" applyFont="1" applyFill="1" applyBorder="1" applyAlignment="1">
      <alignment horizontal="left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center" vertical="center"/>
    </xf>
    <xf numFmtId="41" fontId="17" fillId="2" borderId="30" xfId="2" applyNumberFormat="1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176" fontId="17" fillId="2" borderId="30" xfId="1" applyNumberFormat="1" applyFont="1" applyFill="1" applyBorder="1" applyAlignment="1">
      <alignment vertical="center"/>
    </xf>
    <xf numFmtId="41" fontId="17" fillId="2" borderId="15" xfId="2" applyNumberFormat="1" applyFont="1" applyFill="1" applyBorder="1" applyAlignment="1">
      <alignment vertical="center"/>
    </xf>
    <xf numFmtId="49" fontId="17" fillId="2" borderId="24" xfId="0" applyNumberFormat="1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justify" vertical="center"/>
    </xf>
    <xf numFmtId="41" fontId="17" fillId="2" borderId="3" xfId="0" applyNumberFormat="1" applyFont="1" applyFill="1" applyBorder="1" applyAlignment="1">
      <alignment vertical="center"/>
    </xf>
    <xf numFmtId="3" fontId="16" fillId="0" borderId="7" xfId="6" applyNumberFormat="1" applyFont="1" applyFill="1" applyBorder="1" applyAlignment="1">
      <alignment horizontal="left" vertical="center"/>
    </xf>
    <xf numFmtId="3" fontId="16" fillId="0" borderId="30" xfId="6" applyNumberFormat="1" applyFont="1" applyFill="1" applyBorder="1" applyAlignment="1">
      <alignment horizontal="left" vertical="center"/>
    </xf>
    <xf numFmtId="3" fontId="16" fillId="0" borderId="28" xfId="6" applyNumberFormat="1" applyFont="1" applyFill="1" applyBorder="1" applyAlignment="1">
      <alignment horizontal="left" vertical="center"/>
    </xf>
    <xf numFmtId="3" fontId="16" fillId="0" borderId="27" xfId="6" applyNumberFormat="1" applyFont="1" applyFill="1" applyBorder="1" applyAlignment="1">
      <alignment horizontal="left" vertical="center"/>
    </xf>
    <xf numFmtId="49" fontId="16" fillId="0" borderId="1" xfId="6" applyNumberFormat="1" applyFont="1" applyFill="1" applyBorder="1" applyAlignment="1">
      <alignment horizontal="center" vertical="center"/>
    </xf>
    <xf numFmtId="49" fontId="16" fillId="0" borderId="5" xfId="6" applyNumberFormat="1" applyFont="1" applyFill="1" applyBorder="1" applyAlignment="1">
      <alignment horizontal="center" vertical="center"/>
    </xf>
    <xf numFmtId="0" fontId="63" fillId="0" borderId="13" xfId="4" applyFont="1" applyFill="1" applyBorder="1" applyAlignment="1">
      <alignment horizontal="center" vertical="center" wrapText="1" shrinkToFit="1"/>
    </xf>
    <xf numFmtId="0" fontId="64" fillId="7" borderId="13" xfId="4" applyFont="1" applyFill="1" applyBorder="1" applyAlignment="1">
      <alignment horizontal="center" vertical="center"/>
    </xf>
    <xf numFmtId="0" fontId="63" fillId="2" borderId="13" xfId="4" applyFont="1" applyFill="1" applyBorder="1" applyAlignment="1">
      <alignment horizontal="center" vertical="center"/>
    </xf>
    <xf numFmtId="0" fontId="63" fillId="2" borderId="13" xfId="4" applyFont="1" applyFill="1" applyBorder="1" applyAlignment="1">
      <alignment horizontal="left" vertical="center"/>
    </xf>
    <xf numFmtId="41" fontId="63" fillId="2" borderId="13" xfId="35" applyFont="1" applyFill="1" applyBorder="1" applyAlignment="1">
      <alignment horizontal="right" vertical="center" wrapText="1"/>
    </xf>
    <xf numFmtId="0" fontId="63" fillId="0" borderId="13" xfId="4" applyFont="1" applyFill="1" applyBorder="1" applyAlignment="1">
      <alignment horizontal="left" vertical="center" wrapText="1"/>
    </xf>
    <xf numFmtId="0" fontId="63" fillId="0" borderId="13" xfId="4" applyFont="1" applyFill="1" applyBorder="1" applyAlignment="1">
      <alignment horizontal="center" vertical="center" wrapText="1"/>
    </xf>
    <xf numFmtId="0" fontId="63" fillId="0" borderId="13" xfId="4" applyFont="1" applyFill="1" applyBorder="1" applyAlignment="1">
      <alignment horizontal="center" vertical="center"/>
    </xf>
    <xf numFmtId="0" fontId="63" fillId="0" borderId="19" xfId="4" applyFont="1" applyFill="1" applyBorder="1" applyAlignment="1">
      <alignment horizontal="center" vertical="center"/>
    </xf>
    <xf numFmtId="0" fontId="64" fillId="6" borderId="13" xfId="4" applyFont="1" applyFill="1" applyBorder="1" applyAlignment="1">
      <alignment horizontal="center" vertical="center"/>
    </xf>
    <xf numFmtId="0" fontId="71" fillId="2" borderId="13" xfId="4" applyFont="1" applyFill="1" applyBorder="1" applyAlignment="1">
      <alignment horizontal="center" vertical="center" wrapText="1" shrinkToFit="1"/>
    </xf>
    <xf numFmtId="177" fontId="50" fillId="2" borderId="38" xfId="6" applyNumberFormat="1" applyFont="1" applyFill="1" applyBorder="1" applyAlignment="1">
      <alignment horizontal="right" vertical="center"/>
    </xf>
    <xf numFmtId="3" fontId="16" fillId="2" borderId="27" xfId="6" applyNumberFormat="1" applyFont="1" applyFill="1" applyBorder="1" applyAlignment="1">
      <alignment horizontal="left"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8" xfId="6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 shrinkToFit="1"/>
    </xf>
    <xf numFmtId="0" fontId="16" fillId="2" borderId="28" xfId="0" applyFont="1" applyFill="1" applyBorder="1" applyAlignment="1">
      <alignment vertical="center" shrinkToFit="1"/>
    </xf>
    <xf numFmtId="0" fontId="16" fillId="2" borderId="23" xfId="0" applyFont="1" applyFill="1" applyBorder="1" applyAlignment="1">
      <alignment vertical="center" shrinkToFit="1"/>
    </xf>
    <xf numFmtId="0" fontId="16" fillId="2" borderId="21" xfId="0" applyFont="1" applyFill="1" applyBorder="1" applyAlignment="1">
      <alignment vertical="center" shrinkToFit="1"/>
    </xf>
    <xf numFmtId="3" fontId="16" fillId="2" borderId="22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49" fontId="16" fillId="2" borderId="20" xfId="6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/>
    </xf>
    <xf numFmtId="49" fontId="16" fillId="2" borderId="5" xfId="6" applyNumberFormat="1" applyFont="1" applyFill="1" applyBorder="1" applyAlignment="1">
      <alignment horizontal="center" vertical="center"/>
    </xf>
    <xf numFmtId="3" fontId="16" fillId="2" borderId="7" xfId="6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 wrapText="1"/>
    </xf>
    <xf numFmtId="0" fontId="16" fillId="2" borderId="23" xfId="0" applyFont="1" applyFill="1" applyBorder="1" applyAlignment="1">
      <alignment vertical="center"/>
    </xf>
    <xf numFmtId="0" fontId="47" fillId="2" borderId="27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0" fontId="16" fillId="2" borderId="13" xfId="0" applyFont="1" applyFill="1" applyBorder="1" applyAlignment="1">
      <alignment vertical="center" shrinkToFit="1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0" borderId="7" xfId="6" applyNumberFormat="1" applyFont="1" applyFill="1" applyBorder="1" applyAlignment="1">
      <alignment horizontal="left" vertical="center"/>
    </xf>
    <xf numFmtId="3" fontId="16" fillId="0" borderId="30" xfId="6" applyNumberFormat="1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2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vertical="center"/>
    </xf>
    <xf numFmtId="0" fontId="47" fillId="2" borderId="2" xfId="0" applyFont="1" applyFill="1" applyBorder="1" applyAlignment="1">
      <alignment vertical="center"/>
    </xf>
    <xf numFmtId="0" fontId="48" fillId="2" borderId="26" xfId="0" applyFont="1" applyFill="1" applyBorder="1"/>
    <xf numFmtId="0" fontId="48" fillId="2" borderId="35" xfId="0" applyFont="1" applyFill="1" applyBorder="1"/>
    <xf numFmtId="177" fontId="47" fillId="2" borderId="12" xfId="2" applyNumberFormat="1" applyFont="1" applyFill="1" applyBorder="1" applyAlignment="1">
      <alignment vertical="center"/>
    </xf>
    <xf numFmtId="0" fontId="17" fillId="0" borderId="25" xfId="0" applyNumberFormat="1" applyFont="1" applyFill="1" applyBorder="1" applyAlignment="1">
      <alignment vertical="center"/>
    </xf>
    <xf numFmtId="0" fontId="17" fillId="0" borderId="32" xfId="0" applyNumberFormat="1" applyFont="1" applyFill="1" applyBorder="1" applyAlignment="1">
      <alignment vertical="center"/>
    </xf>
    <xf numFmtId="0" fontId="47" fillId="0" borderId="16" xfId="0" applyFont="1" applyFill="1" applyBorder="1" applyAlignment="1">
      <alignment horizontal="left" vertical="center"/>
    </xf>
    <xf numFmtId="0" fontId="47" fillId="0" borderId="10" xfId="0" applyFont="1" applyFill="1" applyBorder="1" applyAlignment="1">
      <alignment horizontal="left" vertical="center"/>
    </xf>
    <xf numFmtId="178" fontId="47" fillId="0" borderId="13" xfId="0" applyNumberFormat="1" applyFont="1" applyFill="1" applyBorder="1" applyAlignment="1">
      <alignment horizontal="right" vertical="center"/>
    </xf>
    <xf numFmtId="177" fontId="47" fillId="0" borderId="56" xfId="0" applyNumberFormat="1" applyFont="1" applyFill="1" applyBorder="1" applyAlignment="1">
      <alignment horizontal="right" vertical="center"/>
    </xf>
    <xf numFmtId="0" fontId="48" fillId="0" borderId="58" xfId="0" applyFont="1" applyFill="1" applyBorder="1" applyAlignment="1">
      <alignment vertical="center"/>
    </xf>
    <xf numFmtId="3" fontId="47" fillId="0" borderId="29" xfId="6" applyNumberFormat="1" applyFont="1" applyFill="1" applyBorder="1" applyAlignment="1">
      <alignment horizontal="left" vertical="center"/>
    </xf>
    <xf numFmtId="178" fontId="47" fillId="0" borderId="30" xfId="0" applyNumberFormat="1" applyFont="1" applyFill="1" applyBorder="1" applyAlignment="1">
      <alignment vertical="center"/>
    </xf>
    <xf numFmtId="178" fontId="47" fillId="0" borderId="30" xfId="0" applyNumberFormat="1" applyFont="1" applyFill="1" applyBorder="1" applyAlignment="1">
      <alignment horizontal="right" vertical="center"/>
    </xf>
    <xf numFmtId="0" fontId="47" fillId="0" borderId="30" xfId="6" applyNumberFormat="1" applyFont="1" applyFill="1" applyBorder="1" applyAlignment="1">
      <alignment horizontal="left" vertical="center"/>
    </xf>
    <xf numFmtId="178" fontId="47" fillId="0" borderId="30" xfId="6" applyNumberFormat="1" applyFont="1" applyFill="1" applyBorder="1" applyAlignment="1">
      <alignment horizontal="right" vertical="center"/>
    </xf>
    <xf numFmtId="3" fontId="47" fillId="0" borderId="30" xfId="6" applyNumberFormat="1" applyFont="1" applyFill="1" applyBorder="1" applyAlignment="1">
      <alignment horizontal="left" vertical="center"/>
    </xf>
    <xf numFmtId="178" fontId="47" fillId="0" borderId="15" xfId="6" applyNumberFormat="1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left" vertical="center"/>
    </xf>
    <xf numFmtId="0" fontId="16" fillId="0" borderId="10" xfId="0" applyFont="1" applyFill="1" applyBorder="1" applyAlignment="1">
      <alignment horizontal="left" vertical="center"/>
    </xf>
    <xf numFmtId="3" fontId="16" fillId="0" borderId="26" xfId="6" applyNumberFormat="1" applyFont="1" applyFill="1" applyBorder="1" applyAlignment="1">
      <alignment horizontal="left" vertical="center"/>
    </xf>
    <xf numFmtId="178" fontId="16" fillId="0" borderId="13" xfId="6" applyNumberFormat="1" applyFont="1" applyFill="1" applyBorder="1" applyAlignment="1">
      <alignment horizontal="right" vertical="center"/>
    </xf>
    <xf numFmtId="0" fontId="0" fillId="0" borderId="12" xfId="0" applyFont="1" applyFill="1" applyBorder="1" applyAlignment="1">
      <alignment vertical="center"/>
    </xf>
    <xf numFmtId="3" fontId="16" fillId="0" borderId="29" xfId="6" applyNumberFormat="1" applyFont="1" applyFill="1" applyBorder="1" applyAlignment="1">
      <alignment horizontal="left" vertical="center"/>
    </xf>
    <xf numFmtId="0" fontId="16" fillId="0" borderId="30" xfId="0" applyFont="1" applyFill="1" applyBorder="1" applyAlignment="1">
      <alignment vertical="center"/>
    </xf>
    <xf numFmtId="178" fontId="16" fillId="0" borderId="30" xfId="0" applyNumberFormat="1" applyFont="1" applyFill="1" applyBorder="1" applyAlignment="1">
      <alignment vertical="center"/>
    </xf>
    <xf numFmtId="178" fontId="16" fillId="0" borderId="30" xfId="6" applyNumberFormat="1" applyFont="1" applyFill="1" applyBorder="1" applyAlignment="1">
      <alignment horizontal="right" vertical="center"/>
    </xf>
    <xf numFmtId="0" fontId="16" fillId="0" borderId="30" xfId="6" applyNumberFormat="1" applyFont="1" applyFill="1" applyBorder="1" applyAlignment="1">
      <alignment horizontal="left" vertical="center"/>
    </xf>
    <xf numFmtId="0" fontId="0" fillId="0" borderId="30" xfId="0" applyFont="1" applyFill="1" applyBorder="1" applyAlignment="1">
      <alignment vertical="center"/>
    </xf>
    <xf numFmtId="0" fontId="16" fillId="0" borderId="10" xfId="0" applyFont="1" applyFill="1" applyBorder="1" applyAlignment="1">
      <alignment horizontal="left" vertical="center" wrapText="1"/>
    </xf>
    <xf numFmtId="41" fontId="16" fillId="6" borderId="0" xfId="2" applyFont="1" applyFill="1" applyBorder="1" applyAlignment="1">
      <alignment horizontal="left" vertical="center"/>
    </xf>
    <xf numFmtId="3" fontId="16" fillId="6" borderId="0" xfId="6" applyNumberFormat="1" applyFont="1" applyFill="1" applyBorder="1" applyAlignment="1">
      <alignment horizontal="center" vertical="center"/>
    </xf>
    <xf numFmtId="3" fontId="16" fillId="6" borderId="0" xfId="6" applyNumberFormat="1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0" fontId="13" fillId="6" borderId="0" xfId="0" applyFont="1" applyFill="1"/>
    <xf numFmtId="3" fontId="16" fillId="0" borderId="26" xfId="6" applyNumberFormat="1" applyFont="1" applyFill="1" applyBorder="1" applyAlignment="1">
      <alignment vertical="center"/>
    </xf>
    <xf numFmtId="3" fontId="16" fillId="0" borderId="32" xfId="6" applyNumberFormat="1" applyFont="1" applyFill="1" applyBorder="1" applyAlignment="1">
      <alignment vertical="center"/>
    </xf>
    <xf numFmtId="0" fontId="13" fillId="6" borderId="0" xfId="0" applyFont="1" applyFill="1" applyAlignment="1">
      <alignment vertical="center"/>
    </xf>
    <xf numFmtId="0" fontId="13" fillId="6" borderId="0" xfId="6" applyFont="1" applyFill="1" applyAlignment="1">
      <alignment horizontal="center" vertical="center"/>
    </xf>
    <xf numFmtId="3" fontId="16" fillId="6" borderId="0" xfId="0" applyNumberFormat="1" applyFont="1" applyFill="1" applyBorder="1" applyAlignment="1">
      <alignment vertical="center"/>
    </xf>
    <xf numFmtId="3" fontId="16" fillId="6" borderId="0" xfId="0" applyNumberFormat="1" applyFont="1" applyFill="1" applyBorder="1" applyAlignment="1">
      <alignment horizontal="center" vertical="center"/>
    </xf>
    <xf numFmtId="41" fontId="17" fillId="6" borderId="0" xfId="2" applyFont="1" applyFill="1" applyAlignment="1">
      <alignment vertical="center"/>
    </xf>
    <xf numFmtId="41" fontId="13" fillId="6" borderId="0" xfId="2" applyFont="1" applyFill="1" applyAlignment="1">
      <alignment vertical="center"/>
    </xf>
    <xf numFmtId="0" fontId="13" fillId="6" borderId="0" xfId="6" applyFont="1" applyFill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2" borderId="25" xfId="6" applyNumberFormat="1" applyFont="1" applyFill="1" applyBorder="1" applyAlignment="1">
      <alignment horizontal="center" vertical="center"/>
    </xf>
    <xf numFmtId="3" fontId="16" fillId="0" borderId="7" xfId="6" applyNumberFormat="1" applyFont="1" applyFill="1" applyBorder="1" applyAlignment="1">
      <alignment horizontal="left" vertical="center"/>
    </xf>
    <xf numFmtId="3" fontId="16" fillId="0" borderId="2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1" fontId="48" fillId="2" borderId="0" xfId="0" applyNumberFormat="1" applyFont="1" applyFill="1"/>
    <xf numFmtId="3" fontId="16" fillId="2" borderId="3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23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0" fontId="47" fillId="0" borderId="30" xfId="6" applyFont="1" applyFill="1" applyBorder="1" applyAlignment="1">
      <alignment vertical="center"/>
    </xf>
    <xf numFmtId="0" fontId="23" fillId="2" borderId="16" xfId="0" applyFont="1" applyFill="1" applyBorder="1" applyAlignment="1">
      <alignment vertical="center"/>
    </xf>
    <xf numFmtId="178" fontId="23" fillId="2" borderId="10" xfId="0" applyNumberFormat="1" applyFont="1" applyFill="1" applyBorder="1" applyAlignment="1">
      <alignment vertical="center"/>
    </xf>
    <xf numFmtId="41" fontId="16" fillId="2" borderId="0" xfId="0" applyNumberFormat="1" applyFont="1" applyFill="1" applyBorder="1" applyAlignment="1">
      <alignment horizontal="center" vertical="center"/>
    </xf>
    <xf numFmtId="41" fontId="18" fillId="2" borderId="0" xfId="2" applyFont="1" applyFill="1" applyBorder="1" applyAlignment="1"/>
    <xf numFmtId="41" fontId="25" fillId="2" borderId="0" xfId="2" applyFont="1" applyFill="1" applyBorder="1" applyAlignment="1"/>
    <xf numFmtId="41" fontId="16" fillId="2" borderId="0" xfId="2" applyFont="1" applyFill="1" applyBorder="1" applyAlignment="1"/>
    <xf numFmtId="0" fontId="23" fillId="2" borderId="10" xfId="0" applyFont="1" applyFill="1" applyBorder="1" applyAlignment="1">
      <alignment vertical="center"/>
    </xf>
    <xf numFmtId="178" fontId="16" fillId="0" borderId="0" xfId="0" applyNumberFormat="1" applyFont="1" applyFill="1" applyBorder="1" applyAlignment="1">
      <alignment vertical="center" wrapText="1"/>
    </xf>
    <xf numFmtId="3" fontId="16" fillId="2" borderId="37" xfId="6" applyNumberFormat="1" applyFont="1" applyFill="1" applyBorder="1" applyAlignment="1">
      <alignment horizontal="center" vertical="center"/>
    </xf>
    <xf numFmtId="41" fontId="13" fillId="0" borderId="0" xfId="2" applyFont="1" applyAlignment="1">
      <alignment vertical="center"/>
    </xf>
    <xf numFmtId="41" fontId="13" fillId="0" borderId="0" xfId="2" applyFont="1" applyBorder="1" applyAlignment="1">
      <alignment vertical="center"/>
    </xf>
    <xf numFmtId="41" fontId="23" fillId="0" borderId="0" xfId="2" applyFont="1" applyFill="1" applyBorder="1" applyAlignment="1">
      <alignment horizontal="center" vertical="center"/>
    </xf>
    <xf numFmtId="41" fontId="80" fillId="0" borderId="0" xfId="2" applyFont="1" applyFill="1" applyBorder="1" applyAlignment="1">
      <alignment horizontal="center" vertical="center"/>
    </xf>
    <xf numFmtId="41" fontId="23" fillId="0" borderId="0" xfId="2" applyFont="1" applyFill="1" applyAlignment="1">
      <alignment vertical="center"/>
    </xf>
    <xf numFmtId="41" fontId="80" fillId="0" borderId="0" xfId="2" applyFont="1" applyFill="1" applyAlignment="1">
      <alignment vertical="center"/>
    </xf>
    <xf numFmtId="41" fontId="23" fillId="0" borderId="0" xfId="2" applyFont="1" applyAlignment="1">
      <alignment vertical="center"/>
    </xf>
    <xf numFmtId="41" fontId="80" fillId="0" borderId="0" xfId="2" applyFont="1" applyAlignment="1">
      <alignment vertical="center"/>
    </xf>
    <xf numFmtId="41" fontId="47" fillId="0" borderId="0" xfId="2" applyFont="1" applyFill="1" applyBorder="1" applyAlignment="1">
      <alignment horizontal="left" vertical="center"/>
    </xf>
    <xf numFmtId="3" fontId="16" fillId="2" borderId="0" xfId="6" applyNumberFormat="1" applyFont="1" applyFill="1" applyAlignment="1">
      <alignment horizontal="center" vertical="center"/>
    </xf>
    <xf numFmtId="3" fontId="79" fillId="2" borderId="45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Alignment="1">
      <alignment horizontal="left"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21" xfId="6" applyNumberFormat="1" applyFont="1" applyFill="1" applyBorder="1" applyAlignment="1">
      <alignment horizontal="center" vertical="center"/>
    </xf>
    <xf numFmtId="3" fontId="47" fillId="2" borderId="33" xfId="6" applyNumberFormat="1" applyFont="1" applyFill="1" applyBorder="1" applyAlignment="1">
      <alignment horizontal="right" vertical="center"/>
    </xf>
    <xf numFmtId="3" fontId="16" fillId="2" borderId="0" xfId="6" applyNumberFormat="1" applyFont="1" applyFill="1" applyBorder="1" applyAlignment="1">
      <alignment horizontal="centerContinuous" vertical="center"/>
    </xf>
    <xf numFmtId="3" fontId="16" fillId="0" borderId="0" xfId="6" applyNumberFormat="1" applyFont="1" applyFill="1" applyBorder="1" applyAlignment="1">
      <alignment horizontal="center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vertical="center"/>
    </xf>
    <xf numFmtId="3" fontId="16" fillId="0" borderId="10" xfId="6" applyNumberFormat="1" applyFont="1" applyFill="1" applyBorder="1" applyAlignment="1">
      <alignment vertical="center"/>
    </xf>
    <xf numFmtId="3" fontId="16" fillId="0" borderId="31" xfId="6" applyNumberFormat="1" applyFont="1" applyFill="1" applyBorder="1" applyAlignment="1">
      <alignment vertical="center"/>
    </xf>
    <xf numFmtId="3" fontId="16" fillId="0" borderId="14" xfId="6" applyNumberFormat="1" applyFont="1" applyFill="1" applyBorder="1" applyAlignment="1">
      <alignment vertical="center"/>
    </xf>
    <xf numFmtId="3" fontId="16" fillId="2" borderId="33" xfId="6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center" vertical="center"/>
    </xf>
    <xf numFmtId="3" fontId="16" fillId="0" borderId="0" xfId="2" applyNumberFormat="1" applyFont="1" applyFill="1" applyBorder="1" applyAlignment="1">
      <alignment vertical="center"/>
    </xf>
    <xf numFmtId="3" fontId="16" fillId="0" borderId="0" xfId="6" quotePrefix="1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vertical="center"/>
    </xf>
    <xf numFmtId="3" fontId="16" fillId="0" borderId="16" xfId="6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right" vertical="center"/>
    </xf>
    <xf numFmtId="3" fontId="16" fillId="2" borderId="2" xfId="2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center" vertical="center"/>
    </xf>
    <xf numFmtId="3" fontId="16" fillId="0" borderId="10" xfId="6" applyNumberFormat="1" applyFont="1" applyFill="1" applyBorder="1" applyAlignment="1">
      <alignment vertical="center"/>
    </xf>
    <xf numFmtId="3" fontId="16" fillId="0" borderId="0" xfId="2" applyNumberFormat="1" applyFont="1" applyFill="1" applyBorder="1" applyAlignment="1">
      <alignment vertical="center"/>
    </xf>
    <xf numFmtId="3" fontId="16" fillId="0" borderId="14" xfId="6" applyNumberFormat="1" applyFont="1" applyFill="1" applyBorder="1" applyAlignment="1">
      <alignment horizontal="right" vertical="center"/>
    </xf>
    <xf numFmtId="3" fontId="16" fillId="0" borderId="31" xfId="6" applyNumberFormat="1" applyFont="1" applyFill="1" applyBorder="1" applyAlignment="1">
      <alignment vertical="center"/>
    </xf>
    <xf numFmtId="3" fontId="16" fillId="0" borderId="0" xfId="6" quotePrefix="1" applyNumberFormat="1" applyFont="1" applyFill="1" applyBorder="1" applyAlignment="1">
      <alignment vertical="center"/>
    </xf>
    <xf numFmtId="3" fontId="16" fillId="0" borderId="0" xfId="25385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vertical="center"/>
    </xf>
    <xf numFmtId="3" fontId="16" fillId="0" borderId="16" xfId="6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vertical="center"/>
    </xf>
    <xf numFmtId="3" fontId="16" fillId="2" borderId="2" xfId="2" applyNumberFormat="1" applyFont="1" applyFill="1" applyBorder="1" applyAlignment="1">
      <alignment vertical="center"/>
    </xf>
    <xf numFmtId="3" fontId="16" fillId="0" borderId="14" xfId="6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horizontal="centerContinuous" vertical="center"/>
    </xf>
    <xf numFmtId="3" fontId="16" fillId="0" borderId="0" xfId="6" applyNumberFormat="1" applyFont="1" applyFill="1" applyBorder="1" applyAlignment="1">
      <alignment horizontal="center" vertical="center"/>
    </xf>
    <xf numFmtId="3" fontId="16" fillId="0" borderId="0" xfId="2" applyNumberFormat="1" applyFont="1" applyFill="1" applyBorder="1" applyAlignment="1">
      <alignment vertical="center"/>
    </xf>
    <xf numFmtId="3" fontId="16" fillId="0" borderId="0" xfId="6" quotePrefix="1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vertical="center"/>
    </xf>
    <xf numFmtId="3" fontId="16" fillId="0" borderId="16" xfId="6" applyNumberFormat="1" applyFont="1" applyFill="1" applyBorder="1" applyAlignment="1">
      <alignment vertical="center"/>
    </xf>
    <xf numFmtId="3" fontId="16" fillId="0" borderId="0" xfId="6" applyNumberFormat="1" applyFont="1" applyFill="1" applyBorder="1" applyAlignment="1">
      <alignment horizontal="right" vertical="center"/>
    </xf>
    <xf numFmtId="3" fontId="16" fillId="0" borderId="0" xfId="6" applyNumberFormat="1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vertical="center"/>
    </xf>
    <xf numFmtId="3" fontId="16" fillId="2" borderId="0" xfId="2" applyNumberFormat="1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right" vertical="center"/>
    </xf>
    <xf numFmtId="3" fontId="16" fillId="2" borderId="2" xfId="2" applyNumberFormat="1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left" vertical="center" shrinkToFit="1"/>
    </xf>
    <xf numFmtId="0" fontId="47" fillId="2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vertical="center"/>
    </xf>
    <xf numFmtId="0" fontId="47" fillId="2" borderId="31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178" fontId="47" fillId="10" borderId="0" xfId="0" applyNumberFormat="1" applyFont="1" applyFill="1" applyBorder="1" applyAlignment="1">
      <alignment vertical="center"/>
    </xf>
    <xf numFmtId="3" fontId="16" fillId="2" borderId="27" xfId="0" applyNumberFormat="1" applyFont="1" applyFill="1" applyBorder="1" applyAlignment="1">
      <alignment vertical="center"/>
    </xf>
    <xf numFmtId="0" fontId="16" fillId="2" borderId="59" xfId="0" applyFont="1" applyFill="1" applyBorder="1" applyAlignment="1">
      <alignment vertical="center"/>
    </xf>
    <xf numFmtId="3" fontId="16" fillId="10" borderId="0" xfId="6" applyNumberFormat="1" applyFont="1" applyFill="1" applyBorder="1" applyAlignment="1">
      <alignment vertical="center"/>
    </xf>
    <xf numFmtId="3" fontId="16" fillId="10" borderId="0" xfId="6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3" fontId="84" fillId="0" borderId="12" xfId="6" applyNumberFormat="1" applyFont="1" applyFill="1" applyBorder="1" applyAlignment="1">
      <alignment horizontal="left" vertical="center"/>
    </xf>
    <xf numFmtId="0" fontId="47" fillId="2" borderId="31" xfId="0" applyFont="1" applyFill="1" applyBorder="1" applyAlignment="1">
      <alignment vertical="center" shrinkToFit="1"/>
    </xf>
    <xf numFmtId="3" fontId="16" fillId="2" borderId="16" xfId="0" applyNumberFormat="1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0" fontId="47" fillId="2" borderId="31" xfId="0" applyFont="1" applyFill="1" applyBorder="1" applyAlignment="1">
      <alignment horizontal="left" vertical="center" shrinkToFit="1"/>
    </xf>
    <xf numFmtId="3" fontId="16" fillId="0" borderId="16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3" fontId="16" fillId="6" borderId="0" xfId="0" applyNumberFormat="1" applyFont="1" applyFill="1" applyBorder="1" applyAlignment="1">
      <alignment horizontal="left" vertical="center"/>
    </xf>
    <xf numFmtId="0" fontId="0" fillId="6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7" xfId="0" applyFont="1" applyFill="1" applyBorder="1" applyAlignment="1">
      <alignment vertical="center" wrapText="1"/>
    </xf>
    <xf numFmtId="3" fontId="16" fillId="10" borderId="0" xfId="6" applyNumberFormat="1" applyFont="1" applyFill="1" applyBorder="1" applyAlignment="1">
      <alignment horizontal="left" vertical="center"/>
    </xf>
    <xf numFmtId="197" fontId="47" fillId="2" borderId="22" xfId="0" applyNumberFormat="1" applyFont="1" applyFill="1" applyBorder="1" applyAlignment="1">
      <alignment horizontal="left" vertical="center" wrapText="1"/>
    </xf>
    <xf numFmtId="197" fontId="47" fillId="2" borderId="7" xfId="0" applyNumberFormat="1" applyFont="1" applyFill="1" applyBorder="1" applyAlignment="1">
      <alignment horizontal="left" vertical="center" wrapText="1"/>
    </xf>
    <xf numFmtId="177" fontId="16" fillId="10" borderId="0" xfId="0" applyNumberFormat="1" applyFont="1" applyFill="1" applyBorder="1" applyAlignment="1">
      <alignment vertical="center"/>
    </xf>
    <xf numFmtId="41" fontId="16" fillId="6" borderId="15" xfId="2" applyFont="1" applyFill="1" applyBorder="1" applyAlignment="1">
      <alignment horizontal="right" vertical="center"/>
    </xf>
    <xf numFmtId="3" fontId="47" fillId="0" borderId="29" xfId="2" applyNumberFormat="1" applyFont="1" applyFill="1" applyBorder="1" applyAlignment="1">
      <alignment vertical="center"/>
    </xf>
    <xf numFmtId="3" fontId="47" fillId="0" borderId="30" xfId="2" applyNumberFormat="1" applyFont="1" applyFill="1" applyBorder="1" applyAlignment="1">
      <alignment vertical="center"/>
    </xf>
    <xf numFmtId="3" fontId="17" fillId="0" borderId="30" xfId="6" applyNumberFormat="1" applyFont="1" applyFill="1" applyBorder="1" applyAlignment="1">
      <alignment vertical="center"/>
    </xf>
    <xf numFmtId="41" fontId="47" fillId="0" borderId="15" xfId="2" applyFont="1" applyFill="1" applyBorder="1" applyAlignment="1">
      <alignment vertical="center"/>
    </xf>
    <xf numFmtId="3" fontId="45" fillId="2" borderId="0" xfId="0" applyNumberFormat="1" applyFont="1" applyFill="1" applyBorder="1" applyAlignment="1">
      <alignment horizontal="center" vertical="center"/>
    </xf>
    <xf numFmtId="3" fontId="45" fillId="2" borderId="30" xfId="6" applyNumberFormat="1" applyFont="1" applyFill="1" applyBorder="1" applyAlignment="1">
      <alignment horizontal="right" vertical="center"/>
    </xf>
    <xf numFmtId="0" fontId="45" fillId="2" borderId="30" xfId="0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41" fontId="16" fillId="10" borderId="0" xfId="2" applyFont="1" applyFill="1" applyBorder="1" applyAlignment="1">
      <alignment horizontal="left" vertical="center"/>
    </xf>
    <xf numFmtId="41" fontId="16" fillId="10" borderId="15" xfId="2" applyFont="1" applyFill="1" applyBorder="1" applyAlignment="1">
      <alignment horizontal="right" vertical="center"/>
    </xf>
    <xf numFmtId="3" fontId="45" fillId="2" borderId="2" xfId="2" applyNumberFormat="1" applyFont="1" applyFill="1" applyBorder="1" applyAlignment="1">
      <alignment vertical="center"/>
    </xf>
    <xf numFmtId="41" fontId="47" fillId="10" borderId="12" xfId="2" applyFont="1" applyFill="1" applyBorder="1" applyAlignment="1">
      <alignment vertical="center"/>
    </xf>
    <xf numFmtId="177" fontId="16" fillId="2" borderId="13" xfId="6" applyNumberFormat="1" applyFont="1" applyFill="1" applyBorder="1" applyAlignment="1">
      <alignment horizontal="right"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center" vertical="center"/>
    </xf>
    <xf numFmtId="41" fontId="47" fillId="2" borderId="0" xfId="2" applyFont="1" applyFill="1" applyBorder="1" applyAlignment="1">
      <alignment vertical="center"/>
    </xf>
    <xf numFmtId="0" fontId="47" fillId="2" borderId="0" xfId="0" applyFont="1" applyFill="1" applyBorder="1" applyAlignment="1">
      <alignment horizontal="left" vertical="center"/>
    </xf>
    <xf numFmtId="177" fontId="47" fillId="2" borderId="13" xfId="0" applyNumberFormat="1" applyFont="1" applyFill="1" applyBorder="1" applyAlignment="1">
      <alignment vertical="center"/>
    </xf>
    <xf numFmtId="177" fontId="47" fillId="2" borderId="34" xfId="0" applyNumberFormat="1" applyFont="1" applyFill="1" applyBorder="1" applyAlignment="1">
      <alignment vertical="center"/>
    </xf>
    <xf numFmtId="0" fontId="47" fillId="2" borderId="26" xfId="0" applyFont="1" applyFill="1" applyBorder="1" applyAlignment="1">
      <alignment vertical="center"/>
    </xf>
    <xf numFmtId="49" fontId="47" fillId="2" borderId="0" xfId="0" applyNumberFormat="1" applyFont="1" applyFill="1" applyBorder="1" applyAlignment="1">
      <alignment vertical="center"/>
    </xf>
    <xf numFmtId="49" fontId="47" fillId="2" borderId="0" xfId="6" applyNumberFormat="1" applyFont="1" applyFill="1" applyBorder="1" applyAlignment="1">
      <alignment horizontal="left" vertical="center"/>
    </xf>
    <xf numFmtId="177" fontId="47" fillId="2" borderId="9" xfId="6" applyNumberFormat="1" applyFont="1" applyFill="1" applyBorder="1" applyAlignment="1">
      <alignment horizontal="right" vertical="center"/>
    </xf>
    <xf numFmtId="49" fontId="47" fillId="2" borderId="16" xfId="0" applyNumberFormat="1" applyFont="1" applyFill="1" applyBorder="1" applyAlignment="1">
      <alignment vertical="center"/>
    </xf>
    <xf numFmtId="41" fontId="47" fillId="2" borderId="2" xfId="2" applyNumberFormat="1" applyFont="1" applyFill="1" applyBorder="1" applyAlignment="1">
      <alignment vertical="center"/>
    </xf>
    <xf numFmtId="177" fontId="47" fillId="2" borderId="9" xfId="0" applyNumberFormat="1" applyFont="1" applyFill="1" applyBorder="1" applyAlignment="1">
      <alignment vertical="center"/>
    </xf>
    <xf numFmtId="0" fontId="47" fillId="2" borderId="0" xfId="0" applyNumberFormat="1" applyFont="1" applyFill="1" applyBorder="1" applyAlignment="1">
      <alignment horizontal="right" vertical="center"/>
    </xf>
    <xf numFmtId="41" fontId="47" fillId="10" borderId="2" xfId="2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41" fontId="47" fillId="10" borderId="4" xfId="2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quotePrefix="1" applyFont="1" applyFill="1" applyBorder="1" applyAlignment="1">
      <alignment horizontal="center" vertical="center"/>
    </xf>
    <xf numFmtId="3" fontId="45" fillId="2" borderId="22" xfId="0" applyNumberFormat="1" applyFont="1" applyFill="1" applyBorder="1" applyAlignment="1">
      <alignment vertical="center"/>
    </xf>
    <xf numFmtId="3" fontId="45" fillId="2" borderId="7" xfId="6" applyNumberFormat="1" applyFont="1" applyFill="1" applyBorder="1" applyAlignment="1">
      <alignment horizontal="right" vertical="center"/>
    </xf>
    <xf numFmtId="0" fontId="45" fillId="2" borderId="7" xfId="0" applyFont="1" applyFill="1" applyBorder="1" applyAlignment="1">
      <alignment vertical="center"/>
    </xf>
    <xf numFmtId="3" fontId="45" fillId="2" borderId="7" xfId="0" applyNumberFormat="1" applyFont="1" applyFill="1" applyBorder="1" applyAlignment="1">
      <alignment vertical="center"/>
    </xf>
    <xf numFmtId="3" fontId="45" fillId="2" borderId="7" xfId="0" applyNumberFormat="1" applyFont="1" applyFill="1" applyBorder="1" applyAlignment="1">
      <alignment horizontal="center" vertical="center"/>
    </xf>
    <xf numFmtId="3" fontId="45" fillId="2" borderId="7" xfId="2" applyNumberFormat="1" applyFont="1" applyFill="1" applyBorder="1" applyAlignment="1">
      <alignment vertical="center"/>
    </xf>
    <xf numFmtId="3" fontId="47" fillId="2" borderId="31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center"/>
    </xf>
    <xf numFmtId="178" fontId="16" fillId="6" borderId="0" xfId="0" applyNumberFormat="1" applyFont="1" applyFill="1" applyBorder="1" applyAlignment="1">
      <alignment vertical="center"/>
    </xf>
    <xf numFmtId="178" fontId="16" fillId="6" borderId="0" xfId="2" applyNumberFormat="1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47" fillId="2" borderId="30" xfId="6" applyNumberFormat="1" applyFont="1" applyFill="1" applyBorder="1" applyAlignment="1">
      <alignment horizontal="left" vertical="center"/>
    </xf>
    <xf numFmtId="0" fontId="47" fillId="2" borderId="30" xfId="0" applyFont="1" applyFill="1" applyBorder="1" applyAlignment="1">
      <alignment vertical="center"/>
    </xf>
    <xf numFmtId="0" fontId="47" fillId="2" borderId="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0" fontId="47" fillId="2" borderId="6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0" fontId="47" fillId="2" borderId="30" xfId="0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181" fontId="47" fillId="2" borderId="0" xfId="2" applyNumberFormat="1" applyFont="1" applyFill="1" applyBorder="1" applyAlignment="1">
      <alignment vertical="center"/>
    </xf>
    <xf numFmtId="177" fontId="47" fillId="2" borderId="0" xfId="6" applyNumberFormat="1" applyFont="1" applyFill="1" applyBorder="1" applyAlignment="1">
      <alignment horizontal="right" vertical="center"/>
    </xf>
    <xf numFmtId="177" fontId="47" fillId="2" borderId="6" xfId="0" applyNumberFormat="1" applyFont="1" applyFill="1" applyBorder="1" applyAlignment="1">
      <alignment vertical="center"/>
    </xf>
    <xf numFmtId="177" fontId="47" fillId="2" borderId="7" xfId="6" applyNumberFormat="1" applyFont="1" applyFill="1" applyBorder="1" applyAlignment="1">
      <alignment horizontal="right" vertical="center"/>
    </xf>
    <xf numFmtId="3" fontId="47" fillId="2" borderId="58" xfId="0" applyNumberFormat="1" applyFont="1" applyFill="1" applyBorder="1" applyAlignment="1">
      <alignment vertical="center"/>
    </xf>
    <xf numFmtId="0" fontId="16" fillId="2" borderId="26" xfId="5" applyFont="1" applyFill="1" applyBorder="1" applyAlignment="1" applyProtection="1">
      <alignment vertical="center"/>
    </xf>
    <xf numFmtId="0" fontId="13" fillId="2" borderId="30" xfId="0" applyFont="1" applyFill="1" applyBorder="1"/>
    <xf numFmtId="3" fontId="16" fillId="2" borderId="30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0" borderId="30" xfId="6" applyNumberFormat="1" applyFont="1" applyFill="1" applyBorder="1" applyAlignment="1">
      <alignment horizontal="left" vertical="center"/>
    </xf>
    <xf numFmtId="3" fontId="16" fillId="0" borderId="29" xfId="0" applyNumberFormat="1" applyFont="1" applyFill="1" applyBorder="1" applyAlignment="1">
      <alignment vertical="center"/>
    </xf>
    <xf numFmtId="3" fontId="16" fillId="0" borderId="15" xfId="2" applyNumberFormat="1" applyFont="1" applyFill="1" applyBorder="1" applyAlignment="1">
      <alignment vertical="center"/>
    </xf>
    <xf numFmtId="41" fontId="16" fillId="2" borderId="12" xfId="2" applyFont="1" applyFill="1" applyBorder="1" applyAlignment="1">
      <alignment horizontal="left" vertical="center"/>
    </xf>
    <xf numFmtId="3" fontId="16" fillId="2" borderId="30" xfId="6" applyNumberFormat="1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7" xfId="0" applyFont="1" applyFill="1" applyBorder="1" applyAlignment="1">
      <alignment vertical="center" wrapText="1"/>
    </xf>
    <xf numFmtId="0" fontId="47" fillId="2" borderId="16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0" fontId="47" fillId="2" borderId="30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0" fontId="47" fillId="2" borderId="23" xfId="0" applyFont="1" applyFill="1" applyBorder="1" applyAlignment="1">
      <alignment vertical="center"/>
    </xf>
    <xf numFmtId="0" fontId="47" fillId="2" borderId="21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7" xfId="0" applyFont="1" applyFill="1" applyBorder="1" applyAlignment="1">
      <alignment horizontal="left" vertical="center"/>
    </xf>
    <xf numFmtId="0" fontId="47" fillId="2" borderId="7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41" fontId="0" fillId="0" borderId="0" xfId="2" applyFont="1" applyFill="1"/>
    <xf numFmtId="41" fontId="16" fillId="0" borderId="0" xfId="2" applyFont="1" applyFill="1"/>
    <xf numFmtId="3" fontId="16" fillId="2" borderId="30" xfId="6" applyNumberFormat="1" applyFont="1" applyFill="1" applyBorder="1" applyAlignment="1">
      <alignment horizontal="left" vertical="center"/>
    </xf>
    <xf numFmtId="0" fontId="47" fillId="2" borderId="14" xfId="0" applyFont="1" applyFill="1" applyBorder="1" applyAlignment="1">
      <alignment horizontal="left" vertical="center" shrinkToFit="1"/>
    </xf>
    <xf numFmtId="3" fontId="16" fillId="2" borderId="0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3" fontId="47" fillId="2" borderId="0" xfId="12708" applyNumberFormat="1" applyFont="1" applyFill="1" applyBorder="1" applyAlignment="1">
      <alignment vertical="center"/>
    </xf>
    <xf numFmtId="3" fontId="47" fillId="2" borderId="2" xfId="12708" applyNumberFormat="1" applyFont="1" applyFill="1" applyBorder="1" applyAlignment="1">
      <alignment vertical="center"/>
    </xf>
    <xf numFmtId="3" fontId="47" fillId="2" borderId="32" xfId="6" applyNumberFormat="1" applyFont="1" applyFill="1" applyBorder="1" applyAlignment="1">
      <alignment vertical="center"/>
    </xf>
    <xf numFmtId="3" fontId="47" fillId="2" borderId="1" xfId="12708" applyNumberFormat="1" applyFont="1" applyFill="1" applyBorder="1" applyAlignment="1">
      <alignment vertical="center"/>
    </xf>
    <xf numFmtId="0" fontId="75" fillId="2" borderId="0" xfId="0" applyFont="1" applyFill="1" applyBorder="1" applyAlignment="1"/>
    <xf numFmtId="0" fontId="75" fillId="2" borderId="10" xfId="0" applyFont="1" applyFill="1" applyBorder="1" applyAlignment="1"/>
    <xf numFmtId="178" fontId="47" fillId="2" borderId="35" xfId="0" applyNumberFormat="1" applyFont="1" applyFill="1" applyBorder="1" applyAlignment="1">
      <alignment vertical="center"/>
    </xf>
    <xf numFmtId="0" fontId="75" fillId="2" borderId="26" xfId="0" applyFont="1" applyFill="1" applyBorder="1" applyAlignment="1"/>
    <xf numFmtId="0" fontId="75" fillId="2" borderId="2" xfId="0" applyFont="1" applyFill="1" applyBorder="1" applyAlignment="1"/>
    <xf numFmtId="178" fontId="47" fillId="2" borderId="0" xfId="0" applyNumberFormat="1" applyFont="1" applyFill="1" applyBorder="1" applyAlignment="1">
      <alignment horizontal="center" vertical="center"/>
    </xf>
    <xf numFmtId="177" fontId="16" fillId="2" borderId="31" xfId="6" applyNumberFormat="1" applyFont="1" applyFill="1" applyBorder="1" applyAlignment="1">
      <alignment vertical="center"/>
    </xf>
    <xf numFmtId="177" fontId="47" fillId="2" borderId="31" xfId="0" applyNumberFormat="1" applyFont="1" applyFill="1" applyBorder="1" applyAlignment="1">
      <alignment horizontal="right" vertical="center"/>
    </xf>
    <xf numFmtId="177" fontId="47" fillId="2" borderId="23" xfId="0" applyNumberFormat="1" applyFont="1" applyFill="1" applyBorder="1" applyAlignment="1">
      <alignment horizontal="right" vertical="center"/>
    </xf>
    <xf numFmtId="0" fontId="75" fillId="2" borderId="31" xfId="0" applyFont="1" applyFill="1" applyBorder="1" applyAlignment="1"/>
    <xf numFmtId="178" fontId="47" fillId="2" borderId="3" xfId="0" applyNumberFormat="1" applyFont="1" applyFill="1" applyBorder="1" applyAlignment="1">
      <alignment vertical="center"/>
    </xf>
    <xf numFmtId="184" fontId="47" fillId="2" borderId="10" xfId="0" applyNumberFormat="1" applyFont="1" applyFill="1" applyBorder="1" applyAlignment="1">
      <alignment vertical="center"/>
    </xf>
    <xf numFmtId="0" fontId="36" fillId="2" borderId="0" xfId="6" applyFont="1" applyFill="1" applyAlignment="1">
      <alignment horizontal="left" vertical="center"/>
    </xf>
    <xf numFmtId="184" fontId="47" fillId="2" borderId="25" xfId="0" applyNumberFormat="1" applyFont="1" applyFill="1" applyBorder="1" applyAlignment="1">
      <alignment horizontal="right" vertical="center"/>
    </xf>
    <xf numFmtId="184" fontId="47" fillId="2" borderId="25" xfId="0" applyNumberFormat="1" applyFont="1" applyFill="1" applyBorder="1" applyAlignment="1">
      <alignment vertical="center"/>
    </xf>
    <xf numFmtId="184" fontId="47" fillId="2" borderId="34" xfId="6" applyNumberFormat="1" applyFont="1" applyFill="1" applyBorder="1" applyAlignment="1">
      <alignment horizontal="right" vertical="center"/>
    </xf>
    <xf numFmtId="3" fontId="16" fillId="2" borderId="60" xfId="6" applyNumberFormat="1" applyFont="1" applyFill="1" applyBorder="1" applyAlignment="1">
      <alignment vertical="center"/>
    </xf>
    <xf numFmtId="3" fontId="47" fillId="2" borderId="26" xfId="0" applyNumberFormat="1" applyFont="1" applyFill="1" applyBorder="1" applyAlignment="1">
      <alignment horizontal="left" vertical="center" shrinkToFit="1"/>
    </xf>
    <xf numFmtId="177" fontId="48" fillId="2" borderId="0" xfId="0" applyNumberFormat="1" applyFont="1" applyFill="1" applyBorder="1" applyAlignment="1">
      <alignment vertical="center"/>
    </xf>
    <xf numFmtId="177" fontId="48" fillId="2" borderId="0" xfId="0" applyNumberFormat="1" applyFont="1" applyFill="1" applyBorder="1" applyAlignment="1">
      <alignment horizontal="right" vertical="center"/>
    </xf>
    <xf numFmtId="0" fontId="48" fillId="2" borderId="0" xfId="0" applyFont="1" applyFill="1" applyBorder="1" applyAlignment="1">
      <alignment horizontal="center" vertical="center"/>
    </xf>
    <xf numFmtId="177" fontId="47" fillId="2" borderId="52" xfId="2" applyNumberFormat="1" applyFont="1" applyFill="1" applyBorder="1" applyAlignment="1">
      <alignment vertical="center"/>
    </xf>
    <xf numFmtId="177" fontId="47" fillId="2" borderId="31" xfId="2" applyNumberFormat="1" applyFont="1" applyFill="1" applyBorder="1" applyAlignment="1">
      <alignment vertical="center"/>
    </xf>
    <xf numFmtId="41" fontId="0" fillId="2" borderId="10" xfId="2" applyFont="1" applyFill="1" applyBorder="1" applyAlignment="1">
      <alignment vertical="center"/>
    </xf>
    <xf numFmtId="41" fontId="48" fillId="2" borderId="31" xfId="2" applyFont="1" applyFill="1" applyBorder="1" applyAlignment="1">
      <alignment vertical="center"/>
    </xf>
    <xf numFmtId="182" fontId="16" fillId="2" borderId="0" xfId="6" applyNumberFormat="1" applyFont="1" applyFill="1" applyBorder="1" applyAlignment="1">
      <alignment vertical="center"/>
    </xf>
    <xf numFmtId="0" fontId="47" fillId="2" borderId="58" xfId="0" applyFont="1" applyFill="1" applyBorder="1" applyAlignment="1">
      <alignment vertical="center"/>
    </xf>
    <xf numFmtId="0" fontId="47" fillId="2" borderId="7" xfId="6" applyNumberFormat="1" applyFont="1" applyFill="1" applyBorder="1" applyAlignment="1">
      <alignment horizontal="right" vertical="center"/>
    </xf>
    <xf numFmtId="177" fontId="47" fillId="2" borderId="26" xfId="0" applyNumberFormat="1" applyFont="1" applyFill="1" applyBorder="1" applyAlignment="1">
      <alignment vertical="center"/>
    </xf>
    <xf numFmtId="177" fontId="47" fillId="2" borderId="32" xfId="0" applyNumberFormat="1" applyFont="1" applyFill="1" applyBorder="1" applyAlignment="1">
      <alignment vertical="center"/>
    </xf>
    <xf numFmtId="177" fontId="47" fillId="2" borderId="5" xfId="0" applyNumberFormat="1" applyFont="1" applyFill="1" applyBorder="1" applyAlignment="1">
      <alignment vertical="center" shrinkToFit="1"/>
    </xf>
    <xf numFmtId="178" fontId="16" fillId="2" borderId="26" xfId="0" applyNumberFormat="1" applyFont="1" applyFill="1" applyBorder="1" applyAlignment="1">
      <alignment vertical="center"/>
    </xf>
    <xf numFmtId="197" fontId="16" fillId="2" borderId="16" xfId="0" applyNumberFormat="1" applyFont="1" applyFill="1" applyBorder="1" applyAlignment="1">
      <alignment horizontal="left" vertical="center"/>
    </xf>
    <xf numFmtId="197" fontId="16" fillId="2" borderId="0" xfId="0" applyNumberFormat="1" applyFont="1" applyFill="1" applyBorder="1" applyAlignment="1">
      <alignment horizontal="left" vertical="center"/>
    </xf>
    <xf numFmtId="197" fontId="16" fillId="2" borderId="0" xfId="0" applyNumberFormat="1" applyFont="1" applyFill="1" applyBorder="1" applyAlignment="1">
      <alignment vertical="center"/>
    </xf>
    <xf numFmtId="197" fontId="0" fillId="2" borderId="0" xfId="0" applyNumberFormat="1" applyFont="1" applyFill="1" applyBorder="1"/>
    <xf numFmtId="177" fontId="47" fillId="2" borderId="2" xfId="6" applyNumberFormat="1" applyFont="1" applyFill="1" applyBorder="1" applyAlignment="1">
      <alignment horizontal="right" vertical="center"/>
    </xf>
    <xf numFmtId="1" fontId="16" fillId="2" borderId="0" xfId="0" applyNumberFormat="1" applyFont="1" applyFill="1" applyBorder="1" applyAlignment="1">
      <alignment vertical="center"/>
    </xf>
    <xf numFmtId="41" fontId="18" fillId="2" borderId="12" xfId="2" applyFont="1" applyFill="1" applyBorder="1" applyAlignment="1">
      <alignment vertical="center"/>
    </xf>
    <xf numFmtId="0" fontId="16" fillId="0" borderId="26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16" fillId="2" borderId="9" xfId="0" applyFont="1" applyFill="1" applyBorder="1" applyAlignment="1">
      <alignment horizontal="left" vertical="center" wrapText="1"/>
    </xf>
    <xf numFmtId="3" fontId="16" fillId="2" borderId="6" xfId="2" applyNumberFormat="1" applyFont="1" applyFill="1" applyBorder="1" applyAlignment="1">
      <alignment horizontal="left" vertical="center"/>
    </xf>
    <xf numFmtId="0" fontId="16" fillId="2" borderId="25" xfId="0" applyFont="1" applyFill="1" applyBorder="1" applyAlignment="1">
      <alignment horizontal="left" vertical="center" wrapText="1"/>
    </xf>
    <xf numFmtId="184" fontId="16" fillId="2" borderId="0" xfId="1" applyNumberFormat="1" applyFont="1" applyFill="1" applyBorder="1" applyAlignment="1">
      <alignment vertical="center"/>
    </xf>
    <xf numFmtId="176" fontId="16" fillId="2" borderId="0" xfId="1" applyNumberFormat="1" applyFont="1" applyFill="1" applyBorder="1" applyAlignment="1">
      <alignment vertical="center"/>
    </xf>
    <xf numFmtId="177" fontId="45" fillId="2" borderId="35" xfId="6" applyNumberFormat="1" applyFont="1" applyFill="1" applyBorder="1" applyAlignment="1">
      <alignment horizontal="right" vertical="center"/>
    </xf>
    <xf numFmtId="177" fontId="45" fillId="2" borderId="36" xfId="6" applyNumberFormat="1" applyFont="1" applyFill="1" applyBorder="1" applyAlignment="1">
      <alignment horizontal="right" vertical="center"/>
    </xf>
    <xf numFmtId="3" fontId="47" fillId="2" borderId="9" xfId="6" applyNumberFormat="1" applyFont="1" applyFill="1" applyBorder="1" applyAlignment="1">
      <alignment horizontal="right" vertical="center"/>
    </xf>
    <xf numFmtId="3" fontId="16" fillId="2" borderId="7" xfId="6" applyNumberFormat="1" applyFont="1" applyFill="1" applyBorder="1">
      <alignment vertical="center"/>
    </xf>
    <xf numFmtId="0" fontId="0" fillId="2" borderId="2" xfId="0" applyFont="1" applyFill="1" applyBorder="1" applyAlignment="1">
      <alignment vertical="center"/>
    </xf>
    <xf numFmtId="0" fontId="16" fillId="2" borderId="24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horizontal="right" vertical="center"/>
    </xf>
    <xf numFmtId="178" fontId="16" fillId="2" borderId="135" xfId="0" applyNumberFormat="1" applyFont="1" applyFill="1" applyBorder="1" applyAlignment="1">
      <alignment vertical="center"/>
    </xf>
    <xf numFmtId="41" fontId="16" fillId="2" borderId="35" xfId="2" applyFont="1" applyFill="1" applyBorder="1" applyAlignment="1">
      <alignment vertical="center"/>
    </xf>
    <xf numFmtId="41" fontId="16" fillId="2" borderId="16" xfId="2" applyFont="1" applyFill="1" applyBorder="1" applyAlignment="1">
      <alignment vertical="center"/>
    </xf>
    <xf numFmtId="41" fontId="16" fillId="2" borderId="136" xfId="2" applyFont="1" applyFill="1" applyBorder="1" applyAlignment="1">
      <alignment horizontal="left" vertical="center"/>
    </xf>
    <xf numFmtId="178" fontId="16" fillId="2" borderId="0" xfId="2" applyNumberFormat="1" applyFont="1" applyFill="1" applyBorder="1" applyAlignment="1">
      <alignment vertical="center"/>
    </xf>
    <xf numFmtId="0" fontId="16" fillId="2" borderId="0" xfId="0" quotePrefix="1" applyFont="1" applyFill="1" applyBorder="1" applyAlignment="1">
      <alignment vertical="center"/>
    </xf>
    <xf numFmtId="3" fontId="16" fillId="2" borderId="136" xfId="6" applyNumberFormat="1" applyFont="1" applyFill="1" applyBorder="1" applyAlignment="1">
      <alignment vertical="center"/>
    </xf>
    <xf numFmtId="185" fontId="16" fillId="2" borderId="0" xfId="0" applyNumberFormat="1" applyFont="1" applyFill="1" applyBorder="1" applyAlignment="1">
      <alignment vertical="center"/>
    </xf>
    <xf numFmtId="185" fontId="0" fillId="2" borderId="0" xfId="2" applyNumberFormat="1" applyFont="1" applyFill="1" applyBorder="1" applyAlignment="1">
      <alignment vertical="center"/>
    </xf>
    <xf numFmtId="177" fontId="16" fillId="2" borderId="0" xfId="0" applyNumberFormat="1" applyFont="1" applyFill="1" applyBorder="1" applyAlignment="1">
      <alignment horizontal="right" vertical="center" wrapText="1"/>
    </xf>
    <xf numFmtId="178" fontId="47" fillId="2" borderId="0" xfId="50733" applyNumberFormat="1" applyFont="1" applyFill="1" applyBorder="1" applyAlignment="1">
      <alignment vertical="center"/>
    </xf>
    <xf numFmtId="41" fontId="16" fillId="2" borderId="136" xfId="2" applyFont="1" applyFill="1" applyBorder="1" applyAlignment="1">
      <alignment vertical="center"/>
    </xf>
    <xf numFmtId="178" fontId="16" fillId="2" borderId="136" xfId="0" applyNumberFormat="1" applyFont="1" applyFill="1" applyBorder="1" applyAlignment="1">
      <alignment vertical="center"/>
    </xf>
    <xf numFmtId="177" fontId="18" fillId="2" borderId="25" xfId="6" applyNumberFormat="1" applyFont="1" applyFill="1" applyBorder="1" applyAlignment="1">
      <alignment horizontal="right" vertical="center"/>
    </xf>
    <xf numFmtId="177" fontId="18" fillId="2" borderId="40" xfId="6" applyNumberFormat="1" applyFont="1" applyFill="1" applyBorder="1" applyAlignment="1">
      <alignment horizontal="right" vertical="center"/>
    </xf>
    <xf numFmtId="177" fontId="16" fillId="2" borderId="25" xfId="0" applyNumberFormat="1" applyFont="1" applyFill="1" applyBorder="1" applyAlignment="1">
      <alignment horizontal="right" vertical="center"/>
    </xf>
    <xf numFmtId="177" fontId="47" fillId="2" borderId="25" xfId="0" applyNumberFormat="1" applyFont="1" applyFill="1" applyBorder="1" applyAlignment="1">
      <alignment horizontal="right" vertical="center"/>
    </xf>
    <xf numFmtId="3" fontId="16" fillId="2" borderId="5" xfId="6" applyNumberFormat="1" applyFont="1" applyFill="1" applyBorder="1" applyAlignment="1">
      <alignment horizontal="left" vertical="center"/>
    </xf>
    <xf numFmtId="3" fontId="16" fillId="2" borderId="20" xfId="6" applyNumberFormat="1" applyFont="1" applyFill="1" applyBorder="1" applyAlignment="1">
      <alignment horizontal="left" vertical="center"/>
    </xf>
    <xf numFmtId="177" fontId="16" fillId="2" borderId="5" xfId="2" applyNumberFormat="1" applyFont="1" applyFill="1" applyBorder="1" applyAlignment="1">
      <alignment vertical="center"/>
    </xf>
    <xf numFmtId="41" fontId="16" fillId="2" borderId="142" xfId="2" applyFont="1" applyFill="1" applyBorder="1" applyAlignment="1">
      <alignment vertical="center"/>
    </xf>
    <xf numFmtId="3" fontId="16" fillId="2" borderId="137" xfId="2" applyNumberFormat="1" applyFont="1" applyFill="1" applyBorder="1" applyAlignment="1">
      <alignment vertical="center"/>
    </xf>
    <xf numFmtId="3" fontId="16" fillId="2" borderId="141" xfId="0" applyNumberFormat="1" applyFont="1" applyFill="1" applyBorder="1" applyAlignment="1">
      <alignment vertical="center"/>
    </xf>
    <xf numFmtId="3" fontId="16" fillId="2" borderId="138" xfId="0" applyNumberFormat="1" applyFont="1" applyFill="1" applyBorder="1" applyAlignment="1">
      <alignment vertical="center"/>
    </xf>
    <xf numFmtId="3" fontId="16" fillId="2" borderId="139" xfId="6" applyNumberFormat="1" applyFont="1" applyFill="1" applyBorder="1" applyAlignment="1">
      <alignment horizontal="left" vertical="center"/>
    </xf>
    <xf numFmtId="3" fontId="16" fillId="2" borderId="139" xfId="0" applyNumberFormat="1" applyFont="1" applyFill="1" applyBorder="1" applyAlignment="1">
      <alignment horizontal="right" vertical="center"/>
    </xf>
    <xf numFmtId="3" fontId="16" fillId="2" borderId="139" xfId="0" applyNumberFormat="1" applyFont="1" applyFill="1" applyBorder="1" applyAlignment="1">
      <alignment horizontal="left" vertical="center"/>
    </xf>
    <xf numFmtId="3" fontId="16" fillId="2" borderId="139" xfId="2" applyNumberFormat="1" applyFont="1" applyFill="1" applyBorder="1" applyAlignment="1">
      <alignment vertical="center"/>
    </xf>
    <xf numFmtId="3" fontId="16" fillId="2" borderId="139" xfId="0" applyNumberFormat="1" applyFont="1" applyFill="1" applyBorder="1" applyAlignment="1">
      <alignment vertical="center"/>
    </xf>
    <xf numFmtId="3" fontId="16" fillId="2" borderId="139" xfId="0" applyNumberFormat="1" applyFont="1" applyFill="1" applyBorder="1" applyAlignment="1">
      <alignment horizontal="center" vertical="center"/>
    </xf>
    <xf numFmtId="3" fontId="16" fillId="2" borderId="140" xfId="2" applyNumberFormat="1" applyFont="1" applyFill="1" applyBorder="1" applyAlignment="1">
      <alignment vertical="center"/>
    </xf>
    <xf numFmtId="178" fontId="18" fillId="2" borderId="2" xfId="0" applyNumberFormat="1" applyFont="1" applyFill="1" applyBorder="1" applyAlignment="1">
      <alignment vertical="center"/>
    </xf>
    <xf numFmtId="3" fontId="16" fillId="2" borderId="125" xfId="0" applyNumberFormat="1" applyFont="1" applyFill="1" applyBorder="1" applyAlignment="1">
      <alignment vertical="center"/>
    </xf>
    <xf numFmtId="178" fontId="16" fillId="2" borderId="124" xfId="0" applyNumberFormat="1" applyFont="1" applyFill="1" applyBorder="1" applyAlignment="1">
      <alignment vertical="center"/>
    </xf>
    <xf numFmtId="3" fontId="16" fillId="2" borderId="126" xfId="0" applyNumberFormat="1" applyFont="1" applyFill="1" applyBorder="1" applyAlignment="1">
      <alignment vertical="center"/>
    </xf>
    <xf numFmtId="177" fontId="16" fillId="2" borderId="127" xfId="2" applyNumberFormat="1" applyFont="1" applyFill="1" applyBorder="1" applyAlignment="1">
      <alignment vertical="center"/>
    </xf>
    <xf numFmtId="177" fontId="16" fillId="2" borderId="134" xfId="2" applyNumberFormat="1" applyFont="1" applyFill="1" applyBorder="1" applyAlignment="1">
      <alignment vertical="center"/>
    </xf>
    <xf numFmtId="0" fontId="16" fillId="2" borderId="130" xfId="0" applyFont="1" applyFill="1" applyBorder="1" applyAlignment="1">
      <alignment vertical="center"/>
    </xf>
    <xf numFmtId="3" fontId="16" fillId="2" borderId="131" xfId="0" applyNumberFormat="1" applyFont="1" applyFill="1" applyBorder="1" applyAlignment="1">
      <alignment vertical="center"/>
    </xf>
    <xf numFmtId="3" fontId="16" fillId="2" borderId="132" xfId="6" applyNumberFormat="1" applyFont="1" applyFill="1" applyBorder="1" applyAlignment="1">
      <alignment horizontal="left" vertical="center"/>
    </xf>
    <xf numFmtId="0" fontId="16" fillId="2" borderId="132" xfId="0" applyFont="1" applyFill="1" applyBorder="1" applyAlignment="1">
      <alignment vertical="center"/>
    </xf>
    <xf numFmtId="3" fontId="16" fillId="2" borderId="132" xfId="6" applyNumberFormat="1" applyFont="1" applyFill="1" applyBorder="1" applyAlignment="1">
      <alignment horizontal="right" vertical="center"/>
    </xf>
    <xf numFmtId="3" fontId="16" fillId="2" borderId="132" xfId="0" applyNumberFormat="1" applyFont="1" applyFill="1" applyBorder="1" applyAlignment="1">
      <alignment horizontal="left" vertical="center"/>
    </xf>
    <xf numFmtId="3" fontId="16" fillId="2" borderId="132" xfId="0" applyNumberFormat="1" applyFont="1" applyFill="1" applyBorder="1" applyAlignment="1">
      <alignment vertical="center"/>
    </xf>
    <xf numFmtId="3" fontId="16" fillId="2" borderId="132" xfId="6" applyNumberFormat="1" applyFont="1" applyFill="1" applyBorder="1" applyAlignment="1">
      <alignment vertical="center"/>
    </xf>
    <xf numFmtId="3" fontId="16" fillId="2" borderId="132" xfId="6" applyNumberFormat="1" applyFont="1" applyFill="1" applyBorder="1" applyAlignment="1">
      <alignment horizontal="center" vertical="center"/>
    </xf>
    <xf numFmtId="3" fontId="16" fillId="2" borderId="129" xfId="2" applyNumberFormat="1" applyFont="1" applyFill="1" applyBorder="1" applyAlignment="1">
      <alignment vertical="center"/>
    </xf>
    <xf numFmtId="178" fontId="16" fillId="2" borderId="133" xfId="0" applyNumberFormat="1" applyFont="1" applyFill="1" applyBorder="1" applyAlignment="1">
      <alignment vertical="center"/>
    </xf>
    <xf numFmtId="0" fontId="16" fillId="2" borderId="58" xfId="0" applyFont="1" applyFill="1" applyBorder="1" applyAlignment="1">
      <alignment vertical="center"/>
    </xf>
    <xf numFmtId="41" fontId="16" fillId="2" borderId="124" xfId="2" applyFont="1" applyFill="1" applyBorder="1" applyAlignment="1">
      <alignment vertical="center"/>
    </xf>
    <xf numFmtId="3" fontId="16" fillId="2" borderId="132" xfId="0" quotePrefix="1" applyNumberFormat="1" applyFont="1" applyFill="1" applyBorder="1" applyAlignment="1">
      <alignment horizontal="center" vertical="center"/>
    </xf>
    <xf numFmtId="41" fontId="16" fillId="2" borderId="133" xfId="2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16" fillId="2" borderId="28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41" fontId="48" fillId="10" borderId="0" xfId="2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41" fontId="47" fillId="10" borderId="0" xfId="2" applyFont="1" applyFill="1" applyBorder="1" applyAlignment="1">
      <alignment vertical="center"/>
    </xf>
    <xf numFmtId="0" fontId="0" fillId="10" borderId="12" xfId="0" applyFont="1" applyFill="1" applyBorder="1" applyAlignment="1">
      <alignment vertical="center"/>
    </xf>
    <xf numFmtId="3" fontId="16" fillId="10" borderId="2" xfId="2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41" fontId="47" fillId="10" borderId="0" xfId="2" applyFont="1" applyFill="1" applyBorder="1" applyAlignment="1">
      <alignment horizontal="center" vertical="center"/>
    </xf>
    <xf numFmtId="3" fontId="16" fillId="2" borderId="0" xfId="6" applyNumberFormat="1" applyFont="1" applyFill="1" applyBorder="1" applyAlignment="1">
      <alignment horizontal="left" vertical="center"/>
    </xf>
    <xf numFmtId="0" fontId="47" fillId="2" borderId="31" xfId="0" applyFont="1" applyFill="1" applyBorder="1" applyAlignment="1">
      <alignment horizontal="left" vertical="center"/>
    </xf>
    <xf numFmtId="0" fontId="16" fillId="2" borderId="16" xfId="0" applyFont="1" applyFill="1" applyBorder="1" applyAlignment="1">
      <alignment horizontal="left" vertical="center"/>
    </xf>
    <xf numFmtId="3" fontId="47" fillId="0" borderId="29" xfId="0" applyNumberFormat="1" applyFont="1" applyFill="1" applyBorder="1" applyAlignment="1">
      <alignment vertical="center"/>
    </xf>
    <xf numFmtId="3" fontId="85" fillId="0" borderId="30" xfId="6" applyNumberFormat="1" applyFont="1" applyFill="1" applyBorder="1" applyAlignment="1">
      <alignment horizontal="left" vertical="center"/>
    </xf>
    <xf numFmtId="3" fontId="85" fillId="0" borderId="30" xfId="6" applyNumberFormat="1" applyFont="1" applyFill="1" applyBorder="1" applyAlignment="1">
      <alignment horizontal="right" vertical="center"/>
    </xf>
    <xf numFmtId="3" fontId="85" fillId="0" borderId="30" xfId="2" applyNumberFormat="1" applyFont="1" applyFill="1" applyBorder="1" applyAlignment="1">
      <alignment horizontal="left" vertical="center"/>
    </xf>
    <xf numFmtId="3" fontId="47" fillId="0" borderId="30" xfId="0" applyNumberFormat="1" applyFont="1" applyFill="1" applyBorder="1" applyAlignment="1">
      <alignment vertical="center"/>
    </xf>
    <xf numFmtId="3" fontId="47" fillId="0" borderId="30" xfId="0" applyNumberFormat="1" applyFont="1" applyFill="1" applyBorder="1" applyAlignment="1">
      <alignment horizontal="left" vertical="center"/>
    </xf>
    <xf numFmtId="177" fontId="47" fillId="0" borderId="15" xfId="2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41" fontId="16" fillId="10" borderId="2" xfId="2" applyFont="1" applyFill="1" applyBorder="1" applyAlignment="1">
      <alignment horizontal="right" vertical="center"/>
    </xf>
    <xf numFmtId="3" fontId="48" fillId="2" borderId="58" xfId="0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18" fillId="2" borderId="45" xfId="6" applyNumberFormat="1" applyFont="1" applyFill="1" applyBorder="1" applyAlignment="1">
      <alignment horizontal="center" vertical="center"/>
    </xf>
    <xf numFmtId="0" fontId="47" fillId="2" borderId="13" xfId="0" applyFont="1" applyFill="1" applyBorder="1" applyAlignment="1">
      <alignment horizontal="left" vertical="center"/>
    </xf>
    <xf numFmtId="0" fontId="47" fillId="2" borderId="28" xfId="0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47" fillId="2" borderId="30" xfId="0" applyFont="1" applyFill="1" applyBorder="1" applyAlignment="1">
      <alignment vertical="center"/>
    </xf>
    <xf numFmtId="0" fontId="47" fillId="2" borderId="0" xfId="0" applyFont="1" applyFill="1" applyBorder="1" applyAlignment="1">
      <alignment vertical="center" shrinkToFit="1"/>
    </xf>
    <xf numFmtId="0" fontId="47" fillId="2" borderId="16" xfId="0" applyFont="1" applyFill="1" applyBorder="1" applyAlignment="1">
      <alignment horizontal="left"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31" xfId="0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41" fontId="16" fillId="6" borderId="0" xfId="2" applyFont="1" applyFill="1" applyAlignment="1">
      <alignment horizontal="center" vertical="center"/>
    </xf>
    <xf numFmtId="41" fontId="47" fillId="6" borderId="0" xfId="2" applyFont="1" applyFill="1" applyAlignment="1">
      <alignment horizontal="center" vertical="center"/>
    </xf>
    <xf numFmtId="0" fontId="48" fillId="10" borderId="0" xfId="0" applyFont="1" applyFill="1"/>
    <xf numFmtId="0" fontId="0" fillId="2" borderId="6" xfId="0" applyFont="1" applyFill="1" applyBorder="1" applyAlignment="1">
      <alignment vertical="center"/>
    </xf>
    <xf numFmtId="0" fontId="0" fillId="2" borderId="58" xfId="0" applyFont="1" applyFill="1" applyBorder="1" applyAlignment="1">
      <alignment vertical="center"/>
    </xf>
    <xf numFmtId="3" fontId="47" fillId="2" borderId="58" xfId="6" applyNumberFormat="1" applyFont="1" applyFill="1" applyBorder="1" applyAlignment="1">
      <alignment horizontal="left" vertical="center"/>
    </xf>
    <xf numFmtId="41" fontId="47" fillId="2" borderId="59" xfId="2" applyFont="1" applyFill="1" applyBorder="1" applyAlignment="1">
      <alignment vertical="center"/>
    </xf>
    <xf numFmtId="3" fontId="18" fillId="2" borderId="43" xfId="6" applyNumberFormat="1" applyFont="1" applyFill="1" applyBorder="1" applyAlignment="1">
      <alignment horizontal="left" vertical="center"/>
    </xf>
    <xf numFmtId="41" fontId="18" fillId="2" borderId="59" xfId="2" applyFont="1" applyFill="1" applyBorder="1" applyAlignment="1">
      <alignment vertical="center"/>
    </xf>
    <xf numFmtId="41" fontId="16" fillId="2" borderId="58" xfId="2" applyFont="1" applyFill="1" applyBorder="1" applyAlignment="1">
      <alignment vertical="center"/>
    </xf>
    <xf numFmtId="3" fontId="16" fillId="2" borderId="3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vertical="center"/>
    </xf>
    <xf numFmtId="0" fontId="47" fillId="2" borderId="30" xfId="0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41" fontId="16" fillId="10" borderId="12" xfId="2" applyFont="1" applyFill="1" applyBorder="1" applyAlignment="1">
      <alignment vertical="center"/>
    </xf>
    <xf numFmtId="3" fontId="16" fillId="2" borderId="7" xfId="6" applyNumberFormat="1" applyFont="1" applyFill="1" applyBorder="1" applyAlignment="1">
      <alignment horizontal="left" vertical="center"/>
    </xf>
    <xf numFmtId="0" fontId="16" fillId="2" borderId="52" xfId="0" applyFont="1" applyFill="1" applyBorder="1" applyAlignment="1">
      <alignment vertical="center" wrapText="1"/>
    </xf>
    <xf numFmtId="3" fontId="16" fillId="2" borderId="37" xfId="0" applyNumberFormat="1" applyFont="1" applyFill="1" applyBorder="1" applyAlignment="1">
      <alignment vertical="center"/>
    </xf>
    <xf numFmtId="0" fontId="48" fillId="2" borderId="3" xfId="0" applyFont="1" applyFill="1" applyBorder="1" applyAlignment="1">
      <alignment vertical="center"/>
    </xf>
    <xf numFmtId="3" fontId="16" fillId="2" borderId="7" xfId="6" applyNumberFormat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41" fontId="17" fillId="2" borderId="16" xfId="2" applyFont="1" applyFill="1" applyBorder="1" applyAlignment="1">
      <alignment vertical="center"/>
    </xf>
    <xf numFmtId="41" fontId="17" fillId="2" borderId="0" xfId="2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0" fontId="47" fillId="2" borderId="7" xfId="0" applyFont="1" applyFill="1" applyBorder="1" applyAlignment="1">
      <alignment vertical="center" wrapText="1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26" xfId="0" applyFont="1" applyFill="1" applyBorder="1" applyAlignment="1">
      <alignment horizontal="left" vertical="center" shrinkToFit="1"/>
    </xf>
    <xf numFmtId="0" fontId="47" fillId="2" borderId="31" xfId="0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41" fontId="47" fillId="6" borderId="0" xfId="2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199" fontId="0" fillId="2" borderId="0" xfId="0" applyNumberFormat="1" applyFont="1" applyFill="1" applyBorder="1" applyAlignment="1">
      <alignment vertical="center"/>
    </xf>
    <xf numFmtId="41" fontId="25" fillId="0" borderId="0" xfId="0" applyNumberFormat="1" applyFont="1" applyAlignment="1">
      <alignment vertical="center"/>
    </xf>
    <xf numFmtId="41" fontId="16" fillId="2" borderId="61" xfId="2" applyFont="1" applyFill="1" applyBorder="1" applyAlignment="1">
      <alignment vertical="center"/>
    </xf>
    <xf numFmtId="41" fontId="16" fillId="2" borderId="57" xfId="2" applyFont="1" applyFill="1" applyBorder="1" applyAlignment="1">
      <alignment vertical="center"/>
    </xf>
    <xf numFmtId="41" fontId="16" fillId="2" borderId="143" xfId="2" applyFont="1" applyFill="1" applyBorder="1" applyAlignment="1">
      <alignment vertical="center"/>
    </xf>
    <xf numFmtId="41" fontId="16" fillId="2" borderId="143" xfId="2" applyFont="1" applyFill="1" applyBorder="1" applyAlignment="1">
      <alignment horizontal="left" vertical="center"/>
    </xf>
    <xf numFmtId="41" fontId="16" fillId="2" borderId="60" xfId="2" applyFont="1" applyFill="1" applyBorder="1" applyAlignment="1">
      <alignment horizontal="left" vertical="center"/>
    </xf>
    <xf numFmtId="41" fontId="16" fillId="2" borderId="59" xfId="2" applyFont="1" applyFill="1" applyBorder="1" applyAlignment="1">
      <alignment horizontal="left" vertical="center"/>
    </xf>
    <xf numFmtId="41" fontId="18" fillId="2" borderId="143" xfId="2" applyFont="1" applyFill="1" applyBorder="1" applyAlignment="1">
      <alignment horizontal="left" vertical="center"/>
    </xf>
    <xf numFmtId="41" fontId="16" fillId="2" borderId="59" xfId="2" applyFont="1" applyFill="1" applyBorder="1" applyAlignment="1">
      <alignment horizontal="right" vertical="center"/>
    </xf>
    <xf numFmtId="3" fontId="16" fillId="2" borderId="59" xfId="2" applyNumberFormat="1" applyFont="1" applyFill="1" applyBorder="1" applyAlignment="1">
      <alignment horizontal="right" vertical="center"/>
    </xf>
    <xf numFmtId="41" fontId="16" fillId="2" borderId="12" xfId="2" applyNumberFormat="1" applyFont="1" applyFill="1" applyBorder="1" applyAlignment="1">
      <alignment vertical="center"/>
    </xf>
    <xf numFmtId="41" fontId="47" fillId="2" borderId="60" xfId="2" applyFont="1" applyFill="1" applyBorder="1" applyAlignment="1">
      <alignment vertical="center"/>
    </xf>
    <xf numFmtId="41" fontId="16" fillId="10" borderId="59" xfId="2" applyFont="1" applyFill="1" applyBorder="1" applyAlignment="1">
      <alignment horizontal="left" vertical="center"/>
    </xf>
    <xf numFmtId="178" fontId="16" fillId="10" borderId="12" xfId="0" applyNumberFormat="1" applyFont="1" applyFill="1" applyBorder="1" applyAlignment="1">
      <alignment vertical="center"/>
    </xf>
    <xf numFmtId="41" fontId="16" fillId="2" borderId="60" xfId="2" applyFont="1" applyFill="1" applyBorder="1" applyAlignment="1">
      <alignment horizontal="right" vertical="center"/>
    </xf>
    <xf numFmtId="41" fontId="47" fillId="2" borderId="57" xfId="2" applyFont="1" applyFill="1" applyBorder="1" applyAlignment="1">
      <alignment vertical="center"/>
    </xf>
    <xf numFmtId="178" fontId="18" fillId="2" borderId="143" xfId="0" applyNumberFormat="1" applyFont="1" applyFill="1" applyBorder="1" applyAlignment="1">
      <alignment vertical="center"/>
    </xf>
    <xf numFmtId="178" fontId="18" fillId="2" borderId="60" xfId="0" applyNumberFormat="1" applyFont="1" applyFill="1" applyBorder="1" applyAlignment="1">
      <alignment vertical="center"/>
    </xf>
    <xf numFmtId="3" fontId="16" fillId="2" borderId="12" xfId="2" applyNumberFormat="1" applyFont="1" applyFill="1" applyBorder="1" applyAlignment="1">
      <alignment vertical="center"/>
    </xf>
    <xf numFmtId="3" fontId="16" fillId="2" borderId="59" xfId="6" applyNumberFormat="1" applyFont="1" applyFill="1" applyBorder="1" applyAlignment="1">
      <alignment vertical="center"/>
    </xf>
    <xf numFmtId="3" fontId="16" fillId="2" borderId="58" xfId="6" applyNumberFormat="1" applyFont="1" applyFill="1" applyBorder="1" applyAlignment="1">
      <alignment vertical="center"/>
    </xf>
    <xf numFmtId="3" fontId="47" fillId="2" borderId="58" xfId="6" applyNumberFormat="1" applyFont="1" applyFill="1" applyBorder="1" applyAlignment="1">
      <alignment vertical="center"/>
    </xf>
    <xf numFmtId="3" fontId="16" fillId="2" borderId="57" xfId="6" applyNumberFormat="1" applyFont="1" applyFill="1" applyBorder="1" applyAlignment="1">
      <alignment vertical="center"/>
    </xf>
    <xf numFmtId="178" fontId="16" fillId="2" borderId="143" xfId="0" applyNumberFormat="1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41" fontId="48" fillId="6" borderId="0" xfId="2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3" fontId="50" fillId="2" borderId="10" xfId="6" applyNumberFormat="1" applyFont="1" applyFill="1" applyBorder="1">
      <alignment vertical="center"/>
    </xf>
    <xf numFmtId="3" fontId="50" fillId="2" borderId="7" xfId="6" applyNumberFormat="1" applyFont="1" applyFill="1" applyBorder="1" applyAlignment="1">
      <alignment horizontal="left" vertical="center"/>
    </xf>
    <xf numFmtId="3" fontId="50" fillId="2" borderId="21" xfId="6" applyNumberFormat="1" applyFont="1" applyFill="1" applyBorder="1" applyAlignment="1">
      <alignment vertical="center"/>
    </xf>
    <xf numFmtId="177" fontId="50" fillId="2" borderId="14" xfId="2" applyNumberFormat="1" applyFont="1" applyFill="1" applyBorder="1" applyAlignment="1">
      <alignment horizontal="right" vertical="center"/>
    </xf>
    <xf numFmtId="177" fontId="50" fillId="2" borderId="36" xfId="2" applyNumberFormat="1" applyFont="1" applyFill="1" applyBorder="1" applyAlignment="1">
      <alignment horizontal="right" vertical="center"/>
    </xf>
    <xf numFmtId="3" fontId="50" fillId="2" borderId="22" xfId="6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right" vertical="center"/>
    </xf>
    <xf numFmtId="3" fontId="50" fillId="2" borderId="36" xfId="6" applyNumberFormat="1" applyFont="1" applyFill="1" applyBorder="1" applyAlignment="1">
      <alignment horizontal="right" vertical="center"/>
    </xf>
    <xf numFmtId="3" fontId="50" fillId="2" borderId="69" xfId="6" applyNumberFormat="1" applyFont="1" applyFill="1" applyBorder="1" applyAlignment="1">
      <alignment horizontal="left" vertical="center"/>
    </xf>
    <xf numFmtId="3" fontId="50" fillId="2" borderId="21" xfId="6" applyNumberFormat="1" applyFont="1" applyFill="1" applyBorder="1" applyAlignment="1">
      <alignment horizontal="left" vertical="center"/>
    </xf>
    <xf numFmtId="3" fontId="47" fillId="2" borderId="7" xfId="6" applyNumberFormat="1" applyFont="1" applyFill="1" applyBorder="1" applyAlignment="1">
      <alignment horizontal="centerContinuous" vertical="center"/>
    </xf>
    <xf numFmtId="3" fontId="47" fillId="2" borderId="7" xfId="2" applyNumberFormat="1" applyFont="1" applyFill="1" applyBorder="1" applyAlignment="1">
      <alignment horizontal="centerContinuous" vertical="center"/>
    </xf>
    <xf numFmtId="3" fontId="47" fillId="2" borderId="16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3" fontId="47" fillId="2" borderId="16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0" fontId="47" fillId="2" borderId="6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0" fontId="47" fillId="2" borderId="21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3" fontId="47" fillId="2" borderId="6" xfId="50734" applyNumberFormat="1" applyFont="1" applyFill="1" applyBorder="1" applyAlignment="1">
      <alignment vertical="center"/>
    </xf>
    <xf numFmtId="3" fontId="47" fillId="2" borderId="3" xfId="50734" applyNumberFormat="1" applyFont="1" applyFill="1" applyBorder="1" applyAlignment="1">
      <alignment vertical="center"/>
    </xf>
    <xf numFmtId="3" fontId="47" fillId="2" borderId="0" xfId="50734" applyNumberFormat="1" applyFont="1" applyFill="1" applyBorder="1" applyAlignment="1">
      <alignment vertical="center"/>
    </xf>
    <xf numFmtId="3" fontId="47" fillId="2" borderId="2" xfId="50734" applyNumberFormat="1" applyFont="1" applyFill="1" applyBorder="1" applyAlignment="1">
      <alignment vertical="center"/>
    </xf>
    <xf numFmtId="3" fontId="47" fillId="2" borderId="7" xfId="50734" applyNumberFormat="1" applyFont="1" applyFill="1" applyBorder="1" applyAlignment="1">
      <alignment vertical="center"/>
    </xf>
    <xf numFmtId="3" fontId="47" fillId="2" borderId="4" xfId="50734" applyNumberFormat="1" applyFont="1" applyFill="1" applyBorder="1" applyAlignment="1">
      <alignment vertical="center"/>
    </xf>
    <xf numFmtId="3" fontId="47" fillId="2" borderId="6" xfId="50735" applyNumberFormat="1" applyFont="1" applyFill="1" applyBorder="1" applyAlignment="1">
      <alignment vertical="center"/>
    </xf>
    <xf numFmtId="3" fontId="47" fillId="2" borderId="3" xfId="50735" applyNumberFormat="1" applyFont="1" applyFill="1" applyBorder="1" applyAlignment="1">
      <alignment vertical="center"/>
    </xf>
    <xf numFmtId="3" fontId="47" fillId="2" borderId="0" xfId="50735" applyNumberFormat="1" applyFont="1" applyFill="1" applyBorder="1" applyAlignment="1">
      <alignment vertical="center"/>
    </xf>
    <xf numFmtId="3" fontId="47" fillId="2" borderId="2" xfId="50735" applyNumberFormat="1" applyFont="1" applyFill="1" applyBorder="1" applyAlignment="1">
      <alignment vertical="center"/>
    </xf>
    <xf numFmtId="3" fontId="47" fillId="2" borderId="7" xfId="50735" applyNumberFormat="1" applyFont="1" applyFill="1" applyBorder="1" applyAlignment="1">
      <alignment vertical="center"/>
    </xf>
    <xf numFmtId="3" fontId="47" fillId="2" borderId="4" xfId="50735" applyNumberFormat="1" applyFont="1" applyFill="1" applyBorder="1" applyAlignment="1">
      <alignment vertical="center"/>
    </xf>
    <xf numFmtId="178" fontId="47" fillId="2" borderId="0" xfId="0" applyNumberFormat="1" applyFont="1" applyFill="1"/>
    <xf numFmtId="3" fontId="47" fillId="2" borderId="52" xfId="0" applyNumberFormat="1" applyFont="1" applyFill="1" applyBorder="1" applyAlignment="1">
      <alignment vertical="center"/>
    </xf>
    <xf numFmtId="178" fontId="47" fillId="2" borderId="31" xfId="0" applyNumberFormat="1" applyFont="1" applyFill="1" applyBorder="1" applyAlignment="1">
      <alignment vertical="center"/>
    </xf>
    <xf numFmtId="177" fontId="47" fillId="2" borderId="52" xfId="6" applyNumberFormat="1" applyFont="1" applyFill="1" applyBorder="1" applyAlignment="1">
      <alignment vertical="center"/>
    </xf>
    <xf numFmtId="177" fontId="47" fillId="2" borderId="31" xfId="6" applyNumberFormat="1" applyFont="1" applyFill="1" applyBorder="1" applyAlignment="1">
      <alignment vertical="center"/>
    </xf>
    <xf numFmtId="177" fontId="47" fillId="2" borderId="23" xfId="6" applyNumberFormat="1" applyFont="1" applyFill="1" applyBorder="1" applyAlignment="1">
      <alignment vertical="center"/>
    </xf>
    <xf numFmtId="177" fontId="47" fillId="2" borderId="26" xfId="6" applyNumberFormat="1" applyFont="1" applyFill="1" applyBorder="1" applyAlignment="1">
      <alignment vertical="center"/>
    </xf>
    <xf numFmtId="0" fontId="47" fillId="2" borderId="0" xfId="0" quotePrefix="1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left" vertical="center"/>
    </xf>
    <xf numFmtId="41" fontId="47" fillId="2" borderId="16" xfId="2" applyFont="1" applyFill="1" applyBorder="1" applyAlignment="1">
      <alignment vertical="center"/>
    </xf>
    <xf numFmtId="10" fontId="47" fillId="2" borderId="0" xfId="0" applyNumberFormat="1" applyFont="1" applyFill="1" applyBorder="1" applyAlignment="1">
      <alignment vertical="center"/>
    </xf>
    <xf numFmtId="198" fontId="47" fillId="2" borderId="0" xfId="2" applyNumberFormat="1" applyFont="1" applyFill="1" applyBorder="1" applyAlignment="1">
      <alignment vertical="center"/>
    </xf>
    <xf numFmtId="41" fontId="16" fillId="2" borderId="6" xfId="2" applyFont="1" applyFill="1" applyBorder="1" applyAlignment="1">
      <alignment horizontal="left" vertical="center"/>
    </xf>
    <xf numFmtId="184" fontId="47" fillId="2" borderId="37" xfId="6" applyNumberFormat="1" applyFont="1" applyFill="1" applyBorder="1" applyAlignment="1">
      <alignment horizontal="right" vertical="center"/>
    </xf>
    <xf numFmtId="196" fontId="47" fillId="2" borderId="0" xfId="1" applyNumberFormat="1" applyFont="1" applyFill="1" applyBorder="1" applyAlignment="1">
      <alignment vertical="center"/>
    </xf>
    <xf numFmtId="3" fontId="60" fillId="2" borderId="10" xfId="6" applyNumberFormat="1" applyFont="1" applyFill="1" applyBorder="1" applyAlignment="1">
      <alignment vertical="center"/>
    </xf>
    <xf numFmtId="177" fontId="60" fillId="2" borderId="10" xfId="6" applyNumberFormat="1" applyFont="1" applyFill="1" applyBorder="1" applyAlignment="1">
      <alignment horizontal="right" vertical="center"/>
    </xf>
    <xf numFmtId="177" fontId="60" fillId="2" borderId="35" xfId="6" applyNumberFormat="1" applyFont="1" applyFill="1" applyBorder="1" applyAlignment="1">
      <alignment horizontal="right" vertical="center"/>
    </xf>
    <xf numFmtId="3" fontId="16" fillId="2" borderId="26" xfId="2" applyNumberFormat="1" applyFont="1" applyFill="1" applyBorder="1" applyAlignment="1">
      <alignment vertical="center"/>
    </xf>
    <xf numFmtId="3" fontId="16" fillId="2" borderId="21" xfId="2" applyNumberFormat="1" applyFont="1" applyFill="1" applyBorder="1" applyAlignment="1">
      <alignment vertical="center"/>
    </xf>
    <xf numFmtId="177" fontId="47" fillId="2" borderId="9" xfId="6" applyNumberFormat="1" applyFont="1" applyFill="1" applyBorder="1" applyAlignment="1">
      <alignment vertical="center"/>
    </xf>
    <xf numFmtId="3" fontId="47" fillId="2" borderId="21" xfId="0" applyNumberFormat="1" applyFont="1" applyFill="1" applyBorder="1" applyAlignment="1">
      <alignment vertical="center"/>
    </xf>
    <xf numFmtId="3" fontId="47" fillId="2" borderId="9" xfId="6" applyNumberFormat="1" applyFont="1" applyFill="1" applyBorder="1" applyAlignment="1">
      <alignment vertical="top"/>
    </xf>
    <xf numFmtId="41" fontId="47" fillId="2" borderId="37" xfId="2" applyFont="1" applyFill="1" applyBorder="1" applyAlignment="1">
      <alignment horizontal="left" vertical="center"/>
    </xf>
    <xf numFmtId="3" fontId="47" fillId="2" borderId="10" xfId="6" applyNumberFormat="1" applyFont="1" applyFill="1" applyBorder="1" applyAlignment="1">
      <alignment vertical="top"/>
    </xf>
    <xf numFmtId="41" fontId="47" fillId="2" borderId="2" xfId="2" applyFont="1" applyFill="1" applyBorder="1" applyAlignment="1">
      <alignment horizontal="left" vertical="center"/>
    </xf>
    <xf numFmtId="0" fontId="47" fillId="2" borderId="16" xfId="0" applyNumberFormat="1" applyFont="1" applyFill="1" applyBorder="1" applyAlignment="1">
      <alignment vertical="center"/>
    </xf>
    <xf numFmtId="177" fontId="47" fillId="2" borderId="26" xfId="0" applyNumberFormat="1" applyFont="1" applyFill="1" applyBorder="1" applyAlignment="1">
      <alignment horizontal="right" vertical="center"/>
    </xf>
    <xf numFmtId="3" fontId="47" fillId="2" borderId="7" xfId="2" applyNumberFormat="1" applyFont="1" applyFill="1" applyBorder="1" applyAlignment="1">
      <alignment horizontal="right" vertical="center"/>
    </xf>
    <xf numFmtId="177" fontId="47" fillId="2" borderId="9" xfId="0" applyNumberFormat="1" applyFont="1" applyFill="1" applyBorder="1" applyAlignment="1">
      <alignment horizontal="right" vertical="center"/>
    </xf>
    <xf numFmtId="177" fontId="47" fillId="2" borderId="108" xfId="0" applyNumberFormat="1" applyFont="1" applyFill="1" applyBorder="1" applyAlignment="1">
      <alignment horizontal="right" vertical="center"/>
    </xf>
    <xf numFmtId="184" fontId="47" fillId="2" borderId="108" xfId="0" applyNumberFormat="1" applyFont="1" applyFill="1" applyBorder="1" applyAlignment="1">
      <alignment horizontal="right" vertical="center"/>
    </xf>
    <xf numFmtId="178" fontId="47" fillId="2" borderId="58" xfId="0" applyNumberFormat="1" applyFont="1" applyFill="1" applyBorder="1" applyAlignment="1">
      <alignment vertical="center"/>
    </xf>
    <xf numFmtId="0" fontId="47" fillId="2" borderId="10" xfId="5" applyFont="1" applyFill="1" applyBorder="1" applyAlignment="1" applyProtection="1">
      <alignment vertical="center"/>
    </xf>
    <xf numFmtId="9" fontId="16" fillId="2" borderId="0" xfId="13" applyFont="1" applyFill="1" applyBorder="1" applyAlignment="1">
      <alignment vertical="center"/>
    </xf>
    <xf numFmtId="3" fontId="16" fillId="2" borderId="0" xfId="4" applyNumberFormat="1" applyFont="1" applyFill="1" applyBorder="1" applyAlignment="1">
      <alignment vertical="center"/>
    </xf>
    <xf numFmtId="3" fontId="16" fillId="2" borderId="16" xfId="4" applyNumberFormat="1" applyFont="1" applyFill="1" applyBorder="1" applyAlignment="1">
      <alignment vertical="center"/>
    </xf>
    <xf numFmtId="3" fontId="16" fillId="2" borderId="0" xfId="4" quotePrefix="1" applyNumberFormat="1" applyFont="1" applyFill="1" applyBorder="1" applyAlignment="1">
      <alignment horizontal="center"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176" fontId="17" fillId="0" borderId="102" xfId="1" applyNumberFormat="1" applyFont="1" applyFill="1" applyBorder="1" applyAlignment="1">
      <alignment horizontal="center" vertical="center"/>
    </xf>
    <xf numFmtId="0" fontId="61" fillId="2" borderId="2" xfId="0" applyFont="1" applyFill="1" applyBorder="1" applyAlignment="1"/>
    <xf numFmtId="0" fontId="61" fillId="2" borderId="0" xfId="0" applyFont="1" applyFill="1" applyBorder="1" applyAlignment="1"/>
    <xf numFmtId="0" fontId="16" fillId="2" borderId="24" xfId="0" applyFont="1" applyFill="1" applyBorder="1" applyAlignment="1">
      <alignment horizontal="left" vertical="center"/>
    </xf>
    <xf numFmtId="0" fontId="61" fillId="2" borderId="26" xfId="0" applyFont="1" applyFill="1" applyBorder="1" applyAlignment="1"/>
    <xf numFmtId="178" fontId="16" fillId="2" borderId="34" xfId="0" applyNumberFormat="1" applyFont="1" applyFill="1" applyBorder="1" applyAlignment="1">
      <alignment vertical="center"/>
    </xf>
    <xf numFmtId="3" fontId="16" fillId="2" borderId="24" xfId="6" applyNumberFormat="1" applyFont="1" applyFill="1" applyBorder="1" applyAlignment="1">
      <alignment horizontal="left" vertical="center"/>
    </xf>
    <xf numFmtId="41" fontId="16" fillId="2" borderId="58" xfId="2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177" fontId="47" fillId="2" borderId="26" xfId="2" applyNumberFormat="1" applyFont="1" applyFill="1" applyBorder="1" applyAlignment="1">
      <alignment vertical="center"/>
    </xf>
    <xf numFmtId="0" fontId="47" fillId="2" borderId="9" xfId="0" applyFont="1" applyFill="1" applyBorder="1" applyAlignment="1">
      <alignment horizontal="left" vertical="center" shrinkToFit="1"/>
    </xf>
    <xf numFmtId="3" fontId="47" fillId="2" borderId="16" xfId="6" applyNumberFormat="1" applyFont="1" applyFill="1" applyBorder="1" applyAlignment="1">
      <alignment vertical="center"/>
    </xf>
    <xf numFmtId="3" fontId="17" fillId="2" borderId="0" xfId="6" applyNumberFormat="1" applyFont="1" applyFill="1" applyAlignment="1">
      <alignment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0" fontId="47" fillId="2" borderId="30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vertical="center"/>
    </xf>
    <xf numFmtId="3" fontId="16" fillId="2" borderId="0" xfId="6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vertical="center" shrinkToFit="1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47" fillId="2" borderId="22" xfId="2" applyNumberFormat="1" applyFont="1" applyFill="1" applyBorder="1" applyAlignment="1">
      <alignment vertical="center"/>
    </xf>
    <xf numFmtId="41" fontId="50" fillId="2" borderId="143" xfId="2" applyFont="1" applyFill="1" applyBorder="1" applyAlignment="1">
      <alignment vertical="center"/>
    </xf>
    <xf numFmtId="41" fontId="17" fillId="2" borderId="16" xfId="2" applyFont="1" applyFill="1" applyBorder="1" applyAlignment="1">
      <alignment vertical="center"/>
    </xf>
    <xf numFmtId="41" fontId="17" fillId="2" borderId="0" xfId="2" applyFont="1" applyFill="1" applyBorder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8" xfId="6" applyNumberFormat="1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 wrapText="1"/>
    </xf>
    <xf numFmtId="3" fontId="47" fillId="2" borderId="16" xfId="6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7" fillId="2" borderId="6" xfId="0" applyFont="1" applyFill="1" applyBorder="1" applyAlignment="1">
      <alignment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47" fillId="2" borderId="30" xfId="0" applyFont="1" applyFill="1" applyBorder="1" applyAlignment="1">
      <alignment vertical="center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16" fillId="2" borderId="30" xfId="0" applyFont="1" applyFill="1" applyBorder="1" applyAlignment="1">
      <alignment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26" xfId="0" applyFont="1" applyFill="1" applyBorder="1" applyAlignment="1">
      <alignment horizontal="left" vertical="center" shrinkToFit="1"/>
    </xf>
    <xf numFmtId="0" fontId="47" fillId="2" borderId="26" xfId="0" applyFont="1" applyFill="1" applyBorder="1" applyAlignment="1">
      <alignment horizontal="left"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2" borderId="25" xfId="6" applyNumberFormat="1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left" vertical="center"/>
    </xf>
    <xf numFmtId="3" fontId="16" fillId="2" borderId="3" xfId="0" applyNumberFormat="1" applyFont="1" applyFill="1" applyBorder="1" applyAlignment="1">
      <alignment vertical="center"/>
    </xf>
    <xf numFmtId="177" fontId="47" fillId="2" borderId="60" xfId="2" applyNumberFormat="1" applyFont="1" applyFill="1" applyBorder="1" applyAlignment="1">
      <alignment vertical="center"/>
    </xf>
    <xf numFmtId="0" fontId="17" fillId="0" borderId="16" xfId="0" applyNumberFormat="1" applyFont="1" applyFill="1" applyBorder="1" applyAlignment="1">
      <alignment vertical="center"/>
    </xf>
    <xf numFmtId="0" fontId="17" fillId="0" borderId="25" xfId="4" applyNumberFormat="1" applyFont="1" applyFill="1" applyBorder="1" applyAlignment="1">
      <alignment vertical="center"/>
    </xf>
    <xf numFmtId="41" fontId="17" fillId="2" borderId="31" xfId="12708" applyFont="1" applyFill="1" applyBorder="1" applyAlignment="1">
      <alignment vertical="center"/>
    </xf>
    <xf numFmtId="0" fontId="17" fillId="2" borderId="26" xfId="4" applyNumberFormat="1" applyFont="1" applyFill="1" applyBorder="1" applyAlignment="1">
      <alignment vertical="center"/>
    </xf>
    <xf numFmtId="41" fontId="17" fillId="2" borderId="41" xfId="12708" applyFont="1" applyFill="1" applyBorder="1" applyAlignment="1">
      <alignment vertical="center"/>
    </xf>
    <xf numFmtId="0" fontId="17" fillId="2" borderId="32" xfId="4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178" fontId="16" fillId="0" borderId="0" xfId="0" applyNumberFormat="1" applyFont="1" applyFill="1" applyBorder="1" applyAlignment="1">
      <alignment horizontal="right" vertical="center" wrapText="1"/>
    </xf>
    <xf numFmtId="0" fontId="16" fillId="0" borderId="0" xfId="0" applyNumberFormat="1" applyFont="1" applyFill="1" applyBorder="1" applyAlignment="1">
      <alignment vertical="center"/>
    </xf>
    <xf numFmtId="178" fontId="16" fillId="0" borderId="0" xfId="0" applyNumberFormat="1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3" fontId="16" fillId="0" borderId="4" xfId="2" applyNumberFormat="1" applyFont="1" applyFill="1" applyBorder="1" applyAlignment="1">
      <alignment vertical="center"/>
    </xf>
    <xf numFmtId="0" fontId="57" fillId="2" borderId="31" xfId="0" applyFont="1" applyFill="1" applyBorder="1" applyAlignment="1"/>
    <xf numFmtId="0" fontId="47" fillId="2" borderId="37" xfId="0" applyFont="1" applyFill="1" applyBorder="1" applyAlignment="1">
      <alignment horizontal="left" vertical="center" shrinkToFit="1"/>
    </xf>
    <xf numFmtId="41" fontId="16" fillId="2" borderId="143" xfId="2" applyFont="1" applyFill="1" applyBorder="1" applyAlignment="1">
      <alignment horizontal="right" vertical="center"/>
    </xf>
    <xf numFmtId="41" fontId="86" fillId="0" borderId="0" xfId="2" applyFont="1" applyFill="1" applyAlignment="1">
      <alignment vertical="center"/>
    </xf>
    <xf numFmtId="41" fontId="23" fillId="12" borderId="0" xfId="2" applyFont="1" applyFill="1" applyAlignment="1">
      <alignment vertical="center"/>
    </xf>
    <xf numFmtId="41" fontId="23" fillId="11" borderId="0" xfId="2" applyFont="1" applyFill="1" applyAlignment="1">
      <alignment vertical="center"/>
    </xf>
    <xf numFmtId="41" fontId="23" fillId="13" borderId="0" xfId="2" applyFont="1" applyFill="1" applyAlignment="1">
      <alignment vertical="center"/>
    </xf>
    <xf numFmtId="3" fontId="16" fillId="2" borderId="30" xfId="6" applyNumberFormat="1" applyFont="1" applyFill="1" applyBorder="1" applyAlignment="1">
      <alignment horizontal="left" vertical="center"/>
    </xf>
    <xf numFmtId="3" fontId="18" fillId="2" borderId="45" xfId="6" applyNumberFormat="1" applyFont="1" applyFill="1" applyBorder="1" applyAlignment="1">
      <alignment horizontal="center" vertical="center"/>
    </xf>
    <xf numFmtId="3" fontId="16" fillId="2" borderId="0" xfId="0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41" fontId="58" fillId="2" borderId="0" xfId="2" applyFont="1" applyFill="1" applyBorder="1" applyAlignment="1" applyProtection="1"/>
    <xf numFmtId="41" fontId="16" fillId="2" borderId="0" xfId="0" applyNumberFormat="1" applyFont="1" applyFill="1" applyAlignment="1">
      <alignment vertical="center"/>
    </xf>
    <xf numFmtId="3" fontId="16" fillId="2" borderId="0" xfId="6" applyNumberFormat="1" applyFont="1" applyFill="1" applyBorder="1" applyAlignment="1">
      <alignment vertical="top"/>
    </xf>
    <xf numFmtId="41" fontId="18" fillId="2" borderId="73" xfId="2" applyFont="1" applyFill="1" applyBorder="1" applyAlignment="1">
      <alignment horizontal="left" vertical="center"/>
    </xf>
    <xf numFmtId="41" fontId="47" fillId="2" borderId="12" xfId="2" applyFont="1" applyFill="1" applyBorder="1" applyAlignment="1">
      <alignment horizontal="left" vertical="center"/>
    </xf>
    <xf numFmtId="41" fontId="18" fillId="2" borderId="60" xfId="2" applyFont="1" applyFill="1" applyBorder="1" applyAlignment="1">
      <alignment horizontal="left" vertical="center"/>
    </xf>
    <xf numFmtId="41" fontId="16" fillId="2" borderId="57" xfId="2" applyFont="1" applyFill="1" applyBorder="1" applyAlignment="1">
      <alignment horizontal="left" vertical="center"/>
    </xf>
    <xf numFmtId="3" fontId="16" fillId="2" borderId="38" xfId="6" applyNumberFormat="1" applyFont="1" applyFill="1" applyBorder="1" applyAlignment="1">
      <alignment horizontal="center" vertical="center"/>
    </xf>
    <xf numFmtId="3" fontId="16" fillId="2" borderId="37" xfId="6" applyNumberFormat="1" applyFont="1" applyFill="1" applyBorder="1" applyAlignment="1">
      <alignment vertical="top"/>
    </xf>
    <xf numFmtId="3" fontId="47" fillId="2" borderId="0" xfId="6" applyNumberFormat="1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vertical="center"/>
    </xf>
    <xf numFmtId="0" fontId="47" fillId="2" borderId="0" xfId="0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 wrapText="1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16" fillId="2" borderId="14" xfId="0" applyFont="1" applyFill="1" applyBorder="1" applyAlignment="1">
      <alignment horizontal="left" vertical="center" shrinkToFit="1"/>
    </xf>
    <xf numFmtId="3" fontId="16" fillId="2" borderId="10" xfId="6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left" vertical="center"/>
    </xf>
    <xf numFmtId="0" fontId="33" fillId="0" borderId="0" xfId="0" applyNumberFormat="1" applyFont="1" applyFill="1" applyAlignment="1">
      <alignment horizontal="center" vertical="center"/>
    </xf>
    <xf numFmtId="41" fontId="17" fillId="0" borderId="13" xfId="2" applyFont="1" applyFill="1" applyBorder="1" applyAlignment="1">
      <alignment horizontal="center" vertical="center"/>
    </xf>
    <xf numFmtId="184" fontId="17" fillId="0" borderId="13" xfId="0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49" fontId="19" fillId="0" borderId="8" xfId="0" applyNumberFormat="1" applyFont="1" applyFill="1" applyBorder="1" applyAlignment="1">
      <alignment horizontal="center" vertical="center"/>
    </xf>
    <xf numFmtId="49" fontId="19" fillId="8" borderId="66" xfId="0" applyNumberFormat="1" applyFont="1" applyFill="1" applyBorder="1" applyAlignment="1">
      <alignment horizontal="center" vertical="center"/>
    </xf>
    <xf numFmtId="49" fontId="19" fillId="8" borderId="51" xfId="0" applyNumberFormat="1" applyFont="1" applyFill="1" applyBorder="1" applyAlignment="1">
      <alignment horizontal="center" vertical="center"/>
    </xf>
    <xf numFmtId="38" fontId="14" fillId="0" borderId="0" xfId="0" applyNumberFormat="1" applyFont="1" applyFill="1" applyBorder="1" applyAlignment="1">
      <alignment horizontal="center" vertical="center"/>
    </xf>
    <xf numFmtId="49" fontId="19" fillId="9" borderId="44" xfId="0" applyNumberFormat="1" applyFont="1" applyFill="1" applyBorder="1" applyAlignment="1">
      <alignment horizontal="center" vertical="center"/>
    </xf>
    <xf numFmtId="49" fontId="19" fillId="9" borderId="45" xfId="0" applyNumberFormat="1" applyFont="1" applyFill="1" applyBorder="1" applyAlignment="1">
      <alignment horizontal="center" vertical="center"/>
    </xf>
    <xf numFmtId="49" fontId="19" fillId="3" borderId="48" xfId="0" applyNumberFormat="1" applyFont="1" applyFill="1" applyBorder="1" applyAlignment="1">
      <alignment horizontal="center" vertical="center"/>
    </xf>
    <xf numFmtId="49" fontId="19" fillId="3" borderId="50" xfId="0" applyNumberFormat="1" applyFont="1" applyFill="1" applyBorder="1" applyAlignment="1">
      <alignment horizontal="center" vertical="center"/>
    </xf>
    <xf numFmtId="49" fontId="19" fillId="0" borderId="24" xfId="0" applyNumberFormat="1" applyFont="1" applyFill="1" applyBorder="1" applyAlignment="1">
      <alignment horizontal="center" vertical="center"/>
    </xf>
    <xf numFmtId="49" fontId="19" fillId="0" borderId="16" xfId="0" applyNumberFormat="1" applyFont="1" applyFill="1" applyBorder="1" applyAlignment="1">
      <alignment horizontal="center" vertical="center"/>
    </xf>
    <xf numFmtId="49" fontId="19" fillId="0" borderId="22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 wrapText="1"/>
    </xf>
    <xf numFmtId="49" fontId="19" fillId="9" borderId="13" xfId="0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 wrapText="1"/>
    </xf>
    <xf numFmtId="41" fontId="16" fillId="2" borderId="0" xfId="2" applyFont="1" applyFill="1" applyBorder="1" applyAlignment="1">
      <alignment horizontal="left" vertical="center" wrapText="1"/>
    </xf>
    <xf numFmtId="41" fontId="17" fillId="2" borderId="16" xfId="2" applyFont="1" applyFill="1" applyBorder="1" applyAlignment="1">
      <alignment horizontal="center" vertical="center" shrinkToFit="1"/>
    </xf>
    <xf numFmtId="41" fontId="17" fillId="2" borderId="0" xfId="2" applyFont="1" applyFill="1" applyBorder="1" applyAlignment="1">
      <alignment horizontal="center" vertical="center" shrinkToFit="1"/>
    </xf>
    <xf numFmtId="0" fontId="32" fillId="2" borderId="0" xfId="0" applyNumberFormat="1" applyFont="1" applyFill="1" applyAlignment="1">
      <alignment horizontal="center" vertical="center"/>
    </xf>
    <xf numFmtId="0" fontId="33" fillId="2" borderId="0" xfId="0" applyNumberFormat="1" applyFont="1" applyFill="1" applyAlignment="1">
      <alignment horizontal="center" vertical="center"/>
    </xf>
    <xf numFmtId="0" fontId="17" fillId="2" borderId="48" xfId="0" applyNumberFormat="1" applyFont="1" applyFill="1" applyBorder="1" applyAlignment="1">
      <alignment horizontal="center" vertical="center"/>
    </xf>
    <xf numFmtId="0" fontId="17" fillId="2" borderId="50" xfId="0" applyNumberFormat="1" applyFont="1" applyFill="1" applyBorder="1" applyAlignment="1">
      <alignment horizontal="center" vertical="center"/>
    </xf>
    <xf numFmtId="0" fontId="17" fillId="2" borderId="42" xfId="0" applyNumberFormat="1" applyFont="1" applyFill="1" applyBorder="1" applyAlignment="1">
      <alignment horizontal="center" vertical="center"/>
    </xf>
    <xf numFmtId="0" fontId="17" fillId="2" borderId="38" xfId="0" applyNumberFormat="1" applyFont="1" applyFill="1" applyBorder="1" applyAlignment="1">
      <alignment horizontal="center" vertical="center" wrapText="1"/>
    </xf>
    <xf numFmtId="0" fontId="17" fillId="2" borderId="10" xfId="0" applyNumberFormat="1" applyFont="1" applyFill="1" applyBorder="1" applyAlignment="1">
      <alignment horizontal="center" vertical="center"/>
    </xf>
    <xf numFmtId="177" fontId="17" fillId="2" borderId="38" xfId="2" applyNumberFormat="1" applyFont="1" applyFill="1" applyBorder="1" applyAlignment="1">
      <alignment horizontal="center" vertical="center" wrapText="1"/>
    </xf>
    <xf numFmtId="177" fontId="17" fillId="2" borderId="10" xfId="2" applyNumberFormat="1" applyFont="1" applyFill="1" applyBorder="1" applyAlignment="1">
      <alignment horizontal="center" vertical="center"/>
    </xf>
    <xf numFmtId="177" fontId="17" fillId="2" borderId="55" xfId="0" applyNumberFormat="1" applyFont="1" applyFill="1" applyBorder="1" applyAlignment="1">
      <alignment horizontal="center" vertical="center"/>
    </xf>
    <xf numFmtId="177" fontId="17" fillId="2" borderId="35" xfId="0" applyNumberFormat="1" applyFont="1" applyFill="1" applyBorder="1" applyAlignment="1">
      <alignment horizontal="center" vertical="center"/>
    </xf>
    <xf numFmtId="0" fontId="17" fillId="2" borderId="47" xfId="0" applyNumberFormat="1" applyFont="1" applyFill="1" applyBorder="1" applyAlignment="1">
      <alignment horizontal="center" vertical="center"/>
    </xf>
    <xf numFmtId="0" fontId="17" fillId="2" borderId="43" xfId="0" applyNumberFormat="1" applyFont="1" applyFill="1" applyBorder="1" applyAlignment="1">
      <alignment horizontal="center" vertical="center"/>
    </xf>
    <xf numFmtId="0" fontId="17" fillId="2" borderId="17" xfId="0" applyNumberFormat="1" applyFont="1" applyFill="1" applyBorder="1" applyAlignment="1">
      <alignment horizontal="center" vertical="center"/>
    </xf>
    <xf numFmtId="0" fontId="17" fillId="2" borderId="16" xfId="0" applyNumberFormat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0" fontId="17" fillId="2" borderId="2" xfId="0" applyNumberFormat="1" applyFont="1" applyFill="1" applyBorder="1" applyAlignment="1">
      <alignment horizontal="center" vertical="center"/>
    </xf>
    <xf numFmtId="41" fontId="17" fillId="2" borderId="6" xfId="2" applyFont="1" applyFill="1" applyBorder="1" applyAlignment="1">
      <alignment horizontal="center" vertical="center" wrapText="1"/>
    </xf>
    <xf numFmtId="41" fontId="17" fillId="2" borderId="6" xfId="2" applyFont="1" applyFill="1" applyBorder="1" applyAlignment="1">
      <alignment horizontal="left" vertical="center" shrinkToFit="1"/>
    </xf>
    <xf numFmtId="41" fontId="17" fillId="2" borderId="16" xfId="2" applyFont="1" applyFill="1" applyBorder="1" applyAlignment="1">
      <alignment vertical="center"/>
    </xf>
    <xf numFmtId="41" fontId="17" fillId="2" borderId="0" xfId="2" applyFont="1" applyFill="1" applyBorder="1" applyAlignment="1">
      <alignment vertical="center"/>
    </xf>
    <xf numFmtId="0" fontId="19" fillId="2" borderId="44" xfId="0" applyFont="1" applyFill="1" applyBorder="1" applyAlignment="1">
      <alignment horizontal="left" vertical="center"/>
    </xf>
    <xf numFmtId="0" fontId="19" fillId="2" borderId="45" xfId="0" applyFont="1" applyFill="1" applyBorder="1" applyAlignment="1">
      <alignment horizontal="left" vertical="center"/>
    </xf>
    <xf numFmtId="49" fontId="17" fillId="2" borderId="23" xfId="0" applyNumberFormat="1" applyFont="1" applyFill="1" applyBorder="1" applyAlignment="1">
      <alignment horizontal="left" vertical="center"/>
    </xf>
    <xf numFmtId="49" fontId="17" fillId="2" borderId="21" xfId="0" applyNumberFormat="1" applyFont="1" applyFill="1" applyBorder="1" applyAlignment="1">
      <alignment horizontal="left" vertical="center"/>
    </xf>
    <xf numFmtId="0" fontId="17" fillId="2" borderId="22" xfId="0" applyFont="1" applyFill="1" applyBorder="1" applyAlignment="1">
      <alignment horizontal="right" vertical="center"/>
    </xf>
    <xf numFmtId="0" fontId="17" fillId="2" borderId="7" xfId="0" applyFont="1" applyFill="1" applyBorder="1" applyAlignment="1">
      <alignment horizontal="right" vertical="center"/>
    </xf>
    <xf numFmtId="0" fontId="17" fillId="2" borderId="0" xfId="2" applyNumberFormat="1" applyFont="1" applyFill="1" applyBorder="1" applyAlignment="1">
      <alignment horizontal="left" vertical="center"/>
    </xf>
    <xf numFmtId="49" fontId="17" fillId="2" borderId="24" xfId="0" applyNumberFormat="1" applyFont="1" applyFill="1" applyBorder="1" applyAlignment="1">
      <alignment horizontal="left" vertical="center" wrapText="1"/>
    </xf>
    <xf numFmtId="49" fontId="17" fillId="2" borderId="6" xfId="0" applyNumberFormat="1" applyFont="1" applyFill="1" applyBorder="1" applyAlignment="1">
      <alignment horizontal="left" vertical="center" wrapText="1"/>
    </xf>
    <xf numFmtId="38" fontId="28" fillId="0" borderId="0" xfId="0" applyNumberFormat="1" applyFont="1" applyFill="1" applyBorder="1" applyAlignment="1">
      <alignment horizontal="center" vertical="center"/>
    </xf>
    <xf numFmtId="0" fontId="19" fillId="3" borderId="65" xfId="0" applyFont="1" applyFill="1" applyBorder="1" applyAlignment="1">
      <alignment horizontal="center" vertical="center"/>
    </xf>
    <xf numFmtId="0" fontId="19" fillId="3" borderId="85" xfId="0" applyFont="1" applyFill="1" applyBorder="1" applyAlignment="1">
      <alignment horizontal="center" vertical="center"/>
    </xf>
    <xf numFmtId="49" fontId="19" fillId="3" borderId="69" xfId="0" applyNumberFormat="1" applyFont="1" applyFill="1" applyBorder="1" applyAlignment="1">
      <alignment horizontal="center" vertical="center"/>
    </xf>
    <xf numFmtId="49" fontId="19" fillId="3" borderId="42" xfId="0" applyNumberFormat="1" applyFont="1" applyFill="1" applyBorder="1" applyAlignment="1">
      <alignment horizontal="center" vertical="center"/>
    </xf>
    <xf numFmtId="49" fontId="19" fillId="3" borderId="27" xfId="0" applyNumberFormat="1" applyFont="1" applyFill="1" applyBorder="1" applyAlignment="1">
      <alignment horizontal="center" vertical="center"/>
    </xf>
    <xf numFmtId="49" fontId="19" fillId="3" borderId="28" xfId="0" applyNumberFormat="1" applyFont="1" applyFill="1" applyBorder="1" applyAlignment="1">
      <alignment horizontal="center" vertical="center"/>
    </xf>
    <xf numFmtId="0" fontId="19" fillId="0" borderId="72" xfId="0" applyFont="1" applyFill="1" applyBorder="1" applyAlignment="1">
      <alignment horizontal="center" vertical="center"/>
    </xf>
    <xf numFmtId="49" fontId="19" fillId="0" borderId="27" xfId="0" applyNumberFormat="1" applyFont="1" applyFill="1" applyBorder="1" applyAlignment="1">
      <alignment horizontal="left" vertical="center"/>
    </xf>
    <xf numFmtId="49" fontId="19" fillId="0" borderId="28" xfId="0" applyNumberFormat="1" applyFont="1" applyFill="1" applyBorder="1" applyAlignment="1">
      <alignment horizontal="left" vertical="center"/>
    </xf>
    <xf numFmtId="0" fontId="34" fillId="3" borderId="13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/>
    </xf>
    <xf numFmtId="0" fontId="19" fillId="2" borderId="85" xfId="0" applyFont="1" applyFill="1" applyBorder="1" applyAlignment="1">
      <alignment horizontal="center" vertical="center"/>
    </xf>
    <xf numFmtId="0" fontId="19" fillId="0" borderId="82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85" xfId="0" applyFont="1" applyFill="1" applyBorder="1" applyAlignment="1">
      <alignment horizontal="center" vertical="center" wrapText="1"/>
    </xf>
    <xf numFmtId="0" fontId="19" fillId="0" borderId="65" xfId="0" applyFont="1" applyFill="1" applyBorder="1" applyAlignment="1">
      <alignment horizontal="center" vertical="center" wrapText="1"/>
    </xf>
    <xf numFmtId="0" fontId="19" fillId="0" borderId="72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left" vertical="center"/>
    </xf>
    <xf numFmtId="0" fontId="34" fillId="0" borderId="28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left" vertical="center" wrapText="1"/>
    </xf>
    <xf numFmtId="0" fontId="34" fillId="0" borderId="28" xfId="0" applyFont="1" applyFill="1" applyBorder="1" applyAlignment="1">
      <alignment horizontal="left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left" vertical="center"/>
    </xf>
    <xf numFmtId="0" fontId="36" fillId="0" borderId="37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49" fontId="19" fillId="0" borderId="13" xfId="0" applyNumberFormat="1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21" xfId="0" applyFont="1" applyFill="1" applyBorder="1" applyAlignment="1">
      <alignment horizontal="left" vertical="center"/>
    </xf>
    <xf numFmtId="0" fontId="19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 wrapText="1"/>
    </xf>
    <xf numFmtId="0" fontId="34" fillId="3" borderId="72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left" vertical="center" wrapText="1"/>
    </xf>
    <xf numFmtId="38" fontId="14" fillId="2" borderId="0" xfId="0" applyNumberFormat="1" applyFont="1" applyFill="1" applyBorder="1" applyAlignment="1">
      <alignment horizontal="center" vertical="center"/>
    </xf>
    <xf numFmtId="49" fontId="16" fillId="2" borderId="48" xfId="0" applyNumberFormat="1" applyFont="1" applyFill="1" applyBorder="1" applyAlignment="1">
      <alignment horizontal="center" vertical="center"/>
    </xf>
    <xf numFmtId="49" fontId="16" fillId="2" borderId="50" xfId="0" applyNumberFormat="1" applyFont="1" applyFill="1" applyBorder="1" applyAlignment="1">
      <alignment horizontal="center" vertical="center"/>
    </xf>
    <xf numFmtId="49" fontId="16" fillId="2" borderId="42" xfId="0" applyNumberFormat="1" applyFont="1" applyFill="1" applyBorder="1" applyAlignment="1">
      <alignment horizontal="center" vertical="center"/>
    </xf>
    <xf numFmtId="0" fontId="16" fillId="2" borderId="38" xfId="0" applyNumberFormat="1" applyFont="1" applyFill="1" applyBorder="1" applyAlignment="1">
      <alignment horizontal="center" vertical="center" wrapText="1"/>
    </xf>
    <xf numFmtId="0" fontId="16" fillId="2" borderId="25" xfId="0" applyNumberFormat="1" applyFont="1" applyFill="1" applyBorder="1" applyAlignment="1">
      <alignment horizontal="center" vertical="center"/>
    </xf>
    <xf numFmtId="177" fontId="16" fillId="2" borderId="38" xfId="2" applyNumberFormat="1" applyFont="1" applyFill="1" applyBorder="1" applyAlignment="1">
      <alignment horizontal="center" vertical="center" wrapText="1"/>
    </xf>
    <xf numFmtId="177" fontId="16" fillId="2" borderId="25" xfId="2" applyNumberFormat="1" applyFont="1" applyFill="1" applyBorder="1" applyAlignment="1">
      <alignment horizontal="center" vertical="center"/>
    </xf>
    <xf numFmtId="177" fontId="16" fillId="2" borderId="55" xfId="2" applyNumberFormat="1" applyFont="1" applyFill="1" applyBorder="1" applyAlignment="1">
      <alignment horizontal="center" vertical="center"/>
    </xf>
    <xf numFmtId="177" fontId="16" fillId="2" borderId="40" xfId="2" applyNumberFormat="1" applyFont="1" applyFill="1" applyBorder="1" applyAlignment="1">
      <alignment horizontal="center" vertical="center"/>
    </xf>
    <xf numFmtId="49" fontId="16" fillId="2" borderId="47" xfId="0" applyNumberFormat="1" applyFont="1" applyFill="1" applyBorder="1" applyAlignment="1">
      <alignment horizontal="center" vertical="center"/>
    </xf>
    <xf numFmtId="49" fontId="16" fillId="2" borderId="43" xfId="0" applyNumberFormat="1" applyFont="1" applyFill="1" applyBorder="1" applyAlignment="1">
      <alignment horizontal="center" vertical="center"/>
    </xf>
    <xf numFmtId="49" fontId="16" fillId="2" borderId="17" xfId="0" applyNumberFormat="1" applyFont="1" applyFill="1" applyBorder="1" applyAlignment="1">
      <alignment horizontal="center" vertical="center"/>
    </xf>
    <xf numFmtId="49" fontId="16" fillId="2" borderId="20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3" fontId="16" fillId="2" borderId="30" xfId="6" applyNumberFormat="1" applyFont="1" applyFill="1" applyBorder="1" applyAlignment="1">
      <alignment horizontal="left" vertical="center"/>
    </xf>
    <xf numFmtId="3" fontId="16" fillId="2" borderId="28" xfId="6" applyNumberFormat="1" applyFont="1" applyFill="1" applyBorder="1" applyAlignment="1">
      <alignment horizontal="left" vertical="center"/>
    </xf>
    <xf numFmtId="0" fontId="16" fillId="2" borderId="23" xfId="0" applyFont="1" applyFill="1" applyBorder="1" applyAlignment="1">
      <alignment vertical="center" shrinkToFit="1"/>
    </xf>
    <xf numFmtId="0" fontId="16" fillId="2" borderId="21" xfId="0" applyFont="1" applyFill="1" applyBorder="1" applyAlignment="1">
      <alignment vertical="center" shrinkToFit="1"/>
    </xf>
    <xf numFmtId="0" fontId="16" fillId="2" borderId="27" xfId="0" applyFont="1" applyFill="1" applyBorder="1" applyAlignment="1">
      <alignment horizontal="left" vertical="center" shrinkToFit="1"/>
    </xf>
    <xf numFmtId="0" fontId="16" fillId="2" borderId="28" xfId="0" applyFont="1" applyFill="1" applyBorder="1" applyAlignment="1">
      <alignment horizontal="left" vertical="center" shrinkToFit="1"/>
    </xf>
    <xf numFmtId="0" fontId="18" fillId="2" borderId="44" xfId="0" applyFont="1" applyFill="1" applyBorder="1" applyAlignment="1">
      <alignment horizontal="left" vertical="center"/>
    </xf>
    <xf numFmtId="0" fontId="18" fillId="2" borderId="45" xfId="0" applyFont="1" applyFill="1" applyBorder="1" applyAlignment="1">
      <alignment horizontal="left" vertical="center"/>
    </xf>
    <xf numFmtId="0" fontId="18" fillId="2" borderId="49" xfId="0" applyFont="1" applyFill="1" applyBorder="1" applyAlignment="1">
      <alignment horizontal="left" vertical="center"/>
    </xf>
    <xf numFmtId="3" fontId="47" fillId="2" borderId="30" xfId="6" applyNumberFormat="1" applyFont="1" applyFill="1" applyBorder="1" applyAlignment="1">
      <alignment horizontal="left" vertical="center"/>
    </xf>
    <xf numFmtId="3" fontId="47" fillId="2" borderId="28" xfId="6" applyNumberFormat="1" applyFont="1" applyFill="1" applyBorder="1" applyAlignment="1">
      <alignment horizontal="left" vertical="center"/>
    </xf>
    <xf numFmtId="3" fontId="47" fillId="2" borderId="23" xfId="0" applyNumberFormat="1" applyFont="1" applyFill="1" applyBorder="1" applyAlignment="1">
      <alignment vertical="center" shrinkToFit="1"/>
    </xf>
    <xf numFmtId="3" fontId="47" fillId="2" borderId="21" xfId="0" applyNumberFormat="1" applyFont="1" applyFill="1" applyBorder="1" applyAlignment="1">
      <alignment vertical="center" shrinkToFit="1"/>
    </xf>
    <xf numFmtId="0" fontId="16" fillId="2" borderId="27" xfId="0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3" fontId="16" fillId="2" borderId="27" xfId="6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vertical="center" shrinkToFit="1"/>
    </xf>
    <xf numFmtId="0" fontId="16" fillId="2" borderId="28" xfId="0" applyFont="1" applyFill="1" applyBorder="1" applyAlignment="1">
      <alignment vertical="center" shrinkToFit="1"/>
    </xf>
    <xf numFmtId="0" fontId="16" fillId="2" borderId="21" xfId="0" applyFont="1" applyFill="1" applyBorder="1" applyAlignment="1">
      <alignment horizontal="left" vertical="center" shrinkToFit="1"/>
    </xf>
    <xf numFmtId="0" fontId="47" fillId="2" borderId="27" xfId="0" applyFont="1" applyFill="1" applyBorder="1" applyAlignment="1">
      <alignment horizontal="left" vertical="center" shrinkToFit="1"/>
    </xf>
    <xf numFmtId="0" fontId="47" fillId="2" borderId="21" xfId="0" applyFont="1" applyFill="1" applyBorder="1" applyAlignment="1">
      <alignment horizontal="left" vertical="center" shrinkToFit="1"/>
    </xf>
    <xf numFmtId="3" fontId="50" fillId="2" borderId="44" xfId="6" applyNumberFormat="1" applyFont="1" applyFill="1" applyBorder="1" applyAlignment="1">
      <alignment horizontal="left" vertical="center"/>
    </xf>
    <xf numFmtId="3" fontId="50" fillId="2" borderId="45" xfId="6" applyNumberFormat="1" applyFont="1" applyFill="1" applyBorder="1" applyAlignment="1">
      <alignment horizontal="left" vertical="center"/>
    </xf>
    <xf numFmtId="3" fontId="50" fillId="2" borderId="49" xfId="6" applyNumberFormat="1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horizontal="left" vertical="center"/>
    </xf>
    <xf numFmtId="3" fontId="47" fillId="2" borderId="0" xfId="6" applyNumberFormat="1" applyFont="1" applyFill="1" applyBorder="1" applyAlignment="1">
      <alignment horizontal="left" vertical="center"/>
    </xf>
    <xf numFmtId="38" fontId="54" fillId="2" borderId="0" xfId="6" applyNumberFormat="1" applyFont="1" applyFill="1" applyBorder="1" applyAlignment="1">
      <alignment horizontal="center" vertical="center"/>
    </xf>
    <xf numFmtId="49" fontId="47" fillId="2" borderId="48" xfId="6" applyNumberFormat="1" applyFont="1" applyFill="1" applyBorder="1" applyAlignment="1">
      <alignment horizontal="center" vertical="center"/>
    </xf>
    <xf numFmtId="49" fontId="47" fillId="2" borderId="50" xfId="6" applyNumberFormat="1" applyFont="1" applyFill="1" applyBorder="1" applyAlignment="1">
      <alignment horizontal="center" vertical="center"/>
    </xf>
    <xf numFmtId="49" fontId="47" fillId="2" borderId="42" xfId="6" applyNumberFormat="1" applyFont="1" applyFill="1" applyBorder="1" applyAlignment="1">
      <alignment horizontal="center" vertical="center"/>
    </xf>
    <xf numFmtId="0" fontId="47" fillId="2" borderId="38" xfId="0" applyNumberFormat="1" applyFont="1" applyFill="1" applyBorder="1" applyAlignment="1">
      <alignment horizontal="center" vertical="center" wrapText="1"/>
    </xf>
    <xf numFmtId="0" fontId="47" fillId="2" borderId="25" xfId="0" applyNumberFormat="1" applyFont="1" applyFill="1" applyBorder="1" applyAlignment="1">
      <alignment horizontal="center" vertical="center"/>
    </xf>
    <xf numFmtId="177" fontId="47" fillId="2" borderId="55" xfId="2" applyNumberFormat="1" applyFont="1" applyFill="1" applyBorder="1" applyAlignment="1">
      <alignment horizontal="center" vertical="center"/>
    </xf>
    <xf numFmtId="177" fontId="47" fillId="2" borderId="40" xfId="2" applyNumberFormat="1" applyFont="1" applyFill="1" applyBorder="1" applyAlignment="1">
      <alignment horizontal="center" vertical="center"/>
    </xf>
    <xf numFmtId="49" fontId="47" fillId="2" borderId="47" xfId="6" applyNumberFormat="1" applyFont="1" applyFill="1" applyBorder="1" applyAlignment="1">
      <alignment horizontal="center" vertical="center"/>
    </xf>
    <xf numFmtId="49" fontId="47" fillId="2" borderId="43" xfId="6" applyNumberFormat="1" applyFont="1" applyFill="1" applyBorder="1" applyAlignment="1">
      <alignment horizontal="center" vertical="center"/>
    </xf>
    <xf numFmtId="49" fontId="47" fillId="2" borderId="17" xfId="6" applyNumberFormat="1" applyFont="1" applyFill="1" applyBorder="1" applyAlignment="1">
      <alignment horizontal="center" vertical="center"/>
    </xf>
    <xf numFmtId="49" fontId="47" fillId="2" borderId="20" xfId="6" applyNumberFormat="1" applyFont="1" applyFill="1" applyBorder="1" applyAlignment="1">
      <alignment horizontal="center" vertical="center"/>
    </xf>
    <xf numFmtId="49" fontId="47" fillId="2" borderId="1" xfId="6" applyNumberFormat="1" applyFont="1" applyFill="1" applyBorder="1" applyAlignment="1">
      <alignment horizontal="center" vertical="center"/>
    </xf>
    <xf numFmtId="49" fontId="47" fillId="2" borderId="5" xfId="6" applyNumberFormat="1" applyFont="1" applyFill="1" applyBorder="1" applyAlignment="1">
      <alignment horizontal="center" vertical="center"/>
    </xf>
    <xf numFmtId="0" fontId="47" fillId="2" borderId="27" xfId="6" applyFont="1" applyFill="1" applyBorder="1" applyAlignment="1">
      <alignment horizontal="left" vertical="center"/>
    </xf>
    <xf numFmtId="0" fontId="47" fillId="2" borderId="28" xfId="6" applyFont="1" applyFill="1" applyBorder="1" applyAlignment="1">
      <alignment horizontal="left" vertical="center"/>
    </xf>
    <xf numFmtId="0" fontId="47" fillId="2" borderId="27" xfId="0" applyFont="1" applyFill="1" applyBorder="1" applyAlignment="1">
      <alignment vertical="center" wrapText="1"/>
    </xf>
    <xf numFmtId="0" fontId="47" fillId="2" borderId="28" xfId="0" applyFont="1" applyFill="1" applyBorder="1" applyAlignment="1">
      <alignment vertical="center" wrapText="1"/>
    </xf>
    <xf numFmtId="0" fontId="47" fillId="2" borderId="30" xfId="6" applyFont="1" applyFill="1" applyBorder="1" applyAlignment="1">
      <alignment horizontal="left" vertical="center"/>
    </xf>
    <xf numFmtId="0" fontId="16" fillId="2" borderId="27" xfId="6" applyFont="1" applyFill="1" applyBorder="1" applyAlignment="1">
      <alignment horizontal="left" vertical="center"/>
    </xf>
    <xf numFmtId="0" fontId="16" fillId="2" borderId="28" xfId="6" applyFont="1" applyFill="1" applyBorder="1" applyAlignment="1">
      <alignment horizontal="left" vertical="center"/>
    </xf>
    <xf numFmtId="3" fontId="16" fillId="2" borderId="16" xfId="0" applyNumberFormat="1" applyFont="1" applyFill="1" applyBorder="1" applyAlignment="1">
      <alignment horizontal="left" vertical="center"/>
    </xf>
    <xf numFmtId="3" fontId="16" fillId="2" borderId="0" xfId="0" applyNumberFormat="1" applyFont="1" applyFill="1" applyBorder="1" applyAlignment="1">
      <alignment horizontal="left" vertical="center"/>
    </xf>
    <xf numFmtId="0" fontId="47" fillId="2" borderId="95" xfId="0" applyFont="1" applyFill="1" applyBorder="1" applyAlignment="1">
      <alignment vertical="center" shrinkToFit="1"/>
    </xf>
    <xf numFmtId="0" fontId="47" fillId="2" borderId="96" xfId="0" applyFont="1" applyFill="1" applyBorder="1" applyAlignment="1">
      <alignment vertical="center" shrinkToFit="1"/>
    </xf>
    <xf numFmtId="3" fontId="47" fillId="2" borderId="27" xfId="6" applyNumberFormat="1" applyFont="1" applyFill="1" applyBorder="1" applyAlignment="1">
      <alignment horizontal="left" vertical="center"/>
    </xf>
    <xf numFmtId="0" fontId="47" fillId="2" borderId="37" xfId="0" applyFont="1" applyFill="1" applyBorder="1" applyAlignment="1">
      <alignment vertical="center" wrapText="1"/>
    </xf>
    <xf numFmtId="3" fontId="16" fillId="2" borderId="69" xfId="6" applyNumberFormat="1" applyFont="1" applyFill="1" applyBorder="1" applyAlignment="1">
      <alignment horizontal="left" vertical="center"/>
    </xf>
    <xf numFmtId="3" fontId="16" fillId="2" borderId="50" xfId="6" applyNumberFormat="1" applyFont="1" applyFill="1" applyBorder="1" applyAlignment="1">
      <alignment horizontal="left" vertical="center"/>
    </xf>
    <xf numFmtId="3" fontId="16" fillId="2" borderId="42" xfId="6" applyNumberFormat="1" applyFont="1" applyFill="1" applyBorder="1" applyAlignment="1">
      <alignment horizontal="left" vertical="center"/>
    </xf>
    <xf numFmtId="0" fontId="16" fillId="2" borderId="27" xfId="0" applyFont="1" applyFill="1" applyBorder="1" applyAlignment="1">
      <alignment horizontal="left" vertical="center" wrapText="1"/>
    </xf>
    <xf numFmtId="0" fontId="16" fillId="2" borderId="28" xfId="0" applyFont="1" applyFill="1" applyBorder="1" applyAlignment="1">
      <alignment horizontal="left" vertical="center" wrapText="1"/>
    </xf>
    <xf numFmtId="0" fontId="47" fillId="2" borderId="23" xfId="0" applyFont="1" applyFill="1" applyBorder="1" applyAlignment="1">
      <alignment vertical="center" wrapText="1"/>
    </xf>
    <xf numFmtId="0" fontId="47" fillId="2" borderId="21" xfId="0" applyFont="1" applyFill="1" applyBorder="1" applyAlignment="1">
      <alignment vertical="center" wrapText="1"/>
    </xf>
    <xf numFmtId="3" fontId="47" fillId="2" borderId="33" xfId="6" applyNumberFormat="1" applyFont="1" applyFill="1" applyBorder="1" applyAlignment="1">
      <alignment horizontal="left" vertical="center"/>
    </xf>
    <xf numFmtId="0" fontId="47" fillId="2" borderId="13" xfId="0" applyFont="1" applyFill="1" applyBorder="1" applyAlignment="1">
      <alignment horizontal="left" vertical="center"/>
    </xf>
    <xf numFmtId="0" fontId="47" fillId="2" borderId="28" xfId="0" applyFont="1" applyFill="1" applyBorder="1" applyAlignment="1">
      <alignment horizontal="left" vertical="center"/>
    </xf>
    <xf numFmtId="38" fontId="14" fillId="2" borderId="0" xfId="6" applyNumberFormat="1" applyFont="1" applyFill="1" applyBorder="1" applyAlignment="1">
      <alignment horizontal="center" vertical="center"/>
    </xf>
    <xf numFmtId="49" fontId="16" fillId="2" borderId="48" xfId="6" applyNumberFormat="1" applyFont="1" applyFill="1" applyBorder="1" applyAlignment="1">
      <alignment horizontal="center" vertical="center"/>
    </xf>
    <xf numFmtId="49" fontId="16" fillId="2" borderId="50" xfId="6" applyNumberFormat="1" applyFont="1" applyFill="1" applyBorder="1" applyAlignment="1">
      <alignment horizontal="center" vertical="center"/>
    </xf>
    <xf numFmtId="49" fontId="16" fillId="2" borderId="42" xfId="6" applyNumberFormat="1" applyFont="1" applyFill="1" applyBorder="1" applyAlignment="1">
      <alignment horizontal="center" vertical="center"/>
    </xf>
    <xf numFmtId="41" fontId="16" fillId="2" borderId="55" xfId="2" applyFont="1" applyFill="1" applyBorder="1" applyAlignment="1">
      <alignment horizontal="center" vertical="center"/>
    </xf>
    <xf numFmtId="41" fontId="16" fillId="2" borderId="40" xfId="2" applyFont="1" applyFill="1" applyBorder="1" applyAlignment="1">
      <alignment horizontal="center" vertical="center"/>
    </xf>
    <xf numFmtId="49" fontId="16" fillId="2" borderId="47" xfId="6" applyNumberFormat="1" applyFont="1" applyFill="1" applyBorder="1" applyAlignment="1">
      <alignment horizontal="center" vertical="center"/>
    </xf>
    <xf numFmtId="49" fontId="16" fillId="2" borderId="43" xfId="6" applyNumberFormat="1" applyFont="1" applyFill="1" applyBorder="1" applyAlignment="1">
      <alignment horizontal="center" vertical="center"/>
    </xf>
    <xf numFmtId="49" fontId="16" fillId="2" borderId="17" xfId="6" applyNumberFormat="1" applyFont="1" applyFill="1" applyBorder="1" applyAlignment="1">
      <alignment horizontal="center" vertical="center"/>
    </xf>
    <xf numFmtId="49" fontId="16" fillId="2" borderId="20" xfId="6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/>
    </xf>
    <xf numFmtId="49" fontId="16" fillId="2" borderId="5" xfId="6" applyNumberFormat="1" applyFont="1" applyFill="1" applyBorder="1" applyAlignment="1">
      <alignment horizontal="center" vertical="center"/>
    </xf>
    <xf numFmtId="3" fontId="18" fillId="2" borderId="44" xfId="6" applyNumberFormat="1" applyFont="1" applyFill="1" applyBorder="1" applyAlignment="1">
      <alignment horizontal="center" vertical="center"/>
    </xf>
    <xf numFmtId="3" fontId="18" fillId="2" borderId="45" xfId="6" applyNumberFormat="1" applyFont="1" applyFill="1" applyBorder="1" applyAlignment="1">
      <alignment horizontal="center" vertical="center"/>
    </xf>
    <xf numFmtId="3" fontId="18" fillId="2" borderId="49" xfId="6" applyNumberFormat="1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47" fillId="2" borderId="23" xfId="0" applyFont="1" applyFill="1" applyBorder="1" applyAlignment="1">
      <alignment vertical="center" shrinkToFit="1"/>
    </xf>
    <xf numFmtId="0" fontId="47" fillId="2" borderId="21" xfId="0" applyFont="1" applyFill="1" applyBorder="1" applyAlignment="1">
      <alignment vertical="center" shrinkToFit="1"/>
    </xf>
    <xf numFmtId="0" fontId="47" fillId="2" borderId="28" xfId="0" applyFont="1" applyFill="1" applyBorder="1" applyAlignment="1">
      <alignment horizontal="left" vertical="center" shrinkToFit="1"/>
    </xf>
    <xf numFmtId="0" fontId="47" fillId="2" borderId="13" xfId="0" applyFont="1" applyFill="1" applyBorder="1" applyAlignment="1">
      <alignment horizontal="left" vertical="center" shrinkToFit="1"/>
    </xf>
    <xf numFmtId="0" fontId="16" fillId="2" borderId="27" xfId="0" applyFont="1" applyFill="1" applyBorder="1" applyAlignment="1">
      <alignment vertical="center" wrapText="1"/>
    </xf>
    <xf numFmtId="0" fontId="16" fillId="2" borderId="28" xfId="0" applyFont="1" applyFill="1" applyBorder="1" applyAlignment="1">
      <alignment vertical="center" wrapText="1"/>
    </xf>
    <xf numFmtId="0" fontId="18" fillId="2" borderId="23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8" fillId="2" borderId="21" xfId="0" applyFont="1" applyFill="1" applyBorder="1" applyAlignment="1">
      <alignment horizontal="left" vertical="center"/>
    </xf>
    <xf numFmtId="0" fontId="16" fillId="2" borderId="23" xfId="0" applyFont="1" applyFill="1" applyBorder="1" applyAlignment="1">
      <alignment vertical="center"/>
    </xf>
    <xf numFmtId="0" fontId="16" fillId="2" borderId="21" xfId="0" applyFont="1" applyFill="1" applyBorder="1" applyAlignment="1">
      <alignment vertical="center"/>
    </xf>
    <xf numFmtId="0" fontId="16" fillId="2" borderId="28" xfId="0" applyFont="1" applyFill="1" applyBorder="1" applyAlignment="1">
      <alignment horizontal="left" vertical="center"/>
    </xf>
    <xf numFmtId="0" fontId="18" fillId="2" borderId="54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left"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  <xf numFmtId="3" fontId="47" fillId="2" borderId="16" xfId="6" applyNumberFormat="1" applyFont="1" applyFill="1" applyBorder="1" applyAlignment="1">
      <alignment vertical="center"/>
    </xf>
    <xf numFmtId="0" fontId="48" fillId="2" borderId="0" xfId="0" applyFont="1" applyFill="1" applyAlignment="1">
      <alignment vertical="center"/>
    </xf>
    <xf numFmtId="0" fontId="18" fillId="2" borderId="54" xfId="0" applyFont="1" applyFill="1" applyBorder="1" applyAlignment="1">
      <alignment horizontal="left" vertical="center"/>
    </xf>
    <xf numFmtId="0" fontId="16" fillId="2" borderId="69" xfId="0" applyFont="1" applyFill="1" applyBorder="1" applyAlignment="1">
      <alignment vertical="center" wrapText="1"/>
    </xf>
    <xf numFmtId="0" fontId="16" fillId="2" borderId="50" xfId="0" applyFont="1" applyFill="1" applyBorder="1" applyAlignment="1">
      <alignment vertical="center" wrapText="1"/>
    </xf>
    <xf numFmtId="0" fontId="16" fillId="2" borderId="42" xfId="0" applyFont="1" applyFill="1" applyBorder="1" applyAlignment="1">
      <alignment vertical="center" wrapText="1"/>
    </xf>
    <xf numFmtId="0" fontId="16" fillId="2" borderId="30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left" vertical="center" shrinkToFit="1"/>
    </xf>
    <xf numFmtId="3" fontId="16" fillId="2" borderId="23" xfId="6" applyNumberFormat="1" applyFont="1" applyFill="1" applyBorder="1" applyAlignment="1">
      <alignment horizontal="left" vertical="center"/>
    </xf>
    <xf numFmtId="3" fontId="16" fillId="2" borderId="7" xfId="6" applyNumberFormat="1" applyFont="1" applyFill="1" applyBorder="1" applyAlignment="1">
      <alignment horizontal="left" vertical="center"/>
    </xf>
    <xf numFmtId="3" fontId="16" fillId="2" borderId="21" xfId="6" applyNumberFormat="1" applyFont="1" applyFill="1" applyBorder="1" applyAlignment="1">
      <alignment horizontal="left" vertical="center"/>
    </xf>
    <xf numFmtId="0" fontId="16" fillId="2" borderId="27" xfId="6" applyNumberFormat="1" applyFont="1" applyFill="1" applyBorder="1" applyAlignment="1">
      <alignment vertical="center"/>
    </xf>
    <xf numFmtId="0" fontId="16" fillId="2" borderId="28" xfId="6" applyNumberFormat="1" applyFont="1" applyFill="1" applyBorder="1" applyAlignment="1">
      <alignment vertical="center"/>
    </xf>
    <xf numFmtId="3" fontId="16" fillId="2" borderId="27" xfId="0" applyNumberFormat="1" applyFont="1" applyFill="1" applyBorder="1" applyAlignment="1">
      <alignment vertical="center" shrinkToFit="1"/>
    </xf>
    <xf numFmtId="3" fontId="16" fillId="2" borderId="28" xfId="0" applyNumberFormat="1" applyFont="1" applyFill="1" applyBorder="1" applyAlignment="1">
      <alignment vertical="center" shrinkToFit="1"/>
    </xf>
    <xf numFmtId="177" fontId="16" fillId="2" borderId="55" xfId="6" applyNumberFormat="1" applyFont="1" applyFill="1" applyBorder="1" applyAlignment="1">
      <alignment horizontal="center" vertical="center"/>
    </xf>
    <xf numFmtId="177" fontId="16" fillId="2" borderId="40" xfId="6" applyNumberFormat="1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21" xfId="0" applyFont="1" applyFill="1" applyBorder="1" applyAlignment="1">
      <alignment horizontal="left" vertical="center" wrapText="1"/>
    </xf>
    <xf numFmtId="0" fontId="16" fillId="2" borderId="27" xfId="0" applyFont="1" applyFill="1" applyBorder="1" applyAlignment="1">
      <alignment vertical="center" wrapText="1" shrinkToFit="1"/>
    </xf>
    <xf numFmtId="0" fontId="16" fillId="2" borderId="30" xfId="0" applyFont="1" applyFill="1" applyBorder="1" applyAlignment="1">
      <alignment vertical="center" shrinkToFit="1"/>
    </xf>
    <xf numFmtId="3" fontId="16" fillId="2" borderId="27" xfId="6" applyNumberFormat="1" applyFont="1" applyFill="1" applyBorder="1" applyAlignment="1">
      <alignment horizontal="left" vertical="center" shrinkToFit="1"/>
    </xf>
    <xf numFmtId="3" fontId="16" fillId="2" borderId="30" xfId="6" applyNumberFormat="1" applyFont="1" applyFill="1" applyBorder="1" applyAlignment="1">
      <alignment horizontal="left" vertical="center" shrinkToFit="1"/>
    </xf>
    <xf numFmtId="3" fontId="16" fillId="2" borderId="28" xfId="6" applyNumberFormat="1" applyFont="1" applyFill="1" applyBorder="1" applyAlignment="1">
      <alignment horizontal="left" vertical="center" shrinkToFit="1"/>
    </xf>
    <xf numFmtId="0" fontId="16" fillId="2" borderId="52" xfId="0" applyFont="1" applyFill="1" applyBorder="1" applyAlignment="1">
      <alignment vertical="center" shrinkToFit="1"/>
    </xf>
    <xf numFmtId="0" fontId="47" fillId="2" borderId="27" xfId="0" applyFont="1" applyFill="1" applyBorder="1" applyAlignment="1">
      <alignment horizontal="left" vertical="center" wrapText="1"/>
    </xf>
    <xf numFmtId="0" fontId="47" fillId="2" borderId="28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vertical="center"/>
    </xf>
    <xf numFmtId="3" fontId="47" fillId="2" borderId="27" xfId="0" applyNumberFormat="1" applyFont="1" applyFill="1" applyBorder="1" applyAlignment="1">
      <alignment horizontal="left" vertical="center" shrinkToFit="1"/>
    </xf>
    <xf numFmtId="3" fontId="47" fillId="2" borderId="28" xfId="0" applyNumberFormat="1" applyFont="1" applyFill="1" applyBorder="1" applyAlignment="1">
      <alignment horizontal="left" vertical="center" shrinkToFit="1"/>
    </xf>
    <xf numFmtId="3" fontId="47" fillId="2" borderId="13" xfId="6" applyNumberFormat="1" applyFont="1" applyFill="1" applyBorder="1" applyAlignment="1">
      <alignment horizontal="left" vertical="center"/>
    </xf>
    <xf numFmtId="0" fontId="47" fillId="2" borderId="6" xfId="0" applyFont="1" applyFill="1" applyBorder="1" applyAlignment="1">
      <alignment vertical="center"/>
    </xf>
    <xf numFmtId="0" fontId="47" fillId="2" borderId="1" xfId="0" applyFont="1" applyFill="1" applyBorder="1" applyAlignment="1">
      <alignment vertical="center"/>
    </xf>
    <xf numFmtId="3" fontId="47" fillId="2" borderId="16" xfId="0" applyNumberFormat="1" applyFont="1" applyFill="1" applyBorder="1" applyAlignment="1">
      <alignment horizontal="left" vertical="center"/>
    </xf>
    <xf numFmtId="3" fontId="47" fillId="2" borderId="0" xfId="0" applyNumberFormat="1" applyFont="1" applyFill="1" applyBorder="1" applyAlignment="1">
      <alignment horizontal="left" vertical="center"/>
    </xf>
    <xf numFmtId="0" fontId="47" fillId="2" borderId="7" xfId="0" applyFont="1" applyFill="1" applyBorder="1" applyAlignment="1">
      <alignment vertical="center" wrapText="1"/>
    </xf>
    <xf numFmtId="0" fontId="47" fillId="2" borderId="27" xfId="0" applyFont="1" applyFill="1" applyBorder="1" applyAlignment="1">
      <alignment horizontal="left" vertical="center"/>
    </xf>
    <xf numFmtId="38" fontId="54" fillId="2" borderId="0" xfId="0" applyNumberFormat="1" applyFont="1" applyFill="1" applyBorder="1" applyAlignment="1">
      <alignment horizontal="center" vertical="center"/>
    </xf>
    <xf numFmtId="49" fontId="47" fillId="2" borderId="48" xfId="0" applyNumberFormat="1" applyFont="1" applyFill="1" applyBorder="1" applyAlignment="1">
      <alignment horizontal="center" vertical="center"/>
    </xf>
    <xf numFmtId="49" fontId="47" fillId="2" borderId="50" xfId="0" applyNumberFormat="1" applyFont="1" applyFill="1" applyBorder="1" applyAlignment="1">
      <alignment horizontal="center" vertical="center"/>
    </xf>
    <xf numFmtId="49" fontId="47" fillId="2" borderId="42" xfId="0" applyNumberFormat="1" applyFont="1" applyFill="1" applyBorder="1" applyAlignment="1">
      <alignment horizontal="center" vertical="center"/>
    </xf>
    <xf numFmtId="177" fontId="47" fillId="2" borderId="38" xfId="2" applyNumberFormat="1" applyFont="1" applyFill="1" applyBorder="1" applyAlignment="1">
      <alignment horizontal="center" vertical="center" wrapText="1"/>
    </xf>
    <xf numFmtId="177" fontId="47" fillId="2" borderId="25" xfId="2" applyNumberFormat="1" applyFont="1" applyFill="1" applyBorder="1" applyAlignment="1">
      <alignment horizontal="center" vertical="center"/>
    </xf>
    <xf numFmtId="3" fontId="47" fillId="2" borderId="55" xfId="0" applyNumberFormat="1" applyFont="1" applyFill="1" applyBorder="1" applyAlignment="1">
      <alignment horizontal="center" vertical="center"/>
    </xf>
    <xf numFmtId="3" fontId="47" fillId="2" borderId="40" xfId="0" applyNumberFormat="1" applyFont="1" applyFill="1" applyBorder="1" applyAlignment="1">
      <alignment horizontal="center" vertical="center"/>
    </xf>
    <xf numFmtId="49" fontId="47" fillId="2" borderId="47" xfId="0" applyNumberFormat="1" applyFont="1" applyFill="1" applyBorder="1" applyAlignment="1">
      <alignment horizontal="center" vertical="center"/>
    </xf>
    <xf numFmtId="49" fontId="47" fillId="2" borderId="43" xfId="0" applyNumberFormat="1" applyFont="1" applyFill="1" applyBorder="1" applyAlignment="1">
      <alignment horizontal="center" vertical="center"/>
    </xf>
    <xf numFmtId="49" fontId="47" fillId="2" borderId="17" xfId="0" applyNumberFormat="1" applyFont="1" applyFill="1" applyBorder="1" applyAlignment="1">
      <alignment horizontal="center" vertical="center"/>
    </xf>
    <xf numFmtId="49" fontId="47" fillId="2" borderId="20" xfId="0" applyNumberFormat="1" applyFont="1" applyFill="1" applyBorder="1" applyAlignment="1">
      <alignment horizontal="center" vertical="center"/>
    </xf>
    <xf numFmtId="49" fontId="47" fillId="2" borderId="1" xfId="0" applyNumberFormat="1" applyFont="1" applyFill="1" applyBorder="1" applyAlignment="1">
      <alignment horizontal="center" vertical="center"/>
    </xf>
    <xf numFmtId="49" fontId="47" fillId="2" borderId="5" xfId="0" applyNumberFormat="1" applyFont="1" applyFill="1" applyBorder="1" applyAlignment="1">
      <alignment horizontal="center" vertical="center"/>
    </xf>
    <xf numFmtId="3" fontId="50" fillId="2" borderId="20" xfId="6" applyNumberFormat="1" applyFont="1" applyFill="1" applyBorder="1" applyAlignment="1">
      <alignment vertical="center"/>
    </xf>
    <xf numFmtId="3" fontId="50" fillId="2" borderId="1" xfId="6" applyNumberFormat="1" applyFont="1" applyFill="1" applyBorder="1" applyAlignment="1">
      <alignment vertical="center"/>
    </xf>
    <xf numFmtId="3" fontId="50" fillId="2" borderId="32" xfId="6" applyNumberFormat="1" applyFont="1" applyFill="1" applyBorder="1" applyAlignment="1">
      <alignment vertical="center"/>
    </xf>
    <xf numFmtId="0" fontId="50" fillId="2" borderId="45" xfId="0" applyFont="1" applyFill="1" applyBorder="1" applyAlignment="1">
      <alignment horizontal="left" vertical="center"/>
    </xf>
    <xf numFmtId="0" fontId="50" fillId="2" borderId="49" xfId="0" applyFont="1" applyFill="1" applyBorder="1" applyAlignment="1">
      <alignment horizontal="left" vertical="center"/>
    </xf>
    <xf numFmtId="0" fontId="47" fillId="2" borderId="69" xfId="0" applyFont="1" applyFill="1" applyBorder="1" applyAlignment="1">
      <alignment vertical="center"/>
    </xf>
    <xf numFmtId="0" fontId="47" fillId="2" borderId="50" xfId="0" applyFont="1" applyFill="1" applyBorder="1" applyAlignment="1">
      <alignment vertical="center"/>
    </xf>
    <xf numFmtId="0" fontId="47" fillId="2" borderId="42" xfId="0" applyFont="1" applyFill="1" applyBorder="1" applyAlignment="1">
      <alignment vertical="center"/>
    </xf>
    <xf numFmtId="0" fontId="47" fillId="2" borderId="27" xfId="0" applyFont="1" applyFill="1" applyBorder="1" applyAlignment="1">
      <alignment vertical="center"/>
    </xf>
    <xf numFmtId="0" fontId="47" fillId="2" borderId="28" xfId="0" applyFont="1" applyFill="1" applyBorder="1" applyAlignment="1">
      <alignment vertical="center"/>
    </xf>
    <xf numFmtId="0" fontId="47" fillId="2" borderId="24" xfId="0" applyFont="1" applyFill="1" applyBorder="1" applyAlignment="1">
      <alignment horizontal="left" vertical="center"/>
    </xf>
    <xf numFmtId="0" fontId="47" fillId="2" borderId="6" xfId="0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left" vertical="center"/>
    </xf>
    <xf numFmtId="0" fontId="47" fillId="2" borderId="16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16" fillId="2" borderId="16" xfId="0" applyFont="1" applyFill="1" applyBorder="1" applyAlignment="1">
      <alignment vertical="center" shrinkToFit="1"/>
    </xf>
    <xf numFmtId="0" fontId="16" fillId="2" borderId="0" xfId="0" applyFont="1" applyFill="1" applyBorder="1" applyAlignment="1">
      <alignment vertical="center" shrinkToFit="1"/>
    </xf>
    <xf numFmtId="3" fontId="50" fillId="2" borderId="54" xfId="6" applyNumberFormat="1" applyFont="1" applyFill="1" applyBorder="1" applyAlignment="1">
      <alignment horizontal="center" vertical="center"/>
    </xf>
    <xf numFmtId="3" fontId="50" fillId="2" borderId="45" xfId="6" applyNumberFormat="1" applyFont="1" applyFill="1" applyBorder="1" applyAlignment="1">
      <alignment horizontal="center" vertical="center"/>
    </xf>
    <xf numFmtId="3" fontId="50" fillId="2" borderId="49" xfId="6" applyNumberFormat="1" applyFont="1" applyFill="1" applyBorder="1" applyAlignment="1">
      <alignment horizontal="center" vertical="center"/>
    </xf>
    <xf numFmtId="0" fontId="47" fillId="2" borderId="30" xfId="0" applyFont="1" applyFill="1" applyBorder="1" applyAlignment="1">
      <alignment vertical="center"/>
    </xf>
    <xf numFmtId="0" fontId="47" fillId="2" borderId="27" xfId="0" applyFont="1" applyFill="1" applyBorder="1" applyAlignment="1">
      <alignment horizontal="center" vertical="center" shrinkToFit="1"/>
    </xf>
    <xf numFmtId="0" fontId="47" fillId="2" borderId="28" xfId="0" applyFont="1" applyFill="1" applyBorder="1" applyAlignment="1">
      <alignment horizontal="center" vertical="center" shrinkToFit="1"/>
    </xf>
    <xf numFmtId="3" fontId="16" fillId="2" borderId="16" xfId="6" applyNumberFormat="1" applyFont="1" applyFill="1" applyBorder="1" applyAlignment="1">
      <alignment horizontal="left" vertical="center"/>
    </xf>
    <xf numFmtId="3" fontId="16" fillId="2" borderId="0" xfId="6" applyNumberFormat="1" applyFont="1" applyFill="1" applyBorder="1" applyAlignment="1">
      <alignment horizontal="left" vertical="center"/>
    </xf>
    <xf numFmtId="0" fontId="47" fillId="2" borderId="27" xfId="0" applyFont="1" applyFill="1" applyBorder="1" applyAlignment="1">
      <alignment vertical="center" shrinkToFit="1"/>
    </xf>
    <xf numFmtId="0" fontId="47" fillId="2" borderId="28" xfId="0" applyFont="1" applyFill="1" applyBorder="1" applyAlignment="1">
      <alignment vertical="center" shrinkToFit="1"/>
    </xf>
    <xf numFmtId="0" fontId="16" fillId="2" borderId="13" xfId="0" applyFont="1" applyFill="1" applyBorder="1" applyAlignment="1">
      <alignment vertical="center" shrinkToFit="1"/>
    </xf>
    <xf numFmtId="0" fontId="16" fillId="2" borderId="22" xfId="0" applyFont="1" applyFill="1" applyBorder="1" applyAlignment="1">
      <alignment horizontal="left" vertical="center" wrapText="1"/>
    </xf>
    <xf numFmtId="0" fontId="16" fillId="2" borderId="27" xfId="0" applyFont="1" applyFill="1" applyBorder="1" applyAlignment="1">
      <alignment vertical="center"/>
    </xf>
    <xf numFmtId="0" fontId="18" fillId="2" borderId="48" xfId="0" applyFont="1" applyFill="1" applyBorder="1" applyAlignment="1">
      <alignment horizontal="left" vertical="center"/>
    </xf>
    <xf numFmtId="0" fontId="18" fillId="2" borderId="50" xfId="0" applyFont="1" applyFill="1" applyBorder="1" applyAlignment="1">
      <alignment horizontal="left" vertical="center"/>
    </xf>
    <xf numFmtId="0" fontId="18" fillId="2" borderId="42" xfId="0" applyFont="1" applyFill="1" applyBorder="1" applyAlignment="1">
      <alignment horizontal="left" vertical="center"/>
    </xf>
    <xf numFmtId="0" fontId="47" fillId="2" borderId="13" xfId="0" applyFont="1" applyFill="1" applyBorder="1" applyAlignment="1">
      <alignment vertical="center" shrinkToFit="1"/>
    </xf>
    <xf numFmtId="0" fontId="16" fillId="2" borderId="16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left" vertical="center" wrapText="1"/>
    </xf>
    <xf numFmtId="3" fontId="47" fillId="2" borderId="16" xfId="0" applyNumberFormat="1" applyFont="1" applyFill="1" applyBorder="1" applyAlignment="1">
      <alignment vertical="center" shrinkToFit="1"/>
    </xf>
    <xf numFmtId="3" fontId="47" fillId="2" borderId="0" xfId="0" applyNumberFormat="1" applyFont="1" applyFill="1" applyBorder="1" applyAlignment="1">
      <alignment vertical="center" shrinkToFit="1"/>
    </xf>
    <xf numFmtId="0" fontId="50" fillId="2" borderId="48" xfId="0" applyFont="1" applyFill="1" applyBorder="1" applyAlignment="1">
      <alignment horizontal="left" vertical="center"/>
    </xf>
    <xf numFmtId="0" fontId="50" fillId="2" borderId="50" xfId="0" applyFont="1" applyFill="1" applyBorder="1" applyAlignment="1">
      <alignment horizontal="left" vertical="center"/>
    </xf>
    <xf numFmtId="0" fontId="50" fillId="2" borderId="42" xfId="0" applyFont="1" applyFill="1" applyBorder="1" applyAlignment="1">
      <alignment horizontal="left" vertical="center"/>
    </xf>
    <xf numFmtId="0" fontId="50" fillId="2" borderId="23" xfId="0" applyFont="1" applyFill="1" applyBorder="1" applyAlignment="1">
      <alignment horizontal="left" vertical="center"/>
    </xf>
    <xf numFmtId="0" fontId="50" fillId="2" borderId="7" xfId="0" applyFont="1" applyFill="1" applyBorder="1" applyAlignment="1">
      <alignment horizontal="left" vertical="center"/>
    </xf>
    <xf numFmtId="0" fontId="50" fillId="2" borderId="21" xfId="0" applyFont="1" applyFill="1" applyBorder="1" applyAlignment="1">
      <alignment horizontal="left" vertical="center"/>
    </xf>
    <xf numFmtId="0" fontId="47" fillId="2" borderId="23" xfId="0" applyFont="1" applyFill="1" applyBorder="1" applyAlignment="1">
      <alignment vertical="center"/>
    </xf>
    <xf numFmtId="0" fontId="47" fillId="2" borderId="21" xfId="0" applyFont="1" applyFill="1" applyBorder="1" applyAlignment="1">
      <alignment vertical="center"/>
    </xf>
    <xf numFmtId="177" fontId="47" fillId="2" borderId="55" xfId="0" applyNumberFormat="1" applyFont="1" applyFill="1" applyBorder="1" applyAlignment="1">
      <alignment horizontal="center" vertical="center"/>
    </xf>
    <xf numFmtId="177" fontId="47" fillId="2" borderId="40" xfId="0" applyNumberFormat="1" applyFont="1" applyFill="1" applyBorder="1" applyAlignment="1">
      <alignment horizontal="center" vertical="center"/>
    </xf>
    <xf numFmtId="0" fontId="50" fillId="2" borderId="54" xfId="0" applyFont="1" applyFill="1" applyBorder="1" applyAlignment="1">
      <alignment horizontal="center" vertical="center"/>
    </xf>
    <xf numFmtId="0" fontId="50" fillId="2" borderId="45" xfId="0" applyFont="1" applyFill="1" applyBorder="1" applyAlignment="1">
      <alignment horizontal="center" vertical="center"/>
    </xf>
    <xf numFmtId="0" fontId="50" fillId="2" borderId="49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47" fillId="2" borderId="23" xfId="0" applyFont="1" applyFill="1" applyBorder="1" applyAlignment="1">
      <alignment horizontal="left" vertical="center"/>
    </xf>
    <xf numFmtId="0" fontId="47" fillId="2" borderId="21" xfId="0" applyFont="1" applyFill="1" applyBorder="1" applyAlignment="1">
      <alignment horizontal="left" vertical="center"/>
    </xf>
    <xf numFmtId="0" fontId="47" fillId="2" borderId="37" xfId="0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center" vertical="center"/>
    </xf>
    <xf numFmtId="177" fontId="16" fillId="2" borderId="55" xfId="0" applyNumberFormat="1" applyFont="1" applyFill="1" applyBorder="1" applyAlignment="1">
      <alignment horizontal="center" vertical="center"/>
    </xf>
    <xf numFmtId="177" fontId="16" fillId="2" borderId="40" xfId="0" applyNumberFormat="1" applyFont="1" applyFill="1" applyBorder="1" applyAlignment="1">
      <alignment horizontal="center" vertical="center"/>
    </xf>
    <xf numFmtId="49" fontId="17" fillId="2" borderId="47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vertical="center" shrinkToFit="1"/>
    </xf>
    <xf numFmtId="0" fontId="0" fillId="2" borderId="28" xfId="0" applyFont="1" applyFill="1" applyBorder="1" applyAlignment="1">
      <alignment vertical="center"/>
    </xf>
    <xf numFmtId="0" fontId="0" fillId="2" borderId="28" xfId="0" applyFont="1" applyFill="1" applyBorder="1" applyAlignment="1">
      <alignment vertical="center" shrinkToFit="1"/>
    </xf>
    <xf numFmtId="41" fontId="47" fillId="2" borderId="16" xfId="2" applyFont="1" applyFill="1" applyBorder="1" applyAlignment="1">
      <alignment horizontal="left" vertical="center" wrapText="1"/>
    </xf>
    <xf numFmtId="41" fontId="47" fillId="2" borderId="0" xfId="2" applyFont="1" applyFill="1" applyBorder="1" applyAlignment="1">
      <alignment horizontal="left" vertical="center" wrapText="1"/>
    </xf>
    <xf numFmtId="3" fontId="16" fillId="2" borderId="16" xfId="0" applyNumberFormat="1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vertical="center"/>
    </xf>
    <xf numFmtId="0" fontId="47" fillId="2" borderId="13" xfId="0" applyFont="1" applyFill="1" applyBorder="1" applyAlignment="1">
      <alignment horizontal="left" vertical="center" wrapText="1"/>
    </xf>
    <xf numFmtId="177" fontId="16" fillId="2" borderId="17" xfId="0" applyNumberFormat="1" applyFont="1" applyFill="1" applyBorder="1" applyAlignment="1">
      <alignment horizontal="center" vertical="center"/>
    </xf>
    <xf numFmtId="177" fontId="16" fillId="2" borderId="5" xfId="0" applyNumberFormat="1" applyFont="1" applyFill="1" applyBorder="1" applyAlignment="1">
      <alignment horizontal="center" vertical="center"/>
    </xf>
    <xf numFmtId="49" fontId="17" fillId="2" borderId="43" xfId="0" applyNumberFormat="1" applyFont="1" applyFill="1" applyBorder="1" applyAlignment="1">
      <alignment horizontal="center" vertical="center"/>
    </xf>
    <xf numFmtId="49" fontId="17" fillId="2" borderId="17" xfId="0" applyNumberFormat="1" applyFont="1" applyFill="1" applyBorder="1" applyAlignment="1">
      <alignment horizontal="center" vertical="center"/>
    </xf>
    <xf numFmtId="49" fontId="17" fillId="2" borderId="20" xfId="0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47" fillId="2" borderId="30" xfId="0" applyFont="1" applyFill="1" applyBorder="1" applyAlignment="1">
      <alignment horizontal="left" vertical="center" shrinkToFit="1"/>
    </xf>
    <xf numFmtId="0" fontId="47" fillId="2" borderId="23" xfId="0" applyFont="1" applyFill="1" applyBorder="1" applyAlignment="1">
      <alignment horizontal="left" vertical="center" shrinkToFit="1"/>
    </xf>
    <xf numFmtId="0" fontId="47" fillId="2" borderId="7" xfId="0" applyFont="1" applyFill="1" applyBorder="1" applyAlignment="1">
      <alignment horizontal="left" vertical="center" shrinkToFit="1"/>
    </xf>
    <xf numFmtId="0" fontId="47" fillId="2" borderId="30" xfId="0" applyFont="1" applyFill="1" applyBorder="1" applyAlignment="1">
      <alignment horizontal="left" vertical="center"/>
    </xf>
    <xf numFmtId="0" fontId="47" fillId="2" borderId="52" xfId="0" applyFont="1" applyFill="1" applyBorder="1" applyAlignment="1">
      <alignment horizontal="left" vertical="center" shrinkToFit="1"/>
    </xf>
    <xf numFmtId="197" fontId="47" fillId="2" borderId="16" xfId="0" applyNumberFormat="1" applyFont="1" applyFill="1" applyBorder="1" applyAlignment="1">
      <alignment horizontal="left" vertical="center" wrapText="1"/>
    </xf>
    <xf numFmtId="197" fontId="47" fillId="2" borderId="0" xfId="0" applyNumberFormat="1" applyFont="1" applyFill="1" applyBorder="1" applyAlignment="1">
      <alignment horizontal="left" vertical="center" wrapText="1"/>
    </xf>
    <xf numFmtId="197" fontId="47" fillId="2" borderId="16" xfId="0" applyNumberFormat="1" applyFont="1" applyFill="1" applyBorder="1" applyAlignment="1">
      <alignment horizontal="left" vertical="center" shrinkToFit="1"/>
    </xf>
    <xf numFmtId="197" fontId="47" fillId="2" borderId="0" xfId="0" applyNumberFormat="1" applyFont="1" applyFill="1" applyBorder="1" applyAlignment="1">
      <alignment horizontal="left" vertical="center" shrinkToFit="1"/>
    </xf>
    <xf numFmtId="197" fontId="47" fillId="2" borderId="22" xfId="0" applyNumberFormat="1" applyFont="1" applyFill="1" applyBorder="1" applyAlignment="1">
      <alignment horizontal="left" vertical="center" wrapText="1"/>
    </xf>
    <xf numFmtId="197" fontId="47" fillId="2" borderId="7" xfId="0" applyNumberFormat="1" applyFont="1" applyFill="1" applyBorder="1" applyAlignment="1">
      <alignment horizontal="left" vertical="center" wrapText="1"/>
    </xf>
    <xf numFmtId="0" fontId="47" fillId="2" borderId="31" xfId="0" applyFont="1" applyFill="1" applyBorder="1" applyAlignment="1">
      <alignment horizontal="left" vertical="center" shrinkToFit="1"/>
    </xf>
    <xf numFmtId="0" fontId="47" fillId="2" borderId="26" xfId="0" applyFont="1" applyFill="1" applyBorder="1" applyAlignment="1">
      <alignment horizontal="left" vertical="center" shrinkToFit="1"/>
    </xf>
    <xf numFmtId="197" fontId="16" fillId="2" borderId="16" xfId="0" applyNumberFormat="1" applyFont="1" applyFill="1" applyBorder="1" applyAlignment="1">
      <alignment horizontal="left" vertical="center" wrapText="1"/>
    </xf>
    <xf numFmtId="197" fontId="13" fillId="2" borderId="0" xfId="0" applyNumberFormat="1" applyFont="1" applyFill="1" applyBorder="1"/>
    <xf numFmtId="197" fontId="0" fillId="2" borderId="0" xfId="0" applyNumberFormat="1" applyFont="1" applyFill="1" applyBorder="1"/>
    <xf numFmtId="197" fontId="16" fillId="2" borderId="0" xfId="0" applyNumberFormat="1" applyFont="1" applyFill="1" applyBorder="1" applyAlignment="1">
      <alignment horizontal="left" vertical="center" wrapText="1"/>
    </xf>
    <xf numFmtId="197" fontId="16" fillId="2" borderId="22" xfId="0" applyNumberFormat="1" applyFont="1" applyFill="1" applyBorder="1" applyAlignment="1">
      <alignment horizontal="left" vertical="center" wrapText="1"/>
    </xf>
    <xf numFmtId="197" fontId="16" fillId="2" borderId="7" xfId="0" applyNumberFormat="1" applyFont="1" applyFill="1" applyBorder="1" applyAlignment="1">
      <alignment horizontal="left" vertical="center" wrapText="1"/>
    </xf>
    <xf numFmtId="0" fontId="47" fillId="2" borderId="7" xfId="0" applyFont="1" applyFill="1" applyBorder="1" applyAlignment="1">
      <alignment horizontal="left" vertical="center"/>
    </xf>
    <xf numFmtId="0" fontId="47" fillId="2" borderId="7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197" fontId="16" fillId="2" borderId="24" xfId="0" applyNumberFormat="1" applyFont="1" applyFill="1" applyBorder="1" applyAlignment="1">
      <alignment horizontal="left" vertical="center" wrapText="1"/>
    </xf>
    <xf numFmtId="197" fontId="0" fillId="2" borderId="6" xfId="0" applyNumberFormat="1" applyFont="1" applyFill="1" applyBorder="1"/>
    <xf numFmtId="197" fontId="0" fillId="2" borderId="7" xfId="0" applyNumberFormat="1" applyFont="1" applyFill="1" applyBorder="1"/>
    <xf numFmtId="197" fontId="47" fillId="2" borderId="24" xfId="0" applyNumberFormat="1" applyFont="1" applyFill="1" applyBorder="1" applyAlignment="1">
      <alignment horizontal="left" vertical="center" wrapText="1"/>
    </xf>
    <xf numFmtId="197" fontId="47" fillId="2" borderId="6" xfId="0" applyNumberFormat="1" applyFont="1" applyFill="1" applyBorder="1" applyAlignment="1">
      <alignment horizontal="left" vertical="center" wrapText="1"/>
    </xf>
    <xf numFmtId="0" fontId="47" fillId="2" borderId="31" xfId="0" applyFont="1" applyFill="1" applyBorder="1" applyAlignment="1">
      <alignment horizontal="left" vertical="center"/>
    </xf>
    <xf numFmtId="0" fontId="47" fillId="2" borderId="26" xfId="0" applyFont="1" applyFill="1" applyBorder="1" applyAlignment="1">
      <alignment horizontal="left" vertical="center"/>
    </xf>
    <xf numFmtId="0" fontId="47" fillId="2" borderId="115" xfId="0" applyFont="1" applyFill="1" applyBorder="1" applyAlignment="1">
      <alignment horizontal="left" vertical="center"/>
    </xf>
    <xf numFmtId="0" fontId="47" fillId="2" borderId="96" xfId="0" applyFont="1" applyFill="1" applyBorder="1" applyAlignment="1">
      <alignment horizontal="left" vertical="center"/>
    </xf>
    <xf numFmtId="197" fontId="47" fillId="2" borderId="131" xfId="0" applyNumberFormat="1" applyFont="1" applyFill="1" applyBorder="1" applyAlignment="1">
      <alignment horizontal="left" vertical="center" wrapText="1"/>
    </xf>
    <xf numFmtId="197" fontId="47" fillId="2" borderId="132" xfId="0" applyNumberFormat="1" applyFont="1" applyFill="1" applyBorder="1" applyAlignment="1">
      <alignment horizontal="left" vertical="center" wrapText="1"/>
    </xf>
    <xf numFmtId="0" fontId="76" fillId="0" borderId="7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Alignment="1">
      <alignment horizontal="center" vertical="center"/>
    </xf>
    <xf numFmtId="0" fontId="33" fillId="0" borderId="0" xfId="0" applyNumberFormat="1" applyFont="1" applyFill="1" applyAlignment="1">
      <alignment horizontal="center" vertical="center"/>
    </xf>
    <xf numFmtId="0" fontId="17" fillId="0" borderId="48" xfId="0" applyNumberFormat="1" applyFont="1" applyFill="1" applyBorder="1" applyAlignment="1">
      <alignment horizontal="center" vertical="center"/>
    </xf>
    <xf numFmtId="0" fontId="17" fillId="0" borderId="50" xfId="0" applyNumberFormat="1" applyFont="1" applyFill="1" applyBorder="1" applyAlignment="1">
      <alignment horizontal="center" vertical="center"/>
    </xf>
    <xf numFmtId="0" fontId="17" fillId="0" borderId="42" xfId="0" applyNumberFormat="1" applyFont="1" applyFill="1" applyBorder="1" applyAlignment="1">
      <alignment horizontal="center" vertical="center"/>
    </xf>
    <xf numFmtId="0" fontId="17" fillId="0" borderId="38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/>
    </xf>
    <xf numFmtId="177" fontId="17" fillId="0" borderId="38" xfId="2" applyNumberFormat="1" applyFont="1" applyFill="1" applyBorder="1" applyAlignment="1">
      <alignment horizontal="center" vertical="center" wrapText="1"/>
    </xf>
    <xf numFmtId="177" fontId="17" fillId="0" borderId="10" xfId="2" applyNumberFormat="1" applyFont="1" applyFill="1" applyBorder="1" applyAlignment="1">
      <alignment horizontal="center" vertical="center"/>
    </xf>
    <xf numFmtId="177" fontId="17" fillId="0" borderId="55" xfId="0" applyNumberFormat="1" applyFont="1" applyFill="1" applyBorder="1" applyAlignment="1">
      <alignment horizontal="center" vertical="center"/>
    </xf>
    <xf numFmtId="177" fontId="17" fillId="0" borderId="35" xfId="0" applyNumberFormat="1" applyFont="1" applyFill="1" applyBorder="1" applyAlignment="1">
      <alignment horizontal="center" vertical="center"/>
    </xf>
    <xf numFmtId="0" fontId="17" fillId="0" borderId="47" xfId="0" applyNumberFormat="1" applyFont="1" applyFill="1" applyBorder="1" applyAlignment="1">
      <alignment horizontal="center" vertical="center"/>
    </xf>
    <xf numFmtId="0" fontId="17" fillId="0" borderId="43" xfId="0" applyNumberFormat="1" applyFont="1" applyFill="1" applyBorder="1" applyAlignment="1">
      <alignment horizontal="center" vertical="center"/>
    </xf>
    <xf numFmtId="0" fontId="17" fillId="0" borderId="17" xfId="0" applyNumberFormat="1" applyFont="1" applyFill="1" applyBorder="1" applyAlignment="1">
      <alignment horizontal="center" vertical="center"/>
    </xf>
    <xf numFmtId="0" fontId="17" fillId="0" borderId="16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6" fillId="2" borderId="106" xfId="0" applyFont="1" applyFill="1" applyBorder="1" applyAlignment="1">
      <alignment horizontal="left" vertical="center" shrinkToFit="1"/>
    </xf>
    <xf numFmtId="0" fontId="16" fillId="2" borderId="51" xfId="0" applyFont="1" applyFill="1" applyBorder="1" applyAlignment="1">
      <alignment horizontal="left" vertical="center" shrinkToFit="1"/>
    </xf>
    <xf numFmtId="0" fontId="16" fillId="2" borderId="7" xfId="0" applyFont="1" applyFill="1" applyBorder="1" applyAlignment="1">
      <alignment horizontal="left" vertical="center" shrinkToFit="1"/>
    </xf>
    <xf numFmtId="0" fontId="16" fillId="2" borderId="52" xfId="0" applyFont="1" applyFill="1" applyBorder="1" applyAlignment="1">
      <alignment horizontal="left" vertical="center" shrinkToFit="1"/>
    </xf>
    <xf numFmtId="0" fontId="16" fillId="2" borderId="37" xfId="0" applyFont="1" applyFill="1" applyBorder="1" applyAlignment="1">
      <alignment horizontal="left" vertical="center" shrinkToFit="1"/>
    </xf>
    <xf numFmtId="3" fontId="47" fillId="0" borderId="13" xfId="6" applyNumberFormat="1" applyFont="1" applyFill="1" applyBorder="1" applyAlignment="1">
      <alignment horizontal="left" vertical="center"/>
    </xf>
    <xf numFmtId="3" fontId="0" fillId="0" borderId="27" xfId="0" applyNumberFormat="1" applyFill="1" applyBorder="1" applyAlignment="1">
      <alignment horizontal="left" vertical="center" shrinkToFit="1"/>
    </xf>
    <xf numFmtId="3" fontId="0" fillId="0" borderId="28" xfId="0" applyNumberFormat="1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left" vertical="center" wrapText="1"/>
    </xf>
    <xf numFmtId="0" fontId="16" fillId="2" borderId="23" xfId="0" applyFont="1" applyFill="1" applyBorder="1" applyAlignment="1">
      <alignment horizontal="left" vertical="center" shrinkToFit="1"/>
    </xf>
    <xf numFmtId="0" fontId="16" fillId="2" borderId="14" xfId="0" applyFont="1" applyFill="1" applyBorder="1" applyAlignment="1">
      <alignment horizontal="left" vertical="center" wrapText="1"/>
    </xf>
    <xf numFmtId="0" fontId="16" fillId="2" borderId="13" xfId="0" applyFont="1" applyFill="1" applyBorder="1"/>
    <xf numFmtId="3" fontId="16" fillId="2" borderId="13" xfId="6" applyNumberFormat="1" applyFont="1" applyFill="1" applyBorder="1" applyAlignment="1">
      <alignment horizontal="left" vertical="center"/>
    </xf>
    <xf numFmtId="3" fontId="18" fillId="2" borderId="39" xfId="6" applyNumberFormat="1" applyFont="1" applyFill="1" applyBorder="1" applyAlignment="1">
      <alignment horizontal="left" vertical="center"/>
    </xf>
    <xf numFmtId="0" fontId="13" fillId="2" borderId="0" xfId="0" applyFont="1" applyFill="1" applyBorder="1" applyAlignment="1">
      <alignment vertical="center"/>
    </xf>
    <xf numFmtId="3" fontId="16" fillId="2" borderId="10" xfId="6" applyNumberFormat="1" applyFont="1" applyFill="1" applyBorder="1" applyAlignment="1">
      <alignment horizontal="center" vertical="center"/>
    </xf>
    <xf numFmtId="3" fontId="16" fillId="2" borderId="25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6" fillId="2" borderId="14" xfId="0" applyFont="1" applyFill="1" applyBorder="1" applyAlignment="1">
      <alignment horizontal="left" vertical="center" shrinkToFit="1"/>
    </xf>
    <xf numFmtId="3" fontId="16" fillId="2" borderId="27" xfId="0" applyNumberFormat="1" applyFont="1" applyFill="1" applyBorder="1" applyAlignment="1">
      <alignment horizontal="left" vertical="center" shrinkToFit="1"/>
    </xf>
    <xf numFmtId="3" fontId="16" fillId="2" borderId="28" xfId="0" applyNumberFormat="1" applyFont="1" applyFill="1" applyBorder="1" applyAlignment="1">
      <alignment horizontal="left" vertical="center" shrinkToFit="1"/>
    </xf>
    <xf numFmtId="38" fontId="14" fillId="0" borderId="0" xfId="6" applyNumberFormat="1" applyFont="1" applyFill="1" applyBorder="1" applyAlignment="1">
      <alignment horizontal="center" vertical="center"/>
    </xf>
    <xf numFmtId="49" fontId="16" fillId="0" borderId="48" xfId="6" applyNumberFormat="1" applyFont="1" applyFill="1" applyBorder="1" applyAlignment="1">
      <alignment horizontal="center" vertical="center"/>
    </xf>
    <xf numFmtId="49" fontId="16" fillId="0" borderId="50" xfId="6" applyNumberFormat="1" applyFont="1" applyFill="1" applyBorder="1" applyAlignment="1">
      <alignment horizontal="center" vertical="center"/>
    </xf>
    <xf numFmtId="49" fontId="16" fillId="0" borderId="42" xfId="6" applyNumberFormat="1" applyFont="1" applyFill="1" applyBorder="1" applyAlignment="1">
      <alignment horizontal="center" vertical="center"/>
    </xf>
    <xf numFmtId="0" fontId="16" fillId="2" borderId="10" xfId="0" applyNumberFormat="1" applyFont="1" applyFill="1" applyBorder="1" applyAlignment="1">
      <alignment horizontal="center" vertical="center"/>
    </xf>
    <xf numFmtId="177" fontId="16" fillId="0" borderId="38" xfId="2" applyNumberFormat="1" applyFont="1" applyFill="1" applyBorder="1" applyAlignment="1">
      <alignment horizontal="center" vertical="center" wrapText="1"/>
    </xf>
    <xf numFmtId="177" fontId="16" fillId="0" borderId="10" xfId="2" applyNumberFormat="1" applyFont="1" applyFill="1" applyBorder="1" applyAlignment="1">
      <alignment horizontal="center" vertical="center"/>
    </xf>
    <xf numFmtId="177" fontId="16" fillId="0" borderId="55" xfId="6" applyNumberFormat="1" applyFont="1" applyFill="1" applyBorder="1" applyAlignment="1">
      <alignment horizontal="center" vertical="center"/>
    </xf>
    <xf numFmtId="177" fontId="16" fillId="0" borderId="35" xfId="6" applyNumberFormat="1" applyFont="1" applyFill="1" applyBorder="1" applyAlignment="1">
      <alignment horizontal="center" vertical="center"/>
    </xf>
    <xf numFmtId="49" fontId="16" fillId="0" borderId="43" xfId="6" applyNumberFormat="1" applyFont="1" applyFill="1" applyBorder="1" applyAlignment="1">
      <alignment horizontal="center" vertical="center"/>
    </xf>
    <xf numFmtId="49" fontId="16" fillId="0" borderId="17" xfId="6" applyNumberFormat="1" applyFont="1" applyFill="1" applyBorder="1" applyAlignment="1">
      <alignment horizontal="center" vertical="center"/>
    </xf>
    <xf numFmtId="49" fontId="16" fillId="0" borderId="1" xfId="6" applyNumberFormat="1" applyFont="1" applyFill="1" applyBorder="1" applyAlignment="1">
      <alignment horizontal="center" vertical="center"/>
    </xf>
    <xf numFmtId="49" fontId="16" fillId="0" borderId="5" xfId="6" applyNumberFormat="1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left" vertical="center" shrinkToFit="1"/>
    </xf>
    <xf numFmtId="0" fontId="16" fillId="0" borderId="21" xfId="0" applyFont="1" applyFill="1" applyBorder="1" applyAlignment="1">
      <alignment horizontal="left" vertical="center" shrinkToFit="1"/>
    </xf>
    <xf numFmtId="3" fontId="16" fillId="0" borderId="23" xfId="6" applyNumberFormat="1" applyFont="1" applyFill="1" applyBorder="1" applyAlignment="1">
      <alignment horizontal="left" vertical="center"/>
    </xf>
    <xf numFmtId="3" fontId="16" fillId="0" borderId="7" xfId="6" applyNumberFormat="1" applyFont="1" applyFill="1" applyBorder="1" applyAlignment="1">
      <alignment horizontal="left" vertical="center"/>
    </xf>
    <xf numFmtId="3" fontId="16" fillId="0" borderId="21" xfId="6" applyNumberFormat="1" applyFont="1" applyFill="1" applyBorder="1" applyAlignment="1">
      <alignment horizontal="left" vertical="center"/>
    </xf>
    <xf numFmtId="0" fontId="16" fillId="0" borderId="27" xfId="0" applyFont="1" applyFill="1" applyBorder="1" applyAlignment="1">
      <alignment vertical="center" wrapText="1"/>
    </xf>
    <xf numFmtId="0" fontId="16" fillId="0" borderId="28" xfId="0" applyFont="1" applyFill="1" applyBorder="1" applyAlignment="1">
      <alignment vertical="center" wrapText="1"/>
    </xf>
    <xf numFmtId="3" fontId="16" fillId="0" borderId="13" xfId="6" applyNumberFormat="1" applyFont="1" applyFill="1" applyBorder="1" applyAlignment="1">
      <alignment horizontal="left" vertical="center"/>
    </xf>
    <xf numFmtId="3" fontId="16" fillId="0" borderId="27" xfId="6" applyNumberFormat="1" applyFont="1" applyFill="1" applyBorder="1" applyAlignment="1">
      <alignment horizontal="left" vertical="center"/>
    </xf>
    <xf numFmtId="3" fontId="16" fillId="0" borderId="30" xfId="6" applyNumberFormat="1" applyFont="1" applyFill="1" applyBorder="1" applyAlignment="1">
      <alignment horizontal="left" vertical="center"/>
    </xf>
    <xf numFmtId="3" fontId="16" fillId="0" borderId="28" xfId="6" applyNumberFormat="1" applyFont="1" applyFill="1" applyBorder="1" applyAlignment="1">
      <alignment horizontal="left" vertical="center"/>
    </xf>
    <xf numFmtId="0" fontId="16" fillId="0" borderId="52" xfId="0" applyFont="1" applyFill="1" applyBorder="1" applyAlignment="1">
      <alignment horizontal="left" vertical="center" shrinkToFit="1"/>
    </xf>
    <xf numFmtId="0" fontId="16" fillId="0" borderId="37" xfId="0" applyFont="1" applyFill="1" applyBorder="1" applyAlignment="1">
      <alignment horizontal="left" vertical="center" shrinkToFit="1"/>
    </xf>
    <xf numFmtId="0" fontId="16" fillId="0" borderId="7" xfId="0" applyFont="1" applyFill="1" applyBorder="1" applyAlignment="1">
      <alignment horizontal="left" vertical="center" shrinkToFit="1"/>
    </xf>
    <xf numFmtId="0" fontId="16" fillId="0" borderId="106" xfId="0" applyFont="1" applyFill="1" applyBorder="1" applyAlignment="1">
      <alignment horizontal="left" vertical="center" shrinkToFit="1"/>
    </xf>
    <xf numFmtId="0" fontId="16" fillId="0" borderId="51" xfId="0" applyFont="1" applyFill="1" applyBorder="1" applyAlignment="1">
      <alignment horizontal="left" vertical="center" shrinkToFit="1"/>
    </xf>
    <xf numFmtId="0" fontId="16" fillId="0" borderId="27" xfId="0" applyFont="1" applyFill="1" applyBorder="1" applyAlignment="1">
      <alignment horizontal="left" vertical="center" shrinkToFit="1"/>
    </xf>
    <xf numFmtId="0" fontId="16" fillId="0" borderId="28" xfId="0" applyFont="1" applyFill="1" applyBorder="1" applyAlignment="1">
      <alignment horizontal="left" vertical="center" shrinkToFit="1"/>
    </xf>
    <xf numFmtId="0" fontId="16" fillId="0" borderId="30" xfId="0" applyFont="1" applyFill="1" applyBorder="1" applyAlignment="1">
      <alignment horizontal="left" vertical="center" shrinkToFit="1"/>
    </xf>
    <xf numFmtId="0" fontId="16" fillId="2" borderId="16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177" fontId="47" fillId="2" borderId="10" xfId="2" applyNumberFormat="1" applyFont="1" applyFill="1" applyBorder="1" applyAlignment="1">
      <alignment horizontal="center" vertical="center"/>
    </xf>
    <xf numFmtId="177" fontId="16" fillId="2" borderId="35" xfId="6" applyNumberFormat="1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left" vertical="center"/>
    </xf>
    <xf numFmtId="0" fontId="18" fillId="0" borderId="45" xfId="0" applyFont="1" applyFill="1" applyBorder="1" applyAlignment="1">
      <alignment horizontal="left" vertical="center"/>
    </xf>
    <xf numFmtId="0" fontId="18" fillId="0" borderId="49" xfId="0" applyFont="1" applyFill="1" applyBorder="1" applyAlignment="1">
      <alignment horizontal="left" vertical="center"/>
    </xf>
    <xf numFmtId="0" fontId="47" fillId="0" borderId="23" xfId="0" applyFont="1" applyFill="1" applyBorder="1" applyAlignment="1">
      <alignment horizontal="left" vertical="center"/>
    </xf>
    <xf numFmtId="0" fontId="47" fillId="0" borderId="7" xfId="0" applyFont="1" applyFill="1" applyBorder="1" applyAlignment="1">
      <alignment horizontal="left" vertical="center"/>
    </xf>
    <xf numFmtId="0" fontId="47" fillId="0" borderId="21" xfId="0" applyFont="1" applyFill="1" applyBorder="1" applyAlignment="1">
      <alignment horizontal="left" vertical="center"/>
    </xf>
    <xf numFmtId="0" fontId="47" fillId="0" borderId="23" xfId="0" applyFont="1" applyFill="1" applyBorder="1" applyAlignment="1">
      <alignment vertical="center"/>
    </xf>
    <xf numFmtId="0" fontId="47" fillId="0" borderId="21" xfId="0" applyFont="1" applyFill="1" applyBorder="1" applyAlignment="1">
      <alignment vertical="center"/>
    </xf>
    <xf numFmtId="49" fontId="16" fillId="0" borderId="48" xfId="0" applyNumberFormat="1" applyFont="1" applyFill="1" applyBorder="1" applyAlignment="1">
      <alignment horizontal="center" vertical="center"/>
    </xf>
    <xf numFmtId="49" fontId="16" fillId="0" borderId="50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16" fillId="0" borderId="38" xfId="0" applyNumberFormat="1" applyFont="1" applyFill="1" applyBorder="1" applyAlignment="1">
      <alignment horizontal="center" vertical="center" wrapText="1"/>
    </xf>
    <xf numFmtId="0" fontId="16" fillId="0" borderId="25" xfId="0" applyNumberFormat="1" applyFont="1" applyFill="1" applyBorder="1" applyAlignment="1">
      <alignment horizontal="center" vertical="center"/>
    </xf>
    <xf numFmtId="177" fontId="16" fillId="0" borderId="25" xfId="2" applyNumberFormat="1" applyFont="1" applyFill="1" applyBorder="1" applyAlignment="1">
      <alignment horizontal="center" vertical="center"/>
    </xf>
    <xf numFmtId="177" fontId="16" fillId="0" borderId="55" xfId="2" applyNumberFormat="1" applyFont="1" applyFill="1" applyBorder="1" applyAlignment="1">
      <alignment horizontal="center" vertical="center"/>
    </xf>
    <xf numFmtId="177" fontId="16" fillId="0" borderId="40" xfId="2" applyNumberFormat="1" applyFont="1" applyFill="1" applyBorder="1" applyAlignment="1">
      <alignment horizontal="center" vertical="center"/>
    </xf>
    <xf numFmtId="49" fontId="17" fillId="0" borderId="47" xfId="0" applyNumberFormat="1" applyFont="1" applyFill="1" applyBorder="1" applyAlignment="1">
      <alignment horizontal="center" vertical="center"/>
    </xf>
    <xf numFmtId="49" fontId="17" fillId="0" borderId="43" xfId="0" applyNumberFormat="1" applyFont="1" applyFill="1" applyBorder="1" applyAlignment="1">
      <alignment horizontal="center" vertical="center"/>
    </xf>
    <xf numFmtId="49" fontId="17" fillId="0" borderId="17" xfId="0" applyNumberFormat="1" applyFont="1" applyFill="1" applyBorder="1" applyAlignment="1">
      <alignment horizontal="center" vertical="center"/>
    </xf>
    <xf numFmtId="49" fontId="17" fillId="0" borderId="20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 vertical="center"/>
    </xf>
    <xf numFmtId="0" fontId="64" fillId="6" borderId="72" xfId="4" applyFont="1" applyFill="1" applyBorder="1" applyAlignment="1">
      <alignment horizontal="center" vertical="center"/>
    </xf>
    <xf numFmtId="0" fontId="64" fillId="6" borderId="13" xfId="4" applyFont="1" applyFill="1" applyBorder="1" applyAlignment="1">
      <alignment horizontal="center" vertical="center"/>
    </xf>
    <xf numFmtId="0" fontId="63" fillId="0" borderId="13" xfId="4" applyFont="1" applyFill="1" applyBorder="1" applyAlignment="1">
      <alignment horizontal="center" vertical="center" wrapText="1" shrinkToFit="1"/>
    </xf>
    <xf numFmtId="0" fontId="64" fillId="7" borderId="13" xfId="4" applyFont="1" applyFill="1" applyBorder="1" applyAlignment="1">
      <alignment horizontal="center" vertical="center"/>
    </xf>
    <xf numFmtId="0" fontId="71" fillId="2" borderId="9" xfId="4" applyFont="1" applyFill="1" applyBorder="1" applyAlignment="1">
      <alignment horizontal="center" vertical="center" wrapText="1" shrinkToFit="1"/>
    </xf>
    <xf numFmtId="0" fontId="71" fillId="2" borderId="10" xfId="4" applyFont="1" applyFill="1" applyBorder="1" applyAlignment="1">
      <alignment horizontal="center" vertical="center" wrapText="1" shrinkToFit="1"/>
    </xf>
    <xf numFmtId="0" fontId="71" fillId="2" borderId="14" xfId="4" applyFont="1" applyFill="1" applyBorder="1" applyAlignment="1">
      <alignment horizontal="center" vertical="center" wrapText="1" shrinkToFit="1"/>
    </xf>
    <xf numFmtId="0" fontId="74" fillId="0" borderId="0" xfId="4" applyFont="1" applyAlignment="1">
      <alignment horizontal="center" vertical="center"/>
    </xf>
    <xf numFmtId="0" fontId="73" fillId="0" borderId="0" xfId="4" applyFont="1" applyBorder="1" applyAlignment="1">
      <alignment horizontal="right" vertical="center"/>
    </xf>
    <xf numFmtId="0" fontId="69" fillId="4" borderId="64" xfId="4" applyFont="1" applyFill="1" applyBorder="1" applyAlignment="1">
      <alignment horizontal="center" vertical="center"/>
    </xf>
    <xf numFmtId="0" fontId="69" fillId="4" borderId="33" xfId="4" applyFont="1" applyFill="1" applyBorder="1" applyAlignment="1">
      <alignment horizontal="center" vertical="center"/>
    </xf>
    <xf numFmtId="0" fontId="69" fillId="4" borderId="33" xfId="4" applyNumberFormat="1" applyFont="1" applyFill="1" applyBorder="1" applyAlignment="1">
      <alignment horizontal="center" vertical="center"/>
    </xf>
    <xf numFmtId="0" fontId="69" fillId="4" borderId="13" xfId="4" applyNumberFormat="1" applyFont="1" applyFill="1" applyBorder="1" applyAlignment="1">
      <alignment horizontal="center" vertical="center"/>
    </xf>
    <xf numFmtId="41" fontId="69" fillId="4" borderId="33" xfId="35" applyFont="1" applyFill="1" applyBorder="1" applyAlignment="1">
      <alignment horizontal="center" vertical="center" wrapText="1"/>
    </xf>
    <xf numFmtId="41" fontId="69" fillId="4" borderId="13" xfId="35" applyFont="1" applyFill="1" applyBorder="1" applyAlignment="1">
      <alignment horizontal="center" vertical="center"/>
    </xf>
    <xf numFmtId="41" fontId="69" fillId="4" borderId="33" xfId="35" applyFont="1" applyFill="1" applyBorder="1" applyAlignment="1">
      <alignment horizontal="center" vertical="center" wrapText="1" shrinkToFit="1"/>
    </xf>
    <xf numFmtId="41" fontId="69" fillId="4" borderId="13" xfId="35" applyFont="1" applyFill="1" applyBorder="1" applyAlignment="1">
      <alignment horizontal="center" vertical="center" shrinkToFit="1"/>
    </xf>
    <xf numFmtId="0" fontId="64" fillId="4" borderId="33" xfId="4" applyFont="1" applyFill="1" applyBorder="1" applyAlignment="1">
      <alignment horizontal="center" vertical="center"/>
    </xf>
    <xf numFmtId="0" fontId="64" fillId="4" borderId="13" xfId="4" applyFont="1" applyFill="1" applyBorder="1" applyAlignment="1">
      <alignment horizontal="center" vertical="center"/>
    </xf>
    <xf numFmtId="0" fontId="64" fillId="4" borderId="63" xfId="4" applyFont="1" applyFill="1" applyBorder="1" applyAlignment="1">
      <alignment horizontal="center" vertical="center"/>
    </xf>
    <xf numFmtId="0" fontId="64" fillId="4" borderId="56" xfId="4" applyFont="1" applyFill="1" applyBorder="1" applyAlignment="1">
      <alignment horizontal="center" vertical="center"/>
    </xf>
    <xf numFmtId="0" fontId="63" fillId="2" borderId="72" xfId="4" applyFont="1" applyFill="1" applyBorder="1" applyAlignment="1">
      <alignment horizontal="center" vertical="center" wrapText="1" shrinkToFit="1"/>
    </xf>
    <xf numFmtId="0" fontId="63" fillId="0" borderId="82" xfId="4" applyFont="1" applyFill="1" applyBorder="1" applyAlignment="1">
      <alignment horizontal="center" vertical="center" wrapText="1" shrinkToFit="1"/>
    </xf>
    <xf numFmtId="0" fontId="63" fillId="0" borderId="8" xfId="4" applyFont="1" applyFill="1" applyBorder="1" applyAlignment="1">
      <alignment horizontal="center" vertical="center" wrapText="1" shrinkToFit="1"/>
    </xf>
    <xf numFmtId="0" fontId="71" fillId="2" borderId="13" xfId="4" applyFont="1" applyFill="1" applyBorder="1" applyAlignment="1">
      <alignment horizontal="center" vertical="center" wrapText="1" shrinkToFit="1"/>
    </xf>
    <xf numFmtId="0" fontId="63" fillId="0" borderId="13" xfId="4" applyFont="1" applyFill="1" applyBorder="1" applyAlignment="1">
      <alignment horizontal="center" vertical="center" wrapText="1"/>
    </xf>
    <xf numFmtId="0" fontId="63" fillId="0" borderId="13" xfId="4" applyFont="1" applyFill="1" applyBorder="1" applyAlignment="1">
      <alignment horizontal="center" vertical="center"/>
    </xf>
    <xf numFmtId="0" fontId="63" fillId="2" borderId="13" xfId="4" applyFont="1" applyFill="1" applyBorder="1" applyAlignment="1">
      <alignment horizontal="center" vertical="center"/>
    </xf>
    <xf numFmtId="0" fontId="63" fillId="0" borderId="72" xfId="4" applyFont="1" applyFill="1" applyBorder="1" applyAlignment="1">
      <alignment horizontal="center" vertical="center" wrapText="1" shrinkToFit="1"/>
    </xf>
    <xf numFmtId="0" fontId="63" fillId="0" borderId="72" xfId="4" applyFont="1" applyFill="1" applyBorder="1" applyAlignment="1">
      <alignment horizontal="center" vertical="center" shrinkToFit="1"/>
    </xf>
    <xf numFmtId="0" fontId="63" fillId="0" borderId="85" xfId="4" applyFont="1" applyFill="1" applyBorder="1" applyAlignment="1">
      <alignment horizontal="center" vertical="center" wrapText="1" shrinkToFit="1"/>
    </xf>
    <xf numFmtId="0" fontId="63" fillId="0" borderId="9" xfId="4" applyFont="1" applyFill="1" applyBorder="1" applyAlignment="1">
      <alignment horizontal="center" vertical="center" wrapText="1" shrinkToFit="1"/>
    </xf>
    <xf numFmtId="0" fontId="63" fillId="0" borderId="10" xfId="4" applyFont="1" applyFill="1" applyBorder="1" applyAlignment="1">
      <alignment horizontal="center" vertical="center" wrapText="1" shrinkToFit="1"/>
    </xf>
    <xf numFmtId="0" fontId="63" fillId="0" borderId="14" xfId="4" applyFont="1" applyFill="1" applyBorder="1" applyAlignment="1">
      <alignment horizontal="center" vertical="center" wrapText="1" shrinkToFit="1"/>
    </xf>
    <xf numFmtId="0" fontId="63" fillId="0" borderId="11" xfId="4" applyFont="1" applyFill="1" applyBorder="1" applyAlignment="1">
      <alignment horizontal="center" vertical="center" wrapText="1" shrinkToFit="1"/>
    </xf>
    <xf numFmtId="0" fontId="63" fillId="0" borderId="13" xfId="4" applyFont="1" applyBorder="1" applyAlignment="1">
      <alignment horizontal="center" vertical="center" wrapText="1"/>
    </xf>
    <xf numFmtId="0" fontId="63" fillId="0" borderId="13" xfId="4" applyFont="1" applyBorder="1" applyAlignment="1">
      <alignment horizontal="center" vertical="center"/>
    </xf>
    <xf numFmtId="0" fontId="63" fillId="0" borderId="19" xfId="4" applyFont="1" applyFill="1" applyBorder="1" applyAlignment="1">
      <alignment horizontal="center" vertical="center"/>
    </xf>
    <xf numFmtId="0" fontId="67" fillId="2" borderId="34" xfId="4" applyFont="1" applyFill="1" applyBorder="1" applyAlignment="1">
      <alignment horizontal="center" vertical="center"/>
    </xf>
    <xf numFmtId="0" fontId="67" fillId="2" borderId="36" xfId="4" applyFont="1" applyFill="1" applyBorder="1" applyAlignment="1">
      <alignment horizontal="center" vertical="center"/>
    </xf>
    <xf numFmtId="0" fontId="63" fillId="2" borderId="13" xfId="4" applyFont="1" applyFill="1" applyBorder="1" applyAlignment="1">
      <alignment horizontal="left" vertical="center"/>
    </xf>
    <xf numFmtId="41" fontId="63" fillId="2" borderId="13" xfId="35" applyFont="1" applyFill="1" applyBorder="1" applyAlignment="1">
      <alignment horizontal="right" vertical="center" wrapText="1"/>
    </xf>
    <xf numFmtId="0" fontId="63" fillId="0" borderId="13" xfId="4" applyFont="1" applyFill="1" applyBorder="1" applyAlignment="1">
      <alignment horizontal="left" vertical="center" wrapText="1"/>
    </xf>
  </cellXfs>
  <cellStyles count="50736">
    <cellStyle name="Comma [0]_ SG&amp;A Bridge " xfId="38"/>
    <cellStyle name="Comma_ SG&amp;A Bridge " xfId="39"/>
    <cellStyle name="Currency [0]_ SG&amp;A Bridge " xfId="40"/>
    <cellStyle name="Currency_ SG&amp;A Bridge " xfId="41"/>
    <cellStyle name="Grey" xfId="42"/>
    <cellStyle name="Header1" xfId="43"/>
    <cellStyle name="Header2" xfId="44"/>
    <cellStyle name="Input [yellow]" xfId="45"/>
    <cellStyle name="Normal - Style1" xfId="46"/>
    <cellStyle name="Normal_ SG&amp;A Bridge " xfId="47"/>
    <cellStyle name="Percent [2]" xfId="48"/>
    <cellStyle name="김덕호" xfId="49"/>
    <cellStyle name="똿뗦먛귟 [0.00]_PRODUCT DETAIL Q1" xfId="50"/>
    <cellStyle name="똿뗦먛귟_PRODUCT DETAIL Q1" xfId="51"/>
    <cellStyle name="믅됞 [0.00]_PRODUCT DETAIL Q1" xfId="52"/>
    <cellStyle name="믅됞_PRODUCT DETAIL Q1" xfId="53"/>
    <cellStyle name="백분율" xfId="13" builtinId="5"/>
    <cellStyle name="백분율 2" xfId="1"/>
    <cellStyle name="백분율 3" xfId="10"/>
    <cellStyle name="뷭?_BOOKSHIP" xfId="54"/>
    <cellStyle name="쉼표 [0]" xfId="2" builtinId="6"/>
    <cellStyle name="쉼표 [0] 10" xfId="12708"/>
    <cellStyle name="쉼표 [0] 11" xfId="50734"/>
    <cellStyle name="쉼표 [0] 12" xfId="50735"/>
    <cellStyle name="쉼표 [0] 2" xfId="3"/>
    <cellStyle name="쉼표 [0] 2 2" xfId="36"/>
    <cellStyle name="쉼표 [0] 2 2 2" xfId="25381"/>
    <cellStyle name="쉼표 [0] 2 2 3" xfId="25382"/>
    <cellStyle name="쉼표 [0] 2 2 4" xfId="25383"/>
    <cellStyle name="쉼표 [0] 2 2 5" xfId="25384"/>
    <cellStyle name="쉼표 [0] 2 2 6" xfId="25385"/>
    <cellStyle name="쉼표 [0] 2 2 7" xfId="25386"/>
    <cellStyle name="쉼표 [0] 3" xfId="9"/>
    <cellStyle name="쉼표 [0] 4" xfId="12"/>
    <cellStyle name="쉼표 [0] 4 10" xfId="106"/>
    <cellStyle name="쉼표 [0] 4 10 2" xfId="107"/>
    <cellStyle name="쉼표 [0] 4 10 2 2" xfId="3203"/>
    <cellStyle name="쉼표 [0] 4 10 2 2 2" xfId="9539"/>
    <cellStyle name="쉼표 [0] 4 10 2 2 2 2" xfId="22213"/>
    <cellStyle name="쉼표 [0] 4 10 2 2 2 2 2" xfId="47565"/>
    <cellStyle name="쉼표 [0] 4 10 2 2 2 3" xfId="34893"/>
    <cellStyle name="쉼표 [0] 4 10 2 2 3" xfId="15877"/>
    <cellStyle name="쉼표 [0] 4 10 2 2 3 2" xfId="41229"/>
    <cellStyle name="쉼표 [0] 4 10 2 2 4" xfId="28557"/>
    <cellStyle name="쉼표 [0] 4 10 2 3" xfId="6444"/>
    <cellStyle name="쉼표 [0] 4 10 2 3 2" xfId="19118"/>
    <cellStyle name="쉼표 [0] 4 10 2 3 2 2" xfId="44470"/>
    <cellStyle name="쉼표 [0] 4 10 2 3 3" xfId="31798"/>
    <cellStyle name="쉼표 [0] 4 10 2 4" xfId="12782"/>
    <cellStyle name="쉼표 [0] 4 10 2 4 2" xfId="38134"/>
    <cellStyle name="쉼표 [0] 4 10 2 5" xfId="25462"/>
    <cellStyle name="쉼표 [0] 4 10 3" xfId="3204"/>
    <cellStyle name="쉼표 [0] 4 10 3 2" xfId="9540"/>
    <cellStyle name="쉼표 [0] 4 10 3 2 2" xfId="22214"/>
    <cellStyle name="쉼표 [0] 4 10 3 2 2 2" xfId="47566"/>
    <cellStyle name="쉼표 [0] 4 10 3 2 3" xfId="34894"/>
    <cellStyle name="쉼표 [0] 4 10 3 3" xfId="15878"/>
    <cellStyle name="쉼표 [0] 4 10 3 3 2" xfId="41230"/>
    <cellStyle name="쉼표 [0] 4 10 3 4" xfId="28558"/>
    <cellStyle name="쉼표 [0] 4 10 4" xfId="6443"/>
    <cellStyle name="쉼표 [0] 4 10 4 2" xfId="19117"/>
    <cellStyle name="쉼표 [0] 4 10 4 2 2" xfId="44469"/>
    <cellStyle name="쉼표 [0] 4 10 4 3" xfId="31797"/>
    <cellStyle name="쉼표 [0] 4 10 5" xfId="12781"/>
    <cellStyle name="쉼표 [0] 4 10 5 2" xfId="38133"/>
    <cellStyle name="쉼표 [0] 4 10 6" xfId="25461"/>
    <cellStyle name="쉼표 [0] 4 11" xfId="108"/>
    <cellStyle name="쉼표 [0] 4 11 2" xfId="109"/>
    <cellStyle name="쉼표 [0] 4 11 2 2" xfId="3205"/>
    <cellStyle name="쉼표 [0] 4 11 2 2 2" xfId="9541"/>
    <cellStyle name="쉼표 [0] 4 11 2 2 2 2" xfId="22215"/>
    <cellStyle name="쉼표 [0] 4 11 2 2 2 2 2" xfId="47567"/>
    <cellStyle name="쉼표 [0] 4 11 2 2 2 3" xfId="34895"/>
    <cellStyle name="쉼표 [0] 4 11 2 2 3" xfId="15879"/>
    <cellStyle name="쉼표 [0] 4 11 2 2 3 2" xfId="41231"/>
    <cellStyle name="쉼표 [0] 4 11 2 2 4" xfId="28559"/>
    <cellStyle name="쉼표 [0] 4 11 2 3" xfId="6446"/>
    <cellStyle name="쉼표 [0] 4 11 2 3 2" xfId="19120"/>
    <cellStyle name="쉼표 [0] 4 11 2 3 2 2" xfId="44472"/>
    <cellStyle name="쉼표 [0] 4 11 2 3 3" xfId="31800"/>
    <cellStyle name="쉼표 [0] 4 11 2 4" xfId="12784"/>
    <cellStyle name="쉼표 [0] 4 11 2 4 2" xfId="38136"/>
    <cellStyle name="쉼표 [0] 4 11 2 5" xfId="25464"/>
    <cellStyle name="쉼표 [0] 4 11 3" xfId="3206"/>
    <cellStyle name="쉼표 [0] 4 11 3 2" xfId="9542"/>
    <cellStyle name="쉼표 [0] 4 11 3 2 2" xfId="22216"/>
    <cellStyle name="쉼표 [0] 4 11 3 2 2 2" xfId="47568"/>
    <cellStyle name="쉼표 [0] 4 11 3 2 3" xfId="34896"/>
    <cellStyle name="쉼표 [0] 4 11 3 3" xfId="15880"/>
    <cellStyle name="쉼표 [0] 4 11 3 3 2" xfId="41232"/>
    <cellStyle name="쉼표 [0] 4 11 3 4" xfId="28560"/>
    <cellStyle name="쉼표 [0] 4 11 4" xfId="6445"/>
    <cellStyle name="쉼표 [0] 4 11 4 2" xfId="19119"/>
    <cellStyle name="쉼표 [0] 4 11 4 2 2" xfId="44471"/>
    <cellStyle name="쉼표 [0] 4 11 4 3" xfId="31799"/>
    <cellStyle name="쉼표 [0] 4 11 5" xfId="12783"/>
    <cellStyle name="쉼표 [0] 4 11 5 2" xfId="38135"/>
    <cellStyle name="쉼표 [0] 4 11 6" xfId="25463"/>
    <cellStyle name="쉼표 [0] 4 12" xfId="110"/>
    <cellStyle name="쉼표 [0] 4 12 2" xfId="111"/>
    <cellStyle name="쉼표 [0] 4 12 2 2" xfId="3207"/>
    <cellStyle name="쉼표 [0] 4 12 2 2 2" xfId="9543"/>
    <cellStyle name="쉼표 [0] 4 12 2 2 2 2" xfId="22217"/>
    <cellStyle name="쉼표 [0] 4 12 2 2 2 2 2" xfId="47569"/>
    <cellStyle name="쉼표 [0] 4 12 2 2 2 3" xfId="34897"/>
    <cellStyle name="쉼표 [0] 4 12 2 2 3" xfId="15881"/>
    <cellStyle name="쉼표 [0] 4 12 2 2 3 2" xfId="41233"/>
    <cellStyle name="쉼표 [0] 4 12 2 2 4" xfId="28561"/>
    <cellStyle name="쉼표 [0] 4 12 2 3" xfId="6448"/>
    <cellStyle name="쉼표 [0] 4 12 2 3 2" xfId="19122"/>
    <cellStyle name="쉼표 [0] 4 12 2 3 2 2" xfId="44474"/>
    <cellStyle name="쉼표 [0] 4 12 2 3 3" xfId="31802"/>
    <cellStyle name="쉼표 [0] 4 12 2 4" xfId="12786"/>
    <cellStyle name="쉼표 [0] 4 12 2 4 2" xfId="38138"/>
    <cellStyle name="쉼표 [0] 4 12 2 5" xfId="25466"/>
    <cellStyle name="쉼표 [0] 4 12 3" xfId="3208"/>
    <cellStyle name="쉼표 [0] 4 12 3 2" xfId="9544"/>
    <cellStyle name="쉼표 [0] 4 12 3 2 2" xfId="22218"/>
    <cellStyle name="쉼표 [0] 4 12 3 2 2 2" xfId="47570"/>
    <cellStyle name="쉼표 [0] 4 12 3 2 3" xfId="34898"/>
    <cellStyle name="쉼표 [0] 4 12 3 3" xfId="15882"/>
    <cellStyle name="쉼표 [0] 4 12 3 3 2" xfId="41234"/>
    <cellStyle name="쉼표 [0] 4 12 3 4" xfId="28562"/>
    <cellStyle name="쉼표 [0] 4 12 4" xfId="6447"/>
    <cellStyle name="쉼표 [0] 4 12 4 2" xfId="19121"/>
    <cellStyle name="쉼표 [0] 4 12 4 2 2" xfId="44473"/>
    <cellStyle name="쉼표 [0] 4 12 4 3" xfId="31801"/>
    <cellStyle name="쉼표 [0] 4 12 5" xfId="12785"/>
    <cellStyle name="쉼표 [0] 4 12 5 2" xfId="38137"/>
    <cellStyle name="쉼표 [0] 4 12 6" xfId="25465"/>
    <cellStyle name="쉼표 [0] 4 13" xfId="112"/>
    <cellStyle name="쉼표 [0] 4 13 2" xfId="113"/>
    <cellStyle name="쉼표 [0] 4 13 2 2" xfId="3209"/>
    <cellStyle name="쉼표 [0] 4 13 2 2 2" xfId="9545"/>
    <cellStyle name="쉼표 [0] 4 13 2 2 2 2" xfId="22219"/>
    <cellStyle name="쉼표 [0] 4 13 2 2 2 2 2" xfId="47571"/>
    <cellStyle name="쉼표 [0] 4 13 2 2 2 3" xfId="34899"/>
    <cellStyle name="쉼표 [0] 4 13 2 2 3" xfId="15883"/>
    <cellStyle name="쉼표 [0] 4 13 2 2 3 2" xfId="41235"/>
    <cellStyle name="쉼표 [0] 4 13 2 2 4" xfId="28563"/>
    <cellStyle name="쉼표 [0] 4 13 2 3" xfId="6450"/>
    <cellStyle name="쉼표 [0] 4 13 2 3 2" xfId="19124"/>
    <cellStyle name="쉼표 [0] 4 13 2 3 2 2" xfId="44476"/>
    <cellStyle name="쉼표 [0] 4 13 2 3 3" xfId="31804"/>
    <cellStyle name="쉼표 [0] 4 13 2 4" xfId="12788"/>
    <cellStyle name="쉼표 [0] 4 13 2 4 2" xfId="38140"/>
    <cellStyle name="쉼표 [0] 4 13 2 5" xfId="25468"/>
    <cellStyle name="쉼표 [0] 4 13 3" xfId="3210"/>
    <cellStyle name="쉼표 [0] 4 13 3 2" xfId="9546"/>
    <cellStyle name="쉼표 [0] 4 13 3 2 2" xfId="22220"/>
    <cellStyle name="쉼표 [0] 4 13 3 2 2 2" xfId="47572"/>
    <cellStyle name="쉼표 [0] 4 13 3 2 3" xfId="34900"/>
    <cellStyle name="쉼표 [0] 4 13 3 3" xfId="15884"/>
    <cellStyle name="쉼표 [0] 4 13 3 3 2" xfId="41236"/>
    <cellStyle name="쉼표 [0] 4 13 3 4" xfId="28564"/>
    <cellStyle name="쉼표 [0] 4 13 4" xfId="6449"/>
    <cellStyle name="쉼표 [0] 4 13 4 2" xfId="19123"/>
    <cellStyle name="쉼표 [0] 4 13 4 2 2" xfId="44475"/>
    <cellStyle name="쉼표 [0] 4 13 4 3" xfId="31803"/>
    <cellStyle name="쉼표 [0] 4 13 5" xfId="12787"/>
    <cellStyle name="쉼표 [0] 4 13 5 2" xfId="38139"/>
    <cellStyle name="쉼표 [0] 4 13 6" xfId="25467"/>
    <cellStyle name="쉼표 [0] 4 14" xfId="114"/>
    <cellStyle name="쉼표 [0] 4 14 2" xfId="115"/>
    <cellStyle name="쉼표 [0] 4 14 2 2" xfId="3211"/>
    <cellStyle name="쉼표 [0] 4 14 2 2 2" xfId="9547"/>
    <cellStyle name="쉼표 [0] 4 14 2 2 2 2" xfId="22221"/>
    <cellStyle name="쉼표 [0] 4 14 2 2 2 2 2" xfId="47573"/>
    <cellStyle name="쉼표 [0] 4 14 2 2 2 3" xfId="34901"/>
    <cellStyle name="쉼표 [0] 4 14 2 2 3" xfId="15885"/>
    <cellStyle name="쉼표 [0] 4 14 2 2 3 2" xfId="41237"/>
    <cellStyle name="쉼표 [0] 4 14 2 2 4" xfId="28565"/>
    <cellStyle name="쉼표 [0] 4 14 2 3" xfId="6452"/>
    <cellStyle name="쉼표 [0] 4 14 2 3 2" xfId="19126"/>
    <cellStyle name="쉼표 [0] 4 14 2 3 2 2" xfId="44478"/>
    <cellStyle name="쉼표 [0] 4 14 2 3 3" xfId="31806"/>
    <cellStyle name="쉼표 [0] 4 14 2 4" xfId="12790"/>
    <cellStyle name="쉼표 [0] 4 14 2 4 2" xfId="38142"/>
    <cellStyle name="쉼표 [0] 4 14 2 5" xfId="25470"/>
    <cellStyle name="쉼표 [0] 4 14 3" xfId="3212"/>
    <cellStyle name="쉼표 [0] 4 14 3 2" xfId="9548"/>
    <cellStyle name="쉼표 [0] 4 14 3 2 2" xfId="22222"/>
    <cellStyle name="쉼표 [0] 4 14 3 2 2 2" xfId="47574"/>
    <cellStyle name="쉼표 [0] 4 14 3 2 3" xfId="34902"/>
    <cellStyle name="쉼표 [0] 4 14 3 3" xfId="15886"/>
    <cellStyle name="쉼표 [0] 4 14 3 3 2" xfId="41238"/>
    <cellStyle name="쉼표 [0] 4 14 3 4" xfId="28566"/>
    <cellStyle name="쉼표 [0] 4 14 4" xfId="6451"/>
    <cellStyle name="쉼표 [0] 4 14 4 2" xfId="19125"/>
    <cellStyle name="쉼표 [0] 4 14 4 2 2" xfId="44477"/>
    <cellStyle name="쉼표 [0] 4 14 4 3" xfId="31805"/>
    <cellStyle name="쉼표 [0] 4 14 5" xfId="12789"/>
    <cellStyle name="쉼표 [0] 4 14 5 2" xfId="38141"/>
    <cellStyle name="쉼표 [0] 4 14 6" xfId="25469"/>
    <cellStyle name="쉼표 [0] 4 15" xfId="116"/>
    <cellStyle name="쉼표 [0] 4 15 2" xfId="117"/>
    <cellStyle name="쉼표 [0] 4 15 2 2" xfId="3213"/>
    <cellStyle name="쉼표 [0] 4 15 2 2 2" xfId="9549"/>
    <cellStyle name="쉼표 [0] 4 15 2 2 2 2" xfId="22223"/>
    <cellStyle name="쉼표 [0] 4 15 2 2 2 2 2" xfId="47575"/>
    <cellStyle name="쉼표 [0] 4 15 2 2 2 3" xfId="34903"/>
    <cellStyle name="쉼표 [0] 4 15 2 2 3" xfId="15887"/>
    <cellStyle name="쉼표 [0] 4 15 2 2 3 2" xfId="41239"/>
    <cellStyle name="쉼표 [0] 4 15 2 2 4" xfId="28567"/>
    <cellStyle name="쉼표 [0] 4 15 2 3" xfId="6454"/>
    <cellStyle name="쉼표 [0] 4 15 2 3 2" xfId="19128"/>
    <cellStyle name="쉼표 [0] 4 15 2 3 2 2" xfId="44480"/>
    <cellStyle name="쉼표 [0] 4 15 2 3 3" xfId="31808"/>
    <cellStyle name="쉼표 [0] 4 15 2 4" xfId="12792"/>
    <cellStyle name="쉼표 [0] 4 15 2 4 2" xfId="38144"/>
    <cellStyle name="쉼표 [0] 4 15 2 5" xfId="25472"/>
    <cellStyle name="쉼표 [0] 4 15 3" xfId="3214"/>
    <cellStyle name="쉼표 [0] 4 15 3 2" xfId="9550"/>
    <cellStyle name="쉼표 [0] 4 15 3 2 2" xfId="22224"/>
    <cellStyle name="쉼표 [0] 4 15 3 2 2 2" xfId="47576"/>
    <cellStyle name="쉼표 [0] 4 15 3 2 3" xfId="34904"/>
    <cellStyle name="쉼표 [0] 4 15 3 3" xfId="15888"/>
    <cellStyle name="쉼표 [0] 4 15 3 3 2" xfId="41240"/>
    <cellStyle name="쉼표 [0] 4 15 3 4" xfId="28568"/>
    <cellStyle name="쉼표 [0] 4 15 4" xfId="6453"/>
    <cellStyle name="쉼표 [0] 4 15 4 2" xfId="19127"/>
    <cellStyle name="쉼표 [0] 4 15 4 2 2" xfId="44479"/>
    <cellStyle name="쉼표 [0] 4 15 4 3" xfId="31807"/>
    <cellStyle name="쉼표 [0] 4 15 5" xfId="12791"/>
    <cellStyle name="쉼표 [0] 4 15 5 2" xfId="38143"/>
    <cellStyle name="쉼표 [0] 4 15 6" xfId="25471"/>
    <cellStyle name="쉼표 [0] 4 16" xfId="118"/>
    <cellStyle name="쉼표 [0] 4 16 2" xfId="119"/>
    <cellStyle name="쉼표 [0] 4 16 2 2" xfId="3215"/>
    <cellStyle name="쉼표 [0] 4 16 2 2 2" xfId="9551"/>
    <cellStyle name="쉼표 [0] 4 16 2 2 2 2" xfId="22225"/>
    <cellStyle name="쉼표 [0] 4 16 2 2 2 2 2" xfId="47577"/>
    <cellStyle name="쉼표 [0] 4 16 2 2 2 3" xfId="34905"/>
    <cellStyle name="쉼표 [0] 4 16 2 2 3" xfId="15889"/>
    <cellStyle name="쉼표 [0] 4 16 2 2 3 2" xfId="41241"/>
    <cellStyle name="쉼표 [0] 4 16 2 2 4" xfId="28569"/>
    <cellStyle name="쉼표 [0] 4 16 2 3" xfId="6456"/>
    <cellStyle name="쉼표 [0] 4 16 2 3 2" xfId="19130"/>
    <cellStyle name="쉼표 [0] 4 16 2 3 2 2" xfId="44482"/>
    <cellStyle name="쉼표 [0] 4 16 2 3 3" xfId="31810"/>
    <cellStyle name="쉼표 [0] 4 16 2 4" xfId="12794"/>
    <cellStyle name="쉼표 [0] 4 16 2 4 2" xfId="38146"/>
    <cellStyle name="쉼표 [0] 4 16 2 5" xfId="25474"/>
    <cellStyle name="쉼표 [0] 4 16 3" xfId="3216"/>
    <cellStyle name="쉼표 [0] 4 16 3 2" xfId="9552"/>
    <cellStyle name="쉼표 [0] 4 16 3 2 2" xfId="22226"/>
    <cellStyle name="쉼표 [0] 4 16 3 2 2 2" xfId="47578"/>
    <cellStyle name="쉼표 [0] 4 16 3 2 3" xfId="34906"/>
    <cellStyle name="쉼표 [0] 4 16 3 3" xfId="15890"/>
    <cellStyle name="쉼표 [0] 4 16 3 3 2" xfId="41242"/>
    <cellStyle name="쉼표 [0] 4 16 3 4" xfId="28570"/>
    <cellStyle name="쉼표 [0] 4 16 4" xfId="6455"/>
    <cellStyle name="쉼표 [0] 4 16 4 2" xfId="19129"/>
    <cellStyle name="쉼표 [0] 4 16 4 2 2" xfId="44481"/>
    <cellStyle name="쉼표 [0] 4 16 4 3" xfId="31809"/>
    <cellStyle name="쉼표 [0] 4 16 5" xfId="12793"/>
    <cellStyle name="쉼표 [0] 4 16 5 2" xfId="38145"/>
    <cellStyle name="쉼표 [0] 4 16 6" xfId="25473"/>
    <cellStyle name="쉼표 [0] 4 17" xfId="120"/>
    <cellStyle name="쉼표 [0] 4 17 2" xfId="121"/>
    <cellStyle name="쉼표 [0] 4 17 2 2" xfId="3217"/>
    <cellStyle name="쉼표 [0] 4 17 2 2 2" xfId="9553"/>
    <cellStyle name="쉼표 [0] 4 17 2 2 2 2" xfId="22227"/>
    <cellStyle name="쉼표 [0] 4 17 2 2 2 2 2" xfId="47579"/>
    <cellStyle name="쉼표 [0] 4 17 2 2 2 3" xfId="34907"/>
    <cellStyle name="쉼표 [0] 4 17 2 2 3" xfId="15891"/>
    <cellStyle name="쉼표 [0] 4 17 2 2 3 2" xfId="41243"/>
    <cellStyle name="쉼표 [0] 4 17 2 2 4" xfId="28571"/>
    <cellStyle name="쉼표 [0] 4 17 2 3" xfId="6458"/>
    <cellStyle name="쉼표 [0] 4 17 2 3 2" xfId="19132"/>
    <cellStyle name="쉼표 [0] 4 17 2 3 2 2" xfId="44484"/>
    <cellStyle name="쉼표 [0] 4 17 2 3 3" xfId="31812"/>
    <cellStyle name="쉼표 [0] 4 17 2 4" xfId="12796"/>
    <cellStyle name="쉼표 [0] 4 17 2 4 2" xfId="38148"/>
    <cellStyle name="쉼표 [0] 4 17 2 5" xfId="25476"/>
    <cellStyle name="쉼표 [0] 4 17 3" xfId="3218"/>
    <cellStyle name="쉼표 [0] 4 17 3 2" xfId="9554"/>
    <cellStyle name="쉼표 [0] 4 17 3 2 2" xfId="22228"/>
    <cellStyle name="쉼표 [0] 4 17 3 2 2 2" xfId="47580"/>
    <cellStyle name="쉼표 [0] 4 17 3 2 3" xfId="34908"/>
    <cellStyle name="쉼표 [0] 4 17 3 3" xfId="15892"/>
    <cellStyle name="쉼표 [0] 4 17 3 3 2" xfId="41244"/>
    <cellStyle name="쉼표 [0] 4 17 3 4" xfId="28572"/>
    <cellStyle name="쉼표 [0] 4 17 4" xfId="6457"/>
    <cellStyle name="쉼표 [0] 4 17 4 2" xfId="19131"/>
    <cellStyle name="쉼표 [0] 4 17 4 2 2" xfId="44483"/>
    <cellStyle name="쉼표 [0] 4 17 4 3" xfId="31811"/>
    <cellStyle name="쉼표 [0] 4 17 5" xfId="12795"/>
    <cellStyle name="쉼표 [0] 4 17 5 2" xfId="38147"/>
    <cellStyle name="쉼표 [0] 4 17 6" xfId="25475"/>
    <cellStyle name="쉼표 [0] 4 18" xfId="122"/>
    <cellStyle name="쉼표 [0] 4 18 2" xfId="123"/>
    <cellStyle name="쉼표 [0] 4 18 2 2" xfId="3219"/>
    <cellStyle name="쉼표 [0] 4 18 2 2 2" xfId="9555"/>
    <cellStyle name="쉼표 [0] 4 18 2 2 2 2" xfId="22229"/>
    <cellStyle name="쉼표 [0] 4 18 2 2 2 2 2" xfId="47581"/>
    <cellStyle name="쉼표 [0] 4 18 2 2 2 3" xfId="34909"/>
    <cellStyle name="쉼표 [0] 4 18 2 2 3" xfId="15893"/>
    <cellStyle name="쉼표 [0] 4 18 2 2 3 2" xfId="41245"/>
    <cellStyle name="쉼표 [0] 4 18 2 2 4" xfId="28573"/>
    <cellStyle name="쉼표 [0] 4 18 2 3" xfId="6460"/>
    <cellStyle name="쉼표 [0] 4 18 2 3 2" xfId="19134"/>
    <cellStyle name="쉼표 [0] 4 18 2 3 2 2" xfId="44486"/>
    <cellStyle name="쉼표 [0] 4 18 2 3 3" xfId="31814"/>
    <cellStyle name="쉼표 [0] 4 18 2 4" xfId="12798"/>
    <cellStyle name="쉼표 [0] 4 18 2 4 2" xfId="38150"/>
    <cellStyle name="쉼표 [0] 4 18 2 5" xfId="25478"/>
    <cellStyle name="쉼표 [0] 4 18 3" xfId="3220"/>
    <cellStyle name="쉼표 [0] 4 18 3 2" xfId="9556"/>
    <cellStyle name="쉼표 [0] 4 18 3 2 2" xfId="22230"/>
    <cellStyle name="쉼표 [0] 4 18 3 2 2 2" xfId="47582"/>
    <cellStyle name="쉼표 [0] 4 18 3 2 3" xfId="34910"/>
    <cellStyle name="쉼표 [0] 4 18 3 3" xfId="15894"/>
    <cellStyle name="쉼표 [0] 4 18 3 3 2" xfId="41246"/>
    <cellStyle name="쉼표 [0] 4 18 3 4" xfId="28574"/>
    <cellStyle name="쉼표 [0] 4 18 4" xfId="6459"/>
    <cellStyle name="쉼표 [0] 4 18 4 2" xfId="19133"/>
    <cellStyle name="쉼표 [0] 4 18 4 2 2" xfId="44485"/>
    <cellStyle name="쉼표 [0] 4 18 4 3" xfId="31813"/>
    <cellStyle name="쉼표 [0] 4 18 5" xfId="12797"/>
    <cellStyle name="쉼표 [0] 4 18 5 2" xfId="38149"/>
    <cellStyle name="쉼표 [0] 4 18 6" xfId="25477"/>
    <cellStyle name="쉼표 [0] 4 19" xfId="124"/>
    <cellStyle name="쉼표 [0] 4 19 2" xfId="125"/>
    <cellStyle name="쉼표 [0] 4 19 2 2" xfId="3221"/>
    <cellStyle name="쉼표 [0] 4 19 2 2 2" xfId="9557"/>
    <cellStyle name="쉼표 [0] 4 19 2 2 2 2" xfId="22231"/>
    <cellStyle name="쉼표 [0] 4 19 2 2 2 2 2" xfId="47583"/>
    <cellStyle name="쉼표 [0] 4 19 2 2 2 3" xfId="34911"/>
    <cellStyle name="쉼표 [0] 4 19 2 2 3" xfId="15895"/>
    <cellStyle name="쉼표 [0] 4 19 2 2 3 2" xfId="41247"/>
    <cellStyle name="쉼표 [0] 4 19 2 2 4" xfId="28575"/>
    <cellStyle name="쉼표 [0] 4 19 2 3" xfId="6462"/>
    <cellStyle name="쉼표 [0] 4 19 2 3 2" xfId="19136"/>
    <cellStyle name="쉼표 [0] 4 19 2 3 2 2" xfId="44488"/>
    <cellStyle name="쉼표 [0] 4 19 2 3 3" xfId="31816"/>
    <cellStyle name="쉼표 [0] 4 19 2 4" xfId="12800"/>
    <cellStyle name="쉼표 [0] 4 19 2 4 2" xfId="38152"/>
    <cellStyle name="쉼표 [0] 4 19 2 5" xfId="25480"/>
    <cellStyle name="쉼표 [0] 4 19 3" xfId="3222"/>
    <cellStyle name="쉼표 [0] 4 19 3 2" xfId="9558"/>
    <cellStyle name="쉼표 [0] 4 19 3 2 2" xfId="22232"/>
    <cellStyle name="쉼표 [0] 4 19 3 2 2 2" xfId="47584"/>
    <cellStyle name="쉼표 [0] 4 19 3 2 3" xfId="34912"/>
    <cellStyle name="쉼표 [0] 4 19 3 3" xfId="15896"/>
    <cellStyle name="쉼표 [0] 4 19 3 3 2" xfId="41248"/>
    <cellStyle name="쉼표 [0] 4 19 3 4" xfId="28576"/>
    <cellStyle name="쉼표 [0] 4 19 4" xfId="6461"/>
    <cellStyle name="쉼표 [0] 4 19 4 2" xfId="19135"/>
    <cellStyle name="쉼표 [0] 4 19 4 2 2" xfId="44487"/>
    <cellStyle name="쉼표 [0] 4 19 4 3" xfId="31815"/>
    <cellStyle name="쉼표 [0] 4 19 5" xfId="12799"/>
    <cellStyle name="쉼표 [0] 4 19 5 2" xfId="38151"/>
    <cellStyle name="쉼표 [0] 4 19 6" xfId="25479"/>
    <cellStyle name="쉼표 [0] 4 2" xfId="14"/>
    <cellStyle name="쉼표 [0] 4 2 10" xfId="126"/>
    <cellStyle name="쉼표 [0] 4 2 10 2" xfId="127"/>
    <cellStyle name="쉼표 [0] 4 2 10 2 2" xfId="3223"/>
    <cellStyle name="쉼표 [0] 4 2 10 2 2 2" xfId="9559"/>
    <cellStyle name="쉼표 [0] 4 2 10 2 2 2 2" xfId="22233"/>
    <cellStyle name="쉼표 [0] 4 2 10 2 2 2 2 2" xfId="47585"/>
    <cellStyle name="쉼표 [0] 4 2 10 2 2 2 3" xfId="34913"/>
    <cellStyle name="쉼표 [0] 4 2 10 2 2 3" xfId="15897"/>
    <cellStyle name="쉼표 [0] 4 2 10 2 2 3 2" xfId="41249"/>
    <cellStyle name="쉼표 [0] 4 2 10 2 2 4" xfId="28577"/>
    <cellStyle name="쉼표 [0] 4 2 10 2 3" xfId="6464"/>
    <cellStyle name="쉼표 [0] 4 2 10 2 3 2" xfId="19138"/>
    <cellStyle name="쉼표 [0] 4 2 10 2 3 2 2" xfId="44490"/>
    <cellStyle name="쉼표 [0] 4 2 10 2 3 3" xfId="31818"/>
    <cellStyle name="쉼표 [0] 4 2 10 2 4" xfId="12802"/>
    <cellStyle name="쉼표 [0] 4 2 10 2 4 2" xfId="38154"/>
    <cellStyle name="쉼표 [0] 4 2 10 2 5" xfId="25482"/>
    <cellStyle name="쉼표 [0] 4 2 10 3" xfId="3224"/>
    <cellStyle name="쉼표 [0] 4 2 10 3 2" xfId="9560"/>
    <cellStyle name="쉼표 [0] 4 2 10 3 2 2" xfId="22234"/>
    <cellStyle name="쉼표 [0] 4 2 10 3 2 2 2" xfId="47586"/>
    <cellStyle name="쉼표 [0] 4 2 10 3 2 3" xfId="34914"/>
    <cellStyle name="쉼표 [0] 4 2 10 3 3" xfId="15898"/>
    <cellStyle name="쉼표 [0] 4 2 10 3 3 2" xfId="41250"/>
    <cellStyle name="쉼표 [0] 4 2 10 3 4" xfId="28578"/>
    <cellStyle name="쉼표 [0] 4 2 10 4" xfId="6463"/>
    <cellStyle name="쉼표 [0] 4 2 10 4 2" xfId="19137"/>
    <cellStyle name="쉼표 [0] 4 2 10 4 2 2" xfId="44489"/>
    <cellStyle name="쉼표 [0] 4 2 10 4 3" xfId="31817"/>
    <cellStyle name="쉼표 [0] 4 2 10 5" xfId="12801"/>
    <cellStyle name="쉼표 [0] 4 2 10 5 2" xfId="38153"/>
    <cellStyle name="쉼표 [0] 4 2 10 6" xfId="25481"/>
    <cellStyle name="쉼표 [0] 4 2 11" xfId="128"/>
    <cellStyle name="쉼표 [0] 4 2 11 2" xfId="129"/>
    <cellStyle name="쉼표 [0] 4 2 11 2 2" xfId="3225"/>
    <cellStyle name="쉼표 [0] 4 2 11 2 2 2" xfId="9561"/>
    <cellStyle name="쉼표 [0] 4 2 11 2 2 2 2" xfId="22235"/>
    <cellStyle name="쉼표 [0] 4 2 11 2 2 2 2 2" xfId="47587"/>
    <cellStyle name="쉼표 [0] 4 2 11 2 2 2 3" xfId="34915"/>
    <cellStyle name="쉼표 [0] 4 2 11 2 2 3" xfId="15899"/>
    <cellStyle name="쉼표 [0] 4 2 11 2 2 3 2" xfId="41251"/>
    <cellStyle name="쉼표 [0] 4 2 11 2 2 4" xfId="28579"/>
    <cellStyle name="쉼표 [0] 4 2 11 2 3" xfId="6466"/>
    <cellStyle name="쉼표 [0] 4 2 11 2 3 2" xfId="19140"/>
    <cellStyle name="쉼표 [0] 4 2 11 2 3 2 2" xfId="44492"/>
    <cellStyle name="쉼표 [0] 4 2 11 2 3 3" xfId="31820"/>
    <cellStyle name="쉼표 [0] 4 2 11 2 4" xfId="12804"/>
    <cellStyle name="쉼표 [0] 4 2 11 2 4 2" xfId="38156"/>
    <cellStyle name="쉼표 [0] 4 2 11 2 5" xfId="25484"/>
    <cellStyle name="쉼표 [0] 4 2 11 3" xfId="3226"/>
    <cellStyle name="쉼표 [0] 4 2 11 3 2" xfId="9562"/>
    <cellStyle name="쉼표 [0] 4 2 11 3 2 2" xfId="22236"/>
    <cellStyle name="쉼표 [0] 4 2 11 3 2 2 2" xfId="47588"/>
    <cellStyle name="쉼표 [0] 4 2 11 3 2 3" xfId="34916"/>
    <cellStyle name="쉼표 [0] 4 2 11 3 3" xfId="15900"/>
    <cellStyle name="쉼표 [0] 4 2 11 3 3 2" xfId="41252"/>
    <cellStyle name="쉼표 [0] 4 2 11 3 4" xfId="28580"/>
    <cellStyle name="쉼표 [0] 4 2 11 4" xfId="6465"/>
    <cellStyle name="쉼표 [0] 4 2 11 4 2" xfId="19139"/>
    <cellStyle name="쉼표 [0] 4 2 11 4 2 2" xfId="44491"/>
    <cellStyle name="쉼표 [0] 4 2 11 4 3" xfId="31819"/>
    <cellStyle name="쉼표 [0] 4 2 11 5" xfId="12803"/>
    <cellStyle name="쉼표 [0] 4 2 11 5 2" xfId="38155"/>
    <cellStyle name="쉼표 [0] 4 2 11 6" xfId="25483"/>
    <cellStyle name="쉼표 [0] 4 2 12" xfId="130"/>
    <cellStyle name="쉼표 [0] 4 2 12 2" xfId="131"/>
    <cellStyle name="쉼표 [0] 4 2 12 2 2" xfId="3227"/>
    <cellStyle name="쉼표 [0] 4 2 12 2 2 2" xfId="9563"/>
    <cellStyle name="쉼표 [0] 4 2 12 2 2 2 2" xfId="22237"/>
    <cellStyle name="쉼표 [0] 4 2 12 2 2 2 2 2" xfId="47589"/>
    <cellStyle name="쉼표 [0] 4 2 12 2 2 2 3" xfId="34917"/>
    <cellStyle name="쉼표 [0] 4 2 12 2 2 3" xfId="15901"/>
    <cellStyle name="쉼표 [0] 4 2 12 2 2 3 2" xfId="41253"/>
    <cellStyle name="쉼표 [0] 4 2 12 2 2 4" xfId="28581"/>
    <cellStyle name="쉼표 [0] 4 2 12 2 3" xfId="6468"/>
    <cellStyle name="쉼표 [0] 4 2 12 2 3 2" xfId="19142"/>
    <cellStyle name="쉼표 [0] 4 2 12 2 3 2 2" xfId="44494"/>
    <cellStyle name="쉼표 [0] 4 2 12 2 3 3" xfId="31822"/>
    <cellStyle name="쉼표 [0] 4 2 12 2 4" xfId="12806"/>
    <cellStyle name="쉼표 [0] 4 2 12 2 4 2" xfId="38158"/>
    <cellStyle name="쉼표 [0] 4 2 12 2 5" xfId="25486"/>
    <cellStyle name="쉼표 [0] 4 2 12 3" xfId="3228"/>
    <cellStyle name="쉼표 [0] 4 2 12 3 2" xfId="9564"/>
    <cellStyle name="쉼표 [0] 4 2 12 3 2 2" xfId="22238"/>
    <cellStyle name="쉼표 [0] 4 2 12 3 2 2 2" xfId="47590"/>
    <cellStyle name="쉼표 [0] 4 2 12 3 2 3" xfId="34918"/>
    <cellStyle name="쉼표 [0] 4 2 12 3 3" xfId="15902"/>
    <cellStyle name="쉼표 [0] 4 2 12 3 3 2" xfId="41254"/>
    <cellStyle name="쉼표 [0] 4 2 12 3 4" xfId="28582"/>
    <cellStyle name="쉼표 [0] 4 2 12 4" xfId="6467"/>
    <cellStyle name="쉼표 [0] 4 2 12 4 2" xfId="19141"/>
    <cellStyle name="쉼표 [0] 4 2 12 4 2 2" xfId="44493"/>
    <cellStyle name="쉼표 [0] 4 2 12 4 3" xfId="31821"/>
    <cellStyle name="쉼표 [0] 4 2 12 5" xfId="12805"/>
    <cellStyle name="쉼표 [0] 4 2 12 5 2" xfId="38157"/>
    <cellStyle name="쉼표 [0] 4 2 12 6" xfId="25485"/>
    <cellStyle name="쉼표 [0] 4 2 13" xfId="132"/>
    <cellStyle name="쉼표 [0] 4 2 13 2" xfId="133"/>
    <cellStyle name="쉼표 [0] 4 2 13 2 2" xfId="3229"/>
    <cellStyle name="쉼표 [0] 4 2 13 2 2 2" xfId="9565"/>
    <cellStyle name="쉼표 [0] 4 2 13 2 2 2 2" xfId="22239"/>
    <cellStyle name="쉼표 [0] 4 2 13 2 2 2 2 2" xfId="47591"/>
    <cellStyle name="쉼표 [0] 4 2 13 2 2 2 3" xfId="34919"/>
    <cellStyle name="쉼표 [0] 4 2 13 2 2 3" xfId="15903"/>
    <cellStyle name="쉼표 [0] 4 2 13 2 2 3 2" xfId="41255"/>
    <cellStyle name="쉼표 [0] 4 2 13 2 2 4" xfId="28583"/>
    <cellStyle name="쉼표 [0] 4 2 13 2 3" xfId="6470"/>
    <cellStyle name="쉼표 [0] 4 2 13 2 3 2" xfId="19144"/>
    <cellStyle name="쉼표 [0] 4 2 13 2 3 2 2" xfId="44496"/>
    <cellStyle name="쉼표 [0] 4 2 13 2 3 3" xfId="31824"/>
    <cellStyle name="쉼표 [0] 4 2 13 2 4" xfId="12808"/>
    <cellStyle name="쉼표 [0] 4 2 13 2 4 2" xfId="38160"/>
    <cellStyle name="쉼표 [0] 4 2 13 2 5" xfId="25488"/>
    <cellStyle name="쉼표 [0] 4 2 13 3" xfId="3230"/>
    <cellStyle name="쉼표 [0] 4 2 13 3 2" xfId="9566"/>
    <cellStyle name="쉼표 [0] 4 2 13 3 2 2" xfId="22240"/>
    <cellStyle name="쉼표 [0] 4 2 13 3 2 2 2" xfId="47592"/>
    <cellStyle name="쉼표 [0] 4 2 13 3 2 3" xfId="34920"/>
    <cellStyle name="쉼표 [0] 4 2 13 3 3" xfId="15904"/>
    <cellStyle name="쉼표 [0] 4 2 13 3 3 2" xfId="41256"/>
    <cellStyle name="쉼표 [0] 4 2 13 3 4" xfId="28584"/>
    <cellStyle name="쉼표 [0] 4 2 13 4" xfId="6469"/>
    <cellStyle name="쉼표 [0] 4 2 13 4 2" xfId="19143"/>
    <cellStyle name="쉼표 [0] 4 2 13 4 2 2" xfId="44495"/>
    <cellStyle name="쉼표 [0] 4 2 13 4 3" xfId="31823"/>
    <cellStyle name="쉼표 [0] 4 2 13 5" xfId="12807"/>
    <cellStyle name="쉼표 [0] 4 2 13 5 2" xfId="38159"/>
    <cellStyle name="쉼표 [0] 4 2 13 6" xfId="25487"/>
    <cellStyle name="쉼표 [0] 4 2 14" xfId="134"/>
    <cellStyle name="쉼표 [0] 4 2 14 2" xfId="135"/>
    <cellStyle name="쉼표 [0] 4 2 14 2 2" xfId="3231"/>
    <cellStyle name="쉼표 [0] 4 2 14 2 2 2" xfId="9567"/>
    <cellStyle name="쉼표 [0] 4 2 14 2 2 2 2" xfId="22241"/>
    <cellStyle name="쉼표 [0] 4 2 14 2 2 2 2 2" xfId="47593"/>
    <cellStyle name="쉼표 [0] 4 2 14 2 2 2 3" xfId="34921"/>
    <cellStyle name="쉼표 [0] 4 2 14 2 2 3" xfId="15905"/>
    <cellStyle name="쉼표 [0] 4 2 14 2 2 3 2" xfId="41257"/>
    <cellStyle name="쉼표 [0] 4 2 14 2 2 4" xfId="28585"/>
    <cellStyle name="쉼표 [0] 4 2 14 2 3" xfId="6472"/>
    <cellStyle name="쉼표 [0] 4 2 14 2 3 2" xfId="19146"/>
    <cellStyle name="쉼표 [0] 4 2 14 2 3 2 2" xfId="44498"/>
    <cellStyle name="쉼표 [0] 4 2 14 2 3 3" xfId="31826"/>
    <cellStyle name="쉼표 [0] 4 2 14 2 4" xfId="12810"/>
    <cellStyle name="쉼표 [0] 4 2 14 2 4 2" xfId="38162"/>
    <cellStyle name="쉼표 [0] 4 2 14 2 5" xfId="25490"/>
    <cellStyle name="쉼표 [0] 4 2 14 3" xfId="3232"/>
    <cellStyle name="쉼표 [0] 4 2 14 3 2" xfId="9568"/>
    <cellStyle name="쉼표 [0] 4 2 14 3 2 2" xfId="22242"/>
    <cellStyle name="쉼표 [0] 4 2 14 3 2 2 2" xfId="47594"/>
    <cellStyle name="쉼표 [0] 4 2 14 3 2 3" xfId="34922"/>
    <cellStyle name="쉼표 [0] 4 2 14 3 3" xfId="15906"/>
    <cellStyle name="쉼표 [0] 4 2 14 3 3 2" xfId="41258"/>
    <cellStyle name="쉼표 [0] 4 2 14 3 4" xfId="28586"/>
    <cellStyle name="쉼표 [0] 4 2 14 4" xfId="6471"/>
    <cellStyle name="쉼표 [0] 4 2 14 4 2" xfId="19145"/>
    <cellStyle name="쉼표 [0] 4 2 14 4 2 2" xfId="44497"/>
    <cellStyle name="쉼표 [0] 4 2 14 4 3" xfId="31825"/>
    <cellStyle name="쉼표 [0] 4 2 14 5" xfId="12809"/>
    <cellStyle name="쉼표 [0] 4 2 14 5 2" xfId="38161"/>
    <cellStyle name="쉼표 [0] 4 2 14 6" xfId="25489"/>
    <cellStyle name="쉼표 [0] 4 2 15" xfId="136"/>
    <cellStyle name="쉼표 [0] 4 2 15 2" xfId="137"/>
    <cellStyle name="쉼표 [0] 4 2 15 2 2" xfId="3233"/>
    <cellStyle name="쉼표 [0] 4 2 15 2 2 2" xfId="9569"/>
    <cellStyle name="쉼표 [0] 4 2 15 2 2 2 2" xfId="22243"/>
    <cellStyle name="쉼표 [0] 4 2 15 2 2 2 2 2" xfId="47595"/>
    <cellStyle name="쉼표 [0] 4 2 15 2 2 2 3" xfId="34923"/>
    <cellStyle name="쉼표 [0] 4 2 15 2 2 3" xfId="15907"/>
    <cellStyle name="쉼표 [0] 4 2 15 2 2 3 2" xfId="41259"/>
    <cellStyle name="쉼표 [0] 4 2 15 2 2 4" xfId="28587"/>
    <cellStyle name="쉼표 [0] 4 2 15 2 3" xfId="6474"/>
    <cellStyle name="쉼표 [0] 4 2 15 2 3 2" xfId="19148"/>
    <cellStyle name="쉼표 [0] 4 2 15 2 3 2 2" xfId="44500"/>
    <cellStyle name="쉼표 [0] 4 2 15 2 3 3" xfId="31828"/>
    <cellStyle name="쉼표 [0] 4 2 15 2 4" xfId="12812"/>
    <cellStyle name="쉼표 [0] 4 2 15 2 4 2" xfId="38164"/>
    <cellStyle name="쉼표 [0] 4 2 15 2 5" xfId="25492"/>
    <cellStyle name="쉼표 [0] 4 2 15 3" xfId="3234"/>
    <cellStyle name="쉼표 [0] 4 2 15 3 2" xfId="9570"/>
    <cellStyle name="쉼표 [0] 4 2 15 3 2 2" xfId="22244"/>
    <cellStyle name="쉼표 [0] 4 2 15 3 2 2 2" xfId="47596"/>
    <cellStyle name="쉼표 [0] 4 2 15 3 2 3" xfId="34924"/>
    <cellStyle name="쉼표 [0] 4 2 15 3 3" xfId="15908"/>
    <cellStyle name="쉼표 [0] 4 2 15 3 3 2" xfId="41260"/>
    <cellStyle name="쉼표 [0] 4 2 15 3 4" xfId="28588"/>
    <cellStyle name="쉼표 [0] 4 2 15 4" xfId="6473"/>
    <cellStyle name="쉼표 [0] 4 2 15 4 2" xfId="19147"/>
    <cellStyle name="쉼표 [0] 4 2 15 4 2 2" xfId="44499"/>
    <cellStyle name="쉼표 [0] 4 2 15 4 3" xfId="31827"/>
    <cellStyle name="쉼표 [0] 4 2 15 5" xfId="12811"/>
    <cellStyle name="쉼표 [0] 4 2 15 5 2" xfId="38163"/>
    <cellStyle name="쉼표 [0] 4 2 15 6" xfId="25491"/>
    <cellStyle name="쉼표 [0] 4 2 16" xfId="138"/>
    <cellStyle name="쉼표 [0] 4 2 16 2" xfId="139"/>
    <cellStyle name="쉼표 [0] 4 2 16 2 2" xfId="3235"/>
    <cellStyle name="쉼표 [0] 4 2 16 2 2 2" xfId="9571"/>
    <cellStyle name="쉼표 [0] 4 2 16 2 2 2 2" xfId="22245"/>
    <cellStyle name="쉼표 [0] 4 2 16 2 2 2 2 2" xfId="47597"/>
    <cellStyle name="쉼표 [0] 4 2 16 2 2 2 3" xfId="34925"/>
    <cellStyle name="쉼표 [0] 4 2 16 2 2 3" xfId="15909"/>
    <cellStyle name="쉼표 [0] 4 2 16 2 2 3 2" xfId="41261"/>
    <cellStyle name="쉼표 [0] 4 2 16 2 2 4" xfId="28589"/>
    <cellStyle name="쉼표 [0] 4 2 16 2 3" xfId="6476"/>
    <cellStyle name="쉼표 [0] 4 2 16 2 3 2" xfId="19150"/>
    <cellStyle name="쉼표 [0] 4 2 16 2 3 2 2" xfId="44502"/>
    <cellStyle name="쉼표 [0] 4 2 16 2 3 3" xfId="31830"/>
    <cellStyle name="쉼표 [0] 4 2 16 2 4" xfId="12814"/>
    <cellStyle name="쉼표 [0] 4 2 16 2 4 2" xfId="38166"/>
    <cellStyle name="쉼표 [0] 4 2 16 2 5" xfId="25494"/>
    <cellStyle name="쉼표 [0] 4 2 16 3" xfId="3236"/>
    <cellStyle name="쉼표 [0] 4 2 16 3 2" xfId="9572"/>
    <cellStyle name="쉼표 [0] 4 2 16 3 2 2" xfId="22246"/>
    <cellStyle name="쉼표 [0] 4 2 16 3 2 2 2" xfId="47598"/>
    <cellStyle name="쉼표 [0] 4 2 16 3 2 3" xfId="34926"/>
    <cellStyle name="쉼표 [0] 4 2 16 3 3" xfId="15910"/>
    <cellStyle name="쉼표 [0] 4 2 16 3 3 2" xfId="41262"/>
    <cellStyle name="쉼표 [0] 4 2 16 3 4" xfId="28590"/>
    <cellStyle name="쉼표 [0] 4 2 16 4" xfId="6475"/>
    <cellStyle name="쉼표 [0] 4 2 16 4 2" xfId="19149"/>
    <cellStyle name="쉼표 [0] 4 2 16 4 2 2" xfId="44501"/>
    <cellStyle name="쉼표 [0] 4 2 16 4 3" xfId="31829"/>
    <cellStyle name="쉼표 [0] 4 2 16 5" xfId="12813"/>
    <cellStyle name="쉼표 [0] 4 2 16 5 2" xfId="38165"/>
    <cellStyle name="쉼표 [0] 4 2 16 6" xfId="25493"/>
    <cellStyle name="쉼표 [0] 4 2 17" xfId="140"/>
    <cellStyle name="쉼표 [0] 4 2 17 2" xfId="141"/>
    <cellStyle name="쉼표 [0] 4 2 17 2 2" xfId="3237"/>
    <cellStyle name="쉼표 [0] 4 2 17 2 2 2" xfId="9573"/>
    <cellStyle name="쉼표 [0] 4 2 17 2 2 2 2" xfId="22247"/>
    <cellStyle name="쉼표 [0] 4 2 17 2 2 2 2 2" xfId="47599"/>
    <cellStyle name="쉼표 [0] 4 2 17 2 2 2 3" xfId="34927"/>
    <cellStyle name="쉼표 [0] 4 2 17 2 2 3" xfId="15911"/>
    <cellStyle name="쉼표 [0] 4 2 17 2 2 3 2" xfId="41263"/>
    <cellStyle name="쉼표 [0] 4 2 17 2 2 4" xfId="28591"/>
    <cellStyle name="쉼표 [0] 4 2 17 2 3" xfId="6478"/>
    <cellStyle name="쉼표 [0] 4 2 17 2 3 2" xfId="19152"/>
    <cellStyle name="쉼표 [0] 4 2 17 2 3 2 2" xfId="44504"/>
    <cellStyle name="쉼표 [0] 4 2 17 2 3 3" xfId="31832"/>
    <cellStyle name="쉼표 [0] 4 2 17 2 4" xfId="12816"/>
    <cellStyle name="쉼표 [0] 4 2 17 2 4 2" xfId="38168"/>
    <cellStyle name="쉼표 [0] 4 2 17 2 5" xfId="25496"/>
    <cellStyle name="쉼표 [0] 4 2 17 3" xfId="3238"/>
    <cellStyle name="쉼표 [0] 4 2 17 3 2" xfId="9574"/>
    <cellStyle name="쉼표 [0] 4 2 17 3 2 2" xfId="22248"/>
    <cellStyle name="쉼표 [0] 4 2 17 3 2 2 2" xfId="47600"/>
    <cellStyle name="쉼표 [0] 4 2 17 3 2 3" xfId="34928"/>
    <cellStyle name="쉼표 [0] 4 2 17 3 3" xfId="15912"/>
    <cellStyle name="쉼표 [0] 4 2 17 3 3 2" xfId="41264"/>
    <cellStyle name="쉼표 [0] 4 2 17 3 4" xfId="28592"/>
    <cellStyle name="쉼표 [0] 4 2 17 4" xfId="6477"/>
    <cellStyle name="쉼표 [0] 4 2 17 4 2" xfId="19151"/>
    <cellStyle name="쉼표 [0] 4 2 17 4 2 2" xfId="44503"/>
    <cellStyle name="쉼표 [0] 4 2 17 4 3" xfId="31831"/>
    <cellStyle name="쉼표 [0] 4 2 17 5" xfId="12815"/>
    <cellStyle name="쉼표 [0] 4 2 17 5 2" xfId="38167"/>
    <cellStyle name="쉼표 [0] 4 2 17 6" xfId="25495"/>
    <cellStyle name="쉼표 [0] 4 2 18" xfId="142"/>
    <cellStyle name="쉼표 [0] 4 2 18 2" xfId="143"/>
    <cellStyle name="쉼표 [0] 4 2 18 2 2" xfId="3239"/>
    <cellStyle name="쉼표 [0] 4 2 18 2 2 2" xfId="9575"/>
    <cellStyle name="쉼표 [0] 4 2 18 2 2 2 2" xfId="22249"/>
    <cellStyle name="쉼표 [0] 4 2 18 2 2 2 2 2" xfId="47601"/>
    <cellStyle name="쉼표 [0] 4 2 18 2 2 2 3" xfId="34929"/>
    <cellStyle name="쉼표 [0] 4 2 18 2 2 3" xfId="15913"/>
    <cellStyle name="쉼표 [0] 4 2 18 2 2 3 2" xfId="41265"/>
    <cellStyle name="쉼표 [0] 4 2 18 2 2 4" xfId="28593"/>
    <cellStyle name="쉼표 [0] 4 2 18 2 3" xfId="6480"/>
    <cellStyle name="쉼표 [0] 4 2 18 2 3 2" xfId="19154"/>
    <cellStyle name="쉼표 [0] 4 2 18 2 3 2 2" xfId="44506"/>
    <cellStyle name="쉼표 [0] 4 2 18 2 3 3" xfId="31834"/>
    <cellStyle name="쉼표 [0] 4 2 18 2 4" xfId="12818"/>
    <cellStyle name="쉼표 [0] 4 2 18 2 4 2" xfId="38170"/>
    <cellStyle name="쉼표 [0] 4 2 18 2 5" xfId="25498"/>
    <cellStyle name="쉼표 [0] 4 2 18 3" xfId="3240"/>
    <cellStyle name="쉼표 [0] 4 2 18 3 2" xfId="9576"/>
    <cellStyle name="쉼표 [0] 4 2 18 3 2 2" xfId="22250"/>
    <cellStyle name="쉼표 [0] 4 2 18 3 2 2 2" xfId="47602"/>
    <cellStyle name="쉼표 [0] 4 2 18 3 2 3" xfId="34930"/>
    <cellStyle name="쉼표 [0] 4 2 18 3 3" xfId="15914"/>
    <cellStyle name="쉼표 [0] 4 2 18 3 3 2" xfId="41266"/>
    <cellStyle name="쉼표 [0] 4 2 18 3 4" xfId="28594"/>
    <cellStyle name="쉼표 [0] 4 2 18 4" xfId="6479"/>
    <cellStyle name="쉼표 [0] 4 2 18 4 2" xfId="19153"/>
    <cellStyle name="쉼표 [0] 4 2 18 4 2 2" xfId="44505"/>
    <cellStyle name="쉼표 [0] 4 2 18 4 3" xfId="31833"/>
    <cellStyle name="쉼표 [0] 4 2 18 5" xfId="12817"/>
    <cellStyle name="쉼표 [0] 4 2 18 5 2" xfId="38169"/>
    <cellStyle name="쉼표 [0] 4 2 18 6" xfId="25497"/>
    <cellStyle name="쉼표 [0] 4 2 19" xfId="144"/>
    <cellStyle name="쉼표 [0] 4 2 19 2" xfId="145"/>
    <cellStyle name="쉼표 [0] 4 2 19 2 2" xfId="3241"/>
    <cellStyle name="쉼표 [0] 4 2 19 2 2 2" xfId="9577"/>
    <cellStyle name="쉼표 [0] 4 2 19 2 2 2 2" xfId="22251"/>
    <cellStyle name="쉼표 [0] 4 2 19 2 2 2 2 2" xfId="47603"/>
    <cellStyle name="쉼표 [0] 4 2 19 2 2 2 3" xfId="34931"/>
    <cellStyle name="쉼표 [0] 4 2 19 2 2 3" xfId="15915"/>
    <cellStyle name="쉼표 [0] 4 2 19 2 2 3 2" xfId="41267"/>
    <cellStyle name="쉼표 [0] 4 2 19 2 2 4" xfId="28595"/>
    <cellStyle name="쉼표 [0] 4 2 19 2 3" xfId="6482"/>
    <cellStyle name="쉼표 [0] 4 2 19 2 3 2" xfId="19156"/>
    <cellStyle name="쉼표 [0] 4 2 19 2 3 2 2" xfId="44508"/>
    <cellStyle name="쉼표 [0] 4 2 19 2 3 3" xfId="31836"/>
    <cellStyle name="쉼표 [0] 4 2 19 2 4" xfId="12820"/>
    <cellStyle name="쉼표 [0] 4 2 19 2 4 2" xfId="38172"/>
    <cellStyle name="쉼표 [0] 4 2 19 2 5" xfId="25500"/>
    <cellStyle name="쉼표 [0] 4 2 19 3" xfId="3242"/>
    <cellStyle name="쉼표 [0] 4 2 19 3 2" xfId="9578"/>
    <cellStyle name="쉼표 [0] 4 2 19 3 2 2" xfId="22252"/>
    <cellStyle name="쉼표 [0] 4 2 19 3 2 2 2" xfId="47604"/>
    <cellStyle name="쉼표 [0] 4 2 19 3 2 3" xfId="34932"/>
    <cellStyle name="쉼표 [0] 4 2 19 3 3" xfId="15916"/>
    <cellStyle name="쉼표 [0] 4 2 19 3 3 2" xfId="41268"/>
    <cellStyle name="쉼표 [0] 4 2 19 3 4" xfId="28596"/>
    <cellStyle name="쉼표 [0] 4 2 19 4" xfId="6481"/>
    <cellStyle name="쉼표 [0] 4 2 19 4 2" xfId="19155"/>
    <cellStyle name="쉼표 [0] 4 2 19 4 2 2" xfId="44507"/>
    <cellStyle name="쉼표 [0] 4 2 19 4 3" xfId="31835"/>
    <cellStyle name="쉼표 [0] 4 2 19 5" xfId="12819"/>
    <cellStyle name="쉼표 [0] 4 2 19 5 2" xfId="38171"/>
    <cellStyle name="쉼표 [0] 4 2 19 6" xfId="25499"/>
    <cellStyle name="쉼표 [0] 4 2 2" xfId="20"/>
    <cellStyle name="쉼표 [0] 4 2 2 10" xfId="146"/>
    <cellStyle name="쉼표 [0] 4 2 2 10 2" xfId="147"/>
    <cellStyle name="쉼표 [0] 4 2 2 10 2 2" xfId="3243"/>
    <cellStyle name="쉼표 [0] 4 2 2 10 2 2 2" xfId="9579"/>
    <cellStyle name="쉼표 [0] 4 2 2 10 2 2 2 2" xfId="22253"/>
    <cellStyle name="쉼표 [0] 4 2 2 10 2 2 2 2 2" xfId="47605"/>
    <cellStyle name="쉼표 [0] 4 2 2 10 2 2 2 3" xfId="34933"/>
    <cellStyle name="쉼표 [0] 4 2 2 10 2 2 3" xfId="15917"/>
    <cellStyle name="쉼표 [0] 4 2 2 10 2 2 3 2" xfId="41269"/>
    <cellStyle name="쉼표 [0] 4 2 2 10 2 2 4" xfId="28597"/>
    <cellStyle name="쉼표 [0] 4 2 2 10 2 3" xfId="6484"/>
    <cellStyle name="쉼표 [0] 4 2 2 10 2 3 2" xfId="19158"/>
    <cellStyle name="쉼표 [0] 4 2 2 10 2 3 2 2" xfId="44510"/>
    <cellStyle name="쉼표 [0] 4 2 2 10 2 3 3" xfId="31838"/>
    <cellStyle name="쉼표 [0] 4 2 2 10 2 4" xfId="12822"/>
    <cellStyle name="쉼표 [0] 4 2 2 10 2 4 2" xfId="38174"/>
    <cellStyle name="쉼표 [0] 4 2 2 10 2 5" xfId="25502"/>
    <cellStyle name="쉼표 [0] 4 2 2 10 3" xfId="3244"/>
    <cellStyle name="쉼표 [0] 4 2 2 10 3 2" xfId="9580"/>
    <cellStyle name="쉼표 [0] 4 2 2 10 3 2 2" xfId="22254"/>
    <cellStyle name="쉼표 [0] 4 2 2 10 3 2 2 2" xfId="47606"/>
    <cellStyle name="쉼표 [0] 4 2 2 10 3 2 3" xfId="34934"/>
    <cellStyle name="쉼표 [0] 4 2 2 10 3 3" xfId="15918"/>
    <cellStyle name="쉼표 [0] 4 2 2 10 3 3 2" xfId="41270"/>
    <cellStyle name="쉼표 [0] 4 2 2 10 3 4" xfId="28598"/>
    <cellStyle name="쉼표 [0] 4 2 2 10 4" xfId="6483"/>
    <cellStyle name="쉼표 [0] 4 2 2 10 4 2" xfId="19157"/>
    <cellStyle name="쉼표 [0] 4 2 2 10 4 2 2" xfId="44509"/>
    <cellStyle name="쉼표 [0] 4 2 2 10 4 3" xfId="31837"/>
    <cellStyle name="쉼표 [0] 4 2 2 10 5" xfId="12821"/>
    <cellStyle name="쉼표 [0] 4 2 2 10 5 2" xfId="38173"/>
    <cellStyle name="쉼표 [0] 4 2 2 10 6" xfId="25501"/>
    <cellStyle name="쉼표 [0] 4 2 2 11" xfId="148"/>
    <cellStyle name="쉼표 [0] 4 2 2 11 2" xfId="149"/>
    <cellStyle name="쉼표 [0] 4 2 2 11 2 2" xfId="3245"/>
    <cellStyle name="쉼표 [0] 4 2 2 11 2 2 2" xfId="9581"/>
    <cellStyle name="쉼표 [0] 4 2 2 11 2 2 2 2" xfId="22255"/>
    <cellStyle name="쉼표 [0] 4 2 2 11 2 2 2 2 2" xfId="47607"/>
    <cellStyle name="쉼표 [0] 4 2 2 11 2 2 2 3" xfId="34935"/>
    <cellStyle name="쉼표 [0] 4 2 2 11 2 2 3" xfId="15919"/>
    <cellStyle name="쉼표 [0] 4 2 2 11 2 2 3 2" xfId="41271"/>
    <cellStyle name="쉼표 [0] 4 2 2 11 2 2 4" xfId="28599"/>
    <cellStyle name="쉼표 [0] 4 2 2 11 2 3" xfId="6486"/>
    <cellStyle name="쉼표 [0] 4 2 2 11 2 3 2" xfId="19160"/>
    <cellStyle name="쉼표 [0] 4 2 2 11 2 3 2 2" xfId="44512"/>
    <cellStyle name="쉼표 [0] 4 2 2 11 2 3 3" xfId="31840"/>
    <cellStyle name="쉼표 [0] 4 2 2 11 2 4" xfId="12824"/>
    <cellStyle name="쉼표 [0] 4 2 2 11 2 4 2" xfId="38176"/>
    <cellStyle name="쉼표 [0] 4 2 2 11 2 5" xfId="25504"/>
    <cellStyle name="쉼표 [0] 4 2 2 11 3" xfId="3246"/>
    <cellStyle name="쉼표 [0] 4 2 2 11 3 2" xfId="9582"/>
    <cellStyle name="쉼표 [0] 4 2 2 11 3 2 2" xfId="22256"/>
    <cellStyle name="쉼표 [0] 4 2 2 11 3 2 2 2" xfId="47608"/>
    <cellStyle name="쉼표 [0] 4 2 2 11 3 2 3" xfId="34936"/>
    <cellStyle name="쉼표 [0] 4 2 2 11 3 3" xfId="15920"/>
    <cellStyle name="쉼표 [0] 4 2 2 11 3 3 2" xfId="41272"/>
    <cellStyle name="쉼표 [0] 4 2 2 11 3 4" xfId="28600"/>
    <cellStyle name="쉼표 [0] 4 2 2 11 4" xfId="6485"/>
    <cellStyle name="쉼표 [0] 4 2 2 11 4 2" xfId="19159"/>
    <cellStyle name="쉼표 [0] 4 2 2 11 4 2 2" xfId="44511"/>
    <cellStyle name="쉼표 [0] 4 2 2 11 4 3" xfId="31839"/>
    <cellStyle name="쉼표 [0] 4 2 2 11 5" xfId="12823"/>
    <cellStyle name="쉼표 [0] 4 2 2 11 5 2" xfId="38175"/>
    <cellStyle name="쉼표 [0] 4 2 2 11 6" xfId="25503"/>
    <cellStyle name="쉼표 [0] 4 2 2 12" xfId="150"/>
    <cellStyle name="쉼표 [0] 4 2 2 12 2" xfId="151"/>
    <cellStyle name="쉼표 [0] 4 2 2 12 2 2" xfId="3247"/>
    <cellStyle name="쉼표 [0] 4 2 2 12 2 2 2" xfId="9583"/>
    <cellStyle name="쉼표 [0] 4 2 2 12 2 2 2 2" xfId="22257"/>
    <cellStyle name="쉼표 [0] 4 2 2 12 2 2 2 2 2" xfId="47609"/>
    <cellStyle name="쉼표 [0] 4 2 2 12 2 2 2 3" xfId="34937"/>
    <cellStyle name="쉼표 [0] 4 2 2 12 2 2 3" xfId="15921"/>
    <cellStyle name="쉼표 [0] 4 2 2 12 2 2 3 2" xfId="41273"/>
    <cellStyle name="쉼표 [0] 4 2 2 12 2 2 4" xfId="28601"/>
    <cellStyle name="쉼표 [0] 4 2 2 12 2 3" xfId="6488"/>
    <cellStyle name="쉼표 [0] 4 2 2 12 2 3 2" xfId="19162"/>
    <cellStyle name="쉼표 [0] 4 2 2 12 2 3 2 2" xfId="44514"/>
    <cellStyle name="쉼표 [0] 4 2 2 12 2 3 3" xfId="31842"/>
    <cellStyle name="쉼표 [0] 4 2 2 12 2 4" xfId="12826"/>
    <cellStyle name="쉼표 [0] 4 2 2 12 2 4 2" xfId="38178"/>
    <cellStyle name="쉼표 [0] 4 2 2 12 2 5" xfId="25506"/>
    <cellStyle name="쉼표 [0] 4 2 2 12 3" xfId="3248"/>
    <cellStyle name="쉼표 [0] 4 2 2 12 3 2" xfId="9584"/>
    <cellStyle name="쉼표 [0] 4 2 2 12 3 2 2" xfId="22258"/>
    <cellStyle name="쉼표 [0] 4 2 2 12 3 2 2 2" xfId="47610"/>
    <cellStyle name="쉼표 [0] 4 2 2 12 3 2 3" xfId="34938"/>
    <cellStyle name="쉼표 [0] 4 2 2 12 3 3" xfId="15922"/>
    <cellStyle name="쉼표 [0] 4 2 2 12 3 3 2" xfId="41274"/>
    <cellStyle name="쉼표 [0] 4 2 2 12 3 4" xfId="28602"/>
    <cellStyle name="쉼표 [0] 4 2 2 12 4" xfId="6487"/>
    <cellStyle name="쉼표 [0] 4 2 2 12 4 2" xfId="19161"/>
    <cellStyle name="쉼표 [0] 4 2 2 12 4 2 2" xfId="44513"/>
    <cellStyle name="쉼표 [0] 4 2 2 12 4 3" xfId="31841"/>
    <cellStyle name="쉼표 [0] 4 2 2 12 5" xfId="12825"/>
    <cellStyle name="쉼표 [0] 4 2 2 12 5 2" xfId="38177"/>
    <cellStyle name="쉼표 [0] 4 2 2 12 6" xfId="25505"/>
    <cellStyle name="쉼표 [0] 4 2 2 13" xfId="152"/>
    <cellStyle name="쉼표 [0] 4 2 2 13 2" xfId="153"/>
    <cellStyle name="쉼표 [0] 4 2 2 13 2 2" xfId="3249"/>
    <cellStyle name="쉼표 [0] 4 2 2 13 2 2 2" xfId="9585"/>
    <cellStyle name="쉼표 [0] 4 2 2 13 2 2 2 2" xfId="22259"/>
    <cellStyle name="쉼표 [0] 4 2 2 13 2 2 2 2 2" xfId="47611"/>
    <cellStyle name="쉼표 [0] 4 2 2 13 2 2 2 3" xfId="34939"/>
    <cellStyle name="쉼표 [0] 4 2 2 13 2 2 3" xfId="15923"/>
    <cellStyle name="쉼표 [0] 4 2 2 13 2 2 3 2" xfId="41275"/>
    <cellStyle name="쉼표 [0] 4 2 2 13 2 2 4" xfId="28603"/>
    <cellStyle name="쉼표 [0] 4 2 2 13 2 3" xfId="6490"/>
    <cellStyle name="쉼표 [0] 4 2 2 13 2 3 2" xfId="19164"/>
    <cellStyle name="쉼표 [0] 4 2 2 13 2 3 2 2" xfId="44516"/>
    <cellStyle name="쉼표 [0] 4 2 2 13 2 3 3" xfId="31844"/>
    <cellStyle name="쉼표 [0] 4 2 2 13 2 4" xfId="12828"/>
    <cellStyle name="쉼표 [0] 4 2 2 13 2 4 2" xfId="38180"/>
    <cellStyle name="쉼표 [0] 4 2 2 13 2 5" xfId="25508"/>
    <cellStyle name="쉼표 [0] 4 2 2 13 3" xfId="3250"/>
    <cellStyle name="쉼표 [0] 4 2 2 13 3 2" xfId="9586"/>
    <cellStyle name="쉼표 [0] 4 2 2 13 3 2 2" xfId="22260"/>
    <cellStyle name="쉼표 [0] 4 2 2 13 3 2 2 2" xfId="47612"/>
    <cellStyle name="쉼표 [0] 4 2 2 13 3 2 3" xfId="34940"/>
    <cellStyle name="쉼표 [0] 4 2 2 13 3 3" xfId="15924"/>
    <cellStyle name="쉼표 [0] 4 2 2 13 3 3 2" xfId="41276"/>
    <cellStyle name="쉼표 [0] 4 2 2 13 3 4" xfId="28604"/>
    <cellStyle name="쉼표 [0] 4 2 2 13 4" xfId="6489"/>
    <cellStyle name="쉼표 [0] 4 2 2 13 4 2" xfId="19163"/>
    <cellStyle name="쉼표 [0] 4 2 2 13 4 2 2" xfId="44515"/>
    <cellStyle name="쉼표 [0] 4 2 2 13 4 3" xfId="31843"/>
    <cellStyle name="쉼표 [0] 4 2 2 13 5" xfId="12827"/>
    <cellStyle name="쉼표 [0] 4 2 2 13 5 2" xfId="38179"/>
    <cellStyle name="쉼표 [0] 4 2 2 13 6" xfId="25507"/>
    <cellStyle name="쉼표 [0] 4 2 2 14" xfId="154"/>
    <cellStyle name="쉼표 [0] 4 2 2 14 2" xfId="155"/>
    <cellStyle name="쉼표 [0] 4 2 2 14 2 2" xfId="3251"/>
    <cellStyle name="쉼표 [0] 4 2 2 14 2 2 2" xfId="9587"/>
    <cellStyle name="쉼표 [0] 4 2 2 14 2 2 2 2" xfId="22261"/>
    <cellStyle name="쉼표 [0] 4 2 2 14 2 2 2 2 2" xfId="47613"/>
    <cellStyle name="쉼표 [0] 4 2 2 14 2 2 2 3" xfId="34941"/>
    <cellStyle name="쉼표 [0] 4 2 2 14 2 2 3" xfId="15925"/>
    <cellStyle name="쉼표 [0] 4 2 2 14 2 2 3 2" xfId="41277"/>
    <cellStyle name="쉼표 [0] 4 2 2 14 2 2 4" xfId="28605"/>
    <cellStyle name="쉼표 [0] 4 2 2 14 2 3" xfId="6492"/>
    <cellStyle name="쉼표 [0] 4 2 2 14 2 3 2" xfId="19166"/>
    <cellStyle name="쉼표 [0] 4 2 2 14 2 3 2 2" xfId="44518"/>
    <cellStyle name="쉼표 [0] 4 2 2 14 2 3 3" xfId="31846"/>
    <cellStyle name="쉼표 [0] 4 2 2 14 2 4" xfId="12830"/>
    <cellStyle name="쉼표 [0] 4 2 2 14 2 4 2" xfId="38182"/>
    <cellStyle name="쉼표 [0] 4 2 2 14 2 5" xfId="25510"/>
    <cellStyle name="쉼표 [0] 4 2 2 14 3" xfId="3252"/>
    <cellStyle name="쉼표 [0] 4 2 2 14 3 2" xfId="9588"/>
    <cellStyle name="쉼표 [0] 4 2 2 14 3 2 2" xfId="22262"/>
    <cellStyle name="쉼표 [0] 4 2 2 14 3 2 2 2" xfId="47614"/>
    <cellStyle name="쉼표 [0] 4 2 2 14 3 2 3" xfId="34942"/>
    <cellStyle name="쉼표 [0] 4 2 2 14 3 3" xfId="15926"/>
    <cellStyle name="쉼표 [0] 4 2 2 14 3 3 2" xfId="41278"/>
    <cellStyle name="쉼표 [0] 4 2 2 14 3 4" xfId="28606"/>
    <cellStyle name="쉼표 [0] 4 2 2 14 4" xfId="6491"/>
    <cellStyle name="쉼표 [0] 4 2 2 14 4 2" xfId="19165"/>
    <cellStyle name="쉼표 [0] 4 2 2 14 4 2 2" xfId="44517"/>
    <cellStyle name="쉼표 [0] 4 2 2 14 4 3" xfId="31845"/>
    <cellStyle name="쉼표 [0] 4 2 2 14 5" xfId="12829"/>
    <cellStyle name="쉼표 [0] 4 2 2 14 5 2" xfId="38181"/>
    <cellStyle name="쉼표 [0] 4 2 2 14 6" xfId="25509"/>
    <cellStyle name="쉼표 [0] 4 2 2 15" xfId="156"/>
    <cellStyle name="쉼표 [0] 4 2 2 15 2" xfId="157"/>
    <cellStyle name="쉼표 [0] 4 2 2 15 2 2" xfId="3253"/>
    <cellStyle name="쉼표 [0] 4 2 2 15 2 2 2" xfId="9589"/>
    <cellStyle name="쉼표 [0] 4 2 2 15 2 2 2 2" xfId="22263"/>
    <cellStyle name="쉼표 [0] 4 2 2 15 2 2 2 2 2" xfId="47615"/>
    <cellStyle name="쉼표 [0] 4 2 2 15 2 2 2 3" xfId="34943"/>
    <cellStyle name="쉼표 [0] 4 2 2 15 2 2 3" xfId="15927"/>
    <cellStyle name="쉼표 [0] 4 2 2 15 2 2 3 2" xfId="41279"/>
    <cellStyle name="쉼표 [0] 4 2 2 15 2 2 4" xfId="28607"/>
    <cellStyle name="쉼표 [0] 4 2 2 15 2 3" xfId="6494"/>
    <cellStyle name="쉼표 [0] 4 2 2 15 2 3 2" xfId="19168"/>
    <cellStyle name="쉼표 [0] 4 2 2 15 2 3 2 2" xfId="44520"/>
    <cellStyle name="쉼표 [0] 4 2 2 15 2 3 3" xfId="31848"/>
    <cellStyle name="쉼표 [0] 4 2 2 15 2 4" xfId="12832"/>
    <cellStyle name="쉼표 [0] 4 2 2 15 2 4 2" xfId="38184"/>
    <cellStyle name="쉼표 [0] 4 2 2 15 2 5" xfId="25512"/>
    <cellStyle name="쉼표 [0] 4 2 2 15 3" xfId="3254"/>
    <cellStyle name="쉼표 [0] 4 2 2 15 3 2" xfId="9590"/>
    <cellStyle name="쉼표 [0] 4 2 2 15 3 2 2" xfId="22264"/>
    <cellStyle name="쉼표 [0] 4 2 2 15 3 2 2 2" xfId="47616"/>
    <cellStyle name="쉼표 [0] 4 2 2 15 3 2 3" xfId="34944"/>
    <cellStyle name="쉼표 [0] 4 2 2 15 3 3" xfId="15928"/>
    <cellStyle name="쉼표 [0] 4 2 2 15 3 3 2" xfId="41280"/>
    <cellStyle name="쉼표 [0] 4 2 2 15 3 4" xfId="28608"/>
    <cellStyle name="쉼표 [0] 4 2 2 15 4" xfId="6493"/>
    <cellStyle name="쉼표 [0] 4 2 2 15 4 2" xfId="19167"/>
    <cellStyle name="쉼표 [0] 4 2 2 15 4 2 2" xfId="44519"/>
    <cellStyle name="쉼표 [0] 4 2 2 15 4 3" xfId="31847"/>
    <cellStyle name="쉼표 [0] 4 2 2 15 5" xfId="12831"/>
    <cellStyle name="쉼표 [0] 4 2 2 15 5 2" xfId="38183"/>
    <cellStyle name="쉼표 [0] 4 2 2 15 6" xfId="25511"/>
    <cellStyle name="쉼표 [0] 4 2 2 16" xfId="158"/>
    <cellStyle name="쉼표 [0] 4 2 2 16 2" xfId="159"/>
    <cellStyle name="쉼표 [0] 4 2 2 16 2 2" xfId="3255"/>
    <cellStyle name="쉼표 [0] 4 2 2 16 2 2 2" xfId="9591"/>
    <cellStyle name="쉼표 [0] 4 2 2 16 2 2 2 2" xfId="22265"/>
    <cellStyle name="쉼표 [0] 4 2 2 16 2 2 2 2 2" xfId="47617"/>
    <cellStyle name="쉼표 [0] 4 2 2 16 2 2 2 3" xfId="34945"/>
    <cellStyle name="쉼표 [0] 4 2 2 16 2 2 3" xfId="15929"/>
    <cellStyle name="쉼표 [0] 4 2 2 16 2 2 3 2" xfId="41281"/>
    <cellStyle name="쉼표 [0] 4 2 2 16 2 2 4" xfId="28609"/>
    <cellStyle name="쉼표 [0] 4 2 2 16 2 3" xfId="6496"/>
    <cellStyle name="쉼표 [0] 4 2 2 16 2 3 2" xfId="19170"/>
    <cellStyle name="쉼표 [0] 4 2 2 16 2 3 2 2" xfId="44522"/>
    <cellStyle name="쉼표 [0] 4 2 2 16 2 3 3" xfId="31850"/>
    <cellStyle name="쉼표 [0] 4 2 2 16 2 4" xfId="12834"/>
    <cellStyle name="쉼표 [0] 4 2 2 16 2 4 2" xfId="38186"/>
    <cellStyle name="쉼표 [0] 4 2 2 16 2 5" xfId="25514"/>
    <cellStyle name="쉼표 [0] 4 2 2 16 3" xfId="3256"/>
    <cellStyle name="쉼표 [0] 4 2 2 16 3 2" xfId="9592"/>
    <cellStyle name="쉼표 [0] 4 2 2 16 3 2 2" xfId="22266"/>
    <cellStyle name="쉼표 [0] 4 2 2 16 3 2 2 2" xfId="47618"/>
    <cellStyle name="쉼표 [0] 4 2 2 16 3 2 3" xfId="34946"/>
    <cellStyle name="쉼표 [0] 4 2 2 16 3 3" xfId="15930"/>
    <cellStyle name="쉼표 [0] 4 2 2 16 3 3 2" xfId="41282"/>
    <cellStyle name="쉼표 [0] 4 2 2 16 3 4" xfId="28610"/>
    <cellStyle name="쉼표 [0] 4 2 2 16 4" xfId="6495"/>
    <cellStyle name="쉼표 [0] 4 2 2 16 4 2" xfId="19169"/>
    <cellStyle name="쉼표 [0] 4 2 2 16 4 2 2" xfId="44521"/>
    <cellStyle name="쉼표 [0] 4 2 2 16 4 3" xfId="31849"/>
    <cellStyle name="쉼표 [0] 4 2 2 16 5" xfId="12833"/>
    <cellStyle name="쉼표 [0] 4 2 2 16 5 2" xfId="38185"/>
    <cellStyle name="쉼표 [0] 4 2 2 16 6" xfId="25513"/>
    <cellStyle name="쉼표 [0] 4 2 2 17" xfId="160"/>
    <cellStyle name="쉼표 [0] 4 2 2 17 2" xfId="161"/>
    <cellStyle name="쉼표 [0] 4 2 2 17 2 2" xfId="3257"/>
    <cellStyle name="쉼표 [0] 4 2 2 17 2 2 2" xfId="9593"/>
    <cellStyle name="쉼표 [0] 4 2 2 17 2 2 2 2" xfId="22267"/>
    <cellStyle name="쉼표 [0] 4 2 2 17 2 2 2 2 2" xfId="47619"/>
    <cellStyle name="쉼표 [0] 4 2 2 17 2 2 2 3" xfId="34947"/>
    <cellStyle name="쉼표 [0] 4 2 2 17 2 2 3" xfId="15931"/>
    <cellStyle name="쉼표 [0] 4 2 2 17 2 2 3 2" xfId="41283"/>
    <cellStyle name="쉼표 [0] 4 2 2 17 2 2 4" xfId="28611"/>
    <cellStyle name="쉼표 [0] 4 2 2 17 2 3" xfId="6498"/>
    <cellStyle name="쉼표 [0] 4 2 2 17 2 3 2" xfId="19172"/>
    <cellStyle name="쉼표 [0] 4 2 2 17 2 3 2 2" xfId="44524"/>
    <cellStyle name="쉼표 [0] 4 2 2 17 2 3 3" xfId="31852"/>
    <cellStyle name="쉼표 [0] 4 2 2 17 2 4" xfId="12836"/>
    <cellStyle name="쉼표 [0] 4 2 2 17 2 4 2" xfId="38188"/>
    <cellStyle name="쉼표 [0] 4 2 2 17 2 5" xfId="25516"/>
    <cellStyle name="쉼표 [0] 4 2 2 17 3" xfId="3258"/>
    <cellStyle name="쉼표 [0] 4 2 2 17 3 2" xfId="9594"/>
    <cellStyle name="쉼표 [0] 4 2 2 17 3 2 2" xfId="22268"/>
    <cellStyle name="쉼표 [0] 4 2 2 17 3 2 2 2" xfId="47620"/>
    <cellStyle name="쉼표 [0] 4 2 2 17 3 2 3" xfId="34948"/>
    <cellStyle name="쉼표 [0] 4 2 2 17 3 3" xfId="15932"/>
    <cellStyle name="쉼표 [0] 4 2 2 17 3 3 2" xfId="41284"/>
    <cellStyle name="쉼표 [0] 4 2 2 17 3 4" xfId="28612"/>
    <cellStyle name="쉼표 [0] 4 2 2 17 4" xfId="6497"/>
    <cellStyle name="쉼표 [0] 4 2 2 17 4 2" xfId="19171"/>
    <cellStyle name="쉼표 [0] 4 2 2 17 4 2 2" xfId="44523"/>
    <cellStyle name="쉼표 [0] 4 2 2 17 4 3" xfId="31851"/>
    <cellStyle name="쉼표 [0] 4 2 2 17 5" xfId="12835"/>
    <cellStyle name="쉼표 [0] 4 2 2 17 5 2" xfId="38187"/>
    <cellStyle name="쉼표 [0] 4 2 2 17 6" xfId="25515"/>
    <cellStyle name="쉼표 [0] 4 2 2 18" xfId="162"/>
    <cellStyle name="쉼표 [0] 4 2 2 18 2" xfId="163"/>
    <cellStyle name="쉼표 [0] 4 2 2 18 2 2" xfId="3259"/>
    <cellStyle name="쉼표 [0] 4 2 2 18 2 2 2" xfId="9595"/>
    <cellStyle name="쉼표 [0] 4 2 2 18 2 2 2 2" xfId="22269"/>
    <cellStyle name="쉼표 [0] 4 2 2 18 2 2 2 2 2" xfId="47621"/>
    <cellStyle name="쉼표 [0] 4 2 2 18 2 2 2 3" xfId="34949"/>
    <cellStyle name="쉼표 [0] 4 2 2 18 2 2 3" xfId="15933"/>
    <cellStyle name="쉼표 [0] 4 2 2 18 2 2 3 2" xfId="41285"/>
    <cellStyle name="쉼표 [0] 4 2 2 18 2 2 4" xfId="28613"/>
    <cellStyle name="쉼표 [0] 4 2 2 18 2 3" xfId="6500"/>
    <cellStyle name="쉼표 [0] 4 2 2 18 2 3 2" xfId="19174"/>
    <cellStyle name="쉼표 [0] 4 2 2 18 2 3 2 2" xfId="44526"/>
    <cellStyle name="쉼표 [0] 4 2 2 18 2 3 3" xfId="31854"/>
    <cellStyle name="쉼표 [0] 4 2 2 18 2 4" xfId="12838"/>
    <cellStyle name="쉼표 [0] 4 2 2 18 2 4 2" xfId="38190"/>
    <cellStyle name="쉼표 [0] 4 2 2 18 2 5" xfId="25518"/>
    <cellStyle name="쉼표 [0] 4 2 2 18 3" xfId="3260"/>
    <cellStyle name="쉼표 [0] 4 2 2 18 3 2" xfId="9596"/>
    <cellStyle name="쉼표 [0] 4 2 2 18 3 2 2" xfId="22270"/>
    <cellStyle name="쉼표 [0] 4 2 2 18 3 2 2 2" xfId="47622"/>
    <cellStyle name="쉼표 [0] 4 2 2 18 3 2 3" xfId="34950"/>
    <cellStyle name="쉼표 [0] 4 2 2 18 3 3" xfId="15934"/>
    <cellStyle name="쉼표 [0] 4 2 2 18 3 3 2" xfId="41286"/>
    <cellStyle name="쉼표 [0] 4 2 2 18 3 4" xfId="28614"/>
    <cellStyle name="쉼표 [0] 4 2 2 18 4" xfId="6499"/>
    <cellStyle name="쉼표 [0] 4 2 2 18 4 2" xfId="19173"/>
    <cellStyle name="쉼표 [0] 4 2 2 18 4 2 2" xfId="44525"/>
    <cellStyle name="쉼표 [0] 4 2 2 18 4 3" xfId="31853"/>
    <cellStyle name="쉼표 [0] 4 2 2 18 5" xfId="12837"/>
    <cellStyle name="쉼표 [0] 4 2 2 18 5 2" xfId="38189"/>
    <cellStyle name="쉼표 [0] 4 2 2 18 6" xfId="25517"/>
    <cellStyle name="쉼표 [0] 4 2 2 19" xfId="164"/>
    <cellStyle name="쉼표 [0] 4 2 2 19 2" xfId="165"/>
    <cellStyle name="쉼표 [0] 4 2 2 19 2 2" xfId="3261"/>
    <cellStyle name="쉼표 [0] 4 2 2 19 2 2 2" xfId="9597"/>
    <cellStyle name="쉼표 [0] 4 2 2 19 2 2 2 2" xfId="22271"/>
    <cellStyle name="쉼표 [0] 4 2 2 19 2 2 2 2 2" xfId="47623"/>
    <cellStyle name="쉼표 [0] 4 2 2 19 2 2 2 3" xfId="34951"/>
    <cellStyle name="쉼표 [0] 4 2 2 19 2 2 3" xfId="15935"/>
    <cellStyle name="쉼표 [0] 4 2 2 19 2 2 3 2" xfId="41287"/>
    <cellStyle name="쉼표 [0] 4 2 2 19 2 2 4" xfId="28615"/>
    <cellStyle name="쉼표 [0] 4 2 2 19 2 3" xfId="6502"/>
    <cellStyle name="쉼표 [0] 4 2 2 19 2 3 2" xfId="19176"/>
    <cellStyle name="쉼표 [0] 4 2 2 19 2 3 2 2" xfId="44528"/>
    <cellStyle name="쉼표 [0] 4 2 2 19 2 3 3" xfId="31856"/>
    <cellStyle name="쉼표 [0] 4 2 2 19 2 4" xfId="12840"/>
    <cellStyle name="쉼표 [0] 4 2 2 19 2 4 2" xfId="38192"/>
    <cellStyle name="쉼표 [0] 4 2 2 19 2 5" xfId="25520"/>
    <cellStyle name="쉼표 [0] 4 2 2 19 3" xfId="3262"/>
    <cellStyle name="쉼표 [0] 4 2 2 19 3 2" xfId="9598"/>
    <cellStyle name="쉼표 [0] 4 2 2 19 3 2 2" xfId="22272"/>
    <cellStyle name="쉼표 [0] 4 2 2 19 3 2 2 2" xfId="47624"/>
    <cellStyle name="쉼표 [0] 4 2 2 19 3 2 3" xfId="34952"/>
    <cellStyle name="쉼표 [0] 4 2 2 19 3 3" xfId="15936"/>
    <cellStyle name="쉼표 [0] 4 2 2 19 3 3 2" xfId="41288"/>
    <cellStyle name="쉼표 [0] 4 2 2 19 3 4" xfId="28616"/>
    <cellStyle name="쉼표 [0] 4 2 2 19 4" xfId="6501"/>
    <cellStyle name="쉼표 [0] 4 2 2 19 4 2" xfId="19175"/>
    <cellStyle name="쉼표 [0] 4 2 2 19 4 2 2" xfId="44527"/>
    <cellStyle name="쉼표 [0] 4 2 2 19 4 3" xfId="31855"/>
    <cellStyle name="쉼표 [0] 4 2 2 19 5" xfId="12839"/>
    <cellStyle name="쉼표 [0] 4 2 2 19 5 2" xfId="38191"/>
    <cellStyle name="쉼표 [0] 4 2 2 19 6" xfId="25519"/>
    <cellStyle name="쉼표 [0] 4 2 2 2" xfId="32"/>
    <cellStyle name="쉼표 [0] 4 2 2 2 10" xfId="166"/>
    <cellStyle name="쉼표 [0] 4 2 2 2 10 2" xfId="167"/>
    <cellStyle name="쉼표 [0] 4 2 2 2 10 2 2" xfId="3263"/>
    <cellStyle name="쉼표 [0] 4 2 2 2 10 2 2 2" xfId="9599"/>
    <cellStyle name="쉼표 [0] 4 2 2 2 10 2 2 2 2" xfId="22273"/>
    <cellStyle name="쉼표 [0] 4 2 2 2 10 2 2 2 2 2" xfId="47625"/>
    <cellStyle name="쉼표 [0] 4 2 2 2 10 2 2 2 3" xfId="34953"/>
    <cellStyle name="쉼표 [0] 4 2 2 2 10 2 2 3" xfId="15937"/>
    <cellStyle name="쉼표 [0] 4 2 2 2 10 2 2 3 2" xfId="41289"/>
    <cellStyle name="쉼표 [0] 4 2 2 2 10 2 2 4" xfId="28617"/>
    <cellStyle name="쉼표 [0] 4 2 2 2 10 2 3" xfId="6504"/>
    <cellStyle name="쉼표 [0] 4 2 2 2 10 2 3 2" xfId="19178"/>
    <cellStyle name="쉼표 [0] 4 2 2 2 10 2 3 2 2" xfId="44530"/>
    <cellStyle name="쉼표 [0] 4 2 2 2 10 2 3 3" xfId="31858"/>
    <cellStyle name="쉼표 [0] 4 2 2 2 10 2 4" xfId="12842"/>
    <cellStyle name="쉼표 [0] 4 2 2 2 10 2 4 2" xfId="38194"/>
    <cellStyle name="쉼표 [0] 4 2 2 2 10 2 5" xfId="25522"/>
    <cellStyle name="쉼표 [0] 4 2 2 2 10 3" xfId="3264"/>
    <cellStyle name="쉼표 [0] 4 2 2 2 10 3 2" xfId="9600"/>
    <cellStyle name="쉼표 [0] 4 2 2 2 10 3 2 2" xfId="22274"/>
    <cellStyle name="쉼표 [0] 4 2 2 2 10 3 2 2 2" xfId="47626"/>
    <cellStyle name="쉼표 [0] 4 2 2 2 10 3 2 3" xfId="34954"/>
    <cellStyle name="쉼표 [0] 4 2 2 2 10 3 3" xfId="15938"/>
    <cellStyle name="쉼표 [0] 4 2 2 2 10 3 3 2" xfId="41290"/>
    <cellStyle name="쉼표 [0] 4 2 2 2 10 3 4" xfId="28618"/>
    <cellStyle name="쉼표 [0] 4 2 2 2 10 4" xfId="6503"/>
    <cellStyle name="쉼표 [0] 4 2 2 2 10 4 2" xfId="19177"/>
    <cellStyle name="쉼표 [0] 4 2 2 2 10 4 2 2" xfId="44529"/>
    <cellStyle name="쉼표 [0] 4 2 2 2 10 4 3" xfId="31857"/>
    <cellStyle name="쉼표 [0] 4 2 2 2 10 5" xfId="12841"/>
    <cellStyle name="쉼표 [0] 4 2 2 2 10 5 2" xfId="38193"/>
    <cellStyle name="쉼표 [0] 4 2 2 2 10 6" xfId="25521"/>
    <cellStyle name="쉼표 [0] 4 2 2 2 11" xfId="168"/>
    <cellStyle name="쉼표 [0] 4 2 2 2 11 2" xfId="169"/>
    <cellStyle name="쉼표 [0] 4 2 2 2 11 2 2" xfId="3265"/>
    <cellStyle name="쉼표 [0] 4 2 2 2 11 2 2 2" xfId="9601"/>
    <cellStyle name="쉼표 [0] 4 2 2 2 11 2 2 2 2" xfId="22275"/>
    <cellStyle name="쉼표 [0] 4 2 2 2 11 2 2 2 2 2" xfId="47627"/>
    <cellStyle name="쉼표 [0] 4 2 2 2 11 2 2 2 3" xfId="34955"/>
    <cellStyle name="쉼표 [0] 4 2 2 2 11 2 2 3" xfId="15939"/>
    <cellStyle name="쉼표 [0] 4 2 2 2 11 2 2 3 2" xfId="41291"/>
    <cellStyle name="쉼표 [0] 4 2 2 2 11 2 2 4" xfId="28619"/>
    <cellStyle name="쉼표 [0] 4 2 2 2 11 2 3" xfId="6506"/>
    <cellStyle name="쉼표 [0] 4 2 2 2 11 2 3 2" xfId="19180"/>
    <cellStyle name="쉼표 [0] 4 2 2 2 11 2 3 2 2" xfId="44532"/>
    <cellStyle name="쉼표 [0] 4 2 2 2 11 2 3 3" xfId="31860"/>
    <cellStyle name="쉼표 [0] 4 2 2 2 11 2 4" xfId="12844"/>
    <cellStyle name="쉼표 [0] 4 2 2 2 11 2 4 2" xfId="38196"/>
    <cellStyle name="쉼표 [0] 4 2 2 2 11 2 5" xfId="25524"/>
    <cellStyle name="쉼표 [0] 4 2 2 2 11 3" xfId="3266"/>
    <cellStyle name="쉼표 [0] 4 2 2 2 11 3 2" xfId="9602"/>
    <cellStyle name="쉼표 [0] 4 2 2 2 11 3 2 2" xfId="22276"/>
    <cellStyle name="쉼표 [0] 4 2 2 2 11 3 2 2 2" xfId="47628"/>
    <cellStyle name="쉼표 [0] 4 2 2 2 11 3 2 3" xfId="34956"/>
    <cellStyle name="쉼표 [0] 4 2 2 2 11 3 3" xfId="15940"/>
    <cellStyle name="쉼표 [0] 4 2 2 2 11 3 3 2" xfId="41292"/>
    <cellStyle name="쉼표 [0] 4 2 2 2 11 3 4" xfId="28620"/>
    <cellStyle name="쉼표 [0] 4 2 2 2 11 4" xfId="6505"/>
    <cellStyle name="쉼표 [0] 4 2 2 2 11 4 2" xfId="19179"/>
    <cellStyle name="쉼표 [0] 4 2 2 2 11 4 2 2" xfId="44531"/>
    <cellStyle name="쉼표 [0] 4 2 2 2 11 4 3" xfId="31859"/>
    <cellStyle name="쉼표 [0] 4 2 2 2 11 5" xfId="12843"/>
    <cellStyle name="쉼표 [0] 4 2 2 2 11 5 2" xfId="38195"/>
    <cellStyle name="쉼표 [0] 4 2 2 2 11 6" xfId="25523"/>
    <cellStyle name="쉼표 [0] 4 2 2 2 12" xfId="170"/>
    <cellStyle name="쉼표 [0] 4 2 2 2 12 2" xfId="171"/>
    <cellStyle name="쉼표 [0] 4 2 2 2 12 2 2" xfId="3267"/>
    <cellStyle name="쉼표 [0] 4 2 2 2 12 2 2 2" xfId="9603"/>
    <cellStyle name="쉼표 [0] 4 2 2 2 12 2 2 2 2" xfId="22277"/>
    <cellStyle name="쉼표 [0] 4 2 2 2 12 2 2 2 2 2" xfId="47629"/>
    <cellStyle name="쉼표 [0] 4 2 2 2 12 2 2 2 3" xfId="34957"/>
    <cellStyle name="쉼표 [0] 4 2 2 2 12 2 2 3" xfId="15941"/>
    <cellStyle name="쉼표 [0] 4 2 2 2 12 2 2 3 2" xfId="41293"/>
    <cellStyle name="쉼표 [0] 4 2 2 2 12 2 2 4" xfId="28621"/>
    <cellStyle name="쉼표 [0] 4 2 2 2 12 2 3" xfId="6508"/>
    <cellStyle name="쉼표 [0] 4 2 2 2 12 2 3 2" xfId="19182"/>
    <cellStyle name="쉼표 [0] 4 2 2 2 12 2 3 2 2" xfId="44534"/>
    <cellStyle name="쉼표 [0] 4 2 2 2 12 2 3 3" xfId="31862"/>
    <cellStyle name="쉼표 [0] 4 2 2 2 12 2 4" xfId="12846"/>
    <cellStyle name="쉼표 [0] 4 2 2 2 12 2 4 2" xfId="38198"/>
    <cellStyle name="쉼표 [0] 4 2 2 2 12 2 5" xfId="25526"/>
    <cellStyle name="쉼표 [0] 4 2 2 2 12 3" xfId="3268"/>
    <cellStyle name="쉼표 [0] 4 2 2 2 12 3 2" xfId="9604"/>
    <cellStyle name="쉼표 [0] 4 2 2 2 12 3 2 2" xfId="22278"/>
    <cellStyle name="쉼표 [0] 4 2 2 2 12 3 2 2 2" xfId="47630"/>
    <cellStyle name="쉼표 [0] 4 2 2 2 12 3 2 3" xfId="34958"/>
    <cellStyle name="쉼표 [0] 4 2 2 2 12 3 3" xfId="15942"/>
    <cellStyle name="쉼표 [0] 4 2 2 2 12 3 3 2" xfId="41294"/>
    <cellStyle name="쉼표 [0] 4 2 2 2 12 3 4" xfId="28622"/>
    <cellStyle name="쉼표 [0] 4 2 2 2 12 4" xfId="6507"/>
    <cellStyle name="쉼표 [0] 4 2 2 2 12 4 2" xfId="19181"/>
    <cellStyle name="쉼표 [0] 4 2 2 2 12 4 2 2" xfId="44533"/>
    <cellStyle name="쉼표 [0] 4 2 2 2 12 4 3" xfId="31861"/>
    <cellStyle name="쉼표 [0] 4 2 2 2 12 5" xfId="12845"/>
    <cellStyle name="쉼표 [0] 4 2 2 2 12 5 2" xfId="38197"/>
    <cellStyle name="쉼표 [0] 4 2 2 2 12 6" xfId="25525"/>
    <cellStyle name="쉼표 [0] 4 2 2 2 13" xfId="172"/>
    <cellStyle name="쉼표 [0] 4 2 2 2 13 2" xfId="173"/>
    <cellStyle name="쉼표 [0] 4 2 2 2 13 2 2" xfId="3269"/>
    <cellStyle name="쉼표 [0] 4 2 2 2 13 2 2 2" xfId="9605"/>
    <cellStyle name="쉼표 [0] 4 2 2 2 13 2 2 2 2" xfId="22279"/>
    <cellStyle name="쉼표 [0] 4 2 2 2 13 2 2 2 2 2" xfId="47631"/>
    <cellStyle name="쉼표 [0] 4 2 2 2 13 2 2 2 3" xfId="34959"/>
    <cellStyle name="쉼표 [0] 4 2 2 2 13 2 2 3" xfId="15943"/>
    <cellStyle name="쉼표 [0] 4 2 2 2 13 2 2 3 2" xfId="41295"/>
    <cellStyle name="쉼표 [0] 4 2 2 2 13 2 2 4" xfId="28623"/>
    <cellStyle name="쉼표 [0] 4 2 2 2 13 2 3" xfId="6510"/>
    <cellStyle name="쉼표 [0] 4 2 2 2 13 2 3 2" xfId="19184"/>
    <cellStyle name="쉼표 [0] 4 2 2 2 13 2 3 2 2" xfId="44536"/>
    <cellStyle name="쉼표 [0] 4 2 2 2 13 2 3 3" xfId="31864"/>
    <cellStyle name="쉼표 [0] 4 2 2 2 13 2 4" xfId="12848"/>
    <cellStyle name="쉼표 [0] 4 2 2 2 13 2 4 2" xfId="38200"/>
    <cellStyle name="쉼표 [0] 4 2 2 2 13 2 5" xfId="25528"/>
    <cellStyle name="쉼표 [0] 4 2 2 2 13 3" xfId="3270"/>
    <cellStyle name="쉼표 [0] 4 2 2 2 13 3 2" xfId="9606"/>
    <cellStyle name="쉼표 [0] 4 2 2 2 13 3 2 2" xfId="22280"/>
    <cellStyle name="쉼표 [0] 4 2 2 2 13 3 2 2 2" xfId="47632"/>
    <cellStyle name="쉼표 [0] 4 2 2 2 13 3 2 3" xfId="34960"/>
    <cellStyle name="쉼표 [0] 4 2 2 2 13 3 3" xfId="15944"/>
    <cellStyle name="쉼표 [0] 4 2 2 2 13 3 3 2" xfId="41296"/>
    <cellStyle name="쉼표 [0] 4 2 2 2 13 3 4" xfId="28624"/>
    <cellStyle name="쉼표 [0] 4 2 2 2 13 4" xfId="6509"/>
    <cellStyle name="쉼표 [0] 4 2 2 2 13 4 2" xfId="19183"/>
    <cellStyle name="쉼표 [0] 4 2 2 2 13 4 2 2" xfId="44535"/>
    <cellStyle name="쉼표 [0] 4 2 2 2 13 4 3" xfId="31863"/>
    <cellStyle name="쉼표 [0] 4 2 2 2 13 5" xfId="12847"/>
    <cellStyle name="쉼표 [0] 4 2 2 2 13 5 2" xfId="38199"/>
    <cellStyle name="쉼표 [0] 4 2 2 2 13 6" xfId="25527"/>
    <cellStyle name="쉼표 [0] 4 2 2 2 14" xfId="174"/>
    <cellStyle name="쉼표 [0] 4 2 2 2 14 2" xfId="175"/>
    <cellStyle name="쉼표 [0] 4 2 2 2 14 2 2" xfId="3271"/>
    <cellStyle name="쉼표 [0] 4 2 2 2 14 2 2 2" xfId="9607"/>
    <cellStyle name="쉼표 [0] 4 2 2 2 14 2 2 2 2" xfId="22281"/>
    <cellStyle name="쉼표 [0] 4 2 2 2 14 2 2 2 2 2" xfId="47633"/>
    <cellStyle name="쉼표 [0] 4 2 2 2 14 2 2 2 3" xfId="34961"/>
    <cellStyle name="쉼표 [0] 4 2 2 2 14 2 2 3" xfId="15945"/>
    <cellStyle name="쉼표 [0] 4 2 2 2 14 2 2 3 2" xfId="41297"/>
    <cellStyle name="쉼표 [0] 4 2 2 2 14 2 2 4" xfId="28625"/>
    <cellStyle name="쉼표 [0] 4 2 2 2 14 2 3" xfId="6512"/>
    <cellStyle name="쉼표 [0] 4 2 2 2 14 2 3 2" xfId="19186"/>
    <cellStyle name="쉼표 [0] 4 2 2 2 14 2 3 2 2" xfId="44538"/>
    <cellStyle name="쉼표 [0] 4 2 2 2 14 2 3 3" xfId="31866"/>
    <cellStyle name="쉼표 [0] 4 2 2 2 14 2 4" xfId="12850"/>
    <cellStyle name="쉼표 [0] 4 2 2 2 14 2 4 2" xfId="38202"/>
    <cellStyle name="쉼표 [0] 4 2 2 2 14 2 5" xfId="25530"/>
    <cellStyle name="쉼표 [0] 4 2 2 2 14 3" xfId="3272"/>
    <cellStyle name="쉼표 [0] 4 2 2 2 14 3 2" xfId="9608"/>
    <cellStyle name="쉼표 [0] 4 2 2 2 14 3 2 2" xfId="22282"/>
    <cellStyle name="쉼표 [0] 4 2 2 2 14 3 2 2 2" xfId="47634"/>
    <cellStyle name="쉼표 [0] 4 2 2 2 14 3 2 3" xfId="34962"/>
    <cellStyle name="쉼표 [0] 4 2 2 2 14 3 3" xfId="15946"/>
    <cellStyle name="쉼표 [0] 4 2 2 2 14 3 3 2" xfId="41298"/>
    <cellStyle name="쉼표 [0] 4 2 2 2 14 3 4" xfId="28626"/>
    <cellStyle name="쉼표 [0] 4 2 2 2 14 4" xfId="6511"/>
    <cellStyle name="쉼표 [0] 4 2 2 2 14 4 2" xfId="19185"/>
    <cellStyle name="쉼표 [0] 4 2 2 2 14 4 2 2" xfId="44537"/>
    <cellStyle name="쉼표 [0] 4 2 2 2 14 4 3" xfId="31865"/>
    <cellStyle name="쉼표 [0] 4 2 2 2 14 5" xfId="12849"/>
    <cellStyle name="쉼표 [0] 4 2 2 2 14 5 2" xfId="38201"/>
    <cellStyle name="쉼표 [0] 4 2 2 2 14 6" xfId="25529"/>
    <cellStyle name="쉼표 [0] 4 2 2 2 15" xfId="176"/>
    <cellStyle name="쉼표 [0] 4 2 2 2 15 2" xfId="177"/>
    <cellStyle name="쉼표 [0] 4 2 2 2 15 2 2" xfId="3273"/>
    <cellStyle name="쉼표 [0] 4 2 2 2 15 2 2 2" xfId="9609"/>
    <cellStyle name="쉼표 [0] 4 2 2 2 15 2 2 2 2" xfId="22283"/>
    <cellStyle name="쉼표 [0] 4 2 2 2 15 2 2 2 2 2" xfId="47635"/>
    <cellStyle name="쉼표 [0] 4 2 2 2 15 2 2 2 3" xfId="34963"/>
    <cellStyle name="쉼표 [0] 4 2 2 2 15 2 2 3" xfId="15947"/>
    <cellStyle name="쉼표 [0] 4 2 2 2 15 2 2 3 2" xfId="41299"/>
    <cellStyle name="쉼표 [0] 4 2 2 2 15 2 2 4" xfId="28627"/>
    <cellStyle name="쉼표 [0] 4 2 2 2 15 2 3" xfId="6514"/>
    <cellStyle name="쉼표 [0] 4 2 2 2 15 2 3 2" xfId="19188"/>
    <cellStyle name="쉼표 [0] 4 2 2 2 15 2 3 2 2" xfId="44540"/>
    <cellStyle name="쉼표 [0] 4 2 2 2 15 2 3 3" xfId="31868"/>
    <cellStyle name="쉼표 [0] 4 2 2 2 15 2 4" xfId="12852"/>
    <cellStyle name="쉼표 [0] 4 2 2 2 15 2 4 2" xfId="38204"/>
    <cellStyle name="쉼표 [0] 4 2 2 2 15 2 5" xfId="25532"/>
    <cellStyle name="쉼표 [0] 4 2 2 2 15 3" xfId="3274"/>
    <cellStyle name="쉼표 [0] 4 2 2 2 15 3 2" xfId="9610"/>
    <cellStyle name="쉼표 [0] 4 2 2 2 15 3 2 2" xfId="22284"/>
    <cellStyle name="쉼표 [0] 4 2 2 2 15 3 2 2 2" xfId="47636"/>
    <cellStyle name="쉼표 [0] 4 2 2 2 15 3 2 3" xfId="34964"/>
    <cellStyle name="쉼표 [0] 4 2 2 2 15 3 3" xfId="15948"/>
    <cellStyle name="쉼표 [0] 4 2 2 2 15 3 3 2" xfId="41300"/>
    <cellStyle name="쉼표 [0] 4 2 2 2 15 3 4" xfId="28628"/>
    <cellStyle name="쉼표 [0] 4 2 2 2 15 4" xfId="6513"/>
    <cellStyle name="쉼표 [0] 4 2 2 2 15 4 2" xfId="19187"/>
    <cellStyle name="쉼표 [0] 4 2 2 2 15 4 2 2" xfId="44539"/>
    <cellStyle name="쉼표 [0] 4 2 2 2 15 4 3" xfId="31867"/>
    <cellStyle name="쉼표 [0] 4 2 2 2 15 5" xfId="12851"/>
    <cellStyle name="쉼표 [0] 4 2 2 2 15 5 2" xfId="38203"/>
    <cellStyle name="쉼표 [0] 4 2 2 2 15 6" xfId="25531"/>
    <cellStyle name="쉼표 [0] 4 2 2 2 16" xfId="178"/>
    <cellStyle name="쉼표 [0] 4 2 2 2 16 2" xfId="179"/>
    <cellStyle name="쉼표 [0] 4 2 2 2 16 2 2" xfId="3275"/>
    <cellStyle name="쉼표 [0] 4 2 2 2 16 2 2 2" xfId="9611"/>
    <cellStyle name="쉼표 [0] 4 2 2 2 16 2 2 2 2" xfId="22285"/>
    <cellStyle name="쉼표 [0] 4 2 2 2 16 2 2 2 2 2" xfId="47637"/>
    <cellStyle name="쉼표 [0] 4 2 2 2 16 2 2 2 3" xfId="34965"/>
    <cellStyle name="쉼표 [0] 4 2 2 2 16 2 2 3" xfId="15949"/>
    <cellStyle name="쉼표 [0] 4 2 2 2 16 2 2 3 2" xfId="41301"/>
    <cellStyle name="쉼표 [0] 4 2 2 2 16 2 2 4" xfId="28629"/>
    <cellStyle name="쉼표 [0] 4 2 2 2 16 2 3" xfId="6516"/>
    <cellStyle name="쉼표 [0] 4 2 2 2 16 2 3 2" xfId="19190"/>
    <cellStyle name="쉼표 [0] 4 2 2 2 16 2 3 2 2" xfId="44542"/>
    <cellStyle name="쉼표 [0] 4 2 2 2 16 2 3 3" xfId="31870"/>
    <cellStyle name="쉼표 [0] 4 2 2 2 16 2 4" xfId="12854"/>
    <cellStyle name="쉼표 [0] 4 2 2 2 16 2 4 2" xfId="38206"/>
    <cellStyle name="쉼표 [0] 4 2 2 2 16 2 5" xfId="25534"/>
    <cellStyle name="쉼표 [0] 4 2 2 2 16 3" xfId="3276"/>
    <cellStyle name="쉼표 [0] 4 2 2 2 16 3 2" xfId="9612"/>
    <cellStyle name="쉼표 [0] 4 2 2 2 16 3 2 2" xfId="22286"/>
    <cellStyle name="쉼표 [0] 4 2 2 2 16 3 2 2 2" xfId="47638"/>
    <cellStyle name="쉼표 [0] 4 2 2 2 16 3 2 3" xfId="34966"/>
    <cellStyle name="쉼표 [0] 4 2 2 2 16 3 3" xfId="15950"/>
    <cellStyle name="쉼표 [0] 4 2 2 2 16 3 3 2" xfId="41302"/>
    <cellStyle name="쉼표 [0] 4 2 2 2 16 3 4" xfId="28630"/>
    <cellStyle name="쉼표 [0] 4 2 2 2 16 4" xfId="6515"/>
    <cellStyle name="쉼표 [0] 4 2 2 2 16 4 2" xfId="19189"/>
    <cellStyle name="쉼표 [0] 4 2 2 2 16 4 2 2" xfId="44541"/>
    <cellStyle name="쉼표 [0] 4 2 2 2 16 4 3" xfId="31869"/>
    <cellStyle name="쉼표 [0] 4 2 2 2 16 5" xfId="12853"/>
    <cellStyle name="쉼표 [0] 4 2 2 2 16 5 2" xfId="38205"/>
    <cellStyle name="쉼표 [0] 4 2 2 2 16 6" xfId="25533"/>
    <cellStyle name="쉼표 [0] 4 2 2 2 17" xfId="180"/>
    <cellStyle name="쉼표 [0] 4 2 2 2 17 2" xfId="181"/>
    <cellStyle name="쉼표 [0] 4 2 2 2 17 2 2" xfId="3277"/>
    <cellStyle name="쉼표 [0] 4 2 2 2 17 2 2 2" xfId="9613"/>
    <cellStyle name="쉼표 [0] 4 2 2 2 17 2 2 2 2" xfId="22287"/>
    <cellStyle name="쉼표 [0] 4 2 2 2 17 2 2 2 2 2" xfId="47639"/>
    <cellStyle name="쉼표 [0] 4 2 2 2 17 2 2 2 3" xfId="34967"/>
    <cellStyle name="쉼표 [0] 4 2 2 2 17 2 2 3" xfId="15951"/>
    <cellStyle name="쉼표 [0] 4 2 2 2 17 2 2 3 2" xfId="41303"/>
    <cellStyle name="쉼표 [0] 4 2 2 2 17 2 2 4" xfId="28631"/>
    <cellStyle name="쉼표 [0] 4 2 2 2 17 2 3" xfId="6518"/>
    <cellStyle name="쉼표 [0] 4 2 2 2 17 2 3 2" xfId="19192"/>
    <cellStyle name="쉼표 [0] 4 2 2 2 17 2 3 2 2" xfId="44544"/>
    <cellStyle name="쉼표 [0] 4 2 2 2 17 2 3 3" xfId="31872"/>
    <cellStyle name="쉼표 [0] 4 2 2 2 17 2 4" xfId="12856"/>
    <cellStyle name="쉼표 [0] 4 2 2 2 17 2 4 2" xfId="38208"/>
    <cellStyle name="쉼표 [0] 4 2 2 2 17 2 5" xfId="25536"/>
    <cellStyle name="쉼표 [0] 4 2 2 2 17 3" xfId="3278"/>
    <cellStyle name="쉼표 [0] 4 2 2 2 17 3 2" xfId="9614"/>
    <cellStyle name="쉼표 [0] 4 2 2 2 17 3 2 2" xfId="22288"/>
    <cellStyle name="쉼표 [0] 4 2 2 2 17 3 2 2 2" xfId="47640"/>
    <cellStyle name="쉼표 [0] 4 2 2 2 17 3 2 3" xfId="34968"/>
    <cellStyle name="쉼표 [0] 4 2 2 2 17 3 3" xfId="15952"/>
    <cellStyle name="쉼표 [0] 4 2 2 2 17 3 3 2" xfId="41304"/>
    <cellStyle name="쉼표 [0] 4 2 2 2 17 3 4" xfId="28632"/>
    <cellStyle name="쉼표 [0] 4 2 2 2 17 4" xfId="6517"/>
    <cellStyle name="쉼표 [0] 4 2 2 2 17 4 2" xfId="19191"/>
    <cellStyle name="쉼표 [0] 4 2 2 2 17 4 2 2" xfId="44543"/>
    <cellStyle name="쉼표 [0] 4 2 2 2 17 4 3" xfId="31871"/>
    <cellStyle name="쉼표 [0] 4 2 2 2 17 5" xfId="12855"/>
    <cellStyle name="쉼표 [0] 4 2 2 2 17 5 2" xfId="38207"/>
    <cellStyle name="쉼표 [0] 4 2 2 2 17 6" xfId="25535"/>
    <cellStyle name="쉼표 [0] 4 2 2 2 18" xfId="182"/>
    <cellStyle name="쉼표 [0] 4 2 2 2 18 2" xfId="183"/>
    <cellStyle name="쉼표 [0] 4 2 2 2 18 2 2" xfId="3279"/>
    <cellStyle name="쉼표 [0] 4 2 2 2 18 2 2 2" xfId="9615"/>
    <cellStyle name="쉼표 [0] 4 2 2 2 18 2 2 2 2" xfId="22289"/>
    <cellStyle name="쉼표 [0] 4 2 2 2 18 2 2 2 2 2" xfId="47641"/>
    <cellStyle name="쉼표 [0] 4 2 2 2 18 2 2 2 3" xfId="34969"/>
    <cellStyle name="쉼표 [0] 4 2 2 2 18 2 2 3" xfId="15953"/>
    <cellStyle name="쉼표 [0] 4 2 2 2 18 2 2 3 2" xfId="41305"/>
    <cellStyle name="쉼표 [0] 4 2 2 2 18 2 2 4" xfId="28633"/>
    <cellStyle name="쉼표 [0] 4 2 2 2 18 2 3" xfId="6520"/>
    <cellStyle name="쉼표 [0] 4 2 2 2 18 2 3 2" xfId="19194"/>
    <cellStyle name="쉼표 [0] 4 2 2 2 18 2 3 2 2" xfId="44546"/>
    <cellStyle name="쉼표 [0] 4 2 2 2 18 2 3 3" xfId="31874"/>
    <cellStyle name="쉼표 [0] 4 2 2 2 18 2 4" xfId="12858"/>
    <cellStyle name="쉼표 [0] 4 2 2 2 18 2 4 2" xfId="38210"/>
    <cellStyle name="쉼표 [0] 4 2 2 2 18 2 5" xfId="25538"/>
    <cellStyle name="쉼표 [0] 4 2 2 2 18 3" xfId="3280"/>
    <cellStyle name="쉼표 [0] 4 2 2 2 18 3 2" xfId="9616"/>
    <cellStyle name="쉼표 [0] 4 2 2 2 18 3 2 2" xfId="22290"/>
    <cellStyle name="쉼표 [0] 4 2 2 2 18 3 2 2 2" xfId="47642"/>
    <cellStyle name="쉼표 [0] 4 2 2 2 18 3 2 3" xfId="34970"/>
    <cellStyle name="쉼표 [0] 4 2 2 2 18 3 3" xfId="15954"/>
    <cellStyle name="쉼표 [0] 4 2 2 2 18 3 3 2" xfId="41306"/>
    <cellStyle name="쉼표 [0] 4 2 2 2 18 3 4" xfId="28634"/>
    <cellStyle name="쉼표 [0] 4 2 2 2 18 4" xfId="6519"/>
    <cellStyle name="쉼표 [0] 4 2 2 2 18 4 2" xfId="19193"/>
    <cellStyle name="쉼표 [0] 4 2 2 2 18 4 2 2" xfId="44545"/>
    <cellStyle name="쉼표 [0] 4 2 2 2 18 4 3" xfId="31873"/>
    <cellStyle name="쉼표 [0] 4 2 2 2 18 5" xfId="12857"/>
    <cellStyle name="쉼표 [0] 4 2 2 2 18 5 2" xfId="38209"/>
    <cellStyle name="쉼표 [0] 4 2 2 2 18 6" xfId="25537"/>
    <cellStyle name="쉼표 [0] 4 2 2 2 19" xfId="184"/>
    <cellStyle name="쉼표 [0] 4 2 2 2 19 2" xfId="185"/>
    <cellStyle name="쉼표 [0] 4 2 2 2 19 2 2" xfId="3281"/>
    <cellStyle name="쉼표 [0] 4 2 2 2 19 2 2 2" xfId="9617"/>
    <cellStyle name="쉼표 [0] 4 2 2 2 19 2 2 2 2" xfId="22291"/>
    <cellStyle name="쉼표 [0] 4 2 2 2 19 2 2 2 2 2" xfId="47643"/>
    <cellStyle name="쉼표 [0] 4 2 2 2 19 2 2 2 3" xfId="34971"/>
    <cellStyle name="쉼표 [0] 4 2 2 2 19 2 2 3" xfId="15955"/>
    <cellStyle name="쉼표 [0] 4 2 2 2 19 2 2 3 2" xfId="41307"/>
    <cellStyle name="쉼표 [0] 4 2 2 2 19 2 2 4" xfId="28635"/>
    <cellStyle name="쉼표 [0] 4 2 2 2 19 2 3" xfId="6522"/>
    <cellStyle name="쉼표 [0] 4 2 2 2 19 2 3 2" xfId="19196"/>
    <cellStyle name="쉼표 [0] 4 2 2 2 19 2 3 2 2" xfId="44548"/>
    <cellStyle name="쉼표 [0] 4 2 2 2 19 2 3 3" xfId="31876"/>
    <cellStyle name="쉼표 [0] 4 2 2 2 19 2 4" xfId="12860"/>
    <cellStyle name="쉼표 [0] 4 2 2 2 19 2 4 2" xfId="38212"/>
    <cellStyle name="쉼표 [0] 4 2 2 2 19 2 5" xfId="25540"/>
    <cellStyle name="쉼표 [0] 4 2 2 2 19 3" xfId="3282"/>
    <cellStyle name="쉼표 [0] 4 2 2 2 19 3 2" xfId="9618"/>
    <cellStyle name="쉼표 [0] 4 2 2 2 19 3 2 2" xfId="22292"/>
    <cellStyle name="쉼표 [0] 4 2 2 2 19 3 2 2 2" xfId="47644"/>
    <cellStyle name="쉼표 [0] 4 2 2 2 19 3 2 3" xfId="34972"/>
    <cellStyle name="쉼표 [0] 4 2 2 2 19 3 3" xfId="15956"/>
    <cellStyle name="쉼표 [0] 4 2 2 2 19 3 3 2" xfId="41308"/>
    <cellStyle name="쉼표 [0] 4 2 2 2 19 3 4" xfId="28636"/>
    <cellStyle name="쉼표 [0] 4 2 2 2 19 4" xfId="6521"/>
    <cellStyle name="쉼표 [0] 4 2 2 2 19 4 2" xfId="19195"/>
    <cellStyle name="쉼표 [0] 4 2 2 2 19 4 2 2" xfId="44547"/>
    <cellStyle name="쉼표 [0] 4 2 2 2 19 4 3" xfId="31875"/>
    <cellStyle name="쉼표 [0] 4 2 2 2 19 5" xfId="12859"/>
    <cellStyle name="쉼표 [0] 4 2 2 2 19 5 2" xfId="38211"/>
    <cellStyle name="쉼표 [0] 4 2 2 2 19 6" xfId="25539"/>
    <cellStyle name="쉼표 [0] 4 2 2 2 2" xfId="57"/>
    <cellStyle name="쉼표 [0] 4 2 2 2 2 10" xfId="186"/>
    <cellStyle name="쉼표 [0] 4 2 2 2 2 10 2" xfId="187"/>
    <cellStyle name="쉼표 [0] 4 2 2 2 2 10 2 2" xfId="3283"/>
    <cellStyle name="쉼표 [0] 4 2 2 2 2 10 2 2 2" xfId="9619"/>
    <cellStyle name="쉼표 [0] 4 2 2 2 2 10 2 2 2 2" xfId="22293"/>
    <cellStyle name="쉼표 [0] 4 2 2 2 2 10 2 2 2 2 2" xfId="47645"/>
    <cellStyle name="쉼표 [0] 4 2 2 2 2 10 2 2 2 3" xfId="34973"/>
    <cellStyle name="쉼표 [0] 4 2 2 2 2 10 2 2 3" xfId="15957"/>
    <cellStyle name="쉼표 [0] 4 2 2 2 2 10 2 2 3 2" xfId="41309"/>
    <cellStyle name="쉼표 [0] 4 2 2 2 2 10 2 2 4" xfId="28637"/>
    <cellStyle name="쉼표 [0] 4 2 2 2 2 10 2 3" xfId="6524"/>
    <cellStyle name="쉼표 [0] 4 2 2 2 2 10 2 3 2" xfId="19198"/>
    <cellStyle name="쉼표 [0] 4 2 2 2 2 10 2 3 2 2" xfId="44550"/>
    <cellStyle name="쉼표 [0] 4 2 2 2 2 10 2 3 3" xfId="31878"/>
    <cellStyle name="쉼표 [0] 4 2 2 2 2 10 2 4" xfId="12862"/>
    <cellStyle name="쉼표 [0] 4 2 2 2 2 10 2 4 2" xfId="38214"/>
    <cellStyle name="쉼표 [0] 4 2 2 2 2 10 2 5" xfId="25542"/>
    <cellStyle name="쉼표 [0] 4 2 2 2 2 10 3" xfId="3284"/>
    <cellStyle name="쉼표 [0] 4 2 2 2 2 10 3 2" xfId="9620"/>
    <cellStyle name="쉼표 [0] 4 2 2 2 2 10 3 2 2" xfId="22294"/>
    <cellStyle name="쉼표 [0] 4 2 2 2 2 10 3 2 2 2" xfId="47646"/>
    <cellStyle name="쉼표 [0] 4 2 2 2 2 10 3 2 3" xfId="34974"/>
    <cellStyle name="쉼표 [0] 4 2 2 2 2 10 3 3" xfId="15958"/>
    <cellStyle name="쉼표 [0] 4 2 2 2 2 10 3 3 2" xfId="41310"/>
    <cellStyle name="쉼표 [0] 4 2 2 2 2 10 3 4" xfId="28638"/>
    <cellStyle name="쉼표 [0] 4 2 2 2 2 10 4" xfId="6523"/>
    <cellStyle name="쉼표 [0] 4 2 2 2 2 10 4 2" xfId="19197"/>
    <cellStyle name="쉼표 [0] 4 2 2 2 2 10 4 2 2" xfId="44549"/>
    <cellStyle name="쉼표 [0] 4 2 2 2 2 10 4 3" xfId="31877"/>
    <cellStyle name="쉼표 [0] 4 2 2 2 2 10 5" xfId="12861"/>
    <cellStyle name="쉼표 [0] 4 2 2 2 2 10 5 2" xfId="38213"/>
    <cellStyle name="쉼표 [0] 4 2 2 2 2 10 6" xfId="25541"/>
    <cellStyle name="쉼표 [0] 4 2 2 2 2 11" xfId="188"/>
    <cellStyle name="쉼표 [0] 4 2 2 2 2 11 2" xfId="189"/>
    <cellStyle name="쉼표 [0] 4 2 2 2 2 11 2 2" xfId="3285"/>
    <cellStyle name="쉼표 [0] 4 2 2 2 2 11 2 2 2" xfId="9621"/>
    <cellStyle name="쉼표 [0] 4 2 2 2 2 11 2 2 2 2" xfId="22295"/>
    <cellStyle name="쉼표 [0] 4 2 2 2 2 11 2 2 2 2 2" xfId="47647"/>
    <cellStyle name="쉼표 [0] 4 2 2 2 2 11 2 2 2 3" xfId="34975"/>
    <cellStyle name="쉼표 [0] 4 2 2 2 2 11 2 2 3" xfId="15959"/>
    <cellStyle name="쉼표 [0] 4 2 2 2 2 11 2 2 3 2" xfId="41311"/>
    <cellStyle name="쉼표 [0] 4 2 2 2 2 11 2 2 4" xfId="28639"/>
    <cellStyle name="쉼표 [0] 4 2 2 2 2 11 2 3" xfId="6526"/>
    <cellStyle name="쉼표 [0] 4 2 2 2 2 11 2 3 2" xfId="19200"/>
    <cellStyle name="쉼표 [0] 4 2 2 2 2 11 2 3 2 2" xfId="44552"/>
    <cellStyle name="쉼표 [0] 4 2 2 2 2 11 2 3 3" xfId="31880"/>
    <cellStyle name="쉼표 [0] 4 2 2 2 2 11 2 4" xfId="12864"/>
    <cellStyle name="쉼표 [0] 4 2 2 2 2 11 2 4 2" xfId="38216"/>
    <cellStyle name="쉼표 [0] 4 2 2 2 2 11 2 5" xfId="25544"/>
    <cellStyle name="쉼표 [0] 4 2 2 2 2 11 3" xfId="3286"/>
    <cellStyle name="쉼표 [0] 4 2 2 2 2 11 3 2" xfId="9622"/>
    <cellStyle name="쉼표 [0] 4 2 2 2 2 11 3 2 2" xfId="22296"/>
    <cellStyle name="쉼표 [0] 4 2 2 2 2 11 3 2 2 2" xfId="47648"/>
    <cellStyle name="쉼표 [0] 4 2 2 2 2 11 3 2 3" xfId="34976"/>
    <cellStyle name="쉼표 [0] 4 2 2 2 2 11 3 3" xfId="15960"/>
    <cellStyle name="쉼표 [0] 4 2 2 2 2 11 3 3 2" xfId="41312"/>
    <cellStyle name="쉼표 [0] 4 2 2 2 2 11 3 4" xfId="28640"/>
    <cellStyle name="쉼표 [0] 4 2 2 2 2 11 4" xfId="6525"/>
    <cellStyle name="쉼표 [0] 4 2 2 2 2 11 4 2" xfId="19199"/>
    <cellStyle name="쉼표 [0] 4 2 2 2 2 11 4 2 2" xfId="44551"/>
    <cellStyle name="쉼표 [0] 4 2 2 2 2 11 4 3" xfId="31879"/>
    <cellStyle name="쉼표 [0] 4 2 2 2 2 11 5" xfId="12863"/>
    <cellStyle name="쉼표 [0] 4 2 2 2 2 11 5 2" xfId="38215"/>
    <cellStyle name="쉼표 [0] 4 2 2 2 2 11 6" xfId="25543"/>
    <cellStyle name="쉼표 [0] 4 2 2 2 2 12" xfId="190"/>
    <cellStyle name="쉼표 [0] 4 2 2 2 2 12 2" xfId="191"/>
    <cellStyle name="쉼표 [0] 4 2 2 2 2 12 2 2" xfId="3287"/>
    <cellStyle name="쉼표 [0] 4 2 2 2 2 12 2 2 2" xfId="9623"/>
    <cellStyle name="쉼표 [0] 4 2 2 2 2 12 2 2 2 2" xfId="22297"/>
    <cellStyle name="쉼표 [0] 4 2 2 2 2 12 2 2 2 2 2" xfId="47649"/>
    <cellStyle name="쉼표 [0] 4 2 2 2 2 12 2 2 2 3" xfId="34977"/>
    <cellStyle name="쉼표 [0] 4 2 2 2 2 12 2 2 3" xfId="15961"/>
    <cellStyle name="쉼표 [0] 4 2 2 2 2 12 2 2 3 2" xfId="41313"/>
    <cellStyle name="쉼표 [0] 4 2 2 2 2 12 2 2 4" xfId="28641"/>
    <cellStyle name="쉼표 [0] 4 2 2 2 2 12 2 3" xfId="6528"/>
    <cellStyle name="쉼표 [0] 4 2 2 2 2 12 2 3 2" xfId="19202"/>
    <cellStyle name="쉼표 [0] 4 2 2 2 2 12 2 3 2 2" xfId="44554"/>
    <cellStyle name="쉼표 [0] 4 2 2 2 2 12 2 3 3" xfId="31882"/>
    <cellStyle name="쉼표 [0] 4 2 2 2 2 12 2 4" xfId="12866"/>
    <cellStyle name="쉼표 [0] 4 2 2 2 2 12 2 4 2" xfId="38218"/>
    <cellStyle name="쉼표 [0] 4 2 2 2 2 12 2 5" xfId="25546"/>
    <cellStyle name="쉼표 [0] 4 2 2 2 2 12 3" xfId="3288"/>
    <cellStyle name="쉼표 [0] 4 2 2 2 2 12 3 2" xfId="9624"/>
    <cellStyle name="쉼표 [0] 4 2 2 2 2 12 3 2 2" xfId="22298"/>
    <cellStyle name="쉼표 [0] 4 2 2 2 2 12 3 2 2 2" xfId="47650"/>
    <cellStyle name="쉼표 [0] 4 2 2 2 2 12 3 2 3" xfId="34978"/>
    <cellStyle name="쉼표 [0] 4 2 2 2 2 12 3 3" xfId="15962"/>
    <cellStyle name="쉼표 [0] 4 2 2 2 2 12 3 3 2" xfId="41314"/>
    <cellStyle name="쉼표 [0] 4 2 2 2 2 12 3 4" xfId="28642"/>
    <cellStyle name="쉼표 [0] 4 2 2 2 2 12 4" xfId="6527"/>
    <cellStyle name="쉼표 [0] 4 2 2 2 2 12 4 2" xfId="19201"/>
    <cellStyle name="쉼표 [0] 4 2 2 2 2 12 4 2 2" xfId="44553"/>
    <cellStyle name="쉼표 [0] 4 2 2 2 2 12 4 3" xfId="31881"/>
    <cellStyle name="쉼표 [0] 4 2 2 2 2 12 5" xfId="12865"/>
    <cellStyle name="쉼표 [0] 4 2 2 2 2 12 5 2" xfId="38217"/>
    <cellStyle name="쉼표 [0] 4 2 2 2 2 12 6" xfId="25545"/>
    <cellStyle name="쉼표 [0] 4 2 2 2 2 13" xfId="192"/>
    <cellStyle name="쉼표 [0] 4 2 2 2 2 13 2" xfId="193"/>
    <cellStyle name="쉼표 [0] 4 2 2 2 2 13 2 2" xfId="3289"/>
    <cellStyle name="쉼표 [0] 4 2 2 2 2 13 2 2 2" xfId="9625"/>
    <cellStyle name="쉼표 [0] 4 2 2 2 2 13 2 2 2 2" xfId="22299"/>
    <cellStyle name="쉼표 [0] 4 2 2 2 2 13 2 2 2 2 2" xfId="47651"/>
    <cellStyle name="쉼표 [0] 4 2 2 2 2 13 2 2 2 3" xfId="34979"/>
    <cellStyle name="쉼표 [0] 4 2 2 2 2 13 2 2 3" xfId="15963"/>
    <cellStyle name="쉼표 [0] 4 2 2 2 2 13 2 2 3 2" xfId="41315"/>
    <cellStyle name="쉼표 [0] 4 2 2 2 2 13 2 2 4" xfId="28643"/>
    <cellStyle name="쉼표 [0] 4 2 2 2 2 13 2 3" xfId="6530"/>
    <cellStyle name="쉼표 [0] 4 2 2 2 2 13 2 3 2" xfId="19204"/>
    <cellStyle name="쉼표 [0] 4 2 2 2 2 13 2 3 2 2" xfId="44556"/>
    <cellStyle name="쉼표 [0] 4 2 2 2 2 13 2 3 3" xfId="31884"/>
    <cellStyle name="쉼표 [0] 4 2 2 2 2 13 2 4" xfId="12868"/>
    <cellStyle name="쉼표 [0] 4 2 2 2 2 13 2 4 2" xfId="38220"/>
    <cellStyle name="쉼표 [0] 4 2 2 2 2 13 2 5" xfId="25548"/>
    <cellStyle name="쉼표 [0] 4 2 2 2 2 13 3" xfId="3290"/>
    <cellStyle name="쉼표 [0] 4 2 2 2 2 13 3 2" xfId="9626"/>
    <cellStyle name="쉼표 [0] 4 2 2 2 2 13 3 2 2" xfId="22300"/>
    <cellStyle name="쉼표 [0] 4 2 2 2 2 13 3 2 2 2" xfId="47652"/>
    <cellStyle name="쉼표 [0] 4 2 2 2 2 13 3 2 3" xfId="34980"/>
    <cellStyle name="쉼표 [0] 4 2 2 2 2 13 3 3" xfId="15964"/>
    <cellStyle name="쉼표 [0] 4 2 2 2 2 13 3 3 2" xfId="41316"/>
    <cellStyle name="쉼표 [0] 4 2 2 2 2 13 3 4" xfId="28644"/>
    <cellStyle name="쉼표 [0] 4 2 2 2 2 13 4" xfId="6529"/>
    <cellStyle name="쉼표 [0] 4 2 2 2 2 13 4 2" xfId="19203"/>
    <cellStyle name="쉼표 [0] 4 2 2 2 2 13 4 2 2" xfId="44555"/>
    <cellStyle name="쉼표 [0] 4 2 2 2 2 13 4 3" xfId="31883"/>
    <cellStyle name="쉼표 [0] 4 2 2 2 2 13 5" xfId="12867"/>
    <cellStyle name="쉼표 [0] 4 2 2 2 2 13 5 2" xfId="38219"/>
    <cellStyle name="쉼표 [0] 4 2 2 2 2 13 6" xfId="25547"/>
    <cellStyle name="쉼표 [0] 4 2 2 2 2 14" xfId="194"/>
    <cellStyle name="쉼표 [0] 4 2 2 2 2 14 2" xfId="195"/>
    <cellStyle name="쉼표 [0] 4 2 2 2 2 14 2 2" xfId="3291"/>
    <cellStyle name="쉼표 [0] 4 2 2 2 2 14 2 2 2" xfId="9627"/>
    <cellStyle name="쉼표 [0] 4 2 2 2 2 14 2 2 2 2" xfId="22301"/>
    <cellStyle name="쉼표 [0] 4 2 2 2 2 14 2 2 2 2 2" xfId="47653"/>
    <cellStyle name="쉼표 [0] 4 2 2 2 2 14 2 2 2 3" xfId="34981"/>
    <cellStyle name="쉼표 [0] 4 2 2 2 2 14 2 2 3" xfId="15965"/>
    <cellStyle name="쉼표 [0] 4 2 2 2 2 14 2 2 3 2" xfId="41317"/>
    <cellStyle name="쉼표 [0] 4 2 2 2 2 14 2 2 4" xfId="28645"/>
    <cellStyle name="쉼표 [0] 4 2 2 2 2 14 2 3" xfId="6532"/>
    <cellStyle name="쉼표 [0] 4 2 2 2 2 14 2 3 2" xfId="19206"/>
    <cellStyle name="쉼표 [0] 4 2 2 2 2 14 2 3 2 2" xfId="44558"/>
    <cellStyle name="쉼표 [0] 4 2 2 2 2 14 2 3 3" xfId="31886"/>
    <cellStyle name="쉼표 [0] 4 2 2 2 2 14 2 4" xfId="12870"/>
    <cellStyle name="쉼표 [0] 4 2 2 2 2 14 2 4 2" xfId="38222"/>
    <cellStyle name="쉼표 [0] 4 2 2 2 2 14 2 5" xfId="25550"/>
    <cellStyle name="쉼표 [0] 4 2 2 2 2 14 3" xfId="3292"/>
    <cellStyle name="쉼표 [0] 4 2 2 2 2 14 3 2" xfId="9628"/>
    <cellStyle name="쉼표 [0] 4 2 2 2 2 14 3 2 2" xfId="22302"/>
    <cellStyle name="쉼표 [0] 4 2 2 2 2 14 3 2 2 2" xfId="47654"/>
    <cellStyle name="쉼표 [0] 4 2 2 2 2 14 3 2 3" xfId="34982"/>
    <cellStyle name="쉼표 [0] 4 2 2 2 2 14 3 3" xfId="15966"/>
    <cellStyle name="쉼표 [0] 4 2 2 2 2 14 3 3 2" xfId="41318"/>
    <cellStyle name="쉼표 [0] 4 2 2 2 2 14 3 4" xfId="28646"/>
    <cellStyle name="쉼표 [0] 4 2 2 2 2 14 4" xfId="6531"/>
    <cellStyle name="쉼표 [0] 4 2 2 2 2 14 4 2" xfId="19205"/>
    <cellStyle name="쉼표 [0] 4 2 2 2 2 14 4 2 2" xfId="44557"/>
    <cellStyle name="쉼표 [0] 4 2 2 2 2 14 4 3" xfId="31885"/>
    <cellStyle name="쉼표 [0] 4 2 2 2 2 14 5" xfId="12869"/>
    <cellStyle name="쉼표 [0] 4 2 2 2 2 14 5 2" xfId="38221"/>
    <cellStyle name="쉼표 [0] 4 2 2 2 2 14 6" xfId="25549"/>
    <cellStyle name="쉼표 [0] 4 2 2 2 2 15" xfId="196"/>
    <cellStyle name="쉼표 [0] 4 2 2 2 2 15 2" xfId="197"/>
    <cellStyle name="쉼표 [0] 4 2 2 2 2 15 2 2" xfId="3293"/>
    <cellStyle name="쉼표 [0] 4 2 2 2 2 15 2 2 2" xfId="9629"/>
    <cellStyle name="쉼표 [0] 4 2 2 2 2 15 2 2 2 2" xfId="22303"/>
    <cellStyle name="쉼표 [0] 4 2 2 2 2 15 2 2 2 2 2" xfId="47655"/>
    <cellStyle name="쉼표 [0] 4 2 2 2 2 15 2 2 2 3" xfId="34983"/>
    <cellStyle name="쉼표 [0] 4 2 2 2 2 15 2 2 3" xfId="15967"/>
    <cellStyle name="쉼표 [0] 4 2 2 2 2 15 2 2 3 2" xfId="41319"/>
    <cellStyle name="쉼표 [0] 4 2 2 2 2 15 2 2 4" xfId="28647"/>
    <cellStyle name="쉼표 [0] 4 2 2 2 2 15 2 3" xfId="6534"/>
    <cellStyle name="쉼표 [0] 4 2 2 2 2 15 2 3 2" xfId="19208"/>
    <cellStyle name="쉼표 [0] 4 2 2 2 2 15 2 3 2 2" xfId="44560"/>
    <cellStyle name="쉼표 [0] 4 2 2 2 2 15 2 3 3" xfId="31888"/>
    <cellStyle name="쉼표 [0] 4 2 2 2 2 15 2 4" xfId="12872"/>
    <cellStyle name="쉼표 [0] 4 2 2 2 2 15 2 4 2" xfId="38224"/>
    <cellStyle name="쉼표 [0] 4 2 2 2 2 15 2 5" xfId="25552"/>
    <cellStyle name="쉼표 [0] 4 2 2 2 2 15 3" xfId="3294"/>
    <cellStyle name="쉼표 [0] 4 2 2 2 2 15 3 2" xfId="9630"/>
    <cellStyle name="쉼표 [0] 4 2 2 2 2 15 3 2 2" xfId="22304"/>
    <cellStyle name="쉼표 [0] 4 2 2 2 2 15 3 2 2 2" xfId="47656"/>
    <cellStyle name="쉼표 [0] 4 2 2 2 2 15 3 2 3" xfId="34984"/>
    <cellStyle name="쉼표 [0] 4 2 2 2 2 15 3 3" xfId="15968"/>
    <cellStyle name="쉼표 [0] 4 2 2 2 2 15 3 3 2" xfId="41320"/>
    <cellStyle name="쉼표 [0] 4 2 2 2 2 15 3 4" xfId="28648"/>
    <cellStyle name="쉼표 [0] 4 2 2 2 2 15 4" xfId="6533"/>
    <cellStyle name="쉼표 [0] 4 2 2 2 2 15 4 2" xfId="19207"/>
    <cellStyle name="쉼표 [0] 4 2 2 2 2 15 4 2 2" xfId="44559"/>
    <cellStyle name="쉼표 [0] 4 2 2 2 2 15 4 3" xfId="31887"/>
    <cellStyle name="쉼표 [0] 4 2 2 2 2 15 5" xfId="12871"/>
    <cellStyle name="쉼표 [0] 4 2 2 2 2 15 5 2" xfId="38223"/>
    <cellStyle name="쉼표 [0] 4 2 2 2 2 15 6" xfId="25551"/>
    <cellStyle name="쉼표 [0] 4 2 2 2 2 16" xfId="198"/>
    <cellStyle name="쉼표 [0] 4 2 2 2 2 16 2" xfId="199"/>
    <cellStyle name="쉼표 [0] 4 2 2 2 2 16 2 2" xfId="3295"/>
    <cellStyle name="쉼표 [0] 4 2 2 2 2 16 2 2 2" xfId="9631"/>
    <cellStyle name="쉼표 [0] 4 2 2 2 2 16 2 2 2 2" xfId="22305"/>
    <cellStyle name="쉼표 [0] 4 2 2 2 2 16 2 2 2 2 2" xfId="47657"/>
    <cellStyle name="쉼표 [0] 4 2 2 2 2 16 2 2 2 3" xfId="34985"/>
    <cellStyle name="쉼표 [0] 4 2 2 2 2 16 2 2 3" xfId="15969"/>
    <cellStyle name="쉼표 [0] 4 2 2 2 2 16 2 2 3 2" xfId="41321"/>
    <cellStyle name="쉼표 [0] 4 2 2 2 2 16 2 2 4" xfId="28649"/>
    <cellStyle name="쉼표 [0] 4 2 2 2 2 16 2 3" xfId="6536"/>
    <cellStyle name="쉼표 [0] 4 2 2 2 2 16 2 3 2" xfId="19210"/>
    <cellStyle name="쉼표 [0] 4 2 2 2 2 16 2 3 2 2" xfId="44562"/>
    <cellStyle name="쉼표 [0] 4 2 2 2 2 16 2 3 3" xfId="31890"/>
    <cellStyle name="쉼표 [0] 4 2 2 2 2 16 2 4" xfId="12874"/>
    <cellStyle name="쉼표 [0] 4 2 2 2 2 16 2 4 2" xfId="38226"/>
    <cellStyle name="쉼표 [0] 4 2 2 2 2 16 2 5" xfId="25554"/>
    <cellStyle name="쉼표 [0] 4 2 2 2 2 16 3" xfId="3296"/>
    <cellStyle name="쉼표 [0] 4 2 2 2 2 16 3 2" xfId="9632"/>
    <cellStyle name="쉼표 [0] 4 2 2 2 2 16 3 2 2" xfId="22306"/>
    <cellStyle name="쉼표 [0] 4 2 2 2 2 16 3 2 2 2" xfId="47658"/>
    <cellStyle name="쉼표 [0] 4 2 2 2 2 16 3 2 3" xfId="34986"/>
    <cellStyle name="쉼표 [0] 4 2 2 2 2 16 3 3" xfId="15970"/>
    <cellStyle name="쉼표 [0] 4 2 2 2 2 16 3 3 2" xfId="41322"/>
    <cellStyle name="쉼표 [0] 4 2 2 2 2 16 3 4" xfId="28650"/>
    <cellStyle name="쉼표 [0] 4 2 2 2 2 16 4" xfId="6535"/>
    <cellStyle name="쉼표 [0] 4 2 2 2 2 16 4 2" xfId="19209"/>
    <cellStyle name="쉼표 [0] 4 2 2 2 2 16 4 2 2" xfId="44561"/>
    <cellStyle name="쉼표 [0] 4 2 2 2 2 16 4 3" xfId="31889"/>
    <cellStyle name="쉼표 [0] 4 2 2 2 2 16 5" xfId="12873"/>
    <cellStyle name="쉼표 [0] 4 2 2 2 2 16 5 2" xfId="38225"/>
    <cellStyle name="쉼표 [0] 4 2 2 2 2 16 6" xfId="25553"/>
    <cellStyle name="쉼표 [0] 4 2 2 2 2 17" xfId="200"/>
    <cellStyle name="쉼표 [0] 4 2 2 2 2 17 2" xfId="201"/>
    <cellStyle name="쉼표 [0] 4 2 2 2 2 17 2 2" xfId="3297"/>
    <cellStyle name="쉼표 [0] 4 2 2 2 2 17 2 2 2" xfId="9633"/>
    <cellStyle name="쉼표 [0] 4 2 2 2 2 17 2 2 2 2" xfId="22307"/>
    <cellStyle name="쉼표 [0] 4 2 2 2 2 17 2 2 2 2 2" xfId="47659"/>
    <cellStyle name="쉼표 [0] 4 2 2 2 2 17 2 2 2 3" xfId="34987"/>
    <cellStyle name="쉼표 [0] 4 2 2 2 2 17 2 2 3" xfId="15971"/>
    <cellStyle name="쉼표 [0] 4 2 2 2 2 17 2 2 3 2" xfId="41323"/>
    <cellStyle name="쉼표 [0] 4 2 2 2 2 17 2 2 4" xfId="28651"/>
    <cellStyle name="쉼표 [0] 4 2 2 2 2 17 2 3" xfId="6538"/>
    <cellStyle name="쉼표 [0] 4 2 2 2 2 17 2 3 2" xfId="19212"/>
    <cellStyle name="쉼표 [0] 4 2 2 2 2 17 2 3 2 2" xfId="44564"/>
    <cellStyle name="쉼표 [0] 4 2 2 2 2 17 2 3 3" xfId="31892"/>
    <cellStyle name="쉼표 [0] 4 2 2 2 2 17 2 4" xfId="12876"/>
    <cellStyle name="쉼표 [0] 4 2 2 2 2 17 2 4 2" xfId="38228"/>
    <cellStyle name="쉼표 [0] 4 2 2 2 2 17 2 5" xfId="25556"/>
    <cellStyle name="쉼표 [0] 4 2 2 2 2 17 3" xfId="3298"/>
    <cellStyle name="쉼표 [0] 4 2 2 2 2 17 3 2" xfId="9634"/>
    <cellStyle name="쉼표 [0] 4 2 2 2 2 17 3 2 2" xfId="22308"/>
    <cellStyle name="쉼표 [0] 4 2 2 2 2 17 3 2 2 2" xfId="47660"/>
    <cellStyle name="쉼표 [0] 4 2 2 2 2 17 3 2 3" xfId="34988"/>
    <cellStyle name="쉼표 [0] 4 2 2 2 2 17 3 3" xfId="15972"/>
    <cellStyle name="쉼표 [0] 4 2 2 2 2 17 3 3 2" xfId="41324"/>
    <cellStyle name="쉼표 [0] 4 2 2 2 2 17 3 4" xfId="28652"/>
    <cellStyle name="쉼표 [0] 4 2 2 2 2 17 4" xfId="6537"/>
    <cellStyle name="쉼표 [0] 4 2 2 2 2 17 4 2" xfId="19211"/>
    <cellStyle name="쉼표 [0] 4 2 2 2 2 17 4 2 2" xfId="44563"/>
    <cellStyle name="쉼표 [0] 4 2 2 2 2 17 4 3" xfId="31891"/>
    <cellStyle name="쉼표 [0] 4 2 2 2 2 17 5" xfId="12875"/>
    <cellStyle name="쉼표 [0] 4 2 2 2 2 17 5 2" xfId="38227"/>
    <cellStyle name="쉼표 [0] 4 2 2 2 2 17 6" xfId="25555"/>
    <cellStyle name="쉼표 [0] 4 2 2 2 2 18" xfId="202"/>
    <cellStyle name="쉼표 [0] 4 2 2 2 2 18 2" xfId="203"/>
    <cellStyle name="쉼표 [0] 4 2 2 2 2 18 2 2" xfId="3299"/>
    <cellStyle name="쉼표 [0] 4 2 2 2 2 18 2 2 2" xfId="9635"/>
    <cellStyle name="쉼표 [0] 4 2 2 2 2 18 2 2 2 2" xfId="22309"/>
    <cellStyle name="쉼표 [0] 4 2 2 2 2 18 2 2 2 2 2" xfId="47661"/>
    <cellStyle name="쉼표 [0] 4 2 2 2 2 18 2 2 2 3" xfId="34989"/>
    <cellStyle name="쉼표 [0] 4 2 2 2 2 18 2 2 3" xfId="15973"/>
    <cellStyle name="쉼표 [0] 4 2 2 2 2 18 2 2 3 2" xfId="41325"/>
    <cellStyle name="쉼표 [0] 4 2 2 2 2 18 2 2 4" xfId="28653"/>
    <cellStyle name="쉼표 [0] 4 2 2 2 2 18 2 3" xfId="6540"/>
    <cellStyle name="쉼표 [0] 4 2 2 2 2 18 2 3 2" xfId="19214"/>
    <cellStyle name="쉼표 [0] 4 2 2 2 2 18 2 3 2 2" xfId="44566"/>
    <cellStyle name="쉼표 [0] 4 2 2 2 2 18 2 3 3" xfId="31894"/>
    <cellStyle name="쉼표 [0] 4 2 2 2 2 18 2 4" xfId="12878"/>
    <cellStyle name="쉼표 [0] 4 2 2 2 2 18 2 4 2" xfId="38230"/>
    <cellStyle name="쉼표 [0] 4 2 2 2 2 18 2 5" xfId="25558"/>
    <cellStyle name="쉼표 [0] 4 2 2 2 2 18 3" xfId="3300"/>
    <cellStyle name="쉼표 [0] 4 2 2 2 2 18 3 2" xfId="9636"/>
    <cellStyle name="쉼표 [0] 4 2 2 2 2 18 3 2 2" xfId="22310"/>
    <cellStyle name="쉼표 [0] 4 2 2 2 2 18 3 2 2 2" xfId="47662"/>
    <cellStyle name="쉼표 [0] 4 2 2 2 2 18 3 2 3" xfId="34990"/>
    <cellStyle name="쉼표 [0] 4 2 2 2 2 18 3 3" xfId="15974"/>
    <cellStyle name="쉼표 [0] 4 2 2 2 2 18 3 3 2" xfId="41326"/>
    <cellStyle name="쉼표 [0] 4 2 2 2 2 18 3 4" xfId="28654"/>
    <cellStyle name="쉼표 [0] 4 2 2 2 2 18 4" xfId="6539"/>
    <cellStyle name="쉼표 [0] 4 2 2 2 2 18 4 2" xfId="19213"/>
    <cellStyle name="쉼표 [0] 4 2 2 2 2 18 4 2 2" xfId="44565"/>
    <cellStyle name="쉼표 [0] 4 2 2 2 2 18 4 3" xfId="31893"/>
    <cellStyle name="쉼표 [0] 4 2 2 2 2 18 5" xfId="12877"/>
    <cellStyle name="쉼표 [0] 4 2 2 2 2 18 5 2" xfId="38229"/>
    <cellStyle name="쉼표 [0] 4 2 2 2 2 18 6" xfId="25557"/>
    <cellStyle name="쉼표 [0] 4 2 2 2 2 19" xfId="204"/>
    <cellStyle name="쉼표 [0] 4 2 2 2 2 19 2" xfId="205"/>
    <cellStyle name="쉼표 [0] 4 2 2 2 2 19 2 2" xfId="3301"/>
    <cellStyle name="쉼표 [0] 4 2 2 2 2 19 2 2 2" xfId="9637"/>
    <cellStyle name="쉼표 [0] 4 2 2 2 2 19 2 2 2 2" xfId="22311"/>
    <cellStyle name="쉼표 [0] 4 2 2 2 2 19 2 2 2 2 2" xfId="47663"/>
    <cellStyle name="쉼표 [0] 4 2 2 2 2 19 2 2 2 3" xfId="34991"/>
    <cellStyle name="쉼표 [0] 4 2 2 2 2 19 2 2 3" xfId="15975"/>
    <cellStyle name="쉼표 [0] 4 2 2 2 2 19 2 2 3 2" xfId="41327"/>
    <cellStyle name="쉼표 [0] 4 2 2 2 2 19 2 2 4" xfId="28655"/>
    <cellStyle name="쉼표 [0] 4 2 2 2 2 19 2 3" xfId="6542"/>
    <cellStyle name="쉼표 [0] 4 2 2 2 2 19 2 3 2" xfId="19216"/>
    <cellStyle name="쉼표 [0] 4 2 2 2 2 19 2 3 2 2" xfId="44568"/>
    <cellStyle name="쉼표 [0] 4 2 2 2 2 19 2 3 3" xfId="31896"/>
    <cellStyle name="쉼표 [0] 4 2 2 2 2 19 2 4" xfId="12880"/>
    <cellStyle name="쉼표 [0] 4 2 2 2 2 19 2 4 2" xfId="38232"/>
    <cellStyle name="쉼표 [0] 4 2 2 2 2 19 2 5" xfId="25560"/>
    <cellStyle name="쉼표 [0] 4 2 2 2 2 19 3" xfId="3302"/>
    <cellStyle name="쉼표 [0] 4 2 2 2 2 19 3 2" xfId="9638"/>
    <cellStyle name="쉼표 [0] 4 2 2 2 2 19 3 2 2" xfId="22312"/>
    <cellStyle name="쉼표 [0] 4 2 2 2 2 19 3 2 2 2" xfId="47664"/>
    <cellStyle name="쉼표 [0] 4 2 2 2 2 19 3 2 3" xfId="34992"/>
    <cellStyle name="쉼표 [0] 4 2 2 2 2 19 3 3" xfId="15976"/>
    <cellStyle name="쉼표 [0] 4 2 2 2 2 19 3 3 2" xfId="41328"/>
    <cellStyle name="쉼표 [0] 4 2 2 2 2 19 3 4" xfId="28656"/>
    <cellStyle name="쉼표 [0] 4 2 2 2 2 19 4" xfId="6541"/>
    <cellStyle name="쉼표 [0] 4 2 2 2 2 19 4 2" xfId="19215"/>
    <cellStyle name="쉼표 [0] 4 2 2 2 2 19 4 2 2" xfId="44567"/>
    <cellStyle name="쉼표 [0] 4 2 2 2 2 19 4 3" xfId="31895"/>
    <cellStyle name="쉼표 [0] 4 2 2 2 2 19 5" xfId="12879"/>
    <cellStyle name="쉼표 [0] 4 2 2 2 2 19 5 2" xfId="38231"/>
    <cellStyle name="쉼표 [0] 4 2 2 2 2 19 6" xfId="25559"/>
    <cellStyle name="쉼표 [0] 4 2 2 2 2 2" xfId="206"/>
    <cellStyle name="쉼표 [0] 4 2 2 2 2 2 2" xfId="207"/>
    <cellStyle name="쉼표 [0] 4 2 2 2 2 2 2 2" xfId="3303"/>
    <cellStyle name="쉼표 [0] 4 2 2 2 2 2 2 2 2" xfId="9639"/>
    <cellStyle name="쉼표 [0] 4 2 2 2 2 2 2 2 2 2" xfId="22313"/>
    <cellStyle name="쉼표 [0] 4 2 2 2 2 2 2 2 2 2 2" xfId="47665"/>
    <cellStyle name="쉼표 [0] 4 2 2 2 2 2 2 2 2 3" xfId="34993"/>
    <cellStyle name="쉼표 [0] 4 2 2 2 2 2 2 2 3" xfId="15977"/>
    <cellStyle name="쉼표 [0] 4 2 2 2 2 2 2 2 3 2" xfId="41329"/>
    <cellStyle name="쉼표 [0] 4 2 2 2 2 2 2 2 4" xfId="28657"/>
    <cellStyle name="쉼표 [0] 4 2 2 2 2 2 2 3" xfId="6544"/>
    <cellStyle name="쉼표 [0] 4 2 2 2 2 2 2 3 2" xfId="19218"/>
    <cellStyle name="쉼표 [0] 4 2 2 2 2 2 2 3 2 2" xfId="44570"/>
    <cellStyle name="쉼표 [0] 4 2 2 2 2 2 2 3 3" xfId="31898"/>
    <cellStyle name="쉼표 [0] 4 2 2 2 2 2 2 4" xfId="12882"/>
    <cellStyle name="쉼표 [0] 4 2 2 2 2 2 2 4 2" xfId="38234"/>
    <cellStyle name="쉼표 [0] 4 2 2 2 2 2 2 5" xfId="25562"/>
    <cellStyle name="쉼표 [0] 4 2 2 2 2 2 3" xfId="3304"/>
    <cellStyle name="쉼표 [0] 4 2 2 2 2 2 3 2" xfId="9640"/>
    <cellStyle name="쉼표 [0] 4 2 2 2 2 2 3 2 2" xfId="22314"/>
    <cellStyle name="쉼표 [0] 4 2 2 2 2 2 3 2 2 2" xfId="47666"/>
    <cellStyle name="쉼표 [0] 4 2 2 2 2 2 3 2 3" xfId="34994"/>
    <cellStyle name="쉼표 [0] 4 2 2 2 2 2 3 3" xfId="15978"/>
    <cellStyle name="쉼표 [0] 4 2 2 2 2 2 3 3 2" xfId="41330"/>
    <cellStyle name="쉼표 [0] 4 2 2 2 2 2 3 4" xfId="28658"/>
    <cellStyle name="쉼표 [0] 4 2 2 2 2 2 4" xfId="6543"/>
    <cellStyle name="쉼표 [0] 4 2 2 2 2 2 4 2" xfId="19217"/>
    <cellStyle name="쉼표 [0] 4 2 2 2 2 2 4 2 2" xfId="44569"/>
    <cellStyle name="쉼표 [0] 4 2 2 2 2 2 4 3" xfId="31897"/>
    <cellStyle name="쉼표 [0] 4 2 2 2 2 2 5" xfId="12881"/>
    <cellStyle name="쉼표 [0] 4 2 2 2 2 2 5 2" xfId="38233"/>
    <cellStyle name="쉼표 [0] 4 2 2 2 2 2 6" xfId="25561"/>
    <cellStyle name="쉼표 [0] 4 2 2 2 2 20" xfId="208"/>
    <cellStyle name="쉼표 [0] 4 2 2 2 2 20 2" xfId="209"/>
    <cellStyle name="쉼표 [0] 4 2 2 2 2 20 2 2" xfId="3305"/>
    <cellStyle name="쉼표 [0] 4 2 2 2 2 20 2 2 2" xfId="9641"/>
    <cellStyle name="쉼표 [0] 4 2 2 2 2 20 2 2 2 2" xfId="22315"/>
    <cellStyle name="쉼표 [0] 4 2 2 2 2 20 2 2 2 2 2" xfId="47667"/>
    <cellStyle name="쉼표 [0] 4 2 2 2 2 20 2 2 2 3" xfId="34995"/>
    <cellStyle name="쉼표 [0] 4 2 2 2 2 20 2 2 3" xfId="15979"/>
    <cellStyle name="쉼표 [0] 4 2 2 2 2 20 2 2 3 2" xfId="41331"/>
    <cellStyle name="쉼표 [0] 4 2 2 2 2 20 2 2 4" xfId="28659"/>
    <cellStyle name="쉼표 [0] 4 2 2 2 2 20 2 3" xfId="6546"/>
    <cellStyle name="쉼표 [0] 4 2 2 2 2 20 2 3 2" xfId="19220"/>
    <cellStyle name="쉼표 [0] 4 2 2 2 2 20 2 3 2 2" xfId="44572"/>
    <cellStyle name="쉼표 [0] 4 2 2 2 2 20 2 3 3" xfId="31900"/>
    <cellStyle name="쉼표 [0] 4 2 2 2 2 20 2 4" xfId="12884"/>
    <cellStyle name="쉼표 [0] 4 2 2 2 2 20 2 4 2" xfId="38236"/>
    <cellStyle name="쉼표 [0] 4 2 2 2 2 20 2 5" xfId="25564"/>
    <cellStyle name="쉼표 [0] 4 2 2 2 2 20 3" xfId="3306"/>
    <cellStyle name="쉼표 [0] 4 2 2 2 2 20 3 2" xfId="9642"/>
    <cellStyle name="쉼표 [0] 4 2 2 2 2 20 3 2 2" xfId="22316"/>
    <cellStyle name="쉼표 [0] 4 2 2 2 2 20 3 2 2 2" xfId="47668"/>
    <cellStyle name="쉼표 [0] 4 2 2 2 2 20 3 2 3" xfId="34996"/>
    <cellStyle name="쉼표 [0] 4 2 2 2 2 20 3 3" xfId="15980"/>
    <cellStyle name="쉼표 [0] 4 2 2 2 2 20 3 3 2" xfId="41332"/>
    <cellStyle name="쉼표 [0] 4 2 2 2 2 20 3 4" xfId="28660"/>
    <cellStyle name="쉼표 [0] 4 2 2 2 2 20 4" xfId="6545"/>
    <cellStyle name="쉼표 [0] 4 2 2 2 2 20 4 2" xfId="19219"/>
    <cellStyle name="쉼표 [0] 4 2 2 2 2 20 4 2 2" xfId="44571"/>
    <cellStyle name="쉼표 [0] 4 2 2 2 2 20 4 3" xfId="31899"/>
    <cellStyle name="쉼표 [0] 4 2 2 2 2 20 5" xfId="12883"/>
    <cellStyle name="쉼표 [0] 4 2 2 2 2 20 5 2" xfId="38235"/>
    <cellStyle name="쉼표 [0] 4 2 2 2 2 20 6" xfId="25563"/>
    <cellStyle name="쉼표 [0] 4 2 2 2 2 21" xfId="210"/>
    <cellStyle name="쉼표 [0] 4 2 2 2 2 21 2" xfId="211"/>
    <cellStyle name="쉼표 [0] 4 2 2 2 2 21 2 2" xfId="3307"/>
    <cellStyle name="쉼표 [0] 4 2 2 2 2 21 2 2 2" xfId="9643"/>
    <cellStyle name="쉼표 [0] 4 2 2 2 2 21 2 2 2 2" xfId="22317"/>
    <cellStyle name="쉼표 [0] 4 2 2 2 2 21 2 2 2 2 2" xfId="47669"/>
    <cellStyle name="쉼표 [0] 4 2 2 2 2 21 2 2 2 3" xfId="34997"/>
    <cellStyle name="쉼표 [0] 4 2 2 2 2 21 2 2 3" xfId="15981"/>
    <cellStyle name="쉼표 [0] 4 2 2 2 2 21 2 2 3 2" xfId="41333"/>
    <cellStyle name="쉼표 [0] 4 2 2 2 2 21 2 2 4" xfId="28661"/>
    <cellStyle name="쉼표 [0] 4 2 2 2 2 21 2 3" xfId="6548"/>
    <cellStyle name="쉼표 [0] 4 2 2 2 2 21 2 3 2" xfId="19222"/>
    <cellStyle name="쉼표 [0] 4 2 2 2 2 21 2 3 2 2" xfId="44574"/>
    <cellStyle name="쉼표 [0] 4 2 2 2 2 21 2 3 3" xfId="31902"/>
    <cellStyle name="쉼표 [0] 4 2 2 2 2 21 2 4" xfId="12886"/>
    <cellStyle name="쉼표 [0] 4 2 2 2 2 21 2 4 2" xfId="38238"/>
    <cellStyle name="쉼표 [0] 4 2 2 2 2 21 2 5" xfId="25566"/>
    <cellStyle name="쉼표 [0] 4 2 2 2 2 21 3" xfId="3308"/>
    <cellStyle name="쉼표 [0] 4 2 2 2 2 21 3 2" xfId="9644"/>
    <cellStyle name="쉼표 [0] 4 2 2 2 2 21 3 2 2" xfId="22318"/>
    <cellStyle name="쉼표 [0] 4 2 2 2 2 21 3 2 2 2" xfId="47670"/>
    <cellStyle name="쉼표 [0] 4 2 2 2 2 21 3 2 3" xfId="34998"/>
    <cellStyle name="쉼표 [0] 4 2 2 2 2 21 3 3" xfId="15982"/>
    <cellStyle name="쉼표 [0] 4 2 2 2 2 21 3 3 2" xfId="41334"/>
    <cellStyle name="쉼표 [0] 4 2 2 2 2 21 3 4" xfId="28662"/>
    <cellStyle name="쉼표 [0] 4 2 2 2 2 21 4" xfId="6547"/>
    <cellStyle name="쉼표 [0] 4 2 2 2 2 21 4 2" xfId="19221"/>
    <cellStyle name="쉼표 [0] 4 2 2 2 2 21 4 2 2" xfId="44573"/>
    <cellStyle name="쉼표 [0] 4 2 2 2 2 21 4 3" xfId="31901"/>
    <cellStyle name="쉼표 [0] 4 2 2 2 2 21 5" xfId="12885"/>
    <cellStyle name="쉼표 [0] 4 2 2 2 2 21 5 2" xfId="38237"/>
    <cellStyle name="쉼표 [0] 4 2 2 2 2 21 6" xfId="25565"/>
    <cellStyle name="쉼표 [0] 4 2 2 2 2 22" xfId="212"/>
    <cellStyle name="쉼표 [0] 4 2 2 2 2 22 2" xfId="213"/>
    <cellStyle name="쉼표 [0] 4 2 2 2 2 22 2 2" xfId="3309"/>
    <cellStyle name="쉼표 [0] 4 2 2 2 2 22 2 2 2" xfId="9645"/>
    <cellStyle name="쉼표 [0] 4 2 2 2 2 22 2 2 2 2" xfId="22319"/>
    <cellStyle name="쉼표 [0] 4 2 2 2 2 22 2 2 2 2 2" xfId="47671"/>
    <cellStyle name="쉼표 [0] 4 2 2 2 2 22 2 2 2 3" xfId="34999"/>
    <cellStyle name="쉼표 [0] 4 2 2 2 2 22 2 2 3" xfId="15983"/>
    <cellStyle name="쉼표 [0] 4 2 2 2 2 22 2 2 3 2" xfId="41335"/>
    <cellStyle name="쉼표 [0] 4 2 2 2 2 22 2 2 4" xfId="28663"/>
    <cellStyle name="쉼표 [0] 4 2 2 2 2 22 2 3" xfId="6550"/>
    <cellStyle name="쉼표 [0] 4 2 2 2 2 22 2 3 2" xfId="19224"/>
    <cellStyle name="쉼표 [0] 4 2 2 2 2 22 2 3 2 2" xfId="44576"/>
    <cellStyle name="쉼표 [0] 4 2 2 2 2 22 2 3 3" xfId="31904"/>
    <cellStyle name="쉼표 [0] 4 2 2 2 2 22 2 4" xfId="12888"/>
    <cellStyle name="쉼표 [0] 4 2 2 2 2 22 2 4 2" xfId="38240"/>
    <cellStyle name="쉼표 [0] 4 2 2 2 2 22 2 5" xfId="25568"/>
    <cellStyle name="쉼표 [0] 4 2 2 2 2 22 3" xfId="3310"/>
    <cellStyle name="쉼표 [0] 4 2 2 2 2 22 3 2" xfId="9646"/>
    <cellStyle name="쉼표 [0] 4 2 2 2 2 22 3 2 2" xfId="22320"/>
    <cellStyle name="쉼표 [0] 4 2 2 2 2 22 3 2 2 2" xfId="47672"/>
    <cellStyle name="쉼표 [0] 4 2 2 2 2 22 3 2 3" xfId="35000"/>
    <cellStyle name="쉼표 [0] 4 2 2 2 2 22 3 3" xfId="15984"/>
    <cellStyle name="쉼표 [0] 4 2 2 2 2 22 3 3 2" xfId="41336"/>
    <cellStyle name="쉼표 [0] 4 2 2 2 2 22 3 4" xfId="28664"/>
    <cellStyle name="쉼표 [0] 4 2 2 2 2 22 4" xfId="6549"/>
    <cellStyle name="쉼표 [0] 4 2 2 2 2 22 4 2" xfId="19223"/>
    <cellStyle name="쉼표 [0] 4 2 2 2 2 22 4 2 2" xfId="44575"/>
    <cellStyle name="쉼표 [0] 4 2 2 2 2 22 4 3" xfId="31903"/>
    <cellStyle name="쉼표 [0] 4 2 2 2 2 22 5" xfId="12887"/>
    <cellStyle name="쉼표 [0] 4 2 2 2 2 22 5 2" xfId="38239"/>
    <cellStyle name="쉼표 [0] 4 2 2 2 2 22 6" xfId="25567"/>
    <cellStyle name="쉼표 [0] 4 2 2 2 2 23" xfId="214"/>
    <cellStyle name="쉼표 [0] 4 2 2 2 2 23 2" xfId="215"/>
    <cellStyle name="쉼표 [0] 4 2 2 2 2 23 2 2" xfId="3311"/>
    <cellStyle name="쉼표 [0] 4 2 2 2 2 23 2 2 2" xfId="9647"/>
    <cellStyle name="쉼표 [0] 4 2 2 2 2 23 2 2 2 2" xfId="22321"/>
    <cellStyle name="쉼표 [0] 4 2 2 2 2 23 2 2 2 2 2" xfId="47673"/>
    <cellStyle name="쉼표 [0] 4 2 2 2 2 23 2 2 2 3" xfId="35001"/>
    <cellStyle name="쉼표 [0] 4 2 2 2 2 23 2 2 3" xfId="15985"/>
    <cellStyle name="쉼표 [0] 4 2 2 2 2 23 2 2 3 2" xfId="41337"/>
    <cellStyle name="쉼표 [0] 4 2 2 2 2 23 2 2 4" xfId="28665"/>
    <cellStyle name="쉼표 [0] 4 2 2 2 2 23 2 3" xfId="6552"/>
    <cellStyle name="쉼표 [0] 4 2 2 2 2 23 2 3 2" xfId="19226"/>
    <cellStyle name="쉼표 [0] 4 2 2 2 2 23 2 3 2 2" xfId="44578"/>
    <cellStyle name="쉼표 [0] 4 2 2 2 2 23 2 3 3" xfId="31906"/>
    <cellStyle name="쉼표 [0] 4 2 2 2 2 23 2 4" xfId="12890"/>
    <cellStyle name="쉼표 [0] 4 2 2 2 2 23 2 4 2" xfId="38242"/>
    <cellStyle name="쉼표 [0] 4 2 2 2 2 23 2 5" xfId="25570"/>
    <cellStyle name="쉼표 [0] 4 2 2 2 2 23 3" xfId="3312"/>
    <cellStyle name="쉼표 [0] 4 2 2 2 2 23 3 2" xfId="9648"/>
    <cellStyle name="쉼표 [0] 4 2 2 2 2 23 3 2 2" xfId="22322"/>
    <cellStyle name="쉼표 [0] 4 2 2 2 2 23 3 2 2 2" xfId="47674"/>
    <cellStyle name="쉼표 [0] 4 2 2 2 2 23 3 2 3" xfId="35002"/>
    <cellStyle name="쉼표 [0] 4 2 2 2 2 23 3 3" xfId="15986"/>
    <cellStyle name="쉼표 [0] 4 2 2 2 2 23 3 3 2" xfId="41338"/>
    <cellStyle name="쉼표 [0] 4 2 2 2 2 23 3 4" xfId="28666"/>
    <cellStyle name="쉼표 [0] 4 2 2 2 2 23 4" xfId="6551"/>
    <cellStyle name="쉼표 [0] 4 2 2 2 2 23 4 2" xfId="19225"/>
    <cellStyle name="쉼표 [0] 4 2 2 2 2 23 4 2 2" xfId="44577"/>
    <cellStyle name="쉼표 [0] 4 2 2 2 2 23 4 3" xfId="31905"/>
    <cellStyle name="쉼표 [0] 4 2 2 2 2 23 5" xfId="12889"/>
    <cellStyle name="쉼표 [0] 4 2 2 2 2 23 5 2" xfId="38241"/>
    <cellStyle name="쉼표 [0] 4 2 2 2 2 23 6" xfId="25569"/>
    <cellStyle name="쉼표 [0] 4 2 2 2 2 24" xfId="216"/>
    <cellStyle name="쉼표 [0] 4 2 2 2 2 24 2" xfId="217"/>
    <cellStyle name="쉼표 [0] 4 2 2 2 2 24 2 2" xfId="3313"/>
    <cellStyle name="쉼표 [0] 4 2 2 2 2 24 2 2 2" xfId="9649"/>
    <cellStyle name="쉼표 [0] 4 2 2 2 2 24 2 2 2 2" xfId="22323"/>
    <cellStyle name="쉼표 [0] 4 2 2 2 2 24 2 2 2 2 2" xfId="47675"/>
    <cellStyle name="쉼표 [0] 4 2 2 2 2 24 2 2 2 3" xfId="35003"/>
    <cellStyle name="쉼표 [0] 4 2 2 2 2 24 2 2 3" xfId="15987"/>
    <cellStyle name="쉼표 [0] 4 2 2 2 2 24 2 2 3 2" xfId="41339"/>
    <cellStyle name="쉼표 [0] 4 2 2 2 2 24 2 2 4" xfId="28667"/>
    <cellStyle name="쉼표 [0] 4 2 2 2 2 24 2 3" xfId="6554"/>
    <cellStyle name="쉼표 [0] 4 2 2 2 2 24 2 3 2" xfId="19228"/>
    <cellStyle name="쉼표 [0] 4 2 2 2 2 24 2 3 2 2" xfId="44580"/>
    <cellStyle name="쉼표 [0] 4 2 2 2 2 24 2 3 3" xfId="31908"/>
    <cellStyle name="쉼표 [0] 4 2 2 2 2 24 2 4" xfId="12892"/>
    <cellStyle name="쉼표 [0] 4 2 2 2 2 24 2 4 2" xfId="38244"/>
    <cellStyle name="쉼표 [0] 4 2 2 2 2 24 2 5" xfId="25572"/>
    <cellStyle name="쉼표 [0] 4 2 2 2 2 24 3" xfId="3314"/>
    <cellStyle name="쉼표 [0] 4 2 2 2 2 24 3 2" xfId="9650"/>
    <cellStyle name="쉼표 [0] 4 2 2 2 2 24 3 2 2" xfId="22324"/>
    <cellStyle name="쉼표 [0] 4 2 2 2 2 24 3 2 2 2" xfId="47676"/>
    <cellStyle name="쉼표 [0] 4 2 2 2 2 24 3 2 3" xfId="35004"/>
    <cellStyle name="쉼표 [0] 4 2 2 2 2 24 3 3" xfId="15988"/>
    <cellStyle name="쉼표 [0] 4 2 2 2 2 24 3 3 2" xfId="41340"/>
    <cellStyle name="쉼표 [0] 4 2 2 2 2 24 3 4" xfId="28668"/>
    <cellStyle name="쉼표 [0] 4 2 2 2 2 24 4" xfId="6553"/>
    <cellStyle name="쉼표 [0] 4 2 2 2 2 24 4 2" xfId="19227"/>
    <cellStyle name="쉼표 [0] 4 2 2 2 2 24 4 2 2" xfId="44579"/>
    <cellStyle name="쉼표 [0] 4 2 2 2 2 24 4 3" xfId="31907"/>
    <cellStyle name="쉼표 [0] 4 2 2 2 2 24 5" xfId="12891"/>
    <cellStyle name="쉼표 [0] 4 2 2 2 2 24 5 2" xfId="38243"/>
    <cellStyle name="쉼표 [0] 4 2 2 2 2 24 6" xfId="25571"/>
    <cellStyle name="쉼표 [0] 4 2 2 2 2 25" xfId="218"/>
    <cellStyle name="쉼표 [0] 4 2 2 2 2 25 2" xfId="219"/>
    <cellStyle name="쉼표 [0] 4 2 2 2 2 25 2 2" xfId="3315"/>
    <cellStyle name="쉼표 [0] 4 2 2 2 2 25 2 2 2" xfId="9651"/>
    <cellStyle name="쉼표 [0] 4 2 2 2 2 25 2 2 2 2" xfId="22325"/>
    <cellStyle name="쉼표 [0] 4 2 2 2 2 25 2 2 2 2 2" xfId="47677"/>
    <cellStyle name="쉼표 [0] 4 2 2 2 2 25 2 2 2 3" xfId="35005"/>
    <cellStyle name="쉼표 [0] 4 2 2 2 2 25 2 2 3" xfId="15989"/>
    <cellStyle name="쉼표 [0] 4 2 2 2 2 25 2 2 3 2" xfId="41341"/>
    <cellStyle name="쉼표 [0] 4 2 2 2 2 25 2 2 4" xfId="28669"/>
    <cellStyle name="쉼표 [0] 4 2 2 2 2 25 2 3" xfId="6556"/>
    <cellStyle name="쉼표 [0] 4 2 2 2 2 25 2 3 2" xfId="19230"/>
    <cellStyle name="쉼표 [0] 4 2 2 2 2 25 2 3 2 2" xfId="44582"/>
    <cellStyle name="쉼표 [0] 4 2 2 2 2 25 2 3 3" xfId="31910"/>
    <cellStyle name="쉼표 [0] 4 2 2 2 2 25 2 4" xfId="12894"/>
    <cellStyle name="쉼표 [0] 4 2 2 2 2 25 2 4 2" xfId="38246"/>
    <cellStyle name="쉼표 [0] 4 2 2 2 2 25 2 5" xfId="25574"/>
    <cellStyle name="쉼표 [0] 4 2 2 2 2 25 3" xfId="3316"/>
    <cellStyle name="쉼표 [0] 4 2 2 2 2 25 3 2" xfId="9652"/>
    <cellStyle name="쉼표 [0] 4 2 2 2 2 25 3 2 2" xfId="22326"/>
    <cellStyle name="쉼표 [0] 4 2 2 2 2 25 3 2 2 2" xfId="47678"/>
    <cellStyle name="쉼표 [0] 4 2 2 2 2 25 3 2 3" xfId="35006"/>
    <cellStyle name="쉼표 [0] 4 2 2 2 2 25 3 3" xfId="15990"/>
    <cellStyle name="쉼표 [0] 4 2 2 2 2 25 3 3 2" xfId="41342"/>
    <cellStyle name="쉼표 [0] 4 2 2 2 2 25 3 4" xfId="28670"/>
    <cellStyle name="쉼표 [0] 4 2 2 2 2 25 4" xfId="6555"/>
    <cellStyle name="쉼표 [0] 4 2 2 2 2 25 4 2" xfId="19229"/>
    <cellStyle name="쉼표 [0] 4 2 2 2 2 25 4 2 2" xfId="44581"/>
    <cellStyle name="쉼표 [0] 4 2 2 2 2 25 4 3" xfId="31909"/>
    <cellStyle name="쉼표 [0] 4 2 2 2 2 25 5" xfId="12893"/>
    <cellStyle name="쉼표 [0] 4 2 2 2 2 25 5 2" xfId="38245"/>
    <cellStyle name="쉼표 [0] 4 2 2 2 2 25 6" xfId="25573"/>
    <cellStyle name="쉼표 [0] 4 2 2 2 2 26" xfId="220"/>
    <cellStyle name="쉼표 [0] 4 2 2 2 2 26 2" xfId="221"/>
    <cellStyle name="쉼표 [0] 4 2 2 2 2 26 2 2" xfId="3317"/>
    <cellStyle name="쉼표 [0] 4 2 2 2 2 26 2 2 2" xfId="9653"/>
    <cellStyle name="쉼표 [0] 4 2 2 2 2 26 2 2 2 2" xfId="22327"/>
    <cellStyle name="쉼표 [0] 4 2 2 2 2 26 2 2 2 2 2" xfId="47679"/>
    <cellStyle name="쉼표 [0] 4 2 2 2 2 26 2 2 2 3" xfId="35007"/>
    <cellStyle name="쉼표 [0] 4 2 2 2 2 26 2 2 3" xfId="15991"/>
    <cellStyle name="쉼표 [0] 4 2 2 2 2 26 2 2 3 2" xfId="41343"/>
    <cellStyle name="쉼표 [0] 4 2 2 2 2 26 2 2 4" xfId="28671"/>
    <cellStyle name="쉼표 [0] 4 2 2 2 2 26 2 3" xfId="6558"/>
    <cellStyle name="쉼표 [0] 4 2 2 2 2 26 2 3 2" xfId="19232"/>
    <cellStyle name="쉼표 [0] 4 2 2 2 2 26 2 3 2 2" xfId="44584"/>
    <cellStyle name="쉼표 [0] 4 2 2 2 2 26 2 3 3" xfId="31912"/>
    <cellStyle name="쉼표 [0] 4 2 2 2 2 26 2 4" xfId="12896"/>
    <cellStyle name="쉼표 [0] 4 2 2 2 2 26 2 4 2" xfId="38248"/>
    <cellStyle name="쉼표 [0] 4 2 2 2 2 26 2 5" xfId="25576"/>
    <cellStyle name="쉼표 [0] 4 2 2 2 2 26 3" xfId="3318"/>
    <cellStyle name="쉼표 [0] 4 2 2 2 2 26 3 2" xfId="9654"/>
    <cellStyle name="쉼표 [0] 4 2 2 2 2 26 3 2 2" xfId="22328"/>
    <cellStyle name="쉼표 [0] 4 2 2 2 2 26 3 2 2 2" xfId="47680"/>
    <cellStyle name="쉼표 [0] 4 2 2 2 2 26 3 2 3" xfId="35008"/>
    <cellStyle name="쉼표 [0] 4 2 2 2 2 26 3 3" xfId="15992"/>
    <cellStyle name="쉼표 [0] 4 2 2 2 2 26 3 3 2" xfId="41344"/>
    <cellStyle name="쉼표 [0] 4 2 2 2 2 26 3 4" xfId="28672"/>
    <cellStyle name="쉼표 [0] 4 2 2 2 2 26 4" xfId="6557"/>
    <cellStyle name="쉼표 [0] 4 2 2 2 2 26 4 2" xfId="19231"/>
    <cellStyle name="쉼표 [0] 4 2 2 2 2 26 4 2 2" xfId="44583"/>
    <cellStyle name="쉼표 [0] 4 2 2 2 2 26 4 3" xfId="31911"/>
    <cellStyle name="쉼표 [0] 4 2 2 2 2 26 5" xfId="12895"/>
    <cellStyle name="쉼표 [0] 4 2 2 2 2 26 5 2" xfId="38247"/>
    <cellStyle name="쉼표 [0] 4 2 2 2 2 26 6" xfId="25575"/>
    <cellStyle name="쉼표 [0] 4 2 2 2 2 27" xfId="222"/>
    <cellStyle name="쉼표 [0] 4 2 2 2 2 27 2" xfId="223"/>
    <cellStyle name="쉼표 [0] 4 2 2 2 2 27 2 2" xfId="3319"/>
    <cellStyle name="쉼표 [0] 4 2 2 2 2 27 2 2 2" xfId="9655"/>
    <cellStyle name="쉼표 [0] 4 2 2 2 2 27 2 2 2 2" xfId="22329"/>
    <cellStyle name="쉼표 [0] 4 2 2 2 2 27 2 2 2 2 2" xfId="47681"/>
    <cellStyle name="쉼표 [0] 4 2 2 2 2 27 2 2 2 3" xfId="35009"/>
    <cellStyle name="쉼표 [0] 4 2 2 2 2 27 2 2 3" xfId="15993"/>
    <cellStyle name="쉼표 [0] 4 2 2 2 2 27 2 2 3 2" xfId="41345"/>
    <cellStyle name="쉼표 [0] 4 2 2 2 2 27 2 2 4" xfId="28673"/>
    <cellStyle name="쉼표 [0] 4 2 2 2 2 27 2 3" xfId="6560"/>
    <cellStyle name="쉼표 [0] 4 2 2 2 2 27 2 3 2" xfId="19234"/>
    <cellStyle name="쉼표 [0] 4 2 2 2 2 27 2 3 2 2" xfId="44586"/>
    <cellStyle name="쉼표 [0] 4 2 2 2 2 27 2 3 3" xfId="31914"/>
    <cellStyle name="쉼표 [0] 4 2 2 2 2 27 2 4" xfId="12898"/>
    <cellStyle name="쉼표 [0] 4 2 2 2 2 27 2 4 2" xfId="38250"/>
    <cellStyle name="쉼표 [0] 4 2 2 2 2 27 2 5" xfId="25578"/>
    <cellStyle name="쉼표 [0] 4 2 2 2 2 27 3" xfId="3320"/>
    <cellStyle name="쉼표 [0] 4 2 2 2 2 27 3 2" xfId="9656"/>
    <cellStyle name="쉼표 [0] 4 2 2 2 2 27 3 2 2" xfId="22330"/>
    <cellStyle name="쉼표 [0] 4 2 2 2 2 27 3 2 2 2" xfId="47682"/>
    <cellStyle name="쉼표 [0] 4 2 2 2 2 27 3 2 3" xfId="35010"/>
    <cellStyle name="쉼표 [0] 4 2 2 2 2 27 3 3" xfId="15994"/>
    <cellStyle name="쉼표 [0] 4 2 2 2 2 27 3 3 2" xfId="41346"/>
    <cellStyle name="쉼표 [0] 4 2 2 2 2 27 3 4" xfId="28674"/>
    <cellStyle name="쉼표 [0] 4 2 2 2 2 27 4" xfId="6559"/>
    <cellStyle name="쉼표 [0] 4 2 2 2 2 27 4 2" xfId="19233"/>
    <cellStyle name="쉼표 [0] 4 2 2 2 2 27 4 2 2" xfId="44585"/>
    <cellStyle name="쉼표 [0] 4 2 2 2 2 27 4 3" xfId="31913"/>
    <cellStyle name="쉼표 [0] 4 2 2 2 2 27 5" xfId="12897"/>
    <cellStyle name="쉼표 [0] 4 2 2 2 2 27 5 2" xfId="38249"/>
    <cellStyle name="쉼표 [0] 4 2 2 2 2 27 6" xfId="25577"/>
    <cellStyle name="쉼표 [0] 4 2 2 2 2 28" xfId="224"/>
    <cellStyle name="쉼표 [0] 4 2 2 2 2 28 2" xfId="225"/>
    <cellStyle name="쉼표 [0] 4 2 2 2 2 28 2 2" xfId="3321"/>
    <cellStyle name="쉼표 [0] 4 2 2 2 2 28 2 2 2" xfId="9657"/>
    <cellStyle name="쉼표 [0] 4 2 2 2 2 28 2 2 2 2" xfId="22331"/>
    <cellStyle name="쉼표 [0] 4 2 2 2 2 28 2 2 2 2 2" xfId="47683"/>
    <cellStyle name="쉼표 [0] 4 2 2 2 2 28 2 2 2 3" xfId="35011"/>
    <cellStyle name="쉼표 [0] 4 2 2 2 2 28 2 2 3" xfId="15995"/>
    <cellStyle name="쉼표 [0] 4 2 2 2 2 28 2 2 3 2" xfId="41347"/>
    <cellStyle name="쉼표 [0] 4 2 2 2 2 28 2 2 4" xfId="28675"/>
    <cellStyle name="쉼표 [0] 4 2 2 2 2 28 2 3" xfId="6562"/>
    <cellStyle name="쉼표 [0] 4 2 2 2 2 28 2 3 2" xfId="19236"/>
    <cellStyle name="쉼표 [0] 4 2 2 2 2 28 2 3 2 2" xfId="44588"/>
    <cellStyle name="쉼표 [0] 4 2 2 2 2 28 2 3 3" xfId="31916"/>
    <cellStyle name="쉼표 [0] 4 2 2 2 2 28 2 4" xfId="12900"/>
    <cellStyle name="쉼표 [0] 4 2 2 2 2 28 2 4 2" xfId="38252"/>
    <cellStyle name="쉼표 [0] 4 2 2 2 2 28 2 5" xfId="25580"/>
    <cellStyle name="쉼표 [0] 4 2 2 2 2 28 3" xfId="3322"/>
    <cellStyle name="쉼표 [0] 4 2 2 2 2 28 3 2" xfId="9658"/>
    <cellStyle name="쉼표 [0] 4 2 2 2 2 28 3 2 2" xfId="22332"/>
    <cellStyle name="쉼표 [0] 4 2 2 2 2 28 3 2 2 2" xfId="47684"/>
    <cellStyle name="쉼표 [0] 4 2 2 2 2 28 3 2 3" xfId="35012"/>
    <cellStyle name="쉼표 [0] 4 2 2 2 2 28 3 3" xfId="15996"/>
    <cellStyle name="쉼표 [0] 4 2 2 2 2 28 3 3 2" xfId="41348"/>
    <cellStyle name="쉼표 [0] 4 2 2 2 2 28 3 4" xfId="28676"/>
    <cellStyle name="쉼표 [0] 4 2 2 2 2 28 4" xfId="6561"/>
    <cellStyle name="쉼표 [0] 4 2 2 2 2 28 4 2" xfId="19235"/>
    <cellStyle name="쉼표 [0] 4 2 2 2 2 28 4 2 2" xfId="44587"/>
    <cellStyle name="쉼표 [0] 4 2 2 2 2 28 4 3" xfId="31915"/>
    <cellStyle name="쉼표 [0] 4 2 2 2 2 28 5" xfId="12899"/>
    <cellStyle name="쉼표 [0] 4 2 2 2 2 28 5 2" xfId="38251"/>
    <cellStyle name="쉼표 [0] 4 2 2 2 2 28 6" xfId="25579"/>
    <cellStyle name="쉼표 [0] 4 2 2 2 2 29" xfId="226"/>
    <cellStyle name="쉼표 [0] 4 2 2 2 2 29 2" xfId="227"/>
    <cellStyle name="쉼표 [0] 4 2 2 2 2 29 2 2" xfId="3323"/>
    <cellStyle name="쉼표 [0] 4 2 2 2 2 29 2 2 2" xfId="9659"/>
    <cellStyle name="쉼표 [0] 4 2 2 2 2 29 2 2 2 2" xfId="22333"/>
    <cellStyle name="쉼표 [0] 4 2 2 2 2 29 2 2 2 2 2" xfId="47685"/>
    <cellStyle name="쉼표 [0] 4 2 2 2 2 29 2 2 2 3" xfId="35013"/>
    <cellStyle name="쉼표 [0] 4 2 2 2 2 29 2 2 3" xfId="15997"/>
    <cellStyle name="쉼표 [0] 4 2 2 2 2 29 2 2 3 2" xfId="41349"/>
    <cellStyle name="쉼표 [0] 4 2 2 2 2 29 2 2 4" xfId="28677"/>
    <cellStyle name="쉼표 [0] 4 2 2 2 2 29 2 3" xfId="6564"/>
    <cellStyle name="쉼표 [0] 4 2 2 2 2 29 2 3 2" xfId="19238"/>
    <cellStyle name="쉼표 [0] 4 2 2 2 2 29 2 3 2 2" xfId="44590"/>
    <cellStyle name="쉼표 [0] 4 2 2 2 2 29 2 3 3" xfId="31918"/>
    <cellStyle name="쉼표 [0] 4 2 2 2 2 29 2 4" xfId="12902"/>
    <cellStyle name="쉼표 [0] 4 2 2 2 2 29 2 4 2" xfId="38254"/>
    <cellStyle name="쉼표 [0] 4 2 2 2 2 29 2 5" xfId="25582"/>
    <cellStyle name="쉼표 [0] 4 2 2 2 2 29 3" xfId="3324"/>
    <cellStyle name="쉼표 [0] 4 2 2 2 2 29 3 2" xfId="9660"/>
    <cellStyle name="쉼표 [0] 4 2 2 2 2 29 3 2 2" xfId="22334"/>
    <cellStyle name="쉼표 [0] 4 2 2 2 2 29 3 2 2 2" xfId="47686"/>
    <cellStyle name="쉼표 [0] 4 2 2 2 2 29 3 2 3" xfId="35014"/>
    <cellStyle name="쉼표 [0] 4 2 2 2 2 29 3 3" xfId="15998"/>
    <cellStyle name="쉼표 [0] 4 2 2 2 2 29 3 3 2" xfId="41350"/>
    <cellStyle name="쉼표 [0] 4 2 2 2 2 29 3 4" xfId="28678"/>
    <cellStyle name="쉼표 [0] 4 2 2 2 2 29 4" xfId="6563"/>
    <cellStyle name="쉼표 [0] 4 2 2 2 2 29 4 2" xfId="19237"/>
    <cellStyle name="쉼표 [0] 4 2 2 2 2 29 4 2 2" xfId="44589"/>
    <cellStyle name="쉼표 [0] 4 2 2 2 2 29 4 3" xfId="31917"/>
    <cellStyle name="쉼표 [0] 4 2 2 2 2 29 5" xfId="12901"/>
    <cellStyle name="쉼표 [0] 4 2 2 2 2 29 5 2" xfId="38253"/>
    <cellStyle name="쉼표 [0] 4 2 2 2 2 29 6" xfId="25581"/>
    <cellStyle name="쉼표 [0] 4 2 2 2 2 3" xfId="228"/>
    <cellStyle name="쉼표 [0] 4 2 2 2 2 3 2" xfId="229"/>
    <cellStyle name="쉼표 [0] 4 2 2 2 2 3 2 2" xfId="3325"/>
    <cellStyle name="쉼표 [0] 4 2 2 2 2 3 2 2 2" xfId="9661"/>
    <cellStyle name="쉼표 [0] 4 2 2 2 2 3 2 2 2 2" xfId="22335"/>
    <cellStyle name="쉼표 [0] 4 2 2 2 2 3 2 2 2 2 2" xfId="47687"/>
    <cellStyle name="쉼표 [0] 4 2 2 2 2 3 2 2 2 3" xfId="35015"/>
    <cellStyle name="쉼표 [0] 4 2 2 2 2 3 2 2 3" xfId="15999"/>
    <cellStyle name="쉼표 [0] 4 2 2 2 2 3 2 2 3 2" xfId="41351"/>
    <cellStyle name="쉼표 [0] 4 2 2 2 2 3 2 2 4" xfId="28679"/>
    <cellStyle name="쉼표 [0] 4 2 2 2 2 3 2 3" xfId="6566"/>
    <cellStyle name="쉼표 [0] 4 2 2 2 2 3 2 3 2" xfId="19240"/>
    <cellStyle name="쉼표 [0] 4 2 2 2 2 3 2 3 2 2" xfId="44592"/>
    <cellStyle name="쉼표 [0] 4 2 2 2 2 3 2 3 3" xfId="31920"/>
    <cellStyle name="쉼표 [0] 4 2 2 2 2 3 2 4" xfId="12904"/>
    <cellStyle name="쉼표 [0] 4 2 2 2 2 3 2 4 2" xfId="38256"/>
    <cellStyle name="쉼표 [0] 4 2 2 2 2 3 2 5" xfId="25584"/>
    <cellStyle name="쉼표 [0] 4 2 2 2 2 3 3" xfId="3326"/>
    <cellStyle name="쉼표 [0] 4 2 2 2 2 3 3 2" xfId="9662"/>
    <cellStyle name="쉼표 [0] 4 2 2 2 2 3 3 2 2" xfId="22336"/>
    <cellStyle name="쉼표 [0] 4 2 2 2 2 3 3 2 2 2" xfId="47688"/>
    <cellStyle name="쉼표 [0] 4 2 2 2 2 3 3 2 3" xfId="35016"/>
    <cellStyle name="쉼표 [0] 4 2 2 2 2 3 3 3" xfId="16000"/>
    <cellStyle name="쉼표 [0] 4 2 2 2 2 3 3 3 2" xfId="41352"/>
    <cellStyle name="쉼표 [0] 4 2 2 2 2 3 3 4" xfId="28680"/>
    <cellStyle name="쉼표 [0] 4 2 2 2 2 3 4" xfId="6565"/>
    <cellStyle name="쉼표 [0] 4 2 2 2 2 3 4 2" xfId="19239"/>
    <cellStyle name="쉼표 [0] 4 2 2 2 2 3 4 2 2" xfId="44591"/>
    <cellStyle name="쉼표 [0] 4 2 2 2 2 3 4 3" xfId="31919"/>
    <cellStyle name="쉼표 [0] 4 2 2 2 2 3 5" xfId="12903"/>
    <cellStyle name="쉼표 [0] 4 2 2 2 2 3 5 2" xfId="38255"/>
    <cellStyle name="쉼표 [0] 4 2 2 2 2 3 6" xfId="25583"/>
    <cellStyle name="쉼표 [0] 4 2 2 2 2 30" xfId="230"/>
    <cellStyle name="쉼표 [0] 4 2 2 2 2 30 2" xfId="231"/>
    <cellStyle name="쉼표 [0] 4 2 2 2 2 30 2 2" xfId="3327"/>
    <cellStyle name="쉼표 [0] 4 2 2 2 2 30 2 2 2" xfId="9663"/>
    <cellStyle name="쉼표 [0] 4 2 2 2 2 30 2 2 2 2" xfId="22337"/>
    <cellStyle name="쉼표 [0] 4 2 2 2 2 30 2 2 2 2 2" xfId="47689"/>
    <cellStyle name="쉼표 [0] 4 2 2 2 2 30 2 2 2 3" xfId="35017"/>
    <cellStyle name="쉼표 [0] 4 2 2 2 2 30 2 2 3" xfId="16001"/>
    <cellStyle name="쉼표 [0] 4 2 2 2 2 30 2 2 3 2" xfId="41353"/>
    <cellStyle name="쉼표 [0] 4 2 2 2 2 30 2 2 4" xfId="28681"/>
    <cellStyle name="쉼표 [0] 4 2 2 2 2 30 2 3" xfId="6568"/>
    <cellStyle name="쉼표 [0] 4 2 2 2 2 30 2 3 2" xfId="19242"/>
    <cellStyle name="쉼표 [0] 4 2 2 2 2 30 2 3 2 2" xfId="44594"/>
    <cellStyle name="쉼표 [0] 4 2 2 2 2 30 2 3 3" xfId="31922"/>
    <cellStyle name="쉼표 [0] 4 2 2 2 2 30 2 4" xfId="12906"/>
    <cellStyle name="쉼표 [0] 4 2 2 2 2 30 2 4 2" xfId="38258"/>
    <cellStyle name="쉼표 [0] 4 2 2 2 2 30 2 5" xfId="25586"/>
    <cellStyle name="쉼표 [0] 4 2 2 2 2 30 3" xfId="3328"/>
    <cellStyle name="쉼표 [0] 4 2 2 2 2 30 3 2" xfId="9664"/>
    <cellStyle name="쉼표 [0] 4 2 2 2 2 30 3 2 2" xfId="22338"/>
    <cellStyle name="쉼표 [0] 4 2 2 2 2 30 3 2 2 2" xfId="47690"/>
    <cellStyle name="쉼표 [0] 4 2 2 2 2 30 3 2 3" xfId="35018"/>
    <cellStyle name="쉼표 [0] 4 2 2 2 2 30 3 3" xfId="16002"/>
    <cellStyle name="쉼표 [0] 4 2 2 2 2 30 3 3 2" xfId="41354"/>
    <cellStyle name="쉼표 [0] 4 2 2 2 2 30 3 4" xfId="28682"/>
    <cellStyle name="쉼표 [0] 4 2 2 2 2 30 4" xfId="6567"/>
    <cellStyle name="쉼표 [0] 4 2 2 2 2 30 4 2" xfId="19241"/>
    <cellStyle name="쉼표 [0] 4 2 2 2 2 30 4 2 2" xfId="44593"/>
    <cellStyle name="쉼표 [0] 4 2 2 2 2 30 4 3" xfId="31921"/>
    <cellStyle name="쉼표 [0] 4 2 2 2 2 30 5" xfId="12905"/>
    <cellStyle name="쉼표 [0] 4 2 2 2 2 30 5 2" xfId="38257"/>
    <cellStyle name="쉼표 [0] 4 2 2 2 2 30 6" xfId="25585"/>
    <cellStyle name="쉼표 [0] 4 2 2 2 2 31" xfId="232"/>
    <cellStyle name="쉼표 [0] 4 2 2 2 2 31 2" xfId="233"/>
    <cellStyle name="쉼표 [0] 4 2 2 2 2 31 2 2" xfId="3329"/>
    <cellStyle name="쉼표 [0] 4 2 2 2 2 31 2 2 2" xfId="9665"/>
    <cellStyle name="쉼표 [0] 4 2 2 2 2 31 2 2 2 2" xfId="22339"/>
    <cellStyle name="쉼표 [0] 4 2 2 2 2 31 2 2 2 2 2" xfId="47691"/>
    <cellStyle name="쉼표 [0] 4 2 2 2 2 31 2 2 2 3" xfId="35019"/>
    <cellStyle name="쉼표 [0] 4 2 2 2 2 31 2 2 3" xfId="16003"/>
    <cellStyle name="쉼표 [0] 4 2 2 2 2 31 2 2 3 2" xfId="41355"/>
    <cellStyle name="쉼표 [0] 4 2 2 2 2 31 2 2 4" xfId="28683"/>
    <cellStyle name="쉼표 [0] 4 2 2 2 2 31 2 3" xfId="6570"/>
    <cellStyle name="쉼표 [0] 4 2 2 2 2 31 2 3 2" xfId="19244"/>
    <cellStyle name="쉼표 [0] 4 2 2 2 2 31 2 3 2 2" xfId="44596"/>
    <cellStyle name="쉼표 [0] 4 2 2 2 2 31 2 3 3" xfId="31924"/>
    <cellStyle name="쉼표 [0] 4 2 2 2 2 31 2 4" xfId="12908"/>
    <cellStyle name="쉼표 [0] 4 2 2 2 2 31 2 4 2" xfId="38260"/>
    <cellStyle name="쉼표 [0] 4 2 2 2 2 31 2 5" xfId="25588"/>
    <cellStyle name="쉼표 [0] 4 2 2 2 2 31 3" xfId="3330"/>
    <cellStyle name="쉼표 [0] 4 2 2 2 2 31 3 2" xfId="9666"/>
    <cellStyle name="쉼표 [0] 4 2 2 2 2 31 3 2 2" xfId="22340"/>
    <cellStyle name="쉼표 [0] 4 2 2 2 2 31 3 2 2 2" xfId="47692"/>
    <cellStyle name="쉼표 [0] 4 2 2 2 2 31 3 2 3" xfId="35020"/>
    <cellStyle name="쉼표 [0] 4 2 2 2 2 31 3 3" xfId="16004"/>
    <cellStyle name="쉼표 [0] 4 2 2 2 2 31 3 3 2" xfId="41356"/>
    <cellStyle name="쉼표 [0] 4 2 2 2 2 31 3 4" xfId="28684"/>
    <cellStyle name="쉼표 [0] 4 2 2 2 2 31 4" xfId="6569"/>
    <cellStyle name="쉼표 [0] 4 2 2 2 2 31 4 2" xfId="19243"/>
    <cellStyle name="쉼표 [0] 4 2 2 2 2 31 4 2 2" xfId="44595"/>
    <cellStyle name="쉼표 [0] 4 2 2 2 2 31 4 3" xfId="31923"/>
    <cellStyle name="쉼표 [0] 4 2 2 2 2 31 5" xfId="12907"/>
    <cellStyle name="쉼표 [0] 4 2 2 2 2 31 5 2" xfId="38259"/>
    <cellStyle name="쉼표 [0] 4 2 2 2 2 31 6" xfId="25587"/>
    <cellStyle name="쉼표 [0] 4 2 2 2 2 32" xfId="234"/>
    <cellStyle name="쉼표 [0] 4 2 2 2 2 32 2" xfId="235"/>
    <cellStyle name="쉼표 [0] 4 2 2 2 2 32 2 2" xfId="3331"/>
    <cellStyle name="쉼표 [0] 4 2 2 2 2 32 2 2 2" xfId="9667"/>
    <cellStyle name="쉼표 [0] 4 2 2 2 2 32 2 2 2 2" xfId="22341"/>
    <cellStyle name="쉼표 [0] 4 2 2 2 2 32 2 2 2 2 2" xfId="47693"/>
    <cellStyle name="쉼표 [0] 4 2 2 2 2 32 2 2 2 3" xfId="35021"/>
    <cellStyle name="쉼표 [0] 4 2 2 2 2 32 2 2 3" xfId="16005"/>
    <cellStyle name="쉼표 [0] 4 2 2 2 2 32 2 2 3 2" xfId="41357"/>
    <cellStyle name="쉼표 [0] 4 2 2 2 2 32 2 2 4" xfId="28685"/>
    <cellStyle name="쉼표 [0] 4 2 2 2 2 32 2 3" xfId="6572"/>
    <cellStyle name="쉼표 [0] 4 2 2 2 2 32 2 3 2" xfId="19246"/>
    <cellStyle name="쉼표 [0] 4 2 2 2 2 32 2 3 2 2" xfId="44598"/>
    <cellStyle name="쉼표 [0] 4 2 2 2 2 32 2 3 3" xfId="31926"/>
    <cellStyle name="쉼표 [0] 4 2 2 2 2 32 2 4" xfId="12910"/>
    <cellStyle name="쉼표 [0] 4 2 2 2 2 32 2 4 2" xfId="38262"/>
    <cellStyle name="쉼표 [0] 4 2 2 2 2 32 2 5" xfId="25590"/>
    <cellStyle name="쉼표 [0] 4 2 2 2 2 32 3" xfId="3332"/>
    <cellStyle name="쉼표 [0] 4 2 2 2 2 32 3 2" xfId="9668"/>
    <cellStyle name="쉼표 [0] 4 2 2 2 2 32 3 2 2" xfId="22342"/>
    <cellStyle name="쉼표 [0] 4 2 2 2 2 32 3 2 2 2" xfId="47694"/>
    <cellStyle name="쉼표 [0] 4 2 2 2 2 32 3 2 3" xfId="35022"/>
    <cellStyle name="쉼표 [0] 4 2 2 2 2 32 3 3" xfId="16006"/>
    <cellStyle name="쉼표 [0] 4 2 2 2 2 32 3 3 2" xfId="41358"/>
    <cellStyle name="쉼표 [0] 4 2 2 2 2 32 3 4" xfId="28686"/>
    <cellStyle name="쉼표 [0] 4 2 2 2 2 32 4" xfId="6571"/>
    <cellStyle name="쉼표 [0] 4 2 2 2 2 32 4 2" xfId="19245"/>
    <cellStyle name="쉼표 [0] 4 2 2 2 2 32 4 2 2" xfId="44597"/>
    <cellStyle name="쉼표 [0] 4 2 2 2 2 32 4 3" xfId="31925"/>
    <cellStyle name="쉼표 [0] 4 2 2 2 2 32 5" xfId="12909"/>
    <cellStyle name="쉼표 [0] 4 2 2 2 2 32 5 2" xfId="38261"/>
    <cellStyle name="쉼표 [0] 4 2 2 2 2 32 6" xfId="25589"/>
    <cellStyle name="쉼표 [0] 4 2 2 2 2 33" xfId="236"/>
    <cellStyle name="쉼표 [0] 4 2 2 2 2 33 2" xfId="237"/>
    <cellStyle name="쉼표 [0] 4 2 2 2 2 33 2 2" xfId="3333"/>
    <cellStyle name="쉼표 [0] 4 2 2 2 2 33 2 2 2" xfId="9669"/>
    <cellStyle name="쉼표 [0] 4 2 2 2 2 33 2 2 2 2" xfId="22343"/>
    <cellStyle name="쉼표 [0] 4 2 2 2 2 33 2 2 2 2 2" xfId="47695"/>
    <cellStyle name="쉼표 [0] 4 2 2 2 2 33 2 2 2 3" xfId="35023"/>
    <cellStyle name="쉼표 [0] 4 2 2 2 2 33 2 2 3" xfId="16007"/>
    <cellStyle name="쉼표 [0] 4 2 2 2 2 33 2 2 3 2" xfId="41359"/>
    <cellStyle name="쉼표 [0] 4 2 2 2 2 33 2 2 4" xfId="28687"/>
    <cellStyle name="쉼표 [0] 4 2 2 2 2 33 2 3" xfId="6574"/>
    <cellStyle name="쉼표 [0] 4 2 2 2 2 33 2 3 2" xfId="19248"/>
    <cellStyle name="쉼표 [0] 4 2 2 2 2 33 2 3 2 2" xfId="44600"/>
    <cellStyle name="쉼표 [0] 4 2 2 2 2 33 2 3 3" xfId="31928"/>
    <cellStyle name="쉼표 [0] 4 2 2 2 2 33 2 4" xfId="12912"/>
    <cellStyle name="쉼표 [0] 4 2 2 2 2 33 2 4 2" xfId="38264"/>
    <cellStyle name="쉼표 [0] 4 2 2 2 2 33 2 5" xfId="25592"/>
    <cellStyle name="쉼표 [0] 4 2 2 2 2 33 3" xfId="3334"/>
    <cellStyle name="쉼표 [0] 4 2 2 2 2 33 3 2" xfId="9670"/>
    <cellStyle name="쉼표 [0] 4 2 2 2 2 33 3 2 2" xfId="22344"/>
    <cellStyle name="쉼표 [0] 4 2 2 2 2 33 3 2 2 2" xfId="47696"/>
    <cellStyle name="쉼표 [0] 4 2 2 2 2 33 3 2 3" xfId="35024"/>
    <cellStyle name="쉼표 [0] 4 2 2 2 2 33 3 3" xfId="16008"/>
    <cellStyle name="쉼표 [0] 4 2 2 2 2 33 3 3 2" xfId="41360"/>
    <cellStyle name="쉼표 [0] 4 2 2 2 2 33 3 4" xfId="28688"/>
    <cellStyle name="쉼표 [0] 4 2 2 2 2 33 4" xfId="6573"/>
    <cellStyle name="쉼표 [0] 4 2 2 2 2 33 4 2" xfId="19247"/>
    <cellStyle name="쉼표 [0] 4 2 2 2 2 33 4 2 2" xfId="44599"/>
    <cellStyle name="쉼표 [0] 4 2 2 2 2 33 4 3" xfId="31927"/>
    <cellStyle name="쉼표 [0] 4 2 2 2 2 33 5" xfId="12911"/>
    <cellStyle name="쉼표 [0] 4 2 2 2 2 33 5 2" xfId="38263"/>
    <cellStyle name="쉼표 [0] 4 2 2 2 2 33 6" xfId="25591"/>
    <cellStyle name="쉼표 [0] 4 2 2 2 2 34" xfId="238"/>
    <cellStyle name="쉼표 [0] 4 2 2 2 2 34 2" xfId="3335"/>
    <cellStyle name="쉼표 [0] 4 2 2 2 2 34 2 2" xfId="9671"/>
    <cellStyle name="쉼표 [0] 4 2 2 2 2 34 2 2 2" xfId="22345"/>
    <cellStyle name="쉼표 [0] 4 2 2 2 2 34 2 2 2 2" xfId="47697"/>
    <cellStyle name="쉼표 [0] 4 2 2 2 2 34 2 2 3" xfId="35025"/>
    <cellStyle name="쉼표 [0] 4 2 2 2 2 34 2 3" xfId="16009"/>
    <cellStyle name="쉼표 [0] 4 2 2 2 2 34 2 3 2" xfId="41361"/>
    <cellStyle name="쉼표 [0] 4 2 2 2 2 34 2 4" xfId="28689"/>
    <cellStyle name="쉼표 [0] 4 2 2 2 2 34 3" xfId="6575"/>
    <cellStyle name="쉼표 [0] 4 2 2 2 2 34 3 2" xfId="19249"/>
    <cellStyle name="쉼표 [0] 4 2 2 2 2 34 3 2 2" xfId="44601"/>
    <cellStyle name="쉼표 [0] 4 2 2 2 2 34 3 3" xfId="31929"/>
    <cellStyle name="쉼표 [0] 4 2 2 2 2 34 4" xfId="12913"/>
    <cellStyle name="쉼표 [0] 4 2 2 2 2 34 4 2" xfId="38265"/>
    <cellStyle name="쉼표 [0] 4 2 2 2 2 34 5" xfId="25593"/>
    <cellStyle name="쉼표 [0] 4 2 2 2 2 35" xfId="3336"/>
    <cellStyle name="쉼표 [0] 4 2 2 2 2 35 2" xfId="9672"/>
    <cellStyle name="쉼표 [0] 4 2 2 2 2 35 2 2" xfId="22346"/>
    <cellStyle name="쉼표 [0] 4 2 2 2 2 35 2 2 2" xfId="47698"/>
    <cellStyle name="쉼표 [0] 4 2 2 2 2 35 2 3" xfId="35026"/>
    <cellStyle name="쉼표 [0] 4 2 2 2 2 35 3" xfId="16010"/>
    <cellStyle name="쉼표 [0] 4 2 2 2 2 35 3 2" xfId="41362"/>
    <cellStyle name="쉼표 [0] 4 2 2 2 2 35 4" xfId="28690"/>
    <cellStyle name="쉼표 [0] 4 2 2 2 2 36" xfId="6395"/>
    <cellStyle name="쉼표 [0] 4 2 2 2 2 36 2" xfId="19069"/>
    <cellStyle name="쉼표 [0] 4 2 2 2 2 36 2 2" xfId="44421"/>
    <cellStyle name="쉼표 [0] 4 2 2 2 2 36 3" xfId="31749"/>
    <cellStyle name="쉼표 [0] 4 2 2 2 2 37" xfId="12733"/>
    <cellStyle name="쉼표 [0] 4 2 2 2 2 37 2" xfId="38085"/>
    <cellStyle name="쉼표 [0] 4 2 2 2 2 38" xfId="25413"/>
    <cellStyle name="쉼표 [0] 4 2 2 2 2 4" xfId="239"/>
    <cellStyle name="쉼표 [0] 4 2 2 2 2 4 2" xfId="240"/>
    <cellStyle name="쉼표 [0] 4 2 2 2 2 4 2 2" xfId="3337"/>
    <cellStyle name="쉼표 [0] 4 2 2 2 2 4 2 2 2" xfId="9673"/>
    <cellStyle name="쉼표 [0] 4 2 2 2 2 4 2 2 2 2" xfId="22347"/>
    <cellStyle name="쉼표 [0] 4 2 2 2 2 4 2 2 2 2 2" xfId="47699"/>
    <cellStyle name="쉼표 [0] 4 2 2 2 2 4 2 2 2 3" xfId="35027"/>
    <cellStyle name="쉼표 [0] 4 2 2 2 2 4 2 2 3" xfId="16011"/>
    <cellStyle name="쉼표 [0] 4 2 2 2 2 4 2 2 3 2" xfId="41363"/>
    <cellStyle name="쉼표 [0] 4 2 2 2 2 4 2 2 4" xfId="28691"/>
    <cellStyle name="쉼표 [0] 4 2 2 2 2 4 2 3" xfId="6577"/>
    <cellStyle name="쉼표 [0] 4 2 2 2 2 4 2 3 2" xfId="19251"/>
    <cellStyle name="쉼표 [0] 4 2 2 2 2 4 2 3 2 2" xfId="44603"/>
    <cellStyle name="쉼표 [0] 4 2 2 2 2 4 2 3 3" xfId="31931"/>
    <cellStyle name="쉼표 [0] 4 2 2 2 2 4 2 4" xfId="12915"/>
    <cellStyle name="쉼표 [0] 4 2 2 2 2 4 2 4 2" xfId="38267"/>
    <cellStyle name="쉼표 [0] 4 2 2 2 2 4 2 5" xfId="25595"/>
    <cellStyle name="쉼표 [0] 4 2 2 2 2 4 3" xfId="3338"/>
    <cellStyle name="쉼표 [0] 4 2 2 2 2 4 3 2" xfId="9674"/>
    <cellStyle name="쉼표 [0] 4 2 2 2 2 4 3 2 2" xfId="22348"/>
    <cellStyle name="쉼표 [0] 4 2 2 2 2 4 3 2 2 2" xfId="47700"/>
    <cellStyle name="쉼표 [0] 4 2 2 2 2 4 3 2 3" xfId="35028"/>
    <cellStyle name="쉼표 [0] 4 2 2 2 2 4 3 3" xfId="16012"/>
    <cellStyle name="쉼표 [0] 4 2 2 2 2 4 3 3 2" xfId="41364"/>
    <cellStyle name="쉼표 [0] 4 2 2 2 2 4 3 4" xfId="28692"/>
    <cellStyle name="쉼표 [0] 4 2 2 2 2 4 4" xfId="6576"/>
    <cellStyle name="쉼표 [0] 4 2 2 2 2 4 4 2" xfId="19250"/>
    <cellStyle name="쉼표 [0] 4 2 2 2 2 4 4 2 2" xfId="44602"/>
    <cellStyle name="쉼표 [0] 4 2 2 2 2 4 4 3" xfId="31930"/>
    <cellStyle name="쉼표 [0] 4 2 2 2 2 4 5" xfId="12914"/>
    <cellStyle name="쉼표 [0] 4 2 2 2 2 4 5 2" xfId="38266"/>
    <cellStyle name="쉼표 [0] 4 2 2 2 2 4 6" xfId="25594"/>
    <cellStyle name="쉼표 [0] 4 2 2 2 2 5" xfId="241"/>
    <cellStyle name="쉼표 [0] 4 2 2 2 2 5 2" xfId="242"/>
    <cellStyle name="쉼표 [0] 4 2 2 2 2 5 2 2" xfId="3339"/>
    <cellStyle name="쉼표 [0] 4 2 2 2 2 5 2 2 2" xfId="9675"/>
    <cellStyle name="쉼표 [0] 4 2 2 2 2 5 2 2 2 2" xfId="22349"/>
    <cellStyle name="쉼표 [0] 4 2 2 2 2 5 2 2 2 2 2" xfId="47701"/>
    <cellStyle name="쉼표 [0] 4 2 2 2 2 5 2 2 2 3" xfId="35029"/>
    <cellStyle name="쉼표 [0] 4 2 2 2 2 5 2 2 3" xfId="16013"/>
    <cellStyle name="쉼표 [0] 4 2 2 2 2 5 2 2 3 2" xfId="41365"/>
    <cellStyle name="쉼표 [0] 4 2 2 2 2 5 2 2 4" xfId="28693"/>
    <cellStyle name="쉼표 [0] 4 2 2 2 2 5 2 3" xfId="6579"/>
    <cellStyle name="쉼표 [0] 4 2 2 2 2 5 2 3 2" xfId="19253"/>
    <cellStyle name="쉼표 [0] 4 2 2 2 2 5 2 3 2 2" xfId="44605"/>
    <cellStyle name="쉼표 [0] 4 2 2 2 2 5 2 3 3" xfId="31933"/>
    <cellStyle name="쉼표 [0] 4 2 2 2 2 5 2 4" xfId="12917"/>
    <cellStyle name="쉼표 [0] 4 2 2 2 2 5 2 4 2" xfId="38269"/>
    <cellStyle name="쉼표 [0] 4 2 2 2 2 5 2 5" xfId="25597"/>
    <cellStyle name="쉼표 [0] 4 2 2 2 2 5 3" xfId="3340"/>
    <cellStyle name="쉼표 [0] 4 2 2 2 2 5 3 2" xfId="9676"/>
    <cellStyle name="쉼표 [0] 4 2 2 2 2 5 3 2 2" xfId="22350"/>
    <cellStyle name="쉼표 [0] 4 2 2 2 2 5 3 2 2 2" xfId="47702"/>
    <cellStyle name="쉼표 [0] 4 2 2 2 2 5 3 2 3" xfId="35030"/>
    <cellStyle name="쉼표 [0] 4 2 2 2 2 5 3 3" xfId="16014"/>
    <cellStyle name="쉼표 [0] 4 2 2 2 2 5 3 3 2" xfId="41366"/>
    <cellStyle name="쉼표 [0] 4 2 2 2 2 5 3 4" xfId="28694"/>
    <cellStyle name="쉼표 [0] 4 2 2 2 2 5 4" xfId="6578"/>
    <cellStyle name="쉼표 [0] 4 2 2 2 2 5 4 2" xfId="19252"/>
    <cellStyle name="쉼표 [0] 4 2 2 2 2 5 4 2 2" xfId="44604"/>
    <cellStyle name="쉼표 [0] 4 2 2 2 2 5 4 3" xfId="31932"/>
    <cellStyle name="쉼표 [0] 4 2 2 2 2 5 5" xfId="12916"/>
    <cellStyle name="쉼표 [0] 4 2 2 2 2 5 5 2" xfId="38268"/>
    <cellStyle name="쉼표 [0] 4 2 2 2 2 5 6" xfId="25596"/>
    <cellStyle name="쉼표 [0] 4 2 2 2 2 6" xfId="243"/>
    <cellStyle name="쉼표 [0] 4 2 2 2 2 6 2" xfId="244"/>
    <cellStyle name="쉼표 [0] 4 2 2 2 2 6 2 2" xfId="3341"/>
    <cellStyle name="쉼표 [0] 4 2 2 2 2 6 2 2 2" xfId="9677"/>
    <cellStyle name="쉼표 [0] 4 2 2 2 2 6 2 2 2 2" xfId="22351"/>
    <cellStyle name="쉼표 [0] 4 2 2 2 2 6 2 2 2 2 2" xfId="47703"/>
    <cellStyle name="쉼표 [0] 4 2 2 2 2 6 2 2 2 3" xfId="35031"/>
    <cellStyle name="쉼표 [0] 4 2 2 2 2 6 2 2 3" xfId="16015"/>
    <cellStyle name="쉼표 [0] 4 2 2 2 2 6 2 2 3 2" xfId="41367"/>
    <cellStyle name="쉼표 [0] 4 2 2 2 2 6 2 2 4" xfId="28695"/>
    <cellStyle name="쉼표 [0] 4 2 2 2 2 6 2 3" xfId="6581"/>
    <cellStyle name="쉼표 [0] 4 2 2 2 2 6 2 3 2" xfId="19255"/>
    <cellStyle name="쉼표 [0] 4 2 2 2 2 6 2 3 2 2" xfId="44607"/>
    <cellStyle name="쉼표 [0] 4 2 2 2 2 6 2 3 3" xfId="31935"/>
    <cellStyle name="쉼표 [0] 4 2 2 2 2 6 2 4" xfId="12919"/>
    <cellStyle name="쉼표 [0] 4 2 2 2 2 6 2 4 2" xfId="38271"/>
    <cellStyle name="쉼표 [0] 4 2 2 2 2 6 2 5" xfId="25599"/>
    <cellStyle name="쉼표 [0] 4 2 2 2 2 6 3" xfId="3342"/>
    <cellStyle name="쉼표 [0] 4 2 2 2 2 6 3 2" xfId="9678"/>
    <cellStyle name="쉼표 [0] 4 2 2 2 2 6 3 2 2" xfId="22352"/>
    <cellStyle name="쉼표 [0] 4 2 2 2 2 6 3 2 2 2" xfId="47704"/>
    <cellStyle name="쉼표 [0] 4 2 2 2 2 6 3 2 3" xfId="35032"/>
    <cellStyle name="쉼표 [0] 4 2 2 2 2 6 3 3" xfId="16016"/>
    <cellStyle name="쉼표 [0] 4 2 2 2 2 6 3 3 2" xfId="41368"/>
    <cellStyle name="쉼표 [0] 4 2 2 2 2 6 3 4" xfId="28696"/>
    <cellStyle name="쉼표 [0] 4 2 2 2 2 6 4" xfId="6580"/>
    <cellStyle name="쉼표 [0] 4 2 2 2 2 6 4 2" xfId="19254"/>
    <cellStyle name="쉼표 [0] 4 2 2 2 2 6 4 2 2" xfId="44606"/>
    <cellStyle name="쉼표 [0] 4 2 2 2 2 6 4 3" xfId="31934"/>
    <cellStyle name="쉼표 [0] 4 2 2 2 2 6 5" xfId="12918"/>
    <cellStyle name="쉼표 [0] 4 2 2 2 2 6 5 2" xfId="38270"/>
    <cellStyle name="쉼표 [0] 4 2 2 2 2 6 6" xfId="25598"/>
    <cellStyle name="쉼표 [0] 4 2 2 2 2 7" xfId="245"/>
    <cellStyle name="쉼표 [0] 4 2 2 2 2 7 2" xfId="246"/>
    <cellStyle name="쉼표 [0] 4 2 2 2 2 7 2 2" xfId="3343"/>
    <cellStyle name="쉼표 [0] 4 2 2 2 2 7 2 2 2" xfId="9679"/>
    <cellStyle name="쉼표 [0] 4 2 2 2 2 7 2 2 2 2" xfId="22353"/>
    <cellStyle name="쉼표 [0] 4 2 2 2 2 7 2 2 2 2 2" xfId="47705"/>
    <cellStyle name="쉼표 [0] 4 2 2 2 2 7 2 2 2 3" xfId="35033"/>
    <cellStyle name="쉼표 [0] 4 2 2 2 2 7 2 2 3" xfId="16017"/>
    <cellStyle name="쉼표 [0] 4 2 2 2 2 7 2 2 3 2" xfId="41369"/>
    <cellStyle name="쉼표 [0] 4 2 2 2 2 7 2 2 4" xfId="28697"/>
    <cellStyle name="쉼표 [0] 4 2 2 2 2 7 2 3" xfId="6583"/>
    <cellStyle name="쉼표 [0] 4 2 2 2 2 7 2 3 2" xfId="19257"/>
    <cellStyle name="쉼표 [0] 4 2 2 2 2 7 2 3 2 2" xfId="44609"/>
    <cellStyle name="쉼표 [0] 4 2 2 2 2 7 2 3 3" xfId="31937"/>
    <cellStyle name="쉼표 [0] 4 2 2 2 2 7 2 4" xfId="12921"/>
    <cellStyle name="쉼표 [0] 4 2 2 2 2 7 2 4 2" xfId="38273"/>
    <cellStyle name="쉼표 [0] 4 2 2 2 2 7 2 5" xfId="25601"/>
    <cellStyle name="쉼표 [0] 4 2 2 2 2 7 3" xfId="3344"/>
    <cellStyle name="쉼표 [0] 4 2 2 2 2 7 3 2" xfId="9680"/>
    <cellStyle name="쉼표 [0] 4 2 2 2 2 7 3 2 2" xfId="22354"/>
    <cellStyle name="쉼표 [0] 4 2 2 2 2 7 3 2 2 2" xfId="47706"/>
    <cellStyle name="쉼표 [0] 4 2 2 2 2 7 3 2 3" xfId="35034"/>
    <cellStyle name="쉼표 [0] 4 2 2 2 2 7 3 3" xfId="16018"/>
    <cellStyle name="쉼표 [0] 4 2 2 2 2 7 3 3 2" xfId="41370"/>
    <cellStyle name="쉼표 [0] 4 2 2 2 2 7 3 4" xfId="28698"/>
    <cellStyle name="쉼표 [0] 4 2 2 2 2 7 4" xfId="6582"/>
    <cellStyle name="쉼표 [0] 4 2 2 2 2 7 4 2" xfId="19256"/>
    <cellStyle name="쉼표 [0] 4 2 2 2 2 7 4 2 2" xfId="44608"/>
    <cellStyle name="쉼표 [0] 4 2 2 2 2 7 4 3" xfId="31936"/>
    <cellStyle name="쉼표 [0] 4 2 2 2 2 7 5" xfId="12920"/>
    <cellStyle name="쉼표 [0] 4 2 2 2 2 7 5 2" xfId="38272"/>
    <cellStyle name="쉼표 [0] 4 2 2 2 2 7 6" xfId="25600"/>
    <cellStyle name="쉼표 [0] 4 2 2 2 2 8" xfId="247"/>
    <cellStyle name="쉼표 [0] 4 2 2 2 2 8 2" xfId="248"/>
    <cellStyle name="쉼표 [0] 4 2 2 2 2 8 2 2" xfId="3345"/>
    <cellStyle name="쉼표 [0] 4 2 2 2 2 8 2 2 2" xfId="9681"/>
    <cellStyle name="쉼표 [0] 4 2 2 2 2 8 2 2 2 2" xfId="22355"/>
    <cellStyle name="쉼표 [0] 4 2 2 2 2 8 2 2 2 2 2" xfId="47707"/>
    <cellStyle name="쉼표 [0] 4 2 2 2 2 8 2 2 2 3" xfId="35035"/>
    <cellStyle name="쉼표 [0] 4 2 2 2 2 8 2 2 3" xfId="16019"/>
    <cellStyle name="쉼표 [0] 4 2 2 2 2 8 2 2 3 2" xfId="41371"/>
    <cellStyle name="쉼표 [0] 4 2 2 2 2 8 2 2 4" xfId="28699"/>
    <cellStyle name="쉼표 [0] 4 2 2 2 2 8 2 3" xfId="6585"/>
    <cellStyle name="쉼표 [0] 4 2 2 2 2 8 2 3 2" xfId="19259"/>
    <cellStyle name="쉼표 [0] 4 2 2 2 2 8 2 3 2 2" xfId="44611"/>
    <cellStyle name="쉼표 [0] 4 2 2 2 2 8 2 3 3" xfId="31939"/>
    <cellStyle name="쉼표 [0] 4 2 2 2 2 8 2 4" xfId="12923"/>
    <cellStyle name="쉼표 [0] 4 2 2 2 2 8 2 4 2" xfId="38275"/>
    <cellStyle name="쉼표 [0] 4 2 2 2 2 8 2 5" xfId="25603"/>
    <cellStyle name="쉼표 [0] 4 2 2 2 2 8 3" xfId="3346"/>
    <cellStyle name="쉼표 [0] 4 2 2 2 2 8 3 2" xfId="9682"/>
    <cellStyle name="쉼표 [0] 4 2 2 2 2 8 3 2 2" xfId="22356"/>
    <cellStyle name="쉼표 [0] 4 2 2 2 2 8 3 2 2 2" xfId="47708"/>
    <cellStyle name="쉼표 [0] 4 2 2 2 2 8 3 2 3" xfId="35036"/>
    <cellStyle name="쉼표 [0] 4 2 2 2 2 8 3 3" xfId="16020"/>
    <cellStyle name="쉼표 [0] 4 2 2 2 2 8 3 3 2" xfId="41372"/>
    <cellStyle name="쉼표 [0] 4 2 2 2 2 8 3 4" xfId="28700"/>
    <cellStyle name="쉼표 [0] 4 2 2 2 2 8 4" xfId="6584"/>
    <cellStyle name="쉼표 [0] 4 2 2 2 2 8 4 2" xfId="19258"/>
    <cellStyle name="쉼표 [0] 4 2 2 2 2 8 4 2 2" xfId="44610"/>
    <cellStyle name="쉼표 [0] 4 2 2 2 2 8 4 3" xfId="31938"/>
    <cellStyle name="쉼표 [0] 4 2 2 2 2 8 5" xfId="12922"/>
    <cellStyle name="쉼표 [0] 4 2 2 2 2 8 5 2" xfId="38274"/>
    <cellStyle name="쉼표 [0] 4 2 2 2 2 8 6" xfId="25602"/>
    <cellStyle name="쉼표 [0] 4 2 2 2 2 9" xfId="249"/>
    <cellStyle name="쉼표 [0] 4 2 2 2 2 9 2" xfId="250"/>
    <cellStyle name="쉼표 [0] 4 2 2 2 2 9 2 2" xfId="3347"/>
    <cellStyle name="쉼표 [0] 4 2 2 2 2 9 2 2 2" xfId="9683"/>
    <cellStyle name="쉼표 [0] 4 2 2 2 2 9 2 2 2 2" xfId="22357"/>
    <cellStyle name="쉼표 [0] 4 2 2 2 2 9 2 2 2 2 2" xfId="47709"/>
    <cellStyle name="쉼표 [0] 4 2 2 2 2 9 2 2 2 3" xfId="35037"/>
    <cellStyle name="쉼표 [0] 4 2 2 2 2 9 2 2 3" xfId="16021"/>
    <cellStyle name="쉼표 [0] 4 2 2 2 2 9 2 2 3 2" xfId="41373"/>
    <cellStyle name="쉼표 [0] 4 2 2 2 2 9 2 2 4" xfId="28701"/>
    <cellStyle name="쉼표 [0] 4 2 2 2 2 9 2 3" xfId="6587"/>
    <cellStyle name="쉼표 [0] 4 2 2 2 2 9 2 3 2" xfId="19261"/>
    <cellStyle name="쉼표 [0] 4 2 2 2 2 9 2 3 2 2" xfId="44613"/>
    <cellStyle name="쉼표 [0] 4 2 2 2 2 9 2 3 3" xfId="31941"/>
    <cellStyle name="쉼표 [0] 4 2 2 2 2 9 2 4" xfId="12925"/>
    <cellStyle name="쉼표 [0] 4 2 2 2 2 9 2 4 2" xfId="38277"/>
    <cellStyle name="쉼표 [0] 4 2 2 2 2 9 2 5" xfId="25605"/>
    <cellStyle name="쉼표 [0] 4 2 2 2 2 9 3" xfId="3348"/>
    <cellStyle name="쉼표 [0] 4 2 2 2 2 9 3 2" xfId="9684"/>
    <cellStyle name="쉼표 [0] 4 2 2 2 2 9 3 2 2" xfId="22358"/>
    <cellStyle name="쉼표 [0] 4 2 2 2 2 9 3 2 2 2" xfId="47710"/>
    <cellStyle name="쉼표 [0] 4 2 2 2 2 9 3 2 3" xfId="35038"/>
    <cellStyle name="쉼표 [0] 4 2 2 2 2 9 3 3" xfId="16022"/>
    <cellStyle name="쉼표 [0] 4 2 2 2 2 9 3 3 2" xfId="41374"/>
    <cellStyle name="쉼표 [0] 4 2 2 2 2 9 3 4" xfId="28702"/>
    <cellStyle name="쉼표 [0] 4 2 2 2 2 9 4" xfId="6586"/>
    <cellStyle name="쉼표 [0] 4 2 2 2 2 9 4 2" xfId="19260"/>
    <cellStyle name="쉼표 [0] 4 2 2 2 2 9 4 2 2" xfId="44612"/>
    <cellStyle name="쉼표 [0] 4 2 2 2 2 9 4 3" xfId="31940"/>
    <cellStyle name="쉼표 [0] 4 2 2 2 2 9 5" xfId="12924"/>
    <cellStyle name="쉼표 [0] 4 2 2 2 2 9 5 2" xfId="38276"/>
    <cellStyle name="쉼표 [0] 4 2 2 2 2 9 6" xfId="25604"/>
    <cellStyle name="쉼표 [0] 4 2 2 2 20" xfId="251"/>
    <cellStyle name="쉼표 [0] 4 2 2 2 20 2" xfId="252"/>
    <cellStyle name="쉼표 [0] 4 2 2 2 20 2 2" xfId="3349"/>
    <cellStyle name="쉼표 [0] 4 2 2 2 20 2 2 2" xfId="9685"/>
    <cellStyle name="쉼표 [0] 4 2 2 2 20 2 2 2 2" xfId="22359"/>
    <cellStyle name="쉼표 [0] 4 2 2 2 20 2 2 2 2 2" xfId="47711"/>
    <cellStyle name="쉼표 [0] 4 2 2 2 20 2 2 2 3" xfId="35039"/>
    <cellStyle name="쉼표 [0] 4 2 2 2 20 2 2 3" xfId="16023"/>
    <cellStyle name="쉼표 [0] 4 2 2 2 20 2 2 3 2" xfId="41375"/>
    <cellStyle name="쉼표 [0] 4 2 2 2 20 2 2 4" xfId="28703"/>
    <cellStyle name="쉼표 [0] 4 2 2 2 20 2 3" xfId="6589"/>
    <cellStyle name="쉼표 [0] 4 2 2 2 20 2 3 2" xfId="19263"/>
    <cellStyle name="쉼표 [0] 4 2 2 2 20 2 3 2 2" xfId="44615"/>
    <cellStyle name="쉼표 [0] 4 2 2 2 20 2 3 3" xfId="31943"/>
    <cellStyle name="쉼표 [0] 4 2 2 2 20 2 4" xfId="12927"/>
    <cellStyle name="쉼표 [0] 4 2 2 2 20 2 4 2" xfId="38279"/>
    <cellStyle name="쉼표 [0] 4 2 2 2 20 2 5" xfId="25607"/>
    <cellStyle name="쉼표 [0] 4 2 2 2 20 3" xfId="3350"/>
    <cellStyle name="쉼표 [0] 4 2 2 2 20 3 2" xfId="9686"/>
    <cellStyle name="쉼표 [0] 4 2 2 2 20 3 2 2" xfId="22360"/>
    <cellStyle name="쉼표 [0] 4 2 2 2 20 3 2 2 2" xfId="47712"/>
    <cellStyle name="쉼표 [0] 4 2 2 2 20 3 2 3" xfId="35040"/>
    <cellStyle name="쉼표 [0] 4 2 2 2 20 3 3" xfId="16024"/>
    <cellStyle name="쉼표 [0] 4 2 2 2 20 3 3 2" xfId="41376"/>
    <cellStyle name="쉼표 [0] 4 2 2 2 20 3 4" xfId="28704"/>
    <cellStyle name="쉼표 [0] 4 2 2 2 20 4" xfId="6588"/>
    <cellStyle name="쉼표 [0] 4 2 2 2 20 4 2" xfId="19262"/>
    <cellStyle name="쉼표 [0] 4 2 2 2 20 4 2 2" xfId="44614"/>
    <cellStyle name="쉼표 [0] 4 2 2 2 20 4 3" xfId="31942"/>
    <cellStyle name="쉼표 [0] 4 2 2 2 20 5" xfId="12926"/>
    <cellStyle name="쉼표 [0] 4 2 2 2 20 5 2" xfId="38278"/>
    <cellStyle name="쉼표 [0] 4 2 2 2 20 6" xfId="25606"/>
    <cellStyle name="쉼표 [0] 4 2 2 2 21" xfId="253"/>
    <cellStyle name="쉼표 [0] 4 2 2 2 21 2" xfId="254"/>
    <cellStyle name="쉼표 [0] 4 2 2 2 21 2 2" xfId="3351"/>
    <cellStyle name="쉼표 [0] 4 2 2 2 21 2 2 2" xfId="9687"/>
    <cellStyle name="쉼표 [0] 4 2 2 2 21 2 2 2 2" xfId="22361"/>
    <cellStyle name="쉼표 [0] 4 2 2 2 21 2 2 2 2 2" xfId="47713"/>
    <cellStyle name="쉼표 [0] 4 2 2 2 21 2 2 2 3" xfId="35041"/>
    <cellStyle name="쉼표 [0] 4 2 2 2 21 2 2 3" xfId="16025"/>
    <cellStyle name="쉼표 [0] 4 2 2 2 21 2 2 3 2" xfId="41377"/>
    <cellStyle name="쉼표 [0] 4 2 2 2 21 2 2 4" xfId="28705"/>
    <cellStyle name="쉼표 [0] 4 2 2 2 21 2 3" xfId="6591"/>
    <cellStyle name="쉼표 [0] 4 2 2 2 21 2 3 2" xfId="19265"/>
    <cellStyle name="쉼표 [0] 4 2 2 2 21 2 3 2 2" xfId="44617"/>
    <cellStyle name="쉼표 [0] 4 2 2 2 21 2 3 3" xfId="31945"/>
    <cellStyle name="쉼표 [0] 4 2 2 2 21 2 4" xfId="12929"/>
    <cellStyle name="쉼표 [0] 4 2 2 2 21 2 4 2" xfId="38281"/>
    <cellStyle name="쉼표 [0] 4 2 2 2 21 2 5" xfId="25609"/>
    <cellStyle name="쉼표 [0] 4 2 2 2 21 3" xfId="3352"/>
    <cellStyle name="쉼표 [0] 4 2 2 2 21 3 2" xfId="9688"/>
    <cellStyle name="쉼표 [0] 4 2 2 2 21 3 2 2" xfId="22362"/>
    <cellStyle name="쉼표 [0] 4 2 2 2 21 3 2 2 2" xfId="47714"/>
    <cellStyle name="쉼표 [0] 4 2 2 2 21 3 2 3" xfId="35042"/>
    <cellStyle name="쉼표 [0] 4 2 2 2 21 3 3" xfId="16026"/>
    <cellStyle name="쉼표 [0] 4 2 2 2 21 3 3 2" xfId="41378"/>
    <cellStyle name="쉼표 [0] 4 2 2 2 21 3 4" xfId="28706"/>
    <cellStyle name="쉼표 [0] 4 2 2 2 21 4" xfId="6590"/>
    <cellStyle name="쉼표 [0] 4 2 2 2 21 4 2" xfId="19264"/>
    <cellStyle name="쉼표 [0] 4 2 2 2 21 4 2 2" xfId="44616"/>
    <cellStyle name="쉼표 [0] 4 2 2 2 21 4 3" xfId="31944"/>
    <cellStyle name="쉼표 [0] 4 2 2 2 21 5" xfId="12928"/>
    <cellStyle name="쉼표 [0] 4 2 2 2 21 5 2" xfId="38280"/>
    <cellStyle name="쉼표 [0] 4 2 2 2 21 6" xfId="25608"/>
    <cellStyle name="쉼표 [0] 4 2 2 2 22" xfId="255"/>
    <cellStyle name="쉼표 [0] 4 2 2 2 22 2" xfId="256"/>
    <cellStyle name="쉼표 [0] 4 2 2 2 22 2 2" xfId="3353"/>
    <cellStyle name="쉼표 [0] 4 2 2 2 22 2 2 2" xfId="9689"/>
    <cellStyle name="쉼표 [0] 4 2 2 2 22 2 2 2 2" xfId="22363"/>
    <cellStyle name="쉼표 [0] 4 2 2 2 22 2 2 2 2 2" xfId="47715"/>
    <cellStyle name="쉼표 [0] 4 2 2 2 22 2 2 2 3" xfId="35043"/>
    <cellStyle name="쉼표 [0] 4 2 2 2 22 2 2 3" xfId="16027"/>
    <cellStyle name="쉼표 [0] 4 2 2 2 22 2 2 3 2" xfId="41379"/>
    <cellStyle name="쉼표 [0] 4 2 2 2 22 2 2 4" xfId="28707"/>
    <cellStyle name="쉼표 [0] 4 2 2 2 22 2 3" xfId="6593"/>
    <cellStyle name="쉼표 [0] 4 2 2 2 22 2 3 2" xfId="19267"/>
    <cellStyle name="쉼표 [0] 4 2 2 2 22 2 3 2 2" xfId="44619"/>
    <cellStyle name="쉼표 [0] 4 2 2 2 22 2 3 3" xfId="31947"/>
    <cellStyle name="쉼표 [0] 4 2 2 2 22 2 4" xfId="12931"/>
    <cellStyle name="쉼표 [0] 4 2 2 2 22 2 4 2" xfId="38283"/>
    <cellStyle name="쉼표 [0] 4 2 2 2 22 2 5" xfId="25611"/>
    <cellStyle name="쉼표 [0] 4 2 2 2 22 3" xfId="3354"/>
    <cellStyle name="쉼표 [0] 4 2 2 2 22 3 2" xfId="9690"/>
    <cellStyle name="쉼표 [0] 4 2 2 2 22 3 2 2" xfId="22364"/>
    <cellStyle name="쉼표 [0] 4 2 2 2 22 3 2 2 2" xfId="47716"/>
    <cellStyle name="쉼표 [0] 4 2 2 2 22 3 2 3" xfId="35044"/>
    <cellStyle name="쉼표 [0] 4 2 2 2 22 3 3" xfId="16028"/>
    <cellStyle name="쉼표 [0] 4 2 2 2 22 3 3 2" xfId="41380"/>
    <cellStyle name="쉼표 [0] 4 2 2 2 22 3 4" xfId="28708"/>
    <cellStyle name="쉼표 [0] 4 2 2 2 22 4" xfId="6592"/>
    <cellStyle name="쉼표 [0] 4 2 2 2 22 4 2" xfId="19266"/>
    <cellStyle name="쉼표 [0] 4 2 2 2 22 4 2 2" xfId="44618"/>
    <cellStyle name="쉼표 [0] 4 2 2 2 22 4 3" xfId="31946"/>
    <cellStyle name="쉼표 [0] 4 2 2 2 22 5" xfId="12930"/>
    <cellStyle name="쉼표 [0] 4 2 2 2 22 5 2" xfId="38282"/>
    <cellStyle name="쉼표 [0] 4 2 2 2 22 6" xfId="25610"/>
    <cellStyle name="쉼표 [0] 4 2 2 2 23" xfId="257"/>
    <cellStyle name="쉼표 [0] 4 2 2 2 23 2" xfId="258"/>
    <cellStyle name="쉼표 [0] 4 2 2 2 23 2 2" xfId="3355"/>
    <cellStyle name="쉼표 [0] 4 2 2 2 23 2 2 2" xfId="9691"/>
    <cellStyle name="쉼표 [0] 4 2 2 2 23 2 2 2 2" xfId="22365"/>
    <cellStyle name="쉼표 [0] 4 2 2 2 23 2 2 2 2 2" xfId="47717"/>
    <cellStyle name="쉼표 [0] 4 2 2 2 23 2 2 2 3" xfId="35045"/>
    <cellStyle name="쉼표 [0] 4 2 2 2 23 2 2 3" xfId="16029"/>
    <cellStyle name="쉼표 [0] 4 2 2 2 23 2 2 3 2" xfId="41381"/>
    <cellStyle name="쉼표 [0] 4 2 2 2 23 2 2 4" xfId="28709"/>
    <cellStyle name="쉼표 [0] 4 2 2 2 23 2 3" xfId="6595"/>
    <cellStyle name="쉼표 [0] 4 2 2 2 23 2 3 2" xfId="19269"/>
    <cellStyle name="쉼표 [0] 4 2 2 2 23 2 3 2 2" xfId="44621"/>
    <cellStyle name="쉼표 [0] 4 2 2 2 23 2 3 3" xfId="31949"/>
    <cellStyle name="쉼표 [0] 4 2 2 2 23 2 4" xfId="12933"/>
    <cellStyle name="쉼표 [0] 4 2 2 2 23 2 4 2" xfId="38285"/>
    <cellStyle name="쉼표 [0] 4 2 2 2 23 2 5" xfId="25613"/>
    <cellStyle name="쉼표 [0] 4 2 2 2 23 3" xfId="3356"/>
    <cellStyle name="쉼표 [0] 4 2 2 2 23 3 2" xfId="9692"/>
    <cellStyle name="쉼표 [0] 4 2 2 2 23 3 2 2" xfId="22366"/>
    <cellStyle name="쉼표 [0] 4 2 2 2 23 3 2 2 2" xfId="47718"/>
    <cellStyle name="쉼표 [0] 4 2 2 2 23 3 2 3" xfId="35046"/>
    <cellStyle name="쉼표 [0] 4 2 2 2 23 3 3" xfId="16030"/>
    <cellStyle name="쉼표 [0] 4 2 2 2 23 3 3 2" xfId="41382"/>
    <cellStyle name="쉼표 [0] 4 2 2 2 23 3 4" xfId="28710"/>
    <cellStyle name="쉼표 [0] 4 2 2 2 23 4" xfId="6594"/>
    <cellStyle name="쉼표 [0] 4 2 2 2 23 4 2" xfId="19268"/>
    <cellStyle name="쉼표 [0] 4 2 2 2 23 4 2 2" xfId="44620"/>
    <cellStyle name="쉼표 [0] 4 2 2 2 23 4 3" xfId="31948"/>
    <cellStyle name="쉼표 [0] 4 2 2 2 23 5" xfId="12932"/>
    <cellStyle name="쉼표 [0] 4 2 2 2 23 5 2" xfId="38284"/>
    <cellStyle name="쉼표 [0] 4 2 2 2 23 6" xfId="25612"/>
    <cellStyle name="쉼표 [0] 4 2 2 2 24" xfId="259"/>
    <cellStyle name="쉼표 [0] 4 2 2 2 24 2" xfId="260"/>
    <cellStyle name="쉼표 [0] 4 2 2 2 24 2 2" xfId="3357"/>
    <cellStyle name="쉼표 [0] 4 2 2 2 24 2 2 2" xfId="9693"/>
    <cellStyle name="쉼표 [0] 4 2 2 2 24 2 2 2 2" xfId="22367"/>
    <cellStyle name="쉼표 [0] 4 2 2 2 24 2 2 2 2 2" xfId="47719"/>
    <cellStyle name="쉼표 [0] 4 2 2 2 24 2 2 2 3" xfId="35047"/>
    <cellStyle name="쉼표 [0] 4 2 2 2 24 2 2 3" xfId="16031"/>
    <cellStyle name="쉼표 [0] 4 2 2 2 24 2 2 3 2" xfId="41383"/>
    <cellStyle name="쉼표 [0] 4 2 2 2 24 2 2 4" xfId="28711"/>
    <cellStyle name="쉼표 [0] 4 2 2 2 24 2 3" xfId="6597"/>
    <cellStyle name="쉼표 [0] 4 2 2 2 24 2 3 2" xfId="19271"/>
    <cellStyle name="쉼표 [0] 4 2 2 2 24 2 3 2 2" xfId="44623"/>
    <cellStyle name="쉼표 [0] 4 2 2 2 24 2 3 3" xfId="31951"/>
    <cellStyle name="쉼표 [0] 4 2 2 2 24 2 4" xfId="12935"/>
    <cellStyle name="쉼표 [0] 4 2 2 2 24 2 4 2" xfId="38287"/>
    <cellStyle name="쉼표 [0] 4 2 2 2 24 2 5" xfId="25615"/>
    <cellStyle name="쉼표 [0] 4 2 2 2 24 3" xfId="3358"/>
    <cellStyle name="쉼표 [0] 4 2 2 2 24 3 2" xfId="9694"/>
    <cellStyle name="쉼표 [0] 4 2 2 2 24 3 2 2" xfId="22368"/>
    <cellStyle name="쉼표 [0] 4 2 2 2 24 3 2 2 2" xfId="47720"/>
    <cellStyle name="쉼표 [0] 4 2 2 2 24 3 2 3" xfId="35048"/>
    <cellStyle name="쉼표 [0] 4 2 2 2 24 3 3" xfId="16032"/>
    <cellStyle name="쉼표 [0] 4 2 2 2 24 3 3 2" xfId="41384"/>
    <cellStyle name="쉼표 [0] 4 2 2 2 24 3 4" xfId="28712"/>
    <cellStyle name="쉼표 [0] 4 2 2 2 24 4" xfId="6596"/>
    <cellStyle name="쉼표 [0] 4 2 2 2 24 4 2" xfId="19270"/>
    <cellStyle name="쉼표 [0] 4 2 2 2 24 4 2 2" xfId="44622"/>
    <cellStyle name="쉼표 [0] 4 2 2 2 24 4 3" xfId="31950"/>
    <cellStyle name="쉼표 [0] 4 2 2 2 24 5" xfId="12934"/>
    <cellStyle name="쉼표 [0] 4 2 2 2 24 5 2" xfId="38286"/>
    <cellStyle name="쉼표 [0] 4 2 2 2 24 6" xfId="25614"/>
    <cellStyle name="쉼표 [0] 4 2 2 2 25" xfId="261"/>
    <cellStyle name="쉼표 [0] 4 2 2 2 25 2" xfId="262"/>
    <cellStyle name="쉼표 [0] 4 2 2 2 25 2 2" xfId="3359"/>
    <cellStyle name="쉼표 [0] 4 2 2 2 25 2 2 2" xfId="9695"/>
    <cellStyle name="쉼표 [0] 4 2 2 2 25 2 2 2 2" xfId="22369"/>
    <cellStyle name="쉼표 [0] 4 2 2 2 25 2 2 2 2 2" xfId="47721"/>
    <cellStyle name="쉼표 [0] 4 2 2 2 25 2 2 2 3" xfId="35049"/>
    <cellStyle name="쉼표 [0] 4 2 2 2 25 2 2 3" xfId="16033"/>
    <cellStyle name="쉼표 [0] 4 2 2 2 25 2 2 3 2" xfId="41385"/>
    <cellStyle name="쉼표 [0] 4 2 2 2 25 2 2 4" xfId="28713"/>
    <cellStyle name="쉼표 [0] 4 2 2 2 25 2 3" xfId="6599"/>
    <cellStyle name="쉼표 [0] 4 2 2 2 25 2 3 2" xfId="19273"/>
    <cellStyle name="쉼표 [0] 4 2 2 2 25 2 3 2 2" xfId="44625"/>
    <cellStyle name="쉼표 [0] 4 2 2 2 25 2 3 3" xfId="31953"/>
    <cellStyle name="쉼표 [0] 4 2 2 2 25 2 4" xfId="12937"/>
    <cellStyle name="쉼표 [0] 4 2 2 2 25 2 4 2" xfId="38289"/>
    <cellStyle name="쉼표 [0] 4 2 2 2 25 2 5" xfId="25617"/>
    <cellStyle name="쉼표 [0] 4 2 2 2 25 3" xfId="3360"/>
    <cellStyle name="쉼표 [0] 4 2 2 2 25 3 2" xfId="9696"/>
    <cellStyle name="쉼표 [0] 4 2 2 2 25 3 2 2" xfId="22370"/>
    <cellStyle name="쉼표 [0] 4 2 2 2 25 3 2 2 2" xfId="47722"/>
    <cellStyle name="쉼표 [0] 4 2 2 2 25 3 2 3" xfId="35050"/>
    <cellStyle name="쉼표 [0] 4 2 2 2 25 3 3" xfId="16034"/>
    <cellStyle name="쉼표 [0] 4 2 2 2 25 3 3 2" xfId="41386"/>
    <cellStyle name="쉼표 [0] 4 2 2 2 25 3 4" xfId="28714"/>
    <cellStyle name="쉼표 [0] 4 2 2 2 25 4" xfId="6598"/>
    <cellStyle name="쉼표 [0] 4 2 2 2 25 4 2" xfId="19272"/>
    <cellStyle name="쉼표 [0] 4 2 2 2 25 4 2 2" xfId="44624"/>
    <cellStyle name="쉼표 [0] 4 2 2 2 25 4 3" xfId="31952"/>
    <cellStyle name="쉼표 [0] 4 2 2 2 25 5" xfId="12936"/>
    <cellStyle name="쉼표 [0] 4 2 2 2 25 5 2" xfId="38288"/>
    <cellStyle name="쉼표 [0] 4 2 2 2 25 6" xfId="25616"/>
    <cellStyle name="쉼표 [0] 4 2 2 2 26" xfId="263"/>
    <cellStyle name="쉼표 [0] 4 2 2 2 26 2" xfId="264"/>
    <cellStyle name="쉼표 [0] 4 2 2 2 26 2 2" xfId="3361"/>
    <cellStyle name="쉼표 [0] 4 2 2 2 26 2 2 2" xfId="9697"/>
    <cellStyle name="쉼표 [0] 4 2 2 2 26 2 2 2 2" xfId="22371"/>
    <cellStyle name="쉼표 [0] 4 2 2 2 26 2 2 2 2 2" xfId="47723"/>
    <cellStyle name="쉼표 [0] 4 2 2 2 26 2 2 2 3" xfId="35051"/>
    <cellStyle name="쉼표 [0] 4 2 2 2 26 2 2 3" xfId="16035"/>
    <cellStyle name="쉼표 [0] 4 2 2 2 26 2 2 3 2" xfId="41387"/>
    <cellStyle name="쉼표 [0] 4 2 2 2 26 2 2 4" xfId="28715"/>
    <cellStyle name="쉼표 [0] 4 2 2 2 26 2 3" xfId="6601"/>
    <cellStyle name="쉼표 [0] 4 2 2 2 26 2 3 2" xfId="19275"/>
    <cellStyle name="쉼표 [0] 4 2 2 2 26 2 3 2 2" xfId="44627"/>
    <cellStyle name="쉼표 [0] 4 2 2 2 26 2 3 3" xfId="31955"/>
    <cellStyle name="쉼표 [0] 4 2 2 2 26 2 4" xfId="12939"/>
    <cellStyle name="쉼표 [0] 4 2 2 2 26 2 4 2" xfId="38291"/>
    <cellStyle name="쉼표 [0] 4 2 2 2 26 2 5" xfId="25619"/>
    <cellStyle name="쉼표 [0] 4 2 2 2 26 3" xfId="3362"/>
    <cellStyle name="쉼표 [0] 4 2 2 2 26 3 2" xfId="9698"/>
    <cellStyle name="쉼표 [0] 4 2 2 2 26 3 2 2" xfId="22372"/>
    <cellStyle name="쉼표 [0] 4 2 2 2 26 3 2 2 2" xfId="47724"/>
    <cellStyle name="쉼표 [0] 4 2 2 2 26 3 2 3" xfId="35052"/>
    <cellStyle name="쉼표 [0] 4 2 2 2 26 3 3" xfId="16036"/>
    <cellStyle name="쉼표 [0] 4 2 2 2 26 3 3 2" xfId="41388"/>
    <cellStyle name="쉼표 [0] 4 2 2 2 26 3 4" xfId="28716"/>
    <cellStyle name="쉼표 [0] 4 2 2 2 26 4" xfId="6600"/>
    <cellStyle name="쉼표 [0] 4 2 2 2 26 4 2" xfId="19274"/>
    <cellStyle name="쉼표 [0] 4 2 2 2 26 4 2 2" xfId="44626"/>
    <cellStyle name="쉼표 [0] 4 2 2 2 26 4 3" xfId="31954"/>
    <cellStyle name="쉼표 [0] 4 2 2 2 26 5" xfId="12938"/>
    <cellStyle name="쉼표 [0] 4 2 2 2 26 5 2" xfId="38290"/>
    <cellStyle name="쉼표 [0] 4 2 2 2 26 6" xfId="25618"/>
    <cellStyle name="쉼표 [0] 4 2 2 2 27" xfId="265"/>
    <cellStyle name="쉼표 [0] 4 2 2 2 27 2" xfId="266"/>
    <cellStyle name="쉼표 [0] 4 2 2 2 27 2 2" xfId="3363"/>
    <cellStyle name="쉼표 [0] 4 2 2 2 27 2 2 2" xfId="9699"/>
    <cellStyle name="쉼표 [0] 4 2 2 2 27 2 2 2 2" xfId="22373"/>
    <cellStyle name="쉼표 [0] 4 2 2 2 27 2 2 2 2 2" xfId="47725"/>
    <cellStyle name="쉼표 [0] 4 2 2 2 27 2 2 2 3" xfId="35053"/>
    <cellStyle name="쉼표 [0] 4 2 2 2 27 2 2 3" xfId="16037"/>
    <cellStyle name="쉼표 [0] 4 2 2 2 27 2 2 3 2" xfId="41389"/>
    <cellStyle name="쉼표 [0] 4 2 2 2 27 2 2 4" xfId="28717"/>
    <cellStyle name="쉼표 [0] 4 2 2 2 27 2 3" xfId="6603"/>
    <cellStyle name="쉼표 [0] 4 2 2 2 27 2 3 2" xfId="19277"/>
    <cellStyle name="쉼표 [0] 4 2 2 2 27 2 3 2 2" xfId="44629"/>
    <cellStyle name="쉼표 [0] 4 2 2 2 27 2 3 3" xfId="31957"/>
    <cellStyle name="쉼표 [0] 4 2 2 2 27 2 4" xfId="12941"/>
    <cellStyle name="쉼표 [0] 4 2 2 2 27 2 4 2" xfId="38293"/>
    <cellStyle name="쉼표 [0] 4 2 2 2 27 2 5" xfId="25621"/>
    <cellStyle name="쉼표 [0] 4 2 2 2 27 3" xfId="3364"/>
    <cellStyle name="쉼표 [0] 4 2 2 2 27 3 2" xfId="9700"/>
    <cellStyle name="쉼표 [0] 4 2 2 2 27 3 2 2" xfId="22374"/>
    <cellStyle name="쉼표 [0] 4 2 2 2 27 3 2 2 2" xfId="47726"/>
    <cellStyle name="쉼표 [0] 4 2 2 2 27 3 2 3" xfId="35054"/>
    <cellStyle name="쉼표 [0] 4 2 2 2 27 3 3" xfId="16038"/>
    <cellStyle name="쉼표 [0] 4 2 2 2 27 3 3 2" xfId="41390"/>
    <cellStyle name="쉼표 [0] 4 2 2 2 27 3 4" xfId="28718"/>
    <cellStyle name="쉼표 [0] 4 2 2 2 27 4" xfId="6602"/>
    <cellStyle name="쉼표 [0] 4 2 2 2 27 4 2" xfId="19276"/>
    <cellStyle name="쉼표 [0] 4 2 2 2 27 4 2 2" xfId="44628"/>
    <cellStyle name="쉼표 [0] 4 2 2 2 27 4 3" xfId="31956"/>
    <cellStyle name="쉼표 [0] 4 2 2 2 27 5" xfId="12940"/>
    <cellStyle name="쉼표 [0] 4 2 2 2 27 5 2" xfId="38292"/>
    <cellStyle name="쉼표 [0] 4 2 2 2 27 6" xfId="25620"/>
    <cellStyle name="쉼표 [0] 4 2 2 2 28" xfId="267"/>
    <cellStyle name="쉼표 [0] 4 2 2 2 28 2" xfId="268"/>
    <cellStyle name="쉼표 [0] 4 2 2 2 28 2 2" xfId="3365"/>
    <cellStyle name="쉼표 [0] 4 2 2 2 28 2 2 2" xfId="9701"/>
    <cellStyle name="쉼표 [0] 4 2 2 2 28 2 2 2 2" xfId="22375"/>
    <cellStyle name="쉼표 [0] 4 2 2 2 28 2 2 2 2 2" xfId="47727"/>
    <cellStyle name="쉼표 [0] 4 2 2 2 28 2 2 2 3" xfId="35055"/>
    <cellStyle name="쉼표 [0] 4 2 2 2 28 2 2 3" xfId="16039"/>
    <cellStyle name="쉼표 [0] 4 2 2 2 28 2 2 3 2" xfId="41391"/>
    <cellStyle name="쉼표 [0] 4 2 2 2 28 2 2 4" xfId="28719"/>
    <cellStyle name="쉼표 [0] 4 2 2 2 28 2 3" xfId="6605"/>
    <cellStyle name="쉼표 [0] 4 2 2 2 28 2 3 2" xfId="19279"/>
    <cellStyle name="쉼표 [0] 4 2 2 2 28 2 3 2 2" xfId="44631"/>
    <cellStyle name="쉼표 [0] 4 2 2 2 28 2 3 3" xfId="31959"/>
    <cellStyle name="쉼표 [0] 4 2 2 2 28 2 4" xfId="12943"/>
    <cellStyle name="쉼표 [0] 4 2 2 2 28 2 4 2" xfId="38295"/>
    <cellStyle name="쉼표 [0] 4 2 2 2 28 2 5" xfId="25623"/>
    <cellStyle name="쉼표 [0] 4 2 2 2 28 3" xfId="3366"/>
    <cellStyle name="쉼표 [0] 4 2 2 2 28 3 2" xfId="9702"/>
    <cellStyle name="쉼표 [0] 4 2 2 2 28 3 2 2" xfId="22376"/>
    <cellStyle name="쉼표 [0] 4 2 2 2 28 3 2 2 2" xfId="47728"/>
    <cellStyle name="쉼표 [0] 4 2 2 2 28 3 2 3" xfId="35056"/>
    <cellStyle name="쉼표 [0] 4 2 2 2 28 3 3" xfId="16040"/>
    <cellStyle name="쉼표 [0] 4 2 2 2 28 3 3 2" xfId="41392"/>
    <cellStyle name="쉼표 [0] 4 2 2 2 28 3 4" xfId="28720"/>
    <cellStyle name="쉼표 [0] 4 2 2 2 28 4" xfId="6604"/>
    <cellStyle name="쉼표 [0] 4 2 2 2 28 4 2" xfId="19278"/>
    <cellStyle name="쉼표 [0] 4 2 2 2 28 4 2 2" xfId="44630"/>
    <cellStyle name="쉼표 [0] 4 2 2 2 28 4 3" xfId="31958"/>
    <cellStyle name="쉼표 [0] 4 2 2 2 28 5" xfId="12942"/>
    <cellStyle name="쉼표 [0] 4 2 2 2 28 5 2" xfId="38294"/>
    <cellStyle name="쉼표 [0] 4 2 2 2 28 6" xfId="25622"/>
    <cellStyle name="쉼표 [0] 4 2 2 2 29" xfId="269"/>
    <cellStyle name="쉼표 [0] 4 2 2 2 29 2" xfId="270"/>
    <cellStyle name="쉼표 [0] 4 2 2 2 29 2 2" xfId="3367"/>
    <cellStyle name="쉼표 [0] 4 2 2 2 29 2 2 2" xfId="9703"/>
    <cellStyle name="쉼표 [0] 4 2 2 2 29 2 2 2 2" xfId="22377"/>
    <cellStyle name="쉼표 [0] 4 2 2 2 29 2 2 2 2 2" xfId="47729"/>
    <cellStyle name="쉼표 [0] 4 2 2 2 29 2 2 2 3" xfId="35057"/>
    <cellStyle name="쉼표 [0] 4 2 2 2 29 2 2 3" xfId="16041"/>
    <cellStyle name="쉼표 [0] 4 2 2 2 29 2 2 3 2" xfId="41393"/>
    <cellStyle name="쉼표 [0] 4 2 2 2 29 2 2 4" xfId="28721"/>
    <cellStyle name="쉼표 [0] 4 2 2 2 29 2 3" xfId="6607"/>
    <cellStyle name="쉼표 [0] 4 2 2 2 29 2 3 2" xfId="19281"/>
    <cellStyle name="쉼표 [0] 4 2 2 2 29 2 3 2 2" xfId="44633"/>
    <cellStyle name="쉼표 [0] 4 2 2 2 29 2 3 3" xfId="31961"/>
    <cellStyle name="쉼표 [0] 4 2 2 2 29 2 4" xfId="12945"/>
    <cellStyle name="쉼표 [0] 4 2 2 2 29 2 4 2" xfId="38297"/>
    <cellStyle name="쉼표 [0] 4 2 2 2 29 2 5" xfId="25625"/>
    <cellStyle name="쉼표 [0] 4 2 2 2 29 3" xfId="3368"/>
    <cellStyle name="쉼표 [0] 4 2 2 2 29 3 2" xfId="9704"/>
    <cellStyle name="쉼표 [0] 4 2 2 2 29 3 2 2" xfId="22378"/>
    <cellStyle name="쉼표 [0] 4 2 2 2 29 3 2 2 2" xfId="47730"/>
    <cellStyle name="쉼표 [0] 4 2 2 2 29 3 2 3" xfId="35058"/>
    <cellStyle name="쉼표 [0] 4 2 2 2 29 3 3" xfId="16042"/>
    <cellStyle name="쉼표 [0] 4 2 2 2 29 3 3 2" xfId="41394"/>
    <cellStyle name="쉼표 [0] 4 2 2 2 29 3 4" xfId="28722"/>
    <cellStyle name="쉼표 [0] 4 2 2 2 29 4" xfId="6606"/>
    <cellStyle name="쉼표 [0] 4 2 2 2 29 4 2" xfId="19280"/>
    <cellStyle name="쉼표 [0] 4 2 2 2 29 4 2 2" xfId="44632"/>
    <cellStyle name="쉼표 [0] 4 2 2 2 29 4 3" xfId="31960"/>
    <cellStyle name="쉼표 [0] 4 2 2 2 29 5" xfId="12944"/>
    <cellStyle name="쉼표 [0] 4 2 2 2 29 5 2" xfId="38296"/>
    <cellStyle name="쉼표 [0] 4 2 2 2 29 6" xfId="25624"/>
    <cellStyle name="쉼표 [0] 4 2 2 2 3" xfId="58"/>
    <cellStyle name="쉼표 [0] 4 2 2 2 3 2" xfId="271"/>
    <cellStyle name="쉼표 [0] 4 2 2 2 3 2 2" xfId="3369"/>
    <cellStyle name="쉼표 [0] 4 2 2 2 3 2 2 2" xfId="9705"/>
    <cellStyle name="쉼표 [0] 4 2 2 2 3 2 2 2 2" xfId="22379"/>
    <cellStyle name="쉼표 [0] 4 2 2 2 3 2 2 2 2 2" xfId="47731"/>
    <cellStyle name="쉼표 [0] 4 2 2 2 3 2 2 2 3" xfId="35059"/>
    <cellStyle name="쉼표 [0] 4 2 2 2 3 2 2 3" xfId="16043"/>
    <cellStyle name="쉼표 [0] 4 2 2 2 3 2 2 3 2" xfId="41395"/>
    <cellStyle name="쉼표 [0] 4 2 2 2 3 2 2 4" xfId="28723"/>
    <cellStyle name="쉼표 [0] 4 2 2 2 3 2 3" xfId="6608"/>
    <cellStyle name="쉼표 [0] 4 2 2 2 3 2 3 2" xfId="19282"/>
    <cellStyle name="쉼표 [0] 4 2 2 2 3 2 3 2 2" xfId="44634"/>
    <cellStyle name="쉼표 [0] 4 2 2 2 3 2 3 3" xfId="31962"/>
    <cellStyle name="쉼표 [0] 4 2 2 2 3 2 4" xfId="12946"/>
    <cellStyle name="쉼표 [0] 4 2 2 2 3 2 4 2" xfId="38298"/>
    <cellStyle name="쉼표 [0] 4 2 2 2 3 2 5" xfId="25626"/>
    <cellStyle name="쉼표 [0] 4 2 2 2 3 3" xfId="3370"/>
    <cellStyle name="쉼표 [0] 4 2 2 2 3 3 2" xfId="9706"/>
    <cellStyle name="쉼표 [0] 4 2 2 2 3 3 2 2" xfId="22380"/>
    <cellStyle name="쉼표 [0] 4 2 2 2 3 3 2 2 2" xfId="47732"/>
    <cellStyle name="쉼표 [0] 4 2 2 2 3 3 2 3" xfId="35060"/>
    <cellStyle name="쉼표 [0] 4 2 2 2 3 3 3" xfId="16044"/>
    <cellStyle name="쉼표 [0] 4 2 2 2 3 3 3 2" xfId="41396"/>
    <cellStyle name="쉼표 [0] 4 2 2 2 3 3 4" xfId="28724"/>
    <cellStyle name="쉼표 [0] 4 2 2 2 3 4" xfId="6396"/>
    <cellStyle name="쉼표 [0] 4 2 2 2 3 4 2" xfId="19070"/>
    <cellStyle name="쉼표 [0] 4 2 2 2 3 4 2 2" xfId="44422"/>
    <cellStyle name="쉼표 [0] 4 2 2 2 3 4 3" xfId="31750"/>
    <cellStyle name="쉼표 [0] 4 2 2 2 3 5" xfId="12734"/>
    <cellStyle name="쉼표 [0] 4 2 2 2 3 5 2" xfId="38086"/>
    <cellStyle name="쉼표 [0] 4 2 2 2 3 6" xfId="25414"/>
    <cellStyle name="쉼표 [0] 4 2 2 2 30" xfId="272"/>
    <cellStyle name="쉼표 [0] 4 2 2 2 30 2" xfId="273"/>
    <cellStyle name="쉼표 [0] 4 2 2 2 30 2 2" xfId="3371"/>
    <cellStyle name="쉼표 [0] 4 2 2 2 30 2 2 2" xfId="9707"/>
    <cellStyle name="쉼표 [0] 4 2 2 2 30 2 2 2 2" xfId="22381"/>
    <cellStyle name="쉼표 [0] 4 2 2 2 30 2 2 2 2 2" xfId="47733"/>
    <cellStyle name="쉼표 [0] 4 2 2 2 30 2 2 2 3" xfId="35061"/>
    <cellStyle name="쉼표 [0] 4 2 2 2 30 2 2 3" xfId="16045"/>
    <cellStyle name="쉼표 [0] 4 2 2 2 30 2 2 3 2" xfId="41397"/>
    <cellStyle name="쉼표 [0] 4 2 2 2 30 2 2 4" xfId="28725"/>
    <cellStyle name="쉼표 [0] 4 2 2 2 30 2 3" xfId="6610"/>
    <cellStyle name="쉼표 [0] 4 2 2 2 30 2 3 2" xfId="19284"/>
    <cellStyle name="쉼표 [0] 4 2 2 2 30 2 3 2 2" xfId="44636"/>
    <cellStyle name="쉼표 [0] 4 2 2 2 30 2 3 3" xfId="31964"/>
    <cellStyle name="쉼표 [0] 4 2 2 2 30 2 4" xfId="12948"/>
    <cellStyle name="쉼표 [0] 4 2 2 2 30 2 4 2" xfId="38300"/>
    <cellStyle name="쉼표 [0] 4 2 2 2 30 2 5" xfId="25628"/>
    <cellStyle name="쉼표 [0] 4 2 2 2 30 3" xfId="3372"/>
    <cellStyle name="쉼표 [0] 4 2 2 2 30 3 2" xfId="9708"/>
    <cellStyle name="쉼표 [0] 4 2 2 2 30 3 2 2" xfId="22382"/>
    <cellStyle name="쉼표 [0] 4 2 2 2 30 3 2 2 2" xfId="47734"/>
    <cellStyle name="쉼표 [0] 4 2 2 2 30 3 2 3" xfId="35062"/>
    <cellStyle name="쉼표 [0] 4 2 2 2 30 3 3" xfId="16046"/>
    <cellStyle name="쉼표 [0] 4 2 2 2 30 3 3 2" xfId="41398"/>
    <cellStyle name="쉼표 [0] 4 2 2 2 30 3 4" xfId="28726"/>
    <cellStyle name="쉼표 [0] 4 2 2 2 30 4" xfId="6609"/>
    <cellStyle name="쉼표 [0] 4 2 2 2 30 4 2" xfId="19283"/>
    <cellStyle name="쉼표 [0] 4 2 2 2 30 4 2 2" xfId="44635"/>
    <cellStyle name="쉼표 [0] 4 2 2 2 30 4 3" xfId="31963"/>
    <cellStyle name="쉼표 [0] 4 2 2 2 30 5" xfId="12947"/>
    <cellStyle name="쉼표 [0] 4 2 2 2 30 5 2" xfId="38299"/>
    <cellStyle name="쉼표 [0] 4 2 2 2 30 6" xfId="25627"/>
    <cellStyle name="쉼표 [0] 4 2 2 2 31" xfId="274"/>
    <cellStyle name="쉼표 [0] 4 2 2 2 31 2" xfId="275"/>
    <cellStyle name="쉼표 [0] 4 2 2 2 31 2 2" xfId="3373"/>
    <cellStyle name="쉼표 [0] 4 2 2 2 31 2 2 2" xfId="9709"/>
    <cellStyle name="쉼표 [0] 4 2 2 2 31 2 2 2 2" xfId="22383"/>
    <cellStyle name="쉼표 [0] 4 2 2 2 31 2 2 2 2 2" xfId="47735"/>
    <cellStyle name="쉼표 [0] 4 2 2 2 31 2 2 2 3" xfId="35063"/>
    <cellStyle name="쉼표 [0] 4 2 2 2 31 2 2 3" xfId="16047"/>
    <cellStyle name="쉼표 [0] 4 2 2 2 31 2 2 3 2" xfId="41399"/>
    <cellStyle name="쉼표 [0] 4 2 2 2 31 2 2 4" xfId="28727"/>
    <cellStyle name="쉼표 [0] 4 2 2 2 31 2 3" xfId="6612"/>
    <cellStyle name="쉼표 [0] 4 2 2 2 31 2 3 2" xfId="19286"/>
    <cellStyle name="쉼표 [0] 4 2 2 2 31 2 3 2 2" xfId="44638"/>
    <cellStyle name="쉼표 [0] 4 2 2 2 31 2 3 3" xfId="31966"/>
    <cellStyle name="쉼표 [0] 4 2 2 2 31 2 4" xfId="12950"/>
    <cellStyle name="쉼표 [0] 4 2 2 2 31 2 4 2" xfId="38302"/>
    <cellStyle name="쉼표 [0] 4 2 2 2 31 2 5" xfId="25630"/>
    <cellStyle name="쉼표 [0] 4 2 2 2 31 3" xfId="3374"/>
    <cellStyle name="쉼표 [0] 4 2 2 2 31 3 2" xfId="9710"/>
    <cellStyle name="쉼표 [0] 4 2 2 2 31 3 2 2" xfId="22384"/>
    <cellStyle name="쉼표 [0] 4 2 2 2 31 3 2 2 2" xfId="47736"/>
    <cellStyle name="쉼표 [0] 4 2 2 2 31 3 2 3" xfId="35064"/>
    <cellStyle name="쉼표 [0] 4 2 2 2 31 3 3" xfId="16048"/>
    <cellStyle name="쉼표 [0] 4 2 2 2 31 3 3 2" xfId="41400"/>
    <cellStyle name="쉼표 [0] 4 2 2 2 31 3 4" xfId="28728"/>
    <cellStyle name="쉼표 [0] 4 2 2 2 31 4" xfId="6611"/>
    <cellStyle name="쉼표 [0] 4 2 2 2 31 4 2" xfId="19285"/>
    <cellStyle name="쉼표 [0] 4 2 2 2 31 4 2 2" xfId="44637"/>
    <cellStyle name="쉼표 [0] 4 2 2 2 31 4 3" xfId="31965"/>
    <cellStyle name="쉼표 [0] 4 2 2 2 31 5" xfId="12949"/>
    <cellStyle name="쉼표 [0] 4 2 2 2 31 5 2" xfId="38301"/>
    <cellStyle name="쉼표 [0] 4 2 2 2 31 6" xfId="25629"/>
    <cellStyle name="쉼표 [0] 4 2 2 2 32" xfId="276"/>
    <cellStyle name="쉼표 [0] 4 2 2 2 32 2" xfId="277"/>
    <cellStyle name="쉼표 [0] 4 2 2 2 32 2 2" xfId="3375"/>
    <cellStyle name="쉼표 [0] 4 2 2 2 32 2 2 2" xfId="9711"/>
    <cellStyle name="쉼표 [0] 4 2 2 2 32 2 2 2 2" xfId="22385"/>
    <cellStyle name="쉼표 [0] 4 2 2 2 32 2 2 2 2 2" xfId="47737"/>
    <cellStyle name="쉼표 [0] 4 2 2 2 32 2 2 2 3" xfId="35065"/>
    <cellStyle name="쉼표 [0] 4 2 2 2 32 2 2 3" xfId="16049"/>
    <cellStyle name="쉼표 [0] 4 2 2 2 32 2 2 3 2" xfId="41401"/>
    <cellStyle name="쉼표 [0] 4 2 2 2 32 2 2 4" xfId="28729"/>
    <cellStyle name="쉼표 [0] 4 2 2 2 32 2 3" xfId="6614"/>
    <cellStyle name="쉼표 [0] 4 2 2 2 32 2 3 2" xfId="19288"/>
    <cellStyle name="쉼표 [0] 4 2 2 2 32 2 3 2 2" xfId="44640"/>
    <cellStyle name="쉼표 [0] 4 2 2 2 32 2 3 3" xfId="31968"/>
    <cellStyle name="쉼표 [0] 4 2 2 2 32 2 4" xfId="12952"/>
    <cellStyle name="쉼표 [0] 4 2 2 2 32 2 4 2" xfId="38304"/>
    <cellStyle name="쉼표 [0] 4 2 2 2 32 2 5" xfId="25632"/>
    <cellStyle name="쉼표 [0] 4 2 2 2 32 3" xfId="3376"/>
    <cellStyle name="쉼표 [0] 4 2 2 2 32 3 2" xfId="9712"/>
    <cellStyle name="쉼표 [0] 4 2 2 2 32 3 2 2" xfId="22386"/>
    <cellStyle name="쉼표 [0] 4 2 2 2 32 3 2 2 2" xfId="47738"/>
    <cellStyle name="쉼표 [0] 4 2 2 2 32 3 2 3" xfId="35066"/>
    <cellStyle name="쉼표 [0] 4 2 2 2 32 3 3" xfId="16050"/>
    <cellStyle name="쉼표 [0] 4 2 2 2 32 3 3 2" xfId="41402"/>
    <cellStyle name="쉼표 [0] 4 2 2 2 32 3 4" xfId="28730"/>
    <cellStyle name="쉼표 [0] 4 2 2 2 32 4" xfId="6613"/>
    <cellStyle name="쉼표 [0] 4 2 2 2 32 4 2" xfId="19287"/>
    <cellStyle name="쉼표 [0] 4 2 2 2 32 4 2 2" xfId="44639"/>
    <cellStyle name="쉼표 [0] 4 2 2 2 32 4 3" xfId="31967"/>
    <cellStyle name="쉼표 [0] 4 2 2 2 32 5" xfId="12951"/>
    <cellStyle name="쉼표 [0] 4 2 2 2 32 5 2" xfId="38303"/>
    <cellStyle name="쉼표 [0] 4 2 2 2 32 6" xfId="25631"/>
    <cellStyle name="쉼표 [0] 4 2 2 2 33" xfId="278"/>
    <cellStyle name="쉼표 [0] 4 2 2 2 33 2" xfId="279"/>
    <cellStyle name="쉼표 [0] 4 2 2 2 33 2 2" xfId="3377"/>
    <cellStyle name="쉼표 [0] 4 2 2 2 33 2 2 2" xfId="9713"/>
    <cellStyle name="쉼표 [0] 4 2 2 2 33 2 2 2 2" xfId="22387"/>
    <cellStyle name="쉼표 [0] 4 2 2 2 33 2 2 2 2 2" xfId="47739"/>
    <cellStyle name="쉼표 [0] 4 2 2 2 33 2 2 2 3" xfId="35067"/>
    <cellStyle name="쉼표 [0] 4 2 2 2 33 2 2 3" xfId="16051"/>
    <cellStyle name="쉼표 [0] 4 2 2 2 33 2 2 3 2" xfId="41403"/>
    <cellStyle name="쉼표 [0] 4 2 2 2 33 2 2 4" xfId="28731"/>
    <cellStyle name="쉼표 [0] 4 2 2 2 33 2 3" xfId="6616"/>
    <cellStyle name="쉼표 [0] 4 2 2 2 33 2 3 2" xfId="19290"/>
    <cellStyle name="쉼표 [0] 4 2 2 2 33 2 3 2 2" xfId="44642"/>
    <cellStyle name="쉼표 [0] 4 2 2 2 33 2 3 3" xfId="31970"/>
    <cellStyle name="쉼표 [0] 4 2 2 2 33 2 4" xfId="12954"/>
    <cellStyle name="쉼표 [0] 4 2 2 2 33 2 4 2" xfId="38306"/>
    <cellStyle name="쉼표 [0] 4 2 2 2 33 2 5" xfId="25634"/>
    <cellStyle name="쉼표 [0] 4 2 2 2 33 3" xfId="3378"/>
    <cellStyle name="쉼표 [0] 4 2 2 2 33 3 2" xfId="9714"/>
    <cellStyle name="쉼표 [0] 4 2 2 2 33 3 2 2" xfId="22388"/>
    <cellStyle name="쉼표 [0] 4 2 2 2 33 3 2 2 2" xfId="47740"/>
    <cellStyle name="쉼표 [0] 4 2 2 2 33 3 2 3" xfId="35068"/>
    <cellStyle name="쉼표 [0] 4 2 2 2 33 3 3" xfId="16052"/>
    <cellStyle name="쉼표 [0] 4 2 2 2 33 3 3 2" xfId="41404"/>
    <cellStyle name="쉼표 [0] 4 2 2 2 33 3 4" xfId="28732"/>
    <cellStyle name="쉼표 [0] 4 2 2 2 33 4" xfId="6615"/>
    <cellStyle name="쉼표 [0] 4 2 2 2 33 4 2" xfId="19289"/>
    <cellStyle name="쉼표 [0] 4 2 2 2 33 4 2 2" xfId="44641"/>
    <cellStyle name="쉼표 [0] 4 2 2 2 33 4 3" xfId="31969"/>
    <cellStyle name="쉼표 [0] 4 2 2 2 33 5" xfId="12953"/>
    <cellStyle name="쉼표 [0] 4 2 2 2 33 5 2" xfId="38305"/>
    <cellStyle name="쉼표 [0] 4 2 2 2 33 6" xfId="25633"/>
    <cellStyle name="쉼표 [0] 4 2 2 2 34" xfId="280"/>
    <cellStyle name="쉼표 [0] 4 2 2 2 34 2" xfId="281"/>
    <cellStyle name="쉼표 [0] 4 2 2 2 34 2 2" xfId="3379"/>
    <cellStyle name="쉼표 [0] 4 2 2 2 34 2 2 2" xfId="9715"/>
    <cellStyle name="쉼표 [0] 4 2 2 2 34 2 2 2 2" xfId="22389"/>
    <cellStyle name="쉼표 [0] 4 2 2 2 34 2 2 2 2 2" xfId="47741"/>
    <cellStyle name="쉼표 [0] 4 2 2 2 34 2 2 2 3" xfId="35069"/>
    <cellStyle name="쉼표 [0] 4 2 2 2 34 2 2 3" xfId="16053"/>
    <cellStyle name="쉼표 [0] 4 2 2 2 34 2 2 3 2" xfId="41405"/>
    <cellStyle name="쉼표 [0] 4 2 2 2 34 2 2 4" xfId="28733"/>
    <cellStyle name="쉼표 [0] 4 2 2 2 34 2 3" xfId="6618"/>
    <cellStyle name="쉼표 [0] 4 2 2 2 34 2 3 2" xfId="19292"/>
    <cellStyle name="쉼표 [0] 4 2 2 2 34 2 3 2 2" xfId="44644"/>
    <cellStyle name="쉼표 [0] 4 2 2 2 34 2 3 3" xfId="31972"/>
    <cellStyle name="쉼표 [0] 4 2 2 2 34 2 4" xfId="12956"/>
    <cellStyle name="쉼표 [0] 4 2 2 2 34 2 4 2" xfId="38308"/>
    <cellStyle name="쉼표 [0] 4 2 2 2 34 2 5" xfId="25636"/>
    <cellStyle name="쉼표 [0] 4 2 2 2 34 3" xfId="3380"/>
    <cellStyle name="쉼표 [0] 4 2 2 2 34 3 2" xfId="9716"/>
    <cellStyle name="쉼표 [0] 4 2 2 2 34 3 2 2" xfId="22390"/>
    <cellStyle name="쉼표 [0] 4 2 2 2 34 3 2 2 2" xfId="47742"/>
    <cellStyle name="쉼표 [0] 4 2 2 2 34 3 2 3" xfId="35070"/>
    <cellStyle name="쉼표 [0] 4 2 2 2 34 3 3" xfId="16054"/>
    <cellStyle name="쉼표 [0] 4 2 2 2 34 3 3 2" xfId="41406"/>
    <cellStyle name="쉼표 [0] 4 2 2 2 34 3 4" xfId="28734"/>
    <cellStyle name="쉼표 [0] 4 2 2 2 34 4" xfId="6617"/>
    <cellStyle name="쉼표 [0] 4 2 2 2 34 4 2" xfId="19291"/>
    <cellStyle name="쉼표 [0] 4 2 2 2 34 4 2 2" xfId="44643"/>
    <cellStyle name="쉼표 [0] 4 2 2 2 34 4 3" xfId="31971"/>
    <cellStyle name="쉼표 [0] 4 2 2 2 34 5" xfId="12955"/>
    <cellStyle name="쉼표 [0] 4 2 2 2 34 5 2" xfId="38307"/>
    <cellStyle name="쉼표 [0] 4 2 2 2 34 6" xfId="25635"/>
    <cellStyle name="쉼표 [0] 4 2 2 2 35" xfId="282"/>
    <cellStyle name="쉼표 [0] 4 2 2 2 35 2" xfId="3381"/>
    <cellStyle name="쉼표 [0] 4 2 2 2 35 2 2" xfId="9717"/>
    <cellStyle name="쉼표 [0] 4 2 2 2 35 2 2 2" xfId="22391"/>
    <cellStyle name="쉼표 [0] 4 2 2 2 35 2 2 2 2" xfId="47743"/>
    <cellStyle name="쉼표 [0] 4 2 2 2 35 2 2 3" xfId="35071"/>
    <cellStyle name="쉼표 [0] 4 2 2 2 35 2 3" xfId="16055"/>
    <cellStyle name="쉼표 [0] 4 2 2 2 35 2 3 2" xfId="41407"/>
    <cellStyle name="쉼표 [0] 4 2 2 2 35 2 4" xfId="28735"/>
    <cellStyle name="쉼표 [0] 4 2 2 2 35 3" xfId="6619"/>
    <cellStyle name="쉼표 [0] 4 2 2 2 35 3 2" xfId="19293"/>
    <cellStyle name="쉼표 [0] 4 2 2 2 35 3 2 2" xfId="44645"/>
    <cellStyle name="쉼표 [0] 4 2 2 2 35 3 3" xfId="31973"/>
    <cellStyle name="쉼표 [0] 4 2 2 2 35 4" xfId="12957"/>
    <cellStyle name="쉼표 [0] 4 2 2 2 35 4 2" xfId="38309"/>
    <cellStyle name="쉼표 [0] 4 2 2 2 35 5" xfId="25637"/>
    <cellStyle name="쉼표 [0] 4 2 2 2 36" xfId="3382"/>
    <cellStyle name="쉼표 [0] 4 2 2 2 36 2" xfId="9718"/>
    <cellStyle name="쉼표 [0] 4 2 2 2 36 2 2" xfId="22392"/>
    <cellStyle name="쉼표 [0] 4 2 2 2 36 2 2 2" xfId="47744"/>
    <cellStyle name="쉼표 [0] 4 2 2 2 36 2 3" xfId="35072"/>
    <cellStyle name="쉼표 [0] 4 2 2 2 36 3" xfId="16056"/>
    <cellStyle name="쉼표 [0] 4 2 2 2 36 3 2" xfId="41408"/>
    <cellStyle name="쉼표 [0] 4 2 2 2 36 4" xfId="28736"/>
    <cellStyle name="쉼표 [0] 4 2 2 2 37" xfId="6392"/>
    <cellStyle name="쉼표 [0] 4 2 2 2 37 2" xfId="19066"/>
    <cellStyle name="쉼표 [0] 4 2 2 2 37 2 2" xfId="44418"/>
    <cellStyle name="쉼표 [0] 4 2 2 2 37 3" xfId="31746"/>
    <cellStyle name="쉼표 [0] 4 2 2 2 38" xfId="12730"/>
    <cellStyle name="쉼표 [0] 4 2 2 2 38 2" xfId="38082"/>
    <cellStyle name="쉼표 [0] 4 2 2 2 39" xfId="25410"/>
    <cellStyle name="쉼표 [0] 4 2 2 2 4" xfId="283"/>
    <cellStyle name="쉼표 [0] 4 2 2 2 4 2" xfId="284"/>
    <cellStyle name="쉼표 [0] 4 2 2 2 4 2 2" xfId="3383"/>
    <cellStyle name="쉼표 [0] 4 2 2 2 4 2 2 2" xfId="9719"/>
    <cellStyle name="쉼표 [0] 4 2 2 2 4 2 2 2 2" xfId="22393"/>
    <cellStyle name="쉼표 [0] 4 2 2 2 4 2 2 2 2 2" xfId="47745"/>
    <cellStyle name="쉼표 [0] 4 2 2 2 4 2 2 2 3" xfId="35073"/>
    <cellStyle name="쉼표 [0] 4 2 2 2 4 2 2 3" xfId="16057"/>
    <cellStyle name="쉼표 [0] 4 2 2 2 4 2 2 3 2" xfId="41409"/>
    <cellStyle name="쉼표 [0] 4 2 2 2 4 2 2 4" xfId="28737"/>
    <cellStyle name="쉼표 [0] 4 2 2 2 4 2 3" xfId="6621"/>
    <cellStyle name="쉼표 [0] 4 2 2 2 4 2 3 2" xfId="19295"/>
    <cellStyle name="쉼표 [0] 4 2 2 2 4 2 3 2 2" xfId="44647"/>
    <cellStyle name="쉼표 [0] 4 2 2 2 4 2 3 3" xfId="31975"/>
    <cellStyle name="쉼표 [0] 4 2 2 2 4 2 4" xfId="12959"/>
    <cellStyle name="쉼표 [0] 4 2 2 2 4 2 4 2" xfId="38311"/>
    <cellStyle name="쉼표 [0] 4 2 2 2 4 2 5" xfId="25639"/>
    <cellStyle name="쉼표 [0] 4 2 2 2 4 3" xfId="3384"/>
    <cellStyle name="쉼표 [0] 4 2 2 2 4 3 2" xfId="9720"/>
    <cellStyle name="쉼표 [0] 4 2 2 2 4 3 2 2" xfId="22394"/>
    <cellStyle name="쉼표 [0] 4 2 2 2 4 3 2 2 2" xfId="47746"/>
    <cellStyle name="쉼표 [0] 4 2 2 2 4 3 2 3" xfId="35074"/>
    <cellStyle name="쉼표 [0] 4 2 2 2 4 3 3" xfId="16058"/>
    <cellStyle name="쉼표 [0] 4 2 2 2 4 3 3 2" xfId="41410"/>
    <cellStyle name="쉼표 [0] 4 2 2 2 4 3 4" xfId="28738"/>
    <cellStyle name="쉼표 [0] 4 2 2 2 4 4" xfId="6620"/>
    <cellStyle name="쉼표 [0] 4 2 2 2 4 4 2" xfId="19294"/>
    <cellStyle name="쉼표 [0] 4 2 2 2 4 4 2 2" xfId="44646"/>
    <cellStyle name="쉼표 [0] 4 2 2 2 4 4 3" xfId="31974"/>
    <cellStyle name="쉼표 [0] 4 2 2 2 4 5" xfId="12958"/>
    <cellStyle name="쉼표 [0] 4 2 2 2 4 5 2" xfId="38310"/>
    <cellStyle name="쉼표 [0] 4 2 2 2 4 6" xfId="25638"/>
    <cellStyle name="쉼표 [0] 4 2 2 2 5" xfId="285"/>
    <cellStyle name="쉼표 [0] 4 2 2 2 5 2" xfId="286"/>
    <cellStyle name="쉼표 [0] 4 2 2 2 5 2 2" xfId="3385"/>
    <cellStyle name="쉼표 [0] 4 2 2 2 5 2 2 2" xfId="9721"/>
    <cellStyle name="쉼표 [0] 4 2 2 2 5 2 2 2 2" xfId="22395"/>
    <cellStyle name="쉼표 [0] 4 2 2 2 5 2 2 2 2 2" xfId="47747"/>
    <cellStyle name="쉼표 [0] 4 2 2 2 5 2 2 2 3" xfId="35075"/>
    <cellStyle name="쉼표 [0] 4 2 2 2 5 2 2 3" xfId="16059"/>
    <cellStyle name="쉼표 [0] 4 2 2 2 5 2 2 3 2" xfId="41411"/>
    <cellStyle name="쉼표 [0] 4 2 2 2 5 2 2 4" xfId="28739"/>
    <cellStyle name="쉼표 [0] 4 2 2 2 5 2 3" xfId="6623"/>
    <cellStyle name="쉼표 [0] 4 2 2 2 5 2 3 2" xfId="19297"/>
    <cellStyle name="쉼표 [0] 4 2 2 2 5 2 3 2 2" xfId="44649"/>
    <cellStyle name="쉼표 [0] 4 2 2 2 5 2 3 3" xfId="31977"/>
    <cellStyle name="쉼표 [0] 4 2 2 2 5 2 4" xfId="12961"/>
    <cellStyle name="쉼표 [0] 4 2 2 2 5 2 4 2" xfId="38313"/>
    <cellStyle name="쉼표 [0] 4 2 2 2 5 2 5" xfId="25641"/>
    <cellStyle name="쉼표 [0] 4 2 2 2 5 3" xfId="3386"/>
    <cellStyle name="쉼표 [0] 4 2 2 2 5 3 2" xfId="9722"/>
    <cellStyle name="쉼표 [0] 4 2 2 2 5 3 2 2" xfId="22396"/>
    <cellStyle name="쉼표 [0] 4 2 2 2 5 3 2 2 2" xfId="47748"/>
    <cellStyle name="쉼표 [0] 4 2 2 2 5 3 2 3" xfId="35076"/>
    <cellStyle name="쉼표 [0] 4 2 2 2 5 3 3" xfId="16060"/>
    <cellStyle name="쉼표 [0] 4 2 2 2 5 3 3 2" xfId="41412"/>
    <cellStyle name="쉼표 [0] 4 2 2 2 5 3 4" xfId="28740"/>
    <cellStyle name="쉼표 [0] 4 2 2 2 5 4" xfId="6622"/>
    <cellStyle name="쉼표 [0] 4 2 2 2 5 4 2" xfId="19296"/>
    <cellStyle name="쉼표 [0] 4 2 2 2 5 4 2 2" xfId="44648"/>
    <cellStyle name="쉼표 [0] 4 2 2 2 5 4 3" xfId="31976"/>
    <cellStyle name="쉼표 [0] 4 2 2 2 5 5" xfId="12960"/>
    <cellStyle name="쉼표 [0] 4 2 2 2 5 5 2" xfId="38312"/>
    <cellStyle name="쉼표 [0] 4 2 2 2 5 6" xfId="25640"/>
    <cellStyle name="쉼표 [0] 4 2 2 2 6" xfId="287"/>
    <cellStyle name="쉼표 [0] 4 2 2 2 6 2" xfId="288"/>
    <cellStyle name="쉼표 [0] 4 2 2 2 6 2 2" xfId="3387"/>
    <cellStyle name="쉼표 [0] 4 2 2 2 6 2 2 2" xfId="9723"/>
    <cellStyle name="쉼표 [0] 4 2 2 2 6 2 2 2 2" xfId="22397"/>
    <cellStyle name="쉼표 [0] 4 2 2 2 6 2 2 2 2 2" xfId="47749"/>
    <cellStyle name="쉼표 [0] 4 2 2 2 6 2 2 2 3" xfId="35077"/>
    <cellStyle name="쉼표 [0] 4 2 2 2 6 2 2 3" xfId="16061"/>
    <cellStyle name="쉼표 [0] 4 2 2 2 6 2 2 3 2" xfId="41413"/>
    <cellStyle name="쉼표 [0] 4 2 2 2 6 2 2 4" xfId="28741"/>
    <cellStyle name="쉼표 [0] 4 2 2 2 6 2 3" xfId="6625"/>
    <cellStyle name="쉼표 [0] 4 2 2 2 6 2 3 2" xfId="19299"/>
    <cellStyle name="쉼표 [0] 4 2 2 2 6 2 3 2 2" xfId="44651"/>
    <cellStyle name="쉼표 [0] 4 2 2 2 6 2 3 3" xfId="31979"/>
    <cellStyle name="쉼표 [0] 4 2 2 2 6 2 4" xfId="12963"/>
    <cellStyle name="쉼표 [0] 4 2 2 2 6 2 4 2" xfId="38315"/>
    <cellStyle name="쉼표 [0] 4 2 2 2 6 2 5" xfId="25643"/>
    <cellStyle name="쉼표 [0] 4 2 2 2 6 3" xfId="3388"/>
    <cellStyle name="쉼표 [0] 4 2 2 2 6 3 2" xfId="9724"/>
    <cellStyle name="쉼표 [0] 4 2 2 2 6 3 2 2" xfId="22398"/>
    <cellStyle name="쉼표 [0] 4 2 2 2 6 3 2 2 2" xfId="47750"/>
    <cellStyle name="쉼표 [0] 4 2 2 2 6 3 2 3" xfId="35078"/>
    <cellStyle name="쉼표 [0] 4 2 2 2 6 3 3" xfId="16062"/>
    <cellStyle name="쉼표 [0] 4 2 2 2 6 3 3 2" xfId="41414"/>
    <cellStyle name="쉼표 [0] 4 2 2 2 6 3 4" xfId="28742"/>
    <cellStyle name="쉼표 [0] 4 2 2 2 6 4" xfId="6624"/>
    <cellStyle name="쉼표 [0] 4 2 2 2 6 4 2" xfId="19298"/>
    <cellStyle name="쉼표 [0] 4 2 2 2 6 4 2 2" xfId="44650"/>
    <cellStyle name="쉼표 [0] 4 2 2 2 6 4 3" xfId="31978"/>
    <cellStyle name="쉼표 [0] 4 2 2 2 6 5" xfId="12962"/>
    <cellStyle name="쉼표 [0] 4 2 2 2 6 5 2" xfId="38314"/>
    <cellStyle name="쉼표 [0] 4 2 2 2 6 6" xfId="25642"/>
    <cellStyle name="쉼표 [0] 4 2 2 2 7" xfId="289"/>
    <cellStyle name="쉼표 [0] 4 2 2 2 7 2" xfId="290"/>
    <cellStyle name="쉼표 [0] 4 2 2 2 7 2 2" xfId="3389"/>
    <cellStyle name="쉼표 [0] 4 2 2 2 7 2 2 2" xfId="9725"/>
    <cellStyle name="쉼표 [0] 4 2 2 2 7 2 2 2 2" xfId="22399"/>
    <cellStyle name="쉼표 [0] 4 2 2 2 7 2 2 2 2 2" xfId="47751"/>
    <cellStyle name="쉼표 [0] 4 2 2 2 7 2 2 2 3" xfId="35079"/>
    <cellStyle name="쉼표 [0] 4 2 2 2 7 2 2 3" xfId="16063"/>
    <cellStyle name="쉼표 [0] 4 2 2 2 7 2 2 3 2" xfId="41415"/>
    <cellStyle name="쉼표 [0] 4 2 2 2 7 2 2 4" xfId="28743"/>
    <cellStyle name="쉼표 [0] 4 2 2 2 7 2 3" xfId="6627"/>
    <cellStyle name="쉼표 [0] 4 2 2 2 7 2 3 2" xfId="19301"/>
    <cellStyle name="쉼표 [0] 4 2 2 2 7 2 3 2 2" xfId="44653"/>
    <cellStyle name="쉼표 [0] 4 2 2 2 7 2 3 3" xfId="31981"/>
    <cellStyle name="쉼표 [0] 4 2 2 2 7 2 4" xfId="12965"/>
    <cellStyle name="쉼표 [0] 4 2 2 2 7 2 4 2" xfId="38317"/>
    <cellStyle name="쉼표 [0] 4 2 2 2 7 2 5" xfId="25645"/>
    <cellStyle name="쉼표 [0] 4 2 2 2 7 3" xfId="3390"/>
    <cellStyle name="쉼표 [0] 4 2 2 2 7 3 2" xfId="9726"/>
    <cellStyle name="쉼표 [0] 4 2 2 2 7 3 2 2" xfId="22400"/>
    <cellStyle name="쉼표 [0] 4 2 2 2 7 3 2 2 2" xfId="47752"/>
    <cellStyle name="쉼표 [0] 4 2 2 2 7 3 2 3" xfId="35080"/>
    <cellStyle name="쉼표 [0] 4 2 2 2 7 3 3" xfId="16064"/>
    <cellStyle name="쉼표 [0] 4 2 2 2 7 3 3 2" xfId="41416"/>
    <cellStyle name="쉼표 [0] 4 2 2 2 7 3 4" xfId="28744"/>
    <cellStyle name="쉼표 [0] 4 2 2 2 7 4" xfId="6626"/>
    <cellStyle name="쉼표 [0] 4 2 2 2 7 4 2" xfId="19300"/>
    <cellStyle name="쉼표 [0] 4 2 2 2 7 4 2 2" xfId="44652"/>
    <cellStyle name="쉼표 [0] 4 2 2 2 7 4 3" xfId="31980"/>
    <cellStyle name="쉼표 [0] 4 2 2 2 7 5" xfId="12964"/>
    <cellStyle name="쉼표 [0] 4 2 2 2 7 5 2" xfId="38316"/>
    <cellStyle name="쉼표 [0] 4 2 2 2 7 6" xfId="25644"/>
    <cellStyle name="쉼표 [0] 4 2 2 2 8" xfId="291"/>
    <cellStyle name="쉼표 [0] 4 2 2 2 8 2" xfId="292"/>
    <cellStyle name="쉼표 [0] 4 2 2 2 8 2 2" xfId="3391"/>
    <cellStyle name="쉼표 [0] 4 2 2 2 8 2 2 2" xfId="9727"/>
    <cellStyle name="쉼표 [0] 4 2 2 2 8 2 2 2 2" xfId="22401"/>
    <cellStyle name="쉼표 [0] 4 2 2 2 8 2 2 2 2 2" xfId="47753"/>
    <cellStyle name="쉼표 [0] 4 2 2 2 8 2 2 2 3" xfId="35081"/>
    <cellStyle name="쉼표 [0] 4 2 2 2 8 2 2 3" xfId="16065"/>
    <cellStyle name="쉼표 [0] 4 2 2 2 8 2 2 3 2" xfId="41417"/>
    <cellStyle name="쉼표 [0] 4 2 2 2 8 2 2 4" xfId="28745"/>
    <cellStyle name="쉼표 [0] 4 2 2 2 8 2 3" xfId="6629"/>
    <cellStyle name="쉼표 [0] 4 2 2 2 8 2 3 2" xfId="19303"/>
    <cellStyle name="쉼표 [0] 4 2 2 2 8 2 3 2 2" xfId="44655"/>
    <cellStyle name="쉼표 [0] 4 2 2 2 8 2 3 3" xfId="31983"/>
    <cellStyle name="쉼표 [0] 4 2 2 2 8 2 4" xfId="12967"/>
    <cellStyle name="쉼표 [0] 4 2 2 2 8 2 4 2" xfId="38319"/>
    <cellStyle name="쉼표 [0] 4 2 2 2 8 2 5" xfId="25647"/>
    <cellStyle name="쉼표 [0] 4 2 2 2 8 3" xfId="3392"/>
    <cellStyle name="쉼표 [0] 4 2 2 2 8 3 2" xfId="9728"/>
    <cellStyle name="쉼표 [0] 4 2 2 2 8 3 2 2" xfId="22402"/>
    <cellStyle name="쉼표 [0] 4 2 2 2 8 3 2 2 2" xfId="47754"/>
    <cellStyle name="쉼표 [0] 4 2 2 2 8 3 2 3" xfId="35082"/>
    <cellStyle name="쉼표 [0] 4 2 2 2 8 3 3" xfId="16066"/>
    <cellStyle name="쉼표 [0] 4 2 2 2 8 3 3 2" xfId="41418"/>
    <cellStyle name="쉼표 [0] 4 2 2 2 8 3 4" xfId="28746"/>
    <cellStyle name="쉼표 [0] 4 2 2 2 8 4" xfId="6628"/>
    <cellStyle name="쉼표 [0] 4 2 2 2 8 4 2" xfId="19302"/>
    <cellStyle name="쉼표 [0] 4 2 2 2 8 4 2 2" xfId="44654"/>
    <cellStyle name="쉼표 [0] 4 2 2 2 8 4 3" xfId="31982"/>
    <cellStyle name="쉼표 [0] 4 2 2 2 8 5" xfId="12966"/>
    <cellStyle name="쉼표 [0] 4 2 2 2 8 5 2" xfId="38318"/>
    <cellStyle name="쉼표 [0] 4 2 2 2 8 6" xfId="25646"/>
    <cellStyle name="쉼표 [0] 4 2 2 2 9" xfId="293"/>
    <cellStyle name="쉼표 [0] 4 2 2 2 9 2" xfId="294"/>
    <cellStyle name="쉼표 [0] 4 2 2 2 9 2 2" xfId="3393"/>
    <cellStyle name="쉼표 [0] 4 2 2 2 9 2 2 2" xfId="9729"/>
    <cellStyle name="쉼표 [0] 4 2 2 2 9 2 2 2 2" xfId="22403"/>
    <cellStyle name="쉼표 [0] 4 2 2 2 9 2 2 2 2 2" xfId="47755"/>
    <cellStyle name="쉼표 [0] 4 2 2 2 9 2 2 2 3" xfId="35083"/>
    <cellStyle name="쉼표 [0] 4 2 2 2 9 2 2 3" xfId="16067"/>
    <cellStyle name="쉼표 [0] 4 2 2 2 9 2 2 3 2" xfId="41419"/>
    <cellStyle name="쉼표 [0] 4 2 2 2 9 2 2 4" xfId="28747"/>
    <cellStyle name="쉼표 [0] 4 2 2 2 9 2 3" xfId="6631"/>
    <cellStyle name="쉼표 [0] 4 2 2 2 9 2 3 2" xfId="19305"/>
    <cellStyle name="쉼표 [0] 4 2 2 2 9 2 3 2 2" xfId="44657"/>
    <cellStyle name="쉼표 [0] 4 2 2 2 9 2 3 3" xfId="31985"/>
    <cellStyle name="쉼표 [0] 4 2 2 2 9 2 4" xfId="12969"/>
    <cellStyle name="쉼표 [0] 4 2 2 2 9 2 4 2" xfId="38321"/>
    <cellStyle name="쉼표 [0] 4 2 2 2 9 2 5" xfId="25649"/>
    <cellStyle name="쉼표 [0] 4 2 2 2 9 3" xfId="3394"/>
    <cellStyle name="쉼표 [0] 4 2 2 2 9 3 2" xfId="9730"/>
    <cellStyle name="쉼표 [0] 4 2 2 2 9 3 2 2" xfId="22404"/>
    <cellStyle name="쉼표 [0] 4 2 2 2 9 3 2 2 2" xfId="47756"/>
    <cellStyle name="쉼표 [0] 4 2 2 2 9 3 2 3" xfId="35084"/>
    <cellStyle name="쉼표 [0] 4 2 2 2 9 3 3" xfId="16068"/>
    <cellStyle name="쉼표 [0] 4 2 2 2 9 3 3 2" xfId="41420"/>
    <cellStyle name="쉼표 [0] 4 2 2 2 9 3 4" xfId="28748"/>
    <cellStyle name="쉼표 [0] 4 2 2 2 9 4" xfId="6630"/>
    <cellStyle name="쉼표 [0] 4 2 2 2 9 4 2" xfId="19304"/>
    <cellStyle name="쉼표 [0] 4 2 2 2 9 4 2 2" xfId="44656"/>
    <cellStyle name="쉼표 [0] 4 2 2 2 9 4 3" xfId="31984"/>
    <cellStyle name="쉼표 [0] 4 2 2 2 9 5" xfId="12968"/>
    <cellStyle name="쉼표 [0] 4 2 2 2 9 5 2" xfId="38320"/>
    <cellStyle name="쉼표 [0] 4 2 2 2 9 6" xfId="25648"/>
    <cellStyle name="쉼표 [0] 4 2 2 20" xfId="295"/>
    <cellStyle name="쉼표 [0] 4 2 2 20 2" xfId="296"/>
    <cellStyle name="쉼표 [0] 4 2 2 20 2 2" xfId="3395"/>
    <cellStyle name="쉼표 [0] 4 2 2 20 2 2 2" xfId="9731"/>
    <cellStyle name="쉼표 [0] 4 2 2 20 2 2 2 2" xfId="22405"/>
    <cellStyle name="쉼표 [0] 4 2 2 20 2 2 2 2 2" xfId="47757"/>
    <cellStyle name="쉼표 [0] 4 2 2 20 2 2 2 3" xfId="35085"/>
    <cellStyle name="쉼표 [0] 4 2 2 20 2 2 3" xfId="16069"/>
    <cellStyle name="쉼표 [0] 4 2 2 20 2 2 3 2" xfId="41421"/>
    <cellStyle name="쉼표 [0] 4 2 2 20 2 2 4" xfId="28749"/>
    <cellStyle name="쉼표 [0] 4 2 2 20 2 3" xfId="6633"/>
    <cellStyle name="쉼표 [0] 4 2 2 20 2 3 2" xfId="19307"/>
    <cellStyle name="쉼표 [0] 4 2 2 20 2 3 2 2" xfId="44659"/>
    <cellStyle name="쉼표 [0] 4 2 2 20 2 3 3" xfId="31987"/>
    <cellStyle name="쉼표 [0] 4 2 2 20 2 4" xfId="12971"/>
    <cellStyle name="쉼표 [0] 4 2 2 20 2 4 2" xfId="38323"/>
    <cellStyle name="쉼표 [0] 4 2 2 20 2 5" xfId="25651"/>
    <cellStyle name="쉼표 [0] 4 2 2 20 3" xfId="3396"/>
    <cellStyle name="쉼표 [0] 4 2 2 20 3 2" xfId="9732"/>
    <cellStyle name="쉼표 [0] 4 2 2 20 3 2 2" xfId="22406"/>
    <cellStyle name="쉼표 [0] 4 2 2 20 3 2 2 2" xfId="47758"/>
    <cellStyle name="쉼표 [0] 4 2 2 20 3 2 3" xfId="35086"/>
    <cellStyle name="쉼표 [0] 4 2 2 20 3 3" xfId="16070"/>
    <cellStyle name="쉼표 [0] 4 2 2 20 3 3 2" xfId="41422"/>
    <cellStyle name="쉼표 [0] 4 2 2 20 3 4" xfId="28750"/>
    <cellStyle name="쉼표 [0] 4 2 2 20 4" xfId="6632"/>
    <cellStyle name="쉼표 [0] 4 2 2 20 4 2" xfId="19306"/>
    <cellStyle name="쉼표 [0] 4 2 2 20 4 2 2" xfId="44658"/>
    <cellStyle name="쉼표 [0] 4 2 2 20 4 3" xfId="31986"/>
    <cellStyle name="쉼표 [0] 4 2 2 20 5" xfId="12970"/>
    <cellStyle name="쉼표 [0] 4 2 2 20 5 2" xfId="38322"/>
    <cellStyle name="쉼표 [0] 4 2 2 20 6" xfId="25650"/>
    <cellStyle name="쉼표 [0] 4 2 2 21" xfId="297"/>
    <cellStyle name="쉼표 [0] 4 2 2 21 2" xfId="298"/>
    <cellStyle name="쉼표 [0] 4 2 2 21 2 2" xfId="3397"/>
    <cellStyle name="쉼표 [0] 4 2 2 21 2 2 2" xfId="9733"/>
    <cellStyle name="쉼표 [0] 4 2 2 21 2 2 2 2" xfId="22407"/>
    <cellStyle name="쉼표 [0] 4 2 2 21 2 2 2 2 2" xfId="47759"/>
    <cellStyle name="쉼표 [0] 4 2 2 21 2 2 2 3" xfId="35087"/>
    <cellStyle name="쉼표 [0] 4 2 2 21 2 2 3" xfId="16071"/>
    <cellStyle name="쉼표 [0] 4 2 2 21 2 2 3 2" xfId="41423"/>
    <cellStyle name="쉼표 [0] 4 2 2 21 2 2 4" xfId="28751"/>
    <cellStyle name="쉼표 [0] 4 2 2 21 2 3" xfId="6635"/>
    <cellStyle name="쉼표 [0] 4 2 2 21 2 3 2" xfId="19309"/>
    <cellStyle name="쉼표 [0] 4 2 2 21 2 3 2 2" xfId="44661"/>
    <cellStyle name="쉼표 [0] 4 2 2 21 2 3 3" xfId="31989"/>
    <cellStyle name="쉼표 [0] 4 2 2 21 2 4" xfId="12973"/>
    <cellStyle name="쉼표 [0] 4 2 2 21 2 4 2" xfId="38325"/>
    <cellStyle name="쉼표 [0] 4 2 2 21 2 5" xfId="25653"/>
    <cellStyle name="쉼표 [0] 4 2 2 21 3" xfId="3398"/>
    <cellStyle name="쉼표 [0] 4 2 2 21 3 2" xfId="9734"/>
    <cellStyle name="쉼표 [0] 4 2 2 21 3 2 2" xfId="22408"/>
    <cellStyle name="쉼표 [0] 4 2 2 21 3 2 2 2" xfId="47760"/>
    <cellStyle name="쉼표 [0] 4 2 2 21 3 2 3" xfId="35088"/>
    <cellStyle name="쉼표 [0] 4 2 2 21 3 3" xfId="16072"/>
    <cellStyle name="쉼표 [0] 4 2 2 21 3 3 2" xfId="41424"/>
    <cellStyle name="쉼표 [0] 4 2 2 21 3 4" xfId="28752"/>
    <cellStyle name="쉼표 [0] 4 2 2 21 4" xfId="6634"/>
    <cellStyle name="쉼표 [0] 4 2 2 21 4 2" xfId="19308"/>
    <cellStyle name="쉼표 [0] 4 2 2 21 4 2 2" xfId="44660"/>
    <cellStyle name="쉼표 [0] 4 2 2 21 4 3" xfId="31988"/>
    <cellStyle name="쉼표 [0] 4 2 2 21 5" xfId="12972"/>
    <cellStyle name="쉼표 [0] 4 2 2 21 5 2" xfId="38324"/>
    <cellStyle name="쉼표 [0] 4 2 2 21 6" xfId="25652"/>
    <cellStyle name="쉼표 [0] 4 2 2 22" xfId="299"/>
    <cellStyle name="쉼표 [0] 4 2 2 22 2" xfId="300"/>
    <cellStyle name="쉼표 [0] 4 2 2 22 2 2" xfId="3399"/>
    <cellStyle name="쉼표 [0] 4 2 2 22 2 2 2" xfId="9735"/>
    <cellStyle name="쉼표 [0] 4 2 2 22 2 2 2 2" xfId="22409"/>
    <cellStyle name="쉼표 [0] 4 2 2 22 2 2 2 2 2" xfId="47761"/>
    <cellStyle name="쉼표 [0] 4 2 2 22 2 2 2 3" xfId="35089"/>
    <cellStyle name="쉼표 [0] 4 2 2 22 2 2 3" xfId="16073"/>
    <cellStyle name="쉼표 [0] 4 2 2 22 2 2 3 2" xfId="41425"/>
    <cellStyle name="쉼표 [0] 4 2 2 22 2 2 4" xfId="28753"/>
    <cellStyle name="쉼표 [0] 4 2 2 22 2 3" xfId="6637"/>
    <cellStyle name="쉼표 [0] 4 2 2 22 2 3 2" xfId="19311"/>
    <cellStyle name="쉼표 [0] 4 2 2 22 2 3 2 2" xfId="44663"/>
    <cellStyle name="쉼표 [0] 4 2 2 22 2 3 3" xfId="31991"/>
    <cellStyle name="쉼표 [0] 4 2 2 22 2 4" xfId="12975"/>
    <cellStyle name="쉼표 [0] 4 2 2 22 2 4 2" xfId="38327"/>
    <cellStyle name="쉼표 [0] 4 2 2 22 2 5" xfId="25655"/>
    <cellStyle name="쉼표 [0] 4 2 2 22 3" xfId="3400"/>
    <cellStyle name="쉼표 [0] 4 2 2 22 3 2" xfId="9736"/>
    <cellStyle name="쉼표 [0] 4 2 2 22 3 2 2" xfId="22410"/>
    <cellStyle name="쉼표 [0] 4 2 2 22 3 2 2 2" xfId="47762"/>
    <cellStyle name="쉼표 [0] 4 2 2 22 3 2 3" xfId="35090"/>
    <cellStyle name="쉼표 [0] 4 2 2 22 3 3" xfId="16074"/>
    <cellStyle name="쉼표 [0] 4 2 2 22 3 3 2" xfId="41426"/>
    <cellStyle name="쉼표 [0] 4 2 2 22 3 4" xfId="28754"/>
    <cellStyle name="쉼표 [0] 4 2 2 22 4" xfId="6636"/>
    <cellStyle name="쉼표 [0] 4 2 2 22 4 2" xfId="19310"/>
    <cellStyle name="쉼표 [0] 4 2 2 22 4 2 2" xfId="44662"/>
    <cellStyle name="쉼표 [0] 4 2 2 22 4 3" xfId="31990"/>
    <cellStyle name="쉼표 [0] 4 2 2 22 5" xfId="12974"/>
    <cellStyle name="쉼표 [0] 4 2 2 22 5 2" xfId="38326"/>
    <cellStyle name="쉼표 [0] 4 2 2 22 6" xfId="25654"/>
    <cellStyle name="쉼표 [0] 4 2 2 23" xfId="301"/>
    <cellStyle name="쉼표 [0] 4 2 2 23 2" xfId="302"/>
    <cellStyle name="쉼표 [0] 4 2 2 23 2 2" xfId="3401"/>
    <cellStyle name="쉼표 [0] 4 2 2 23 2 2 2" xfId="9737"/>
    <cellStyle name="쉼표 [0] 4 2 2 23 2 2 2 2" xfId="22411"/>
    <cellStyle name="쉼표 [0] 4 2 2 23 2 2 2 2 2" xfId="47763"/>
    <cellStyle name="쉼표 [0] 4 2 2 23 2 2 2 3" xfId="35091"/>
    <cellStyle name="쉼표 [0] 4 2 2 23 2 2 3" xfId="16075"/>
    <cellStyle name="쉼표 [0] 4 2 2 23 2 2 3 2" xfId="41427"/>
    <cellStyle name="쉼표 [0] 4 2 2 23 2 2 4" xfId="28755"/>
    <cellStyle name="쉼표 [0] 4 2 2 23 2 3" xfId="6639"/>
    <cellStyle name="쉼표 [0] 4 2 2 23 2 3 2" xfId="19313"/>
    <cellStyle name="쉼표 [0] 4 2 2 23 2 3 2 2" xfId="44665"/>
    <cellStyle name="쉼표 [0] 4 2 2 23 2 3 3" xfId="31993"/>
    <cellStyle name="쉼표 [0] 4 2 2 23 2 4" xfId="12977"/>
    <cellStyle name="쉼표 [0] 4 2 2 23 2 4 2" xfId="38329"/>
    <cellStyle name="쉼표 [0] 4 2 2 23 2 5" xfId="25657"/>
    <cellStyle name="쉼표 [0] 4 2 2 23 3" xfId="3402"/>
    <cellStyle name="쉼표 [0] 4 2 2 23 3 2" xfId="9738"/>
    <cellStyle name="쉼표 [0] 4 2 2 23 3 2 2" xfId="22412"/>
    <cellStyle name="쉼표 [0] 4 2 2 23 3 2 2 2" xfId="47764"/>
    <cellStyle name="쉼표 [0] 4 2 2 23 3 2 3" xfId="35092"/>
    <cellStyle name="쉼표 [0] 4 2 2 23 3 3" xfId="16076"/>
    <cellStyle name="쉼표 [0] 4 2 2 23 3 3 2" xfId="41428"/>
    <cellStyle name="쉼표 [0] 4 2 2 23 3 4" xfId="28756"/>
    <cellStyle name="쉼표 [0] 4 2 2 23 4" xfId="6638"/>
    <cellStyle name="쉼표 [0] 4 2 2 23 4 2" xfId="19312"/>
    <cellStyle name="쉼표 [0] 4 2 2 23 4 2 2" xfId="44664"/>
    <cellStyle name="쉼표 [0] 4 2 2 23 4 3" xfId="31992"/>
    <cellStyle name="쉼표 [0] 4 2 2 23 5" xfId="12976"/>
    <cellStyle name="쉼표 [0] 4 2 2 23 5 2" xfId="38328"/>
    <cellStyle name="쉼표 [0] 4 2 2 23 6" xfId="25656"/>
    <cellStyle name="쉼표 [0] 4 2 2 24" xfId="303"/>
    <cellStyle name="쉼표 [0] 4 2 2 24 2" xfId="304"/>
    <cellStyle name="쉼표 [0] 4 2 2 24 2 2" xfId="3403"/>
    <cellStyle name="쉼표 [0] 4 2 2 24 2 2 2" xfId="9739"/>
    <cellStyle name="쉼표 [0] 4 2 2 24 2 2 2 2" xfId="22413"/>
    <cellStyle name="쉼표 [0] 4 2 2 24 2 2 2 2 2" xfId="47765"/>
    <cellStyle name="쉼표 [0] 4 2 2 24 2 2 2 3" xfId="35093"/>
    <cellStyle name="쉼표 [0] 4 2 2 24 2 2 3" xfId="16077"/>
    <cellStyle name="쉼표 [0] 4 2 2 24 2 2 3 2" xfId="41429"/>
    <cellStyle name="쉼표 [0] 4 2 2 24 2 2 4" xfId="28757"/>
    <cellStyle name="쉼표 [0] 4 2 2 24 2 3" xfId="6641"/>
    <cellStyle name="쉼표 [0] 4 2 2 24 2 3 2" xfId="19315"/>
    <cellStyle name="쉼표 [0] 4 2 2 24 2 3 2 2" xfId="44667"/>
    <cellStyle name="쉼표 [0] 4 2 2 24 2 3 3" xfId="31995"/>
    <cellStyle name="쉼표 [0] 4 2 2 24 2 4" xfId="12979"/>
    <cellStyle name="쉼표 [0] 4 2 2 24 2 4 2" xfId="38331"/>
    <cellStyle name="쉼표 [0] 4 2 2 24 2 5" xfId="25659"/>
    <cellStyle name="쉼표 [0] 4 2 2 24 3" xfId="3404"/>
    <cellStyle name="쉼표 [0] 4 2 2 24 3 2" xfId="9740"/>
    <cellStyle name="쉼표 [0] 4 2 2 24 3 2 2" xfId="22414"/>
    <cellStyle name="쉼표 [0] 4 2 2 24 3 2 2 2" xfId="47766"/>
    <cellStyle name="쉼표 [0] 4 2 2 24 3 2 3" xfId="35094"/>
    <cellStyle name="쉼표 [0] 4 2 2 24 3 3" xfId="16078"/>
    <cellStyle name="쉼표 [0] 4 2 2 24 3 3 2" xfId="41430"/>
    <cellStyle name="쉼표 [0] 4 2 2 24 3 4" xfId="28758"/>
    <cellStyle name="쉼표 [0] 4 2 2 24 4" xfId="6640"/>
    <cellStyle name="쉼표 [0] 4 2 2 24 4 2" xfId="19314"/>
    <cellStyle name="쉼표 [0] 4 2 2 24 4 2 2" xfId="44666"/>
    <cellStyle name="쉼표 [0] 4 2 2 24 4 3" xfId="31994"/>
    <cellStyle name="쉼표 [0] 4 2 2 24 5" xfId="12978"/>
    <cellStyle name="쉼표 [0] 4 2 2 24 5 2" xfId="38330"/>
    <cellStyle name="쉼표 [0] 4 2 2 24 6" xfId="25658"/>
    <cellStyle name="쉼표 [0] 4 2 2 25" xfId="305"/>
    <cellStyle name="쉼표 [0] 4 2 2 25 2" xfId="306"/>
    <cellStyle name="쉼표 [0] 4 2 2 25 2 2" xfId="3405"/>
    <cellStyle name="쉼표 [0] 4 2 2 25 2 2 2" xfId="9741"/>
    <cellStyle name="쉼표 [0] 4 2 2 25 2 2 2 2" xfId="22415"/>
    <cellStyle name="쉼표 [0] 4 2 2 25 2 2 2 2 2" xfId="47767"/>
    <cellStyle name="쉼표 [0] 4 2 2 25 2 2 2 3" xfId="35095"/>
    <cellStyle name="쉼표 [0] 4 2 2 25 2 2 3" xfId="16079"/>
    <cellStyle name="쉼표 [0] 4 2 2 25 2 2 3 2" xfId="41431"/>
    <cellStyle name="쉼표 [0] 4 2 2 25 2 2 4" xfId="28759"/>
    <cellStyle name="쉼표 [0] 4 2 2 25 2 3" xfId="6643"/>
    <cellStyle name="쉼표 [0] 4 2 2 25 2 3 2" xfId="19317"/>
    <cellStyle name="쉼표 [0] 4 2 2 25 2 3 2 2" xfId="44669"/>
    <cellStyle name="쉼표 [0] 4 2 2 25 2 3 3" xfId="31997"/>
    <cellStyle name="쉼표 [0] 4 2 2 25 2 4" xfId="12981"/>
    <cellStyle name="쉼표 [0] 4 2 2 25 2 4 2" xfId="38333"/>
    <cellStyle name="쉼표 [0] 4 2 2 25 2 5" xfId="25661"/>
    <cellStyle name="쉼표 [0] 4 2 2 25 3" xfId="3406"/>
    <cellStyle name="쉼표 [0] 4 2 2 25 3 2" xfId="9742"/>
    <cellStyle name="쉼표 [0] 4 2 2 25 3 2 2" xfId="22416"/>
    <cellStyle name="쉼표 [0] 4 2 2 25 3 2 2 2" xfId="47768"/>
    <cellStyle name="쉼표 [0] 4 2 2 25 3 2 3" xfId="35096"/>
    <cellStyle name="쉼표 [0] 4 2 2 25 3 3" xfId="16080"/>
    <cellStyle name="쉼표 [0] 4 2 2 25 3 3 2" xfId="41432"/>
    <cellStyle name="쉼표 [0] 4 2 2 25 3 4" xfId="28760"/>
    <cellStyle name="쉼표 [0] 4 2 2 25 4" xfId="6642"/>
    <cellStyle name="쉼표 [0] 4 2 2 25 4 2" xfId="19316"/>
    <cellStyle name="쉼표 [0] 4 2 2 25 4 2 2" xfId="44668"/>
    <cellStyle name="쉼표 [0] 4 2 2 25 4 3" xfId="31996"/>
    <cellStyle name="쉼표 [0] 4 2 2 25 5" xfId="12980"/>
    <cellStyle name="쉼표 [0] 4 2 2 25 5 2" xfId="38332"/>
    <cellStyle name="쉼표 [0] 4 2 2 25 6" xfId="25660"/>
    <cellStyle name="쉼표 [0] 4 2 2 26" xfId="307"/>
    <cellStyle name="쉼표 [0] 4 2 2 26 2" xfId="308"/>
    <cellStyle name="쉼표 [0] 4 2 2 26 2 2" xfId="3407"/>
    <cellStyle name="쉼표 [0] 4 2 2 26 2 2 2" xfId="9743"/>
    <cellStyle name="쉼표 [0] 4 2 2 26 2 2 2 2" xfId="22417"/>
    <cellStyle name="쉼표 [0] 4 2 2 26 2 2 2 2 2" xfId="47769"/>
    <cellStyle name="쉼표 [0] 4 2 2 26 2 2 2 3" xfId="35097"/>
    <cellStyle name="쉼표 [0] 4 2 2 26 2 2 3" xfId="16081"/>
    <cellStyle name="쉼표 [0] 4 2 2 26 2 2 3 2" xfId="41433"/>
    <cellStyle name="쉼표 [0] 4 2 2 26 2 2 4" xfId="28761"/>
    <cellStyle name="쉼표 [0] 4 2 2 26 2 3" xfId="6645"/>
    <cellStyle name="쉼표 [0] 4 2 2 26 2 3 2" xfId="19319"/>
    <cellStyle name="쉼표 [0] 4 2 2 26 2 3 2 2" xfId="44671"/>
    <cellStyle name="쉼표 [0] 4 2 2 26 2 3 3" xfId="31999"/>
    <cellStyle name="쉼표 [0] 4 2 2 26 2 4" xfId="12983"/>
    <cellStyle name="쉼표 [0] 4 2 2 26 2 4 2" xfId="38335"/>
    <cellStyle name="쉼표 [0] 4 2 2 26 2 5" xfId="25663"/>
    <cellStyle name="쉼표 [0] 4 2 2 26 3" xfId="3408"/>
    <cellStyle name="쉼표 [0] 4 2 2 26 3 2" xfId="9744"/>
    <cellStyle name="쉼표 [0] 4 2 2 26 3 2 2" xfId="22418"/>
    <cellStyle name="쉼표 [0] 4 2 2 26 3 2 2 2" xfId="47770"/>
    <cellStyle name="쉼표 [0] 4 2 2 26 3 2 3" xfId="35098"/>
    <cellStyle name="쉼표 [0] 4 2 2 26 3 3" xfId="16082"/>
    <cellStyle name="쉼표 [0] 4 2 2 26 3 3 2" xfId="41434"/>
    <cellStyle name="쉼표 [0] 4 2 2 26 3 4" xfId="28762"/>
    <cellStyle name="쉼표 [0] 4 2 2 26 4" xfId="6644"/>
    <cellStyle name="쉼표 [0] 4 2 2 26 4 2" xfId="19318"/>
    <cellStyle name="쉼표 [0] 4 2 2 26 4 2 2" xfId="44670"/>
    <cellStyle name="쉼표 [0] 4 2 2 26 4 3" xfId="31998"/>
    <cellStyle name="쉼표 [0] 4 2 2 26 5" xfId="12982"/>
    <cellStyle name="쉼표 [0] 4 2 2 26 5 2" xfId="38334"/>
    <cellStyle name="쉼표 [0] 4 2 2 26 6" xfId="25662"/>
    <cellStyle name="쉼표 [0] 4 2 2 27" xfId="309"/>
    <cellStyle name="쉼표 [0] 4 2 2 27 2" xfId="310"/>
    <cellStyle name="쉼표 [0] 4 2 2 27 2 2" xfId="3409"/>
    <cellStyle name="쉼표 [0] 4 2 2 27 2 2 2" xfId="9745"/>
    <cellStyle name="쉼표 [0] 4 2 2 27 2 2 2 2" xfId="22419"/>
    <cellStyle name="쉼표 [0] 4 2 2 27 2 2 2 2 2" xfId="47771"/>
    <cellStyle name="쉼표 [0] 4 2 2 27 2 2 2 3" xfId="35099"/>
    <cellStyle name="쉼표 [0] 4 2 2 27 2 2 3" xfId="16083"/>
    <cellStyle name="쉼표 [0] 4 2 2 27 2 2 3 2" xfId="41435"/>
    <cellStyle name="쉼표 [0] 4 2 2 27 2 2 4" xfId="28763"/>
    <cellStyle name="쉼표 [0] 4 2 2 27 2 3" xfId="6647"/>
    <cellStyle name="쉼표 [0] 4 2 2 27 2 3 2" xfId="19321"/>
    <cellStyle name="쉼표 [0] 4 2 2 27 2 3 2 2" xfId="44673"/>
    <cellStyle name="쉼표 [0] 4 2 2 27 2 3 3" xfId="32001"/>
    <cellStyle name="쉼표 [0] 4 2 2 27 2 4" xfId="12985"/>
    <cellStyle name="쉼표 [0] 4 2 2 27 2 4 2" xfId="38337"/>
    <cellStyle name="쉼표 [0] 4 2 2 27 2 5" xfId="25665"/>
    <cellStyle name="쉼표 [0] 4 2 2 27 3" xfId="3410"/>
    <cellStyle name="쉼표 [0] 4 2 2 27 3 2" xfId="9746"/>
    <cellStyle name="쉼표 [0] 4 2 2 27 3 2 2" xfId="22420"/>
    <cellStyle name="쉼표 [0] 4 2 2 27 3 2 2 2" xfId="47772"/>
    <cellStyle name="쉼표 [0] 4 2 2 27 3 2 3" xfId="35100"/>
    <cellStyle name="쉼표 [0] 4 2 2 27 3 3" xfId="16084"/>
    <cellStyle name="쉼표 [0] 4 2 2 27 3 3 2" xfId="41436"/>
    <cellStyle name="쉼표 [0] 4 2 2 27 3 4" xfId="28764"/>
    <cellStyle name="쉼표 [0] 4 2 2 27 4" xfId="6646"/>
    <cellStyle name="쉼표 [0] 4 2 2 27 4 2" xfId="19320"/>
    <cellStyle name="쉼표 [0] 4 2 2 27 4 2 2" xfId="44672"/>
    <cellStyle name="쉼표 [0] 4 2 2 27 4 3" xfId="32000"/>
    <cellStyle name="쉼표 [0] 4 2 2 27 5" xfId="12984"/>
    <cellStyle name="쉼표 [0] 4 2 2 27 5 2" xfId="38336"/>
    <cellStyle name="쉼표 [0] 4 2 2 27 6" xfId="25664"/>
    <cellStyle name="쉼표 [0] 4 2 2 28" xfId="311"/>
    <cellStyle name="쉼표 [0] 4 2 2 28 2" xfId="312"/>
    <cellStyle name="쉼표 [0] 4 2 2 28 2 2" xfId="3411"/>
    <cellStyle name="쉼표 [0] 4 2 2 28 2 2 2" xfId="9747"/>
    <cellStyle name="쉼표 [0] 4 2 2 28 2 2 2 2" xfId="22421"/>
    <cellStyle name="쉼표 [0] 4 2 2 28 2 2 2 2 2" xfId="47773"/>
    <cellStyle name="쉼표 [0] 4 2 2 28 2 2 2 3" xfId="35101"/>
    <cellStyle name="쉼표 [0] 4 2 2 28 2 2 3" xfId="16085"/>
    <cellStyle name="쉼표 [0] 4 2 2 28 2 2 3 2" xfId="41437"/>
    <cellStyle name="쉼표 [0] 4 2 2 28 2 2 4" xfId="28765"/>
    <cellStyle name="쉼표 [0] 4 2 2 28 2 3" xfId="6649"/>
    <cellStyle name="쉼표 [0] 4 2 2 28 2 3 2" xfId="19323"/>
    <cellStyle name="쉼표 [0] 4 2 2 28 2 3 2 2" xfId="44675"/>
    <cellStyle name="쉼표 [0] 4 2 2 28 2 3 3" xfId="32003"/>
    <cellStyle name="쉼표 [0] 4 2 2 28 2 4" xfId="12987"/>
    <cellStyle name="쉼표 [0] 4 2 2 28 2 4 2" xfId="38339"/>
    <cellStyle name="쉼표 [0] 4 2 2 28 2 5" xfId="25667"/>
    <cellStyle name="쉼표 [0] 4 2 2 28 3" xfId="3412"/>
    <cellStyle name="쉼표 [0] 4 2 2 28 3 2" xfId="9748"/>
    <cellStyle name="쉼표 [0] 4 2 2 28 3 2 2" xfId="22422"/>
    <cellStyle name="쉼표 [0] 4 2 2 28 3 2 2 2" xfId="47774"/>
    <cellStyle name="쉼표 [0] 4 2 2 28 3 2 3" xfId="35102"/>
    <cellStyle name="쉼표 [0] 4 2 2 28 3 3" xfId="16086"/>
    <cellStyle name="쉼표 [0] 4 2 2 28 3 3 2" xfId="41438"/>
    <cellStyle name="쉼표 [0] 4 2 2 28 3 4" xfId="28766"/>
    <cellStyle name="쉼표 [0] 4 2 2 28 4" xfId="6648"/>
    <cellStyle name="쉼표 [0] 4 2 2 28 4 2" xfId="19322"/>
    <cellStyle name="쉼표 [0] 4 2 2 28 4 2 2" xfId="44674"/>
    <cellStyle name="쉼표 [0] 4 2 2 28 4 3" xfId="32002"/>
    <cellStyle name="쉼표 [0] 4 2 2 28 5" xfId="12986"/>
    <cellStyle name="쉼표 [0] 4 2 2 28 5 2" xfId="38338"/>
    <cellStyle name="쉼표 [0] 4 2 2 28 6" xfId="25666"/>
    <cellStyle name="쉼표 [0] 4 2 2 29" xfId="313"/>
    <cellStyle name="쉼표 [0] 4 2 2 29 2" xfId="314"/>
    <cellStyle name="쉼표 [0] 4 2 2 29 2 2" xfId="3413"/>
    <cellStyle name="쉼표 [0] 4 2 2 29 2 2 2" xfId="9749"/>
    <cellStyle name="쉼표 [0] 4 2 2 29 2 2 2 2" xfId="22423"/>
    <cellStyle name="쉼표 [0] 4 2 2 29 2 2 2 2 2" xfId="47775"/>
    <cellStyle name="쉼표 [0] 4 2 2 29 2 2 2 3" xfId="35103"/>
    <cellStyle name="쉼표 [0] 4 2 2 29 2 2 3" xfId="16087"/>
    <cellStyle name="쉼표 [0] 4 2 2 29 2 2 3 2" xfId="41439"/>
    <cellStyle name="쉼표 [0] 4 2 2 29 2 2 4" xfId="28767"/>
    <cellStyle name="쉼표 [0] 4 2 2 29 2 3" xfId="6651"/>
    <cellStyle name="쉼표 [0] 4 2 2 29 2 3 2" xfId="19325"/>
    <cellStyle name="쉼표 [0] 4 2 2 29 2 3 2 2" xfId="44677"/>
    <cellStyle name="쉼표 [0] 4 2 2 29 2 3 3" xfId="32005"/>
    <cellStyle name="쉼표 [0] 4 2 2 29 2 4" xfId="12989"/>
    <cellStyle name="쉼표 [0] 4 2 2 29 2 4 2" xfId="38341"/>
    <cellStyle name="쉼표 [0] 4 2 2 29 2 5" xfId="25669"/>
    <cellStyle name="쉼표 [0] 4 2 2 29 3" xfId="3414"/>
    <cellStyle name="쉼표 [0] 4 2 2 29 3 2" xfId="9750"/>
    <cellStyle name="쉼표 [0] 4 2 2 29 3 2 2" xfId="22424"/>
    <cellStyle name="쉼표 [0] 4 2 2 29 3 2 2 2" xfId="47776"/>
    <cellStyle name="쉼표 [0] 4 2 2 29 3 2 3" xfId="35104"/>
    <cellStyle name="쉼표 [0] 4 2 2 29 3 3" xfId="16088"/>
    <cellStyle name="쉼표 [0] 4 2 2 29 3 3 2" xfId="41440"/>
    <cellStyle name="쉼표 [0] 4 2 2 29 3 4" xfId="28768"/>
    <cellStyle name="쉼표 [0] 4 2 2 29 4" xfId="6650"/>
    <cellStyle name="쉼표 [0] 4 2 2 29 4 2" xfId="19324"/>
    <cellStyle name="쉼표 [0] 4 2 2 29 4 2 2" xfId="44676"/>
    <cellStyle name="쉼표 [0] 4 2 2 29 4 3" xfId="32004"/>
    <cellStyle name="쉼표 [0] 4 2 2 29 5" xfId="12988"/>
    <cellStyle name="쉼표 [0] 4 2 2 29 5 2" xfId="38340"/>
    <cellStyle name="쉼표 [0] 4 2 2 29 6" xfId="25668"/>
    <cellStyle name="쉼표 [0] 4 2 2 3" xfId="59"/>
    <cellStyle name="쉼표 [0] 4 2 2 3 10" xfId="315"/>
    <cellStyle name="쉼표 [0] 4 2 2 3 10 2" xfId="316"/>
    <cellStyle name="쉼표 [0] 4 2 2 3 10 2 2" xfId="3415"/>
    <cellStyle name="쉼표 [0] 4 2 2 3 10 2 2 2" xfId="9751"/>
    <cellStyle name="쉼표 [0] 4 2 2 3 10 2 2 2 2" xfId="22425"/>
    <cellStyle name="쉼표 [0] 4 2 2 3 10 2 2 2 2 2" xfId="47777"/>
    <cellStyle name="쉼표 [0] 4 2 2 3 10 2 2 2 3" xfId="35105"/>
    <cellStyle name="쉼표 [0] 4 2 2 3 10 2 2 3" xfId="16089"/>
    <cellStyle name="쉼표 [0] 4 2 2 3 10 2 2 3 2" xfId="41441"/>
    <cellStyle name="쉼표 [0] 4 2 2 3 10 2 2 4" xfId="28769"/>
    <cellStyle name="쉼표 [0] 4 2 2 3 10 2 3" xfId="6653"/>
    <cellStyle name="쉼표 [0] 4 2 2 3 10 2 3 2" xfId="19327"/>
    <cellStyle name="쉼표 [0] 4 2 2 3 10 2 3 2 2" xfId="44679"/>
    <cellStyle name="쉼표 [0] 4 2 2 3 10 2 3 3" xfId="32007"/>
    <cellStyle name="쉼표 [0] 4 2 2 3 10 2 4" xfId="12991"/>
    <cellStyle name="쉼표 [0] 4 2 2 3 10 2 4 2" xfId="38343"/>
    <cellStyle name="쉼표 [0] 4 2 2 3 10 2 5" xfId="25671"/>
    <cellStyle name="쉼표 [0] 4 2 2 3 10 3" xfId="3416"/>
    <cellStyle name="쉼표 [0] 4 2 2 3 10 3 2" xfId="9752"/>
    <cellStyle name="쉼표 [0] 4 2 2 3 10 3 2 2" xfId="22426"/>
    <cellStyle name="쉼표 [0] 4 2 2 3 10 3 2 2 2" xfId="47778"/>
    <cellStyle name="쉼표 [0] 4 2 2 3 10 3 2 3" xfId="35106"/>
    <cellStyle name="쉼표 [0] 4 2 2 3 10 3 3" xfId="16090"/>
    <cellStyle name="쉼표 [0] 4 2 2 3 10 3 3 2" xfId="41442"/>
    <cellStyle name="쉼표 [0] 4 2 2 3 10 3 4" xfId="28770"/>
    <cellStyle name="쉼표 [0] 4 2 2 3 10 4" xfId="6652"/>
    <cellStyle name="쉼표 [0] 4 2 2 3 10 4 2" xfId="19326"/>
    <cellStyle name="쉼표 [0] 4 2 2 3 10 4 2 2" xfId="44678"/>
    <cellStyle name="쉼표 [0] 4 2 2 3 10 4 3" xfId="32006"/>
    <cellStyle name="쉼표 [0] 4 2 2 3 10 5" xfId="12990"/>
    <cellStyle name="쉼표 [0] 4 2 2 3 10 5 2" xfId="38342"/>
    <cellStyle name="쉼표 [0] 4 2 2 3 10 6" xfId="25670"/>
    <cellStyle name="쉼표 [0] 4 2 2 3 11" xfId="317"/>
    <cellStyle name="쉼표 [0] 4 2 2 3 11 2" xfId="318"/>
    <cellStyle name="쉼표 [0] 4 2 2 3 11 2 2" xfId="3417"/>
    <cellStyle name="쉼표 [0] 4 2 2 3 11 2 2 2" xfId="9753"/>
    <cellStyle name="쉼표 [0] 4 2 2 3 11 2 2 2 2" xfId="22427"/>
    <cellStyle name="쉼표 [0] 4 2 2 3 11 2 2 2 2 2" xfId="47779"/>
    <cellStyle name="쉼표 [0] 4 2 2 3 11 2 2 2 3" xfId="35107"/>
    <cellStyle name="쉼표 [0] 4 2 2 3 11 2 2 3" xfId="16091"/>
    <cellStyle name="쉼표 [0] 4 2 2 3 11 2 2 3 2" xfId="41443"/>
    <cellStyle name="쉼표 [0] 4 2 2 3 11 2 2 4" xfId="28771"/>
    <cellStyle name="쉼표 [0] 4 2 2 3 11 2 3" xfId="6655"/>
    <cellStyle name="쉼표 [0] 4 2 2 3 11 2 3 2" xfId="19329"/>
    <cellStyle name="쉼표 [0] 4 2 2 3 11 2 3 2 2" xfId="44681"/>
    <cellStyle name="쉼표 [0] 4 2 2 3 11 2 3 3" xfId="32009"/>
    <cellStyle name="쉼표 [0] 4 2 2 3 11 2 4" xfId="12993"/>
    <cellStyle name="쉼표 [0] 4 2 2 3 11 2 4 2" xfId="38345"/>
    <cellStyle name="쉼표 [0] 4 2 2 3 11 2 5" xfId="25673"/>
    <cellStyle name="쉼표 [0] 4 2 2 3 11 3" xfId="3418"/>
    <cellStyle name="쉼표 [0] 4 2 2 3 11 3 2" xfId="9754"/>
    <cellStyle name="쉼표 [0] 4 2 2 3 11 3 2 2" xfId="22428"/>
    <cellStyle name="쉼표 [0] 4 2 2 3 11 3 2 2 2" xfId="47780"/>
    <cellStyle name="쉼표 [0] 4 2 2 3 11 3 2 3" xfId="35108"/>
    <cellStyle name="쉼표 [0] 4 2 2 3 11 3 3" xfId="16092"/>
    <cellStyle name="쉼표 [0] 4 2 2 3 11 3 3 2" xfId="41444"/>
    <cellStyle name="쉼표 [0] 4 2 2 3 11 3 4" xfId="28772"/>
    <cellStyle name="쉼표 [0] 4 2 2 3 11 4" xfId="6654"/>
    <cellStyle name="쉼표 [0] 4 2 2 3 11 4 2" xfId="19328"/>
    <cellStyle name="쉼표 [0] 4 2 2 3 11 4 2 2" xfId="44680"/>
    <cellStyle name="쉼표 [0] 4 2 2 3 11 4 3" xfId="32008"/>
    <cellStyle name="쉼표 [0] 4 2 2 3 11 5" xfId="12992"/>
    <cellStyle name="쉼표 [0] 4 2 2 3 11 5 2" xfId="38344"/>
    <cellStyle name="쉼표 [0] 4 2 2 3 11 6" xfId="25672"/>
    <cellStyle name="쉼표 [0] 4 2 2 3 12" xfId="319"/>
    <cellStyle name="쉼표 [0] 4 2 2 3 12 2" xfId="320"/>
    <cellStyle name="쉼표 [0] 4 2 2 3 12 2 2" xfId="3419"/>
    <cellStyle name="쉼표 [0] 4 2 2 3 12 2 2 2" xfId="9755"/>
    <cellStyle name="쉼표 [0] 4 2 2 3 12 2 2 2 2" xfId="22429"/>
    <cellStyle name="쉼표 [0] 4 2 2 3 12 2 2 2 2 2" xfId="47781"/>
    <cellStyle name="쉼표 [0] 4 2 2 3 12 2 2 2 3" xfId="35109"/>
    <cellStyle name="쉼표 [0] 4 2 2 3 12 2 2 3" xfId="16093"/>
    <cellStyle name="쉼표 [0] 4 2 2 3 12 2 2 3 2" xfId="41445"/>
    <cellStyle name="쉼표 [0] 4 2 2 3 12 2 2 4" xfId="28773"/>
    <cellStyle name="쉼표 [0] 4 2 2 3 12 2 3" xfId="6657"/>
    <cellStyle name="쉼표 [0] 4 2 2 3 12 2 3 2" xfId="19331"/>
    <cellStyle name="쉼표 [0] 4 2 2 3 12 2 3 2 2" xfId="44683"/>
    <cellStyle name="쉼표 [0] 4 2 2 3 12 2 3 3" xfId="32011"/>
    <cellStyle name="쉼표 [0] 4 2 2 3 12 2 4" xfId="12995"/>
    <cellStyle name="쉼표 [0] 4 2 2 3 12 2 4 2" xfId="38347"/>
    <cellStyle name="쉼표 [0] 4 2 2 3 12 2 5" xfId="25675"/>
    <cellStyle name="쉼표 [0] 4 2 2 3 12 3" xfId="3420"/>
    <cellStyle name="쉼표 [0] 4 2 2 3 12 3 2" xfId="9756"/>
    <cellStyle name="쉼표 [0] 4 2 2 3 12 3 2 2" xfId="22430"/>
    <cellStyle name="쉼표 [0] 4 2 2 3 12 3 2 2 2" xfId="47782"/>
    <cellStyle name="쉼표 [0] 4 2 2 3 12 3 2 3" xfId="35110"/>
    <cellStyle name="쉼표 [0] 4 2 2 3 12 3 3" xfId="16094"/>
    <cellStyle name="쉼표 [0] 4 2 2 3 12 3 3 2" xfId="41446"/>
    <cellStyle name="쉼표 [0] 4 2 2 3 12 3 4" xfId="28774"/>
    <cellStyle name="쉼표 [0] 4 2 2 3 12 4" xfId="6656"/>
    <cellStyle name="쉼표 [0] 4 2 2 3 12 4 2" xfId="19330"/>
    <cellStyle name="쉼표 [0] 4 2 2 3 12 4 2 2" xfId="44682"/>
    <cellStyle name="쉼표 [0] 4 2 2 3 12 4 3" xfId="32010"/>
    <cellStyle name="쉼표 [0] 4 2 2 3 12 5" xfId="12994"/>
    <cellStyle name="쉼표 [0] 4 2 2 3 12 5 2" xfId="38346"/>
    <cellStyle name="쉼표 [0] 4 2 2 3 12 6" xfId="25674"/>
    <cellStyle name="쉼표 [0] 4 2 2 3 13" xfId="321"/>
    <cellStyle name="쉼표 [0] 4 2 2 3 13 2" xfId="322"/>
    <cellStyle name="쉼표 [0] 4 2 2 3 13 2 2" xfId="3421"/>
    <cellStyle name="쉼표 [0] 4 2 2 3 13 2 2 2" xfId="9757"/>
    <cellStyle name="쉼표 [0] 4 2 2 3 13 2 2 2 2" xfId="22431"/>
    <cellStyle name="쉼표 [0] 4 2 2 3 13 2 2 2 2 2" xfId="47783"/>
    <cellStyle name="쉼표 [0] 4 2 2 3 13 2 2 2 3" xfId="35111"/>
    <cellStyle name="쉼표 [0] 4 2 2 3 13 2 2 3" xfId="16095"/>
    <cellStyle name="쉼표 [0] 4 2 2 3 13 2 2 3 2" xfId="41447"/>
    <cellStyle name="쉼표 [0] 4 2 2 3 13 2 2 4" xfId="28775"/>
    <cellStyle name="쉼표 [0] 4 2 2 3 13 2 3" xfId="6659"/>
    <cellStyle name="쉼표 [0] 4 2 2 3 13 2 3 2" xfId="19333"/>
    <cellStyle name="쉼표 [0] 4 2 2 3 13 2 3 2 2" xfId="44685"/>
    <cellStyle name="쉼표 [0] 4 2 2 3 13 2 3 3" xfId="32013"/>
    <cellStyle name="쉼표 [0] 4 2 2 3 13 2 4" xfId="12997"/>
    <cellStyle name="쉼표 [0] 4 2 2 3 13 2 4 2" xfId="38349"/>
    <cellStyle name="쉼표 [0] 4 2 2 3 13 2 5" xfId="25677"/>
    <cellStyle name="쉼표 [0] 4 2 2 3 13 3" xfId="3422"/>
    <cellStyle name="쉼표 [0] 4 2 2 3 13 3 2" xfId="9758"/>
    <cellStyle name="쉼표 [0] 4 2 2 3 13 3 2 2" xfId="22432"/>
    <cellStyle name="쉼표 [0] 4 2 2 3 13 3 2 2 2" xfId="47784"/>
    <cellStyle name="쉼표 [0] 4 2 2 3 13 3 2 3" xfId="35112"/>
    <cellStyle name="쉼표 [0] 4 2 2 3 13 3 3" xfId="16096"/>
    <cellStyle name="쉼표 [0] 4 2 2 3 13 3 3 2" xfId="41448"/>
    <cellStyle name="쉼표 [0] 4 2 2 3 13 3 4" xfId="28776"/>
    <cellStyle name="쉼표 [0] 4 2 2 3 13 4" xfId="6658"/>
    <cellStyle name="쉼표 [0] 4 2 2 3 13 4 2" xfId="19332"/>
    <cellStyle name="쉼표 [0] 4 2 2 3 13 4 2 2" xfId="44684"/>
    <cellStyle name="쉼표 [0] 4 2 2 3 13 4 3" xfId="32012"/>
    <cellStyle name="쉼표 [0] 4 2 2 3 13 5" xfId="12996"/>
    <cellStyle name="쉼표 [0] 4 2 2 3 13 5 2" xfId="38348"/>
    <cellStyle name="쉼표 [0] 4 2 2 3 13 6" xfId="25676"/>
    <cellStyle name="쉼표 [0] 4 2 2 3 14" xfId="323"/>
    <cellStyle name="쉼표 [0] 4 2 2 3 14 2" xfId="324"/>
    <cellStyle name="쉼표 [0] 4 2 2 3 14 2 2" xfId="3423"/>
    <cellStyle name="쉼표 [0] 4 2 2 3 14 2 2 2" xfId="9759"/>
    <cellStyle name="쉼표 [0] 4 2 2 3 14 2 2 2 2" xfId="22433"/>
    <cellStyle name="쉼표 [0] 4 2 2 3 14 2 2 2 2 2" xfId="47785"/>
    <cellStyle name="쉼표 [0] 4 2 2 3 14 2 2 2 3" xfId="35113"/>
    <cellStyle name="쉼표 [0] 4 2 2 3 14 2 2 3" xfId="16097"/>
    <cellStyle name="쉼표 [0] 4 2 2 3 14 2 2 3 2" xfId="41449"/>
    <cellStyle name="쉼표 [0] 4 2 2 3 14 2 2 4" xfId="28777"/>
    <cellStyle name="쉼표 [0] 4 2 2 3 14 2 3" xfId="6661"/>
    <cellStyle name="쉼표 [0] 4 2 2 3 14 2 3 2" xfId="19335"/>
    <cellStyle name="쉼표 [0] 4 2 2 3 14 2 3 2 2" xfId="44687"/>
    <cellStyle name="쉼표 [0] 4 2 2 3 14 2 3 3" xfId="32015"/>
    <cellStyle name="쉼표 [0] 4 2 2 3 14 2 4" xfId="12999"/>
    <cellStyle name="쉼표 [0] 4 2 2 3 14 2 4 2" xfId="38351"/>
    <cellStyle name="쉼표 [0] 4 2 2 3 14 2 5" xfId="25679"/>
    <cellStyle name="쉼표 [0] 4 2 2 3 14 3" xfId="3424"/>
    <cellStyle name="쉼표 [0] 4 2 2 3 14 3 2" xfId="9760"/>
    <cellStyle name="쉼표 [0] 4 2 2 3 14 3 2 2" xfId="22434"/>
    <cellStyle name="쉼표 [0] 4 2 2 3 14 3 2 2 2" xfId="47786"/>
    <cellStyle name="쉼표 [0] 4 2 2 3 14 3 2 3" xfId="35114"/>
    <cellStyle name="쉼표 [0] 4 2 2 3 14 3 3" xfId="16098"/>
    <cellStyle name="쉼표 [0] 4 2 2 3 14 3 3 2" xfId="41450"/>
    <cellStyle name="쉼표 [0] 4 2 2 3 14 3 4" xfId="28778"/>
    <cellStyle name="쉼표 [0] 4 2 2 3 14 4" xfId="6660"/>
    <cellStyle name="쉼표 [0] 4 2 2 3 14 4 2" xfId="19334"/>
    <cellStyle name="쉼표 [0] 4 2 2 3 14 4 2 2" xfId="44686"/>
    <cellStyle name="쉼표 [0] 4 2 2 3 14 4 3" xfId="32014"/>
    <cellStyle name="쉼표 [0] 4 2 2 3 14 5" xfId="12998"/>
    <cellStyle name="쉼표 [0] 4 2 2 3 14 5 2" xfId="38350"/>
    <cellStyle name="쉼표 [0] 4 2 2 3 14 6" xfId="25678"/>
    <cellStyle name="쉼표 [0] 4 2 2 3 15" xfId="325"/>
    <cellStyle name="쉼표 [0] 4 2 2 3 15 2" xfId="326"/>
    <cellStyle name="쉼표 [0] 4 2 2 3 15 2 2" xfId="3425"/>
    <cellStyle name="쉼표 [0] 4 2 2 3 15 2 2 2" xfId="9761"/>
    <cellStyle name="쉼표 [0] 4 2 2 3 15 2 2 2 2" xfId="22435"/>
    <cellStyle name="쉼표 [0] 4 2 2 3 15 2 2 2 2 2" xfId="47787"/>
    <cellStyle name="쉼표 [0] 4 2 2 3 15 2 2 2 3" xfId="35115"/>
    <cellStyle name="쉼표 [0] 4 2 2 3 15 2 2 3" xfId="16099"/>
    <cellStyle name="쉼표 [0] 4 2 2 3 15 2 2 3 2" xfId="41451"/>
    <cellStyle name="쉼표 [0] 4 2 2 3 15 2 2 4" xfId="28779"/>
    <cellStyle name="쉼표 [0] 4 2 2 3 15 2 3" xfId="6663"/>
    <cellStyle name="쉼표 [0] 4 2 2 3 15 2 3 2" xfId="19337"/>
    <cellStyle name="쉼표 [0] 4 2 2 3 15 2 3 2 2" xfId="44689"/>
    <cellStyle name="쉼표 [0] 4 2 2 3 15 2 3 3" xfId="32017"/>
    <cellStyle name="쉼표 [0] 4 2 2 3 15 2 4" xfId="13001"/>
    <cellStyle name="쉼표 [0] 4 2 2 3 15 2 4 2" xfId="38353"/>
    <cellStyle name="쉼표 [0] 4 2 2 3 15 2 5" xfId="25681"/>
    <cellStyle name="쉼표 [0] 4 2 2 3 15 3" xfId="3426"/>
    <cellStyle name="쉼표 [0] 4 2 2 3 15 3 2" xfId="9762"/>
    <cellStyle name="쉼표 [0] 4 2 2 3 15 3 2 2" xfId="22436"/>
    <cellStyle name="쉼표 [0] 4 2 2 3 15 3 2 2 2" xfId="47788"/>
    <cellStyle name="쉼표 [0] 4 2 2 3 15 3 2 3" xfId="35116"/>
    <cellStyle name="쉼표 [0] 4 2 2 3 15 3 3" xfId="16100"/>
    <cellStyle name="쉼표 [0] 4 2 2 3 15 3 3 2" xfId="41452"/>
    <cellStyle name="쉼표 [0] 4 2 2 3 15 3 4" xfId="28780"/>
    <cellStyle name="쉼표 [0] 4 2 2 3 15 4" xfId="6662"/>
    <cellStyle name="쉼표 [0] 4 2 2 3 15 4 2" xfId="19336"/>
    <cellStyle name="쉼표 [0] 4 2 2 3 15 4 2 2" xfId="44688"/>
    <cellStyle name="쉼표 [0] 4 2 2 3 15 4 3" xfId="32016"/>
    <cellStyle name="쉼표 [0] 4 2 2 3 15 5" xfId="13000"/>
    <cellStyle name="쉼표 [0] 4 2 2 3 15 5 2" xfId="38352"/>
    <cellStyle name="쉼표 [0] 4 2 2 3 15 6" xfId="25680"/>
    <cellStyle name="쉼표 [0] 4 2 2 3 16" xfId="327"/>
    <cellStyle name="쉼표 [0] 4 2 2 3 16 2" xfId="328"/>
    <cellStyle name="쉼표 [0] 4 2 2 3 16 2 2" xfId="3427"/>
    <cellStyle name="쉼표 [0] 4 2 2 3 16 2 2 2" xfId="9763"/>
    <cellStyle name="쉼표 [0] 4 2 2 3 16 2 2 2 2" xfId="22437"/>
    <cellStyle name="쉼표 [0] 4 2 2 3 16 2 2 2 2 2" xfId="47789"/>
    <cellStyle name="쉼표 [0] 4 2 2 3 16 2 2 2 3" xfId="35117"/>
    <cellStyle name="쉼표 [0] 4 2 2 3 16 2 2 3" xfId="16101"/>
    <cellStyle name="쉼표 [0] 4 2 2 3 16 2 2 3 2" xfId="41453"/>
    <cellStyle name="쉼표 [0] 4 2 2 3 16 2 2 4" xfId="28781"/>
    <cellStyle name="쉼표 [0] 4 2 2 3 16 2 3" xfId="6665"/>
    <cellStyle name="쉼표 [0] 4 2 2 3 16 2 3 2" xfId="19339"/>
    <cellStyle name="쉼표 [0] 4 2 2 3 16 2 3 2 2" xfId="44691"/>
    <cellStyle name="쉼표 [0] 4 2 2 3 16 2 3 3" xfId="32019"/>
    <cellStyle name="쉼표 [0] 4 2 2 3 16 2 4" xfId="13003"/>
    <cellStyle name="쉼표 [0] 4 2 2 3 16 2 4 2" xfId="38355"/>
    <cellStyle name="쉼표 [0] 4 2 2 3 16 2 5" xfId="25683"/>
    <cellStyle name="쉼표 [0] 4 2 2 3 16 3" xfId="3428"/>
    <cellStyle name="쉼표 [0] 4 2 2 3 16 3 2" xfId="9764"/>
    <cellStyle name="쉼표 [0] 4 2 2 3 16 3 2 2" xfId="22438"/>
    <cellStyle name="쉼표 [0] 4 2 2 3 16 3 2 2 2" xfId="47790"/>
    <cellStyle name="쉼표 [0] 4 2 2 3 16 3 2 3" xfId="35118"/>
    <cellStyle name="쉼표 [0] 4 2 2 3 16 3 3" xfId="16102"/>
    <cellStyle name="쉼표 [0] 4 2 2 3 16 3 3 2" xfId="41454"/>
    <cellStyle name="쉼표 [0] 4 2 2 3 16 3 4" xfId="28782"/>
    <cellStyle name="쉼표 [0] 4 2 2 3 16 4" xfId="6664"/>
    <cellStyle name="쉼표 [0] 4 2 2 3 16 4 2" xfId="19338"/>
    <cellStyle name="쉼표 [0] 4 2 2 3 16 4 2 2" xfId="44690"/>
    <cellStyle name="쉼표 [0] 4 2 2 3 16 4 3" xfId="32018"/>
    <cellStyle name="쉼표 [0] 4 2 2 3 16 5" xfId="13002"/>
    <cellStyle name="쉼표 [0] 4 2 2 3 16 5 2" xfId="38354"/>
    <cellStyle name="쉼표 [0] 4 2 2 3 16 6" xfId="25682"/>
    <cellStyle name="쉼표 [0] 4 2 2 3 17" xfId="329"/>
    <cellStyle name="쉼표 [0] 4 2 2 3 17 2" xfId="330"/>
    <cellStyle name="쉼표 [0] 4 2 2 3 17 2 2" xfId="3429"/>
    <cellStyle name="쉼표 [0] 4 2 2 3 17 2 2 2" xfId="9765"/>
    <cellStyle name="쉼표 [0] 4 2 2 3 17 2 2 2 2" xfId="22439"/>
    <cellStyle name="쉼표 [0] 4 2 2 3 17 2 2 2 2 2" xfId="47791"/>
    <cellStyle name="쉼표 [0] 4 2 2 3 17 2 2 2 3" xfId="35119"/>
    <cellStyle name="쉼표 [0] 4 2 2 3 17 2 2 3" xfId="16103"/>
    <cellStyle name="쉼표 [0] 4 2 2 3 17 2 2 3 2" xfId="41455"/>
    <cellStyle name="쉼표 [0] 4 2 2 3 17 2 2 4" xfId="28783"/>
    <cellStyle name="쉼표 [0] 4 2 2 3 17 2 3" xfId="6667"/>
    <cellStyle name="쉼표 [0] 4 2 2 3 17 2 3 2" xfId="19341"/>
    <cellStyle name="쉼표 [0] 4 2 2 3 17 2 3 2 2" xfId="44693"/>
    <cellStyle name="쉼표 [0] 4 2 2 3 17 2 3 3" xfId="32021"/>
    <cellStyle name="쉼표 [0] 4 2 2 3 17 2 4" xfId="13005"/>
    <cellStyle name="쉼표 [0] 4 2 2 3 17 2 4 2" xfId="38357"/>
    <cellStyle name="쉼표 [0] 4 2 2 3 17 2 5" xfId="25685"/>
    <cellStyle name="쉼표 [0] 4 2 2 3 17 3" xfId="3430"/>
    <cellStyle name="쉼표 [0] 4 2 2 3 17 3 2" xfId="9766"/>
    <cellStyle name="쉼표 [0] 4 2 2 3 17 3 2 2" xfId="22440"/>
    <cellStyle name="쉼표 [0] 4 2 2 3 17 3 2 2 2" xfId="47792"/>
    <cellStyle name="쉼표 [0] 4 2 2 3 17 3 2 3" xfId="35120"/>
    <cellStyle name="쉼표 [0] 4 2 2 3 17 3 3" xfId="16104"/>
    <cellStyle name="쉼표 [0] 4 2 2 3 17 3 3 2" xfId="41456"/>
    <cellStyle name="쉼표 [0] 4 2 2 3 17 3 4" xfId="28784"/>
    <cellStyle name="쉼표 [0] 4 2 2 3 17 4" xfId="6666"/>
    <cellStyle name="쉼표 [0] 4 2 2 3 17 4 2" xfId="19340"/>
    <cellStyle name="쉼표 [0] 4 2 2 3 17 4 2 2" xfId="44692"/>
    <cellStyle name="쉼표 [0] 4 2 2 3 17 4 3" xfId="32020"/>
    <cellStyle name="쉼표 [0] 4 2 2 3 17 5" xfId="13004"/>
    <cellStyle name="쉼표 [0] 4 2 2 3 17 5 2" xfId="38356"/>
    <cellStyle name="쉼표 [0] 4 2 2 3 17 6" xfId="25684"/>
    <cellStyle name="쉼표 [0] 4 2 2 3 18" xfId="331"/>
    <cellStyle name="쉼표 [0] 4 2 2 3 18 2" xfId="332"/>
    <cellStyle name="쉼표 [0] 4 2 2 3 18 2 2" xfId="3431"/>
    <cellStyle name="쉼표 [0] 4 2 2 3 18 2 2 2" xfId="9767"/>
    <cellStyle name="쉼표 [0] 4 2 2 3 18 2 2 2 2" xfId="22441"/>
    <cellStyle name="쉼표 [0] 4 2 2 3 18 2 2 2 2 2" xfId="47793"/>
    <cellStyle name="쉼표 [0] 4 2 2 3 18 2 2 2 3" xfId="35121"/>
    <cellStyle name="쉼표 [0] 4 2 2 3 18 2 2 3" xfId="16105"/>
    <cellStyle name="쉼표 [0] 4 2 2 3 18 2 2 3 2" xfId="41457"/>
    <cellStyle name="쉼표 [0] 4 2 2 3 18 2 2 4" xfId="28785"/>
    <cellStyle name="쉼표 [0] 4 2 2 3 18 2 3" xfId="6669"/>
    <cellStyle name="쉼표 [0] 4 2 2 3 18 2 3 2" xfId="19343"/>
    <cellStyle name="쉼표 [0] 4 2 2 3 18 2 3 2 2" xfId="44695"/>
    <cellStyle name="쉼표 [0] 4 2 2 3 18 2 3 3" xfId="32023"/>
    <cellStyle name="쉼표 [0] 4 2 2 3 18 2 4" xfId="13007"/>
    <cellStyle name="쉼표 [0] 4 2 2 3 18 2 4 2" xfId="38359"/>
    <cellStyle name="쉼표 [0] 4 2 2 3 18 2 5" xfId="25687"/>
    <cellStyle name="쉼표 [0] 4 2 2 3 18 3" xfId="3432"/>
    <cellStyle name="쉼표 [0] 4 2 2 3 18 3 2" xfId="9768"/>
    <cellStyle name="쉼표 [0] 4 2 2 3 18 3 2 2" xfId="22442"/>
    <cellStyle name="쉼표 [0] 4 2 2 3 18 3 2 2 2" xfId="47794"/>
    <cellStyle name="쉼표 [0] 4 2 2 3 18 3 2 3" xfId="35122"/>
    <cellStyle name="쉼표 [0] 4 2 2 3 18 3 3" xfId="16106"/>
    <cellStyle name="쉼표 [0] 4 2 2 3 18 3 3 2" xfId="41458"/>
    <cellStyle name="쉼표 [0] 4 2 2 3 18 3 4" xfId="28786"/>
    <cellStyle name="쉼표 [0] 4 2 2 3 18 4" xfId="6668"/>
    <cellStyle name="쉼표 [0] 4 2 2 3 18 4 2" xfId="19342"/>
    <cellStyle name="쉼표 [0] 4 2 2 3 18 4 2 2" xfId="44694"/>
    <cellStyle name="쉼표 [0] 4 2 2 3 18 4 3" xfId="32022"/>
    <cellStyle name="쉼표 [0] 4 2 2 3 18 5" xfId="13006"/>
    <cellStyle name="쉼표 [0] 4 2 2 3 18 5 2" xfId="38358"/>
    <cellStyle name="쉼표 [0] 4 2 2 3 18 6" xfId="25686"/>
    <cellStyle name="쉼표 [0] 4 2 2 3 19" xfId="333"/>
    <cellStyle name="쉼표 [0] 4 2 2 3 19 2" xfId="334"/>
    <cellStyle name="쉼표 [0] 4 2 2 3 19 2 2" xfId="3433"/>
    <cellStyle name="쉼표 [0] 4 2 2 3 19 2 2 2" xfId="9769"/>
    <cellStyle name="쉼표 [0] 4 2 2 3 19 2 2 2 2" xfId="22443"/>
    <cellStyle name="쉼표 [0] 4 2 2 3 19 2 2 2 2 2" xfId="47795"/>
    <cellStyle name="쉼표 [0] 4 2 2 3 19 2 2 2 3" xfId="35123"/>
    <cellStyle name="쉼표 [0] 4 2 2 3 19 2 2 3" xfId="16107"/>
    <cellStyle name="쉼표 [0] 4 2 2 3 19 2 2 3 2" xfId="41459"/>
    <cellStyle name="쉼표 [0] 4 2 2 3 19 2 2 4" xfId="28787"/>
    <cellStyle name="쉼표 [0] 4 2 2 3 19 2 3" xfId="6671"/>
    <cellStyle name="쉼표 [0] 4 2 2 3 19 2 3 2" xfId="19345"/>
    <cellStyle name="쉼표 [0] 4 2 2 3 19 2 3 2 2" xfId="44697"/>
    <cellStyle name="쉼표 [0] 4 2 2 3 19 2 3 3" xfId="32025"/>
    <cellStyle name="쉼표 [0] 4 2 2 3 19 2 4" xfId="13009"/>
    <cellStyle name="쉼표 [0] 4 2 2 3 19 2 4 2" xfId="38361"/>
    <cellStyle name="쉼표 [0] 4 2 2 3 19 2 5" xfId="25689"/>
    <cellStyle name="쉼표 [0] 4 2 2 3 19 3" xfId="3434"/>
    <cellStyle name="쉼표 [0] 4 2 2 3 19 3 2" xfId="9770"/>
    <cellStyle name="쉼표 [0] 4 2 2 3 19 3 2 2" xfId="22444"/>
    <cellStyle name="쉼표 [0] 4 2 2 3 19 3 2 2 2" xfId="47796"/>
    <cellStyle name="쉼표 [0] 4 2 2 3 19 3 2 3" xfId="35124"/>
    <cellStyle name="쉼표 [0] 4 2 2 3 19 3 3" xfId="16108"/>
    <cellStyle name="쉼표 [0] 4 2 2 3 19 3 3 2" xfId="41460"/>
    <cellStyle name="쉼표 [0] 4 2 2 3 19 3 4" xfId="28788"/>
    <cellStyle name="쉼표 [0] 4 2 2 3 19 4" xfId="6670"/>
    <cellStyle name="쉼표 [0] 4 2 2 3 19 4 2" xfId="19344"/>
    <cellStyle name="쉼표 [0] 4 2 2 3 19 4 2 2" xfId="44696"/>
    <cellStyle name="쉼표 [0] 4 2 2 3 19 4 3" xfId="32024"/>
    <cellStyle name="쉼표 [0] 4 2 2 3 19 5" xfId="13008"/>
    <cellStyle name="쉼표 [0] 4 2 2 3 19 5 2" xfId="38360"/>
    <cellStyle name="쉼표 [0] 4 2 2 3 19 6" xfId="25688"/>
    <cellStyle name="쉼표 [0] 4 2 2 3 2" xfId="335"/>
    <cellStyle name="쉼표 [0] 4 2 2 3 2 2" xfId="336"/>
    <cellStyle name="쉼표 [0] 4 2 2 3 2 2 2" xfId="3435"/>
    <cellStyle name="쉼표 [0] 4 2 2 3 2 2 2 2" xfId="9771"/>
    <cellStyle name="쉼표 [0] 4 2 2 3 2 2 2 2 2" xfId="22445"/>
    <cellStyle name="쉼표 [0] 4 2 2 3 2 2 2 2 2 2" xfId="47797"/>
    <cellStyle name="쉼표 [0] 4 2 2 3 2 2 2 2 3" xfId="35125"/>
    <cellStyle name="쉼표 [0] 4 2 2 3 2 2 2 3" xfId="16109"/>
    <cellStyle name="쉼표 [0] 4 2 2 3 2 2 2 3 2" xfId="41461"/>
    <cellStyle name="쉼표 [0] 4 2 2 3 2 2 2 4" xfId="28789"/>
    <cellStyle name="쉼표 [0] 4 2 2 3 2 2 3" xfId="6673"/>
    <cellStyle name="쉼표 [0] 4 2 2 3 2 2 3 2" xfId="19347"/>
    <cellStyle name="쉼표 [0] 4 2 2 3 2 2 3 2 2" xfId="44699"/>
    <cellStyle name="쉼표 [0] 4 2 2 3 2 2 3 3" xfId="32027"/>
    <cellStyle name="쉼표 [0] 4 2 2 3 2 2 4" xfId="13011"/>
    <cellStyle name="쉼표 [0] 4 2 2 3 2 2 4 2" xfId="38363"/>
    <cellStyle name="쉼표 [0] 4 2 2 3 2 2 5" xfId="25691"/>
    <cellStyle name="쉼표 [0] 4 2 2 3 2 3" xfId="3436"/>
    <cellStyle name="쉼표 [0] 4 2 2 3 2 3 2" xfId="9772"/>
    <cellStyle name="쉼표 [0] 4 2 2 3 2 3 2 2" xfId="22446"/>
    <cellStyle name="쉼표 [0] 4 2 2 3 2 3 2 2 2" xfId="47798"/>
    <cellStyle name="쉼표 [0] 4 2 2 3 2 3 2 3" xfId="35126"/>
    <cellStyle name="쉼표 [0] 4 2 2 3 2 3 3" xfId="16110"/>
    <cellStyle name="쉼표 [0] 4 2 2 3 2 3 3 2" xfId="41462"/>
    <cellStyle name="쉼표 [0] 4 2 2 3 2 3 4" xfId="28790"/>
    <cellStyle name="쉼표 [0] 4 2 2 3 2 4" xfId="6672"/>
    <cellStyle name="쉼표 [0] 4 2 2 3 2 4 2" xfId="19346"/>
    <cellStyle name="쉼표 [0] 4 2 2 3 2 4 2 2" xfId="44698"/>
    <cellStyle name="쉼표 [0] 4 2 2 3 2 4 3" xfId="32026"/>
    <cellStyle name="쉼표 [0] 4 2 2 3 2 5" xfId="13010"/>
    <cellStyle name="쉼표 [0] 4 2 2 3 2 5 2" xfId="38362"/>
    <cellStyle name="쉼표 [0] 4 2 2 3 2 6" xfId="25690"/>
    <cellStyle name="쉼표 [0] 4 2 2 3 20" xfId="337"/>
    <cellStyle name="쉼표 [0] 4 2 2 3 20 2" xfId="338"/>
    <cellStyle name="쉼표 [0] 4 2 2 3 20 2 2" xfId="3437"/>
    <cellStyle name="쉼표 [0] 4 2 2 3 20 2 2 2" xfId="9773"/>
    <cellStyle name="쉼표 [0] 4 2 2 3 20 2 2 2 2" xfId="22447"/>
    <cellStyle name="쉼표 [0] 4 2 2 3 20 2 2 2 2 2" xfId="47799"/>
    <cellStyle name="쉼표 [0] 4 2 2 3 20 2 2 2 3" xfId="35127"/>
    <cellStyle name="쉼표 [0] 4 2 2 3 20 2 2 3" xfId="16111"/>
    <cellStyle name="쉼표 [0] 4 2 2 3 20 2 2 3 2" xfId="41463"/>
    <cellStyle name="쉼표 [0] 4 2 2 3 20 2 2 4" xfId="28791"/>
    <cellStyle name="쉼표 [0] 4 2 2 3 20 2 3" xfId="6675"/>
    <cellStyle name="쉼표 [0] 4 2 2 3 20 2 3 2" xfId="19349"/>
    <cellStyle name="쉼표 [0] 4 2 2 3 20 2 3 2 2" xfId="44701"/>
    <cellStyle name="쉼표 [0] 4 2 2 3 20 2 3 3" xfId="32029"/>
    <cellStyle name="쉼표 [0] 4 2 2 3 20 2 4" xfId="13013"/>
    <cellStyle name="쉼표 [0] 4 2 2 3 20 2 4 2" xfId="38365"/>
    <cellStyle name="쉼표 [0] 4 2 2 3 20 2 5" xfId="25693"/>
    <cellStyle name="쉼표 [0] 4 2 2 3 20 3" xfId="3438"/>
    <cellStyle name="쉼표 [0] 4 2 2 3 20 3 2" xfId="9774"/>
    <cellStyle name="쉼표 [0] 4 2 2 3 20 3 2 2" xfId="22448"/>
    <cellStyle name="쉼표 [0] 4 2 2 3 20 3 2 2 2" xfId="47800"/>
    <cellStyle name="쉼표 [0] 4 2 2 3 20 3 2 3" xfId="35128"/>
    <cellStyle name="쉼표 [0] 4 2 2 3 20 3 3" xfId="16112"/>
    <cellStyle name="쉼표 [0] 4 2 2 3 20 3 3 2" xfId="41464"/>
    <cellStyle name="쉼표 [0] 4 2 2 3 20 3 4" xfId="28792"/>
    <cellStyle name="쉼표 [0] 4 2 2 3 20 4" xfId="6674"/>
    <cellStyle name="쉼표 [0] 4 2 2 3 20 4 2" xfId="19348"/>
    <cellStyle name="쉼표 [0] 4 2 2 3 20 4 2 2" xfId="44700"/>
    <cellStyle name="쉼표 [0] 4 2 2 3 20 4 3" xfId="32028"/>
    <cellStyle name="쉼표 [0] 4 2 2 3 20 5" xfId="13012"/>
    <cellStyle name="쉼표 [0] 4 2 2 3 20 5 2" xfId="38364"/>
    <cellStyle name="쉼표 [0] 4 2 2 3 20 6" xfId="25692"/>
    <cellStyle name="쉼표 [0] 4 2 2 3 21" xfId="339"/>
    <cellStyle name="쉼표 [0] 4 2 2 3 21 2" xfId="340"/>
    <cellStyle name="쉼표 [0] 4 2 2 3 21 2 2" xfId="3439"/>
    <cellStyle name="쉼표 [0] 4 2 2 3 21 2 2 2" xfId="9775"/>
    <cellStyle name="쉼표 [0] 4 2 2 3 21 2 2 2 2" xfId="22449"/>
    <cellStyle name="쉼표 [0] 4 2 2 3 21 2 2 2 2 2" xfId="47801"/>
    <cellStyle name="쉼표 [0] 4 2 2 3 21 2 2 2 3" xfId="35129"/>
    <cellStyle name="쉼표 [0] 4 2 2 3 21 2 2 3" xfId="16113"/>
    <cellStyle name="쉼표 [0] 4 2 2 3 21 2 2 3 2" xfId="41465"/>
    <cellStyle name="쉼표 [0] 4 2 2 3 21 2 2 4" xfId="28793"/>
    <cellStyle name="쉼표 [0] 4 2 2 3 21 2 3" xfId="6677"/>
    <cellStyle name="쉼표 [0] 4 2 2 3 21 2 3 2" xfId="19351"/>
    <cellStyle name="쉼표 [0] 4 2 2 3 21 2 3 2 2" xfId="44703"/>
    <cellStyle name="쉼표 [0] 4 2 2 3 21 2 3 3" xfId="32031"/>
    <cellStyle name="쉼표 [0] 4 2 2 3 21 2 4" xfId="13015"/>
    <cellStyle name="쉼표 [0] 4 2 2 3 21 2 4 2" xfId="38367"/>
    <cellStyle name="쉼표 [0] 4 2 2 3 21 2 5" xfId="25695"/>
    <cellStyle name="쉼표 [0] 4 2 2 3 21 3" xfId="3440"/>
    <cellStyle name="쉼표 [0] 4 2 2 3 21 3 2" xfId="9776"/>
    <cellStyle name="쉼표 [0] 4 2 2 3 21 3 2 2" xfId="22450"/>
    <cellStyle name="쉼표 [0] 4 2 2 3 21 3 2 2 2" xfId="47802"/>
    <cellStyle name="쉼표 [0] 4 2 2 3 21 3 2 3" xfId="35130"/>
    <cellStyle name="쉼표 [0] 4 2 2 3 21 3 3" xfId="16114"/>
    <cellStyle name="쉼표 [0] 4 2 2 3 21 3 3 2" xfId="41466"/>
    <cellStyle name="쉼표 [0] 4 2 2 3 21 3 4" xfId="28794"/>
    <cellStyle name="쉼표 [0] 4 2 2 3 21 4" xfId="6676"/>
    <cellStyle name="쉼표 [0] 4 2 2 3 21 4 2" xfId="19350"/>
    <cellStyle name="쉼표 [0] 4 2 2 3 21 4 2 2" xfId="44702"/>
    <cellStyle name="쉼표 [0] 4 2 2 3 21 4 3" xfId="32030"/>
    <cellStyle name="쉼표 [0] 4 2 2 3 21 5" xfId="13014"/>
    <cellStyle name="쉼표 [0] 4 2 2 3 21 5 2" xfId="38366"/>
    <cellStyle name="쉼표 [0] 4 2 2 3 21 6" xfId="25694"/>
    <cellStyle name="쉼표 [0] 4 2 2 3 22" xfId="341"/>
    <cellStyle name="쉼표 [0] 4 2 2 3 22 2" xfId="342"/>
    <cellStyle name="쉼표 [0] 4 2 2 3 22 2 2" xfId="3441"/>
    <cellStyle name="쉼표 [0] 4 2 2 3 22 2 2 2" xfId="9777"/>
    <cellStyle name="쉼표 [0] 4 2 2 3 22 2 2 2 2" xfId="22451"/>
    <cellStyle name="쉼표 [0] 4 2 2 3 22 2 2 2 2 2" xfId="47803"/>
    <cellStyle name="쉼표 [0] 4 2 2 3 22 2 2 2 3" xfId="35131"/>
    <cellStyle name="쉼표 [0] 4 2 2 3 22 2 2 3" xfId="16115"/>
    <cellStyle name="쉼표 [0] 4 2 2 3 22 2 2 3 2" xfId="41467"/>
    <cellStyle name="쉼표 [0] 4 2 2 3 22 2 2 4" xfId="28795"/>
    <cellStyle name="쉼표 [0] 4 2 2 3 22 2 3" xfId="6679"/>
    <cellStyle name="쉼표 [0] 4 2 2 3 22 2 3 2" xfId="19353"/>
    <cellStyle name="쉼표 [0] 4 2 2 3 22 2 3 2 2" xfId="44705"/>
    <cellStyle name="쉼표 [0] 4 2 2 3 22 2 3 3" xfId="32033"/>
    <cellStyle name="쉼표 [0] 4 2 2 3 22 2 4" xfId="13017"/>
    <cellStyle name="쉼표 [0] 4 2 2 3 22 2 4 2" xfId="38369"/>
    <cellStyle name="쉼표 [0] 4 2 2 3 22 2 5" xfId="25697"/>
    <cellStyle name="쉼표 [0] 4 2 2 3 22 3" xfId="3442"/>
    <cellStyle name="쉼표 [0] 4 2 2 3 22 3 2" xfId="9778"/>
    <cellStyle name="쉼표 [0] 4 2 2 3 22 3 2 2" xfId="22452"/>
    <cellStyle name="쉼표 [0] 4 2 2 3 22 3 2 2 2" xfId="47804"/>
    <cellStyle name="쉼표 [0] 4 2 2 3 22 3 2 3" xfId="35132"/>
    <cellStyle name="쉼표 [0] 4 2 2 3 22 3 3" xfId="16116"/>
    <cellStyle name="쉼표 [0] 4 2 2 3 22 3 3 2" xfId="41468"/>
    <cellStyle name="쉼표 [0] 4 2 2 3 22 3 4" xfId="28796"/>
    <cellStyle name="쉼표 [0] 4 2 2 3 22 4" xfId="6678"/>
    <cellStyle name="쉼표 [0] 4 2 2 3 22 4 2" xfId="19352"/>
    <cellStyle name="쉼표 [0] 4 2 2 3 22 4 2 2" xfId="44704"/>
    <cellStyle name="쉼표 [0] 4 2 2 3 22 4 3" xfId="32032"/>
    <cellStyle name="쉼표 [0] 4 2 2 3 22 5" xfId="13016"/>
    <cellStyle name="쉼표 [0] 4 2 2 3 22 5 2" xfId="38368"/>
    <cellStyle name="쉼표 [0] 4 2 2 3 22 6" xfId="25696"/>
    <cellStyle name="쉼표 [0] 4 2 2 3 23" xfId="343"/>
    <cellStyle name="쉼표 [0] 4 2 2 3 23 2" xfId="344"/>
    <cellStyle name="쉼표 [0] 4 2 2 3 23 2 2" xfId="3443"/>
    <cellStyle name="쉼표 [0] 4 2 2 3 23 2 2 2" xfId="9779"/>
    <cellStyle name="쉼표 [0] 4 2 2 3 23 2 2 2 2" xfId="22453"/>
    <cellStyle name="쉼표 [0] 4 2 2 3 23 2 2 2 2 2" xfId="47805"/>
    <cellStyle name="쉼표 [0] 4 2 2 3 23 2 2 2 3" xfId="35133"/>
    <cellStyle name="쉼표 [0] 4 2 2 3 23 2 2 3" xfId="16117"/>
    <cellStyle name="쉼표 [0] 4 2 2 3 23 2 2 3 2" xfId="41469"/>
    <cellStyle name="쉼표 [0] 4 2 2 3 23 2 2 4" xfId="28797"/>
    <cellStyle name="쉼표 [0] 4 2 2 3 23 2 3" xfId="6681"/>
    <cellStyle name="쉼표 [0] 4 2 2 3 23 2 3 2" xfId="19355"/>
    <cellStyle name="쉼표 [0] 4 2 2 3 23 2 3 2 2" xfId="44707"/>
    <cellStyle name="쉼표 [0] 4 2 2 3 23 2 3 3" xfId="32035"/>
    <cellStyle name="쉼표 [0] 4 2 2 3 23 2 4" xfId="13019"/>
    <cellStyle name="쉼표 [0] 4 2 2 3 23 2 4 2" xfId="38371"/>
    <cellStyle name="쉼표 [0] 4 2 2 3 23 2 5" xfId="25699"/>
    <cellStyle name="쉼표 [0] 4 2 2 3 23 3" xfId="3444"/>
    <cellStyle name="쉼표 [0] 4 2 2 3 23 3 2" xfId="9780"/>
    <cellStyle name="쉼표 [0] 4 2 2 3 23 3 2 2" xfId="22454"/>
    <cellStyle name="쉼표 [0] 4 2 2 3 23 3 2 2 2" xfId="47806"/>
    <cellStyle name="쉼표 [0] 4 2 2 3 23 3 2 3" xfId="35134"/>
    <cellStyle name="쉼표 [0] 4 2 2 3 23 3 3" xfId="16118"/>
    <cellStyle name="쉼표 [0] 4 2 2 3 23 3 3 2" xfId="41470"/>
    <cellStyle name="쉼표 [0] 4 2 2 3 23 3 4" xfId="28798"/>
    <cellStyle name="쉼표 [0] 4 2 2 3 23 4" xfId="6680"/>
    <cellStyle name="쉼표 [0] 4 2 2 3 23 4 2" xfId="19354"/>
    <cellStyle name="쉼표 [0] 4 2 2 3 23 4 2 2" xfId="44706"/>
    <cellStyle name="쉼표 [0] 4 2 2 3 23 4 3" xfId="32034"/>
    <cellStyle name="쉼표 [0] 4 2 2 3 23 5" xfId="13018"/>
    <cellStyle name="쉼표 [0] 4 2 2 3 23 5 2" xfId="38370"/>
    <cellStyle name="쉼표 [0] 4 2 2 3 23 6" xfId="25698"/>
    <cellStyle name="쉼표 [0] 4 2 2 3 24" xfId="345"/>
    <cellStyle name="쉼표 [0] 4 2 2 3 24 2" xfId="346"/>
    <cellStyle name="쉼표 [0] 4 2 2 3 24 2 2" xfId="3445"/>
    <cellStyle name="쉼표 [0] 4 2 2 3 24 2 2 2" xfId="9781"/>
    <cellStyle name="쉼표 [0] 4 2 2 3 24 2 2 2 2" xfId="22455"/>
    <cellStyle name="쉼표 [0] 4 2 2 3 24 2 2 2 2 2" xfId="47807"/>
    <cellStyle name="쉼표 [0] 4 2 2 3 24 2 2 2 3" xfId="35135"/>
    <cellStyle name="쉼표 [0] 4 2 2 3 24 2 2 3" xfId="16119"/>
    <cellStyle name="쉼표 [0] 4 2 2 3 24 2 2 3 2" xfId="41471"/>
    <cellStyle name="쉼표 [0] 4 2 2 3 24 2 2 4" xfId="28799"/>
    <cellStyle name="쉼표 [0] 4 2 2 3 24 2 3" xfId="6683"/>
    <cellStyle name="쉼표 [0] 4 2 2 3 24 2 3 2" xfId="19357"/>
    <cellStyle name="쉼표 [0] 4 2 2 3 24 2 3 2 2" xfId="44709"/>
    <cellStyle name="쉼표 [0] 4 2 2 3 24 2 3 3" xfId="32037"/>
    <cellStyle name="쉼표 [0] 4 2 2 3 24 2 4" xfId="13021"/>
    <cellStyle name="쉼표 [0] 4 2 2 3 24 2 4 2" xfId="38373"/>
    <cellStyle name="쉼표 [0] 4 2 2 3 24 2 5" xfId="25701"/>
    <cellStyle name="쉼표 [0] 4 2 2 3 24 3" xfId="3446"/>
    <cellStyle name="쉼표 [0] 4 2 2 3 24 3 2" xfId="9782"/>
    <cellStyle name="쉼표 [0] 4 2 2 3 24 3 2 2" xfId="22456"/>
    <cellStyle name="쉼표 [0] 4 2 2 3 24 3 2 2 2" xfId="47808"/>
    <cellStyle name="쉼표 [0] 4 2 2 3 24 3 2 3" xfId="35136"/>
    <cellStyle name="쉼표 [0] 4 2 2 3 24 3 3" xfId="16120"/>
    <cellStyle name="쉼표 [0] 4 2 2 3 24 3 3 2" xfId="41472"/>
    <cellStyle name="쉼표 [0] 4 2 2 3 24 3 4" xfId="28800"/>
    <cellStyle name="쉼표 [0] 4 2 2 3 24 4" xfId="6682"/>
    <cellStyle name="쉼표 [0] 4 2 2 3 24 4 2" xfId="19356"/>
    <cellStyle name="쉼표 [0] 4 2 2 3 24 4 2 2" xfId="44708"/>
    <cellStyle name="쉼표 [0] 4 2 2 3 24 4 3" xfId="32036"/>
    <cellStyle name="쉼표 [0] 4 2 2 3 24 5" xfId="13020"/>
    <cellStyle name="쉼표 [0] 4 2 2 3 24 5 2" xfId="38372"/>
    <cellStyle name="쉼표 [0] 4 2 2 3 24 6" xfId="25700"/>
    <cellStyle name="쉼표 [0] 4 2 2 3 25" xfId="347"/>
    <cellStyle name="쉼표 [0] 4 2 2 3 25 2" xfId="348"/>
    <cellStyle name="쉼표 [0] 4 2 2 3 25 2 2" xfId="3447"/>
    <cellStyle name="쉼표 [0] 4 2 2 3 25 2 2 2" xfId="9783"/>
    <cellStyle name="쉼표 [0] 4 2 2 3 25 2 2 2 2" xfId="22457"/>
    <cellStyle name="쉼표 [0] 4 2 2 3 25 2 2 2 2 2" xfId="47809"/>
    <cellStyle name="쉼표 [0] 4 2 2 3 25 2 2 2 3" xfId="35137"/>
    <cellStyle name="쉼표 [0] 4 2 2 3 25 2 2 3" xfId="16121"/>
    <cellStyle name="쉼표 [0] 4 2 2 3 25 2 2 3 2" xfId="41473"/>
    <cellStyle name="쉼표 [0] 4 2 2 3 25 2 2 4" xfId="28801"/>
    <cellStyle name="쉼표 [0] 4 2 2 3 25 2 3" xfId="6685"/>
    <cellStyle name="쉼표 [0] 4 2 2 3 25 2 3 2" xfId="19359"/>
    <cellStyle name="쉼표 [0] 4 2 2 3 25 2 3 2 2" xfId="44711"/>
    <cellStyle name="쉼표 [0] 4 2 2 3 25 2 3 3" xfId="32039"/>
    <cellStyle name="쉼표 [0] 4 2 2 3 25 2 4" xfId="13023"/>
    <cellStyle name="쉼표 [0] 4 2 2 3 25 2 4 2" xfId="38375"/>
    <cellStyle name="쉼표 [0] 4 2 2 3 25 2 5" xfId="25703"/>
    <cellStyle name="쉼표 [0] 4 2 2 3 25 3" xfId="3448"/>
    <cellStyle name="쉼표 [0] 4 2 2 3 25 3 2" xfId="9784"/>
    <cellStyle name="쉼표 [0] 4 2 2 3 25 3 2 2" xfId="22458"/>
    <cellStyle name="쉼표 [0] 4 2 2 3 25 3 2 2 2" xfId="47810"/>
    <cellStyle name="쉼표 [0] 4 2 2 3 25 3 2 3" xfId="35138"/>
    <cellStyle name="쉼표 [0] 4 2 2 3 25 3 3" xfId="16122"/>
    <cellStyle name="쉼표 [0] 4 2 2 3 25 3 3 2" xfId="41474"/>
    <cellStyle name="쉼표 [0] 4 2 2 3 25 3 4" xfId="28802"/>
    <cellStyle name="쉼표 [0] 4 2 2 3 25 4" xfId="6684"/>
    <cellStyle name="쉼표 [0] 4 2 2 3 25 4 2" xfId="19358"/>
    <cellStyle name="쉼표 [0] 4 2 2 3 25 4 2 2" xfId="44710"/>
    <cellStyle name="쉼표 [0] 4 2 2 3 25 4 3" xfId="32038"/>
    <cellStyle name="쉼표 [0] 4 2 2 3 25 5" xfId="13022"/>
    <cellStyle name="쉼표 [0] 4 2 2 3 25 5 2" xfId="38374"/>
    <cellStyle name="쉼표 [0] 4 2 2 3 25 6" xfId="25702"/>
    <cellStyle name="쉼표 [0] 4 2 2 3 26" xfId="349"/>
    <cellStyle name="쉼표 [0] 4 2 2 3 26 2" xfId="350"/>
    <cellStyle name="쉼표 [0] 4 2 2 3 26 2 2" xfId="3449"/>
    <cellStyle name="쉼표 [0] 4 2 2 3 26 2 2 2" xfId="9785"/>
    <cellStyle name="쉼표 [0] 4 2 2 3 26 2 2 2 2" xfId="22459"/>
    <cellStyle name="쉼표 [0] 4 2 2 3 26 2 2 2 2 2" xfId="47811"/>
    <cellStyle name="쉼표 [0] 4 2 2 3 26 2 2 2 3" xfId="35139"/>
    <cellStyle name="쉼표 [0] 4 2 2 3 26 2 2 3" xfId="16123"/>
    <cellStyle name="쉼표 [0] 4 2 2 3 26 2 2 3 2" xfId="41475"/>
    <cellStyle name="쉼표 [0] 4 2 2 3 26 2 2 4" xfId="28803"/>
    <cellStyle name="쉼표 [0] 4 2 2 3 26 2 3" xfId="6687"/>
    <cellStyle name="쉼표 [0] 4 2 2 3 26 2 3 2" xfId="19361"/>
    <cellStyle name="쉼표 [0] 4 2 2 3 26 2 3 2 2" xfId="44713"/>
    <cellStyle name="쉼표 [0] 4 2 2 3 26 2 3 3" xfId="32041"/>
    <cellStyle name="쉼표 [0] 4 2 2 3 26 2 4" xfId="13025"/>
    <cellStyle name="쉼표 [0] 4 2 2 3 26 2 4 2" xfId="38377"/>
    <cellStyle name="쉼표 [0] 4 2 2 3 26 2 5" xfId="25705"/>
    <cellStyle name="쉼표 [0] 4 2 2 3 26 3" xfId="3450"/>
    <cellStyle name="쉼표 [0] 4 2 2 3 26 3 2" xfId="9786"/>
    <cellStyle name="쉼표 [0] 4 2 2 3 26 3 2 2" xfId="22460"/>
    <cellStyle name="쉼표 [0] 4 2 2 3 26 3 2 2 2" xfId="47812"/>
    <cellStyle name="쉼표 [0] 4 2 2 3 26 3 2 3" xfId="35140"/>
    <cellStyle name="쉼표 [0] 4 2 2 3 26 3 3" xfId="16124"/>
    <cellStyle name="쉼표 [0] 4 2 2 3 26 3 3 2" xfId="41476"/>
    <cellStyle name="쉼표 [0] 4 2 2 3 26 3 4" xfId="28804"/>
    <cellStyle name="쉼표 [0] 4 2 2 3 26 4" xfId="6686"/>
    <cellStyle name="쉼표 [0] 4 2 2 3 26 4 2" xfId="19360"/>
    <cellStyle name="쉼표 [0] 4 2 2 3 26 4 2 2" xfId="44712"/>
    <cellStyle name="쉼표 [0] 4 2 2 3 26 4 3" xfId="32040"/>
    <cellStyle name="쉼표 [0] 4 2 2 3 26 5" xfId="13024"/>
    <cellStyle name="쉼표 [0] 4 2 2 3 26 5 2" xfId="38376"/>
    <cellStyle name="쉼표 [0] 4 2 2 3 26 6" xfId="25704"/>
    <cellStyle name="쉼표 [0] 4 2 2 3 27" xfId="351"/>
    <cellStyle name="쉼표 [0] 4 2 2 3 27 2" xfId="352"/>
    <cellStyle name="쉼표 [0] 4 2 2 3 27 2 2" xfId="3451"/>
    <cellStyle name="쉼표 [0] 4 2 2 3 27 2 2 2" xfId="9787"/>
    <cellStyle name="쉼표 [0] 4 2 2 3 27 2 2 2 2" xfId="22461"/>
    <cellStyle name="쉼표 [0] 4 2 2 3 27 2 2 2 2 2" xfId="47813"/>
    <cellStyle name="쉼표 [0] 4 2 2 3 27 2 2 2 3" xfId="35141"/>
    <cellStyle name="쉼표 [0] 4 2 2 3 27 2 2 3" xfId="16125"/>
    <cellStyle name="쉼표 [0] 4 2 2 3 27 2 2 3 2" xfId="41477"/>
    <cellStyle name="쉼표 [0] 4 2 2 3 27 2 2 4" xfId="28805"/>
    <cellStyle name="쉼표 [0] 4 2 2 3 27 2 3" xfId="6689"/>
    <cellStyle name="쉼표 [0] 4 2 2 3 27 2 3 2" xfId="19363"/>
    <cellStyle name="쉼표 [0] 4 2 2 3 27 2 3 2 2" xfId="44715"/>
    <cellStyle name="쉼표 [0] 4 2 2 3 27 2 3 3" xfId="32043"/>
    <cellStyle name="쉼표 [0] 4 2 2 3 27 2 4" xfId="13027"/>
    <cellStyle name="쉼표 [0] 4 2 2 3 27 2 4 2" xfId="38379"/>
    <cellStyle name="쉼표 [0] 4 2 2 3 27 2 5" xfId="25707"/>
    <cellStyle name="쉼표 [0] 4 2 2 3 27 3" xfId="3452"/>
    <cellStyle name="쉼표 [0] 4 2 2 3 27 3 2" xfId="9788"/>
    <cellStyle name="쉼표 [0] 4 2 2 3 27 3 2 2" xfId="22462"/>
    <cellStyle name="쉼표 [0] 4 2 2 3 27 3 2 2 2" xfId="47814"/>
    <cellStyle name="쉼표 [0] 4 2 2 3 27 3 2 3" xfId="35142"/>
    <cellStyle name="쉼표 [0] 4 2 2 3 27 3 3" xfId="16126"/>
    <cellStyle name="쉼표 [0] 4 2 2 3 27 3 3 2" xfId="41478"/>
    <cellStyle name="쉼표 [0] 4 2 2 3 27 3 4" xfId="28806"/>
    <cellStyle name="쉼표 [0] 4 2 2 3 27 4" xfId="6688"/>
    <cellStyle name="쉼표 [0] 4 2 2 3 27 4 2" xfId="19362"/>
    <cellStyle name="쉼표 [0] 4 2 2 3 27 4 2 2" xfId="44714"/>
    <cellStyle name="쉼표 [0] 4 2 2 3 27 4 3" xfId="32042"/>
    <cellStyle name="쉼표 [0] 4 2 2 3 27 5" xfId="13026"/>
    <cellStyle name="쉼표 [0] 4 2 2 3 27 5 2" xfId="38378"/>
    <cellStyle name="쉼표 [0] 4 2 2 3 27 6" xfId="25706"/>
    <cellStyle name="쉼표 [0] 4 2 2 3 28" xfId="353"/>
    <cellStyle name="쉼표 [0] 4 2 2 3 28 2" xfId="354"/>
    <cellStyle name="쉼표 [0] 4 2 2 3 28 2 2" xfId="3453"/>
    <cellStyle name="쉼표 [0] 4 2 2 3 28 2 2 2" xfId="9789"/>
    <cellStyle name="쉼표 [0] 4 2 2 3 28 2 2 2 2" xfId="22463"/>
    <cellStyle name="쉼표 [0] 4 2 2 3 28 2 2 2 2 2" xfId="47815"/>
    <cellStyle name="쉼표 [0] 4 2 2 3 28 2 2 2 3" xfId="35143"/>
    <cellStyle name="쉼표 [0] 4 2 2 3 28 2 2 3" xfId="16127"/>
    <cellStyle name="쉼표 [0] 4 2 2 3 28 2 2 3 2" xfId="41479"/>
    <cellStyle name="쉼표 [0] 4 2 2 3 28 2 2 4" xfId="28807"/>
    <cellStyle name="쉼표 [0] 4 2 2 3 28 2 3" xfId="6691"/>
    <cellStyle name="쉼표 [0] 4 2 2 3 28 2 3 2" xfId="19365"/>
    <cellStyle name="쉼표 [0] 4 2 2 3 28 2 3 2 2" xfId="44717"/>
    <cellStyle name="쉼표 [0] 4 2 2 3 28 2 3 3" xfId="32045"/>
    <cellStyle name="쉼표 [0] 4 2 2 3 28 2 4" xfId="13029"/>
    <cellStyle name="쉼표 [0] 4 2 2 3 28 2 4 2" xfId="38381"/>
    <cellStyle name="쉼표 [0] 4 2 2 3 28 2 5" xfId="25709"/>
    <cellStyle name="쉼표 [0] 4 2 2 3 28 3" xfId="3454"/>
    <cellStyle name="쉼표 [0] 4 2 2 3 28 3 2" xfId="9790"/>
    <cellStyle name="쉼표 [0] 4 2 2 3 28 3 2 2" xfId="22464"/>
    <cellStyle name="쉼표 [0] 4 2 2 3 28 3 2 2 2" xfId="47816"/>
    <cellStyle name="쉼표 [0] 4 2 2 3 28 3 2 3" xfId="35144"/>
    <cellStyle name="쉼표 [0] 4 2 2 3 28 3 3" xfId="16128"/>
    <cellStyle name="쉼표 [0] 4 2 2 3 28 3 3 2" xfId="41480"/>
    <cellStyle name="쉼표 [0] 4 2 2 3 28 3 4" xfId="28808"/>
    <cellStyle name="쉼표 [0] 4 2 2 3 28 4" xfId="6690"/>
    <cellStyle name="쉼표 [0] 4 2 2 3 28 4 2" xfId="19364"/>
    <cellStyle name="쉼표 [0] 4 2 2 3 28 4 2 2" xfId="44716"/>
    <cellStyle name="쉼표 [0] 4 2 2 3 28 4 3" xfId="32044"/>
    <cellStyle name="쉼표 [0] 4 2 2 3 28 5" xfId="13028"/>
    <cellStyle name="쉼표 [0] 4 2 2 3 28 5 2" xfId="38380"/>
    <cellStyle name="쉼표 [0] 4 2 2 3 28 6" xfId="25708"/>
    <cellStyle name="쉼표 [0] 4 2 2 3 29" xfId="355"/>
    <cellStyle name="쉼표 [0] 4 2 2 3 29 2" xfId="356"/>
    <cellStyle name="쉼표 [0] 4 2 2 3 29 2 2" xfId="3455"/>
    <cellStyle name="쉼표 [0] 4 2 2 3 29 2 2 2" xfId="9791"/>
    <cellStyle name="쉼표 [0] 4 2 2 3 29 2 2 2 2" xfId="22465"/>
    <cellStyle name="쉼표 [0] 4 2 2 3 29 2 2 2 2 2" xfId="47817"/>
    <cellStyle name="쉼표 [0] 4 2 2 3 29 2 2 2 3" xfId="35145"/>
    <cellStyle name="쉼표 [0] 4 2 2 3 29 2 2 3" xfId="16129"/>
    <cellStyle name="쉼표 [0] 4 2 2 3 29 2 2 3 2" xfId="41481"/>
    <cellStyle name="쉼표 [0] 4 2 2 3 29 2 2 4" xfId="28809"/>
    <cellStyle name="쉼표 [0] 4 2 2 3 29 2 3" xfId="6693"/>
    <cellStyle name="쉼표 [0] 4 2 2 3 29 2 3 2" xfId="19367"/>
    <cellStyle name="쉼표 [0] 4 2 2 3 29 2 3 2 2" xfId="44719"/>
    <cellStyle name="쉼표 [0] 4 2 2 3 29 2 3 3" xfId="32047"/>
    <cellStyle name="쉼표 [0] 4 2 2 3 29 2 4" xfId="13031"/>
    <cellStyle name="쉼표 [0] 4 2 2 3 29 2 4 2" xfId="38383"/>
    <cellStyle name="쉼표 [0] 4 2 2 3 29 2 5" xfId="25711"/>
    <cellStyle name="쉼표 [0] 4 2 2 3 29 3" xfId="3456"/>
    <cellStyle name="쉼표 [0] 4 2 2 3 29 3 2" xfId="9792"/>
    <cellStyle name="쉼표 [0] 4 2 2 3 29 3 2 2" xfId="22466"/>
    <cellStyle name="쉼표 [0] 4 2 2 3 29 3 2 2 2" xfId="47818"/>
    <cellStyle name="쉼표 [0] 4 2 2 3 29 3 2 3" xfId="35146"/>
    <cellStyle name="쉼표 [0] 4 2 2 3 29 3 3" xfId="16130"/>
    <cellStyle name="쉼표 [0] 4 2 2 3 29 3 3 2" xfId="41482"/>
    <cellStyle name="쉼표 [0] 4 2 2 3 29 3 4" xfId="28810"/>
    <cellStyle name="쉼표 [0] 4 2 2 3 29 4" xfId="6692"/>
    <cellStyle name="쉼표 [0] 4 2 2 3 29 4 2" xfId="19366"/>
    <cellStyle name="쉼표 [0] 4 2 2 3 29 4 2 2" xfId="44718"/>
    <cellStyle name="쉼표 [0] 4 2 2 3 29 4 3" xfId="32046"/>
    <cellStyle name="쉼표 [0] 4 2 2 3 29 5" xfId="13030"/>
    <cellStyle name="쉼표 [0] 4 2 2 3 29 5 2" xfId="38382"/>
    <cellStyle name="쉼표 [0] 4 2 2 3 29 6" xfId="25710"/>
    <cellStyle name="쉼표 [0] 4 2 2 3 3" xfId="357"/>
    <cellStyle name="쉼표 [0] 4 2 2 3 3 2" xfId="358"/>
    <cellStyle name="쉼표 [0] 4 2 2 3 3 2 2" xfId="3457"/>
    <cellStyle name="쉼표 [0] 4 2 2 3 3 2 2 2" xfId="9793"/>
    <cellStyle name="쉼표 [0] 4 2 2 3 3 2 2 2 2" xfId="22467"/>
    <cellStyle name="쉼표 [0] 4 2 2 3 3 2 2 2 2 2" xfId="47819"/>
    <cellStyle name="쉼표 [0] 4 2 2 3 3 2 2 2 3" xfId="35147"/>
    <cellStyle name="쉼표 [0] 4 2 2 3 3 2 2 3" xfId="16131"/>
    <cellStyle name="쉼표 [0] 4 2 2 3 3 2 2 3 2" xfId="41483"/>
    <cellStyle name="쉼표 [0] 4 2 2 3 3 2 2 4" xfId="28811"/>
    <cellStyle name="쉼표 [0] 4 2 2 3 3 2 3" xfId="6695"/>
    <cellStyle name="쉼표 [0] 4 2 2 3 3 2 3 2" xfId="19369"/>
    <cellStyle name="쉼표 [0] 4 2 2 3 3 2 3 2 2" xfId="44721"/>
    <cellStyle name="쉼표 [0] 4 2 2 3 3 2 3 3" xfId="32049"/>
    <cellStyle name="쉼표 [0] 4 2 2 3 3 2 4" xfId="13033"/>
    <cellStyle name="쉼표 [0] 4 2 2 3 3 2 4 2" xfId="38385"/>
    <cellStyle name="쉼표 [0] 4 2 2 3 3 2 5" xfId="25713"/>
    <cellStyle name="쉼표 [0] 4 2 2 3 3 3" xfId="3458"/>
    <cellStyle name="쉼표 [0] 4 2 2 3 3 3 2" xfId="9794"/>
    <cellStyle name="쉼표 [0] 4 2 2 3 3 3 2 2" xfId="22468"/>
    <cellStyle name="쉼표 [0] 4 2 2 3 3 3 2 2 2" xfId="47820"/>
    <cellStyle name="쉼표 [0] 4 2 2 3 3 3 2 3" xfId="35148"/>
    <cellStyle name="쉼표 [0] 4 2 2 3 3 3 3" xfId="16132"/>
    <cellStyle name="쉼표 [0] 4 2 2 3 3 3 3 2" xfId="41484"/>
    <cellStyle name="쉼표 [0] 4 2 2 3 3 3 4" xfId="28812"/>
    <cellStyle name="쉼표 [0] 4 2 2 3 3 4" xfId="6694"/>
    <cellStyle name="쉼표 [0] 4 2 2 3 3 4 2" xfId="19368"/>
    <cellStyle name="쉼표 [0] 4 2 2 3 3 4 2 2" xfId="44720"/>
    <cellStyle name="쉼표 [0] 4 2 2 3 3 4 3" xfId="32048"/>
    <cellStyle name="쉼표 [0] 4 2 2 3 3 5" xfId="13032"/>
    <cellStyle name="쉼표 [0] 4 2 2 3 3 5 2" xfId="38384"/>
    <cellStyle name="쉼표 [0] 4 2 2 3 3 6" xfId="25712"/>
    <cellStyle name="쉼표 [0] 4 2 2 3 30" xfId="359"/>
    <cellStyle name="쉼표 [0] 4 2 2 3 30 2" xfId="360"/>
    <cellStyle name="쉼표 [0] 4 2 2 3 30 2 2" xfId="3459"/>
    <cellStyle name="쉼표 [0] 4 2 2 3 30 2 2 2" xfId="9795"/>
    <cellStyle name="쉼표 [0] 4 2 2 3 30 2 2 2 2" xfId="22469"/>
    <cellStyle name="쉼표 [0] 4 2 2 3 30 2 2 2 2 2" xfId="47821"/>
    <cellStyle name="쉼표 [0] 4 2 2 3 30 2 2 2 3" xfId="35149"/>
    <cellStyle name="쉼표 [0] 4 2 2 3 30 2 2 3" xfId="16133"/>
    <cellStyle name="쉼표 [0] 4 2 2 3 30 2 2 3 2" xfId="41485"/>
    <cellStyle name="쉼표 [0] 4 2 2 3 30 2 2 4" xfId="28813"/>
    <cellStyle name="쉼표 [0] 4 2 2 3 30 2 3" xfId="6697"/>
    <cellStyle name="쉼표 [0] 4 2 2 3 30 2 3 2" xfId="19371"/>
    <cellStyle name="쉼표 [0] 4 2 2 3 30 2 3 2 2" xfId="44723"/>
    <cellStyle name="쉼표 [0] 4 2 2 3 30 2 3 3" xfId="32051"/>
    <cellStyle name="쉼표 [0] 4 2 2 3 30 2 4" xfId="13035"/>
    <cellStyle name="쉼표 [0] 4 2 2 3 30 2 4 2" xfId="38387"/>
    <cellStyle name="쉼표 [0] 4 2 2 3 30 2 5" xfId="25715"/>
    <cellStyle name="쉼표 [0] 4 2 2 3 30 3" xfId="3460"/>
    <cellStyle name="쉼표 [0] 4 2 2 3 30 3 2" xfId="9796"/>
    <cellStyle name="쉼표 [0] 4 2 2 3 30 3 2 2" xfId="22470"/>
    <cellStyle name="쉼표 [0] 4 2 2 3 30 3 2 2 2" xfId="47822"/>
    <cellStyle name="쉼표 [0] 4 2 2 3 30 3 2 3" xfId="35150"/>
    <cellStyle name="쉼표 [0] 4 2 2 3 30 3 3" xfId="16134"/>
    <cellStyle name="쉼표 [0] 4 2 2 3 30 3 3 2" xfId="41486"/>
    <cellStyle name="쉼표 [0] 4 2 2 3 30 3 4" xfId="28814"/>
    <cellStyle name="쉼표 [0] 4 2 2 3 30 4" xfId="6696"/>
    <cellStyle name="쉼표 [0] 4 2 2 3 30 4 2" xfId="19370"/>
    <cellStyle name="쉼표 [0] 4 2 2 3 30 4 2 2" xfId="44722"/>
    <cellStyle name="쉼표 [0] 4 2 2 3 30 4 3" xfId="32050"/>
    <cellStyle name="쉼표 [0] 4 2 2 3 30 5" xfId="13034"/>
    <cellStyle name="쉼표 [0] 4 2 2 3 30 5 2" xfId="38386"/>
    <cellStyle name="쉼표 [0] 4 2 2 3 30 6" xfId="25714"/>
    <cellStyle name="쉼표 [0] 4 2 2 3 31" xfId="361"/>
    <cellStyle name="쉼표 [0] 4 2 2 3 31 2" xfId="362"/>
    <cellStyle name="쉼표 [0] 4 2 2 3 31 2 2" xfId="3461"/>
    <cellStyle name="쉼표 [0] 4 2 2 3 31 2 2 2" xfId="9797"/>
    <cellStyle name="쉼표 [0] 4 2 2 3 31 2 2 2 2" xfId="22471"/>
    <cellStyle name="쉼표 [0] 4 2 2 3 31 2 2 2 2 2" xfId="47823"/>
    <cellStyle name="쉼표 [0] 4 2 2 3 31 2 2 2 3" xfId="35151"/>
    <cellStyle name="쉼표 [0] 4 2 2 3 31 2 2 3" xfId="16135"/>
    <cellStyle name="쉼표 [0] 4 2 2 3 31 2 2 3 2" xfId="41487"/>
    <cellStyle name="쉼표 [0] 4 2 2 3 31 2 2 4" xfId="28815"/>
    <cellStyle name="쉼표 [0] 4 2 2 3 31 2 3" xfId="6699"/>
    <cellStyle name="쉼표 [0] 4 2 2 3 31 2 3 2" xfId="19373"/>
    <cellStyle name="쉼표 [0] 4 2 2 3 31 2 3 2 2" xfId="44725"/>
    <cellStyle name="쉼표 [0] 4 2 2 3 31 2 3 3" xfId="32053"/>
    <cellStyle name="쉼표 [0] 4 2 2 3 31 2 4" xfId="13037"/>
    <cellStyle name="쉼표 [0] 4 2 2 3 31 2 4 2" xfId="38389"/>
    <cellStyle name="쉼표 [0] 4 2 2 3 31 2 5" xfId="25717"/>
    <cellStyle name="쉼표 [0] 4 2 2 3 31 3" xfId="3462"/>
    <cellStyle name="쉼표 [0] 4 2 2 3 31 3 2" xfId="9798"/>
    <cellStyle name="쉼표 [0] 4 2 2 3 31 3 2 2" xfId="22472"/>
    <cellStyle name="쉼표 [0] 4 2 2 3 31 3 2 2 2" xfId="47824"/>
    <cellStyle name="쉼표 [0] 4 2 2 3 31 3 2 3" xfId="35152"/>
    <cellStyle name="쉼표 [0] 4 2 2 3 31 3 3" xfId="16136"/>
    <cellStyle name="쉼표 [0] 4 2 2 3 31 3 3 2" xfId="41488"/>
    <cellStyle name="쉼표 [0] 4 2 2 3 31 3 4" xfId="28816"/>
    <cellStyle name="쉼표 [0] 4 2 2 3 31 4" xfId="6698"/>
    <cellStyle name="쉼표 [0] 4 2 2 3 31 4 2" xfId="19372"/>
    <cellStyle name="쉼표 [0] 4 2 2 3 31 4 2 2" xfId="44724"/>
    <cellStyle name="쉼표 [0] 4 2 2 3 31 4 3" xfId="32052"/>
    <cellStyle name="쉼표 [0] 4 2 2 3 31 5" xfId="13036"/>
    <cellStyle name="쉼표 [0] 4 2 2 3 31 5 2" xfId="38388"/>
    <cellStyle name="쉼표 [0] 4 2 2 3 31 6" xfId="25716"/>
    <cellStyle name="쉼표 [0] 4 2 2 3 32" xfId="363"/>
    <cellStyle name="쉼표 [0] 4 2 2 3 32 2" xfId="364"/>
    <cellStyle name="쉼표 [0] 4 2 2 3 32 2 2" xfId="3463"/>
    <cellStyle name="쉼표 [0] 4 2 2 3 32 2 2 2" xfId="9799"/>
    <cellStyle name="쉼표 [0] 4 2 2 3 32 2 2 2 2" xfId="22473"/>
    <cellStyle name="쉼표 [0] 4 2 2 3 32 2 2 2 2 2" xfId="47825"/>
    <cellStyle name="쉼표 [0] 4 2 2 3 32 2 2 2 3" xfId="35153"/>
    <cellStyle name="쉼표 [0] 4 2 2 3 32 2 2 3" xfId="16137"/>
    <cellStyle name="쉼표 [0] 4 2 2 3 32 2 2 3 2" xfId="41489"/>
    <cellStyle name="쉼표 [0] 4 2 2 3 32 2 2 4" xfId="28817"/>
    <cellStyle name="쉼표 [0] 4 2 2 3 32 2 3" xfId="6701"/>
    <cellStyle name="쉼표 [0] 4 2 2 3 32 2 3 2" xfId="19375"/>
    <cellStyle name="쉼표 [0] 4 2 2 3 32 2 3 2 2" xfId="44727"/>
    <cellStyle name="쉼표 [0] 4 2 2 3 32 2 3 3" xfId="32055"/>
    <cellStyle name="쉼표 [0] 4 2 2 3 32 2 4" xfId="13039"/>
    <cellStyle name="쉼표 [0] 4 2 2 3 32 2 4 2" xfId="38391"/>
    <cellStyle name="쉼표 [0] 4 2 2 3 32 2 5" xfId="25719"/>
    <cellStyle name="쉼표 [0] 4 2 2 3 32 3" xfId="3464"/>
    <cellStyle name="쉼표 [0] 4 2 2 3 32 3 2" xfId="9800"/>
    <cellStyle name="쉼표 [0] 4 2 2 3 32 3 2 2" xfId="22474"/>
    <cellStyle name="쉼표 [0] 4 2 2 3 32 3 2 2 2" xfId="47826"/>
    <cellStyle name="쉼표 [0] 4 2 2 3 32 3 2 3" xfId="35154"/>
    <cellStyle name="쉼표 [0] 4 2 2 3 32 3 3" xfId="16138"/>
    <cellStyle name="쉼표 [0] 4 2 2 3 32 3 3 2" xfId="41490"/>
    <cellStyle name="쉼표 [0] 4 2 2 3 32 3 4" xfId="28818"/>
    <cellStyle name="쉼표 [0] 4 2 2 3 32 4" xfId="6700"/>
    <cellStyle name="쉼표 [0] 4 2 2 3 32 4 2" xfId="19374"/>
    <cellStyle name="쉼표 [0] 4 2 2 3 32 4 2 2" xfId="44726"/>
    <cellStyle name="쉼표 [0] 4 2 2 3 32 4 3" xfId="32054"/>
    <cellStyle name="쉼표 [0] 4 2 2 3 32 5" xfId="13038"/>
    <cellStyle name="쉼표 [0] 4 2 2 3 32 5 2" xfId="38390"/>
    <cellStyle name="쉼표 [0] 4 2 2 3 32 6" xfId="25718"/>
    <cellStyle name="쉼표 [0] 4 2 2 3 33" xfId="365"/>
    <cellStyle name="쉼표 [0] 4 2 2 3 33 2" xfId="366"/>
    <cellStyle name="쉼표 [0] 4 2 2 3 33 2 2" xfId="3465"/>
    <cellStyle name="쉼표 [0] 4 2 2 3 33 2 2 2" xfId="9801"/>
    <cellStyle name="쉼표 [0] 4 2 2 3 33 2 2 2 2" xfId="22475"/>
    <cellStyle name="쉼표 [0] 4 2 2 3 33 2 2 2 2 2" xfId="47827"/>
    <cellStyle name="쉼표 [0] 4 2 2 3 33 2 2 2 3" xfId="35155"/>
    <cellStyle name="쉼표 [0] 4 2 2 3 33 2 2 3" xfId="16139"/>
    <cellStyle name="쉼표 [0] 4 2 2 3 33 2 2 3 2" xfId="41491"/>
    <cellStyle name="쉼표 [0] 4 2 2 3 33 2 2 4" xfId="28819"/>
    <cellStyle name="쉼표 [0] 4 2 2 3 33 2 3" xfId="6703"/>
    <cellStyle name="쉼표 [0] 4 2 2 3 33 2 3 2" xfId="19377"/>
    <cellStyle name="쉼표 [0] 4 2 2 3 33 2 3 2 2" xfId="44729"/>
    <cellStyle name="쉼표 [0] 4 2 2 3 33 2 3 3" xfId="32057"/>
    <cellStyle name="쉼표 [0] 4 2 2 3 33 2 4" xfId="13041"/>
    <cellStyle name="쉼표 [0] 4 2 2 3 33 2 4 2" xfId="38393"/>
    <cellStyle name="쉼표 [0] 4 2 2 3 33 2 5" xfId="25721"/>
    <cellStyle name="쉼표 [0] 4 2 2 3 33 3" xfId="3466"/>
    <cellStyle name="쉼표 [0] 4 2 2 3 33 3 2" xfId="9802"/>
    <cellStyle name="쉼표 [0] 4 2 2 3 33 3 2 2" xfId="22476"/>
    <cellStyle name="쉼표 [0] 4 2 2 3 33 3 2 2 2" xfId="47828"/>
    <cellStyle name="쉼표 [0] 4 2 2 3 33 3 2 3" xfId="35156"/>
    <cellStyle name="쉼표 [0] 4 2 2 3 33 3 3" xfId="16140"/>
    <cellStyle name="쉼표 [0] 4 2 2 3 33 3 3 2" xfId="41492"/>
    <cellStyle name="쉼표 [0] 4 2 2 3 33 3 4" xfId="28820"/>
    <cellStyle name="쉼표 [0] 4 2 2 3 33 4" xfId="6702"/>
    <cellStyle name="쉼표 [0] 4 2 2 3 33 4 2" xfId="19376"/>
    <cellStyle name="쉼표 [0] 4 2 2 3 33 4 2 2" xfId="44728"/>
    <cellStyle name="쉼표 [0] 4 2 2 3 33 4 3" xfId="32056"/>
    <cellStyle name="쉼표 [0] 4 2 2 3 33 5" xfId="13040"/>
    <cellStyle name="쉼표 [0] 4 2 2 3 33 5 2" xfId="38392"/>
    <cellStyle name="쉼표 [0] 4 2 2 3 33 6" xfId="25720"/>
    <cellStyle name="쉼표 [0] 4 2 2 3 34" xfId="367"/>
    <cellStyle name="쉼표 [0] 4 2 2 3 34 2" xfId="3467"/>
    <cellStyle name="쉼표 [0] 4 2 2 3 34 2 2" xfId="9803"/>
    <cellStyle name="쉼표 [0] 4 2 2 3 34 2 2 2" xfId="22477"/>
    <cellStyle name="쉼표 [0] 4 2 2 3 34 2 2 2 2" xfId="47829"/>
    <cellStyle name="쉼표 [0] 4 2 2 3 34 2 2 3" xfId="35157"/>
    <cellStyle name="쉼표 [0] 4 2 2 3 34 2 3" xfId="16141"/>
    <cellStyle name="쉼표 [0] 4 2 2 3 34 2 3 2" xfId="41493"/>
    <cellStyle name="쉼표 [0] 4 2 2 3 34 2 4" xfId="28821"/>
    <cellStyle name="쉼표 [0] 4 2 2 3 34 3" xfId="6704"/>
    <cellStyle name="쉼표 [0] 4 2 2 3 34 3 2" xfId="19378"/>
    <cellStyle name="쉼표 [0] 4 2 2 3 34 3 2 2" xfId="44730"/>
    <cellStyle name="쉼표 [0] 4 2 2 3 34 3 3" xfId="32058"/>
    <cellStyle name="쉼표 [0] 4 2 2 3 34 4" xfId="13042"/>
    <cellStyle name="쉼표 [0] 4 2 2 3 34 4 2" xfId="38394"/>
    <cellStyle name="쉼표 [0] 4 2 2 3 34 5" xfId="25722"/>
    <cellStyle name="쉼표 [0] 4 2 2 3 35" xfId="3468"/>
    <cellStyle name="쉼표 [0] 4 2 2 3 35 2" xfId="9804"/>
    <cellStyle name="쉼표 [0] 4 2 2 3 35 2 2" xfId="22478"/>
    <cellStyle name="쉼표 [0] 4 2 2 3 35 2 2 2" xfId="47830"/>
    <cellStyle name="쉼표 [0] 4 2 2 3 35 2 3" xfId="35158"/>
    <cellStyle name="쉼표 [0] 4 2 2 3 35 3" xfId="16142"/>
    <cellStyle name="쉼표 [0] 4 2 2 3 35 3 2" xfId="41494"/>
    <cellStyle name="쉼표 [0] 4 2 2 3 35 4" xfId="28822"/>
    <cellStyle name="쉼표 [0] 4 2 2 3 36" xfId="6397"/>
    <cellStyle name="쉼표 [0] 4 2 2 3 36 2" xfId="19071"/>
    <cellStyle name="쉼표 [0] 4 2 2 3 36 2 2" xfId="44423"/>
    <cellStyle name="쉼표 [0] 4 2 2 3 36 3" xfId="31751"/>
    <cellStyle name="쉼표 [0] 4 2 2 3 37" xfId="12735"/>
    <cellStyle name="쉼표 [0] 4 2 2 3 37 2" xfId="38087"/>
    <cellStyle name="쉼표 [0] 4 2 2 3 38" xfId="25415"/>
    <cellStyle name="쉼표 [0] 4 2 2 3 4" xfId="368"/>
    <cellStyle name="쉼표 [0] 4 2 2 3 4 2" xfId="369"/>
    <cellStyle name="쉼표 [0] 4 2 2 3 4 2 2" xfId="3469"/>
    <cellStyle name="쉼표 [0] 4 2 2 3 4 2 2 2" xfId="9805"/>
    <cellStyle name="쉼표 [0] 4 2 2 3 4 2 2 2 2" xfId="22479"/>
    <cellStyle name="쉼표 [0] 4 2 2 3 4 2 2 2 2 2" xfId="47831"/>
    <cellStyle name="쉼표 [0] 4 2 2 3 4 2 2 2 3" xfId="35159"/>
    <cellStyle name="쉼표 [0] 4 2 2 3 4 2 2 3" xfId="16143"/>
    <cellStyle name="쉼표 [0] 4 2 2 3 4 2 2 3 2" xfId="41495"/>
    <cellStyle name="쉼표 [0] 4 2 2 3 4 2 2 4" xfId="28823"/>
    <cellStyle name="쉼표 [0] 4 2 2 3 4 2 3" xfId="6706"/>
    <cellStyle name="쉼표 [0] 4 2 2 3 4 2 3 2" xfId="19380"/>
    <cellStyle name="쉼표 [0] 4 2 2 3 4 2 3 2 2" xfId="44732"/>
    <cellStyle name="쉼표 [0] 4 2 2 3 4 2 3 3" xfId="32060"/>
    <cellStyle name="쉼표 [0] 4 2 2 3 4 2 4" xfId="13044"/>
    <cellStyle name="쉼표 [0] 4 2 2 3 4 2 4 2" xfId="38396"/>
    <cellStyle name="쉼표 [0] 4 2 2 3 4 2 5" xfId="25724"/>
    <cellStyle name="쉼표 [0] 4 2 2 3 4 3" xfId="3470"/>
    <cellStyle name="쉼표 [0] 4 2 2 3 4 3 2" xfId="9806"/>
    <cellStyle name="쉼표 [0] 4 2 2 3 4 3 2 2" xfId="22480"/>
    <cellStyle name="쉼표 [0] 4 2 2 3 4 3 2 2 2" xfId="47832"/>
    <cellStyle name="쉼표 [0] 4 2 2 3 4 3 2 3" xfId="35160"/>
    <cellStyle name="쉼표 [0] 4 2 2 3 4 3 3" xfId="16144"/>
    <cellStyle name="쉼표 [0] 4 2 2 3 4 3 3 2" xfId="41496"/>
    <cellStyle name="쉼표 [0] 4 2 2 3 4 3 4" xfId="28824"/>
    <cellStyle name="쉼표 [0] 4 2 2 3 4 4" xfId="6705"/>
    <cellStyle name="쉼표 [0] 4 2 2 3 4 4 2" xfId="19379"/>
    <cellStyle name="쉼표 [0] 4 2 2 3 4 4 2 2" xfId="44731"/>
    <cellStyle name="쉼표 [0] 4 2 2 3 4 4 3" xfId="32059"/>
    <cellStyle name="쉼표 [0] 4 2 2 3 4 5" xfId="13043"/>
    <cellStyle name="쉼표 [0] 4 2 2 3 4 5 2" xfId="38395"/>
    <cellStyle name="쉼표 [0] 4 2 2 3 4 6" xfId="25723"/>
    <cellStyle name="쉼표 [0] 4 2 2 3 5" xfId="370"/>
    <cellStyle name="쉼표 [0] 4 2 2 3 5 2" xfId="371"/>
    <cellStyle name="쉼표 [0] 4 2 2 3 5 2 2" xfId="3471"/>
    <cellStyle name="쉼표 [0] 4 2 2 3 5 2 2 2" xfId="9807"/>
    <cellStyle name="쉼표 [0] 4 2 2 3 5 2 2 2 2" xfId="22481"/>
    <cellStyle name="쉼표 [0] 4 2 2 3 5 2 2 2 2 2" xfId="47833"/>
    <cellStyle name="쉼표 [0] 4 2 2 3 5 2 2 2 3" xfId="35161"/>
    <cellStyle name="쉼표 [0] 4 2 2 3 5 2 2 3" xfId="16145"/>
    <cellStyle name="쉼표 [0] 4 2 2 3 5 2 2 3 2" xfId="41497"/>
    <cellStyle name="쉼표 [0] 4 2 2 3 5 2 2 4" xfId="28825"/>
    <cellStyle name="쉼표 [0] 4 2 2 3 5 2 3" xfId="6708"/>
    <cellStyle name="쉼표 [0] 4 2 2 3 5 2 3 2" xfId="19382"/>
    <cellStyle name="쉼표 [0] 4 2 2 3 5 2 3 2 2" xfId="44734"/>
    <cellStyle name="쉼표 [0] 4 2 2 3 5 2 3 3" xfId="32062"/>
    <cellStyle name="쉼표 [0] 4 2 2 3 5 2 4" xfId="13046"/>
    <cellStyle name="쉼표 [0] 4 2 2 3 5 2 4 2" xfId="38398"/>
    <cellStyle name="쉼표 [0] 4 2 2 3 5 2 5" xfId="25726"/>
    <cellStyle name="쉼표 [0] 4 2 2 3 5 3" xfId="3472"/>
    <cellStyle name="쉼표 [0] 4 2 2 3 5 3 2" xfId="9808"/>
    <cellStyle name="쉼표 [0] 4 2 2 3 5 3 2 2" xfId="22482"/>
    <cellStyle name="쉼표 [0] 4 2 2 3 5 3 2 2 2" xfId="47834"/>
    <cellStyle name="쉼표 [0] 4 2 2 3 5 3 2 3" xfId="35162"/>
    <cellStyle name="쉼표 [0] 4 2 2 3 5 3 3" xfId="16146"/>
    <cellStyle name="쉼표 [0] 4 2 2 3 5 3 3 2" xfId="41498"/>
    <cellStyle name="쉼표 [0] 4 2 2 3 5 3 4" xfId="28826"/>
    <cellStyle name="쉼표 [0] 4 2 2 3 5 4" xfId="6707"/>
    <cellStyle name="쉼표 [0] 4 2 2 3 5 4 2" xfId="19381"/>
    <cellStyle name="쉼표 [0] 4 2 2 3 5 4 2 2" xfId="44733"/>
    <cellStyle name="쉼표 [0] 4 2 2 3 5 4 3" xfId="32061"/>
    <cellStyle name="쉼표 [0] 4 2 2 3 5 5" xfId="13045"/>
    <cellStyle name="쉼표 [0] 4 2 2 3 5 5 2" xfId="38397"/>
    <cellStyle name="쉼표 [0] 4 2 2 3 5 6" xfId="25725"/>
    <cellStyle name="쉼표 [0] 4 2 2 3 6" xfId="372"/>
    <cellStyle name="쉼표 [0] 4 2 2 3 6 2" xfId="373"/>
    <cellStyle name="쉼표 [0] 4 2 2 3 6 2 2" xfId="3473"/>
    <cellStyle name="쉼표 [0] 4 2 2 3 6 2 2 2" xfId="9809"/>
    <cellStyle name="쉼표 [0] 4 2 2 3 6 2 2 2 2" xfId="22483"/>
    <cellStyle name="쉼표 [0] 4 2 2 3 6 2 2 2 2 2" xfId="47835"/>
    <cellStyle name="쉼표 [0] 4 2 2 3 6 2 2 2 3" xfId="35163"/>
    <cellStyle name="쉼표 [0] 4 2 2 3 6 2 2 3" xfId="16147"/>
    <cellStyle name="쉼표 [0] 4 2 2 3 6 2 2 3 2" xfId="41499"/>
    <cellStyle name="쉼표 [0] 4 2 2 3 6 2 2 4" xfId="28827"/>
    <cellStyle name="쉼표 [0] 4 2 2 3 6 2 3" xfId="6710"/>
    <cellStyle name="쉼표 [0] 4 2 2 3 6 2 3 2" xfId="19384"/>
    <cellStyle name="쉼표 [0] 4 2 2 3 6 2 3 2 2" xfId="44736"/>
    <cellStyle name="쉼표 [0] 4 2 2 3 6 2 3 3" xfId="32064"/>
    <cellStyle name="쉼표 [0] 4 2 2 3 6 2 4" xfId="13048"/>
    <cellStyle name="쉼표 [0] 4 2 2 3 6 2 4 2" xfId="38400"/>
    <cellStyle name="쉼표 [0] 4 2 2 3 6 2 5" xfId="25728"/>
    <cellStyle name="쉼표 [0] 4 2 2 3 6 3" xfId="3474"/>
    <cellStyle name="쉼표 [0] 4 2 2 3 6 3 2" xfId="9810"/>
    <cellStyle name="쉼표 [0] 4 2 2 3 6 3 2 2" xfId="22484"/>
    <cellStyle name="쉼표 [0] 4 2 2 3 6 3 2 2 2" xfId="47836"/>
    <cellStyle name="쉼표 [0] 4 2 2 3 6 3 2 3" xfId="35164"/>
    <cellStyle name="쉼표 [0] 4 2 2 3 6 3 3" xfId="16148"/>
    <cellStyle name="쉼표 [0] 4 2 2 3 6 3 3 2" xfId="41500"/>
    <cellStyle name="쉼표 [0] 4 2 2 3 6 3 4" xfId="28828"/>
    <cellStyle name="쉼표 [0] 4 2 2 3 6 4" xfId="6709"/>
    <cellStyle name="쉼표 [0] 4 2 2 3 6 4 2" xfId="19383"/>
    <cellStyle name="쉼표 [0] 4 2 2 3 6 4 2 2" xfId="44735"/>
    <cellStyle name="쉼표 [0] 4 2 2 3 6 4 3" xfId="32063"/>
    <cellStyle name="쉼표 [0] 4 2 2 3 6 5" xfId="13047"/>
    <cellStyle name="쉼표 [0] 4 2 2 3 6 5 2" xfId="38399"/>
    <cellStyle name="쉼표 [0] 4 2 2 3 6 6" xfId="25727"/>
    <cellStyle name="쉼표 [0] 4 2 2 3 7" xfId="374"/>
    <cellStyle name="쉼표 [0] 4 2 2 3 7 2" xfId="375"/>
    <cellStyle name="쉼표 [0] 4 2 2 3 7 2 2" xfId="3475"/>
    <cellStyle name="쉼표 [0] 4 2 2 3 7 2 2 2" xfId="9811"/>
    <cellStyle name="쉼표 [0] 4 2 2 3 7 2 2 2 2" xfId="22485"/>
    <cellStyle name="쉼표 [0] 4 2 2 3 7 2 2 2 2 2" xfId="47837"/>
    <cellStyle name="쉼표 [0] 4 2 2 3 7 2 2 2 3" xfId="35165"/>
    <cellStyle name="쉼표 [0] 4 2 2 3 7 2 2 3" xfId="16149"/>
    <cellStyle name="쉼표 [0] 4 2 2 3 7 2 2 3 2" xfId="41501"/>
    <cellStyle name="쉼표 [0] 4 2 2 3 7 2 2 4" xfId="28829"/>
    <cellStyle name="쉼표 [0] 4 2 2 3 7 2 3" xfId="6712"/>
    <cellStyle name="쉼표 [0] 4 2 2 3 7 2 3 2" xfId="19386"/>
    <cellStyle name="쉼표 [0] 4 2 2 3 7 2 3 2 2" xfId="44738"/>
    <cellStyle name="쉼표 [0] 4 2 2 3 7 2 3 3" xfId="32066"/>
    <cellStyle name="쉼표 [0] 4 2 2 3 7 2 4" xfId="13050"/>
    <cellStyle name="쉼표 [0] 4 2 2 3 7 2 4 2" xfId="38402"/>
    <cellStyle name="쉼표 [0] 4 2 2 3 7 2 5" xfId="25730"/>
    <cellStyle name="쉼표 [0] 4 2 2 3 7 3" xfId="3476"/>
    <cellStyle name="쉼표 [0] 4 2 2 3 7 3 2" xfId="9812"/>
    <cellStyle name="쉼표 [0] 4 2 2 3 7 3 2 2" xfId="22486"/>
    <cellStyle name="쉼표 [0] 4 2 2 3 7 3 2 2 2" xfId="47838"/>
    <cellStyle name="쉼표 [0] 4 2 2 3 7 3 2 3" xfId="35166"/>
    <cellStyle name="쉼표 [0] 4 2 2 3 7 3 3" xfId="16150"/>
    <cellStyle name="쉼표 [0] 4 2 2 3 7 3 3 2" xfId="41502"/>
    <cellStyle name="쉼표 [0] 4 2 2 3 7 3 4" xfId="28830"/>
    <cellStyle name="쉼표 [0] 4 2 2 3 7 4" xfId="6711"/>
    <cellStyle name="쉼표 [0] 4 2 2 3 7 4 2" xfId="19385"/>
    <cellStyle name="쉼표 [0] 4 2 2 3 7 4 2 2" xfId="44737"/>
    <cellStyle name="쉼표 [0] 4 2 2 3 7 4 3" xfId="32065"/>
    <cellStyle name="쉼표 [0] 4 2 2 3 7 5" xfId="13049"/>
    <cellStyle name="쉼표 [0] 4 2 2 3 7 5 2" xfId="38401"/>
    <cellStyle name="쉼표 [0] 4 2 2 3 7 6" xfId="25729"/>
    <cellStyle name="쉼표 [0] 4 2 2 3 8" xfId="376"/>
    <cellStyle name="쉼표 [0] 4 2 2 3 8 2" xfId="377"/>
    <cellStyle name="쉼표 [0] 4 2 2 3 8 2 2" xfId="3477"/>
    <cellStyle name="쉼표 [0] 4 2 2 3 8 2 2 2" xfId="9813"/>
    <cellStyle name="쉼표 [0] 4 2 2 3 8 2 2 2 2" xfId="22487"/>
    <cellStyle name="쉼표 [0] 4 2 2 3 8 2 2 2 2 2" xfId="47839"/>
    <cellStyle name="쉼표 [0] 4 2 2 3 8 2 2 2 3" xfId="35167"/>
    <cellStyle name="쉼표 [0] 4 2 2 3 8 2 2 3" xfId="16151"/>
    <cellStyle name="쉼표 [0] 4 2 2 3 8 2 2 3 2" xfId="41503"/>
    <cellStyle name="쉼표 [0] 4 2 2 3 8 2 2 4" xfId="28831"/>
    <cellStyle name="쉼표 [0] 4 2 2 3 8 2 3" xfId="6714"/>
    <cellStyle name="쉼표 [0] 4 2 2 3 8 2 3 2" xfId="19388"/>
    <cellStyle name="쉼표 [0] 4 2 2 3 8 2 3 2 2" xfId="44740"/>
    <cellStyle name="쉼표 [0] 4 2 2 3 8 2 3 3" xfId="32068"/>
    <cellStyle name="쉼표 [0] 4 2 2 3 8 2 4" xfId="13052"/>
    <cellStyle name="쉼표 [0] 4 2 2 3 8 2 4 2" xfId="38404"/>
    <cellStyle name="쉼표 [0] 4 2 2 3 8 2 5" xfId="25732"/>
    <cellStyle name="쉼표 [0] 4 2 2 3 8 3" xfId="3478"/>
    <cellStyle name="쉼표 [0] 4 2 2 3 8 3 2" xfId="9814"/>
    <cellStyle name="쉼표 [0] 4 2 2 3 8 3 2 2" xfId="22488"/>
    <cellStyle name="쉼표 [0] 4 2 2 3 8 3 2 2 2" xfId="47840"/>
    <cellStyle name="쉼표 [0] 4 2 2 3 8 3 2 3" xfId="35168"/>
    <cellStyle name="쉼표 [0] 4 2 2 3 8 3 3" xfId="16152"/>
    <cellStyle name="쉼표 [0] 4 2 2 3 8 3 3 2" xfId="41504"/>
    <cellStyle name="쉼표 [0] 4 2 2 3 8 3 4" xfId="28832"/>
    <cellStyle name="쉼표 [0] 4 2 2 3 8 4" xfId="6713"/>
    <cellStyle name="쉼표 [0] 4 2 2 3 8 4 2" xfId="19387"/>
    <cellStyle name="쉼표 [0] 4 2 2 3 8 4 2 2" xfId="44739"/>
    <cellStyle name="쉼표 [0] 4 2 2 3 8 4 3" xfId="32067"/>
    <cellStyle name="쉼표 [0] 4 2 2 3 8 5" xfId="13051"/>
    <cellStyle name="쉼표 [0] 4 2 2 3 8 5 2" xfId="38403"/>
    <cellStyle name="쉼표 [0] 4 2 2 3 8 6" xfId="25731"/>
    <cellStyle name="쉼표 [0] 4 2 2 3 9" xfId="378"/>
    <cellStyle name="쉼표 [0] 4 2 2 3 9 2" xfId="379"/>
    <cellStyle name="쉼표 [0] 4 2 2 3 9 2 2" xfId="3479"/>
    <cellStyle name="쉼표 [0] 4 2 2 3 9 2 2 2" xfId="9815"/>
    <cellStyle name="쉼표 [0] 4 2 2 3 9 2 2 2 2" xfId="22489"/>
    <cellStyle name="쉼표 [0] 4 2 2 3 9 2 2 2 2 2" xfId="47841"/>
    <cellStyle name="쉼표 [0] 4 2 2 3 9 2 2 2 3" xfId="35169"/>
    <cellStyle name="쉼표 [0] 4 2 2 3 9 2 2 3" xfId="16153"/>
    <cellStyle name="쉼표 [0] 4 2 2 3 9 2 2 3 2" xfId="41505"/>
    <cellStyle name="쉼표 [0] 4 2 2 3 9 2 2 4" xfId="28833"/>
    <cellStyle name="쉼표 [0] 4 2 2 3 9 2 3" xfId="6716"/>
    <cellStyle name="쉼표 [0] 4 2 2 3 9 2 3 2" xfId="19390"/>
    <cellStyle name="쉼표 [0] 4 2 2 3 9 2 3 2 2" xfId="44742"/>
    <cellStyle name="쉼표 [0] 4 2 2 3 9 2 3 3" xfId="32070"/>
    <cellStyle name="쉼표 [0] 4 2 2 3 9 2 4" xfId="13054"/>
    <cellStyle name="쉼표 [0] 4 2 2 3 9 2 4 2" xfId="38406"/>
    <cellStyle name="쉼표 [0] 4 2 2 3 9 2 5" xfId="25734"/>
    <cellStyle name="쉼표 [0] 4 2 2 3 9 3" xfId="3480"/>
    <cellStyle name="쉼표 [0] 4 2 2 3 9 3 2" xfId="9816"/>
    <cellStyle name="쉼표 [0] 4 2 2 3 9 3 2 2" xfId="22490"/>
    <cellStyle name="쉼표 [0] 4 2 2 3 9 3 2 2 2" xfId="47842"/>
    <cellStyle name="쉼표 [0] 4 2 2 3 9 3 2 3" xfId="35170"/>
    <cellStyle name="쉼표 [0] 4 2 2 3 9 3 3" xfId="16154"/>
    <cellStyle name="쉼표 [0] 4 2 2 3 9 3 3 2" xfId="41506"/>
    <cellStyle name="쉼표 [0] 4 2 2 3 9 3 4" xfId="28834"/>
    <cellStyle name="쉼표 [0] 4 2 2 3 9 4" xfId="6715"/>
    <cellStyle name="쉼표 [0] 4 2 2 3 9 4 2" xfId="19389"/>
    <cellStyle name="쉼표 [0] 4 2 2 3 9 4 2 2" xfId="44741"/>
    <cellStyle name="쉼표 [0] 4 2 2 3 9 4 3" xfId="32069"/>
    <cellStyle name="쉼표 [0] 4 2 2 3 9 5" xfId="13053"/>
    <cellStyle name="쉼표 [0] 4 2 2 3 9 5 2" xfId="38405"/>
    <cellStyle name="쉼표 [0] 4 2 2 3 9 6" xfId="25733"/>
    <cellStyle name="쉼표 [0] 4 2 2 30" xfId="380"/>
    <cellStyle name="쉼표 [0] 4 2 2 30 2" xfId="381"/>
    <cellStyle name="쉼표 [0] 4 2 2 30 2 2" xfId="3481"/>
    <cellStyle name="쉼표 [0] 4 2 2 30 2 2 2" xfId="9817"/>
    <cellStyle name="쉼표 [0] 4 2 2 30 2 2 2 2" xfId="22491"/>
    <cellStyle name="쉼표 [0] 4 2 2 30 2 2 2 2 2" xfId="47843"/>
    <cellStyle name="쉼표 [0] 4 2 2 30 2 2 2 3" xfId="35171"/>
    <cellStyle name="쉼표 [0] 4 2 2 30 2 2 3" xfId="16155"/>
    <cellStyle name="쉼표 [0] 4 2 2 30 2 2 3 2" xfId="41507"/>
    <cellStyle name="쉼표 [0] 4 2 2 30 2 2 4" xfId="28835"/>
    <cellStyle name="쉼표 [0] 4 2 2 30 2 3" xfId="6718"/>
    <cellStyle name="쉼표 [0] 4 2 2 30 2 3 2" xfId="19392"/>
    <cellStyle name="쉼표 [0] 4 2 2 30 2 3 2 2" xfId="44744"/>
    <cellStyle name="쉼표 [0] 4 2 2 30 2 3 3" xfId="32072"/>
    <cellStyle name="쉼표 [0] 4 2 2 30 2 4" xfId="13056"/>
    <cellStyle name="쉼표 [0] 4 2 2 30 2 4 2" xfId="38408"/>
    <cellStyle name="쉼표 [0] 4 2 2 30 2 5" xfId="25736"/>
    <cellStyle name="쉼표 [0] 4 2 2 30 3" xfId="3482"/>
    <cellStyle name="쉼표 [0] 4 2 2 30 3 2" xfId="9818"/>
    <cellStyle name="쉼표 [0] 4 2 2 30 3 2 2" xfId="22492"/>
    <cellStyle name="쉼표 [0] 4 2 2 30 3 2 2 2" xfId="47844"/>
    <cellStyle name="쉼표 [0] 4 2 2 30 3 2 3" xfId="35172"/>
    <cellStyle name="쉼표 [0] 4 2 2 30 3 3" xfId="16156"/>
    <cellStyle name="쉼표 [0] 4 2 2 30 3 3 2" xfId="41508"/>
    <cellStyle name="쉼표 [0] 4 2 2 30 3 4" xfId="28836"/>
    <cellStyle name="쉼표 [0] 4 2 2 30 4" xfId="6717"/>
    <cellStyle name="쉼표 [0] 4 2 2 30 4 2" xfId="19391"/>
    <cellStyle name="쉼표 [0] 4 2 2 30 4 2 2" xfId="44743"/>
    <cellStyle name="쉼표 [0] 4 2 2 30 4 3" xfId="32071"/>
    <cellStyle name="쉼표 [0] 4 2 2 30 5" xfId="13055"/>
    <cellStyle name="쉼표 [0] 4 2 2 30 5 2" xfId="38407"/>
    <cellStyle name="쉼표 [0] 4 2 2 30 6" xfId="25735"/>
    <cellStyle name="쉼표 [0] 4 2 2 31" xfId="382"/>
    <cellStyle name="쉼표 [0] 4 2 2 31 2" xfId="383"/>
    <cellStyle name="쉼표 [0] 4 2 2 31 2 2" xfId="3483"/>
    <cellStyle name="쉼표 [0] 4 2 2 31 2 2 2" xfId="9819"/>
    <cellStyle name="쉼표 [0] 4 2 2 31 2 2 2 2" xfId="22493"/>
    <cellStyle name="쉼표 [0] 4 2 2 31 2 2 2 2 2" xfId="47845"/>
    <cellStyle name="쉼표 [0] 4 2 2 31 2 2 2 3" xfId="35173"/>
    <cellStyle name="쉼표 [0] 4 2 2 31 2 2 3" xfId="16157"/>
    <cellStyle name="쉼표 [0] 4 2 2 31 2 2 3 2" xfId="41509"/>
    <cellStyle name="쉼표 [0] 4 2 2 31 2 2 4" xfId="28837"/>
    <cellStyle name="쉼표 [0] 4 2 2 31 2 3" xfId="6720"/>
    <cellStyle name="쉼표 [0] 4 2 2 31 2 3 2" xfId="19394"/>
    <cellStyle name="쉼표 [0] 4 2 2 31 2 3 2 2" xfId="44746"/>
    <cellStyle name="쉼표 [0] 4 2 2 31 2 3 3" xfId="32074"/>
    <cellStyle name="쉼표 [0] 4 2 2 31 2 4" xfId="13058"/>
    <cellStyle name="쉼표 [0] 4 2 2 31 2 4 2" xfId="38410"/>
    <cellStyle name="쉼표 [0] 4 2 2 31 2 5" xfId="25738"/>
    <cellStyle name="쉼표 [0] 4 2 2 31 3" xfId="3484"/>
    <cellStyle name="쉼표 [0] 4 2 2 31 3 2" xfId="9820"/>
    <cellStyle name="쉼표 [0] 4 2 2 31 3 2 2" xfId="22494"/>
    <cellStyle name="쉼표 [0] 4 2 2 31 3 2 2 2" xfId="47846"/>
    <cellStyle name="쉼표 [0] 4 2 2 31 3 2 3" xfId="35174"/>
    <cellStyle name="쉼표 [0] 4 2 2 31 3 3" xfId="16158"/>
    <cellStyle name="쉼표 [0] 4 2 2 31 3 3 2" xfId="41510"/>
    <cellStyle name="쉼표 [0] 4 2 2 31 3 4" xfId="28838"/>
    <cellStyle name="쉼표 [0] 4 2 2 31 4" xfId="6719"/>
    <cellStyle name="쉼표 [0] 4 2 2 31 4 2" xfId="19393"/>
    <cellStyle name="쉼표 [0] 4 2 2 31 4 2 2" xfId="44745"/>
    <cellStyle name="쉼표 [0] 4 2 2 31 4 3" xfId="32073"/>
    <cellStyle name="쉼표 [0] 4 2 2 31 5" xfId="13057"/>
    <cellStyle name="쉼표 [0] 4 2 2 31 5 2" xfId="38409"/>
    <cellStyle name="쉼표 [0] 4 2 2 31 6" xfId="25737"/>
    <cellStyle name="쉼표 [0] 4 2 2 32" xfId="384"/>
    <cellStyle name="쉼표 [0] 4 2 2 32 2" xfId="385"/>
    <cellStyle name="쉼표 [0] 4 2 2 32 2 2" xfId="3485"/>
    <cellStyle name="쉼표 [0] 4 2 2 32 2 2 2" xfId="9821"/>
    <cellStyle name="쉼표 [0] 4 2 2 32 2 2 2 2" xfId="22495"/>
    <cellStyle name="쉼표 [0] 4 2 2 32 2 2 2 2 2" xfId="47847"/>
    <cellStyle name="쉼표 [0] 4 2 2 32 2 2 2 3" xfId="35175"/>
    <cellStyle name="쉼표 [0] 4 2 2 32 2 2 3" xfId="16159"/>
    <cellStyle name="쉼표 [0] 4 2 2 32 2 2 3 2" xfId="41511"/>
    <cellStyle name="쉼표 [0] 4 2 2 32 2 2 4" xfId="28839"/>
    <cellStyle name="쉼표 [0] 4 2 2 32 2 3" xfId="6722"/>
    <cellStyle name="쉼표 [0] 4 2 2 32 2 3 2" xfId="19396"/>
    <cellStyle name="쉼표 [0] 4 2 2 32 2 3 2 2" xfId="44748"/>
    <cellStyle name="쉼표 [0] 4 2 2 32 2 3 3" xfId="32076"/>
    <cellStyle name="쉼표 [0] 4 2 2 32 2 4" xfId="13060"/>
    <cellStyle name="쉼표 [0] 4 2 2 32 2 4 2" xfId="38412"/>
    <cellStyle name="쉼표 [0] 4 2 2 32 2 5" xfId="25740"/>
    <cellStyle name="쉼표 [0] 4 2 2 32 3" xfId="3486"/>
    <cellStyle name="쉼표 [0] 4 2 2 32 3 2" xfId="9822"/>
    <cellStyle name="쉼표 [0] 4 2 2 32 3 2 2" xfId="22496"/>
    <cellStyle name="쉼표 [0] 4 2 2 32 3 2 2 2" xfId="47848"/>
    <cellStyle name="쉼표 [0] 4 2 2 32 3 2 3" xfId="35176"/>
    <cellStyle name="쉼표 [0] 4 2 2 32 3 3" xfId="16160"/>
    <cellStyle name="쉼표 [0] 4 2 2 32 3 3 2" xfId="41512"/>
    <cellStyle name="쉼표 [0] 4 2 2 32 3 4" xfId="28840"/>
    <cellStyle name="쉼표 [0] 4 2 2 32 4" xfId="6721"/>
    <cellStyle name="쉼표 [0] 4 2 2 32 4 2" xfId="19395"/>
    <cellStyle name="쉼표 [0] 4 2 2 32 4 2 2" xfId="44747"/>
    <cellStyle name="쉼표 [0] 4 2 2 32 4 3" xfId="32075"/>
    <cellStyle name="쉼표 [0] 4 2 2 32 5" xfId="13059"/>
    <cellStyle name="쉼표 [0] 4 2 2 32 5 2" xfId="38411"/>
    <cellStyle name="쉼표 [0] 4 2 2 32 6" xfId="25739"/>
    <cellStyle name="쉼표 [0] 4 2 2 33" xfId="386"/>
    <cellStyle name="쉼표 [0] 4 2 2 33 2" xfId="387"/>
    <cellStyle name="쉼표 [0] 4 2 2 33 2 2" xfId="3487"/>
    <cellStyle name="쉼표 [0] 4 2 2 33 2 2 2" xfId="9823"/>
    <cellStyle name="쉼표 [0] 4 2 2 33 2 2 2 2" xfId="22497"/>
    <cellStyle name="쉼표 [0] 4 2 2 33 2 2 2 2 2" xfId="47849"/>
    <cellStyle name="쉼표 [0] 4 2 2 33 2 2 2 3" xfId="35177"/>
    <cellStyle name="쉼표 [0] 4 2 2 33 2 2 3" xfId="16161"/>
    <cellStyle name="쉼표 [0] 4 2 2 33 2 2 3 2" xfId="41513"/>
    <cellStyle name="쉼표 [0] 4 2 2 33 2 2 4" xfId="28841"/>
    <cellStyle name="쉼표 [0] 4 2 2 33 2 3" xfId="6724"/>
    <cellStyle name="쉼표 [0] 4 2 2 33 2 3 2" xfId="19398"/>
    <cellStyle name="쉼표 [0] 4 2 2 33 2 3 2 2" xfId="44750"/>
    <cellStyle name="쉼표 [0] 4 2 2 33 2 3 3" xfId="32078"/>
    <cellStyle name="쉼표 [0] 4 2 2 33 2 4" xfId="13062"/>
    <cellStyle name="쉼표 [0] 4 2 2 33 2 4 2" xfId="38414"/>
    <cellStyle name="쉼표 [0] 4 2 2 33 2 5" xfId="25742"/>
    <cellStyle name="쉼표 [0] 4 2 2 33 3" xfId="3488"/>
    <cellStyle name="쉼표 [0] 4 2 2 33 3 2" xfId="9824"/>
    <cellStyle name="쉼표 [0] 4 2 2 33 3 2 2" xfId="22498"/>
    <cellStyle name="쉼표 [0] 4 2 2 33 3 2 2 2" xfId="47850"/>
    <cellStyle name="쉼표 [0] 4 2 2 33 3 2 3" xfId="35178"/>
    <cellStyle name="쉼표 [0] 4 2 2 33 3 3" xfId="16162"/>
    <cellStyle name="쉼표 [0] 4 2 2 33 3 3 2" xfId="41514"/>
    <cellStyle name="쉼표 [0] 4 2 2 33 3 4" xfId="28842"/>
    <cellStyle name="쉼표 [0] 4 2 2 33 4" xfId="6723"/>
    <cellStyle name="쉼표 [0] 4 2 2 33 4 2" xfId="19397"/>
    <cellStyle name="쉼표 [0] 4 2 2 33 4 2 2" xfId="44749"/>
    <cellStyle name="쉼표 [0] 4 2 2 33 4 3" xfId="32077"/>
    <cellStyle name="쉼표 [0] 4 2 2 33 5" xfId="13061"/>
    <cellStyle name="쉼표 [0] 4 2 2 33 5 2" xfId="38413"/>
    <cellStyle name="쉼표 [0] 4 2 2 33 6" xfId="25741"/>
    <cellStyle name="쉼표 [0] 4 2 2 34" xfId="388"/>
    <cellStyle name="쉼표 [0] 4 2 2 34 2" xfId="389"/>
    <cellStyle name="쉼표 [0] 4 2 2 34 2 2" xfId="3489"/>
    <cellStyle name="쉼표 [0] 4 2 2 34 2 2 2" xfId="9825"/>
    <cellStyle name="쉼표 [0] 4 2 2 34 2 2 2 2" xfId="22499"/>
    <cellStyle name="쉼표 [0] 4 2 2 34 2 2 2 2 2" xfId="47851"/>
    <cellStyle name="쉼표 [0] 4 2 2 34 2 2 2 3" xfId="35179"/>
    <cellStyle name="쉼표 [0] 4 2 2 34 2 2 3" xfId="16163"/>
    <cellStyle name="쉼표 [0] 4 2 2 34 2 2 3 2" xfId="41515"/>
    <cellStyle name="쉼표 [0] 4 2 2 34 2 2 4" xfId="28843"/>
    <cellStyle name="쉼표 [0] 4 2 2 34 2 3" xfId="6726"/>
    <cellStyle name="쉼표 [0] 4 2 2 34 2 3 2" xfId="19400"/>
    <cellStyle name="쉼표 [0] 4 2 2 34 2 3 2 2" xfId="44752"/>
    <cellStyle name="쉼표 [0] 4 2 2 34 2 3 3" xfId="32080"/>
    <cellStyle name="쉼표 [0] 4 2 2 34 2 4" xfId="13064"/>
    <cellStyle name="쉼표 [0] 4 2 2 34 2 4 2" xfId="38416"/>
    <cellStyle name="쉼표 [0] 4 2 2 34 2 5" xfId="25744"/>
    <cellStyle name="쉼표 [0] 4 2 2 34 3" xfId="3490"/>
    <cellStyle name="쉼표 [0] 4 2 2 34 3 2" xfId="9826"/>
    <cellStyle name="쉼표 [0] 4 2 2 34 3 2 2" xfId="22500"/>
    <cellStyle name="쉼표 [0] 4 2 2 34 3 2 2 2" xfId="47852"/>
    <cellStyle name="쉼표 [0] 4 2 2 34 3 2 3" xfId="35180"/>
    <cellStyle name="쉼표 [0] 4 2 2 34 3 3" xfId="16164"/>
    <cellStyle name="쉼표 [0] 4 2 2 34 3 3 2" xfId="41516"/>
    <cellStyle name="쉼표 [0] 4 2 2 34 3 4" xfId="28844"/>
    <cellStyle name="쉼표 [0] 4 2 2 34 4" xfId="6725"/>
    <cellStyle name="쉼표 [0] 4 2 2 34 4 2" xfId="19399"/>
    <cellStyle name="쉼표 [0] 4 2 2 34 4 2 2" xfId="44751"/>
    <cellStyle name="쉼표 [0] 4 2 2 34 4 3" xfId="32079"/>
    <cellStyle name="쉼표 [0] 4 2 2 34 5" xfId="13063"/>
    <cellStyle name="쉼표 [0] 4 2 2 34 5 2" xfId="38415"/>
    <cellStyle name="쉼표 [0] 4 2 2 34 6" xfId="25743"/>
    <cellStyle name="쉼표 [0] 4 2 2 35" xfId="390"/>
    <cellStyle name="쉼표 [0] 4 2 2 35 2" xfId="391"/>
    <cellStyle name="쉼표 [0] 4 2 2 35 2 2" xfId="3491"/>
    <cellStyle name="쉼표 [0] 4 2 2 35 2 2 2" xfId="9827"/>
    <cellStyle name="쉼표 [0] 4 2 2 35 2 2 2 2" xfId="22501"/>
    <cellStyle name="쉼표 [0] 4 2 2 35 2 2 2 2 2" xfId="47853"/>
    <cellStyle name="쉼표 [0] 4 2 2 35 2 2 2 3" xfId="35181"/>
    <cellStyle name="쉼표 [0] 4 2 2 35 2 2 3" xfId="16165"/>
    <cellStyle name="쉼표 [0] 4 2 2 35 2 2 3 2" xfId="41517"/>
    <cellStyle name="쉼표 [0] 4 2 2 35 2 2 4" xfId="28845"/>
    <cellStyle name="쉼표 [0] 4 2 2 35 2 3" xfId="6728"/>
    <cellStyle name="쉼표 [0] 4 2 2 35 2 3 2" xfId="19402"/>
    <cellStyle name="쉼표 [0] 4 2 2 35 2 3 2 2" xfId="44754"/>
    <cellStyle name="쉼표 [0] 4 2 2 35 2 3 3" xfId="32082"/>
    <cellStyle name="쉼표 [0] 4 2 2 35 2 4" xfId="13066"/>
    <cellStyle name="쉼표 [0] 4 2 2 35 2 4 2" xfId="38418"/>
    <cellStyle name="쉼표 [0] 4 2 2 35 2 5" xfId="25746"/>
    <cellStyle name="쉼표 [0] 4 2 2 35 3" xfId="3492"/>
    <cellStyle name="쉼표 [0] 4 2 2 35 3 2" xfId="9828"/>
    <cellStyle name="쉼표 [0] 4 2 2 35 3 2 2" xfId="22502"/>
    <cellStyle name="쉼표 [0] 4 2 2 35 3 2 2 2" xfId="47854"/>
    <cellStyle name="쉼표 [0] 4 2 2 35 3 2 3" xfId="35182"/>
    <cellStyle name="쉼표 [0] 4 2 2 35 3 3" xfId="16166"/>
    <cellStyle name="쉼표 [0] 4 2 2 35 3 3 2" xfId="41518"/>
    <cellStyle name="쉼표 [0] 4 2 2 35 3 4" xfId="28846"/>
    <cellStyle name="쉼표 [0] 4 2 2 35 4" xfId="6727"/>
    <cellStyle name="쉼표 [0] 4 2 2 35 4 2" xfId="19401"/>
    <cellStyle name="쉼표 [0] 4 2 2 35 4 2 2" xfId="44753"/>
    <cellStyle name="쉼표 [0] 4 2 2 35 4 3" xfId="32081"/>
    <cellStyle name="쉼표 [0] 4 2 2 35 5" xfId="13065"/>
    <cellStyle name="쉼표 [0] 4 2 2 35 5 2" xfId="38417"/>
    <cellStyle name="쉼표 [0] 4 2 2 35 6" xfId="25745"/>
    <cellStyle name="쉼표 [0] 4 2 2 36" xfId="392"/>
    <cellStyle name="쉼표 [0] 4 2 2 36 2" xfId="3493"/>
    <cellStyle name="쉼표 [0] 4 2 2 36 2 2" xfId="9829"/>
    <cellStyle name="쉼표 [0] 4 2 2 36 2 2 2" xfId="22503"/>
    <cellStyle name="쉼표 [0] 4 2 2 36 2 2 2 2" xfId="47855"/>
    <cellStyle name="쉼표 [0] 4 2 2 36 2 2 3" xfId="35183"/>
    <cellStyle name="쉼표 [0] 4 2 2 36 2 3" xfId="16167"/>
    <cellStyle name="쉼표 [0] 4 2 2 36 2 3 2" xfId="41519"/>
    <cellStyle name="쉼표 [0] 4 2 2 36 2 4" xfId="28847"/>
    <cellStyle name="쉼표 [0] 4 2 2 36 3" xfId="6729"/>
    <cellStyle name="쉼표 [0] 4 2 2 36 3 2" xfId="19403"/>
    <cellStyle name="쉼표 [0] 4 2 2 36 3 2 2" xfId="44755"/>
    <cellStyle name="쉼표 [0] 4 2 2 36 3 3" xfId="32083"/>
    <cellStyle name="쉼표 [0] 4 2 2 36 4" xfId="13067"/>
    <cellStyle name="쉼표 [0] 4 2 2 36 4 2" xfId="38419"/>
    <cellStyle name="쉼표 [0] 4 2 2 36 5" xfId="25747"/>
    <cellStyle name="쉼표 [0] 4 2 2 37" xfId="3494"/>
    <cellStyle name="쉼표 [0] 4 2 2 37 2" xfId="9830"/>
    <cellStyle name="쉼표 [0] 4 2 2 37 2 2" xfId="22504"/>
    <cellStyle name="쉼표 [0] 4 2 2 37 2 2 2" xfId="47856"/>
    <cellStyle name="쉼표 [0] 4 2 2 37 2 3" xfId="35184"/>
    <cellStyle name="쉼표 [0] 4 2 2 37 3" xfId="16168"/>
    <cellStyle name="쉼표 [0] 4 2 2 37 3 2" xfId="41520"/>
    <cellStyle name="쉼표 [0] 4 2 2 37 4" xfId="28848"/>
    <cellStyle name="쉼표 [0] 4 2 2 38" xfId="6380"/>
    <cellStyle name="쉼표 [0] 4 2 2 38 2" xfId="19054"/>
    <cellStyle name="쉼표 [0] 4 2 2 38 2 2" xfId="44406"/>
    <cellStyle name="쉼표 [0] 4 2 2 38 3" xfId="31734"/>
    <cellStyle name="쉼표 [0] 4 2 2 39" xfId="12718"/>
    <cellStyle name="쉼표 [0] 4 2 2 39 2" xfId="38070"/>
    <cellStyle name="쉼표 [0] 4 2 2 4" xfId="60"/>
    <cellStyle name="쉼표 [0] 4 2 2 4 2" xfId="393"/>
    <cellStyle name="쉼표 [0] 4 2 2 4 2 2" xfId="3495"/>
    <cellStyle name="쉼표 [0] 4 2 2 4 2 2 2" xfId="9831"/>
    <cellStyle name="쉼표 [0] 4 2 2 4 2 2 2 2" xfId="22505"/>
    <cellStyle name="쉼표 [0] 4 2 2 4 2 2 2 2 2" xfId="47857"/>
    <cellStyle name="쉼표 [0] 4 2 2 4 2 2 2 3" xfId="35185"/>
    <cellStyle name="쉼표 [0] 4 2 2 4 2 2 3" xfId="16169"/>
    <cellStyle name="쉼표 [0] 4 2 2 4 2 2 3 2" xfId="41521"/>
    <cellStyle name="쉼표 [0] 4 2 2 4 2 2 4" xfId="28849"/>
    <cellStyle name="쉼표 [0] 4 2 2 4 2 3" xfId="6730"/>
    <cellStyle name="쉼표 [0] 4 2 2 4 2 3 2" xfId="19404"/>
    <cellStyle name="쉼표 [0] 4 2 2 4 2 3 2 2" xfId="44756"/>
    <cellStyle name="쉼표 [0] 4 2 2 4 2 3 3" xfId="32084"/>
    <cellStyle name="쉼표 [0] 4 2 2 4 2 4" xfId="13068"/>
    <cellStyle name="쉼표 [0] 4 2 2 4 2 4 2" xfId="38420"/>
    <cellStyle name="쉼표 [0] 4 2 2 4 2 5" xfId="25748"/>
    <cellStyle name="쉼표 [0] 4 2 2 4 3" xfId="3496"/>
    <cellStyle name="쉼표 [0] 4 2 2 4 3 2" xfId="9832"/>
    <cellStyle name="쉼표 [0] 4 2 2 4 3 2 2" xfId="22506"/>
    <cellStyle name="쉼표 [0] 4 2 2 4 3 2 2 2" xfId="47858"/>
    <cellStyle name="쉼표 [0] 4 2 2 4 3 2 3" xfId="35186"/>
    <cellStyle name="쉼표 [0] 4 2 2 4 3 3" xfId="16170"/>
    <cellStyle name="쉼표 [0] 4 2 2 4 3 3 2" xfId="41522"/>
    <cellStyle name="쉼표 [0] 4 2 2 4 3 4" xfId="28850"/>
    <cellStyle name="쉼표 [0] 4 2 2 4 4" xfId="6398"/>
    <cellStyle name="쉼표 [0] 4 2 2 4 4 2" xfId="19072"/>
    <cellStyle name="쉼표 [0] 4 2 2 4 4 2 2" xfId="44424"/>
    <cellStyle name="쉼표 [0] 4 2 2 4 4 3" xfId="31752"/>
    <cellStyle name="쉼표 [0] 4 2 2 4 5" xfId="12736"/>
    <cellStyle name="쉼표 [0] 4 2 2 4 5 2" xfId="38088"/>
    <cellStyle name="쉼표 [0] 4 2 2 4 6" xfId="25416"/>
    <cellStyle name="쉼표 [0] 4 2 2 40" xfId="25398"/>
    <cellStyle name="쉼표 [0] 4 2 2 5" xfId="394"/>
    <cellStyle name="쉼표 [0] 4 2 2 5 2" xfId="395"/>
    <cellStyle name="쉼표 [0] 4 2 2 5 2 2" xfId="3497"/>
    <cellStyle name="쉼표 [0] 4 2 2 5 2 2 2" xfId="9833"/>
    <cellStyle name="쉼표 [0] 4 2 2 5 2 2 2 2" xfId="22507"/>
    <cellStyle name="쉼표 [0] 4 2 2 5 2 2 2 2 2" xfId="47859"/>
    <cellStyle name="쉼표 [0] 4 2 2 5 2 2 2 3" xfId="35187"/>
    <cellStyle name="쉼표 [0] 4 2 2 5 2 2 3" xfId="16171"/>
    <cellStyle name="쉼표 [0] 4 2 2 5 2 2 3 2" xfId="41523"/>
    <cellStyle name="쉼표 [0] 4 2 2 5 2 2 4" xfId="28851"/>
    <cellStyle name="쉼표 [0] 4 2 2 5 2 3" xfId="6732"/>
    <cellStyle name="쉼표 [0] 4 2 2 5 2 3 2" xfId="19406"/>
    <cellStyle name="쉼표 [0] 4 2 2 5 2 3 2 2" xfId="44758"/>
    <cellStyle name="쉼표 [0] 4 2 2 5 2 3 3" xfId="32086"/>
    <cellStyle name="쉼표 [0] 4 2 2 5 2 4" xfId="13070"/>
    <cellStyle name="쉼표 [0] 4 2 2 5 2 4 2" xfId="38422"/>
    <cellStyle name="쉼표 [0] 4 2 2 5 2 5" xfId="25750"/>
    <cellStyle name="쉼표 [0] 4 2 2 5 3" xfId="3498"/>
    <cellStyle name="쉼표 [0] 4 2 2 5 3 2" xfId="9834"/>
    <cellStyle name="쉼표 [0] 4 2 2 5 3 2 2" xfId="22508"/>
    <cellStyle name="쉼표 [0] 4 2 2 5 3 2 2 2" xfId="47860"/>
    <cellStyle name="쉼표 [0] 4 2 2 5 3 2 3" xfId="35188"/>
    <cellStyle name="쉼표 [0] 4 2 2 5 3 3" xfId="16172"/>
    <cellStyle name="쉼표 [0] 4 2 2 5 3 3 2" xfId="41524"/>
    <cellStyle name="쉼표 [0] 4 2 2 5 3 4" xfId="28852"/>
    <cellStyle name="쉼표 [0] 4 2 2 5 4" xfId="6731"/>
    <cellStyle name="쉼표 [0] 4 2 2 5 4 2" xfId="19405"/>
    <cellStyle name="쉼표 [0] 4 2 2 5 4 2 2" xfId="44757"/>
    <cellStyle name="쉼표 [0] 4 2 2 5 4 3" xfId="32085"/>
    <cellStyle name="쉼표 [0] 4 2 2 5 5" xfId="13069"/>
    <cellStyle name="쉼표 [0] 4 2 2 5 5 2" xfId="38421"/>
    <cellStyle name="쉼표 [0] 4 2 2 5 6" xfId="25749"/>
    <cellStyle name="쉼표 [0] 4 2 2 6" xfId="396"/>
    <cellStyle name="쉼표 [0] 4 2 2 6 2" xfId="397"/>
    <cellStyle name="쉼표 [0] 4 2 2 6 2 2" xfId="3499"/>
    <cellStyle name="쉼표 [0] 4 2 2 6 2 2 2" xfId="9835"/>
    <cellStyle name="쉼표 [0] 4 2 2 6 2 2 2 2" xfId="22509"/>
    <cellStyle name="쉼표 [0] 4 2 2 6 2 2 2 2 2" xfId="47861"/>
    <cellStyle name="쉼표 [0] 4 2 2 6 2 2 2 3" xfId="35189"/>
    <cellStyle name="쉼표 [0] 4 2 2 6 2 2 3" xfId="16173"/>
    <cellStyle name="쉼표 [0] 4 2 2 6 2 2 3 2" xfId="41525"/>
    <cellStyle name="쉼표 [0] 4 2 2 6 2 2 4" xfId="28853"/>
    <cellStyle name="쉼표 [0] 4 2 2 6 2 3" xfId="6734"/>
    <cellStyle name="쉼표 [0] 4 2 2 6 2 3 2" xfId="19408"/>
    <cellStyle name="쉼표 [0] 4 2 2 6 2 3 2 2" xfId="44760"/>
    <cellStyle name="쉼표 [0] 4 2 2 6 2 3 3" xfId="32088"/>
    <cellStyle name="쉼표 [0] 4 2 2 6 2 4" xfId="13072"/>
    <cellStyle name="쉼표 [0] 4 2 2 6 2 4 2" xfId="38424"/>
    <cellStyle name="쉼표 [0] 4 2 2 6 2 5" xfId="25752"/>
    <cellStyle name="쉼표 [0] 4 2 2 6 3" xfId="3500"/>
    <cellStyle name="쉼표 [0] 4 2 2 6 3 2" xfId="9836"/>
    <cellStyle name="쉼표 [0] 4 2 2 6 3 2 2" xfId="22510"/>
    <cellStyle name="쉼표 [0] 4 2 2 6 3 2 2 2" xfId="47862"/>
    <cellStyle name="쉼표 [0] 4 2 2 6 3 2 3" xfId="35190"/>
    <cellStyle name="쉼표 [0] 4 2 2 6 3 3" xfId="16174"/>
    <cellStyle name="쉼표 [0] 4 2 2 6 3 3 2" xfId="41526"/>
    <cellStyle name="쉼표 [0] 4 2 2 6 3 4" xfId="28854"/>
    <cellStyle name="쉼표 [0] 4 2 2 6 4" xfId="6733"/>
    <cellStyle name="쉼표 [0] 4 2 2 6 4 2" xfId="19407"/>
    <cellStyle name="쉼표 [0] 4 2 2 6 4 2 2" xfId="44759"/>
    <cellStyle name="쉼표 [0] 4 2 2 6 4 3" xfId="32087"/>
    <cellStyle name="쉼표 [0] 4 2 2 6 5" xfId="13071"/>
    <cellStyle name="쉼표 [0] 4 2 2 6 5 2" xfId="38423"/>
    <cellStyle name="쉼표 [0] 4 2 2 6 6" xfId="25751"/>
    <cellStyle name="쉼표 [0] 4 2 2 7" xfId="398"/>
    <cellStyle name="쉼표 [0] 4 2 2 7 2" xfId="399"/>
    <cellStyle name="쉼표 [0] 4 2 2 7 2 2" xfId="3501"/>
    <cellStyle name="쉼표 [0] 4 2 2 7 2 2 2" xfId="9837"/>
    <cellStyle name="쉼표 [0] 4 2 2 7 2 2 2 2" xfId="22511"/>
    <cellStyle name="쉼표 [0] 4 2 2 7 2 2 2 2 2" xfId="47863"/>
    <cellStyle name="쉼표 [0] 4 2 2 7 2 2 2 3" xfId="35191"/>
    <cellStyle name="쉼표 [0] 4 2 2 7 2 2 3" xfId="16175"/>
    <cellStyle name="쉼표 [0] 4 2 2 7 2 2 3 2" xfId="41527"/>
    <cellStyle name="쉼표 [0] 4 2 2 7 2 2 4" xfId="28855"/>
    <cellStyle name="쉼표 [0] 4 2 2 7 2 3" xfId="6736"/>
    <cellStyle name="쉼표 [0] 4 2 2 7 2 3 2" xfId="19410"/>
    <cellStyle name="쉼표 [0] 4 2 2 7 2 3 2 2" xfId="44762"/>
    <cellStyle name="쉼표 [0] 4 2 2 7 2 3 3" xfId="32090"/>
    <cellStyle name="쉼표 [0] 4 2 2 7 2 4" xfId="13074"/>
    <cellStyle name="쉼표 [0] 4 2 2 7 2 4 2" xfId="38426"/>
    <cellStyle name="쉼표 [0] 4 2 2 7 2 5" xfId="25754"/>
    <cellStyle name="쉼표 [0] 4 2 2 7 3" xfId="3502"/>
    <cellStyle name="쉼표 [0] 4 2 2 7 3 2" xfId="9838"/>
    <cellStyle name="쉼표 [0] 4 2 2 7 3 2 2" xfId="22512"/>
    <cellStyle name="쉼표 [0] 4 2 2 7 3 2 2 2" xfId="47864"/>
    <cellStyle name="쉼표 [0] 4 2 2 7 3 2 3" xfId="35192"/>
    <cellStyle name="쉼표 [0] 4 2 2 7 3 3" xfId="16176"/>
    <cellStyle name="쉼표 [0] 4 2 2 7 3 3 2" xfId="41528"/>
    <cellStyle name="쉼표 [0] 4 2 2 7 3 4" xfId="28856"/>
    <cellStyle name="쉼표 [0] 4 2 2 7 4" xfId="6735"/>
    <cellStyle name="쉼표 [0] 4 2 2 7 4 2" xfId="19409"/>
    <cellStyle name="쉼표 [0] 4 2 2 7 4 2 2" xfId="44761"/>
    <cellStyle name="쉼표 [0] 4 2 2 7 4 3" xfId="32089"/>
    <cellStyle name="쉼표 [0] 4 2 2 7 5" xfId="13073"/>
    <cellStyle name="쉼표 [0] 4 2 2 7 5 2" xfId="38425"/>
    <cellStyle name="쉼표 [0] 4 2 2 7 6" xfId="25753"/>
    <cellStyle name="쉼표 [0] 4 2 2 8" xfId="400"/>
    <cellStyle name="쉼표 [0] 4 2 2 8 2" xfId="401"/>
    <cellStyle name="쉼표 [0] 4 2 2 8 2 2" xfId="3503"/>
    <cellStyle name="쉼표 [0] 4 2 2 8 2 2 2" xfId="9839"/>
    <cellStyle name="쉼표 [0] 4 2 2 8 2 2 2 2" xfId="22513"/>
    <cellStyle name="쉼표 [0] 4 2 2 8 2 2 2 2 2" xfId="47865"/>
    <cellStyle name="쉼표 [0] 4 2 2 8 2 2 2 3" xfId="35193"/>
    <cellStyle name="쉼표 [0] 4 2 2 8 2 2 3" xfId="16177"/>
    <cellStyle name="쉼표 [0] 4 2 2 8 2 2 3 2" xfId="41529"/>
    <cellStyle name="쉼표 [0] 4 2 2 8 2 2 4" xfId="28857"/>
    <cellStyle name="쉼표 [0] 4 2 2 8 2 3" xfId="6738"/>
    <cellStyle name="쉼표 [0] 4 2 2 8 2 3 2" xfId="19412"/>
    <cellStyle name="쉼표 [0] 4 2 2 8 2 3 2 2" xfId="44764"/>
    <cellStyle name="쉼표 [0] 4 2 2 8 2 3 3" xfId="32092"/>
    <cellStyle name="쉼표 [0] 4 2 2 8 2 4" xfId="13076"/>
    <cellStyle name="쉼표 [0] 4 2 2 8 2 4 2" xfId="38428"/>
    <cellStyle name="쉼표 [0] 4 2 2 8 2 5" xfId="25756"/>
    <cellStyle name="쉼표 [0] 4 2 2 8 3" xfId="3504"/>
    <cellStyle name="쉼표 [0] 4 2 2 8 3 2" xfId="9840"/>
    <cellStyle name="쉼표 [0] 4 2 2 8 3 2 2" xfId="22514"/>
    <cellStyle name="쉼표 [0] 4 2 2 8 3 2 2 2" xfId="47866"/>
    <cellStyle name="쉼표 [0] 4 2 2 8 3 2 3" xfId="35194"/>
    <cellStyle name="쉼표 [0] 4 2 2 8 3 3" xfId="16178"/>
    <cellStyle name="쉼표 [0] 4 2 2 8 3 3 2" xfId="41530"/>
    <cellStyle name="쉼표 [0] 4 2 2 8 3 4" xfId="28858"/>
    <cellStyle name="쉼표 [0] 4 2 2 8 4" xfId="6737"/>
    <cellStyle name="쉼표 [0] 4 2 2 8 4 2" xfId="19411"/>
    <cellStyle name="쉼표 [0] 4 2 2 8 4 2 2" xfId="44763"/>
    <cellStyle name="쉼표 [0] 4 2 2 8 4 3" xfId="32091"/>
    <cellStyle name="쉼표 [0] 4 2 2 8 5" xfId="13075"/>
    <cellStyle name="쉼표 [0] 4 2 2 8 5 2" xfId="38427"/>
    <cellStyle name="쉼표 [0] 4 2 2 8 6" xfId="25755"/>
    <cellStyle name="쉼표 [0] 4 2 2 9" xfId="402"/>
    <cellStyle name="쉼표 [0] 4 2 2 9 2" xfId="403"/>
    <cellStyle name="쉼표 [0] 4 2 2 9 2 2" xfId="3505"/>
    <cellStyle name="쉼표 [0] 4 2 2 9 2 2 2" xfId="9841"/>
    <cellStyle name="쉼표 [0] 4 2 2 9 2 2 2 2" xfId="22515"/>
    <cellStyle name="쉼표 [0] 4 2 2 9 2 2 2 2 2" xfId="47867"/>
    <cellStyle name="쉼표 [0] 4 2 2 9 2 2 2 3" xfId="35195"/>
    <cellStyle name="쉼표 [0] 4 2 2 9 2 2 3" xfId="16179"/>
    <cellStyle name="쉼표 [0] 4 2 2 9 2 2 3 2" xfId="41531"/>
    <cellStyle name="쉼표 [0] 4 2 2 9 2 2 4" xfId="28859"/>
    <cellStyle name="쉼표 [0] 4 2 2 9 2 3" xfId="6740"/>
    <cellStyle name="쉼표 [0] 4 2 2 9 2 3 2" xfId="19414"/>
    <cellStyle name="쉼표 [0] 4 2 2 9 2 3 2 2" xfId="44766"/>
    <cellStyle name="쉼표 [0] 4 2 2 9 2 3 3" xfId="32094"/>
    <cellStyle name="쉼표 [0] 4 2 2 9 2 4" xfId="13078"/>
    <cellStyle name="쉼표 [0] 4 2 2 9 2 4 2" xfId="38430"/>
    <cellStyle name="쉼표 [0] 4 2 2 9 2 5" xfId="25758"/>
    <cellStyle name="쉼표 [0] 4 2 2 9 3" xfId="3506"/>
    <cellStyle name="쉼표 [0] 4 2 2 9 3 2" xfId="9842"/>
    <cellStyle name="쉼표 [0] 4 2 2 9 3 2 2" xfId="22516"/>
    <cellStyle name="쉼표 [0] 4 2 2 9 3 2 2 2" xfId="47868"/>
    <cellStyle name="쉼표 [0] 4 2 2 9 3 2 3" xfId="35196"/>
    <cellStyle name="쉼표 [0] 4 2 2 9 3 3" xfId="16180"/>
    <cellStyle name="쉼표 [0] 4 2 2 9 3 3 2" xfId="41532"/>
    <cellStyle name="쉼표 [0] 4 2 2 9 3 4" xfId="28860"/>
    <cellStyle name="쉼표 [0] 4 2 2 9 4" xfId="6739"/>
    <cellStyle name="쉼표 [0] 4 2 2 9 4 2" xfId="19413"/>
    <cellStyle name="쉼표 [0] 4 2 2 9 4 2 2" xfId="44765"/>
    <cellStyle name="쉼표 [0] 4 2 2 9 4 3" xfId="32093"/>
    <cellStyle name="쉼표 [0] 4 2 2 9 5" xfId="13077"/>
    <cellStyle name="쉼표 [0] 4 2 2 9 5 2" xfId="38429"/>
    <cellStyle name="쉼표 [0] 4 2 2 9 6" xfId="25757"/>
    <cellStyle name="쉼표 [0] 4 2 20" xfId="404"/>
    <cellStyle name="쉼표 [0] 4 2 20 2" xfId="405"/>
    <cellStyle name="쉼표 [0] 4 2 20 2 2" xfId="3507"/>
    <cellStyle name="쉼표 [0] 4 2 20 2 2 2" xfId="9843"/>
    <cellStyle name="쉼표 [0] 4 2 20 2 2 2 2" xfId="22517"/>
    <cellStyle name="쉼표 [0] 4 2 20 2 2 2 2 2" xfId="47869"/>
    <cellStyle name="쉼표 [0] 4 2 20 2 2 2 3" xfId="35197"/>
    <cellStyle name="쉼표 [0] 4 2 20 2 2 3" xfId="16181"/>
    <cellStyle name="쉼표 [0] 4 2 20 2 2 3 2" xfId="41533"/>
    <cellStyle name="쉼표 [0] 4 2 20 2 2 4" xfId="28861"/>
    <cellStyle name="쉼표 [0] 4 2 20 2 3" xfId="6742"/>
    <cellStyle name="쉼표 [0] 4 2 20 2 3 2" xfId="19416"/>
    <cellStyle name="쉼표 [0] 4 2 20 2 3 2 2" xfId="44768"/>
    <cellStyle name="쉼표 [0] 4 2 20 2 3 3" xfId="32096"/>
    <cellStyle name="쉼표 [0] 4 2 20 2 4" xfId="13080"/>
    <cellStyle name="쉼표 [0] 4 2 20 2 4 2" xfId="38432"/>
    <cellStyle name="쉼표 [0] 4 2 20 2 5" xfId="25760"/>
    <cellStyle name="쉼표 [0] 4 2 20 3" xfId="3508"/>
    <cellStyle name="쉼표 [0] 4 2 20 3 2" xfId="9844"/>
    <cellStyle name="쉼표 [0] 4 2 20 3 2 2" xfId="22518"/>
    <cellStyle name="쉼표 [0] 4 2 20 3 2 2 2" xfId="47870"/>
    <cellStyle name="쉼표 [0] 4 2 20 3 2 3" xfId="35198"/>
    <cellStyle name="쉼표 [0] 4 2 20 3 3" xfId="16182"/>
    <cellStyle name="쉼표 [0] 4 2 20 3 3 2" xfId="41534"/>
    <cellStyle name="쉼표 [0] 4 2 20 3 4" xfId="28862"/>
    <cellStyle name="쉼표 [0] 4 2 20 4" xfId="6741"/>
    <cellStyle name="쉼표 [0] 4 2 20 4 2" xfId="19415"/>
    <cellStyle name="쉼표 [0] 4 2 20 4 2 2" xfId="44767"/>
    <cellStyle name="쉼표 [0] 4 2 20 4 3" xfId="32095"/>
    <cellStyle name="쉼표 [0] 4 2 20 5" xfId="13079"/>
    <cellStyle name="쉼표 [0] 4 2 20 5 2" xfId="38431"/>
    <cellStyle name="쉼표 [0] 4 2 20 6" xfId="25759"/>
    <cellStyle name="쉼표 [0] 4 2 21" xfId="406"/>
    <cellStyle name="쉼표 [0] 4 2 21 2" xfId="407"/>
    <cellStyle name="쉼표 [0] 4 2 21 2 2" xfId="3509"/>
    <cellStyle name="쉼표 [0] 4 2 21 2 2 2" xfId="9845"/>
    <cellStyle name="쉼표 [0] 4 2 21 2 2 2 2" xfId="22519"/>
    <cellStyle name="쉼표 [0] 4 2 21 2 2 2 2 2" xfId="47871"/>
    <cellStyle name="쉼표 [0] 4 2 21 2 2 2 3" xfId="35199"/>
    <cellStyle name="쉼표 [0] 4 2 21 2 2 3" xfId="16183"/>
    <cellStyle name="쉼표 [0] 4 2 21 2 2 3 2" xfId="41535"/>
    <cellStyle name="쉼표 [0] 4 2 21 2 2 4" xfId="28863"/>
    <cellStyle name="쉼표 [0] 4 2 21 2 3" xfId="6744"/>
    <cellStyle name="쉼표 [0] 4 2 21 2 3 2" xfId="19418"/>
    <cellStyle name="쉼표 [0] 4 2 21 2 3 2 2" xfId="44770"/>
    <cellStyle name="쉼표 [0] 4 2 21 2 3 3" xfId="32098"/>
    <cellStyle name="쉼표 [0] 4 2 21 2 4" xfId="13082"/>
    <cellStyle name="쉼표 [0] 4 2 21 2 4 2" xfId="38434"/>
    <cellStyle name="쉼표 [0] 4 2 21 2 5" xfId="25762"/>
    <cellStyle name="쉼표 [0] 4 2 21 3" xfId="3510"/>
    <cellStyle name="쉼표 [0] 4 2 21 3 2" xfId="9846"/>
    <cellStyle name="쉼표 [0] 4 2 21 3 2 2" xfId="22520"/>
    <cellStyle name="쉼표 [0] 4 2 21 3 2 2 2" xfId="47872"/>
    <cellStyle name="쉼표 [0] 4 2 21 3 2 3" xfId="35200"/>
    <cellStyle name="쉼표 [0] 4 2 21 3 3" xfId="16184"/>
    <cellStyle name="쉼표 [0] 4 2 21 3 3 2" xfId="41536"/>
    <cellStyle name="쉼표 [0] 4 2 21 3 4" xfId="28864"/>
    <cellStyle name="쉼표 [0] 4 2 21 4" xfId="6743"/>
    <cellStyle name="쉼표 [0] 4 2 21 4 2" xfId="19417"/>
    <cellStyle name="쉼표 [0] 4 2 21 4 2 2" xfId="44769"/>
    <cellStyle name="쉼표 [0] 4 2 21 4 3" xfId="32097"/>
    <cellStyle name="쉼표 [0] 4 2 21 5" xfId="13081"/>
    <cellStyle name="쉼표 [0] 4 2 21 5 2" xfId="38433"/>
    <cellStyle name="쉼표 [0] 4 2 21 6" xfId="25761"/>
    <cellStyle name="쉼표 [0] 4 2 22" xfId="408"/>
    <cellStyle name="쉼표 [0] 4 2 22 2" xfId="409"/>
    <cellStyle name="쉼표 [0] 4 2 22 2 2" xfId="3511"/>
    <cellStyle name="쉼표 [0] 4 2 22 2 2 2" xfId="9847"/>
    <cellStyle name="쉼표 [0] 4 2 22 2 2 2 2" xfId="22521"/>
    <cellStyle name="쉼표 [0] 4 2 22 2 2 2 2 2" xfId="47873"/>
    <cellStyle name="쉼표 [0] 4 2 22 2 2 2 3" xfId="35201"/>
    <cellStyle name="쉼표 [0] 4 2 22 2 2 3" xfId="16185"/>
    <cellStyle name="쉼표 [0] 4 2 22 2 2 3 2" xfId="41537"/>
    <cellStyle name="쉼표 [0] 4 2 22 2 2 4" xfId="28865"/>
    <cellStyle name="쉼표 [0] 4 2 22 2 3" xfId="6746"/>
    <cellStyle name="쉼표 [0] 4 2 22 2 3 2" xfId="19420"/>
    <cellStyle name="쉼표 [0] 4 2 22 2 3 2 2" xfId="44772"/>
    <cellStyle name="쉼표 [0] 4 2 22 2 3 3" xfId="32100"/>
    <cellStyle name="쉼표 [0] 4 2 22 2 4" xfId="13084"/>
    <cellStyle name="쉼표 [0] 4 2 22 2 4 2" xfId="38436"/>
    <cellStyle name="쉼표 [0] 4 2 22 2 5" xfId="25764"/>
    <cellStyle name="쉼표 [0] 4 2 22 3" xfId="3512"/>
    <cellStyle name="쉼표 [0] 4 2 22 3 2" xfId="9848"/>
    <cellStyle name="쉼표 [0] 4 2 22 3 2 2" xfId="22522"/>
    <cellStyle name="쉼표 [0] 4 2 22 3 2 2 2" xfId="47874"/>
    <cellStyle name="쉼표 [0] 4 2 22 3 2 3" xfId="35202"/>
    <cellStyle name="쉼표 [0] 4 2 22 3 3" xfId="16186"/>
    <cellStyle name="쉼표 [0] 4 2 22 3 3 2" xfId="41538"/>
    <cellStyle name="쉼표 [0] 4 2 22 3 4" xfId="28866"/>
    <cellStyle name="쉼표 [0] 4 2 22 4" xfId="6745"/>
    <cellStyle name="쉼표 [0] 4 2 22 4 2" xfId="19419"/>
    <cellStyle name="쉼표 [0] 4 2 22 4 2 2" xfId="44771"/>
    <cellStyle name="쉼표 [0] 4 2 22 4 3" xfId="32099"/>
    <cellStyle name="쉼표 [0] 4 2 22 5" xfId="13083"/>
    <cellStyle name="쉼표 [0] 4 2 22 5 2" xfId="38435"/>
    <cellStyle name="쉼표 [0] 4 2 22 6" xfId="25763"/>
    <cellStyle name="쉼표 [0] 4 2 23" xfId="410"/>
    <cellStyle name="쉼표 [0] 4 2 23 2" xfId="411"/>
    <cellStyle name="쉼표 [0] 4 2 23 2 2" xfId="3513"/>
    <cellStyle name="쉼표 [0] 4 2 23 2 2 2" xfId="9849"/>
    <cellStyle name="쉼표 [0] 4 2 23 2 2 2 2" xfId="22523"/>
    <cellStyle name="쉼표 [0] 4 2 23 2 2 2 2 2" xfId="47875"/>
    <cellStyle name="쉼표 [0] 4 2 23 2 2 2 3" xfId="35203"/>
    <cellStyle name="쉼표 [0] 4 2 23 2 2 3" xfId="16187"/>
    <cellStyle name="쉼표 [0] 4 2 23 2 2 3 2" xfId="41539"/>
    <cellStyle name="쉼표 [0] 4 2 23 2 2 4" xfId="28867"/>
    <cellStyle name="쉼표 [0] 4 2 23 2 3" xfId="6748"/>
    <cellStyle name="쉼표 [0] 4 2 23 2 3 2" xfId="19422"/>
    <cellStyle name="쉼표 [0] 4 2 23 2 3 2 2" xfId="44774"/>
    <cellStyle name="쉼표 [0] 4 2 23 2 3 3" xfId="32102"/>
    <cellStyle name="쉼표 [0] 4 2 23 2 4" xfId="13086"/>
    <cellStyle name="쉼표 [0] 4 2 23 2 4 2" xfId="38438"/>
    <cellStyle name="쉼표 [0] 4 2 23 2 5" xfId="25766"/>
    <cellStyle name="쉼표 [0] 4 2 23 3" xfId="3514"/>
    <cellStyle name="쉼표 [0] 4 2 23 3 2" xfId="9850"/>
    <cellStyle name="쉼표 [0] 4 2 23 3 2 2" xfId="22524"/>
    <cellStyle name="쉼표 [0] 4 2 23 3 2 2 2" xfId="47876"/>
    <cellStyle name="쉼표 [0] 4 2 23 3 2 3" xfId="35204"/>
    <cellStyle name="쉼표 [0] 4 2 23 3 3" xfId="16188"/>
    <cellStyle name="쉼표 [0] 4 2 23 3 3 2" xfId="41540"/>
    <cellStyle name="쉼표 [0] 4 2 23 3 4" xfId="28868"/>
    <cellStyle name="쉼표 [0] 4 2 23 4" xfId="6747"/>
    <cellStyle name="쉼표 [0] 4 2 23 4 2" xfId="19421"/>
    <cellStyle name="쉼표 [0] 4 2 23 4 2 2" xfId="44773"/>
    <cellStyle name="쉼표 [0] 4 2 23 4 3" xfId="32101"/>
    <cellStyle name="쉼표 [0] 4 2 23 5" xfId="13085"/>
    <cellStyle name="쉼표 [0] 4 2 23 5 2" xfId="38437"/>
    <cellStyle name="쉼표 [0] 4 2 23 6" xfId="25765"/>
    <cellStyle name="쉼표 [0] 4 2 24" xfId="412"/>
    <cellStyle name="쉼표 [0] 4 2 24 2" xfId="413"/>
    <cellStyle name="쉼표 [0] 4 2 24 2 2" xfId="3515"/>
    <cellStyle name="쉼표 [0] 4 2 24 2 2 2" xfId="9851"/>
    <cellStyle name="쉼표 [0] 4 2 24 2 2 2 2" xfId="22525"/>
    <cellStyle name="쉼표 [0] 4 2 24 2 2 2 2 2" xfId="47877"/>
    <cellStyle name="쉼표 [0] 4 2 24 2 2 2 3" xfId="35205"/>
    <cellStyle name="쉼표 [0] 4 2 24 2 2 3" xfId="16189"/>
    <cellStyle name="쉼표 [0] 4 2 24 2 2 3 2" xfId="41541"/>
    <cellStyle name="쉼표 [0] 4 2 24 2 2 4" xfId="28869"/>
    <cellStyle name="쉼표 [0] 4 2 24 2 3" xfId="6750"/>
    <cellStyle name="쉼표 [0] 4 2 24 2 3 2" xfId="19424"/>
    <cellStyle name="쉼표 [0] 4 2 24 2 3 2 2" xfId="44776"/>
    <cellStyle name="쉼표 [0] 4 2 24 2 3 3" xfId="32104"/>
    <cellStyle name="쉼표 [0] 4 2 24 2 4" xfId="13088"/>
    <cellStyle name="쉼표 [0] 4 2 24 2 4 2" xfId="38440"/>
    <cellStyle name="쉼표 [0] 4 2 24 2 5" xfId="25768"/>
    <cellStyle name="쉼표 [0] 4 2 24 3" xfId="3516"/>
    <cellStyle name="쉼표 [0] 4 2 24 3 2" xfId="9852"/>
    <cellStyle name="쉼표 [0] 4 2 24 3 2 2" xfId="22526"/>
    <cellStyle name="쉼표 [0] 4 2 24 3 2 2 2" xfId="47878"/>
    <cellStyle name="쉼표 [0] 4 2 24 3 2 3" xfId="35206"/>
    <cellStyle name="쉼표 [0] 4 2 24 3 3" xfId="16190"/>
    <cellStyle name="쉼표 [0] 4 2 24 3 3 2" xfId="41542"/>
    <cellStyle name="쉼표 [0] 4 2 24 3 4" xfId="28870"/>
    <cellStyle name="쉼표 [0] 4 2 24 4" xfId="6749"/>
    <cellStyle name="쉼표 [0] 4 2 24 4 2" xfId="19423"/>
    <cellStyle name="쉼표 [0] 4 2 24 4 2 2" xfId="44775"/>
    <cellStyle name="쉼표 [0] 4 2 24 4 3" xfId="32103"/>
    <cellStyle name="쉼표 [0] 4 2 24 5" xfId="13087"/>
    <cellStyle name="쉼표 [0] 4 2 24 5 2" xfId="38439"/>
    <cellStyle name="쉼표 [0] 4 2 24 6" xfId="25767"/>
    <cellStyle name="쉼표 [0] 4 2 25" xfId="414"/>
    <cellStyle name="쉼표 [0] 4 2 25 2" xfId="415"/>
    <cellStyle name="쉼표 [0] 4 2 25 2 2" xfId="3517"/>
    <cellStyle name="쉼표 [0] 4 2 25 2 2 2" xfId="9853"/>
    <cellStyle name="쉼표 [0] 4 2 25 2 2 2 2" xfId="22527"/>
    <cellStyle name="쉼표 [0] 4 2 25 2 2 2 2 2" xfId="47879"/>
    <cellStyle name="쉼표 [0] 4 2 25 2 2 2 3" xfId="35207"/>
    <cellStyle name="쉼표 [0] 4 2 25 2 2 3" xfId="16191"/>
    <cellStyle name="쉼표 [0] 4 2 25 2 2 3 2" xfId="41543"/>
    <cellStyle name="쉼표 [0] 4 2 25 2 2 4" xfId="28871"/>
    <cellStyle name="쉼표 [0] 4 2 25 2 3" xfId="6752"/>
    <cellStyle name="쉼표 [0] 4 2 25 2 3 2" xfId="19426"/>
    <cellStyle name="쉼표 [0] 4 2 25 2 3 2 2" xfId="44778"/>
    <cellStyle name="쉼표 [0] 4 2 25 2 3 3" xfId="32106"/>
    <cellStyle name="쉼표 [0] 4 2 25 2 4" xfId="13090"/>
    <cellStyle name="쉼표 [0] 4 2 25 2 4 2" xfId="38442"/>
    <cellStyle name="쉼표 [0] 4 2 25 2 5" xfId="25770"/>
    <cellStyle name="쉼표 [0] 4 2 25 3" xfId="3518"/>
    <cellStyle name="쉼표 [0] 4 2 25 3 2" xfId="9854"/>
    <cellStyle name="쉼표 [0] 4 2 25 3 2 2" xfId="22528"/>
    <cellStyle name="쉼표 [0] 4 2 25 3 2 2 2" xfId="47880"/>
    <cellStyle name="쉼표 [0] 4 2 25 3 2 3" xfId="35208"/>
    <cellStyle name="쉼표 [0] 4 2 25 3 3" xfId="16192"/>
    <cellStyle name="쉼표 [0] 4 2 25 3 3 2" xfId="41544"/>
    <cellStyle name="쉼표 [0] 4 2 25 3 4" xfId="28872"/>
    <cellStyle name="쉼표 [0] 4 2 25 4" xfId="6751"/>
    <cellStyle name="쉼표 [0] 4 2 25 4 2" xfId="19425"/>
    <cellStyle name="쉼표 [0] 4 2 25 4 2 2" xfId="44777"/>
    <cellStyle name="쉼표 [0] 4 2 25 4 3" xfId="32105"/>
    <cellStyle name="쉼표 [0] 4 2 25 5" xfId="13089"/>
    <cellStyle name="쉼표 [0] 4 2 25 5 2" xfId="38441"/>
    <cellStyle name="쉼표 [0] 4 2 25 6" xfId="25769"/>
    <cellStyle name="쉼표 [0] 4 2 26" xfId="416"/>
    <cellStyle name="쉼표 [0] 4 2 26 2" xfId="417"/>
    <cellStyle name="쉼표 [0] 4 2 26 2 2" xfId="3519"/>
    <cellStyle name="쉼표 [0] 4 2 26 2 2 2" xfId="9855"/>
    <cellStyle name="쉼표 [0] 4 2 26 2 2 2 2" xfId="22529"/>
    <cellStyle name="쉼표 [0] 4 2 26 2 2 2 2 2" xfId="47881"/>
    <cellStyle name="쉼표 [0] 4 2 26 2 2 2 3" xfId="35209"/>
    <cellStyle name="쉼표 [0] 4 2 26 2 2 3" xfId="16193"/>
    <cellStyle name="쉼표 [0] 4 2 26 2 2 3 2" xfId="41545"/>
    <cellStyle name="쉼표 [0] 4 2 26 2 2 4" xfId="28873"/>
    <cellStyle name="쉼표 [0] 4 2 26 2 3" xfId="6754"/>
    <cellStyle name="쉼표 [0] 4 2 26 2 3 2" xfId="19428"/>
    <cellStyle name="쉼표 [0] 4 2 26 2 3 2 2" xfId="44780"/>
    <cellStyle name="쉼표 [0] 4 2 26 2 3 3" xfId="32108"/>
    <cellStyle name="쉼표 [0] 4 2 26 2 4" xfId="13092"/>
    <cellStyle name="쉼표 [0] 4 2 26 2 4 2" xfId="38444"/>
    <cellStyle name="쉼표 [0] 4 2 26 2 5" xfId="25772"/>
    <cellStyle name="쉼표 [0] 4 2 26 3" xfId="3520"/>
    <cellStyle name="쉼표 [0] 4 2 26 3 2" xfId="9856"/>
    <cellStyle name="쉼표 [0] 4 2 26 3 2 2" xfId="22530"/>
    <cellStyle name="쉼표 [0] 4 2 26 3 2 2 2" xfId="47882"/>
    <cellStyle name="쉼표 [0] 4 2 26 3 2 3" xfId="35210"/>
    <cellStyle name="쉼표 [0] 4 2 26 3 3" xfId="16194"/>
    <cellStyle name="쉼표 [0] 4 2 26 3 3 2" xfId="41546"/>
    <cellStyle name="쉼표 [0] 4 2 26 3 4" xfId="28874"/>
    <cellStyle name="쉼표 [0] 4 2 26 4" xfId="6753"/>
    <cellStyle name="쉼표 [0] 4 2 26 4 2" xfId="19427"/>
    <cellStyle name="쉼표 [0] 4 2 26 4 2 2" xfId="44779"/>
    <cellStyle name="쉼표 [0] 4 2 26 4 3" xfId="32107"/>
    <cellStyle name="쉼표 [0] 4 2 26 5" xfId="13091"/>
    <cellStyle name="쉼표 [0] 4 2 26 5 2" xfId="38443"/>
    <cellStyle name="쉼표 [0] 4 2 26 6" xfId="25771"/>
    <cellStyle name="쉼표 [0] 4 2 27" xfId="418"/>
    <cellStyle name="쉼표 [0] 4 2 27 2" xfId="419"/>
    <cellStyle name="쉼표 [0] 4 2 27 2 2" xfId="3521"/>
    <cellStyle name="쉼표 [0] 4 2 27 2 2 2" xfId="9857"/>
    <cellStyle name="쉼표 [0] 4 2 27 2 2 2 2" xfId="22531"/>
    <cellStyle name="쉼표 [0] 4 2 27 2 2 2 2 2" xfId="47883"/>
    <cellStyle name="쉼표 [0] 4 2 27 2 2 2 3" xfId="35211"/>
    <cellStyle name="쉼표 [0] 4 2 27 2 2 3" xfId="16195"/>
    <cellStyle name="쉼표 [0] 4 2 27 2 2 3 2" xfId="41547"/>
    <cellStyle name="쉼표 [0] 4 2 27 2 2 4" xfId="28875"/>
    <cellStyle name="쉼표 [0] 4 2 27 2 3" xfId="6756"/>
    <cellStyle name="쉼표 [0] 4 2 27 2 3 2" xfId="19430"/>
    <cellStyle name="쉼표 [0] 4 2 27 2 3 2 2" xfId="44782"/>
    <cellStyle name="쉼표 [0] 4 2 27 2 3 3" xfId="32110"/>
    <cellStyle name="쉼표 [0] 4 2 27 2 4" xfId="13094"/>
    <cellStyle name="쉼표 [0] 4 2 27 2 4 2" xfId="38446"/>
    <cellStyle name="쉼표 [0] 4 2 27 2 5" xfId="25774"/>
    <cellStyle name="쉼표 [0] 4 2 27 3" xfId="3522"/>
    <cellStyle name="쉼표 [0] 4 2 27 3 2" xfId="9858"/>
    <cellStyle name="쉼표 [0] 4 2 27 3 2 2" xfId="22532"/>
    <cellStyle name="쉼표 [0] 4 2 27 3 2 2 2" xfId="47884"/>
    <cellStyle name="쉼표 [0] 4 2 27 3 2 3" xfId="35212"/>
    <cellStyle name="쉼표 [0] 4 2 27 3 3" xfId="16196"/>
    <cellStyle name="쉼표 [0] 4 2 27 3 3 2" xfId="41548"/>
    <cellStyle name="쉼표 [0] 4 2 27 3 4" xfId="28876"/>
    <cellStyle name="쉼표 [0] 4 2 27 4" xfId="6755"/>
    <cellStyle name="쉼표 [0] 4 2 27 4 2" xfId="19429"/>
    <cellStyle name="쉼표 [0] 4 2 27 4 2 2" xfId="44781"/>
    <cellStyle name="쉼표 [0] 4 2 27 4 3" xfId="32109"/>
    <cellStyle name="쉼표 [0] 4 2 27 5" xfId="13093"/>
    <cellStyle name="쉼표 [0] 4 2 27 5 2" xfId="38445"/>
    <cellStyle name="쉼표 [0] 4 2 27 6" xfId="25773"/>
    <cellStyle name="쉼표 [0] 4 2 28" xfId="420"/>
    <cellStyle name="쉼표 [0] 4 2 28 2" xfId="421"/>
    <cellStyle name="쉼표 [0] 4 2 28 2 2" xfId="3523"/>
    <cellStyle name="쉼표 [0] 4 2 28 2 2 2" xfId="9859"/>
    <cellStyle name="쉼표 [0] 4 2 28 2 2 2 2" xfId="22533"/>
    <cellStyle name="쉼표 [0] 4 2 28 2 2 2 2 2" xfId="47885"/>
    <cellStyle name="쉼표 [0] 4 2 28 2 2 2 3" xfId="35213"/>
    <cellStyle name="쉼표 [0] 4 2 28 2 2 3" xfId="16197"/>
    <cellStyle name="쉼표 [0] 4 2 28 2 2 3 2" xfId="41549"/>
    <cellStyle name="쉼표 [0] 4 2 28 2 2 4" xfId="28877"/>
    <cellStyle name="쉼표 [0] 4 2 28 2 3" xfId="6758"/>
    <cellStyle name="쉼표 [0] 4 2 28 2 3 2" xfId="19432"/>
    <cellStyle name="쉼표 [0] 4 2 28 2 3 2 2" xfId="44784"/>
    <cellStyle name="쉼표 [0] 4 2 28 2 3 3" xfId="32112"/>
    <cellStyle name="쉼표 [0] 4 2 28 2 4" xfId="13096"/>
    <cellStyle name="쉼표 [0] 4 2 28 2 4 2" xfId="38448"/>
    <cellStyle name="쉼표 [0] 4 2 28 2 5" xfId="25776"/>
    <cellStyle name="쉼표 [0] 4 2 28 3" xfId="3524"/>
    <cellStyle name="쉼표 [0] 4 2 28 3 2" xfId="9860"/>
    <cellStyle name="쉼표 [0] 4 2 28 3 2 2" xfId="22534"/>
    <cellStyle name="쉼표 [0] 4 2 28 3 2 2 2" xfId="47886"/>
    <cellStyle name="쉼표 [0] 4 2 28 3 2 3" xfId="35214"/>
    <cellStyle name="쉼표 [0] 4 2 28 3 3" xfId="16198"/>
    <cellStyle name="쉼표 [0] 4 2 28 3 3 2" xfId="41550"/>
    <cellStyle name="쉼표 [0] 4 2 28 3 4" xfId="28878"/>
    <cellStyle name="쉼표 [0] 4 2 28 4" xfId="6757"/>
    <cellStyle name="쉼표 [0] 4 2 28 4 2" xfId="19431"/>
    <cellStyle name="쉼표 [0] 4 2 28 4 2 2" xfId="44783"/>
    <cellStyle name="쉼표 [0] 4 2 28 4 3" xfId="32111"/>
    <cellStyle name="쉼표 [0] 4 2 28 5" xfId="13095"/>
    <cellStyle name="쉼표 [0] 4 2 28 5 2" xfId="38447"/>
    <cellStyle name="쉼표 [0] 4 2 28 6" xfId="25775"/>
    <cellStyle name="쉼표 [0] 4 2 29" xfId="422"/>
    <cellStyle name="쉼표 [0] 4 2 29 2" xfId="423"/>
    <cellStyle name="쉼표 [0] 4 2 29 2 2" xfId="3525"/>
    <cellStyle name="쉼표 [0] 4 2 29 2 2 2" xfId="9861"/>
    <cellStyle name="쉼표 [0] 4 2 29 2 2 2 2" xfId="22535"/>
    <cellStyle name="쉼표 [0] 4 2 29 2 2 2 2 2" xfId="47887"/>
    <cellStyle name="쉼표 [0] 4 2 29 2 2 2 3" xfId="35215"/>
    <cellStyle name="쉼표 [0] 4 2 29 2 2 3" xfId="16199"/>
    <cellStyle name="쉼표 [0] 4 2 29 2 2 3 2" xfId="41551"/>
    <cellStyle name="쉼표 [0] 4 2 29 2 2 4" xfId="28879"/>
    <cellStyle name="쉼표 [0] 4 2 29 2 3" xfId="6760"/>
    <cellStyle name="쉼표 [0] 4 2 29 2 3 2" xfId="19434"/>
    <cellStyle name="쉼표 [0] 4 2 29 2 3 2 2" xfId="44786"/>
    <cellStyle name="쉼표 [0] 4 2 29 2 3 3" xfId="32114"/>
    <cellStyle name="쉼표 [0] 4 2 29 2 4" xfId="13098"/>
    <cellStyle name="쉼표 [0] 4 2 29 2 4 2" xfId="38450"/>
    <cellStyle name="쉼표 [0] 4 2 29 2 5" xfId="25778"/>
    <cellStyle name="쉼표 [0] 4 2 29 3" xfId="3526"/>
    <cellStyle name="쉼표 [0] 4 2 29 3 2" xfId="9862"/>
    <cellStyle name="쉼표 [0] 4 2 29 3 2 2" xfId="22536"/>
    <cellStyle name="쉼표 [0] 4 2 29 3 2 2 2" xfId="47888"/>
    <cellStyle name="쉼표 [0] 4 2 29 3 2 3" xfId="35216"/>
    <cellStyle name="쉼표 [0] 4 2 29 3 3" xfId="16200"/>
    <cellStyle name="쉼표 [0] 4 2 29 3 3 2" xfId="41552"/>
    <cellStyle name="쉼표 [0] 4 2 29 3 4" xfId="28880"/>
    <cellStyle name="쉼표 [0] 4 2 29 4" xfId="6759"/>
    <cellStyle name="쉼표 [0] 4 2 29 4 2" xfId="19433"/>
    <cellStyle name="쉼표 [0] 4 2 29 4 2 2" xfId="44785"/>
    <cellStyle name="쉼표 [0] 4 2 29 4 3" xfId="32113"/>
    <cellStyle name="쉼표 [0] 4 2 29 5" xfId="13097"/>
    <cellStyle name="쉼표 [0] 4 2 29 5 2" xfId="38449"/>
    <cellStyle name="쉼표 [0] 4 2 29 6" xfId="25777"/>
    <cellStyle name="쉼표 [0] 4 2 3" xfId="26"/>
    <cellStyle name="쉼표 [0] 4 2 3 10" xfId="424"/>
    <cellStyle name="쉼표 [0] 4 2 3 10 2" xfId="425"/>
    <cellStyle name="쉼표 [0] 4 2 3 10 2 2" xfId="3527"/>
    <cellStyle name="쉼표 [0] 4 2 3 10 2 2 2" xfId="9863"/>
    <cellStyle name="쉼표 [0] 4 2 3 10 2 2 2 2" xfId="22537"/>
    <cellStyle name="쉼표 [0] 4 2 3 10 2 2 2 2 2" xfId="47889"/>
    <cellStyle name="쉼표 [0] 4 2 3 10 2 2 2 3" xfId="35217"/>
    <cellStyle name="쉼표 [0] 4 2 3 10 2 2 3" xfId="16201"/>
    <cellStyle name="쉼표 [0] 4 2 3 10 2 2 3 2" xfId="41553"/>
    <cellStyle name="쉼표 [0] 4 2 3 10 2 2 4" xfId="28881"/>
    <cellStyle name="쉼표 [0] 4 2 3 10 2 3" xfId="6762"/>
    <cellStyle name="쉼표 [0] 4 2 3 10 2 3 2" xfId="19436"/>
    <cellStyle name="쉼표 [0] 4 2 3 10 2 3 2 2" xfId="44788"/>
    <cellStyle name="쉼표 [0] 4 2 3 10 2 3 3" xfId="32116"/>
    <cellStyle name="쉼표 [0] 4 2 3 10 2 4" xfId="13100"/>
    <cellStyle name="쉼표 [0] 4 2 3 10 2 4 2" xfId="38452"/>
    <cellStyle name="쉼표 [0] 4 2 3 10 2 5" xfId="25780"/>
    <cellStyle name="쉼표 [0] 4 2 3 10 3" xfId="3528"/>
    <cellStyle name="쉼표 [0] 4 2 3 10 3 2" xfId="9864"/>
    <cellStyle name="쉼표 [0] 4 2 3 10 3 2 2" xfId="22538"/>
    <cellStyle name="쉼표 [0] 4 2 3 10 3 2 2 2" xfId="47890"/>
    <cellStyle name="쉼표 [0] 4 2 3 10 3 2 3" xfId="35218"/>
    <cellStyle name="쉼표 [0] 4 2 3 10 3 3" xfId="16202"/>
    <cellStyle name="쉼표 [0] 4 2 3 10 3 3 2" xfId="41554"/>
    <cellStyle name="쉼표 [0] 4 2 3 10 3 4" xfId="28882"/>
    <cellStyle name="쉼표 [0] 4 2 3 10 4" xfId="6761"/>
    <cellStyle name="쉼표 [0] 4 2 3 10 4 2" xfId="19435"/>
    <cellStyle name="쉼표 [0] 4 2 3 10 4 2 2" xfId="44787"/>
    <cellStyle name="쉼표 [0] 4 2 3 10 4 3" xfId="32115"/>
    <cellStyle name="쉼표 [0] 4 2 3 10 5" xfId="13099"/>
    <cellStyle name="쉼표 [0] 4 2 3 10 5 2" xfId="38451"/>
    <cellStyle name="쉼표 [0] 4 2 3 10 6" xfId="25779"/>
    <cellStyle name="쉼표 [0] 4 2 3 11" xfId="426"/>
    <cellStyle name="쉼표 [0] 4 2 3 11 2" xfId="427"/>
    <cellStyle name="쉼표 [0] 4 2 3 11 2 2" xfId="3529"/>
    <cellStyle name="쉼표 [0] 4 2 3 11 2 2 2" xfId="9865"/>
    <cellStyle name="쉼표 [0] 4 2 3 11 2 2 2 2" xfId="22539"/>
    <cellStyle name="쉼표 [0] 4 2 3 11 2 2 2 2 2" xfId="47891"/>
    <cellStyle name="쉼표 [0] 4 2 3 11 2 2 2 3" xfId="35219"/>
    <cellStyle name="쉼표 [0] 4 2 3 11 2 2 3" xfId="16203"/>
    <cellStyle name="쉼표 [0] 4 2 3 11 2 2 3 2" xfId="41555"/>
    <cellStyle name="쉼표 [0] 4 2 3 11 2 2 4" xfId="28883"/>
    <cellStyle name="쉼표 [0] 4 2 3 11 2 3" xfId="6764"/>
    <cellStyle name="쉼표 [0] 4 2 3 11 2 3 2" xfId="19438"/>
    <cellStyle name="쉼표 [0] 4 2 3 11 2 3 2 2" xfId="44790"/>
    <cellStyle name="쉼표 [0] 4 2 3 11 2 3 3" xfId="32118"/>
    <cellStyle name="쉼표 [0] 4 2 3 11 2 4" xfId="13102"/>
    <cellStyle name="쉼표 [0] 4 2 3 11 2 4 2" xfId="38454"/>
    <cellStyle name="쉼표 [0] 4 2 3 11 2 5" xfId="25782"/>
    <cellStyle name="쉼표 [0] 4 2 3 11 3" xfId="3530"/>
    <cellStyle name="쉼표 [0] 4 2 3 11 3 2" xfId="9866"/>
    <cellStyle name="쉼표 [0] 4 2 3 11 3 2 2" xfId="22540"/>
    <cellStyle name="쉼표 [0] 4 2 3 11 3 2 2 2" xfId="47892"/>
    <cellStyle name="쉼표 [0] 4 2 3 11 3 2 3" xfId="35220"/>
    <cellStyle name="쉼표 [0] 4 2 3 11 3 3" xfId="16204"/>
    <cellStyle name="쉼표 [0] 4 2 3 11 3 3 2" xfId="41556"/>
    <cellStyle name="쉼표 [0] 4 2 3 11 3 4" xfId="28884"/>
    <cellStyle name="쉼표 [0] 4 2 3 11 4" xfId="6763"/>
    <cellStyle name="쉼표 [0] 4 2 3 11 4 2" xfId="19437"/>
    <cellStyle name="쉼표 [0] 4 2 3 11 4 2 2" xfId="44789"/>
    <cellStyle name="쉼표 [0] 4 2 3 11 4 3" xfId="32117"/>
    <cellStyle name="쉼표 [0] 4 2 3 11 5" xfId="13101"/>
    <cellStyle name="쉼표 [0] 4 2 3 11 5 2" xfId="38453"/>
    <cellStyle name="쉼표 [0] 4 2 3 11 6" xfId="25781"/>
    <cellStyle name="쉼표 [0] 4 2 3 12" xfId="428"/>
    <cellStyle name="쉼표 [0] 4 2 3 12 2" xfId="429"/>
    <cellStyle name="쉼표 [0] 4 2 3 12 2 2" xfId="3531"/>
    <cellStyle name="쉼표 [0] 4 2 3 12 2 2 2" xfId="9867"/>
    <cellStyle name="쉼표 [0] 4 2 3 12 2 2 2 2" xfId="22541"/>
    <cellStyle name="쉼표 [0] 4 2 3 12 2 2 2 2 2" xfId="47893"/>
    <cellStyle name="쉼표 [0] 4 2 3 12 2 2 2 3" xfId="35221"/>
    <cellStyle name="쉼표 [0] 4 2 3 12 2 2 3" xfId="16205"/>
    <cellStyle name="쉼표 [0] 4 2 3 12 2 2 3 2" xfId="41557"/>
    <cellStyle name="쉼표 [0] 4 2 3 12 2 2 4" xfId="28885"/>
    <cellStyle name="쉼표 [0] 4 2 3 12 2 3" xfId="6766"/>
    <cellStyle name="쉼표 [0] 4 2 3 12 2 3 2" xfId="19440"/>
    <cellStyle name="쉼표 [0] 4 2 3 12 2 3 2 2" xfId="44792"/>
    <cellStyle name="쉼표 [0] 4 2 3 12 2 3 3" xfId="32120"/>
    <cellStyle name="쉼표 [0] 4 2 3 12 2 4" xfId="13104"/>
    <cellStyle name="쉼표 [0] 4 2 3 12 2 4 2" xfId="38456"/>
    <cellStyle name="쉼표 [0] 4 2 3 12 2 5" xfId="25784"/>
    <cellStyle name="쉼표 [0] 4 2 3 12 3" xfId="3532"/>
    <cellStyle name="쉼표 [0] 4 2 3 12 3 2" xfId="9868"/>
    <cellStyle name="쉼표 [0] 4 2 3 12 3 2 2" xfId="22542"/>
    <cellStyle name="쉼표 [0] 4 2 3 12 3 2 2 2" xfId="47894"/>
    <cellStyle name="쉼표 [0] 4 2 3 12 3 2 3" xfId="35222"/>
    <cellStyle name="쉼표 [0] 4 2 3 12 3 3" xfId="16206"/>
    <cellStyle name="쉼표 [0] 4 2 3 12 3 3 2" xfId="41558"/>
    <cellStyle name="쉼표 [0] 4 2 3 12 3 4" xfId="28886"/>
    <cellStyle name="쉼표 [0] 4 2 3 12 4" xfId="6765"/>
    <cellStyle name="쉼표 [0] 4 2 3 12 4 2" xfId="19439"/>
    <cellStyle name="쉼표 [0] 4 2 3 12 4 2 2" xfId="44791"/>
    <cellStyle name="쉼표 [0] 4 2 3 12 4 3" xfId="32119"/>
    <cellStyle name="쉼표 [0] 4 2 3 12 5" xfId="13103"/>
    <cellStyle name="쉼표 [0] 4 2 3 12 5 2" xfId="38455"/>
    <cellStyle name="쉼표 [0] 4 2 3 12 6" xfId="25783"/>
    <cellStyle name="쉼표 [0] 4 2 3 13" xfId="430"/>
    <cellStyle name="쉼표 [0] 4 2 3 13 2" xfId="431"/>
    <cellStyle name="쉼표 [0] 4 2 3 13 2 2" xfId="3533"/>
    <cellStyle name="쉼표 [0] 4 2 3 13 2 2 2" xfId="9869"/>
    <cellStyle name="쉼표 [0] 4 2 3 13 2 2 2 2" xfId="22543"/>
    <cellStyle name="쉼표 [0] 4 2 3 13 2 2 2 2 2" xfId="47895"/>
    <cellStyle name="쉼표 [0] 4 2 3 13 2 2 2 3" xfId="35223"/>
    <cellStyle name="쉼표 [0] 4 2 3 13 2 2 3" xfId="16207"/>
    <cellStyle name="쉼표 [0] 4 2 3 13 2 2 3 2" xfId="41559"/>
    <cellStyle name="쉼표 [0] 4 2 3 13 2 2 4" xfId="28887"/>
    <cellStyle name="쉼표 [0] 4 2 3 13 2 3" xfId="6768"/>
    <cellStyle name="쉼표 [0] 4 2 3 13 2 3 2" xfId="19442"/>
    <cellStyle name="쉼표 [0] 4 2 3 13 2 3 2 2" xfId="44794"/>
    <cellStyle name="쉼표 [0] 4 2 3 13 2 3 3" xfId="32122"/>
    <cellStyle name="쉼표 [0] 4 2 3 13 2 4" xfId="13106"/>
    <cellStyle name="쉼표 [0] 4 2 3 13 2 4 2" xfId="38458"/>
    <cellStyle name="쉼표 [0] 4 2 3 13 2 5" xfId="25786"/>
    <cellStyle name="쉼표 [0] 4 2 3 13 3" xfId="3534"/>
    <cellStyle name="쉼표 [0] 4 2 3 13 3 2" xfId="9870"/>
    <cellStyle name="쉼표 [0] 4 2 3 13 3 2 2" xfId="22544"/>
    <cellStyle name="쉼표 [0] 4 2 3 13 3 2 2 2" xfId="47896"/>
    <cellStyle name="쉼표 [0] 4 2 3 13 3 2 3" xfId="35224"/>
    <cellStyle name="쉼표 [0] 4 2 3 13 3 3" xfId="16208"/>
    <cellStyle name="쉼표 [0] 4 2 3 13 3 3 2" xfId="41560"/>
    <cellStyle name="쉼표 [0] 4 2 3 13 3 4" xfId="28888"/>
    <cellStyle name="쉼표 [0] 4 2 3 13 4" xfId="6767"/>
    <cellStyle name="쉼표 [0] 4 2 3 13 4 2" xfId="19441"/>
    <cellStyle name="쉼표 [0] 4 2 3 13 4 2 2" xfId="44793"/>
    <cellStyle name="쉼표 [0] 4 2 3 13 4 3" xfId="32121"/>
    <cellStyle name="쉼표 [0] 4 2 3 13 5" xfId="13105"/>
    <cellStyle name="쉼표 [0] 4 2 3 13 5 2" xfId="38457"/>
    <cellStyle name="쉼표 [0] 4 2 3 13 6" xfId="25785"/>
    <cellStyle name="쉼표 [0] 4 2 3 14" xfId="432"/>
    <cellStyle name="쉼표 [0] 4 2 3 14 2" xfId="433"/>
    <cellStyle name="쉼표 [0] 4 2 3 14 2 2" xfId="3535"/>
    <cellStyle name="쉼표 [0] 4 2 3 14 2 2 2" xfId="9871"/>
    <cellStyle name="쉼표 [0] 4 2 3 14 2 2 2 2" xfId="22545"/>
    <cellStyle name="쉼표 [0] 4 2 3 14 2 2 2 2 2" xfId="47897"/>
    <cellStyle name="쉼표 [0] 4 2 3 14 2 2 2 3" xfId="35225"/>
    <cellStyle name="쉼표 [0] 4 2 3 14 2 2 3" xfId="16209"/>
    <cellStyle name="쉼표 [0] 4 2 3 14 2 2 3 2" xfId="41561"/>
    <cellStyle name="쉼표 [0] 4 2 3 14 2 2 4" xfId="28889"/>
    <cellStyle name="쉼표 [0] 4 2 3 14 2 3" xfId="6770"/>
    <cellStyle name="쉼표 [0] 4 2 3 14 2 3 2" xfId="19444"/>
    <cellStyle name="쉼표 [0] 4 2 3 14 2 3 2 2" xfId="44796"/>
    <cellStyle name="쉼표 [0] 4 2 3 14 2 3 3" xfId="32124"/>
    <cellStyle name="쉼표 [0] 4 2 3 14 2 4" xfId="13108"/>
    <cellStyle name="쉼표 [0] 4 2 3 14 2 4 2" xfId="38460"/>
    <cellStyle name="쉼표 [0] 4 2 3 14 2 5" xfId="25788"/>
    <cellStyle name="쉼표 [0] 4 2 3 14 3" xfId="3536"/>
    <cellStyle name="쉼표 [0] 4 2 3 14 3 2" xfId="9872"/>
    <cellStyle name="쉼표 [0] 4 2 3 14 3 2 2" xfId="22546"/>
    <cellStyle name="쉼표 [0] 4 2 3 14 3 2 2 2" xfId="47898"/>
    <cellStyle name="쉼표 [0] 4 2 3 14 3 2 3" xfId="35226"/>
    <cellStyle name="쉼표 [0] 4 2 3 14 3 3" xfId="16210"/>
    <cellStyle name="쉼표 [0] 4 2 3 14 3 3 2" xfId="41562"/>
    <cellStyle name="쉼표 [0] 4 2 3 14 3 4" xfId="28890"/>
    <cellStyle name="쉼표 [0] 4 2 3 14 4" xfId="6769"/>
    <cellStyle name="쉼표 [0] 4 2 3 14 4 2" xfId="19443"/>
    <cellStyle name="쉼표 [0] 4 2 3 14 4 2 2" xfId="44795"/>
    <cellStyle name="쉼표 [0] 4 2 3 14 4 3" xfId="32123"/>
    <cellStyle name="쉼표 [0] 4 2 3 14 5" xfId="13107"/>
    <cellStyle name="쉼표 [0] 4 2 3 14 5 2" xfId="38459"/>
    <cellStyle name="쉼표 [0] 4 2 3 14 6" xfId="25787"/>
    <cellStyle name="쉼표 [0] 4 2 3 15" xfId="434"/>
    <cellStyle name="쉼표 [0] 4 2 3 15 2" xfId="435"/>
    <cellStyle name="쉼표 [0] 4 2 3 15 2 2" xfId="3537"/>
    <cellStyle name="쉼표 [0] 4 2 3 15 2 2 2" xfId="9873"/>
    <cellStyle name="쉼표 [0] 4 2 3 15 2 2 2 2" xfId="22547"/>
    <cellStyle name="쉼표 [0] 4 2 3 15 2 2 2 2 2" xfId="47899"/>
    <cellStyle name="쉼표 [0] 4 2 3 15 2 2 2 3" xfId="35227"/>
    <cellStyle name="쉼표 [0] 4 2 3 15 2 2 3" xfId="16211"/>
    <cellStyle name="쉼표 [0] 4 2 3 15 2 2 3 2" xfId="41563"/>
    <cellStyle name="쉼표 [0] 4 2 3 15 2 2 4" xfId="28891"/>
    <cellStyle name="쉼표 [0] 4 2 3 15 2 3" xfId="6772"/>
    <cellStyle name="쉼표 [0] 4 2 3 15 2 3 2" xfId="19446"/>
    <cellStyle name="쉼표 [0] 4 2 3 15 2 3 2 2" xfId="44798"/>
    <cellStyle name="쉼표 [0] 4 2 3 15 2 3 3" xfId="32126"/>
    <cellStyle name="쉼표 [0] 4 2 3 15 2 4" xfId="13110"/>
    <cellStyle name="쉼표 [0] 4 2 3 15 2 4 2" xfId="38462"/>
    <cellStyle name="쉼표 [0] 4 2 3 15 2 5" xfId="25790"/>
    <cellStyle name="쉼표 [0] 4 2 3 15 3" xfId="3538"/>
    <cellStyle name="쉼표 [0] 4 2 3 15 3 2" xfId="9874"/>
    <cellStyle name="쉼표 [0] 4 2 3 15 3 2 2" xfId="22548"/>
    <cellStyle name="쉼표 [0] 4 2 3 15 3 2 2 2" xfId="47900"/>
    <cellStyle name="쉼표 [0] 4 2 3 15 3 2 3" xfId="35228"/>
    <cellStyle name="쉼표 [0] 4 2 3 15 3 3" xfId="16212"/>
    <cellStyle name="쉼표 [0] 4 2 3 15 3 3 2" xfId="41564"/>
    <cellStyle name="쉼표 [0] 4 2 3 15 3 4" xfId="28892"/>
    <cellStyle name="쉼표 [0] 4 2 3 15 4" xfId="6771"/>
    <cellStyle name="쉼표 [0] 4 2 3 15 4 2" xfId="19445"/>
    <cellStyle name="쉼표 [0] 4 2 3 15 4 2 2" xfId="44797"/>
    <cellStyle name="쉼표 [0] 4 2 3 15 4 3" xfId="32125"/>
    <cellStyle name="쉼표 [0] 4 2 3 15 5" xfId="13109"/>
    <cellStyle name="쉼표 [0] 4 2 3 15 5 2" xfId="38461"/>
    <cellStyle name="쉼표 [0] 4 2 3 15 6" xfId="25789"/>
    <cellStyle name="쉼표 [0] 4 2 3 16" xfId="436"/>
    <cellStyle name="쉼표 [0] 4 2 3 16 2" xfId="437"/>
    <cellStyle name="쉼표 [0] 4 2 3 16 2 2" xfId="3539"/>
    <cellStyle name="쉼표 [0] 4 2 3 16 2 2 2" xfId="9875"/>
    <cellStyle name="쉼표 [0] 4 2 3 16 2 2 2 2" xfId="22549"/>
    <cellStyle name="쉼표 [0] 4 2 3 16 2 2 2 2 2" xfId="47901"/>
    <cellStyle name="쉼표 [0] 4 2 3 16 2 2 2 3" xfId="35229"/>
    <cellStyle name="쉼표 [0] 4 2 3 16 2 2 3" xfId="16213"/>
    <cellStyle name="쉼표 [0] 4 2 3 16 2 2 3 2" xfId="41565"/>
    <cellStyle name="쉼표 [0] 4 2 3 16 2 2 4" xfId="28893"/>
    <cellStyle name="쉼표 [0] 4 2 3 16 2 3" xfId="6774"/>
    <cellStyle name="쉼표 [0] 4 2 3 16 2 3 2" xfId="19448"/>
    <cellStyle name="쉼표 [0] 4 2 3 16 2 3 2 2" xfId="44800"/>
    <cellStyle name="쉼표 [0] 4 2 3 16 2 3 3" xfId="32128"/>
    <cellStyle name="쉼표 [0] 4 2 3 16 2 4" xfId="13112"/>
    <cellStyle name="쉼표 [0] 4 2 3 16 2 4 2" xfId="38464"/>
    <cellStyle name="쉼표 [0] 4 2 3 16 2 5" xfId="25792"/>
    <cellStyle name="쉼표 [0] 4 2 3 16 3" xfId="3540"/>
    <cellStyle name="쉼표 [0] 4 2 3 16 3 2" xfId="9876"/>
    <cellStyle name="쉼표 [0] 4 2 3 16 3 2 2" xfId="22550"/>
    <cellStyle name="쉼표 [0] 4 2 3 16 3 2 2 2" xfId="47902"/>
    <cellStyle name="쉼표 [0] 4 2 3 16 3 2 3" xfId="35230"/>
    <cellStyle name="쉼표 [0] 4 2 3 16 3 3" xfId="16214"/>
    <cellStyle name="쉼표 [0] 4 2 3 16 3 3 2" xfId="41566"/>
    <cellStyle name="쉼표 [0] 4 2 3 16 3 4" xfId="28894"/>
    <cellStyle name="쉼표 [0] 4 2 3 16 4" xfId="6773"/>
    <cellStyle name="쉼표 [0] 4 2 3 16 4 2" xfId="19447"/>
    <cellStyle name="쉼표 [0] 4 2 3 16 4 2 2" xfId="44799"/>
    <cellStyle name="쉼표 [0] 4 2 3 16 4 3" xfId="32127"/>
    <cellStyle name="쉼표 [0] 4 2 3 16 5" xfId="13111"/>
    <cellStyle name="쉼표 [0] 4 2 3 16 5 2" xfId="38463"/>
    <cellStyle name="쉼표 [0] 4 2 3 16 6" xfId="25791"/>
    <cellStyle name="쉼표 [0] 4 2 3 17" xfId="438"/>
    <cellStyle name="쉼표 [0] 4 2 3 17 2" xfId="439"/>
    <cellStyle name="쉼표 [0] 4 2 3 17 2 2" xfId="3541"/>
    <cellStyle name="쉼표 [0] 4 2 3 17 2 2 2" xfId="9877"/>
    <cellStyle name="쉼표 [0] 4 2 3 17 2 2 2 2" xfId="22551"/>
    <cellStyle name="쉼표 [0] 4 2 3 17 2 2 2 2 2" xfId="47903"/>
    <cellStyle name="쉼표 [0] 4 2 3 17 2 2 2 3" xfId="35231"/>
    <cellStyle name="쉼표 [0] 4 2 3 17 2 2 3" xfId="16215"/>
    <cellStyle name="쉼표 [0] 4 2 3 17 2 2 3 2" xfId="41567"/>
    <cellStyle name="쉼표 [0] 4 2 3 17 2 2 4" xfId="28895"/>
    <cellStyle name="쉼표 [0] 4 2 3 17 2 3" xfId="6776"/>
    <cellStyle name="쉼표 [0] 4 2 3 17 2 3 2" xfId="19450"/>
    <cellStyle name="쉼표 [0] 4 2 3 17 2 3 2 2" xfId="44802"/>
    <cellStyle name="쉼표 [0] 4 2 3 17 2 3 3" xfId="32130"/>
    <cellStyle name="쉼표 [0] 4 2 3 17 2 4" xfId="13114"/>
    <cellStyle name="쉼표 [0] 4 2 3 17 2 4 2" xfId="38466"/>
    <cellStyle name="쉼표 [0] 4 2 3 17 2 5" xfId="25794"/>
    <cellStyle name="쉼표 [0] 4 2 3 17 3" xfId="3542"/>
    <cellStyle name="쉼표 [0] 4 2 3 17 3 2" xfId="9878"/>
    <cellStyle name="쉼표 [0] 4 2 3 17 3 2 2" xfId="22552"/>
    <cellStyle name="쉼표 [0] 4 2 3 17 3 2 2 2" xfId="47904"/>
    <cellStyle name="쉼표 [0] 4 2 3 17 3 2 3" xfId="35232"/>
    <cellStyle name="쉼표 [0] 4 2 3 17 3 3" xfId="16216"/>
    <cellStyle name="쉼표 [0] 4 2 3 17 3 3 2" xfId="41568"/>
    <cellStyle name="쉼표 [0] 4 2 3 17 3 4" xfId="28896"/>
    <cellStyle name="쉼표 [0] 4 2 3 17 4" xfId="6775"/>
    <cellStyle name="쉼표 [0] 4 2 3 17 4 2" xfId="19449"/>
    <cellStyle name="쉼표 [0] 4 2 3 17 4 2 2" xfId="44801"/>
    <cellStyle name="쉼표 [0] 4 2 3 17 4 3" xfId="32129"/>
    <cellStyle name="쉼표 [0] 4 2 3 17 5" xfId="13113"/>
    <cellStyle name="쉼표 [0] 4 2 3 17 5 2" xfId="38465"/>
    <cellStyle name="쉼표 [0] 4 2 3 17 6" xfId="25793"/>
    <cellStyle name="쉼표 [0] 4 2 3 18" xfId="440"/>
    <cellStyle name="쉼표 [0] 4 2 3 18 2" xfId="441"/>
    <cellStyle name="쉼표 [0] 4 2 3 18 2 2" xfId="3543"/>
    <cellStyle name="쉼표 [0] 4 2 3 18 2 2 2" xfId="9879"/>
    <cellStyle name="쉼표 [0] 4 2 3 18 2 2 2 2" xfId="22553"/>
    <cellStyle name="쉼표 [0] 4 2 3 18 2 2 2 2 2" xfId="47905"/>
    <cellStyle name="쉼표 [0] 4 2 3 18 2 2 2 3" xfId="35233"/>
    <cellStyle name="쉼표 [0] 4 2 3 18 2 2 3" xfId="16217"/>
    <cellStyle name="쉼표 [0] 4 2 3 18 2 2 3 2" xfId="41569"/>
    <cellStyle name="쉼표 [0] 4 2 3 18 2 2 4" xfId="28897"/>
    <cellStyle name="쉼표 [0] 4 2 3 18 2 3" xfId="6778"/>
    <cellStyle name="쉼표 [0] 4 2 3 18 2 3 2" xfId="19452"/>
    <cellStyle name="쉼표 [0] 4 2 3 18 2 3 2 2" xfId="44804"/>
    <cellStyle name="쉼표 [0] 4 2 3 18 2 3 3" xfId="32132"/>
    <cellStyle name="쉼표 [0] 4 2 3 18 2 4" xfId="13116"/>
    <cellStyle name="쉼표 [0] 4 2 3 18 2 4 2" xfId="38468"/>
    <cellStyle name="쉼표 [0] 4 2 3 18 2 5" xfId="25796"/>
    <cellStyle name="쉼표 [0] 4 2 3 18 3" xfId="3544"/>
    <cellStyle name="쉼표 [0] 4 2 3 18 3 2" xfId="9880"/>
    <cellStyle name="쉼표 [0] 4 2 3 18 3 2 2" xfId="22554"/>
    <cellStyle name="쉼표 [0] 4 2 3 18 3 2 2 2" xfId="47906"/>
    <cellStyle name="쉼표 [0] 4 2 3 18 3 2 3" xfId="35234"/>
    <cellStyle name="쉼표 [0] 4 2 3 18 3 3" xfId="16218"/>
    <cellStyle name="쉼표 [0] 4 2 3 18 3 3 2" xfId="41570"/>
    <cellStyle name="쉼표 [0] 4 2 3 18 3 4" xfId="28898"/>
    <cellStyle name="쉼표 [0] 4 2 3 18 4" xfId="6777"/>
    <cellStyle name="쉼표 [0] 4 2 3 18 4 2" xfId="19451"/>
    <cellStyle name="쉼표 [0] 4 2 3 18 4 2 2" xfId="44803"/>
    <cellStyle name="쉼표 [0] 4 2 3 18 4 3" xfId="32131"/>
    <cellStyle name="쉼표 [0] 4 2 3 18 5" xfId="13115"/>
    <cellStyle name="쉼표 [0] 4 2 3 18 5 2" xfId="38467"/>
    <cellStyle name="쉼표 [0] 4 2 3 18 6" xfId="25795"/>
    <cellStyle name="쉼표 [0] 4 2 3 19" xfId="442"/>
    <cellStyle name="쉼표 [0] 4 2 3 19 2" xfId="443"/>
    <cellStyle name="쉼표 [0] 4 2 3 19 2 2" xfId="3545"/>
    <cellStyle name="쉼표 [0] 4 2 3 19 2 2 2" xfId="9881"/>
    <cellStyle name="쉼표 [0] 4 2 3 19 2 2 2 2" xfId="22555"/>
    <cellStyle name="쉼표 [0] 4 2 3 19 2 2 2 2 2" xfId="47907"/>
    <cellStyle name="쉼표 [0] 4 2 3 19 2 2 2 3" xfId="35235"/>
    <cellStyle name="쉼표 [0] 4 2 3 19 2 2 3" xfId="16219"/>
    <cellStyle name="쉼표 [0] 4 2 3 19 2 2 3 2" xfId="41571"/>
    <cellStyle name="쉼표 [0] 4 2 3 19 2 2 4" xfId="28899"/>
    <cellStyle name="쉼표 [0] 4 2 3 19 2 3" xfId="6780"/>
    <cellStyle name="쉼표 [0] 4 2 3 19 2 3 2" xfId="19454"/>
    <cellStyle name="쉼표 [0] 4 2 3 19 2 3 2 2" xfId="44806"/>
    <cellStyle name="쉼표 [0] 4 2 3 19 2 3 3" xfId="32134"/>
    <cellStyle name="쉼표 [0] 4 2 3 19 2 4" xfId="13118"/>
    <cellStyle name="쉼표 [0] 4 2 3 19 2 4 2" xfId="38470"/>
    <cellStyle name="쉼표 [0] 4 2 3 19 2 5" xfId="25798"/>
    <cellStyle name="쉼표 [0] 4 2 3 19 3" xfId="3546"/>
    <cellStyle name="쉼표 [0] 4 2 3 19 3 2" xfId="9882"/>
    <cellStyle name="쉼표 [0] 4 2 3 19 3 2 2" xfId="22556"/>
    <cellStyle name="쉼표 [0] 4 2 3 19 3 2 2 2" xfId="47908"/>
    <cellStyle name="쉼표 [0] 4 2 3 19 3 2 3" xfId="35236"/>
    <cellStyle name="쉼표 [0] 4 2 3 19 3 3" xfId="16220"/>
    <cellStyle name="쉼표 [0] 4 2 3 19 3 3 2" xfId="41572"/>
    <cellStyle name="쉼표 [0] 4 2 3 19 3 4" xfId="28900"/>
    <cellStyle name="쉼표 [0] 4 2 3 19 4" xfId="6779"/>
    <cellStyle name="쉼표 [0] 4 2 3 19 4 2" xfId="19453"/>
    <cellStyle name="쉼표 [0] 4 2 3 19 4 2 2" xfId="44805"/>
    <cellStyle name="쉼표 [0] 4 2 3 19 4 3" xfId="32133"/>
    <cellStyle name="쉼표 [0] 4 2 3 19 5" xfId="13117"/>
    <cellStyle name="쉼표 [0] 4 2 3 19 5 2" xfId="38469"/>
    <cellStyle name="쉼표 [0] 4 2 3 19 6" xfId="25797"/>
    <cellStyle name="쉼표 [0] 4 2 3 2" xfId="61"/>
    <cellStyle name="쉼표 [0] 4 2 3 2 10" xfId="444"/>
    <cellStyle name="쉼표 [0] 4 2 3 2 10 2" xfId="445"/>
    <cellStyle name="쉼표 [0] 4 2 3 2 10 2 2" xfId="3547"/>
    <cellStyle name="쉼표 [0] 4 2 3 2 10 2 2 2" xfId="9883"/>
    <cellStyle name="쉼표 [0] 4 2 3 2 10 2 2 2 2" xfId="22557"/>
    <cellStyle name="쉼표 [0] 4 2 3 2 10 2 2 2 2 2" xfId="47909"/>
    <cellStyle name="쉼표 [0] 4 2 3 2 10 2 2 2 3" xfId="35237"/>
    <cellStyle name="쉼표 [0] 4 2 3 2 10 2 2 3" xfId="16221"/>
    <cellStyle name="쉼표 [0] 4 2 3 2 10 2 2 3 2" xfId="41573"/>
    <cellStyle name="쉼표 [0] 4 2 3 2 10 2 2 4" xfId="28901"/>
    <cellStyle name="쉼표 [0] 4 2 3 2 10 2 3" xfId="6782"/>
    <cellStyle name="쉼표 [0] 4 2 3 2 10 2 3 2" xfId="19456"/>
    <cellStyle name="쉼표 [0] 4 2 3 2 10 2 3 2 2" xfId="44808"/>
    <cellStyle name="쉼표 [0] 4 2 3 2 10 2 3 3" xfId="32136"/>
    <cellStyle name="쉼표 [0] 4 2 3 2 10 2 4" xfId="13120"/>
    <cellStyle name="쉼표 [0] 4 2 3 2 10 2 4 2" xfId="38472"/>
    <cellStyle name="쉼표 [0] 4 2 3 2 10 2 5" xfId="25800"/>
    <cellStyle name="쉼표 [0] 4 2 3 2 10 3" xfId="3548"/>
    <cellStyle name="쉼표 [0] 4 2 3 2 10 3 2" xfId="9884"/>
    <cellStyle name="쉼표 [0] 4 2 3 2 10 3 2 2" xfId="22558"/>
    <cellStyle name="쉼표 [0] 4 2 3 2 10 3 2 2 2" xfId="47910"/>
    <cellStyle name="쉼표 [0] 4 2 3 2 10 3 2 3" xfId="35238"/>
    <cellStyle name="쉼표 [0] 4 2 3 2 10 3 3" xfId="16222"/>
    <cellStyle name="쉼표 [0] 4 2 3 2 10 3 3 2" xfId="41574"/>
    <cellStyle name="쉼표 [0] 4 2 3 2 10 3 4" xfId="28902"/>
    <cellStyle name="쉼표 [0] 4 2 3 2 10 4" xfId="6781"/>
    <cellStyle name="쉼표 [0] 4 2 3 2 10 4 2" xfId="19455"/>
    <cellStyle name="쉼표 [0] 4 2 3 2 10 4 2 2" xfId="44807"/>
    <cellStyle name="쉼표 [0] 4 2 3 2 10 4 3" xfId="32135"/>
    <cellStyle name="쉼표 [0] 4 2 3 2 10 5" xfId="13119"/>
    <cellStyle name="쉼표 [0] 4 2 3 2 10 5 2" xfId="38471"/>
    <cellStyle name="쉼표 [0] 4 2 3 2 10 6" xfId="25799"/>
    <cellStyle name="쉼표 [0] 4 2 3 2 11" xfId="446"/>
    <cellStyle name="쉼표 [0] 4 2 3 2 11 2" xfId="447"/>
    <cellStyle name="쉼표 [0] 4 2 3 2 11 2 2" xfId="3549"/>
    <cellStyle name="쉼표 [0] 4 2 3 2 11 2 2 2" xfId="9885"/>
    <cellStyle name="쉼표 [0] 4 2 3 2 11 2 2 2 2" xfId="22559"/>
    <cellStyle name="쉼표 [0] 4 2 3 2 11 2 2 2 2 2" xfId="47911"/>
    <cellStyle name="쉼표 [0] 4 2 3 2 11 2 2 2 3" xfId="35239"/>
    <cellStyle name="쉼표 [0] 4 2 3 2 11 2 2 3" xfId="16223"/>
    <cellStyle name="쉼표 [0] 4 2 3 2 11 2 2 3 2" xfId="41575"/>
    <cellStyle name="쉼표 [0] 4 2 3 2 11 2 2 4" xfId="28903"/>
    <cellStyle name="쉼표 [0] 4 2 3 2 11 2 3" xfId="6784"/>
    <cellStyle name="쉼표 [0] 4 2 3 2 11 2 3 2" xfId="19458"/>
    <cellStyle name="쉼표 [0] 4 2 3 2 11 2 3 2 2" xfId="44810"/>
    <cellStyle name="쉼표 [0] 4 2 3 2 11 2 3 3" xfId="32138"/>
    <cellStyle name="쉼표 [0] 4 2 3 2 11 2 4" xfId="13122"/>
    <cellStyle name="쉼표 [0] 4 2 3 2 11 2 4 2" xfId="38474"/>
    <cellStyle name="쉼표 [0] 4 2 3 2 11 2 5" xfId="25802"/>
    <cellStyle name="쉼표 [0] 4 2 3 2 11 3" xfId="3550"/>
    <cellStyle name="쉼표 [0] 4 2 3 2 11 3 2" xfId="9886"/>
    <cellStyle name="쉼표 [0] 4 2 3 2 11 3 2 2" xfId="22560"/>
    <cellStyle name="쉼표 [0] 4 2 3 2 11 3 2 2 2" xfId="47912"/>
    <cellStyle name="쉼표 [0] 4 2 3 2 11 3 2 3" xfId="35240"/>
    <cellStyle name="쉼표 [0] 4 2 3 2 11 3 3" xfId="16224"/>
    <cellStyle name="쉼표 [0] 4 2 3 2 11 3 3 2" xfId="41576"/>
    <cellStyle name="쉼표 [0] 4 2 3 2 11 3 4" xfId="28904"/>
    <cellStyle name="쉼표 [0] 4 2 3 2 11 4" xfId="6783"/>
    <cellStyle name="쉼표 [0] 4 2 3 2 11 4 2" xfId="19457"/>
    <cellStyle name="쉼표 [0] 4 2 3 2 11 4 2 2" xfId="44809"/>
    <cellStyle name="쉼표 [0] 4 2 3 2 11 4 3" xfId="32137"/>
    <cellStyle name="쉼표 [0] 4 2 3 2 11 5" xfId="13121"/>
    <cellStyle name="쉼표 [0] 4 2 3 2 11 5 2" xfId="38473"/>
    <cellStyle name="쉼표 [0] 4 2 3 2 11 6" xfId="25801"/>
    <cellStyle name="쉼표 [0] 4 2 3 2 12" xfId="448"/>
    <cellStyle name="쉼표 [0] 4 2 3 2 12 2" xfId="449"/>
    <cellStyle name="쉼표 [0] 4 2 3 2 12 2 2" xfId="3551"/>
    <cellStyle name="쉼표 [0] 4 2 3 2 12 2 2 2" xfId="9887"/>
    <cellStyle name="쉼표 [0] 4 2 3 2 12 2 2 2 2" xfId="22561"/>
    <cellStyle name="쉼표 [0] 4 2 3 2 12 2 2 2 2 2" xfId="47913"/>
    <cellStyle name="쉼표 [0] 4 2 3 2 12 2 2 2 3" xfId="35241"/>
    <cellStyle name="쉼표 [0] 4 2 3 2 12 2 2 3" xfId="16225"/>
    <cellStyle name="쉼표 [0] 4 2 3 2 12 2 2 3 2" xfId="41577"/>
    <cellStyle name="쉼표 [0] 4 2 3 2 12 2 2 4" xfId="28905"/>
    <cellStyle name="쉼표 [0] 4 2 3 2 12 2 3" xfId="6786"/>
    <cellStyle name="쉼표 [0] 4 2 3 2 12 2 3 2" xfId="19460"/>
    <cellStyle name="쉼표 [0] 4 2 3 2 12 2 3 2 2" xfId="44812"/>
    <cellStyle name="쉼표 [0] 4 2 3 2 12 2 3 3" xfId="32140"/>
    <cellStyle name="쉼표 [0] 4 2 3 2 12 2 4" xfId="13124"/>
    <cellStyle name="쉼표 [0] 4 2 3 2 12 2 4 2" xfId="38476"/>
    <cellStyle name="쉼표 [0] 4 2 3 2 12 2 5" xfId="25804"/>
    <cellStyle name="쉼표 [0] 4 2 3 2 12 3" xfId="3552"/>
    <cellStyle name="쉼표 [0] 4 2 3 2 12 3 2" xfId="9888"/>
    <cellStyle name="쉼표 [0] 4 2 3 2 12 3 2 2" xfId="22562"/>
    <cellStyle name="쉼표 [0] 4 2 3 2 12 3 2 2 2" xfId="47914"/>
    <cellStyle name="쉼표 [0] 4 2 3 2 12 3 2 3" xfId="35242"/>
    <cellStyle name="쉼표 [0] 4 2 3 2 12 3 3" xfId="16226"/>
    <cellStyle name="쉼표 [0] 4 2 3 2 12 3 3 2" xfId="41578"/>
    <cellStyle name="쉼표 [0] 4 2 3 2 12 3 4" xfId="28906"/>
    <cellStyle name="쉼표 [0] 4 2 3 2 12 4" xfId="6785"/>
    <cellStyle name="쉼표 [0] 4 2 3 2 12 4 2" xfId="19459"/>
    <cellStyle name="쉼표 [0] 4 2 3 2 12 4 2 2" xfId="44811"/>
    <cellStyle name="쉼표 [0] 4 2 3 2 12 4 3" xfId="32139"/>
    <cellStyle name="쉼표 [0] 4 2 3 2 12 5" xfId="13123"/>
    <cellStyle name="쉼표 [0] 4 2 3 2 12 5 2" xfId="38475"/>
    <cellStyle name="쉼표 [0] 4 2 3 2 12 6" xfId="25803"/>
    <cellStyle name="쉼표 [0] 4 2 3 2 13" xfId="450"/>
    <cellStyle name="쉼표 [0] 4 2 3 2 13 2" xfId="451"/>
    <cellStyle name="쉼표 [0] 4 2 3 2 13 2 2" xfId="3553"/>
    <cellStyle name="쉼표 [0] 4 2 3 2 13 2 2 2" xfId="9889"/>
    <cellStyle name="쉼표 [0] 4 2 3 2 13 2 2 2 2" xfId="22563"/>
    <cellStyle name="쉼표 [0] 4 2 3 2 13 2 2 2 2 2" xfId="47915"/>
    <cellStyle name="쉼표 [0] 4 2 3 2 13 2 2 2 3" xfId="35243"/>
    <cellStyle name="쉼표 [0] 4 2 3 2 13 2 2 3" xfId="16227"/>
    <cellStyle name="쉼표 [0] 4 2 3 2 13 2 2 3 2" xfId="41579"/>
    <cellStyle name="쉼표 [0] 4 2 3 2 13 2 2 4" xfId="28907"/>
    <cellStyle name="쉼표 [0] 4 2 3 2 13 2 3" xfId="6788"/>
    <cellStyle name="쉼표 [0] 4 2 3 2 13 2 3 2" xfId="19462"/>
    <cellStyle name="쉼표 [0] 4 2 3 2 13 2 3 2 2" xfId="44814"/>
    <cellStyle name="쉼표 [0] 4 2 3 2 13 2 3 3" xfId="32142"/>
    <cellStyle name="쉼표 [0] 4 2 3 2 13 2 4" xfId="13126"/>
    <cellStyle name="쉼표 [0] 4 2 3 2 13 2 4 2" xfId="38478"/>
    <cellStyle name="쉼표 [0] 4 2 3 2 13 2 5" xfId="25806"/>
    <cellStyle name="쉼표 [0] 4 2 3 2 13 3" xfId="3554"/>
    <cellStyle name="쉼표 [0] 4 2 3 2 13 3 2" xfId="9890"/>
    <cellStyle name="쉼표 [0] 4 2 3 2 13 3 2 2" xfId="22564"/>
    <cellStyle name="쉼표 [0] 4 2 3 2 13 3 2 2 2" xfId="47916"/>
    <cellStyle name="쉼표 [0] 4 2 3 2 13 3 2 3" xfId="35244"/>
    <cellStyle name="쉼표 [0] 4 2 3 2 13 3 3" xfId="16228"/>
    <cellStyle name="쉼표 [0] 4 2 3 2 13 3 3 2" xfId="41580"/>
    <cellStyle name="쉼표 [0] 4 2 3 2 13 3 4" xfId="28908"/>
    <cellStyle name="쉼표 [0] 4 2 3 2 13 4" xfId="6787"/>
    <cellStyle name="쉼표 [0] 4 2 3 2 13 4 2" xfId="19461"/>
    <cellStyle name="쉼표 [0] 4 2 3 2 13 4 2 2" xfId="44813"/>
    <cellStyle name="쉼표 [0] 4 2 3 2 13 4 3" xfId="32141"/>
    <cellStyle name="쉼표 [0] 4 2 3 2 13 5" xfId="13125"/>
    <cellStyle name="쉼표 [0] 4 2 3 2 13 5 2" xfId="38477"/>
    <cellStyle name="쉼표 [0] 4 2 3 2 13 6" xfId="25805"/>
    <cellStyle name="쉼표 [0] 4 2 3 2 14" xfId="452"/>
    <cellStyle name="쉼표 [0] 4 2 3 2 14 2" xfId="453"/>
    <cellStyle name="쉼표 [0] 4 2 3 2 14 2 2" xfId="3555"/>
    <cellStyle name="쉼표 [0] 4 2 3 2 14 2 2 2" xfId="9891"/>
    <cellStyle name="쉼표 [0] 4 2 3 2 14 2 2 2 2" xfId="22565"/>
    <cellStyle name="쉼표 [0] 4 2 3 2 14 2 2 2 2 2" xfId="47917"/>
    <cellStyle name="쉼표 [0] 4 2 3 2 14 2 2 2 3" xfId="35245"/>
    <cellStyle name="쉼표 [0] 4 2 3 2 14 2 2 3" xfId="16229"/>
    <cellStyle name="쉼표 [0] 4 2 3 2 14 2 2 3 2" xfId="41581"/>
    <cellStyle name="쉼표 [0] 4 2 3 2 14 2 2 4" xfId="28909"/>
    <cellStyle name="쉼표 [0] 4 2 3 2 14 2 3" xfId="6790"/>
    <cellStyle name="쉼표 [0] 4 2 3 2 14 2 3 2" xfId="19464"/>
    <cellStyle name="쉼표 [0] 4 2 3 2 14 2 3 2 2" xfId="44816"/>
    <cellStyle name="쉼표 [0] 4 2 3 2 14 2 3 3" xfId="32144"/>
    <cellStyle name="쉼표 [0] 4 2 3 2 14 2 4" xfId="13128"/>
    <cellStyle name="쉼표 [0] 4 2 3 2 14 2 4 2" xfId="38480"/>
    <cellStyle name="쉼표 [0] 4 2 3 2 14 2 5" xfId="25808"/>
    <cellStyle name="쉼표 [0] 4 2 3 2 14 3" xfId="3556"/>
    <cellStyle name="쉼표 [0] 4 2 3 2 14 3 2" xfId="9892"/>
    <cellStyle name="쉼표 [0] 4 2 3 2 14 3 2 2" xfId="22566"/>
    <cellStyle name="쉼표 [0] 4 2 3 2 14 3 2 2 2" xfId="47918"/>
    <cellStyle name="쉼표 [0] 4 2 3 2 14 3 2 3" xfId="35246"/>
    <cellStyle name="쉼표 [0] 4 2 3 2 14 3 3" xfId="16230"/>
    <cellStyle name="쉼표 [0] 4 2 3 2 14 3 3 2" xfId="41582"/>
    <cellStyle name="쉼표 [0] 4 2 3 2 14 3 4" xfId="28910"/>
    <cellStyle name="쉼표 [0] 4 2 3 2 14 4" xfId="6789"/>
    <cellStyle name="쉼표 [0] 4 2 3 2 14 4 2" xfId="19463"/>
    <cellStyle name="쉼표 [0] 4 2 3 2 14 4 2 2" xfId="44815"/>
    <cellStyle name="쉼표 [0] 4 2 3 2 14 4 3" xfId="32143"/>
    <cellStyle name="쉼표 [0] 4 2 3 2 14 5" xfId="13127"/>
    <cellStyle name="쉼표 [0] 4 2 3 2 14 5 2" xfId="38479"/>
    <cellStyle name="쉼표 [0] 4 2 3 2 14 6" xfId="25807"/>
    <cellStyle name="쉼표 [0] 4 2 3 2 15" xfId="454"/>
    <cellStyle name="쉼표 [0] 4 2 3 2 15 2" xfId="455"/>
    <cellStyle name="쉼표 [0] 4 2 3 2 15 2 2" xfId="3557"/>
    <cellStyle name="쉼표 [0] 4 2 3 2 15 2 2 2" xfId="9893"/>
    <cellStyle name="쉼표 [0] 4 2 3 2 15 2 2 2 2" xfId="22567"/>
    <cellStyle name="쉼표 [0] 4 2 3 2 15 2 2 2 2 2" xfId="47919"/>
    <cellStyle name="쉼표 [0] 4 2 3 2 15 2 2 2 3" xfId="35247"/>
    <cellStyle name="쉼표 [0] 4 2 3 2 15 2 2 3" xfId="16231"/>
    <cellStyle name="쉼표 [0] 4 2 3 2 15 2 2 3 2" xfId="41583"/>
    <cellStyle name="쉼표 [0] 4 2 3 2 15 2 2 4" xfId="28911"/>
    <cellStyle name="쉼표 [0] 4 2 3 2 15 2 3" xfId="6792"/>
    <cellStyle name="쉼표 [0] 4 2 3 2 15 2 3 2" xfId="19466"/>
    <cellStyle name="쉼표 [0] 4 2 3 2 15 2 3 2 2" xfId="44818"/>
    <cellStyle name="쉼표 [0] 4 2 3 2 15 2 3 3" xfId="32146"/>
    <cellStyle name="쉼표 [0] 4 2 3 2 15 2 4" xfId="13130"/>
    <cellStyle name="쉼표 [0] 4 2 3 2 15 2 4 2" xfId="38482"/>
    <cellStyle name="쉼표 [0] 4 2 3 2 15 2 5" xfId="25810"/>
    <cellStyle name="쉼표 [0] 4 2 3 2 15 3" xfId="3558"/>
    <cellStyle name="쉼표 [0] 4 2 3 2 15 3 2" xfId="9894"/>
    <cellStyle name="쉼표 [0] 4 2 3 2 15 3 2 2" xfId="22568"/>
    <cellStyle name="쉼표 [0] 4 2 3 2 15 3 2 2 2" xfId="47920"/>
    <cellStyle name="쉼표 [0] 4 2 3 2 15 3 2 3" xfId="35248"/>
    <cellStyle name="쉼표 [0] 4 2 3 2 15 3 3" xfId="16232"/>
    <cellStyle name="쉼표 [0] 4 2 3 2 15 3 3 2" xfId="41584"/>
    <cellStyle name="쉼표 [0] 4 2 3 2 15 3 4" xfId="28912"/>
    <cellStyle name="쉼표 [0] 4 2 3 2 15 4" xfId="6791"/>
    <cellStyle name="쉼표 [0] 4 2 3 2 15 4 2" xfId="19465"/>
    <cellStyle name="쉼표 [0] 4 2 3 2 15 4 2 2" xfId="44817"/>
    <cellStyle name="쉼표 [0] 4 2 3 2 15 4 3" xfId="32145"/>
    <cellStyle name="쉼표 [0] 4 2 3 2 15 5" xfId="13129"/>
    <cellStyle name="쉼표 [0] 4 2 3 2 15 5 2" xfId="38481"/>
    <cellStyle name="쉼표 [0] 4 2 3 2 15 6" xfId="25809"/>
    <cellStyle name="쉼표 [0] 4 2 3 2 16" xfId="456"/>
    <cellStyle name="쉼표 [0] 4 2 3 2 16 2" xfId="457"/>
    <cellStyle name="쉼표 [0] 4 2 3 2 16 2 2" xfId="3559"/>
    <cellStyle name="쉼표 [0] 4 2 3 2 16 2 2 2" xfId="9895"/>
    <cellStyle name="쉼표 [0] 4 2 3 2 16 2 2 2 2" xfId="22569"/>
    <cellStyle name="쉼표 [0] 4 2 3 2 16 2 2 2 2 2" xfId="47921"/>
    <cellStyle name="쉼표 [0] 4 2 3 2 16 2 2 2 3" xfId="35249"/>
    <cellStyle name="쉼표 [0] 4 2 3 2 16 2 2 3" xfId="16233"/>
    <cellStyle name="쉼표 [0] 4 2 3 2 16 2 2 3 2" xfId="41585"/>
    <cellStyle name="쉼표 [0] 4 2 3 2 16 2 2 4" xfId="28913"/>
    <cellStyle name="쉼표 [0] 4 2 3 2 16 2 3" xfId="6794"/>
    <cellStyle name="쉼표 [0] 4 2 3 2 16 2 3 2" xfId="19468"/>
    <cellStyle name="쉼표 [0] 4 2 3 2 16 2 3 2 2" xfId="44820"/>
    <cellStyle name="쉼표 [0] 4 2 3 2 16 2 3 3" xfId="32148"/>
    <cellStyle name="쉼표 [0] 4 2 3 2 16 2 4" xfId="13132"/>
    <cellStyle name="쉼표 [0] 4 2 3 2 16 2 4 2" xfId="38484"/>
    <cellStyle name="쉼표 [0] 4 2 3 2 16 2 5" xfId="25812"/>
    <cellStyle name="쉼표 [0] 4 2 3 2 16 3" xfId="3560"/>
    <cellStyle name="쉼표 [0] 4 2 3 2 16 3 2" xfId="9896"/>
    <cellStyle name="쉼표 [0] 4 2 3 2 16 3 2 2" xfId="22570"/>
    <cellStyle name="쉼표 [0] 4 2 3 2 16 3 2 2 2" xfId="47922"/>
    <cellStyle name="쉼표 [0] 4 2 3 2 16 3 2 3" xfId="35250"/>
    <cellStyle name="쉼표 [0] 4 2 3 2 16 3 3" xfId="16234"/>
    <cellStyle name="쉼표 [0] 4 2 3 2 16 3 3 2" xfId="41586"/>
    <cellStyle name="쉼표 [0] 4 2 3 2 16 3 4" xfId="28914"/>
    <cellStyle name="쉼표 [0] 4 2 3 2 16 4" xfId="6793"/>
    <cellStyle name="쉼표 [0] 4 2 3 2 16 4 2" xfId="19467"/>
    <cellStyle name="쉼표 [0] 4 2 3 2 16 4 2 2" xfId="44819"/>
    <cellStyle name="쉼표 [0] 4 2 3 2 16 4 3" xfId="32147"/>
    <cellStyle name="쉼표 [0] 4 2 3 2 16 5" xfId="13131"/>
    <cellStyle name="쉼표 [0] 4 2 3 2 16 5 2" xfId="38483"/>
    <cellStyle name="쉼표 [0] 4 2 3 2 16 6" xfId="25811"/>
    <cellStyle name="쉼표 [0] 4 2 3 2 17" xfId="458"/>
    <cellStyle name="쉼표 [0] 4 2 3 2 17 2" xfId="459"/>
    <cellStyle name="쉼표 [0] 4 2 3 2 17 2 2" xfId="3561"/>
    <cellStyle name="쉼표 [0] 4 2 3 2 17 2 2 2" xfId="9897"/>
    <cellStyle name="쉼표 [0] 4 2 3 2 17 2 2 2 2" xfId="22571"/>
    <cellStyle name="쉼표 [0] 4 2 3 2 17 2 2 2 2 2" xfId="47923"/>
    <cellStyle name="쉼표 [0] 4 2 3 2 17 2 2 2 3" xfId="35251"/>
    <cellStyle name="쉼표 [0] 4 2 3 2 17 2 2 3" xfId="16235"/>
    <cellStyle name="쉼표 [0] 4 2 3 2 17 2 2 3 2" xfId="41587"/>
    <cellStyle name="쉼표 [0] 4 2 3 2 17 2 2 4" xfId="28915"/>
    <cellStyle name="쉼표 [0] 4 2 3 2 17 2 3" xfId="6796"/>
    <cellStyle name="쉼표 [0] 4 2 3 2 17 2 3 2" xfId="19470"/>
    <cellStyle name="쉼표 [0] 4 2 3 2 17 2 3 2 2" xfId="44822"/>
    <cellStyle name="쉼표 [0] 4 2 3 2 17 2 3 3" xfId="32150"/>
    <cellStyle name="쉼표 [0] 4 2 3 2 17 2 4" xfId="13134"/>
    <cellStyle name="쉼표 [0] 4 2 3 2 17 2 4 2" xfId="38486"/>
    <cellStyle name="쉼표 [0] 4 2 3 2 17 2 5" xfId="25814"/>
    <cellStyle name="쉼표 [0] 4 2 3 2 17 3" xfId="3562"/>
    <cellStyle name="쉼표 [0] 4 2 3 2 17 3 2" xfId="9898"/>
    <cellStyle name="쉼표 [0] 4 2 3 2 17 3 2 2" xfId="22572"/>
    <cellStyle name="쉼표 [0] 4 2 3 2 17 3 2 2 2" xfId="47924"/>
    <cellStyle name="쉼표 [0] 4 2 3 2 17 3 2 3" xfId="35252"/>
    <cellStyle name="쉼표 [0] 4 2 3 2 17 3 3" xfId="16236"/>
    <cellStyle name="쉼표 [0] 4 2 3 2 17 3 3 2" xfId="41588"/>
    <cellStyle name="쉼표 [0] 4 2 3 2 17 3 4" xfId="28916"/>
    <cellStyle name="쉼표 [0] 4 2 3 2 17 4" xfId="6795"/>
    <cellStyle name="쉼표 [0] 4 2 3 2 17 4 2" xfId="19469"/>
    <cellStyle name="쉼표 [0] 4 2 3 2 17 4 2 2" xfId="44821"/>
    <cellStyle name="쉼표 [0] 4 2 3 2 17 4 3" xfId="32149"/>
    <cellStyle name="쉼표 [0] 4 2 3 2 17 5" xfId="13133"/>
    <cellStyle name="쉼표 [0] 4 2 3 2 17 5 2" xfId="38485"/>
    <cellStyle name="쉼표 [0] 4 2 3 2 17 6" xfId="25813"/>
    <cellStyle name="쉼표 [0] 4 2 3 2 18" xfId="460"/>
    <cellStyle name="쉼표 [0] 4 2 3 2 18 2" xfId="461"/>
    <cellStyle name="쉼표 [0] 4 2 3 2 18 2 2" xfId="3563"/>
    <cellStyle name="쉼표 [0] 4 2 3 2 18 2 2 2" xfId="9899"/>
    <cellStyle name="쉼표 [0] 4 2 3 2 18 2 2 2 2" xfId="22573"/>
    <cellStyle name="쉼표 [0] 4 2 3 2 18 2 2 2 2 2" xfId="47925"/>
    <cellStyle name="쉼표 [0] 4 2 3 2 18 2 2 2 3" xfId="35253"/>
    <cellStyle name="쉼표 [0] 4 2 3 2 18 2 2 3" xfId="16237"/>
    <cellStyle name="쉼표 [0] 4 2 3 2 18 2 2 3 2" xfId="41589"/>
    <cellStyle name="쉼표 [0] 4 2 3 2 18 2 2 4" xfId="28917"/>
    <cellStyle name="쉼표 [0] 4 2 3 2 18 2 3" xfId="6798"/>
    <cellStyle name="쉼표 [0] 4 2 3 2 18 2 3 2" xfId="19472"/>
    <cellStyle name="쉼표 [0] 4 2 3 2 18 2 3 2 2" xfId="44824"/>
    <cellStyle name="쉼표 [0] 4 2 3 2 18 2 3 3" xfId="32152"/>
    <cellStyle name="쉼표 [0] 4 2 3 2 18 2 4" xfId="13136"/>
    <cellStyle name="쉼표 [0] 4 2 3 2 18 2 4 2" xfId="38488"/>
    <cellStyle name="쉼표 [0] 4 2 3 2 18 2 5" xfId="25816"/>
    <cellStyle name="쉼표 [0] 4 2 3 2 18 3" xfId="3564"/>
    <cellStyle name="쉼표 [0] 4 2 3 2 18 3 2" xfId="9900"/>
    <cellStyle name="쉼표 [0] 4 2 3 2 18 3 2 2" xfId="22574"/>
    <cellStyle name="쉼표 [0] 4 2 3 2 18 3 2 2 2" xfId="47926"/>
    <cellStyle name="쉼표 [0] 4 2 3 2 18 3 2 3" xfId="35254"/>
    <cellStyle name="쉼표 [0] 4 2 3 2 18 3 3" xfId="16238"/>
    <cellStyle name="쉼표 [0] 4 2 3 2 18 3 3 2" xfId="41590"/>
    <cellStyle name="쉼표 [0] 4 2 3 2 18 3 4" xfId="28918"/>
    <cellStyle name="쉼표 [0] 4 2 3 2 18 4" xfId="6797"/>
    <cellStyle name="쉼표 [0] 4 2 3 2 18 4 2" xfId="19471"/>
    <cellStyle name="쉼표 [0] 4 2 3 2 18 4 2 2" xfId="44823"/>
    <cellStyle name="쉼표 [0] 4 2 3 2 18 4 3" xfId="32151"/>
    <cellStyle name="쉼표 [0] 4 2 3 2 18 5" xfId="13135"/>
    <cellStyle name="쉼표 [0] 4 2 3 2 18 5 2" xfId="38487"/>
    <cellStyle name="쉼표 [0] 4 2 3 2 18 6" xfId="25815"/>
    <cellStyle name="쉼표 [0] 4 2 3 2 19" xfId="462"/>
    <cellStyle name="쉼표 [0] 4 2 3 2 19 2" xfId="463"/>
    <cellStyle name="쉼표 [0] 4 2 3 2 19 2 2" xfId="3565"/>
    <cellStyle name="쉼표 [0] 4 2 3 2 19 2 2 2" xfId="9901"/>
    <cellStyle name="쉼표 [0] 4 2 3 2 19 2 2 2 2" xfId="22575"/>
    <cellStyle name="쉼표 [0] 4 2 3 2 19 2 2 2 2 2" xfId="47927"/>
    <cellStyle name="쉼표 [0] 4 2 3 2 19 2 2 2 3" xfId="35255"/>
    <cellStyle name="쉼표 [0] 4 2 3 2 19 2 2 3" xfId="16239"/>
    <cellStyle name="쉼표 [0] 4 2 3 2 19 2 2 3 2" xfId="41591"/>
    <cellStyle name="쉼표 [0] 4 2 3 2 19 2 2 4" xfId="28919"/>
    <cellStyle name="쉼표 [0] 4 2 3 2 19 2 3" xfId="6800"/>
    <cellStyle name="쉼표 [0] 4 2 3 2 19 2 3 2" xfId="19474"/>
    <cellStyle name="쉼표 [0] 4 2 3 2 19 2 3 2 2" xfId="44826"/>
    <cellStyle name="쉼표 [0] 4 2 3 2 19 2 3 3" xfId="32154"/>
    <cellStyle name="쉼표 [0] 4 2 3 2 19 2 4" xfId="13138"/>
    <cellStyle name="쉼표 [0] 4 2 3 2 19 2 4 2" xfId="38490"/>
    <cellStyle name="쉼표 [0] 4 2 3 2 19 2 5" xfId="25818"/>
    <cellStyle name="쉼표 [0] 4 2 3 2 19 3" xfId="3566"/>
    <cellStyle name="쉼표 [0] 4 2 3 2 19 3 2" xfId="9902"/>
    <cellStyle name="쉼표 [0] 4 2 3 2 19 3 2 2" xfId="22576"/>
    <cellStyle name="쉼표 [0] 4 2 3 2 19 3 2 2 2" xfId="47928"/>
    <cellStyle name="쉼표 [0] 4 2 3 2 19 3 2 3" xfId="35256"/>
    <cellStyle name="쉼표 [0] 4 2 3 2 19 3 3" xfId="16240"/>
    <cellStyle name="쉼표 [0] 4 2 3 2 19 3 3 2" xfId="41592"/>
    <cellStyle name="쉼표 [0] 4 2 3 2 19 3 4" xfId="28920"/>
    <cellStyle name="쉼표 [0] 4 2 3 2 19 4" xfId="6799"/>
    <cellStyle name="쉼표 [0] 4 2 3 2 19 4 2" xfId="19473"/>
    <cellStyle name="쉼표 [0] 4 2 3 2 19 4 2 2" xfId="44825"/>
    <cellStyle name="쉼표 [0] 4 2 3 2 19 4 3" xfId="32153"/>
    <cellStyle name="쉼표 [0] 4 2 3 2 19 5" xfId="13137"/>
    <cellStyle name="쉼표 [0] 4 2 3 2 19 5 2" xfId="38489"/>
    <cellStyle name="쉼표 [0] 4 2 3 2 19 6" xfId="25817"/>
    <cellStyle name="쉼표 [0] 4 2 3 2 2" xfId="464"/>
    <cellStyle name="쉼표 [0] 4 2 3 2 2 2" xfId="465"/>
    <cellStyle name="쉼표 [0] 4 2 3 2 2 2 2" xfId="3567"/>
    <cellStyle name="쉼표 [0] 4 2 3 2 2 2 2 2" xfId="9903"/>
    <cellStyle name="쉼표 [0] 4 2 3 2 2 2 2 2 2" xfId="22577"/>
    <cellStyle name="쉼표 [0] 4 2 3 2 2 2 2 2 2 2" xfId="47929"/>
    <cellStyle name="쉼표 [0] 4 2 3 2 2 2 2 2 3" xfId="35257"/>
    <cellStyle name="쉼표 [0] 4 2 3 2 2 2 2 3" xfId="16241"/>
    <cellStyle name="쉼표 [0] 4 2 3 2 2 2 2 3 2" xfId="41593"/>
    <cellStyle name="쉼표 [0] 4 2 3 2 2 2 2 4" xfId="28921"/>
    <cellStyle name="쉼표 [0] 4 2 3 2 2 2 3" xfId="6802"/>
    <cellStyle name="쉼표 [0] 4 2 3 2 2 2 3 2" xfId="19476"/>
    <cellStyle name="쉼표 [0] 4 2 3 2 2 2 3 2 2" xfId="44828"/>
    <cellStyle name="쉼표 [0] 4 2 3 2 2 2 3 3" xfId="32156"/>
    <cellStyle name="쉼표 [0] 4 2 3 2 2 2 4" xfId="13140"/>
    <cellStyle name="쉼표 [0] 4 2 3 2 2 2 4 2" xfId="38492"/>
    <cellStyle name="쉼표 [0] 4 2 3 2 2 2 5" xfId="25820"/>
    <cellStyle name="쉼표 [0] 4 2 3 2 2 3" xfId="3568"/>
    <cellStyle name="쉼표 [0] 4 2 3 2 2 3 2" xfId="9904"/>
    <cellStyle name="쉼표 [0] 4 2 3 2 2 3 2 2" xfId="22578"/>
    <cellStyle name="쉼표 [0] 4 2 3 2 2 3 2 2 2" xfId="47930"/>
    <cellStyle name="쉼표 [0] 4 2 3 2 2 3 2 3" xfId="35258"/>
    <cellStyle name="쉼표 [0] 4 2 3 2 2 3 3" xfId="16242"/>
    <cellStyle name="쉼표 [0] 4 2 3 2 2 3 3 2" xfId="41594"/>
    <cellStyle name="쉼표 [0] 4 2 3 2 2 3 4" xfId="28922"/>
    <cellStyle name="쉼표 [0] 4 2 3 2 2 4" xfId="6801"/>
    <cellStyle name="쉼표 [0] 4 2 3 2 2 4 2" xfId="19475"/>
    <cellStyle name="쉼표 [0] 4 2 3 2 2 4 2 2" xfId="44827"/>
    <cellStyle name="쉼표 [0] 4 2 3 2 2 4 3" xfId="32155"/>
    <cellStyle name="쉼표 [0] 4 2 3 2 2 5" xfId="13139"/>
    <cellStyle name="쉼표 [0] 4 2 3 2 2 5 2" xfId="38491"/>
    <cellStyle name="쉼표 [0] 4 2 3 2 2 6" xfId="25819"/>
    <cellStyle name="쉼표 [0] 4 2 3 2 20" xfId="466"/>
    <cellStyle name="쉼표 [0] 4 2 3 2 20 2" xfId="467"/>
    <cellStyle name="쉼표 [0] 4 2 3 2 20 2 2" xfId="3569"/>
    <cellStyle name="쉼표 [0] 4 2 3 2 20 2 2 2" xfId="9905"/>
    <cellStyle name="쉼표 [0] 4 2 3 2 20 2 2 2 2" xfId="22579"/>
    <cellStyle name="쉼표 [0] 4 2 3 2 20 2 2 2 2 2" xfId="47931"/>
    <cellStyle name="쉼표 [0] 4 2 3 2 20 2 2 2 3" xfId="35259"/>
    <cellStyle name="쉼표 [0] 4 2 3 2 20 2 2 3" xfId="16243"/>
    <cellStyle name="쉼표 [0] 4 2 3 2 20 2 2 3 2" xfId="41595"/>
    <cellStyle name="쉼표 [0] 4 2 3 2 20 2 2 4" xfId="28923"/>
    <cellStyle name="쉼표 [0] 4 2 3 2 20 2 3" xfId="6804"/>
    <cellStyle name="쉼표 [0] 4 2 3 2 20 2 3 2" xfId="19478"/>
    <cellStyle name="쉼표 [0] 4 2 3 2 20 2 3 2 2" xfId="44830"/>
    <cellStyle name="쉼표 [0] 4 2 3 2 20 2 3 3" xfId="32158"/>
    <cellStyle name="쉼표 [0] 4 2 3 2 20 2 4" xfId="13142"/>
    <cellStyle name="쉼표 [0] 4 2 3 2 20 2 4 2" xfId="38494"/>
    <cellStyle name="쉼표 [0] 4 2 3 2 20 2 5" xfId="25822"/>
    <cellStyle name="쉼표 [0] 4 2 3 2 20 3" xfId="3570"/>
    <cellStyle name="쉼표 [0] 4 2 3 2 20 3 2" xfId="9906"/>
    <cellStyle name="쉼표 [0] 4 2 3 2 20 3 2 2" xfId="22580"/>
    <cellStyle name="쉼표 [0] 4 2 3 2 20 3 2 2 2" xfId="47932"/>
    <cellStyle name="쉼표 [0] 4 2 3 2 20 3 2 3" xfId="35260"/>
    <cellStyle name="쉼표 [0] 4 2 3 2 20 3 3" xfId="16244"/>
    <cellStyle name="쉼표 [0] 4 2 3 2 20 3 3 2" xfId="41596"/>
    <cellStyle name="쉼표 [0] 4 2 3 2 20 3 4" xfId="28924"/>
    <cellStyle name="쉼표 [0] 4 2 3 2 20 4" xfId="6803"/>
    <cellStyle name="쉼표 [0] 4 2 3 2 20 4 2" xfId="19477"/>
    <cellStyle name="쉼표 [0] 4 2 3 2 20 4 2 2" xfId="44829"/>
    <cellStyle name="쉼표 [0] 4 2 3 2 20 4 3" xfId="32157"/>
    <cellStyle name="쉼표 [0] 4 2 3 2 20 5" xfId="13141"/>
    <cellStyle name="쉼표 [0] 4 2 3 2 20 5 2" xfId="38493"/>
    <cellStyle name="쉼표 [0] 4 2 3 2 20 6" xfId="25821"/>
    <cellStyle name="쉼표 [0] 4 2 3 2 21" xfId="468"/>
    <cellStyle name="쉼표 [0] 4 2 3 2 21 2" xfId="469"/>
    <cellStyle name="쉼표 [0] 4 2 3 2 21 2 2" xfId="3571"/>
    <cellStyle name="쉼표 [0] 4 2 3 2 21 2 2 2" xfId="9907"/>
    <cellStyle name="쉼표 [0] 4 2 3 2 21 2 2 2 2" xfId="22581"/>
    <cellStyle name="쉼표 [0] 4 2 3 2 21 2 2 2 2 2" xfId="47933"/>
    <cellStyle name="쉼표 [0] 4 2 3 2 21 2 2 2 3" xfId="35261"/>
    <cellStyle name="쉼표 [0] 4 2 3 2 21 2 2 3" xfId="16245"/>
    <cellStyle name="쉼표 [0] 4 2 3 2 21 2 2 3 2" xfId="41597"/>
    <cellStyle name="쉼표 [0] 4 2 3 2 21 2 2 4" xfId="28925"/>
    <cellStyle name="쉼표 [0] 4 2 3 2 21 2 3" xfId="6806"/>
    <cellStyle name="쉼표 [0] 4 2 3 2 21 2 3 2" xfId="19480"/>
    <cellStyle name="쉼표 [0] 4 2 3 2 21 2 3 2 2" xfId="44832"/>
    <cellStyle name="쉼표 [0] 4 2 3 2 21 2 3 3" xfId="32160"/>
    <cellStyle name="쉼표 [0] 4 2 3 2 21 2 4" xfId="13144"/>
    <cellStyle name="쉼표 [0] 4 2 3 2 21 2 4 2" xfId="38496"/>
    <cellStyle name="쉼표 [0] 4 2 3 2 21 2 5" xfId="25824"/>
    <cellStyle name="쉼표 [0] 4 2 3 2 21 3" xfId="3572"/>
    <cellStyle name="쉼표 [0] 4 2 3 2 21 3 2" xfId="9908"/>
    <cellStyle name="쉼표 [0] 4 2 3 2 21 3 2 2" xfId="22582"/>
    <cellStyle name="쉼표 [0] 4 2 3 2 21 3 2 2 2" xfId="47934"/>
    <cellStyle name="쉼표 [0] 4 2 3 2 21 3 2 3" xfId="35262"/>
    <cellStyle name="쉼표 [0] 4 2 3 2 21 3 3" xfId="16246"/>
    <cellStyle name="쉼표 [0] 4 2 3 2 21 3 3 2" xfId="41598"/>
    <cellStyle name="쉼표 [0] 4 2 3 2 21 3 4" xfId="28926"/>
    <cellStyle name="쉼표 [0] 4 2 3 2 21 4" xfId="6805"/>
    <cellStyle name="쉼표 [0] 4 2 3 2 21 4 2" xfId="19479"/>
    <cellStyle name="쉼표 [0] 4 2 3 2 21 4 2 2" xfId="44831"/>
    <cellStyle name="쉼표 [0] 4 2 3 2 21 4 3" xfId="32159"/>
    <cellStyle name="쉼표 [0] 4 2 3 2 21 5" xfId="13143"/>
    <cellStyle name="쉼표 [0] 4 2 3 2 21 5 2" xfId="38495"/>
    <cellStyle name="쉼표 [0] 4 2 3 2 21 6" xfId="25823"/>
    <cellStyle name="쉼표 [0] 4 2 3 2 22" xfId="470"/>
    <cellStyle name="쉼표 [0] 4 2 3 2 22 2" xfId="471"/>
    <cellStyle name="쉼표 [0] 4 2 3 2 22 2 2" xfId="3573"/>
    <cellStyle name="쉼표 [0] 4 2 3 2 22 2 2 2" xfId="9909"/>
    <cellStyle name="쉼표 [0] 4 2 3 2 22 2 2 2 2" xfId="22583"/>
    <cellStyle name="쉼표 [0] 4 2 3 2 22 2 2 2 2 2" xfId="47935"/>
    <cellStyle name="쉼표 [0] 4 2 3 2 22 2 2 2 3" xfId="35263"/>
    <cellStyle name="쉼표 [0] 4 2 3 2 22 2 2 3" xfId="16247"/>
    <cellStyle name="쉼표 [0] 4 2 3 2 22 2 2 3 2" xfId="41599"/>
    <cellStyle name="쉼표 [0] 4 2 3 2 22 2 2 4" xfId="28927"/>
    <cellStyle name="쉼표 [0] 4 2 3 2 22 2 3" xfId="6808"/>
    <cellStyle name="쉼표 [0] 4 2 3 2 22 2 3 2" xfId="19482"/>
    <cellStyle name="쉼표 [0] 4 2 3 2 22 2 3 2 2" xfId="44834"/>
    <cellStyle name="쉼표 [0] 4 2 3 2 22 2 3 3" xfId="32162"/>
    <cellStyle name="쉼표 [0] 4 2 3 2 22 2 4" xfId="13146"/>
    <cellStyle name="쉼표 [0] 4 2 3 2 22 2 4 2" xfId="38498"/>
    <cellStyle name="쉼표 [0] 4 2 3 2 22 2 5" xfId="25826"/>
    <cellStyle name="쉼표 [0] 4 2 3 2 22 3" xfId="3574"/>
    <cellStyle name="쉼표 [0] 4 2 3 2 22 3 2" xfId="9910"/>
    <cellStyle name="쉼표 [0] 4 2 3 2 22 3 2 2" xfId="22584"/>
    <cellStyle name="쉼표 [0] 4 2 3 2 22 3 2 2 2" xfId="47936"/>
    <cellStyle name="쉼표 [0] 4 2 3 2 22 3 2 3" xfId="35264"/>
    <cellStyle name="쉼표 [0] 4 2 3 2 22 3 3" xfId="16248"/>
    <cellStyle name="쉼표 [0] 4 2 3 2 22 3 3 2" xfId="41600"/>
    <cellStyle name="쉼표 [0] 4 2 3 2 22 3 4" xfId="28928"/>
    <cellStyle name="쉼표 [0] 4 2 3 2 22 4" xfId="6807"/>
    <cellStyle name="쉼표 [0] 4 2 3 2 22 4 2" xfId="19481"/>
    <cellStyle name="쉼표 [0] 4 2 3 2 22 4 2 2" xfId="44833"/>
    <cellStyle name="쉼표 [0] 4 2 3 2 22 4 3" xfId="32161"/>
    <cellStyle name="쉼표 [0] 4 2 3 2 22 5" xfId="13145"/>
    <cellStyle name="쉼표 [0] 4 2 3 2 22 5 2" xfId="38497"/>
    <cellStyle name="쉼표 [0] 4 2 3 2 22 6" xfId="25825"/>
    <cellStyle name="쉼표 [0] 4 2 3 2 23" xfId="472"/>
    <cellStyle name="쉼표 [0] 4 2 3 2 23 2" xfId="473"/>
    <cellStyle name="쉼표 [0] 4 2 3 2 23 2 2" xfId="3575"/>
    <cellStyle name="쉼표 [0] 4 2 3 2 23 2 2 2" xfId="9911"/>
    <cellStyle name="쉼표 [0] 4 2 3 2 23 2 2 2 2" xfId="22585"/>
    <cellStyle name="쉼표 [0] 4 2 3 2 23 2 2 2 2 2" xfId="47937"/>
    <cellStyle name="쉼표 [0] 4 2 3 2 23 2 2 2 3" xfId="35265"/>
    <cellStyle name="쉼표 [0] 4 2 3 2 23 2 2 3" xfId="16249"/>
    <cellStyle name="쉼표 [0] 4 2 3 2 23 2 2 3 2" xfId="41601"/>
    <cellStyle name="쉼표 [0] 4 2 3 2 23 2 2 4" xfId="28929"/>
    <cellStyle name="쉼표 [0] 4 2 3 2 23 2 3" xfId="6810"/>
    <cellStyle name="쉼표 [0] 4 2 3 2 23 2 3 2" xfId="19484"/>
    <cellStyle name="쉼표 [0] 4 2 3 2 23 2 3 2 2" xfId="44836"/>
    <cellStyle name="쉼표 [0] 4 2 3 2 23 2 3 3" xfId="32164"/>
    <cellStyle name="쉼표 [0] 4 2 3 2 23 2 4" xfId="13148"/>
    <cellStyle name="쉼표 [0] 4 2 3 2 23 2 4 2" xfId="38500"/>
    <cellStyle name="쉼표 [0] 4 2 3 2 23 2 5" xfId="25828"/>
    <cellStyle name="쉼표 [0] 4 2 3 2 23 3" xfId="3576"/>
    <cellStyle name="쉼표 [0] 4 2 3 2 23 3 2" xfId="9912"/>
    <cellStyle name="쉼표 [0] 4 2 3 2 23 3 2 2" xfId="22586"/>
    <cellStyle name="쉼표 [0] 4 2 3 2 23 3 2 2 2" xfId="47938"/>
    <cellStyle name="쉼표 [0] 4 2 3 2 23 3 2 3" xfId="35266"/>
    <cellStyle name="쉼표 [0] 4 2 3 2 23 3 3" xfId="16250"/>
    <cellStyle name="쉼표 [0] 4 2 3 2 23 3 3 2" xfId="41602"/>
    <cellStyle name="쉼표 [0] 4 2 3 2 23 3 4" xfId="28930"/>
    <cellStyle name="쉼표 [0] 4 2 3 2 23 4" xfId="6809"/>
    <cellStyle name="쉼표 [0] 4 2 3 2 23 4 2" xfId="19483"/>
    <cellStyle name="쉼표 [0] 4 2 3 2 23 4 2 2" xfId="44835"/>
    <cellStyle name="쉼표 [0] 4 2 3 2 23 4 3" xfId="32163"/>
    <cellStyle name="쉼표 [0] 4 2 3 2 23 5" xfId="13147"/>
    <cellStyle name="쉼표 [0] 4 2 3 2 23 5 2" xfId="38499"/>
    <cellStyle name="쉼표 [0] 4 2 3 2 23 6" xfId="25827"/>
    <cellStyle name="쉼표 [0] 4 2 3 2 24" xfId="474"/>
    <cellStyle name="쉼표 [0] 4 2 3 2 24 2" xfId="475"/>
    <cellStyle name="쉼표 [0] 4 2 3 2 24 2 2" xfId="3577"/>
    <cellStyle name="쉼표 [0] 4 2 3 2 24 2 2 2" xfId="9913"/>
    <cellStyle name="쉼표 [0] 4 2 3 2 24 2 2 2 2" xfId="22587"/>
    <cellStyle name="쉼표 [0] 4 2 3 2 24 2 2 2 2 2" xfId="47939"/>
    <cellStyle name="쉼표 [0] 4 2 3 2 24 2 2 2 3" xfId="35267"/>
    <cellStyle name="쉼표 [0] 4 2 3 2 24 2 2 3" xfId="16251"/>
    <cellStyle name="쉼표 [0] 4 2 3 2 24 2 2 3 2" xfId="41603"/>
    <cellStyle name="쉼표 [0] 4 2 3 2 24 2 2 4" xfId="28931"/>
    <cellStyle name="쉼표 [0] 4 2 3 2 24 2 3" xfId="6812"/>
    <cellStyle name="쉼표 [0] 4 2 3 2 24 2 3 2" xfId="19486"/>
    <cellStyle name="쉼표 [0] 4 2 3 2 24 2 3 2 2" xfId="44838"/>
    <cellStyle name="쉼표 [0] 4 2 3 2 24 2 3 3" xfId="32166"/>
    <cellStyle name="쉼표 [0] 4 2 3 2 24 2 4" xfId="13150"/>
    <cellStyle name="쉼표 [0] 4 2 3 2 24 2 4 2" xfId="38502"/>
    <cellStyle name="쉼표 [0] 4 2 3 2 24 2 5" xfId="25830"/>
    <cellStyle name="쉼표 [0] 4 2 3 2 24 3" xfId="3578"/>
    <cellStyle name="쉼표 [0] 4 2 3 2 24 3 2" xfId="9914"/>
    <cellStyle name="쉼표 [0] 4 2 3 2 24 3 2 2" xfId="22588"/>
    <cellStyle name="쉼표 [0] 4 2 3 2 24 3 2 2 2" xfId="47940"/>
    <cellStyle name="쉼표 [0] 4 2 3 2 24 3 2 3" xfId="35268"/>
    <cellStyle name="쉼표 [0] 4 2 3 2 24 3 3" xfId="16252"/>
    <cellStyle name="쉼표 [0] 4 2 3 2 24 3 3 2" xfId="41604"/>
    <cellStyle name="쉼표 [0] 4 2 3 2 24 3 4" xfId="28932"/>
    <cellStyle name="쉼표 [0] 4 2 3 2 24 4" xfId="6811"/>
    <cellStyle name="쉼표 [0] 4 2 3 2 24 4 2" xfId="19485"/>
    <cellStyle name="쉼표 [0] 4 2 3 2 24 4 2 2" xfId="44837"/>
    <cellStyle name="쉼표 [0] 4 2 3 2 24 4 3" xfId="32165"/>
    <cellStyle name="쉼표 [0] 4 2 3 2 24 5" xfId="13149"/>
    <cellStyle name="쉼표 [0] 4 2 3 2 24 5 2" xfId="38501"/>
    <cellStyle name="쉼표 [0] 4 2 3 2 24 6" xfId="25829"/>
    <cellStyle name="쉼표 [0] 4 2 3 2 25" xfId="476"/>
    <cellStyle name="쉼표 [0] 4 2 3 2 25 2" xfId="477"/>
    <cellStyle name="쉼표 [0] 4 2 3 2 25 2 2" xfId="3579"/>
    <cellStyle name="쉼표 [0] 4 2 3 2 25 2 2 2" xfId="9915"/>
    <cellStyle name="쉼표 [0] 4 2 3 2 25 2 2 2 2" xfId="22589"/>
    <cellStyle name="쉼표 [0] 4 2 3 2 25 2 2 2 2 2" xfId="47941"/>
    <cellStyle name="쉼표 [0] 4 2 3 2 25 2 2 2 3" xfId="35269"/>
    <cellStyle name="쉼표 [0] 4 2 3 2 25 2 2 3" xfId="16253"/>
    <cellStyle name="쉼표 [0] 4 2 3 2 25 2 2 3 2" xfId="41605"/>
    <cellStyle name="쉼표 [0] 4 2 3 2 25 2 2 4" xfId="28933"/>
    <cellStyle name="쉼표 [0] 4 2 3 2 25 2 3" xfId="6814"/>
    <cellStyle name="쉼표 [0] 4 2 3 2 25 2 3 2" xfId="19488"/>
    <cellStyle name="쉼표 [0] 4 2 3 2 25 2 3 2 2" xfId="44840"/>
    <cellStyle name="쉼표 [0] 4 2 3 2 25 2 3 3" xfId="32168"/>
    <cellStyle name="쉼표 [0] 4 2 3 2 25 2 4" xfId="13152"/>
    <cellStyle name="쉼표 [0] 4 2 3 2 25 2 4 2" xfId="38504"/>
    <cellStyle name="쉼표 [0] 4 2 3 2 25 2 5" xfId="25832"/>
    <cellStyle name="쉼표 [0] 4 2 3 2 25 3" xfId="3580"/>
    <cellStyle name="쉼표 [0] 4 2 3 2 25 3 2" xfId="9916"/>
    <cellStyle name="쉼표 [0] 4 2 3 2 25 3 2 2" xfId="22590"/>
    <cellStyle name="쉼표 [0] 4 2 3 2 25 3 2 2 2" xfId="47942"/>
    <cellStyle name="쉼표 [0] 4 2 3 2 25 3 2 3" xfId="35270"/>
    <cellStyle name="쉼표 [0] 4 2 3 2 25 3 3" xfId="16254"/>
    <cellStyle name="쉼표 [0] 4 2 3 2 25 3 3 2" xfId="41606"/>
    <cellStyle name="쉼표 [0] 4 2 3 2 25 3 4" xfId="28934"/>
    <cellStyle name="쉼표 [0] 4 2 3 2 25 4" xfId="6813"/>
    <cellStyle name="쉼표 [0] 4 2 3 2 25 4 2" xfId="19487"/>
    <cellStyle name="쉼표 [0] 4 2 3 2 25 4 2 2" xfId="44839"/>
    <cellStyle name="쉼표 [0] 4 2 3 2 25 4 3" xfId="32167"/>
    <cellStyle name="쉼표 [0] 4 2 3 2 25 5" xfId="13151"/>
    <cellStyle name="쉼표 [0] 4 2 3 2 25 5 2" xfId="38503"/>
    <cellStyle name="쉼표 [0] 4 2 3 2 25 6" xfId="25831"/>
    <cellStyle name="쉼표 [0] 4 2 3 2 26" xfId="478"/>
    <cellStyle name="쉼표 [0] 4 2 3 2 26 2" xfId="479"/>
    <cellStyle name="쉼표 [0] 4 2 3 2 26 2 2" xfId="3581"/>
    <cellStyle name="쉼표 [0] 4 2 3 2 26 2 2 2" xfId="9917"/>
    <cellStyle name="쉼표 [0] 4 2 3 2 26 2 2 2 2" xfId="22591"/>
    <cellStyle name="쉼표 [0] 4 2 3 2 26 2 2 2 2 2" xfId="47943"/>
    <cellStyle name="쉼표 [0] 4 2 3 2 26 2 2 2 3" xfId="35271"/>
    <cellStyle name="쉼표 [0] 4 2 3 2 26 2 2 3" xfId="16255"/>
    <cellStyle name="쉼표 [0] 4 2 3 2 26 2 2 3 2" xfId="41607"/>
    <cellStyle name="쉼표 [0] 4 2 3 2 26 2 2 4" xfId="28935"/>
    <cellStyle name="쉼표 [0] 4 2 3 2 26 2 3" xfId="6816"/>
    <cellStyle name="쉼표 [0] 4 2 3 2 26 2 3 2" xfId="19490"/>
    <cellStyle name="쉼표 [0] 4 2 3 2 26 2 3 2 2" xfId="44842"/>
    <cellStyle name="쉼표 [0] 4 2 3 2 26 2 3 3" xfId="32170"/>
    <cellStyle name="쉼표 [0] 4 2 3 2 26 2 4" xfId="13154"/>
    <cellStyle name="쉼표 [0] 4 2 3 2 26 2 4 2" xfId="38506"/>
    <cellStyle name="쉼표 [0] 4 2 3 2 26 2 5" xfId="25834"/>
    <cellStyle name="쉼표 [0] 4 2 3 2 26 3" xfId="3582"/>
    <cellStyle name="쉼표 [0] 4 2 3 2 26 3 2" xfId="9918"/>
    <cellStyle name="쉼표 [0] 4 2 3 2 26 3 2 2" xfId="22592"/>
    <cellStyle name="쉼표 [0] 4 2 3 2 26 3 2 2 2" xfId="47944"/>
    <cellStyle name="쉼표 [0] 4 2 3 2 26 3 2 3" xfId="35272"/>
    <cellStyle name="쉼표 [0] 4 2 3 2 26 3 3" xfId="16256"/>
    <cellStyle name="쉼표 [0] 4 2 3 2 26 3 3 2" xfId="41608"/>
    <cellStyle name="쉼표 [0] 4 2 3 2 26 3 4" xfId="28936"/>
    <cellStyle name="쉼표 [0] 4 2 3 2 26 4" xfId="6815"/>
    <cellStyle name="쉼표 [0] 4 2 3 2 26 4 2" xfId="19489"/>
    <cellStyle name="쉼표 [0] 4 2 3 2 26 4 2 2" xfId="44841"/>
    <cellStyle name="쉼표 [0] 4 2 3 2 26 4 3" xfId="32169"/>
    <cellStyle name="쉼표 [0] 4 2 3 2 26 5" xfId="13153"/>
    <cellStyle name="쉼표 [0] 4 2 3 2 26 5 2" xfId="38505"/>
    <cellStyle name="쉼표 [0] 4 2 3 2 26 6" xfId="25833"/>
    <cellStyle name="쉼표 [0] 4 2 3 2 27" xfId="480"/>
    <cellStyle name="쉼표 [0] 4 2 3 2 27 2" xfId="481"/>
    <cellStyle name="쉼표 [0] 4 2 3 2 27 2 2" xfId="3583"/>
    <cellStyle name="쉼표 [0] 4 2 3 2 27 2 2 2" xfId="9919"/>
    <cellStyle name="쉼표 [0] 4 2 3 2 27 2 2 2 2" xfId="22593"/>
    <cellStyle name="쉼표 [0] 4 2 3 2 27 2 2 2 2 2" xfId="47945"/>
    <cellStyle name="쉼표 [0] 4 2 3 2 27 2 2 2 3" xfId="35273"/>
    <cellStyle name="쉼표 [0] 4 2 3 2 27 2 2 3" xfId="16257"/>
    <cellStyle name="쉼표 [0] 4 2 3 2 27 2 2 3 2" xfId="41609"/>
    <cellStyle name="쉼표 [0] 4 2 3 2 27 2 2 4" xfId="28937"/>
    <cellStyle name="쉼표 [0] 4 2 3 2 27 2 3" xfId="6818"/>
    <cellStyle name="쉼표 [0] 4 2 3 2 27 2 3 2" xfId="19492"/>
    <cellStyle name="쉼표 [0] 4 2 3 2 27 2 3 2 2" xfId="44844"/>
    <cellStyle name="쉼표 [0] 4 2 3 2 27 2 3 3" xfId="32172"/>
    <cellStyle name="쉼표 [0] 4 2 3 2 27 2 4" xfId="13156"/>
    <cellStyle name="쉼표 [0] 4 2 3 2 27 2 4 2" xfId="38508"/>
    <cellStyle name="쉼표 [0] 4 2 3 2 27 2 5" xfId="25836"/>
    <cellStyle name="쉼표 [0] 4 2 3 2 27 3" xfId="3584"/>
    <cellStyle name="쉼표 [0] 4 2 3 2 27 3 2" xfId="9920"/>
    <cellStyle name="쉼표 [0] 4 2 3 2 27 3 2 2" xfId="22594"/>
    <cellStyle name="쉼표 [0] 4 2 3 2 27 3 2 2 2" xfId="47946"/>
    <cellStyle name="쉼표 [0] 4 2 3 2 27 3 2 3" xfId="35274"/>
    <cellStyle name="쉼표 [0] 4 2 3 2 27 3 3" xfId="16258"/>
    <cellStyle name="쉼표 [0] 4 2 3 2 27 3 3 2" xfId="41610"/>
    <cellStyle name="쉼표 [0] 4 2 3 2 27 3 4" xfId="28938"/>
    <cellStyle name="쉼표 [0] 4 2 3 2 27 4" xfId="6817"/>
    <cellStyle name="쉼표 [0] 4 2 3 2 27 4 2" xfId="19491"/>
    <cellStyle name="쉼표 [0] 4 2 3 2 27 4 2 2" xfId="44843"/>
    <cellStyle name="쉼표 [0] 4 2 3 2 27 4 3" xfId="32171"/>
    <cellStyle name="쉼표 [0] 4 2 3 2 27 5" xfId="13155"/>
    <cellStyle name="쉼표 [0] 4 2 3 2 27 5 2" xfId="38507"/>
    <cellStyle name="쉼표 [0] 4 2 3 2 27 6" xfId="25835"/>
    <cellStyle name="쉼표 [0] 4 2 3 2 28" xfId="482"/>
    <cellStyle name="쉼표 [0] 4 2 3 2 28 2" xfId="483"/>
    <cellStyle name="쉼표 [0] 4 2 3 2 28 2 2" xfId="3585"/>
    <cellStyle name="쉼표 [0] 4 2 3 2 28 2 2 2" xfId="9921"/>
    <cellStyle name="쉼표 [0] 4 2 3 2 28 2 2 2 2" xfId="22595"/>
    <cellStyle name="쉼표 [0] 4 2 3 2 28 2 2 2 2 2" xfId="47947"/>
    <cellStyle name="쉼표 [0] 4 2 3 2 28 2 2 2 3" xfId="35275"/>
    <cellStyle name="쉼표 [0] 4 2 3 2 28 2 2 3" xfId="16259"/>
    <cellStyle name="쉼표 [0] 4 2 3 2 28 2 2 3 2" xfId="41611"/>
    <cellStyle name="쉼표 [0] 4 2 3 2 28 2 2 4" xfId="28939"/>
    <cellStyle name="쉼표 [0] 4 2 3 2 28 2 3" xfId="6820"/>
    <cellStyle name="쉼표 [0] 4 2 3 2 28 2 3 2" xfId="19494"/>
    <cellStyle name="쉼표 [0] 4 2 3 2 28 2 3 2 2" xfId="44846"/>
    <cellStyle name="쉼표 [0] 4 2 3 2 28 2 3 3" xfId="32174"/>
    <cellStyle name="쉼표 [0] 4 2 3 2 28 2 4" xfId="13158"/>
    <cellStyle name="쉼표 [0] 4 2 3 2 28 2 4 2" xfId="38510"/>
    <cellStyle name="쉼표 [0] 4 2 3 2 28 2 5" xfId="25838"/>
    <cellStyle name="쉼표 [0] 4 2 3 2 28 3" xfId="3586"/>
    <cellStyle name="쉼표 [0] 4 2 3 2 28 3 2" xfId="9922"/>
    <cellStyle name="쉼표 [0] 4 2 3 2 28 3 2 2" xfId="22596"/>
    <cellStyle name="쉼표 [0] 4 2 3 2 28 3 2 2 2" xfId="47948"/>
    <cellStyle name="쉼표 [0] 4 2 3 2 28 3 2 3" xfId="35276"/>
    <cellStyle name="쉼표 [0] 4 2 3 2 28 3 3" xfId="16260"/>
    <cellStyle name="쉼표 [0] 4 2 3 2 28 3 3 2" xfId="41612"/>
    <cellStyle name="쉼표 [0] 4 2 3 2 28 3 4" xfId="28940"/>
    <cellStyle name="쉼표 [0] 4 2 3 2 28 4" xfId="6819"/>
    <cellStyle name="쉼표 [0] 4 2 3 2 28 4 2" xfId="19493"/>
    <cellStyle name="쉼표 [0] 4 2 3 2 28 4 2 2" xfId="44845"/>
    <cellStyle name="쉼표 [0] 4 2 3 2 28 4 3" xfId="32173"/>
    <cellStyle name="쉼표 [0] 4 2 3 2 28 5" xfId="13157"/>
    <cellStyle name="쉼표 [0] 4 2 3 2 28 5 2" xfId="38509"/>
    <cellStyle name="쉼표 [0] 4 2 3 2 28 6" xfId="25837"/>
    <cellStyle name="쉼표 [0] 4 2 3 2 29" xfId="484"/>
    <cellStyle name="쉼표 [0] 4 2 3 2 29 2" xfId="485"/>
    <cellStyle name="쉼표 [0] 4 2 3 2 29 2 2" xfId="3587"/>
    <cellStyle name="쉼표 [0] 4 2 3 2 29 2 2 2" xfId="9923"/>
    <cellStyle name="쉼표 [0] 4 2 3 2 29 2 2 2 2" xfId="22597"/>
    <cellStyle name="쉼표 [0] 4 2 3 2 29 2 2 2 2 2" xfId="47949"/>
    <cellStyle name="쉼표 [0] 4 2 3 2 29 2 2 2 3" xfId="35277"/>
    <cellStyle name="쉼표 [0] 4 2 3 2 29 2 2 3" xfId="16261"/>
    <cellStyle name="쉼표 [0] 4 2 3 2 29 2 2 3 2" xfId="41613"/>
    <cellStyle name="쉼표 [0] 4 2 3 2 29 2 2 4" xfId="28941"/>
    <cellStyle name="쉼표 [0] 4 2 3 2 29 2 3" xfId="6822"/>
    <cellStyle name="쉼표 [0] 4 2 3 2 29 2 3 2" xfId="19496"/>
    <cellStyle name="쉼표 [0] 4 2 3 2 29 2 3 2 2" xfId="44848"/>
    <cellStyle name="쉼표 [0] 4 2 3 2 29 2 3 3" xfId="32176"/>
    <cellStyle name="쉼표 [0] 4 2 3 2 29 2 4" xfId="13160"/>
    <cellStyle name="쉼표 [0] 4 2 3 2 29 2 4 2" xfId="38512"/>
    <cellStyle name="쉼표 [0] 4 2 3 2 29 2 5" xfId="25840"/>
    <cellStyle name="쉼표 [0] 4 2 3 2 29 3" xfId="3588"/>
    <cellStyle name="쉼표 [0] 4 2 3 2 29 3 2" xfId="9924"/>
    <cellStyle name="쉼표 [0] 4 2 3 2 29 3 2 2" xfId="22598"/>
    <cellStyle name="쉼표 [0] 4 2 3 2 29 3 2 2 2" xfId="47950"/>
    <cellStyle name="쉼표 [0] 4 2 3 2 29 3 2 3" xfId="35278"/>
    <cellStyle name="쉼표 [0] 4 2 3 2 29 3 3" xfId="16262"/>
    <cellStyle name="쉼표 [0] 4 2 3 2 29 3 3 2" xfId="41614"/>
    <cellStyle name="쉼표 [0] 4 2 3 2 29 3 4" xfId="28942"/>
    <cellStyle name="쉼표 [0] 4 2 3 2 29 4" xfId="6821"/>
    <cellStyle name="쉼표 [0] 4 2 3 2 29 4 2" xfId="19495"/>
    <cellStyle name="쉼표 [0] 4 2 3 2 29 4 2 2" xfId="44847"/>
    <cellStyle name="쉼표 [0] 4 2 3 2 29 4 3" xfId="32175"/>
    <cellStyle name="쉼표 [0] 4 2 3 2 29 5" xfId="13159"/>
    <cellStyle name="쉼표 [0] 4 2 3 2 29 5 2" xfId="38511"/>
    <cellStyle name="쉼표 [0] 4 2 3 2 29 6" xfId="25839"/>
    <cellStyle name="쉼표 [0] 4 2 3 2 3" xfId="486"/>
    <cellStyle name="쉼표 [0] 4 2 3 2 3 2" xfId="487"/>
    <cellStyle name="쉼표 [0] 4 2 3 2 3 2 2" xfId="3589"/>
    <cellStyle name="쉼표 [0] 4 2 3 2 3 2 2 2" xfId="9925"/>
    <cellStyle name="쉼표 [0] 4 2 3 2 3 2 2 2 2" xfId="22599"/>
    <cellStyle name="쉼표 [0] 4 2 3 2 3 2 2 2 2 2" xfId="47951"/>
    <cellStyle name="쉼표 [0] 4 2 3 2 3 2 2 2 3" xfId="35279"/>
    <cellStyle name="쉼표 [0] 4 2 3 2 3 2 2 3" xfId="16263"/>
    <cellStyle name="쉼표 [0] 4 2 3 2 3 2 2 3 2" xfId="41615"/>
    <cellStyle name="쉼표 [0] 4 2 3 2 3 2 2 4" xfId="28943"/>
    <cellStyle name="쉼표 [0] 4 2 3 2 3 2 3" xfId="6824"/>
    <cellStyle name="쉼표 [0] 4 2 3 2 3 2 3 2" xfId="19498"/>
    <cellStyle name="쉼표 [0] 4 2 3 2 3 2 3 2 2" xfId="44850"/>
    <cellStyle name="쉼표 [0] 4 2 3 2 3 2 3 3" xfId="32178"/>
    <cellStyle name="쉼표 [0] 4 2 3 2 3 2 4" xfId="13162"/>
    <cellStyle name="쉼표 [0] 4 2 3 2 3 2 4 2" xfId="38514"/>
    <cellStyle name="쉼표 [0] 4 2 3 2 3 2 5" xfId="25842"/>
    <cellStyle name="쉼표 [0] 4 2 3 2 3 3" xfId="3590"/>
    <cellStyle name="쉼표 [0] 4 2 3 2 3 3 2" xfId="9926"/>
    <cellStyle name="쉼표 [0] 4 2 3 2 3 3 2 2" xfId="22600"/>
    <cellStyle name="쉼표 [0] 4 2 3 2 3 3 2 2 2" xfId="47952"/>
    <cellStyle name="쉼표 [0] 4 2 3 2 3 3 2 3" xfId="35280"/>
    <cellStyle name="쉼표 [0] 4 2 3 2 3 3 3" xfId="16264"/>
    <cellStyle name="쉼표 [0] 4 2 3 2 3 3 3 2" xfId="41616"/>
    <cellStyle name="쉼표 [0] 4 2 3 2 3 3 4" xfId="28944"/>
    <cellStyle name="쉼표 [0] 4 2 3 2 3 4" xfId="6823"/>
    <cellStyle name="쉼표 [0] 4 2 3 2 3 4 2" xfId="19497"/>
    <cellStyle name="쉼표 [0] 4 2 3 2 3 4 2 2" xfId="44849"/>
    <cellStyle name="쉼표 [0] 4 2 3 2 3 4 3" xfId="32177"/>
    <cellStyle name="쉼표 [0] 4 2 3 2 3 5" xfId="13161"/>
    <cellStyle name="쉼표 [0] 4 2 3 2 3 5 2" xfId="38513"/>
    <cellStyle name="쉼표 [0] 4 2 3 2 3 6" xfId="25841"/>
    <cellStyle name="쉼표 [0] 4 2 3 2 30" xfId="488"/>
    <cellStyle name="쉼표 [0] 4 2 3 2 30 2" xfId="489"/>
    <cellStyle name="쉼표 [0] 4 2 3 2 30 2 2" xfId="3591"/>
    <cellStyle name="쉼표 [0] 4 2 3 2 30 2 2 2" xfId="9927"/>
    <cellStyle name="쉼표 [0] 4 2 3 2 30 2 2 2 2" xfId="22601"/>
    <cellStyle name="쉼표 [0] 4 2 3 2 30 2 2 2 2 2" xfId="47953"/>
    <cellStyle name="쉼표 [0] 4 2 3 2 30 2 2 2 3" xfId="35281"/>
    <cellStyle name="쉼표 [0] 4 2 3 2 30 2 2 3" xfId="16265"/>
    <cellStyle name="쉼표 [0] 4 2 3 2 30 2 2 3 2" xfId="41617"/>
    <cellStyle name="쉼표 [0] 4 2 3 2 30 2 2 4" xfId="28945"/>
    <cellStyle name="쉼표 [0] 4 2 3 2 30 2 3" xfId="6826"/>
    <cellStyle name="쉼표 [0] 4 2 3 2 30 2 3 2" xfId="19500"/>
    <cellStyle name="쉼표 [0] 4 2 3 2 30 2 3 2 2" xfId="44852"/>
    <cellStyle name="쉼표 [0] 4 2 3 2 30 2 3 3" xfId="32180"/>
    <cellStyle name="쉼표 [0] 4 2 3 2 30 2 4" xfId="13164"/>
    <cellStyle name="쉼표 [0] 4 2 3 2 30 2 4 2" xfId="38516"/>
    <cellStyle name="쉼표 [0] 4 2 3 2 30 2 5" xfId="25844"/>
    <cellStyle name="쉼표 [0] 4 2 3 2 30 3" xfId="3592"/>
    <cellStyle name="쉼표 [0] 4 2 3 2 30 3 2" xfId="9928"/>
    <cellStyle name="쉼표 [0] 4 2 3 2 30 3 2 2" xfId="22602"/>
    <cellStyle name="쉼표 [0] 4 2 3 2 30 3 2 2 2" xfId="47954"/>
    <cellStyle name="쉼표 [0] 4 2 3 2 30 3 2 3" xfId="35282"/>
    <cellStyle name="쉼표 [0] 4 2 3 2 30 3 3" xfId="16266"/>
    <cellStyle name="쉼표 [0] 4 2 3 2 30 3 3 2" xfId="41618"/>
    <cellStyle name="쉼표 [0] 4 2 3 2 30 3 4" xfId="28946"/>
    <cellStyle name="쉼표 [0] 4 2 3 2 30 4" xfId="6825"/>
    <cellStyle name="쉼표 [0] 4 2 3 2 30 4 2" xfId="19499"/>
    <cellStyle name="쉼표 [0] 4 2 3 2 30 4 2 2" xfId="44851"/>
    <cellStyle name="쉼표 [0] 4 2 3 2 30 4 3" xfId="32179"/>
    <cellStyle name="쉼표 [0] 4 2 3 2 30 5" xfId="13163"/>
    <cellStyle name="쉼표 [0] 4 2 3 2 30 5 2" xfId="38515"/>
    <cellStyle name="쉼표 [0] 4 2 3 2 30 6" xfId="25843"/>
    <cellStyle name="쉼표 [0] 4 2 3 2 31" xfId="490"/>
    <cellStyle name="쉼표 [0] 4 2 3 2 31 2" xfId="491"/>
    <cellStyle name="쉼표 [0] 4 2 3 2 31 2 2" xfId="3593"/>
    <cellStyle name="쉼표 [0] 4 2 3 2 31 2 2 2" xfId="9929"/>
    <cellStyle name="쉼표 [0] 4 2 3 2 31 2 2 2 2" xfId="22603"/>
    <cellStyle name="쉼표 [0] 4 2 3 2 31 2 2 2 2 2" xfId="47955"/>
    <cellStyle name="쉼표 [0] 4 2 3 2 31 2 2 2 3" xfId="35283"/>
    <cellStyle name="쉼표 [0] 4 2 3 2 31 2 2 3" xfId="16267"/>
    <cellStyle name="쉼표 [0] 4 2 3 2 31 2 2 3 2" xfId="41619"/>
    <cellStyle name="쉼표 [0] 4 2 3 2 31 2 2 4" xfId="28947"/>
    <cellStyle name="쉼표 [0] 4 2 3 2 31 2 3" xfId="6828"/>
    <cellStyle name="쉼표 [0] 4 2 3 2 31 2 3 2" xfId="19502"/>
    <cellStyle name="쉼표 [0] 4 2 3 2 31 2 3 2 2" xfId="44854"/>
    <cellStyle name="쉼표 [0] 4 2 3 2 31 2 3 3" xfId="32182"/>
    <cellStyle name="쉼표 [0] 4 2 3 2 31 2 4" xfId="13166"/>
    <cellStyle name="쉼표 [0] 4 2 3 2 31 2 4 2" xfId="38518"/>
    <cellStyle name="쉼표 [0] 4 2 3 2 31 2 5" xfId="25846"/>
    <cellStyle name="쉼표 [0] 4 2 3 2 31 3" xfId="3594"/>
    <cellStyle name="쉼표 [0] 4 2 3 2 31 3 2" xfId="9930"/>
    <cellStyle name="쉼표 [0] 4 2 3 2 31 3 2 2" xfId="22604"/>
    <cellStyle name="쉼표 [0] 4 2 3 2 31 3 2 2 2" xfId="47956"/>
    <cellStyle name="쉼표 [0] 4 2 3 2 31 3 2 3" xfId="35284"/>
    <cellStyle name="쉼표 [0] 4 2 3 2 31 3 3" xfId="16268"/>
    <cellStyle name="쉼표 [0] 4 2 3 2 31 3 3 2" xfId="41620"/>
    <cellStyle name="쉼표 [0] 4 2 3 2 31 3 4" xfId="28948"/>
    <cellStyle name="쉼표 [0] 4 2 3 2 31 4" xfId="6827"/>
    <cellStyle name="쉼표 [0] 4 2 3 2 31 4 2" xfId="19501"/>
    <cellStyle name="쉼표 [0] 4 2 3 2 31 4 2 2" xfId="44853"/>
    <cellStyle name="쉼표 [0] 4 2 3 2 31 4 3" xfId="32181"/>
    <cellStyle name="쉼표 [0] 4 2 3 2 31 5" xfId="13165"/>
    <cellStyle name="쉼표 [0] 4 2 3 2 31 5 2" xfId="38517"/>
    <cellStyle name="쉼표 [0] 4 2 3 2 31 6" xfId="25845"/>
    <cellStyle name="쉼표 [0] 4 2 3 2 32" xfId="492"/>
    <cellStyle name="쉼표 [0] 4 2 3 2 32 2" xfId="493"/>
    <cellStyle name="쉼표 [0] 4 2 3 2 32 2 2" xfId="3595"/>
    <cellStyle name="쉼표 [0] 4 2 3 2 32 2 2 2" xfId="9931"/>
    <cellStyle name="쉼표 [0] 4 2 3 2 32 2 2 2 2" xfId="22605"/>
    <cellStyle name="쉼표 [0] 4 2 3 2 32 2 2 2 2 2" xfId="47957"/>
    <cellStyle name="쉼표 [0] 4 2 3 2 32 2 2 2 3" xfId="35285"/>
    <cellStyle name="쉼표 [0] 4 2 3 2 32 2 2 3" xfId="16269"/>
    <cellStyle name="쉼표 [0] 4 2 3 2 32 2 2 3 2" xfId="41621"/>
    <cellStyle name="쉼표 [0] 4 2 3 2 32 2 2 4" xfId="28949"/>
    <cellStyle name="쉼표 [0] 4 2 3 2 32 2 3" xfId="6830"/>
    <cellStyle name="쉼표 [0] 4 2 3 2 32 2 3 2" xfId="19504"/>
    <cellStyle name="쉼표 [0] 4 2 3 2 32 2 3 2 2" xfId="44856"/>
    <cellStyle name="쉼표 [0] 4 2 3 2 32 2 3 3" xfId="32184"/>
    <cellStyle name="쉼표 [0] 4 2 3 2 32 2 4" xfId="13168"/>
    <cellStyle name="쉼표 [0] 4 2 3 2 32 2 4 2" xfId="38520"/>
    <cellStyle name="쉼표 [0] 4 2 3 2 32 2 5" xfId="25848"/>
    <cellStyle name="쉼표 [0] 4 2 3 2 32 3" xfId="3596"/>
    <cellStyle name="쉼표 [0] 4 2 3 2 32 3 2" xfId="9932"/>
    <cellStyle name="쉼표 [0] 4 2 3 2 32 3 2 2" xfId="22606"/>
    <cellStyle name="쉼표 [0] 4 2 3 2 32 3 2 2 2" xfId="47958"/>
    <cellStyle name="쉼표 [0] 4 2 3 2 32 3 2 3" xfId="35286"/>
    <cellStyle name="쉼표 [0] 4 2 3 2 32 3 3" xfId="16270"/>
    <cellStyle name="쉼표 [0] 4 2 3 2 32 3 3 2" xfId="41622"/>
    <cellStyle name="쉼표 [0] 4 2 3 2 32 3 4" xfId="28950"/>
    <cellStyle name="쉼표 [0] 4 2 3 2 32 4" xfId="6829"/>
    <cellStyle name="쉼표 [0] 4 2 3 2 32 4 2" xfId="19503"/>
    <cellStyle name="쉼표 [0] 4 2 3 2 32 4 2 2" xfId="44855"/>
    <cellStyle name="쉼표 [0] 4 2 3 2 32 4 3" xfId="32183"/>
    <cellStyle name="쉼표 [0] 4 2 3 2 32 5" xfId="13167"/>
    <cellStyle name="쉼표 [0] 4 2 3 2 32 5 2" xfId="38519"/>
    <cellStyle name="쉼표 [0] 4 2 3 2 32 6" xfId="25847"/>
    <cellStyle name="쉼표 [0] 4 2 3 2 33" xfId="494"/>
    <cellStyle name="쉼표 [0] 4 2 3 2 33 2" xfId="495"/>
    <cellStyle name="쉼표 [0] 4 2 3 2 33 2 2" xfId="3597"/>
    <cellStyle name="쉼표 [0] 4 2 3 2 33 2 2 2" xfId="9933"/>
    <cellStyle name="쉼표 [0] 4 2 3 2 33 2 2 2 2" xfId="22607"/>
    <cellStyle name="쉼표 [0] 4 2 3 2 33 2 2 2 2 2" xfId="47959"/>
    <cellStyle name="쉼표 [0] 4 2 3 2 33 2 2 2 3" xfId="35287"/>
    <cellStyle name="쉼표 [0] 4 2 3 2 33 2 2 3" xfId="16271"/>
    <cellStyle name="쉼표 [0] 4 2 3 2 33 2 2 3 2" xfId="41623"/>
    <cellStyle name="쉼표 [0] 4 2 3 2 33 2 2 4" xfId="28951"/>
    <cellStyle name="쉼표 [0] 4 2 3 2 33 2 3" xfId="6832"/>
    <cellStyle name="쉼표 [0] 4 2 3 2 33 2 3 2" xfId="19506"/>
    <cellStyle name="쉼표 [0] 4 2 3 2 33 2 3 2 2" xfId="44858"/>
    <cellStyle name="쉼표 [0] 4 2 3 2 33 2 3 3" xfId="32186"/>
    <cellStyle name="쉼표 [0] 4 2 3 2 33 2 4" xfId="13170"/>
    <cellStyle name="쉼표 [0] 4 2 3 2 33 2 4 2" xfId="38522"/>
    <cellStyle name="쉼표 [0] 4 2 3 2 33 2 5" xfId="25850"/>
    <cellStyle name="쉼표 [0] 4 2 3 2 33 3" xfId="3598"/>
    <cellStyle name="쉼표 [0] 4 2 3 2 33 3 2" xfId="9934"/>
    <cellStyle name="쉼표 [0] 4 2 3 2 33 3 2 2" xfId="22608"/>
    <cellStyle name="쉼표 [0] 4 2 3 2 33 3 2 2 2" xfId="47960"/>
    <cellStyle name="쉼표 [0] 4 2 3 2 33 3 2 3" xfId="35288"/>
    <cellStyle name="쉼표 [0] 4 2 3 2 33 3 3" xfId="16272"/>
    <cellStyle name="쉼표 [0] 4 2 3 2 33 3 3 2" xfId="41624"/>
    <cellStyle name="쉼표 [0] 4 2 3 2 33 3 4" xfId="28952"/>
    <cellStyle name="쉼표 [0] 4 2 3 2 33 4" xfId="6831"/>
    <cellStyle name="쉼표 [0] 4 2 3 2 33 4 2" xfId="19505"/>
    <cellStyle name="쉼표 [0] 4 2 3 2 33 4 2 2" xfId="44857"/>
    <cellStyle name="쉼표 [0] 4 2 3 2 33 4 3" xfId="32185"/>
    <cellStyle name="쉼표 [0] 4 2 3 2 33 5" xfId="13169"/>
    <cellStyle name="쉼표 [0] 4 2 3 2 33 5 2" xfId="38521"/>
    <cellStyle name="쉼표 [0] 4 2 3 2 33 6" xfId="25849"/>
    <cellStyle name="쉼표 [0] 4 2 3 2 34" xfId="496"/>
    <cellStyle name="쉼표 [0] 4 2 3 2 34 2" xfId="3599"/>
    <cellStyle name="쉼표 [0] 4 2 3 2 34 2 2" xfId="9935"/>
    <cellStyle name="쉼표 [0] 4 2 3 2 34 2 2 2" xfId="22609"/>
    <cellStyle name="쉼표 [0] 4 2 3 2 34 2 2 2 2" xfId="47961"/>
    <cellStyle name="쉼표 [0] 4 2 3 2 34 2 2 3" xfId="35289"/>
    <cellStyle name="쉼표 [0] 4 2 3 2 34 2 3" xfId="16273"/>
    <cellStyle name="쉼표 [0] 4 2 3 2 34 2 3 2" xfId="41625"/>
    <cellStyle name="쉼표 [0] 4 2 3 2 34 2 4" xfId="28953"/>
    <cellStyle name="쉼표 [0] 4 2 3 2 34 3" xfId="6833"/>
    <cellStyle name="쉼표 [0] 4 2 3 2 34 3 2" xfId="19507"/>
    <cellStyle name="쉼표 [0] 4 2 3 2 34 3 2 2" xfId="44859"/>
    <cellStyle name="쉼표 [0] 4 2 3 2 34 3 3" xfId="32187"/>
    <cellStyle name="쉼표 [0] 4 2 3 2 34 4" xfId="13171"/>
    <cellStyle name="쉼표 [0] 4 2 3 2 34 4 2" xfId="38523"/>
    <cellStyle name="쉼표 [0] 4 2 3 2 34 5" xfId="25851"/>
    <cellStyle name="쉼표 [0] 4 2 3 2 35" xfId="3600"/>
    <cellStyle name="쉼표 [0] 4 2 3 2 35 2" xfId="9936"/>
    <cellStyle name="쉼표 [0] 4 2 3 2 35 2 2" xfId="22610"/>
    <cellStyle name="쉼표 [0] 4 2 3 2 35 2 2 2" xfId="47962"/>
    <cellStyle name="쉼표 [0] 4 2 3 2 35 2 3" xfId="35290"/>
    <cellStyle name="쉼표 [0] 4 2 3 2 35 3" xfId="16274"/>
    <cellStyle name="쉼표 [0] 4 2 3 2 35 3 2" xfId="41626"/>
    <cellStyle name="쉼표 [0] 4 2 3 2 35 4" xfId="28954"/>
    <cellStyle name="쉼표 [0] 4 2 3 2 36" xfId="6399"/>
    <cellStyle name="쉼표 [0] 4 2 3 2 36 2" xfId="19073"/>
    <cellStyle name="쉼표 [0] 4 2 3 2 36 2 2" xfId="44425"/>
    <cellStyle name="쉼표 [0] 4 2 3 2 36 3" xfId="31753"/>
    <cellStyle name="쉼표 [0] 4 2 3 2 37" xfId="12737"/>
    <cellStyle name="쉼표 [0] 4 2 3 2 37 2" xfId="38089"/>
    <cellStyle name="쉼표 [0] 4 2 3 2 38" xfId="25417"/>
    <cellStyle name="쉼표 [0] 4 2 3 2 4" xfId="497"/>
    <cellStyle name="쉼표 [0] 4 2 3 2 4 2" xfId="498"/>
    <cellStyle name="쉼표 [0] 4 2 3 2 4 2 2" xfId="3601"/>
    <cellStyle name="쉼표 [0] 4 2 3 2 4 2 2 2" xfId="9937"/>
    <cellStyle name="쉼표 [0] 4 2 3 2 4 2 2 2 2" xfId="22611"/>
    <cellStyle name="쉼표 [0] 4 2 3 2 4 2 2 2 2 2" xfId="47963"/>
    <cellStyle name="쉼표 [0] 4 2 3 2 4 2 2 2 3" xfId="35291"/>
    <cellStyle name="쉼표 [0] 4 2 3 2 4 2 2 3" xfId="16275"/>
    <cellStyle name="쉼표 [0] 4 2 3 2 4 2 2 3 2" xfId="41627"/>
    <cellStyle name="쉼표 [0] 4 2 3 2 4 2 2 4" xfId="28955"/>
    <cellStyle name="쉼표 [0] 4 2 3 2 4 2 3" xfId="6835"/>
    <cellStyle name="쉼표 [0] 4 2 3 2 4 2 3 2" xfId="19509"/>
    <cellStyle name="쉼표 [0] 4 2 3 2 4 2 3 2 2" xfId="44861"/>
    <cellStyle name="쉼표 [0] 4 2 3 2 4 2 3 3" xfId="32189"/>
    <cellStyle name="쉼표 [0] 4 2 3 2 4 2 4" xfId="13173"/>
    <cellStyle name="쉼표 [0] 4 2 3 2 4 2 4 2" xfId="38525"/>
    <cellStyle name="쉼표 [0] 4 2 3 2 4 2 5" xfId="25853"/>
    <cellStyle name="쉼표 [0] 4 2 3 2 4 3" xfId="3602"/>
    <cellStyle name="쉼표 [0] 4 2 3 2 4 3 2" xfId="9938"/>
    <cellStyle name="쉼표 [0] 4 2 3 2 4 3 2 2" xfId="22612"/>
    <cellStyle name="쉼표 [0] 4 2 3 2 4 3 2 2 2" xfId="47964"/>
    <cellStyle name="쉼표 [0] 4 2 3 2 4 3 2 3" xfId="35292"/>
    <cellStyle name="쉼표 [0] 4 2 3 2 4 3 3" xfId="16276"/>
    <cellStyle name="쉼표 [0] 4 2 3 2 4 3 3 2" xfId="41628"/>
    <cellStyle name="쉼표 [0] 4 2 3 2 4 3 4" xfId="28956"/>
    <cellStyle name="쉼표 [0] 4 2 3 2 4 4" xfId="6834"/>
    <cellStyle name="쉼표 [0] 4 2 3 2 4 4 2" xfId="19508"/>
    <cellStyle name="쉼표 [0] 4 2 3 2 4 4 2 2" xfId="44860"/>
    <cellStyle name="쉼표 [0] 4 2 3 2 4 4 3" xfId="32188"/>
    <cellStyle name="쉼표 [0] 4 2 3 2 4 5" xfId="13172"/>
    <cellStyle name="쉼표 [0] 4 2 3 2 4 5 2" xfId="38524"/>
    <cellStyle name="쉼표 [0] 4 2 3 2 4 6" xfId="25852"/>
    <cellStyle name="쉼표 [0] 4 2 3 2 5" xfId="499"/>
    <cellStyle name="쉼표 [0] 4 2 3 2 5 2" xfId="500"/>
    <cellStyle name="쉼표 [0] 4 2 3 2 5 2 2" xfId="3603"/>
    <cellStyle name="쉼표 [0] 4 2 3 2 5 2 2 2" xfId="9939"/>
    <cellStyle name="쉼표 [0] 4 2 3 2 5 2 2 2 2" xfId="22613"/>
    <cellStyle name="쉼표 [0] 4 2 3 2 5 2 2 2 2 2" xfId="47965"/>
    <cellStyle name="쉼표 [0] 4 2 3 2 5 2 2 2 3" xfId="35293"/>
    <cellStyle name="쉼표 [0] 4 2 3 2 5 2 2 3" xfId="16277"/>
    <cellStyle name="쉼표 [0] 4 2 3 2 5 2 2 3 2" xfId="41629"/>
    <cellStyle name="쉼표 [0] 4 2 3 2 5 2 2 4" xfId="28957"/>
    <cellStyle name="쉼표 [0] 4 2 3 2 5 2 3" xfId="6837"/>
    <cellStyle name="쉼표 [0] 4 2 3 2 5 2 3 2" xfId="19511"/>
    <cellStyle name="쉼표 [0] 4 2 3 2 5 2 3 2 2" xfId="44863"/>
    <cellStyle name="쉼표 [0] 4 2 3 2 5 2 3 3" xfId="32191"/>
    <cellStyle name="쉼표 [0] 4 2 3 2 5 2 4" xfId="13175"/>
    <cellStyle name="쉼표 [0] 4 2 3 2 5 2 4 2" xfId="38527"/>
    <cellStyle name="쉼표 [0] 4 2 3 2 5 2 5" xfId="25855"/>
    <cellStyle name="쉼표 [0] 4 2 3 2 5 3" xfId="3604"/>
    <cellStyle name="쉼표 [0] 4 2 3 2 5 3 2" xfId="9940"/>
    <cellStyle name="쉼표 [0] 4 2 3 2 5 3 2 2" xfId="22614"/>
    <cellStyle name="쉼표 [0] 4 2 3 2 5 3 2 2 2" xfId="47966"/>
    <cellStyle name="쉼표 [0] 4 2 3 2 5 3 2 3" xfId="35294"/>
    <cellStyle name="쉼표 [0] 4 2 3 2 5 3 3" xfId="16278"/>
    <cellStyle name="쉼표 [0] 4 2 3 2 5 3 3 2" xfId="41630"/>
    <cellStyle name="쉼표 [0] 4 2 3 2 5 3 4" xfId="28958"/>
    <cellStyle name="쉼표 [0] 4 2 3 2 5 4" xfId="6836"/>
    <cellStyle name="쉼표 [0] 4 2 3 2 5 4 2" xfId="19510"/>
    <cellStyle name="쉼표 [0] 4 2 3 2 5 4 2 2" xfId="44862"/>
    <cellStyle name="쉼표 [0] 4 2 3 2 5 4 3" xfId="32190"/>
    <cellStyle name="쉼표 [0] 4 2 3 2 5 5" xfId="13174"/>
    <cellStyle name="쉼표 [0] 4 2 3 2 5 5 2" xfId="38526"/>
    <cellStyle name="쉼표 [0] 4 2 3 2 5 6" xfId="25854"/>
    <cellStyle name="쉼표 [0] 4 2 3 2 6" xfId="501"/>
    <cellStyle name="쉼표 [0] 4 2 3 2 6 2" xfId="502"/>
    <cellStyle name="쉼표 [0] 4 2 3 2 6 2 2" xfId="3605"/>
    <cellStyle name="쉼표 [0] 4 2 3 2 6 2 2 2" xfId="9941"/>
    <cellStyle name="쉼표 [0] 4 2 3 2 6 2 2 2 2" xfId="22615"/>
    <cellStyle name="쉼표 [0] 4 2 3 2 6 2 2 2 2 2" xfId="47967"/>
    <cellStyle name="쉼표 [0] 4 2 3 2 6 2 2 2 3" xfId="35295"/>
    <cellStyle name="쉼표 [0] 4 2 3 2 6 2 2 3" xfId="16279"/>
    <cellStyle name="쉼표 [0] 4 2 3 2 6 2 2 3 2" xfId="41631"/>
    <cellStyle name="쉼표 [0] 4 2 3 2 6 2 2 4" xfId="28959"/>
    <cellStyle name="쉼표 [0] 4 2 3 2 6 2 3" xfId="6839"/>
    <cellStyle name="쉼표 [0] 4 2 3 2 6 2 3 2" xfId="19513"/>
    <cellStyle name="쉼표 [0] 4 2 3 2 6 2 3 2 2" xfId="44865"/>
    <cellStyle name="쉼표 [0] 4 2 3 2 6 2 3 3" xfId="32193"/>
    <cellStyle name="쉼표 [0] 4 2 3 2 6 2 4" xfId="13177"/>
    <cellStyle name="쉼표 [0] 4 2 3 2 6 2 4 2" xfId="38529"/>
    <cellStyle name="쉼표 [0] 4 2 3 2 6 2 5" xfId="25857"/>
    <cellStyle name="쉼표 [0] 4 2 3 2 6 3" xfId="3606"/>
    <cellStyle name="쉼표 [0] 4 2 3 2 6 3 2" xfId="9942"/>
    <cellStyle name="쉼표 [0] 4 2 3 2 6 3 2 2" xfId="22616"/>
    <cellStyle name="쉼표 [0] 4 2 3 2 6 3 2 2 2" xfId="47968"/>
    <cellStyle name="쉼표 [0] 4 2 3 2 6 3 2 3" xfId="35296"/>
    <cellStyle name="쉼표 [0] 4 2 3 2 6 3 3" xfId="16280"/>
    <cellStyle name="쉼표 [0] 4 2 3 2 6 3 3 2" xfId="41632"/>
    <cellStyle name="쉼표 [0] 4 2 3 2 6 3 4" xfId="28960"/>
    <cellStyle name="쉼표 [0] 4 2 3 2 6 4" xfId="6838"/>
    <cellStyle name="쉼표 [0] 4 2 3 2 6 4 2" xfId="19512"/>
    <cellStyle name="쉼표 [0] 4 2 3 2 6 4 2 2" xfId="44864"/>
    <cellStyle name="쉼표 [0] 4 2 3 2 6 4 3" xfId="32192"/>
    <cellStyle name="쉼표 [0] 4 2 3 2 6 5" xfId="13176"/>
    <cellStyle name="쉼표 [0] 4 2 3 2 6 5 2" xfId="38528"/>
    <cellStyle name="쉼표 [0] 4 2 3 2 6 6" xfId="25856"/>
    <cellStyle name="쉼표 [0] 4 2 3 2 7" xfId="503"/>
    <cellStyle name="쉼표 [0] 4 2 3 2 7 2" xfId="504"/>
    <cellStyle name="쉼표 [0] 4 2 3 2 7 2 2" xfId="3607"/>
    <cellStyle name="쉼표 [0] 4 2 3 2 7 2 2 2" xfId="9943"/>
    <cellStyle name="쉼표 [0] 4 2 3 2 7 2 2 2 2" xfId="22617"/>
    <cellStyle name="쉼표 [0] 4 2 3 2 7 2 2 2 2 2" xfId="47969"/>
    <cellStyle name="쉼표 [0] 4 2 3 2 7 2 2 2 3" xfId="35297"/>
    <cellStyle name="쉼표 [0] 4 2 3 2 7 2 2 3" xfId="16281"/>
    <cellStyle name="쉼표 [0] 4 2 3 2 7 2 2 3 2" xfId="41633"/>
    <cellStyle name="쉼표 [0] 4 2 3 2 7 2 2 4" xfId="28961"/>
    <cellStyle name="쉼표 [0] 4 2 3 2 7 2 3" xfId="6841"/>
    <cellStyle name="쉼표 [0] 4 2 3 2 7 2 3 2" xfId="19515"/>
    <cellStyle name="쉼표 [0] 4 2 3 2 7 2 3 2 2" xfId="44867"/>
    <cellStyle name="쉼표 [0] 4 2 3 2 7 2 3 3" xfId="32195"/>
    <cellStyle name="쉼표 [0] 4 2 3 2 7 2 4" xfId="13179"/>
    <cellStyle name="쉼표 [0] 4 2 3 2 7 2 4 2" xfId="38531"/>
    <cellStyle name="쉼표 [0] 4 2 3 2 7 2 5" xfId="25859"/>
    <cellStyle name="쉼표 [0] 4 2 3 2 7 3" xfId="3608"/>
    <cellStyle name="쉼표 [0] 4 2 3 2 7 3 2" xfId="9944"/>
    <cellStyle name="쉼표 [0] 4 2 3 2 7 3 2 2" xfId="22618"/>
    <cellStyle name="쉼표 [0] 4 2 3 2 7 3 2 2 2" xfId="47970"/>
    <cellStyle name="쉼표 [0] 4 2 3 2 7 3 2 3" xfId="35298"/>
    <cellStyle name="쉼표 [0] 4 2 3 2 7 3 3" xfId="16282"/>
    <cellStyle name="쉼표 [0] 4 2 3 2 7 3 3 2" xfId="41634"/>
    <cellStyle name="쉼표 [0] 4 2 3 2 7 3 4" xfId="28962"/>
    <cellStyle name="쉼표 [0] 4 2 3 2 7 4" xfId="6840"/>
    <cellStyle name="쉼표 [0] 4 2 3 2 7 4 2" xfId="19514"/>
    <cellStyle name="쉼표 [0] 4 2 3 2 7 4 2 2" xfId="44866"/>
    <cellStyle name="쉼표 [0] 4 2 3 2 7 4 3" xfId="32194"/>
    <cellStyle name="쉼표 [0] 4 2 3 2 7 5" xfId="13178"/>
    <cellStyle name="쉼표 [0] 4 2 3 2 7 5 2" xfId="38530"/>
    <cellStyle name="쉼표 [0] 4 2 3 2 7 6" xfId="25858"/>
    <cellStyle name="쉼표 [0] 4 2 3 2 8" xfId="505"/>
    <cellStyle name="쉼표 [0] 4 2 3 2 8 2" xfId="506"/>
    <cellStyle name="쉼표 [0] 4 2 3 2 8 2 2" xfId="3609"/>
    <cellStyle name="쉼표 [0] 4 2 3 2 8 2 2 2" xfId="9945"/>
    <cellStyle name="쉼표 [0] 4 2 3 2 8 2 2 2 2" xfId="22619"/>
    <cellStyle name="쉼표 [0] 4 2 3 2 8 2 2 2 2 2" xfId="47971"/>
    <cellStyle name="쉼표 [0] 4 2 3 2 8 2 2 2 3" xfId="35299"/>
    <cellStyle name="쉼표 [0] 4 2 3 2 8 2 2 3" xfId="16283"/>
    <cellStyle name="쉼표 [0] 4 2 3 2 8 2 2 3 2" xfId="41635"/>
    <cellStyle name="쉼표 [0] 4 2 3 2 8 2 2 4" xfId="28963"/>
    <cellStyle name="쉼표 [0] 4 2 3 2 8 2 3" xfId="6843"/>
    <cellStyle name="쉼표 [0] 4 2 3 2 8 2 3 2" xfId="19517"/>
    <cellStyle name="쉼표 [0] 4 2 3 2 8 2 3 2 2" xfId="44869"/>
    <cellStyle name="쉼표 [0] 4 2 3 2 8 2 3 3" xfId="32197"/>
    <cellStyle name="쉼표 [0] 4 2 3 2 8 2 4" xfId="13181"/>
    <cellStyle name="쉼표 [0] 4 2 3 2 8 2 4 2" xfId="38533"/>
    <cellStyle name="쉼표 [0] 4 2 3 2 8 2 5" xfId="25861"/>
    <cellStyle name="쉼표 [0] 4 2 3 2 8 3" xfId="3610"/>
    <cellStyle name="쉼표 [0] 4 2 3 2 8 3 2" xfId="9946"/>
    <cellStyle name="쉼표 [0] 4 2 3 2 8 3 2 2" xfId="22620"/>
    <cellStyle name="쉼표 [0] 4 2 3 2 8 3 2 2 2" xfId="47972"/>
    <cellStyle name="쉼표 [0] 4 2 3 2 8 3 2 3" xfId="35300"/>
    <cellStyle name="쉼표 [0] 4 2 3 2 8 3 3" xfId="16284"/>
    <cellStyle name="쉼표 [0] 4 2 3 2 8 3 3 2" xfId="41636"/>
    <cellStyle name="쉼표 [0] 4 2 3 2 8 3 4" xfId="28964"/>
    <cellStyle name="쉼표 [0] 4 2 3 2 8 4" xfId="6842"/>
    <cellStyle name="쉼표 [0] 4 2 3 2 8 4 2" xfId="19516"/>
    <cellStyle name="쉼표 [0] 4 2 3 2 8 4 2 2" xfId="44868"/>
    <cellStyle name="쉼표 [0] 4 2 3 2 8 4 3" xfId="32196"/>
    <cellStyle name="쉼표 [0] 4 2 3 2 8 5" xfId="13180"/>
    <cellStyle name="쉼표 [0] 4 2 3 2 8 5 2" xfId="38532"/>
    <cellStyle name="쉼표 [0] 4 2 3 2 8 6" xfId="25860"/>
    <cellStyle name="쉼표 [0] 4 2 3 2 9" xfId="507"/>
    <cellStyle name="쉼표 [0] 4 2 3 2 9 2" xfId="508"/>
    <cellStyle name="쉼표 [0] 4 2 3 2 9 2 2" xfId="3611"/>
    <cellStyle name="쉼표 [0] 4 2 3 2 9 2 2 2" xfId="9947"/>
    <cellStyle name="쉼표 [0] 4 2 3 2 9 2 2 2 2" xfId="22621"/>
    <cellStyle name="쉼표 [0] 4 2 3 2 9 2 2 2 2 2" xfId="47973"/>
    <cellStyle name="쉼표 [0] 4 2 3 2 9 2 2 2 3" xfId="35301"/>
    <cellStyle name="쉼표 [0] 4 2 3 2 9 2 2 3" xfId="16285"/>
    <cellStyle name="쉼표 [0] 4 2 3 2 9 2 2 3 2" xfId="41637"/>
    <cellStyle name="쉼표 [0] 4 2 3 2 9 2 2 4" xfId="28965"/>
    <cellStyle name="쉼표 [0] 4 2 3 2 9 2 3" xfId="6845"/>
    <cellStyle name="쉼표 [0] 4 2 3 2 9 2 3 2" xfId="19519"/>
    <cellStyle name="쉼표 [0] 4 2 3 2 9 2 3 2 2" xfId="44871"/>
    <cellStyle name="쉼표 [0] 4 2 3 2 9 2 3 3" xfId="32199"/>
    <cellStyle name="쉼표 [0] 4 2 3 2 9 2 4" xfId="13183"/>
    <cellStyle name="쉼표 [0] 4 2 3 2 9 2 4 2" xfId="38535"/>
    <cellStyle name="쉼표 [0] 4 2 3 2 9 2 5" xfId="25863"/>
    <cellStyle name="쉼표 [0] 4 2 3 2 9 3" xfId="3612"/>
    <cellStyle name="쉼표 [0] 4 2 3 2 9 3 2" xfId="9948"/>
    <cellStyle name="쉼표 [0] 4 2 3 2 9 3 2 2" xfId="22622"/>
    <cellStyle name="쉼표 [0] 4 2 3 2 9 3 2 2 2" xfId="47974"/>
    <cellStyle name="쉼표 [0] 4 2 3 2 9 3 2 3" xfId="35302"/>
    <cellStyle name="쉼표 [0] 4 2 3 2 9 3 3" xfId="16286"/>
    <cellStyle name="쉼표 [0] 4 2 3 2 9 3 3 2" xfId="41638"/>
    <cellStyle name="쉼표 [0] 4 2 3 2 9 3 4" xfId="28966"/>
    <cellStyle name="쉼표 [0] 4 2 3 2 9 4" xfId="6844"/>
    <cellStyle name="쉼표 [0] 4 2 3 2 9 4 2" xfId="19518"/>
    <cellStyle name="쉼표 [0] 4 2 3 2 9 4 2 2" xfId="44870"/>
    <cellStyle name="쉼표 [0] 4 2 3 2 9 4 3" xfId="32198"/>
    <cellStyle name="쉼표 [0] 4 2 3 2 9 5" xfId="13182"/>
    <cellStyle name="쉼표 [0] 4 2 3 2 9 5 2" xfId="38534"/>
    <cellStyle name="쉼표 [0] 4 2 3 2 9 6" xfId="25862"/>
    <cellStyle name="쉼표 [0] 4 2 3 20" xfId="509"/>
    <cellStyle name="쉼표 [0] 4 2 3 20 2" xfId="510"/>
    <cellStyle name="쉼표 [0] 4 2 3 20 2 2" xfId="3613"/>
    <cellStyle name="쉼표 [0] 4 2 3 20 2 2 2" xfId="9949"/>
    <cellStyle name="쉼표 [0] 4 2 3 20 2 2 2 2" xfId="22623"/>
    <cellStyle name="쉼표 [0] 4 2 3 20 2 2 2 2 2" xfId="47975"/>
    <cellStyle name="쉼표 [0] 4 2 3 20 2 2 2 3" xfId="35303"/>
    <cellStyle name="쉼표 [0] 4 2 3 20 2 2 3" xfId="16287"/>
    <cellStyle name="쉼표 [0] 4 2 3 20 2 2 3 2" xfId="41639"/>
    <cellStyle name="쉼표 [0] 4 2 3 20 2 2 4" xfId="28967"/>
    <cellStyle name="쉼표 [0] 4 2 3 20 2 3" xfId="6847"/>
    <cellStyle name="쉼표 [0] 4 2 3 20 2 3 2" xfId="19521"/>
    <cellStyle name="쉼표 [0] 4 2 3 20 2 3 2 2" xfId="44873"/>
    <cellStyle name="쉼표 [0] 4 2 3 20 2 3 3" xfId="32201"/>
    <cellStyle name="쉼표 [0] 4 2 3 20 2 4" xfId="13185"/>
    <cellStyle name="쉼표 [0] 4 2 3 20 2 4 2" xfId="38537"/>
    <cellStyle name="쉼표 [0] 4 2 3 20 2 5" xfId="25865"/>
    <cellStyle name="쉼표 [0] 4 2 3 20 3" xfId="3614"/>
    <cellStyle name="쉼표 [0] 4 2 3 20 3 2" xfId="9950"/>
    <cellStyle name="쉼표 [0] 4 2 3 20 3 2 2" xfId="22624"/>
    <cellStyle name="쉼표 [0] 4 2 3 20 3 2 2 2" xfId="47976"/>
    <cellStyle name="쉼표 [0] 4 2 3 20 3 2 3" xfId="35304"/>
    <cellStyle name="쉼표 [0] 4 2 3 20 3 3" xfId="16288"/>
    <cellStyle name="쉼표 [0] 4 2 3 20 3 3 2" xfId="41640"/>
    <cellStyle name="쉼표 [0] 4 2 3 20 3 4" xfId="28968"/>
    <cellStyle name="쉼표 [0] 4 2 3 20 4" xfId="6846"/>
    <cellStyle name="쉼표 [0] 4 2 3 20 4 2" xfId="19520"/>
    <cellStyle name="쉼표 [0] 4 2 3 20 4 2 2" xfId="44872"/>
    <cellStyle name="쉼표 [0] 4 2 3 20 4 3" xfId="32200"/>
    <cellStyle name="쉼표 [0] 4 2 3 20 5" xfId="13184"/>
    <cellStyle name="쉼표 [0] 4 2 3 20 5 2" xfId="38536"/>
    <cellStyle name="쉼표 [0] 4 2 3 20 6" xfId="25864"/>
    <cellStyle name="쉼표 [0] 4 2 3 21" xfId="511"/>
    <cellStyle name="쉼표 [0] 4 2 3 21 2" xfId="512"/>
    <cellStyle name="쉼표 [0] 4 2 3 21 2 2" xfId="3615"/>
    <cellStyle name="쉼표 [0] 4 2 3 21 2 2 2" xfId="9951"/>
    <cellStyle name="쉼표 [0] 4 2 3 21 2 2 2 2" xfId="22625"/>
    <cellStyle name="쉼표 [0] 4 2 3 21 2 2 2 2 2" xfId="47977"/>
    <cellStyle name="쉼표 [0] 4 2 3 21 2 2 2 3" xfId="35305"/>
    <cellStyle name="쉼표 [0] 4 2 3 21 2 2 3" xfId="16289"/>
    <cellStyle name="쉼표 [0] 4 2 3 21 2 2 3 2" xfId="41641"/>
    <cellStyle name="쉼표 [0] 4 2 3 21 2 2 4" xfId="28969"/>
    <cellStyle name="쉼표 [0] 4 2 3 21 2 3" xfId="6849"/>
    <cellStyle name="쉼표 [0] 4 2 3 21 2 3 2" xfId="19523"/>
    <cellStyle name="쉼표 [0] 4 2 3 21 2 3 2 2" xfId="44875"/>
    <cellStyle name="쉼표 [0] 4 2 3 21 2 3 3" xfId="32203"/>
    <cellStyle name="쉼표 [0] 4 2 3 21 2 4" xfId="13187"/>
    <cellStyle name="쉼표 [0] 4 2 3 21 2 4 2" xfId="38539"/>
    <cellStyle name="쉼표 [0] 4 2 3 21 2 5" xfId="25867"/>
    <cellStyle name="쉼표 [0] 4 2 3 21 3" xfId="3616"/>
    <cellStyle name="쉼표 [0] 4 2 3 21 3 2" xfId="9952"/>
    <cellStyle name="쉼표 [0] 4 2 3 21 3 2 2" xfId="22626"/>
    <cellStyle name="쉼표 [0] 4 2 3 21 3 2 2 2" xfId="47978"/>
    <cellStyle name="쉼표 [0] 4 2 3 21 3 2 3" xfId="35306"/>
    <cellStyle name="쉼표 [0] 4 2 3 21 3 3" xfId="16290"/>
    <cellStyle name="쉼표 [0] 4 2 3 21 3 3 2" xfId="41642"/>
    <cellStyle name="쉼표 [0] 4 2 3 21 3 4" xfId="28970"/>
    <cellStyle name="쉼표 [0] 4 2 3 21 4" xfId="6848"/>
    <cellStyle name="쉼표 [0] 4 2 3 21 4 2" xfId="19522"/>
    <cellStyle name="쉼표 [0] 4 2 3 21 4 2 2" xfId="44874"/>
    <cellStyle name="쉼표 [0] 4 2 3 21 4 3" xfId="32202"/>
    <cellStyle name="쉼표 [0] 4 2 3 21 5" xfId="13186"/>
    <cellStyle name="쉼표 [0] 4 2 3 21 5 2" xfId="38538"/>
    <cellStyle name="쉼표 [0] 4 2 3 21 6" xfId="25866"/>
    <cellStyle name="쉼표 [0] 4 2 3 22" xfId="513"/>
    <cellStyle name="쉼표 [0] 4 2 3 22 2" xfId="514"/>
    <cellStyle name="쉼표 [0] 4 2 3 22 2 2" xfId="3617"/>
    <cellStyle name="쉼표 [0] 4 2 3 22 2 2 2" xfId="9953"/>
    <cellStyle name="쉼표 [0] 4 2 3 22 2 2 2 2" xfId="22627"/>
    <cellStyle name="쉼표 [0] 4 2 3 22 2 2 2 2 2" xfId="47979"/>
    <cellStyle name="쉼표 [0] 4 2 3 22 2 2 2 3" xfId="35307"/>
    <cellStyle name="쉼표 [0] 4 2 3 22 2 2 3" xfId="16291"/>
    <cellStyle name="쉼표 [0] 4 2 3 22 2 2 3 2" xfId="41643"/>
    <cellStyle name="쉼표 [0] 4 2 3 22 2 2 4" xfId="28971"/>
    <cellStyle name="쉼표 [0] 4 2 3 22 2 3" xfId="6851"/>
    <cellStyle name="쉼표 [0] 4 2 3 22 2 3 2" xfId="19525"/>
    <cellStyle name="쉼표 [0] 4 2 3 22 2 3 2 2" xfId="44877"/>
    <cellStyle name="쉼표 [0] 4 2 3 22 2 3 3" xfId="32205"/>
    <cellStyle name="쉼표 [0] 4 2 3 22 2 4" xfId="13189"/>
    <cellStyle name="쉼표 [0] 4 2 3 22 2 4 2" xfId="38541"/>
    <cellStyle name="쉼표 [0] 4 2 3 22 2 5" xfId="25869"/>
    <cellStyle name="쉼표 [0] 4 2 3 22 3" xfId="3618"/>
    <cellStyle name="쉼표 [0] 4 2 3 22 3 2" xfId="9954"/>
    <cellStyle name="쉼표 [0] 4 2 3 22 3 2 2" xfId="22628"/>
    <cellStyle name="쉼표 [0] 4 2 3 22 3 2 2 2" xfId="47980"/>
    <cellStyle name="쉼표 [0] 4 2 3 22 3 2 3" xfId="35308"/>
    <cellStyle name="쉼표 [0] 4 2 3 22 3 3" xfId="16292"/>
    <cellStyle name="쉼표 [0] 4 2 3 22 3 3 2" xfId="41644"/>
    <cellStyle name="쉼표 [0] 4 2 3 22 3 4" xfId="28972"/>
    <cellStyle name="쉼표 [0] 4 2 3 22 4" xfId="6850"/>
    <cellStyle name="쉼표 [0] 4 2 3 22 4 2" xfId="19524"/>
    <cellStyle name="쉼표 [0] 4 2 3 22 4 2 2" xfId="44876"/>
    <cellStyle name="쉼표 [0] 4 2 3 22 4 3" xfId="32204"/>
    <cellStyle name="쉼표 [0] 4 2 3 22 5" xfId="13188"/>
    <cellStyle name="쉼표 [0] 4 2 3 22 5 2" xfId="38540"/>
    <cellStyle name="쉼표 [0] 4 2 3 22 6" xfId="25868"/>
    <cellStyle name="쉼표 [0] 4 2 3 23" xfId="515"/>
    <cellStyle name="쉼표 [0] 4 2 3 23 2" xfId="516"/>
    <cellStyle name="쉼표 [0] 4 2 3 23 2 2" xfId="3619"/>
    <cellStyle name="쉼표 [0] 4 2 3 23 2 2 2" xfId="9955"/>
    <cellStyle name="쉼표 [0] 4 2 3 23 2 2 2 2" xfId="22629"/>
    <cellStyle name="쉼표 [0] 4 2 3 23 2 2 2 2 2" xfId="47981"/>
    <cellStyle name="쉼표 [0] 4 2 3 23 2 2 2 3" xfId="35309"/>
    <cellStyle name="쉼표 [0] 4 2 3 23 2 2 3" xfId="16293"/>
    <cellStyle name="쉼표 [0] 4 2 3 23 2 2 3 2" xfId="41645"/>
    <cellStyle name="쉼표 [0] 4 2 3 23 2 2 4" xfId="28973"/>
    <cellStyle name="쉼표 [0] 4 2 3 23 2 3" xfId="6853"/>
    <cellStyle name="쉼표 [0] 4 2 3 23 2 3 2" xfId="19527"/>
    <cellStyle name="쉼표 [0] 4 2 3 23 2 3 2 2" xfId="44879"/>
    <cellStyle name="쉼표 [0] 4 2 3 23 2 3 3" xfId="32207"/>
    <cellStyle name="쉼표 [0] 4 2 3 23 2 4" xfId="13191"/>
    <cellStyle name="쉼표 [0] 4 2 3 23 2 4 2" xfId="38543"/>
    <cellStyle name="쉼표 [0] 4 2 3 23 2 5" xfId="25871"/>
    <cellStyle name="쉼표 [0] 4 2 3 23 3" xfId="3620"/>
    <cellStyle name="쉼표 [0] 4 2 3 23 3 2" xfId="9956"/>
    <cellStyle name="쉼표 [0] 4 2 3 23 3 2 2" xfId="22630"/>
    <cellStyle name="쉼표 [0] 4 2 3 23 3 2 2 2" xfId="47982"/>
    <cellStyle name="쉼표 [0] 4 2 3 23 3 2 3" xfId="35310"/>
    <cellStyle name="쉼표 [0] 4 2 3 23 3 3" xfId="16294"/>
    <cellStyle name="쉼표 [0] 4 2 3 23 3 3 2" xfId="41646"/>
    <cellStyle name="쉼표 [0] 4 2 3 23 3 4" xfId="28974"/>
    <cellStyle name="쉼표 [0] 4 2 3 23 4" xfId="6852"/>
    <cellStyle name="쉼표 [0] 4 2 3 23 4 2" xfId="19526"/>
    <cellStyle name="쉼표 [0] 4 2 3 23 4 2 2" xfId="44878"/>
    <cellStyle name="쉼표 [0] 4 2 3 23 4 3" xfId="32206"/>
    <cellStyle name="쉼표 [0] 4 2 3 23 5" xfId="13190"/>
    <cellStyle name="쉼표 [0] 4 2 3 23 5 2" xfId="38542"/>
    <cellStyle name="쉼표 [0] 4 2 3 23 6" xfId="25870"/>
    <cellStyle name="쉼표 [0] 4 2 3 24" xfId="517"/>
    <cellStyle name="쉼표 [0] 4 2 3 24 2" xfId="518"/>
    <cellStyle name="쉼표 [0] 4 2 3 24 2 2" xfId="3621"/>
    <cellStyle name="쉼표 [0] 4 2 3 24 2 2 2" xfId="9957"/>
    <cellStyle name="쉼표 [0] 4 2 3 24 2 2 2 2" xfId="22631"/>
    <cellStyle name="쉼표 [0] 4 2 3 24 2 2 2 2 2" xfId="47983"/>
    <cellStyle name="쉼표 [0] 4 2 3 24 2 2 2 3" xfId="35311"/>
    <cellStyle name="쉼표 [0] 4 2 3 24 2 2 3" xfId="16295"/>
    <cellStyle name="쉼표 [0] 4 2 3 24 2 2 3 2" xfId="41647"/>
    <cellStyle name="쉼표 [0] 4 2 3 24 2 2 4" xfId="28975"/>
    <cellStyle name="쉼표 [0] 4 2 3 24 2 3" xfId="6855"/>
    <cellStyle name="쉼표 [0] 4 2 3 24 2 3 2" xfId="19529"/>
    <cellStyle name="쉼표 [0] 4 2 3 24 2 3 2 2" xfId="44881"/>
    <cellStyle name="쉼표 [0] 4 2 3 24 2 3 3" xfId="32209"/>
    <cellStyle name="쉼표 [0] 4 2 3 24 2 4" xfId="13193"/>
    <cellStyle name="쉼표 [0] 4 2 3 24 2 4 2" xfId="38545"/>
    <cellStyle name="쉼표 [0] 4 2 3 24 2 5" xfId="25873"/>
    <cellStyle name="쉼표 [0] 4 2 3 24 3" xfId="3622"/>
    <cellStyle name="쉼표 [0] 4 2 3 24 3 2" xfId="9958"/>
    <cellStyle name="쉼표 [0] 4 2 3 24 3 2 2" xfId="22632"/>
    <cellStyle name="쉼표 [0] 4 2 3 24 3 2 2 2" xfId="47984"/>
    <cellStyle name="쉼표 [0] 4 2 3 24 3 2 3" xfId="35312"/>
    <cellStyle name="쉼표 [0] 4 2 3 24 3 3" xfId="16296"/>
    <cellStyle name="쉼표 [0] 4 2 3 24 3 3 2" xfId="41648"/>
    <cellStyle name="쉼표 [0] 4 2 3 24 3 4" xfId="28976"/>
    <cellStyle name="쉼표 [0] 4 2 3 24 4" xfId="6854"/>
    <cellStyle name="쉼표 [0] 4 2 3 24 4 2" xfId="19528"/>
    <cellStyle name="쉼표 [0] 4 2 3 24 4 2 2" xfId="44880"/>
    <cellStyle name="쉼표 [0] 4 2 3 24 4 3" xfId="32208"/>
    <cellStyle name="쉼표 [0] 4 2 3 24 5" xfId="13192"/>
    <cellStyle name="쉼표 [0] 4 2 3 24 5 2" xfId="38544"/>
    <cellStyle name="쉼표 [0] 4 2 3 24 6" xfId="25872"/>
    <cellStyle name="쉼표 [0] 4 2 3 25" xfId="519"/>
    <cellStyle name="쉼표 [0] 4 2 3 25 2" xfId="520"/>
    <cellStyle name="쉼표 [0] 4 2 3 25 2 2" xfId="3623"/>
    <cellStyle name="쉼표 [0] 4 2 3 25 2 2 2" xfId="9959"/>
    <cellStyle name="쉼표 [0] 4 2 3 25 2 2 2 2" xfId="22633"/>
    <cellStyle name="쉼표 [0] 4 2 3 25 2 2 2 2 2" xfId="47985"/>
    <cellStyle name="쉼표 [0] 4 2 3 25 2 2 2 3" xfId="35313"/>
    <cellStyle name="쉼표 [0] 4 2 3 25 2 2 3" xfId="16297"/>
    <cellStyle name="쉼표 [0] 4 2 3 25 2 2 3 2" xfId="41649"/>
    <cellStyle name="쉼표 [0] 4 2 3 25 2 2 4" xfId="28977"/>
    <cellStyle name="쉼표 [0] 4 2 3 25 2 3" xfId="6857"/>
    <cellStyle name="쉼표 [0] 4 2 3 25 2 3 2" xfId="19531"/>
    <cellStyle name="쉼표 [0] 4 2 3 25 2 3 2 2" xfId="44883"/>
    <cellStyle name="쉼표 [0] 4 2 3 25 2 3 3" xfId="32211"/>
    <cellStyle name="쉼표 [0] 4 2 3 25 2 4" xfId="13195"/>
    <cellStyle name="쉼표 [0] 4 2 3 25 2 4 2" xfId="38547"/>
    <cellStyle name="쉼표 [0] 4 2 3 25 2 5" xfId="25875"/>
    <cellStyle name="쉼표 [0] 4 2 3 25 3" xfId="3624"/>
    <cellStyle name="쉼표 [0] 4 2 3 25 3 2" xfId="9960"/>
    <cellStyle name="쉼표 [0] 4 2 3 25 3 2 2" xfId="22634"/>
    <cellStyle name="쉼표 [0] 4 2 3 25 3 2 2 2" xfId="47986"/>
    <cellStyle name="쉼표 [0] 4 2 3 25 3 2 3" xfId="35314"/>
    <cellStyle name="쉼표 [0] 4 2 3 25 3 3" xfId="16298"/>
    <cellStyle name="쉼표 [0] 4 2 3 25 3 3 2" xfId="41650"/>
    <cellStyle name="쉼표 [0] 4 2 3 25 3 4" xfId="28978"/>
    <cellStyle name="쉼표 [0] 4 2 3 25 4" xfId="6856"/>
    <cellStyle name="쉼표 [0] 4 2 3 25 4 2" xfId="19530"/>
    <cellStyle name="쉼표 [0] 4 2 3 25 4 2 2" xfId="44882"/>
    <cellStyle name="쉼표 [0] 4 2 3 25 4 3" xfId="32210"/>
    <cellStyle name="쉼표 [0] 4 2 3 25 5" xfId="13194"/>
    <cellStyle name="쉼표 [0] 4 2 3 25 5 2" xfId="38546"/>
    <cellStyle name="쉼표 [0] 4 2 3 25 6" xfId="25874"/>
    <cellStyle name="쉼표 [0] 4 2 3 26" xfId="521"/>
    <cellStyle name="쉼표 [0] 4 2 3 26 2" xfId="522"/>
    <cellStyle name="쉼표 [0] 4 2 3 26 2 2" xfId="3625"/>
    <cellStyle name="쉼표 [0] 4 2 3 26 2 2 2" xfId="9961"/>
    <cellStyle name="쉼표 [0] 4 2 3 26 2 2 2 2" xfId="22635"/>
    <cellStyle name="쉼표 [0] 4 2 3 26 2 2 2 2 2" xfId="47987"/>
    <cellStyle name="쉼표 [0] 4 2 3 26 2 2 2 3" xfId="35315"/>
    <cellStyle name="쉼표 [0] 4 2 3 26 2 2 3" xfId="16299"/>
    <cellStyle name="쉼표 [0] 4 2 3 26 2 2 3 2" xfId="41651"/>
    <cellStyle name="쉼표 [0] 4 2 3 26 2 2 4" xfId="28979"/>
    <cellStyle name="쉼표 [0] 4 2 3 26 2 3" xfId="6859"/>
    <cellStyle name="쉼표 [0] 4 2 3 26 2 3 2" xfId="19533"/>
    <cellStyle name="쉼표 [0] 4 2 3 26 2 3 2 2" xfId="44885"/>
    <cellStyle name="쉼표 [0] 4 2 3 26 2 3 3" xfId="32213"/>
    <cellStyle name="쉼표 [0] 4 2 3 26 2 4" xfId="13197"/>
    <cellStyle name="쉼표 [0] 4 2 3 26 2 4 2" xfId="38549"/>
    <cellStyle name="쉼표 [0] 4 2 3 26 2 5" xfId="25877"/>
    <cellStyle name="쉼표 [0] 4 2 3 26 3" xfId="3626"/>
    <cellStyle name="쉼표 [0] 4 2 3 26 3 2" xfId="9962"/>
    <cellStyle name="쉼표 [0] 4 2 3 26 3 2 2" xfId="22636"/>
    <cellStyle name="쉼표 [0] 4 2 3 26 3 2 2 2" xfId="47988"/>
    <cellStyle name="쉼표 [0] 4 2 3 26 3 2 3" xfId="35316"/>
    <cellStyle name="쉼표 [0] 4 2 3 26 3 3" xfId="16300"/>
    <cellStyle name="쉼표 [0] 4 2 3 26 3 3 2" xfId="41652"/>
    <cellStyle name="쉼표 [0] 4 2 3 26 3 4" xfId="28980"/>
    <cellStyle name="쉼표 [0] 4 2 3 26 4" xfId="6858"/>
    <cellStyle name="쉼표 [0] 4 2 3 26 4 2" xfId="19532"/>
    <cellStyle name="쉼표 [0] 4 2 3 26 4 2 2" xfId="44884"/>
    <cellStyle name="쉼표 [0] 4 2 3 26 4 3" xfId="32212"/>
    <cellStyle name="쉼표 [0] 4 2 3 26 5" xfId="13196"/>
    <cellStyle name="쉼표 [0] 4 2 3 26 5 2" xfId="38548"/>
    <cellStyle name="쉼표 [0] 4 2 3 26 6" xfId="25876"/>
    <cellStyle name="쉼표 [0] 4 2 3 27" xfId="523"/>
    <cellStyle name="쉼표 [0] 4 2 3 27 2" xfId="524"/>
    <cellStyle name="쉼표 [0] 4 2 3 27 2 2" xfId="3627"/>
    <cellStyle name="쉼표 [0] 4 2 3 27 2 2 2" xfId="9963"/>
    <cellStyle name="쉼표 [0] 4 2 3 27 2 2 2 2" xfId="22637"/>
    <cellStyle name="쉼표 [0] 4 2 3 27 2 2 2 2 2" xfId="47989"/>
    <cellStyle name="쉼표 [0] 4 2 3 27 2 2 2 3" xfId="35317"/>
    <cellStyle name="쉼표 [0] 4 2 3 27 2 2 3" xfId="16301"/>
    <cellStyle name="쉼표 [0] 4 2 3 27 2 2 3 2" xfId="41653"/>
    <cellStyle name="쉼표 [0] 4 2 3 27 2 2 4" xfId="28981"/>
    <cellStyle name="쉼표 [0] 4 2 3 27 2 3" xfId="6861"/>
    <cellStyle name="쉼표 [0] 4 2 3 27 2 3 2" xfId="19535"/>
    <cellStyle name="쉼표 [0] 4 2 3 27 2 3 2 2" xfId="44887"/>
    <cellStyle name="쉼표 [0] 4 2 3 27 2 3 3" xfId="32215"/>
    <cellStyle name="쉼표 [0] 4 2 3 27 2 4" xfId="13199"/>
    <cellStyle name="쉼표 [0] 4 2 3 27 2 4 2" xfId="38551"/>
    <cellStyle name="쉼표 [0] 4 2 3 27 2 5" xfId="25879"/>
    <cellStyle name="쉼표 [0] 4 2 3 27 3" xfId="3628"/>
    <cellStyle name="쉼표 [0] 4 2 3 27 3 2" xfId="9964"/>
    <cellStyle name="쉼표 [0] 4 2 3 27 3 2 2" xfId="22638"/>
    <cellStyle name="쉼표 [0] 4 2 3 27 3 2 2 2" xfId="47990"/>
    <cellStyle name="쉼표 [0] 4 2 3 27 3 2 3" xfId="35318"/>
    <cellStyle name="쉼표 [0] 4 2 3 27 3 3" xfId="16302"/>
    <cellStyle name="쉼표 [0] 4 2 3 27 3 3 2" xfId="41654"/>
    <cellStyle name="쉼표 [0] 4 2 3 27 3 4" xfId="28982"/>
    <cellStyle name="쉼표 [0] 4 2 3 27 4" xfId="6860"/>
    <cellStyle name="쉼표 [0] 4 2 3 27 4 2" xfId="19534"/>
    <cellStyle name="쉼표 [0] 4 2 3 27 4 2 2" xfId="44886"/>
    <cellStyle name="쉼표 [0] 4 2 3 27 4 3" xfId="32214"/>
    <cellStyle name="쉼표 [0] 4 2 3 27 5" xfId="13198"/>
    <cellStyle name="쉼표 [0] 4 2 3 27 5 2" xfId="38550"/>
    <cellStyle name="쉼표 [0] 4 2 3 27 6" xfId="25878"/>
    <cellStyle name="쉼표 [0] 4 2 3 28" xfId="525"/>
    <cellStyle name="쉼표 [0] 4 2 3 28 2" xfId="526"/>
    <cellStyle name="쉼표 [0] 4 2 3 28 2 2" xfId="3629"/>
    <cellStyle name="쉼표 [0] 4 2 3 28 2 2 2" xfId="9965"/>
    <cellStyle name="쉼표 [0] 4 2 3 28 2 2 2 2" xfId="22639"/>
    <cellStyle name="쉼표 [0] 4 2 3 28 2 2 2 2 2" xfId="47991"/>
    <cellStyle name="쉼표 [0] 4 2 3 28 2 2 2 3" xfId="35319"/>
    <cellStyle name="쉼표 [0] 4 2 3 28 2 2 3" xfId="16303"/>
    <cellStyle name="쉼표 [0] 4 2 3 28 2 2 3 2" xfId="41655"/>
    <cellStyle name="쉼표 [0] 4 2 3 28 2 2 4" xfId="28983"/>
    <cellStyle name="쉼표 [0] 4 2 3 28 2 3" xfId="6863"/>
    <cellStyle name="쉼표 [0] 4 2 3 28 2 3 2" xfId="19537"/>
    <cellStyle name="쉼표 [0] 4 2 3 28 2 3 2 2" xfId="44889"/>
    <cellStyle name="쉼표 [0] 4 2 3 28 2 3 3" xfId="32217"/>
    <cellStyle name="쉼표 [0] 4 2 3 28 2 4" xfId="13201"/>
    <cellStyle name="쉼표 [0] 4 2 3 28 2 4 2" xfId="38553"/>
    <cellStyle name="쉼표 [0] 4 2 3 28 2 5" xfId="25881"/>
    <cellStyle name="쉼표 [0] 4 2 3 28 3" xfId="3630"/>
    <cellStyle name="쉼표 [0] 4 2 3 28 3 2" xfId="9966"/>
    <cellStyle name="쉼표 [0] 4 2 3 28 3 2 2" xfId="22640"/>
    <cellStyle name="쉼표 [0] 4 2 3 28 3 2 2 2" xfId="47992"/>
    <cellStyle name="쉼표 [0] 4 2 3 28 3 2 3" xfId="35320"/>
    <cellStyle name="쉼표 [0] 4 2 3 28 3 3" xfId="16304"/>
    <cellStyle name="쉼표 [0] 4 2 3 28 3 3 2" xfId="41656"/>
    <cellStyle name="쉼표 [0] 4 2 3 28 3 4" xfId="28984"/>
    <cellStyle name="쉼표 [0] 4 2 3 28 4" xfId="6862"/>
    <cellStyle name="쉼표 [0] 4 2 3 28 4 2" xfId="19536"/>
    <cellStyle name="쉼표 [0] 4 2 3 28 4 2 2" xfId="44888"/>
    <cellStyle name="쉼표 [0] 4 2 3 28 4 3" xfId="32216"/>
    <cellStyle name="쉼표 [0] 4 2 3 28 5" xfId="13200"/>
    <cellStyle name="쉼표 [0] 4 2 3 28 5 2" xfId="38552"/>
    <cellStyle name="쉼표 [0] 4 2 3 28 6" xfId="25880"/>
    <cellStyle name="쉼표 [0] 4 2 3 29" xfId="527"/>
    <cellStyle name="쉼표 [0] 4 2 3 29 2" xfId="528"/>
    <cellStyle name="쉼표 [0] 4 2 3 29 2 2" xfId="3631"/>
    <cellStyle name="쉼표 [0] 4 2 3 29 2 2 2" xfId="9967"/>
    <cellStyle name="쉼표 [0] 4 2 3 29 2 2 2 2" xfId="22641"/>
    <cellStyle name="쉼표 [0] 4 2 3 29 2 2 2 2 2" xfId="47993"/>
    <cellStyle name="쉼표 [0] 4 2 3 29 2 2 2 3" xfId="35321"/>
    <cellStyle name="쉼표 [0] 4 2 3 29 2 2 3" xfId="16305"/>
    <cellStyle name="쉼표 [0] 4 2 3 29 2 2 3 2" xfId="41657"/>
    <cellStyle name="쉼표 [0] 4 2 3 29 2 2 4" xfId="28985"/>
    <cellStyle name="쉼표 [0] 4 2 3 29 2 3" xfId="6865"/>
    <cellStyle name="쉼표 [0] 4 2 3 29 2 3 2" xfId="19539"/>
    <cellStyle name="쉼표 [0] 4 2 3 29 2 3 2 2" xfId="44891"/>
    <cellStyle name="쉼표 [0] 4 2 3 29 2 3 3" xfId="32219"/>
    <cellStyle name="쉼표 [0] 4 2 3 29 2 4" xfId="13203"/>
    <cellStyle name="쉼표 [0] 4 2 3 29 2 4 2" xfId="38555"/>
    <cellStyle name="쉼표 [0] 4 2 3 29 2 5" xfId="25883"/>
    <cellStyle name="쉼표 [0] 4 2 3 29 3" xfId="3632"/>
    <cellStyle name="쉼표 [0] 4 2 3 29 3 2" xfId="9968"/>
    <cellStyle name="쉼표 [0] 4 2 3 29 3 2 2" xfId="22642"/>
    <cellStyle name="쉼표 [0] 4 2 3 29 3 2 2 2" xfId="47994"/>
    <cellStyle name="쉼표 [0] 4 2 3 29 3 2 3" xfId="35322"/>
    <cellStyle name="쉼표 [0] 4 2 3 29 3 3" xfId="16306"/>
    <cellStyle name="쉼표 [0] 4 2 3 29 3 3 2" xfId="41658"/>
    <cellStyle name="쉼표 [0] 4 2 3 29 3 4" xfId="28986"/>
    <cellStyle name="쉼표 [0] 4 2 3 29 4" xfId="6864"/>
    <cellStyle name="쉼표 [0] 4 2 3 29 4 2" xfId="19538"/>
    <cellStyle name="쉼표 [0] 4 2 3 29 4 2 2" xfId="44890"/>
    <cellStyle name="쉼표 [0] 4 2 3 29 4 3" xfId="32218"/>
    <cellStyle name="쉼표 [0] 4 2 3 29 5" xfId="13202"/>
    <cellStyle name="쉼표 [0] 4 2 3 29 5 2" xfId="38554"/>
    <cellStyle name="쉼표 [0] 4 2 3 29 6" xfId="25882"/>
    <cellStyle name="쉼표 [0] 4 2 3 3" xfId="62"/>
    <cellStyle name="쉼표 [0] 4 2 3 3 2" xfId="529"/>
    <cellStyle name="쉼표 [0] 4 2 3 3 2 2" xfId="3633"/>
    <cellStyle name="쉼표 [0] 4 2 3 3 2 2 2" xfId="9969"/>
    <cellStyle name="쉼표 [0] 4 2 3 3 2 2 2 2" xfId="22643"/>
    <cellStyle name="쉼표 [0] 4 2 3 3 2 2 2 2 2" xfId="47995"/>
    <cellStyle name="쉼표 [0] 4 2 3 3 2 2 2 3" xfId="35323"/>
    <cellStyle name="쉼표 [0] 4 2 3 3 2 2 3" xfId="16307"/>
    <cellStyle name="쉼표 [0] 4 2 3 3 2 2 3 2" xfId="41659"/>
    <cellStyle name="쉼표 [0] 4 2 3 3 2 2 4" xfId="28987"/>
    <cellStyle name="쉼표 [0] 4 2 3 3 2 3" xfId="6866"/>
    <cellStyle name="쉼표 [0] 4 2 3 3 2 3 2" xfId="19540"/>
    <cellStyle name="쉼표 [0] 4 2 3 3 2 3 2 2" xfId="44892"/>
    <cellStyle name="쉼표 [0] 4 2 3 3 2 3 3" xfId="32220"/>
    <cellStyle name="쉼표 [0] 4 2 3 3 2 4" xfId="13204"/>
    <cellStyle name="쉼표 [0] 4 2 3 3 2 4 2" xfId="38556"/>
    <cellStyle name="쉼표 [0] 4 2 3 3 2 5" xfId="25884"/>
    <cellStyle name="쉼표 [0] 4 2 3 3 3" xfId="3634"/>
    <cellStyle name="쉼표 [0] 4 2 3 3 3 2" xfId="9970"/>
    <cellStyle name="쉼표 [0] 4 2 3 3 3 2 2" xfId="22644"/>
    <cellStyle name="쉼표 [0] 4 2 3 3 3 2 2 2" xfId="47996"/>
    <cellStyle name="쉼표 [0] 4 2 3 3 3 2 3" xfId="35324"/>
    <cellStyle name="쉼표 [0] 4 2 3 3 3 3" xfId="16308"/>
    <cellStyle name="쉼표 [0] 4 2 3 3 3 3 2" xfId="41660"/>
    <cellStyle name="쉼표 [0] 4 2 3 3 3 4" xfId="28988"/>
    <cellStyle name="쉼표 [0] 4 2 3 3 4" xfId="6400"/>
    <cellStyle name="쉼표 [0] 4 2 3 3 4 2" xfId="19074"/>
    <cellStyle name="쉼표 [0] 4 2 3 3 4 2 2" xfId="44426"/>
    <cellStyle name="쉼표 [0] 4 2 3 3 4 3" xfId="31754"/>
    <cellStyle name="쉼표 [0] 4 2 3 3 5" xfId="12738"/>
    <cellStyle name="쉼표 [0] 4 2 3 3 5 2" xfId="38090"/>
    <cellStyle name="쉼표 [0] 4 2 3 3 6" xfId="25418"/>
    <cellStyle name="쉼표 [0] 4 2 3 30" xfId="530"/>
    <cellStyle name="쉼표 [0] 4 2 3 30 2" xfId="531"/>
    <cellStyle name="쉼표 [0] 4 2 3 30 2 2" xfId="3635"/>
    <cellStyle name="쉼표 [0] 4 2 3 30 2 2 2" xfId="9971"/>
    <cellStyle name="쉼표 [0] 4 2 3 30 2 2 2 2" xfId="22645"/>
    <cellStyle name="쉼표 [0] 4 2 3 30 2 2 2 2 2" xfId="47997"/>
    <cellStyle name="쉼표 [0] 4 2 3 30 2 2 2 3" xfId="35325"/>
    <cellStyle name="쉼표 [0] 4 2 3 30 2 2 3" xfId="16309"/>
    <cellStyle name="쉼표 [0] 4 2 3 30 2 2 3 2" xfId="41661"/>
    <cellStyle name="쉼표 [0] 4 2 3 30 2 2 4" xfId="28989"/>
    <cellStyle name="쉼표 [0] 4 2 3 30 2 3" xfId="6868"/>
    <cellStyle name="쉼표 [0] 4 2 3 30 2 3 2" xfId="19542"/>
    <cellStyle name="쉼표 [0] 4 2 3 30 2 3 2 2" xfId="44894"/>
    <cellStyle name="쉼표 [0] 4 2 3 30 2 3 3" xfId="32222"/>
    <cellStyle name="쉼표 [0] 4 2 3 30 2 4" xfId="13206"/>
    <cellStyle name="쉼표 [0] 4 2 3 30 2 4 2" xfId="38558"/>
    <cellStyle name="쉼표 [0] 4 2 3 30 2 5" xfId="25886"/>
    <cellStyle name="쉼표 [0] 4 2 3 30 3" xfId="3636"/>
    <cellStyle name="쉼표 [0] 4 2 3 30 3 2" xfId="9972"/>
    <cellStyle name="쉼표 [0] 4 2 3 30 3 2 2" xfId="22646"/>
    <cellStyle name="쉼표 [0] 4 2 3 30 3 2 2 2" xfId="47998"/>
    <cellStyle name="쉼표 [0] 4 2 3 30 3 2 3" xfId="35326"/>
    <cellStyle name="쉼표 [0] 4 2 3 30 3 3" xfId="16310"/>
    <cellStyle name="쉼표 [0] 4 2 3 30 3 3 2" xfId="41662"/>
    <cellStyle name="쉼표 [0] 4 2 3 30 3 4" xfId="28990"/>
    <cellStyle name="쉼표 [0] 4 2 3 30 4" xfId="6867"/>
    <cellStyle name="쉼표 [0] 4 2 3 30 4 2" xfId="19541"/>
    <cellStyle name="쉼표 [0] 4 2 3 30 4 2 2" xfId="44893"/>
    <cellStyle name="쉼표 [0] 4 2 3 30 4 3" xfId="32221"/>
    <cellStyle name="쉼표 [0] 4 2 3 30 5" xfId="13205"/>
    <cellStyle name="쉼표 [0] 4 2 3 30 5 2" xfId="38557"/>
    <cellStyle name="쉼표 [0] 4 2 3 30 6" xfId="25885"/>
    <cellStyle name="쉼표 [0] 4 2 3 31" xfId="532"/>
    <cellStyle name="쉼표 [0] 4 2 3 31 2" xfId="533"/>
    <cellStyle name="쉼표 [0] 4 2 3 31 2 2" xfId="3637"/>
    <cellStyle name="쉼표 [0] 4 2 3 31 2 2 2" xfId="9973"/>
    <cellStyle name="쉼표 [0] 4 2 3 31 2 2 2 2" xfId="22647"/>
    <cellStyle name="쉼표 [0] 4 2 3 31 2 2 2 2 2" xfId="47999"/>
    <cellStyle name="쉼표 [0] 4 2 3 31 2 2 2 3" xfId="35327"/>
    <cellStyle name="쉼표 [0] 4 2 3 31 2 2 3" xfId="16311"/>
    <cellStyle name="쉼표 [0] 4 2 3 31 2 2 3 2" xfId="41663"/>
    <cellStyle name="쉼표 [0] 4 2 3 31 2 2 4" xfId="28991"/>
    <cellStyle name="쉼표 [0] 4 2 3 31 2 3" xfId="6870"/>
    <cellStyle name="쉼표 [0] 4 2 3 31 2 3 2" xfId="19544"/>
    <cellStyle name="쉼표 [0] 4 2 3 31 2 3 2 2" xfId="44896"/>
    <cellStyle name="쉼표 [0] 4 2 3 31 2 3 3" xfId="32224"/>
    <cellStyle name="쉼표 [0] 4 2 3 31 2 4" xfId="13208"/>
    <cellStyle name="쉼표 [0] 4 2 3 31 2 4 2" xfId="38560"/>
    <cellStyle name="쉼표 [0] 4 2 3 31 2 5" xfId="25888"/>
    <cellStyle name="쉼표 [0] 4 2 3 31 3" xfId="3638"/>
    <cellStyle name="쉼표 [0] 4 2 3 31 3 2" xfId="9974"/>
    <cellStyle name="쉼표 [0] 4 2 3 31 3 2 2" xfId="22648"/>
    <cellStyle name="쉼표 [0] 4 2 3 31 3 2 2 2" xfId="48000"/>
    <cellStyle name="쉼표 [0] 4 2 3 31 3 2 3" xfId="35328"/>
    <cellStyle name="쉼표 [0] 4 2 3 31 3 3" xfId="16312"/>
    <cellStyle name="쉼표 [0] 4 2 3 31 3 3 2" xfId="41664"/>
    <cellStyle name="쉼표 [0] 4 2 3 31 3 4" xfId="28992"/>
    <cellStyle name="쉼표 [0] 4 2 3 31 4" xfId="6869"/>
    <cellStyle name="쉼표 [0] 4 2 3 31 4 2" xfId="19543"/>
    <cellStyle name="쉼표 [0] 4 2 3 31 4 2 2" xfId="44895"/>
    <cellStyle name="쉼표 [0] 4 2 3 31 4 3" xfId="32223"/>
    <cellStyle name="쉼표 [0] 4 2 3 31 5" xfId="13207"/>
    <cellStyle name="쉼표 [0] 4 2 3 31 5 2" xfId="38559"/>
    <cellStyle name="쉼표 [0] 4 2 3 31 6" xfId="25887"/>
    <cellStyle name="쉼표 [0] 4 2 3 32" xfId="534"/>
    <cellStyle name="쉼표 [0] 4 2 3 32 2" xfId="535"/>
    <cellStyle name="쉼표 [0] 4 2 3 32 2 2" xfId="3639"/>
    <cellStyle name="쉼표 [0] 4 2 3 32 2 2 2" xfId="9975"/>
    <cellStyle name="쉼표 [0] 4 2 3 32 2 2 2 2" xfId="22649"/>
    <cellStyle name="쉼표 [0] 4 2 3 32 2 2 2 2 2" xfId="48001"/>
    <cellStyle name="쉼표 [0] 4 2 3 32 2 2 2 3" xfId="35329"/>
    <cellStyle name="쉼표 [0] 4 2 3 32 2 2 3" xfId="16313"/>
    <cellStyle name="쉼표 [0] 4 2 3 32 2 2 3 2" xfId="41665"/>
    <cellStyle name="쉼표 [0] 4 2 3 32 2 2 4" xfId="28993"/>
    <cellStyle name="쉼표 [0] 4 2 3 32 2 3" xfId="6872"/>
    <cellStyle name="쉼표 [0] 4 2 3 32 2 3 2" xfId="19546"/>
    <cellStyle name="쉼표 [0] 4 2 3 32 2 3 2 2" xfId="44898"/>
    <cellStyle name="쉼표 [0] 4 2 3 32 2 3 3" xfId="32226"/>
    <cellStyle name="쉼표 [0] 4 2 3 32 2 4" xfId="13210"/>
    <cellStyle name="쉼표 [0] 4 2 3 32 2 4 2" xfId="38562"/>
    <cellStyle name="쉼표 [0] 4 2 3 32 2 5" xfId="25890"/>
    <cellStyle name="쉼표 [0] 4 2 3 32 3" xfId="3640"/>
    <cellStyle name="쉼표 [0] 4 2 3 32 3 2" xfId="9976"/>
    <cellStyle name="쉼표 [0] 4 2 3 32 3 2 2" xfId="22650"/>
    <cellStyle name="쉼표 [0] 4 2 3 32 3 2 2 2" xfId="48002"/>
    <cellStyle name="쉼표 [0] 4 2 3 32 3 2 3" xfId="35330"/>
    <cellStyle name="쉼표 [0] 4 2 3 32 3 3" xfId="16314"/>
    <cellStyle name="쉼표 [0] 4 2 3 32 3 3 2" xfId="41666"/>
    <cellStyle name="쉼표 [0] 4 2 3 32 3 4" xfId="28994"/>
    <cellStyle name="쉼표 [0] 4 2 3 32 4" xfId="6871"/>
    <cellStyle name="쉼표 [0] 4 2 3 32 4 2" xfId="19545"/>
    <cellStyle name="쉼표 [0] 4 2 3 32 4 2 2" xfId="44897"/>
    <cellStyle name="쉼표 [0] 4 2 3 32 4 3" xfId="32225"/>
    <cellStyle name="쉼표 [0] 4 2 3 32 5" xfId="13209"/>
    <cellStyle name="쉼표 [0] 4 2 3 32 5 2" xfId="38561"/>
    <cellStyle name="쉼표 [0] 4 2 3 32 6" xfId="25889"/>
    <cellStyle name="쉼표 [0] 4 2 3 33" xfId="536"/>
    <cellStyle name="쉼표 [0] 4 2 3 33 2" xfId="537"/>
    <cellStyle name="쉼표 [0] 4 2 3 33 2 2" xfId="3641"/>
    <cellStyle name="쉼표 [0] 4 2 3 33 2 2 2" xfId="9977"/>
    <cellStyle name="쉼표 [0] 4 2 3 33 2 2 2 2" xfId="22651"/>
    <cellStyle name="쉼표 [0] 4 2 3 33 2 2 2 2 2" xfId="48003"/>
    <cellStyle name="쉼표 [0] 4 2 3 33 2 2 2 3" xfId="35331"/>
    <cellStyle name="쉼표 [0] 4 2 3 33 2 2 3" xfId="16315"/>
    <cellStyle name="쉼표 [0] 4 2 3 33 2 2 3 2" xfId="41667"/>
    <cellStyle name="쉼표 [0] 4 2 3 33 2 2 4" xfId="28995"/>
    <cellStyle name="쉼표 [0] 4 2 3 33 2 3" xfId="6874"/>
    <cellStyle name="쉼표 [0] 4 2 3 33 2 3 2" xfId="19548"/>
    <cellStyle name="쉼표 [0] 4 2 3 33 2 3 2 2" xfId="44900"/>
    <cellStyle name="쉼표 [0] 4 2 3 33 2 3 3" xfId="32228"/>
    <cellStyle name="쉼표 [0] 4 2 3 33 2 4" xfId="13212"/>
    <cellStyle name="쉼표 [0] 4 2 3 33 2 4 2" xfId="38564"/>
    <cellStyle name="쉼표 [0] 4 2 3 33 2 5" xfId="25892"/>
    <cellStyle name="쉼표 [0] 4 2 3 33 3" xfId="3642"/>
    <cellStyle name="쉼표 [0] 4 2 3 33 3 2" xfId="9978"/>
    <cellStyle name="쉼표 [0] 4 2 3 33 3 2 2" xfId="22652"/>
    <cellStyle name="쉼표 [0] 4 2 3 33 3 2 2 2" xfId="48004"/>
    <cellStyle name="쉼표 [0] 4 2 3 33 3 2 3" xfId="35332"/>
    <cellStyle name="쉼표 [0] 4 2 3 33 3 3" xfId="16316"/>
    <cellStyle name="쉼표 [0] 4 2 3 33 3 3 2" xfId="41668"/>
    <cellStyle name="쉼표 [0] 4 2 3 33 3 4" xfId="28996"/>
    <cellStyle name="쉼표 [0] 4 2 3 33 4" xfId="6873"/>
    <cellStyle name="쉼표 [0] 4 2 3 33 4 2" xfId="19547"/>
    <cellStyle name="쉼표 [0] 4 2 3 33 4 2 2" xfId="44899"/>
    <cellStyle name="쉼표 [0] 4 2 3 33 4 3" xfId="32227"/>
    <cellStyle name="쉼표 [0] 4 2 3 33 5" xfId="13211"/>
    <cellStyle name="쉼표 [0] 4 2 3 33 5 2" xfId="38563"/>
    <cellStyle name="쉼표 [0] 4 2 3 33 6" xfId="25891"/>
    <cellStyle name="쉼표 [0] 4 2 3 34" xfId="538"/>
    <cellStyle name="쉼표 [0] 4 2 3 34 2" xfId="539"/>
    <cellStyle name="쉼표 [0] 4 2 3 34 2 2" xfId="3643"/>
    <cellStyle name="쉼표 [0] 4 2 3 34 2 2 2" xfId="9979"/>
    <cellStyle name="쉼표 [0] 4 2 3 34 2 2 2 2" xfId="22653"/>
    <cellStyle name="쉼표 [0] 4 2 3 34 2 2 2 2 2" xfId="48005"/>
    <cellStyle name="쉼표 [0] 4 2 3 34 2 2 2 3" xfId="35333"/>
    <cellStyle name="쉼표 [0] 4 2 3 34 2 2 3" xfId="16317"/>
    <cellStyle name="쉼표 [0] 4 2 3 34 2 2 3 2" xfId="41669"/>
    <cellStyle name="쉼표 [0] 4 2 3 34 2 2 4" xfId="28997"/>
    <cellStyle name="쉼표 [0] 4 2 3 34 2 3" xfId="6876"/>
    <cellStyle name="쉼표 [0] 4 2 3 34 2 3 2" xfId="19550"/>
    <cellStyle name="쉼표 [0] 4 2 3 34 2 3 2 2" xfId="44902"/>
    <cellStyle name="쉼표 [0] 4 2 3 34 2 3 3" xfId="32230"/>
    <cellStyle name="쉼표 [0] 4 2 3 34 2 4" xfId="13214"/>
    <cellStyle name="쉼표 [0] 4 2 3 34 2 4 2" xfId="38566"/>
    <cellStyle name="쉼표 [0] 4 2 3 34 2 5" xfId="25894"/>
    <cellStyle name="쉼표 [0] 4 2 3 34 3" xfId="3644"/>
    <cellStyle name="쉼표 [0] 4 2 3 34 3 2" xfId="9980"/>
    <cellStyle name="쉼표 [0] 4 2 3 34 3 2 2" xfId="22654"/>
    <cellStyle name="쉼표 [0] 4 2 3 34 3 2 2 2" xfId="48006"/>
    <cellStyle name="쉼표 [0] 4 2 3 34 3 2 3" xfId="35334"/>
    <cellStyle name="쉼표 [0] 4 2 3 34 3 3" xfId="16318"/>
    <cellStyle name="쉼표 [0] 4 2 3 34 3 3 2" xfId="41670"/>
    <cellStyle name="쉼표 [0] 4 2 3 34 3 4" xfId="28998"/>
    <cellStyle name="쉼표 [0] 4 2 3 34 4" xfId="6875"/>
    <cellStyle name="쉼표 [0] 4 2 3 34 4 2" xfId="19549"/>
    <cellStyle name="쉼표 [0] 4 2 3 34 4 2 2" xfId="44901"/>
    <cellStyle name="쉼표 [0] 4 2 3 34 4 3" xfId="32229"/>
    <cellStyle name="쉼표 [0] 4 2 3 34 5" xfId="13213"/>
    <cellStyle name="쉼표 [0] 4 2 3 34 5 2" xfId="38565"/>
    <cellStyle name="쉼표 [0] 4 2 3 34 6" xfId="25893"/>
    <cellStyle name="쉼표 [0] 4 2 3 35" xfId="540"/>
    <cellStyle name="쉼표 [0] 4 2 3 35 2" xfId="3645"/>
    <cellStyle name="쉼표 [0] 4 2 3 35 2 2" xfId="9981"/>
    <cellStyle name="쉼표 [0] 4 2 3 35 2 2 2" xfId="22655"/>
    <cellStyle name="쉼표 [0] 4 2 3 35 2 2 2 2" xfId="48007"/>
    <cellStyle name="쉼표 [0] 4 2 3 35 2 2 3" xfId="35335"/>
    <cellStyle name="쉼표 [0] 4 2 3 35 2 3" xfId="16319"/>
    <cellStyle name="쉼표 [0] 4 2 3 35 2 3 2" xfId="41671"/>
    <cellStyle name="쉼표 [0] 4 2 3 35 2 4" xfId="28999"/>
    <cellStyle name="쉼표 [0] 4 2 3 35 3" xfId="6877"/>
    <cellStyle name="쉼표 [0] 4 2 3 35 3 2" xfId="19551"/>
    <cellStyle name="쉼표 [0] 4 2 3 35 3 2 2" xfId="44903"/>
    <cellStyle name="쉼표 [0] 4 2 3 35 3 3" xfId="32231"/>
    <cellStyle name="쉼표 [0] 4 2 3 35 4" xfId="13215"/>
    <cellStyle name="쉼표 [0] 4 2 3 35 4 2" xfId="38567"/>
    <cellStyle name="쉼표 [0] 4 2 3 35 5" xfId="25895"/>
    <cellStyle name="쉼표 [0] 4 2 3 36" xfId="3646"/>
    <cellStyle name="쉼표 [0] 4 2 3 36 2" xfId="9982"/>
    <cellStyle name="쉼표 [0] 4 2 3 36 2 2" xfId="22656"/>
    <cellStyle name="쉼표 [0] 4 2 3 36 2 2 2" xfId="48008"/>
    <cellStyle name="쉼표 [0] 4 2 3 36 2 3" xfId="35336"/>
    <cellStyle name="쉼표 [0] 4 2 3 36 3" xfId="16320"/>
    <cellStyle name="쉼표 [0] 4 2 3 36 3 2" xfId="41672"/>
    <cellStyle name="쉼표 [0] 4 2 3 36 4" xfId="29000"/>
    <cellStyle name="쉼표 [0] 4 2 3 37" xfId="6386"/>
    <cellStyle name="쉼표 [0] 4 2 3 37 2" xfId="19060"/>
    <cellStyle name="쉼표 [0] 4 2 3 37 2 2" xfId="44412"/>
    <cellStyle name="쉼표 [0] 4 2 3 37 3" xfId="31740"/>
    <cellStyle name="쉼표 [0] 4 2 3 38" xfId="12724"/>
    <cellStyle name="쉼표 [0] 4 2 3 38 2" xfId="38076"/>
    <cellStyle name="쉼표 [0] 4 2 3 39" xfId="25404"/>
    <cellStyle name="쉼표 [0] 4 2 3 4" xfId="541"/>
    <cellStyle name="쉼표 [0] 4 2 3 4 2" xfId="542"/>
    <cellStyle name="쉼표 [0] 4 2 3 4 2 2" xfId="3647"/>
    <cellStyle name="쉼표 [0] 4 2 3 4 2 2 2" xfId="9983"/>
    <cellStyle name="쉼표 [0] 4 2 3 4 2 2 2 2" xfId="22657"/>
    <cellStyle name="쉼표 [0] 4 2 3 4 2 2 2 2 2" xfId="48009"/>
    <cellStyle name="쉼표 [0] 4 2 3 4 2 2 2 3" xfId="35337"/>
    <cellStyle name="쉼표 [0] 4 2 3 4 2 2 3" xfId="16321"/>
    <cellStyle name="쉼표 [0] 4 2 3 4 2 2 3 2" xfId="41673"/>
    <cellStyle name="쉼표 [0] 4 2 3 4 2 2 4" xfId="29001"/>
    <cellStyle name="쉼표 [0] 4 2 3 4 2 3" xfId="6879"/>
    <cellStyle name="쉼표 [0] 4 2 3 4 2 3 2" xfId="19553"/>
    <cellStyle name="쉼표 [0] 4 2 3 4 2 3 2 2" xfId="44905"/>
    <cellStyle name="쉼표 [0] 4 2 3 4 2 3 3" xfId="32233"/>
    <cellStyle name="쉼표 [0] 4 2 3 4 2 4" xfId="13217"/>
    <cellStyle name="쉼표 [0] 4 2 3 4 2 4 2" xfId="38569"/>
    <cellStyle name="쉼표 [0] 4 2 3 4 2 5" xfId="25897"/>
    <cellStyle name="쉼표 [0] 4 2 3 4 3" xfId="3648"/>
    <cellStyle name="쉼표 [0] 4 2 3 4 3 2" xfId="9984"/>
    <cellStyle name="쉼표 [0] 4 2 3 4 3 2 2" xfId="22658"/>
    <cellStyle name="쉼표 [0] 4 2 3 4 3 2 2 2" xfId="48010"/>
    <cellStyle name="쉼표 [0] 4 2 3 4 3 2 3" xfId="35338"/>
    <cellStyle name="쉼표 [0] 4 2 3 4 3 3" xfId="16322"/>
    <cellStyle name="쉼표 [0] 4 2 3 4 3 3 2" xfId="41674"/>
    <cellStyle name="쉼표 [0] 4 2 3 4 3 4" xfId="29002"/>
    <cellStyle name="쉼표 [0] 4 2 3 4 4" xfId="6878"/>
    <cellStyle name="쉼표 [0] 4 2 3 4 4 2" xfId="19552"/>
    <cellStyle name="쉼표 [0] 4 2 3 4 4 2 2" xfId="44904"/>
    <cellStyle name="쉼표 [0] 4 2 3 4 4 3" xfId="32232"/>
    <cellStyle name="쉼표 [0] 4 2 3 4 5" xfId="13216"/>
    <cellStyle name="쉼표 [0] 4 2 3 4 5 2" xfId="38568"/>
    <cellStyle name="쉼표 [0] 4 2 3 4 6" xfId="25896"/>
    <cellStyle name="쉼표 [0] 4 2 3 5" xfId="543"/>
    <cellStyle name="쉼표 [0] 4 2 3 5 2" xfId="544"/>
    <cellStyle name="쉼표 [0] 4 2 3 5 2 2" xfId="3649"/>
    <cellStyle name="쉼표 [0] 4 2 3 5 2 2 2" xfId="9985"/>
    <cellStyle name="쉼표 [0] 4 2 3 5 2 2 2 2" xfId="22659"/>
    <cellStyle name="쉼표 [0] 4 2 3 5 2 2 2 2 2" xfId="48011"/>
    <cellStyle name="쉼표 [0] 4 2 3 5 2 2 2 3" xfId="35339"/>
    <cellStyle name="쉼표 [0] 4 2 3 5 2 2 3" xfId="16323"/>
    <cellStyle name="쉼표 [0] 4 2 3 5 2 2 3 2" xfId="41675"/>
    <cellStyle name="쉼표 [0] 4 2 3 5 2 2 4" xfId="29003"/>
    <cellStyle name="쉼표 [0] 4 2 3 5 2 3" xfId="6881"/>
    <cellStyle name="쉼표 [0] 4 2 3 5 2 3 2" xfId="19555"/>
    <cellStyle name="쉼표 [0] 4 2 3 5 2 3 2 2" xfId="44907"/>
    <cellStyle name="쉼표 [0] 4 2 3 5 2 3 3" xfId="32235"/>
    <cellStyle name="쉼표 [0] 4 2 3 5 2 4" xfId="13219"/>
    <cellStyle name="쉼표 [0] 4 2 3 5 2 4 2" xfId="38571"/>
    <cellStyle name="쉼표 [0] 4 2 3 5 2 5" xfId="25899"/>
    <cellStyle name="쉼표 [0] 4 2 3 5 3" xfId="3650"/>
    <cellStyle name="쉼표 [0] 4 2 3 5 3 2" xfId="9986"/>
    <cellStyle name="쉼표 [0] 4 2 3 5 3 2 2" xfId="22660"/>
    <cellStyle name="쉼표 [0] 4 2 3 5 3 2 2 2" xfId="48012"/>
    <cellStyle name="쉼표 [0] 4 2 3 5 3 2 3" xfId="35340"/>
    <cellStyle name="쉼표 [0] 4 2 3 5 3 3" xfId="16324"/>
    <cellStyle name="쉼표 [0] 4 2 3 5 3 3 2" xfId="41676"/>
    <cellStyle name="쉼표 [0] 4 2 3 5 3 4" xfId="29004"/>
    <cellStyle name="쉼표 [0] 4 2 3 5 4" xfId="6880"/>
    <cellStyle name="쉼표 [0] 4 2 3 5 4 2" xfId="19554"/>
    <cellStyle name="쉼표 [0] 4 2 3 5 4 2 2" xfId="44906"/>
    <cellStyle name="쉼표 [0] 4 2 3 5 4 3" xfId="32234"/>
    <cellStyle name="쉼표 [0] 4 2 3 5 5" xfId="13218"/>
    <cellStyle name="쉼표 [0] 4 2 3 5 5 2" xfId="38570"/>
    <cellStyle name="쉼표 [0] 4 2 3 5 6" xfId="25898"/>
    <cellStyle name="쉼표 [0] 4 2 3 6" xfId="545"/>
    <cellStyle name="쉼표 [0] 4 2 3 6 2" xfId="546"/>
    <cellStyle name="쉼표 [0] 4 2 3 6 2 2" xfId="3651"/>
    <cellStyle name="쉼표 [0] 4 2 3 6 2 2 2" xfId="9987"/>
    <cellStyle name="쉼표 [0] 4 2 3 6 2 2 2 2" xfId="22661"/>
    <cellStyle name="쉼표 [0] 4 2 3 6 2 2 2 2 2" xfId="48013"/>
    <cellStyle name="쉼표 [0] 4 2 3 6 2 2 2 3" xfId="35341"/>
    <cellStyle name="쉼표 [0] 4 2 3 6 2 2 3" xfId="16325"/>
    <cellStyle name="쉼표 [0] 4 2 3 6 2 2 3 2" xfId="41677"/>
    <cellStyle name="쉼표 [0] 4 2 3 6 2 2 4" xfId="29005"/>
    <cellStyle name="쉼표 [0] 4 2 3 6 2 3" xfId="6883"/>
    <cellStyle name="쉼표 [0] 4 2 3 6 2 3 2" xfId="19557"/>
    <cellStyle name="쉼표 [0] 4 2 3 6 2 3 2 2" xfId="44909"/>
    <cellStyle name="쉼표 [0] 4 2 3 6 2 3 3" xfId="32237"/>
    <cellStyle name="쉼표 [0] 4 2 3 6 2 4" xfId="13221"/>
    <cellStyle name="쉼표 [0] 4 2 3 6 2 4 2" xfId="38573"/>
    <cellStyle name="쉼표 [0] 4 2 3 6 2 5" xfId="25901"/>
    <cellStyle name="쉼표 [0] 4 2 3 6 3" xfId="3652"/>
    <cellStyle name="쉼표 [0] 4 2 3 6 3 2" xfId="9988"/>
    <cellStyle name="쉼표 [0] 4 2 3 6 3 2 2" xfId="22662"/>
    <cellStyle name="쉼표 [0] 4 2 3 6 3 2 2 2" xfId="48014"/>
    <cellStyle name="쉼표 [0] 4 2 3 6 3 2 3" xfId="35342"/>
    <cellStyle name="쉼표 [0] 4 2 3 6 3 3" xfId="16326"/>
    <cellStyle name="쉼표 [0] 4 2 3 6 3 3 2" xfId="41678"/>
    <cellStyle name="쉼표 [0] 4 2 3 6 3 4" xfId="29006"/>
    <cellStyle name="쉼표 [0] 4 2 3 6 4" xfId="6882"/>
    <cellStyle name="쉼표 [0] 4 2 3 6 4 2" xfId="19556"/>
    <cellStyle name="쉼표 [0] 4 2 3 6 4 2 2" xfId="44908"/>
    <cellStyle name="쉼표 [0] 4 2 3 6 4 3" xfId="32236"/>
    <cellStyle name="쉼표 [0] 4 2 3 6 5" xfId="13220"/>
    <cellStyle name="쉼표 [0] 4 2 3 6 5 2" xfId="38572"/>
    <cellStyle name="쉼표 [0] 4 2 3 6 6" xfId="25900"/>
    <cellStyle name="쉼표 [0] 4 2 3 7" xfId="547"/>
    <cellStyle name="쉼표 [0] 4 2 3 7 2" xfId="548"/>
    <cellStyle name="쉼표 [0] 4 2 3 7 2 2" xfId="3653"/>
    <cellStyle name="쉼표 [0] 4 2 3 7 2 2 2" xfId="9989"/>
    <cellStyle name="쉼표 [0] 4 2 3 7 2 2 2 2" xfId="22663"/>
    <cellStyle name="쉼표 [0] 4 2 3 7 2 2 2 2 2" xfId="48015"/>
    <cellStyle name="쉼표 [0] 4 2 3 7 2 2 2 3" xfId="35343"/>
    <cellStyle name="쉼표 [0] 4 2 3 7 2 2 3" xfId="16327"/>
    <cellStyle name="쉼표 [0] 4 2 3 7 2 2 3 2" xfId="41679"/>
    <cellStyle name="쉼표 [0] 4 2 3 7 2 2 4" xfId="29007"/>
    <cellStyle name="쉼표 [0] 4 2 3 7 2 3" xfId="6885"/>
    <cellStyle name="쉼표 [0] 4 2 3 7 2 3 2" xfId="19559"/>
    <cellStyle name="쉼표 [0] 4 2 3 7 2 3 2 2" xfId="44911"/>
    <cellStyle name="쉼표 [0] 4 2 3 7 2 3 3" xfId="32239"/>
    <cellStyle name="쉼표 [0] 4 2 3 7 2 4" xfId="13223"/>
    <cellStyle name="쉼표 [0] 4 2 3 7 2 4 2" xfId="38575"/>
    <cellStyle name="쉼표 [0] 4 2 3 7 2 5" xfId="25903"/>
    <cellStyle name="쉼표 [0] 4 2 3 7 3" xfId="3654"/>
    <cellStyle name="쉼표 [0] 4 2 3 7 3 2" xfId="9990"/>
    <cellStyle name="쉼표 [0] 4 2 3 7 3 2 2" xfId="22664"/>
    <cellStyle name="쉼표 [0] 4 2 3 7 3 2 2 2" xfId="48016"/>
    <cellStyle name="쉼표 [0] 4 2 3 7 3 2 3" xfId="35344"/>
    <cellStyle name="쉼표 [0] 4 2 3 7 3 3" xfId="16328"/>
    <cellStyle name="쉼표 [0] 4 2 3 7 3 3 2" xfId="41680"/>
    <cellStyle name="쉼표 [0] 4 2 3 7 3 4" xfId="29008"/>
    <cellStyle name="쉼표 [0] 4 2 3 7 4" xfId="6884"/>
    <cellStyle name="쉼표 [0] 4 2 3 7 4 2" xfId="19558"/>
    <cellStyle name="쉼표 [0] 4 2 3 7 4 2 2" xfId="44910"/>
    <cellStyle name="쉼표 [0] 4 2 3 7 4 3" xfId="32238"/>
    <cellStyle name="쉼표 [0] 4 2 3 7 5" xfId="13222"/>
    <cellStyle name="쉼표 [0] 4 2 3 7 5 2" xfId="38574"/>
    <cellStyle name="쉼표 [0] 4 2 3 7 6" xfId="25902"/>
    <cellStyle name="쉼표 [0] 4 2 3 8" xfId="549"/>
    <cellStyle name="쉼표 [0] 4 2 3 8 2" xfId="550"/>
    <cellStyle name="쉼표 [0] 4 2 3 8 2 2" xfId="3655"/>
    <cellStyle name="쉼표 [0] 4 2 3 8 2 2 2" xfId="9991"/>
    <cellStyle name="쉼표 [0] 4 2 3 8 2 2 2 2" xfId="22665"/>
    <cellStyle name="쉼표 [0] 4 2 3 8 2 2 2 2 2" xfId="48017"/>
    <cellStyle name="쉼표 [0] 4 2 3 8 2 2 2 3" xfId="35345"/>
    <cellStyle name="쉼표 [0] 4 2 3 8 2 2 3" xfId="16329"/>
    <cellStyle name="쉼표 [0] 4 2 3 8 2 2 3 2" xfId="41681"/>
    <cellStyle name="쉼표 [0] 4 2 3 8 2 2 4" xfId="29009"/>
    <cellStyle name="쉼표 [0] 4 2 3 8 2 3" xfId="6887"/>
    <cellStyle name="쉼표 [0] 4 2 3 8 2 3 2" xfId="19561"/>
    <cellStyle name="쉼표 [0] 4 2 3 8 2 3 2 2" xfId="44913"/>
    <cellStyle name="쉼표 [0] 4 2 3 8 2 3 3" xfId="32241"/>
    <cellStyle name="쉼표 [0] 4 2 3 8 2 4" xfId="13225"/>
    <cellStyle name="쉼표 [0] 4 2 3 8 2 4 2" xfId="38577"/>
    <cellStyle name="쉼표 [0] 4 2 3 8 2 5" xfId="25905"/>
    <cellStyle name="쉼표 [0] 4 2 3 8 3" xfId="3656"/>
    <cellStyle name="쉼표 [0] 4 2 3 8 3 2" xfId="9992"/>
    <cellStyle name="쉼표 [0] 4 2 3 8 3 2 2" xfId="22666"/>
    <cellStyle name="쉼표 [0] 4 2 3 8 3 2 2 2" xfId="48018"/>
    <cellStyle name="쉼표 [0] 4 2 3 8 3 2 3" xfId="35346"/>
    <cellStyle name="쉼표 [0] 4 2 3 8 3 3" xfId="16330"/>
    <cellStyle name="쉼표 [0] 4 2 3 8 3 3 2" xfId="41682"/>
    <cellStyle name="쉼표 [0] 4 2 3 8 3 4" xfId="29010"/>
    <cellStyle name="쉼표 [0] 4 2 3 8 4" xfId="6886"/>
    <cellStyle name="쉼표 [0] 4 2 3 8 4 2" xfId="19560"/>
    <cellStyle name="쉼표 [0] 4 2 3 8 4 2 2" xfId="44912"/>
    <cellStyle name="쉼표 [0] 4 2 3 8 4 3" xfId="32240"/>
    <cellStyle name="쉼표 [0] 4 2 3 8 5" xfId="13224"/>
    <cellStyle name="쉼표 [0] 4 2 3 8 5 2" xfId="38576"/>
    <cellStyle name="쉼표 [0] 4 2 3 8 6" xfId="25904"/>
    <cellStyle name="쉼표 [0] 4 2 3 9" xfId="551"/>
    <cellStyle name="쉼표 [0] 4 2 3 9 2" xfId="552"/>
    <cellStyle name="쉼표 [0] 4 2 3 9 2 2" xfId="3657"/>
    <cellStyle name="쉼표 [0] 4 2 3 9 2 2 2" xfId="9993"/>
    <cellStyle name="쉼표 [0] 4 2 3 9 2 2 2 2" xfId="22667"/>
    <cellStyle name="쉼표 [0] 4 2 3 9 2 2 2 2 2" xfId="48019"/>
    <cellStyle name="쉼표 [0] 4 2 3 9 2 2 2 3" xfId="35347"/>
    <cellStyle name="쉼표 [0] 4 2 3 9 2 2 3" xfId="16331"/>
    <cellStyle name="쉼표 [0] 4 2 3 9 2 2 3 2" xfId="41683"/>
    <cellStyle name="쉼표 [0] 4 2 3 9 2 2 4" xfId="29011"/>
    <cellStyle name="쉼표 [0] 4 2 3 9 2 3" xfId="6889"/>
    <cellStyle name="쉼표 [0] 4 2 3 9 2 3 2" xfId="19563"/>
    <cellStyle name="쉼표 [0] 4 2 3 9 2 3 2 2" xfId="44915"/>
    <cellStyle name="쉼표 [0] 4 2 3 9 2 3 3" xfId="32243"/>
    <cellStyle name="쉼표 [0] 4 2 3 9 2 4" xfId="13227"/>
    <cellStyle name="쉼표 [0] 4 2 3 9 2 4 2" xfId="38579"/>
    <cellStyle name="쉼표 [0] 4 2 3 9 2 5" xfId="25907"/>
    <cellStyle name="쉼표 [0] 4 2 3 9 3" xfId="3658"/>
    <cellStyle name="쉼표 [0] 4 2 3 9 3 2" xfId="9994"/>
    <cellStyle name="쉼표 [0] 4 2 3 9 3 2 2" xfId="22668"/>
    <cellStyle name="쉼표 [0] 4 2 3 9 3 2 2 2" xfId="48020"/>
    <cellStyle name="쉼표 [0] 4 2 3 9 3 2 3" xfId="35348"/>
    <cellStyle name="쉼표 [0] 4 2 3 9 3 3" xfId="16332"/>
    <cellStyle name="쉼표 [0] 4 2 3 9 3 3 2" xfId="41684"/>
    <cellStyle name="쉼표 [0] 4 2 3 9 3 4" xfId="29012"/>
    <cellStyle name="쉼표 [0] 4 2 3 9 4" xfId="6888"/>
    <cellStyle name="쉼표 [0] 4 2 3 9 4 2" xfId="19562"/>
    <cellStyle name="쉼표 [0] 4 2 3 9 4 2 2" xfId="44914"/>
    <cellStyle name="쉼표 [0] 4 2 3 9 4 3" xfId="32242"/>
    <cellStyle name="쉼표 [0] 4 2 3 9 5" xfId="13226"/>
    <cellStyle name="쉼표 [0] 4 2 3 9 5 2" xfId="38578"/>
    <cellStyle name="쉼표 [0] 4 2 3 9 6" xfId="25906"/>
    <cellStyle name="쉼표 [0] 4 2 30" xfId="553"/>
    <cellStyle name="쉼표 [0] 4 2 30 2" xfId="554"/>
    <cellStyle name="쉼표 [0] 4 2 30 2 2" xfId="3659"/>
    <cellStyle name="쉼표 [0] 4 2 30 2 2 2" xfId="9995"/>
    <cellStyle name="쉼표 [0] 4 2 30 2 2 2 2" xfId="22669"/>
    <cellStyle name="쉼표 [0] 4 2 30 2 2 2 2 2" xfId="48021"/>
    <cellStyle name="쉼표 [0] 4 2 30 2 2 2 3" xfId="35349"/>
    <cellStyle name="쉼표 [0] 4 2 30 2 2 3" xfId="16333"/>
    <cellStyle name="쉼표 [0] 4 2 30 2 2 3 2" xfId="41685"/>
    <cellStyle name="쉼표 [0] 4 2 30 2 2 4" xfId="29013"/>
    <cellStyle name="쉼표 [0] 4 2 30 2 3" xfId="6891"/>
    <cellStyle name="쉼표 [0] 4 2 30 2 3 2" xfId="19565"/>
    <cellStyle name="쉼표 [0] 4 2 30 2 3 2 2" xfId="44917"/>
    <cellStyle name="쉼표 [0] 4 2 30 2 3 3" xfId="32245"/>
    <cellStyle name="쉼표 [0] 4 2 30 2 4" xfId="13229"/>
    <cellStyle name="쉼표 [0] 4 2 30 2 4 2" xfId="38581"/>
    <cellStyle name="쉼표 [0] 4 2 30 2 5" xfId="25909"/>
    <cellStyle name="쉼표 [0] 4 2 30 3" xfId="3660"/>
    <cellStyle name="쉼표 [0] 4 2 30 3 2" xfId="9996"/>
    <cellStyle name="쉼표 [0] 4 2 30 3 2 2" xfId="22670"/>
    <cellStyle name="쉼표 [0] 4 2 30 3 2 2 2" xfId="48022"/>
    <cellStyle name="쉼표 [0] 4 2 30 3 2 3" xfId="35350"/>
    <cellStyle name="쉼표 [0] 4 2 30 3 3" xfId="16334"/>
    <cellStyle name="쉼표 [0] 4 2 30 3 3 2" xfId="41686"/>
    <cellStyle name="쉼표 [0] 4 2 30 3 4" xfId="29014"/>
    <cellStyle name="쉼표 [0] 4 2 30 4" xfId="6890"/>
    <cellStyle name="쉼표 [0] 4 2 30 4 2" xfId="19564"/>
    <cellStyle name="쉼표 [0] 4 2 30 4 2 2" xfId="44916"/>
    <cellStyle name="쉼표 [0] 4 2 30 4 3" xfId="32244"/>
    <cellStyle name="쉼표 [0] 4 2 30 5" xfId="13228"/>
    <cellStyle name="쉼표 [0] 4 2 30 5 2" xfId="38580"/>
    <cellStyle name="쉼표 [0] 4 2 30 6" xfId="25908"/>
    <cellStyle name="쉼표 [0] 4 2 31" xfId="555"/>
    <cellStyle name="쉼표 [0] 4 2 31 2" xfId="556"/>
    <cellStyle name="쉼표 [0] 4 2 31 2 2" xfId="3661"/>
    <cellStyle name="쉼표 [0] 4 2 31 2 2 2" xfId="9997"/>
    <cellStyle name="쉼표 [0] 4 2 31 2 2 2 2" xfId="22671"/>
    <cellStyle name="쉼표 [0] 4 2 31 2 2 2 2 2" xfId="48023"/>
    <cellStyle name="쉼표 [0] 4 2 31 2 2 2 3" xfId="35351"/>
    <cellStyle name="쉼표 [0] 4 2 31 2 2 3" xfId="16335"/>
    <cellStyle name="쉼표 [0] 4 2 31 2 2 3 2" xfId="41687"/>
    <cellStyle name="쉼표 [0] 4 2 31 2 2 4" xfId="29015"/>
    <cellStyle name="쉼표 [0] 4 2 31 2 3" xfId="6893"/>
    <cellStyle name="쉼표 [0] 4 2 31 2 3 2" xfId="19567"/>
    <cellStyle name="쉼표 [0] 4 2 31 2 3 2 2" xfId="44919"/>
    <cellStyle name="쉼표 [0] 4 2 31 2 3 3" xfId="32247"/>
    <cellStyle name="쉼표 [0] 4 2 31 2 4" xfId="13231"/>
    <cellStyle name="쉼표 [0] 4 2 31 2 4 2" xfId="38583"/>
    <cellStyle name="쉼표 [0] 4 2 31 2 5" xfId="25911"/>
    <cellStyle name="쉼표 [0] 4 2 31 3" xfId="3662"/>
    <cellStyle name="쉼표 [0] 4 2 31 3 2" xfId="9998"/>
    <cellStyle name="쉼표 [0] 4 2 31 3 2 2" xfId="22672"/>
    <cellStyle name="쉼표 [0] 4 2 31 3 2 2 2" xfId="48024"/>
    <cellStyle name="쉼표 [0] 4 2 31 3 2 3" xfId="35352"/>
    <cellStyle name="쉼표 [0] 4 2 31 3 3" xfId="16336"/>
    <cellStyle name="쉼표 [0] 4 2 31 3 3 2" xfId="41688"/>
    <cellStyle name="쉼표 [0] 4 2 31 3 4" xfId="29016"/>
    <cellStyle name="쉼표 [0] 4 2 31 4" xfId="6892"/>
    <cellStyle name="쉼표 [0] 4 2 31 4 2" xfId="19566"/>
    <cellStyle name="쉼표 [0] 4 2 31 4 2 2" xfId="44918"/>
    <cellStyle name="쉼표 [0] 4 2 31 4 3" xfId="32246"/>
    <cellStyle name="쉼표 [0] 4 2 31 5" xfId="13230"/>
    <cellStyle name="쉼표 [0] 4 2 31 5 2" xfId="38582"/>
    <cellStyle name="쉼표 [0] 4 2 31 6" xfId="25910"/>
    <cellStyle name="쉼표 [0] 4 2 32" xfId="557"/>
    <cellStyle name="쉼표 [0] 4 2 32 2" xfId="558"/>
    <cellStyle name="쉼표 [0] 4 2 32 2 2" xfId="3663"/>
    <cellStyle name="쉼표 [0] 4 2 32 2 2 2" xfId="9999"/>
    <cellStyle name="쉼표 [0] 4 2 32 2 2 2 2" xfId="22673"/>
    <cellStyle name="쉼표 [0] 4 2 32 2 2 2 2 2" xfId="48025"/>
    <cellStyle name="쉼표 [0] 4 2 32 2 2 2 3" xfId="35353"/>
    <cellStyle name="쉼표 [0] 4 2 32 2 2 3" xfId="16337"/>
    <cellStyle name="쉼표 [0] 4 2 32 2 2 3 2" xfId="41689"/>
    <cellStyle name="쉼표 [0] 4 2 32 2 2 4" xfId="29017"/>
    <cellStyle name="쉼표 [0] 4 2 32 2 3" xfId="6895"/>
    <cellStyle name="쉼표 [0] 4 2 32 2 3 2" xfId="19569"/>
    <cellStyle name="쉼표 [0] 4 2 32 2 3 2 2" xfId="44921"/>
    <cellStyle name="쉼표 [0] 4 2 32 2 3 3" xfId="32249"/>
    <cellStyle name="쉼표 [0] 4 2 32 2 4" xfId="13233"/>
    <cellStyle name="쉼표 [0] 4 2 32 2 4 2" xfId="38585"/>
    <cellStyle name="쉼표 [0] 4 2 32 2 5" xfId="25913"/>
    <cellStyle name="쉼표 [0] 4 2 32 3" xfId="3664"/>
    <cellStyle name="쉼표 [0] 4 2 32 3 2" xfId="10000"/>
    <cellStyle name="쉼표 [0] 4 2 32 3 2 2" xfId="22674"/>
    <cellStyle name="쉼표 [0] 4 2 32 3 2 2 2" xfId="48026"/>
    <cellStyle name="쉼표 [0] 4 2 32 3 2 3" xfId="35354"/>
    <cellStyle name="쉼표 [0] 4 2 32 3 3" xfId="16338"/>
    <cellStyle name="쉼표 [0] 4 2 32 3 3 2" xfId="41690"/>
    <cellStyle name="쉼표 [0] 4 2 32 3 4" xfId="29018"/>
    <cellStyle name="쉼표 [0] 4 2 32 4" xfId="6894"/>
    <cellStyle name="쉼표 [0] 4 2 32 4 2" xfId="19568"/>
    <cellStyle name="쉼표 [0] 4 2 32 4 2 2" xfId="44920"/>
    <cellStyle name="쉼표 [0] 4 2 32 4 3" xfId="32248"/>
    <cellStyle name="쉼표 [0] 4 2 32 5" xfId="13232"/>
    <cellStyle name="쉼표 [0] 4 2 32 5 2" xfId="38584"/>
    <cellStyle name="쉼표 [0] 4 2 32 6" xfId="25912"/>
    <cellStyle name="쉼표 [0] 4 2 33" xfId="559"/>
    <cellStyle name="쉼표 [0] 4 2 33 2" xfId="560"/>
    <cellStyle name="쉼표 [0] 4 2 33 2 2" xfId="3665"/>
    <cellStyle name="쉼표 [0] 4 2 33 2 2 2" xfId="10001"/>
    <cellStyle name="쉼표 [0] 4 2 33 2 2 2 2" xfId="22675"/>
    <cellStyle name="쉼표 [0] 4 2 33 2 2 2 2 2" xfId="48027"/>
    <cellStyle name="쉼표 [0] 4 2 33 2 2 2 3" xfId="35355"/>
    <cellStyle name="쉼표 [0] 4 2 33 2 2 3" xfId="16339"/>
    <cellStyle name="쉼표 [0] 4 2 33 2 2 3 2" xfId="41691"/>
    <cellStyle name="쉼표 [0] 4 2 33 2 2 4" xfId="29019"/>
    <cellStyle name="쉼표 [0] 4 2 33 2 3" xfId="6897"/>
    <cellStyle name="쉼표 [0] 4 2 33 2 3 2" xfId="19571"/>
    <cellStyle name="쉼표 [0] 4 2 33 2 3 2 2" xfId="44923"/>
    <cellStyle name="쉼표 [0] 4 2 33 2 3 3" xfId="32251"/>
    <cellStyle name="쉼표 [0] 4 2 33 2 4" xfId="13235"/>
    <cellStyle name="쉼표 [0] 4 2 33 2 4 2" xfId="38587"/>
    <cellStyle name="쉼표 [0] 4 2 33 2 5" xfId="25915"/>
    <cellStyle name="쉼표 [0] 4 2 33 3" xfId="3666"/>
    <cellStyle name="쉼표 [0] 4 2 33 3 2" xfId="10002"/>
    <cellStyle name="쉼표 [0] 4 2 33 3 2 2" xfId="22676"/>
    <cellStyle name="쉼표 [0] 4 2 33 3 2 2 2" xfId="48028"/>
    <cellStyle name="쉼표 [0] 4 2 33 3 2 3" xfId="35356"/>
    <cellStyle name="쉼표 [0] 4 2 33 3 3" xfId="16340"/>
    <cellStyle name="쉼표 [0] 4 2 33 3 3 2" xfId="41692"/>
    <cellStyle name="쉼표 [0] 4 2 33 3 4" xfId="29020"/>
    <cellStyle name="쉼표 [0] 4 2 33 4" xfId="6896"/>
    <cellStyle name="쉼표 [0] 4 2 33 4 2" xfId="19570"/>
    <cellStyle name="쉼표 [0] 4 2 33 4 2 2" xfId="44922"/>
    <cellStyle name="쉼표 [0] 4 2 33 4 3" xfId="32250"/>
    <cellStyle name="쉼표 [0] 4 2 33 5" xfId="13234"/>
    <cellStyle name="쉼표 [0] 4 2 33 5 2" xfId="38586"/>
    <cellStyle name="쉼표 [0] 4 2 33 6" xfId="25914"/>
    <cellStyle name="쉼표 [0] 4 2 34" xfId="561"/>
    <cellStyle name="쉼표 [0] 4 2 34 2" xfId="562"/>
    <cellStyle name="쉼표 [0] 4 2 34 2 2" xfId="3667"/>
    <cellStyle name="쉼표 [0] 4 2 34 2 2 2" xfId="10003"/>
    <cellStyle name="쉼표 [0] 4 2 34 2 2 2 2" xfId="22677"/>
    <cellStyle name="쉼표 [0] 4 2 34 2 2 2 2 2" xfId="48029"/>
    <cellStyle name="쉼표 [0] 4 2 34 2 2 2 3" xfId="35357"/>
    <cellStyle name="쉼표 [0] 4 2 34 2 2 3" xfId="16341"/>
    <cellStyle name="쉼표 [0] 4 2 34 2 2 3 2" xfId="41693"/>
    <cellStyle name="쉼표 [0] 4 2 34 2 2 4" xfId="29021"/>
    <cellStyle name="쉼표 [0] 4 2 34 2 3" xfId="6899"/>
    <cellStyle name="쉼표 [0] 4 2 34 2 3 2" xfId="19573"/>
    <cellStyle name="쉼표 [0] 4 2 34 2 3 2 2" xfId="44925"/>
    <cellStyle name="쉼표 [0] 4 2 34 2 3 3" xfId="32253"/>
    <cellStyle name="쉼표 [0] 4 2 34 2 4" xfId="13237"/>
    <cellStyle name="쉼표 [0] 4 2 34 2 4 2" xfId="38589"/>
    <cellStyle name="쉼표 [0] 4 2 34 2 5" xfId="25917"/>
    <cellStyle name="쉼표 [0] 4 2 34 3" xfId="3668"/>
    <cellStyle name="쉼표 [0] 4 2 34 3 2" xfId="10004"/>
    <cellStyle name="쉼표 [0] 4 2 34 3 2 2" xfId="22678"/>
    <cellStyle name="쉼표 [0] 4 2 34 3 2 2 2" xfId="48030"/>
    <cellStyle name="쉼표 [0] 4 2 34 3 2 3" xfId="35358"/>
    <cellStyle name="쉼표 [0] 4 2 34 3 3" xfId="16342"/>
    <cellStyle name="쉼표 [0] 4 2 34 3 3 2" xfId="41694"/>
    <cellStyle name="쉼표 [0] 4 2 34 3 4" xfId="29022"/>
    <cellStyle name="쉼표 [0] 4 2 34 4" xfId="6898"/>
    <cellStyle name="쉼표 [0] 4 2 34 4 2" xfId="19572"/>
    <cellStyle name="쉼표 [0] 4 2 34 4 2 2" xfId="44924"/>
    <cellStyle name="쉼표 [0] 4 2 34 4 3" xfId="32252"/>
    <cellStyle name="쉼표 [0] 4 2 34 5" xfId="13236"/>
    <cellStyle name="쉼표 [0] 4 2 34 5 2" xfId="38588"/>
    <cellStyle name="쉼표 [0] 4 2 34 6" xfId="25916"/>
    <cellStyle name="쉼표 [0] 4 2 35" xfId="563"/>
    <cellStyle name="쉼표 [0] 4 2 35 2" xfId="564"/>
    <cellStyle name="쉼표 [0] 4 2 35 2 2" xfId="3669"/>
    <cellStyle name="쉼표 [0] 4 2 35 2 2 2" xfId="10005"/>
    <cellStyle name="쉼표 [0] 4 2 35 2 2 2 2" xfId="22679"/>
    <cellStyle name="쉼표 [0] 4 2 35 2 2 2 2 2" xfId="48031"/>
    <cellStyle name="쉼표 [0] 4 2 35 2 2 2 3" xfId="35359"/>
    <cellStyle name="쉼표 [0] 4 2 35 2 2 3" xfId="16343"/>
    <cellStyle name="쉼표 [0] 4 2 35 2 2 3 2" xfId="41695"/>
    <cellStyle name="쉼표 [0] 4 2 35 2 2 4" xfId="29023"/>
    <cellStyle name="쉼표 [0] 4 2 35 2 3" xfId="6901"/>
    <cellStyle name="쉼표 [0] 4 2 35 2 3 2" xfId="19575"/>
    <cellStyle name="쉼표 [0] 4 2 35 2 3 2 2" xfId="44927"/>
    <cellStyle name="쉼표 [0] 4 2 35 2 3 3" xfId="32255"/>
    <cellStyle name="쉼표 [0] 4 2 35 2 4" xfId="13239"/>
    <cellStyle name="쉼표 [0] 4 2 35 2 4 2" xfId="38591"/>
    <cellStyle name="쉼표 [0] 4 2 35 2 5" xfId="25919"/>
    <cellStyle name="쉼표 [0] 4 2 35 3" xfId="3670"/>
    <cellStyle name="쉼표 [0] 4 2 35 3 2" xfId="10006"/>
    <cellStyle name="쉼표 [0] 4 2 35 3 2 2" xfId="22680"/>
    <cellStyle name="쉼표 [0] 4 2 35 3 2 2 2" xfId="48032"/>
    <cellStyle name="쉼표 [0] 4 2 35 3 2 3" xfId="35360"/>
    <cellStyle name="쉼표 [0] 4 2 35 3 3" xfId="16344"/>
    <cellStyle name="쉼표 [0] 4 2 35 3 3 2" xfId="41696"/>
    <cellStyle name="쉼표 [0] 4 2 35 3 4" xfId="29024"/>
    <cellStyle name="쉼표 [0] 4 2 35 4" xfId="6900"/>
    <cellStyle name="쉼표 [0] 4 2 35 4 2" xfId="19574"/>
    <cellStyle name="쉼표 [0] 4 2 35 4 2 2" xfId="44926"/>
    <cellStyle name="쉼표 [0] 4 2 35 4 3" xfId="32254"/>
    <cellStyle name="쉼표 [0] 4 2 35 5" xfId="13238"/>
    <cellStyle name="쉼표 [0] 4 2 35 5 2" xfId="38590"/>
    <cellStyle name="쉼표 [0] 4 2 35 6" xfId="25918"/>
    <cellStyle name="쉼표 [0] 4 2 36" xfId="565"/>
    <cellStyle name="쉼표 [0] 4 2 36 2" xfId="566"/>
    <cellStyle name="쉼표 [0] 4 2 36 2 2" xfId="3671"/>
    <cellStyle name="쉼표 [0] 4 2 36 2 2 2" xfId="10007"/>
    <cellStyle name="쉼표 [0] 4 2 36 2 2 2 2" xfId="22681"/>
    <cellStyle name="쉼표 [0] 4 2 36 2 2 2 2 2" xfId="48033"/>
    <cellStyle name="쉼표 [0] 4 2 36 2 2 2 3" xfId="35361"/>
    <cellStyle name="쉼표 [0] 4 2 36 2 2 3" xfId="16345"/>
    <cellStyle name="쉼표 [0] 4 2 36 2 2 3 2" xfId="41697"/>
    <cellStyle name="쉼표 [0] 4 2 36 2 2 4" xfId="29025"/>
    <cellStyle name="쉼표 [0] 4 2 36 2 3" xfId="6903"/>
    <cellStyle name="쉼표 [0] 4 2 36 2 3 2" xfId="19577"/>
    <cellStyle name="쉼표 [0] 4 2 36 2 3 2 2" xfId="44929"/>
    <cellStyle name="쉼표 [0] 4 2 36 2 3 3" xfId="32257"/>
    <cellStyle name="쉼표 [0] 4 2 36 2 4" xfId="13241"/>
    <cellStyle name="쉼표 [0] 4 2 36 2 4 2" xfId="38593"/>
    <cellStyle name="쉼표 [0] 4 2 36 2 5" xfId="25921"/>
    <cellStyle name="쉼표 [0] 4 2 36 3" xfId="3672"/>
    <cellStyle name="쉼표 [0] 4 2 36 3 2" xfId="10008"/>
    <cellStyle name="쉼표 [0] 4 2 36 3 2 2" xfId="22682"/>
    <cellStyle name="쉼표 [0] 4 2 36 3 2 2 2" xfId="48034"/>
    <cellStyle name="쉼표 [0] 4 2 36 3 2 3" xfId="35362"/>
    <cellStyle name="쉼표 [0] 4 2 36 3 3" xfId="16346"/>
    <cellStyle name="쉼표 [0] 4 2 36 3 3 2" xfId="41698"/>
    <cellStyle name="쉼표 [0] 4 2 36 3 4" xfId="29026"/>
    <cellStyle name="쉼표 [0] 4 2 36 4" xfId="6902"/>
    <cellStyle name="쉼표 [0] 4 2 36 4 2" xfId="19576"/>
    <cellStyle name="쉼표 [0] 4 2 36 4 2 2" xfId="44928"/>
    <cellStyle name="쉼표 [0] 4 2 36 4 3" xfId="32256"/>
    <cellStyle name="쉼표 [0] 4 2 36 5" xfId="13240"/>
    <cellStyle name="쉼표 [0] 4 2 36 5 2" xfId="38592"/>
    <cellStyle name="쉼표 [0] 4 2 36 6" xfId="25920"/>
    <cellStyle name="쉼표 [0] 4 2 37" xfId="567"/>
    <cellStyle name="쉼표 [0] 4 2 37 2" xfId="3673"/>
    <cellStyle name="쉼표 [0] 4 2 37 2 2" xfId="10009"/>
    <cellStyle name="쉼표 [0] 4 2 37 2 2 2" xfId="22683"/>
    <cellStyle name="쉼표 [0] 4 2 37 2 2 2 2" xfId="48035"/>
    <cellStyle name="쉼표 [0] 4 2 37 2 2 3" xfId="35363"/>
    <cellStyle name="쉼표 [0] 4 2 37 2 3" xfId="16347"/>
    <cellStyle name="쉼표 [0] 4 2 37 2 3 2" xfId="41699"/>
    <cellStyle name="쉼표 [0] 4 2 37 2 4" xfId="29027"/>
    <cellStyle name="쉼표 [0] 4 2 37 3" xfId="6904"/>
    <cellStyle name="쉼표 [0] 4 2 37 3 2" xfId="19578"/>
    <cellStyle name="쉼표 [0] 4 2 37 3 2 2" xfId="44930"/>
    <cellStyle name="쉼표 [0] 4 2 37 3 3" xfId="32258"/>
    <cellStyle name="쉼표 [0] 4 2 37 4" xfId="13242"/>
    <cellStyle name="쉼표 [0] 4 2 37 4 2" xfId="38594"/>
    <cellStyle name="쉼표 [0] 4 2 37 5" xfId="25922"/>
    <cellStyle name="쉼표 [0] 4 2 38" xfId="3674"/>
    <cellStyle name="쉼표 [0] 4 2 38 2" xfId="10010"/>
    <cellStyle name="쉼표 [0] 4 2 38 2 2" xfId="22684"/>
    <cellStyle name="쉼표 [0] 4 2 38 2 2 2" xfId="48036"/>
    <cellStyle name="쉼표 [0] 4 2 38 2 3" xfId="35364"/>
    <cellStyle name="쉼표 [0] 4 2 38 3" xfId="16348"/>
    <cellStyle name="쉼표 [0] 4 2 38 3 2" xfId="41700"/>
    <cellStyle name="쉼표 [0] 4 2 38 4" xfId="29028"/>
    <cellStyle name="쉼표 [0] 4 2 39" xfId="6374"/>
    <cellStyle name="쉼표 [0] 4 2 39 2" xfId="19048"/>
    <cellStyle name="쉼표 [0] 4 2 39 2 2" xfId="44400"/>
    <cellStyle name="쉼표 [0] 4 2 39 3" xfId="31728"/>
    <cellStyle name="쉼표 [0] 4 2 4" xfId="63"/>
    <cellStyle name="쉼표 [0] 4 2 4 10" xfId="568"/>
    <cellStyle name="쉼표 [0] 4 2 4 10 2" xfId="569"/>
    <cellStyle name="쉼표 [0] 4 2 4 10 2 2" xfId="3675"/>
    <cellStyle name="쉼표 [0] 4 2 4 10 2 2 2" xfId="10011"/>
    <cellStyle name="쉼표 [0] 4 2 4 10 2 2 2 2" xfId="22685"/>
    <cellStyle name="쉼표 [0] 4 2 4 10 2 2 2 2 2" xfId="48037"/>
    <cellStyle name="쉼표 [0] 4 2 4 10 2 2 2 3" xfId="35365"/>
    <cellStyle name="쉼표 [0] 4 2 4 10 2 2 3" xfId="16349"/>
    <cellStyle name="쉼표 [0] 4 2 4 10 2 2 3 2" xfId="41701"/>
    <cellStyle name="쉼표 [0] 4 2 4 10 2 2 4" xfId="29029"/>
    <cellStyle name="쉼표 [0] 4 2 4 10 2 3" xfId="6906"/>
    <cellStyle name="쉼표 [0] 4 2 4 10 2 3 2" xfId="19580"/>
    <cellStyle name="쉼표 [0] 4 2 4 10 2 3 2 2" xfId="44932"/>
    <cellStyle name="쉼표 [0] 4 2 4 10 2 3 3" xfId="32260"/>
    <cellStyle name="쉼표 [0] 4 2 4 10 2 4" xfId="13244"/>
    <cellStyle name="쉼표 [0] 4 2 4 10 2 4 2" xfId="38596"/>
    <cellStyle name="쉼표 [0] 4 2 4 10 2 5" xfId="25924"/>
    <cellStyle name="쉼표 [0] 4 2 4 10 3" xfId="3676"/>
    <cellStyle name="쉼표 [0] 4 2 4 10 3 2" xfId="10012"/>
    <cellStyle name="쉼표 [0] 4 2 4 10 3 2 2" xfId="22686"/>
    <cellStyle name="쉼표 [0] 4 2 4 10 3 2 2 2" xfId="48038"/>
    <cellStyle name="쉼표 [0] 4 2 4 10 3 2 3" xfId="35366"/>
    <cellStyle name="쉼표 [0] 4 2 4 10 3 3" xfId="16350"/>
    <cellStyle name="쉼표 [0] 4 2 4 10 3 3 2" xfId="41702"/>
    <cellStyle name="쉼표 [0] 4 2 4 10 3 4" xfId="29030"/>
    <cellStyle name="쉼표 [0] 4 2 4 10 4" xfId="6905"/>
    <cellStyle name="쉼표 [0] 4 2 4 10 4 2" xfId="19579"/>
    <cellStyle name="쉼표 [0] 4 2 4 10 4 2 2" xfId="44931"/>
    <cellStyle name="쉼표 [0] 4 2 4 10 4 3" xfId="32259"/>
    <cellStyle name="쉼표 [0] 4 2 4 10 5" xfId="13243"/>
    <cellStyle name="쉼표 [0] 4 2 4 10 5 2" xfId="38595"/>
    <cellStyle name="쉼표 [0] 4 2 4 10 6" xfId="25923"/>
    <cellStyle name="쉼표 [0] 4 2 4 11" xfId="570"/>
    <cellStyle name="쉼표 [0] 4 2 4 11 2" xfId="571"/>
    <cellStyle name="쉼표 [0] 4 2 4 11 2 2" xfId="3677"/>
    <cellStyle name="쉼표 [0] 4 2 4 11 2 2 2" xfId="10013"/>
    <cellStyle name="쉼표 [0] 4 2 4 11 2 2 2 2" xfId="22687"/>
    <cellStyle name="쉼표 [0] 4 2 4 11 2 2 2 2 2" xfId="48039"/>
    <cellStyle name="쉼표 [0] 4 2 4 11 2 2 2 3" xfId="35367"/>
    <cellStyle name="쉼표 [0] 4 2 4 11 2 2 3" xfId="16351"/>
    <cellStyle name="쉼표 [0] 4 2 4 11 2 2 3 2" xfId="41703"/>
    <cellStyle name="쉼표 [0] 4 2 4 11 2 2 4" xfId="29031"/>
    <cellStyle name="쉼표 [0] 4 2 4 11 2 3" xfId="6908"/>
    <cellStyle name="쉼표 [0] 4 2 4 11 2 3 2" xfId="19582"/>
    <cellStyle name="쉼표 [0] 4 2 4 11 2 3 2 2" xfId="44934"/>
    <cellStyle name="쉼표 [0] 4 2 4 11 2 3 3" xfId="32262"/>
    <cellStyle name="쉼표 [0] 4 2 4 11 2 4" xfId="13246"/>
    <cellStyle name="쉼표 [0] 4 2 4 11 2 4 2" xfId="38598"/>
    <cellStyle name="쉼표 [0] 4 2 4 11 2 5" xfId="25926"/>
    <cellStyle name="쉼표 [0] 4 2 4 11 3" xfId="3678"/>
    <cellStyle name="쉼표 [0] 4 2 4 11 3 2" xfId="10014"/>
    <cellStyle name="쉼표 [0] 4 2 4 11 3 2 2" xfId="22688"/>
    <cellStyle name="쉼표 [0] 4 2 4 11 3 2 2 2" xfId="48040"/>
    <cellStyle name="쉼표 [0] 4 2 4 11 3 2 3" xfId="35368"/>
    <cellStyle name="쉼표 [0] 4 2 4 11 3 3" xfId="16352"/>
    <cellStyle name="쉼표 [0] 4 2 4 11 3 3 2" xfId="41704"/>
    <cellStyle name="쉼표 [0] 4 2 4 11 3 4" xfId="29032"/>
    <cellStyle name="쉼표 [0] 4 2 4 11 4" xfId="6907"/>
    <cellStyle name="쉼표 [0] 4 2 4 11 4 2" xfId="19581"/>
    <cellStyle name="쉼표 [0] 4 2 4 11 4 2 2" xfId="44933"/>
    <cellStyle name="쉼표 [0] 4 2 4 11 4 3" xfId="32261"/>
    <cellStyle name="쉼표 [0] 4 2 4 11 5" xfId="13245"/>
    <cellStyle name="쉼표 [0] 4 2 4 11 5 2" xfId="38597"/>
    <cellStyle name="쉼표 [0] 4 2 4 11 6" xfId="25925"/>
    <cellStyle name="쉼표 [0] 4 2 4 12" xfId="572"/>
    <cellStyle name="쉼표 [0] 4 2 4 12 2" xfId="573"/>
    <cellStyle name="쉼표 [0] 4 2 4 12 2 2" xfId="3679"/>
    <cellStyle name="쉼표 [0] 4 2 4 12 2 2 2" xfId="10015"/>
    <cellStyle name="쉼표 [0] 4 2 4 12 2 2 2 2" xfId="22689"/>
    <cellStyle name="쉼표 [0] 4 2 4 12 2 2 2 2 2" xfId="48041"/>
    <cellStyle name="쉼표 [0] 4 2 4 12 2 2 2 3" xfId="35369"/>
    <cellStyle name="쉼표 [0] 4 2 4 12 2 2 3" xfId="16353"/>
    <cellStyle name="쉼표 [0] 4 2 4 12 2 2 3 2" xfId="41705"/>
    <cellStyle name="쉼표 [0] 4 2 4 12 2 2 4" xfId="29033"/>
    <cellStyle name="쉼표 [0] 4 2 4 12 2 3" xfId="6910"/>
    <cellStyle name="쉼표 [0] 4 2 4 12 2 3 2" xfId="19584"/>
    <cellStyle name="쉼표 [0] 4 2 4 12 2 3 2 2" xfId="44936"/>
    <cellStyle name="쉼표 [0] 4 2 4 12 2 3 3" xfId="32264"/>
    <cellStyle name="쉼표 [0] 4 2 4 12 2 4" xfId="13248"/>
    <cellStyle name="쉼표 [0] 4 2 4 12 2 4 2" xfId="38600"/>
    <cellStyle name="쉼표 [0] 4 2 4 12 2 5" xfId="25928"/>
    <cellStyle name="쉼표 [0] 4 2 4 12 3" xfId="3680"/>
    <cellStyle name="쉼표 [0] 4 2 4 12 3 2" xfId="10016"/>
    <cellStyle name="쉼표 [0] 4 2 4 12 3 2 2" xfId="22690"/>
    <cellStyle name="쉼표 [0] 4 2 4 12 3 2 2 2" xfId="48042"/>
    <cellStyle name="쉼표 [0] 4 2 4 12 3 2 3" xfId="35370"/>
    <cellStyle name="쉼표 [0] 4 2 4 12 3 3" xfId="16354"/>
    <cellStyle name="쉼표 [0] 4 2 4 12 3 3 2" xfId="41706"/>
    <cellStyle name="쉼표 [0] 4 2 4 12 3 4" xfId="29034"/>
    <cellStyle name="쉼표 [0] 4 2 4 12 4" xfId="6909"/>
    <cellStyle name="쉼표 [0] 4 2 4 12 4 2" xfId="19583"/>
    <cellStyle name="쉼표 [0] 4 2 4 12 4 2 2" xfId="44935"/>
    <cellStyle name="쉼표 [0] 4 2 4 12 4 3" xfId="32263"/>
    <cellStyle name="쉼표 [0] 4 2 4 12 5" xfId="13247"/>
    <cellStyle name="쉼표 [0] 4 2 4 12 5 2" xfId="38599"/>
    <cellStyle name="쉼표 [0] 4 2 4 12 6" xfId="25927"/>
    <cellStyle name="쉼표 [0] 4 2 4 13" xfId="574"/>
    <cellStyle name="쉼표 [0] 4 2 4 13 2" xfId="575"/>
    <cellStyle name="쉼표 [0] 4 2 4 13 2 2" xfId="3681"/>
    <cellStyle name="쉼표 [0] 4 2 4 13 2 2 2" xfId="10017"/>
    <cellStyle name="쉼표 [0] 4 2 4 13 2 2 2 2" xfId="22691"/>
    <cellStyle name="쉼표 [0] 4 2 4 13 2 2 2 2 2" xfId="48043"/>
    <cellStyle name="쉼표 [0] 4 2 4 13 2 2 2 3" xfId="35371"/>
    <cellStyle name="쉼표 [0] 4 2 4 13 2 2 3" xfId="16355"/>
    <cellStyle name="쉼표 [0] 4 2 4 13 2 2 3 2" xfId="41707"/>
    <cellStyle name="쉼표 [0] 4 2 4 13 2 2 4" xfId="29035"/>
    <cellStyle name="쉼표 [0] 4 2 4 13 2 3" xfId="6912"/>
    <cellStyle name="쉼표 [0] 4 2 4 13 2 3 2" xfId="19586"/>
    <cellStyle name="쉼표 [0] 4 2 4 13 2 3 2 2" xfId="44938"/>
    <cellStyle name="쉼표 [0] 4 2 4 13 2 3 3" xfId="32266"/>
    <cellStyle name="쉼표 [0] 4 2 4 13 2 4" xfId="13250"/>
    <cellStyle name="쉼표 [0] 4 2 4 13 2 4 2" xfId="38602"/>
    <cellStyle name="쉼표 [0] 4 2 4 13 2 5" xfId="25930"/>
    <cellStyle name="쉼표 [0] 4 2 4 13 3" xfId="3682"/>
    <cellStyle name="쉼표 [0] 4 2 4 13 3 2" xfId="10018"/>
    <cellStyle name="쉼표 [0] 4 2 4 13 3 2 2" xfId="22692"/>
    <cellStyle name="쉼표 [0] 4 2 4 13 3 2 2 2" xfId="48044"/>
    <cellStyle name="쉼표 [0] 4 2 4 13 3 2 3" xfId="35372"/>
    <cellStyle name="쉼표 [0] 4 2 4 13 3 3" xfId="16356"/>
    <cellStyle name="쉼표 [0] 4 2 4 13 3 3 2" xfId="41708"/>
    <cellStyle name="쉼표 [0] 4 2 4 13 3 4" xfId="29036"/>
    <cellStyle name="쉼표 [0] 4 2 4 13 4" xfId="6911"/>
    <cellStyle name="쉼표 [0] 4 2 4 13 4 2" xfId="19585"/>
    <cellStyle name="쉼표 [0] 4 2 4 13 4 2 2" xfId="44937"/>
    <cellStyle name="쉼표 [0] 4 2 4 13 4 3" xfId="32265"/>
    <cellStyle name="쉼표 [0] 4 2 4 13 5" xfId="13249"/>
    <cellStyle name="쉼표 [0] 4 2 4 13 5 2" xfId="38601"/>
    <cellStyle name="쉼표 [0] 4 2 4 13 6" xfId="25929"/>
    <cellStyle name="쉼표 [0] 4 2 4 14" xfId="576"/>
    <cellStyle name="쉼표 [0] 4 2 4 14 2" xfId="577"/>
    <cellStyle name="쉼표 [0] 4 2 4 14 2 2" xfId="3683"/>
    <cellStyle name="쉼표 [0] 4 2 4 14 2 2 2" xfId="10019"/>
    <cellStyle name="쉼표 [0] 4 2 4 14 2 2 2 2" xfId="22693"/>
    <cellStyle name="쉼표 [0] 4 2 4 14 2 2 2 2 2" xfId="48045"/>
    <cellStyle name="쉼표 [0] 4 2 4 14 2 2 2 3" xfId="35373"/>
    <cellStyle name="쉼표 [0] 4 2 4 14 2 2 3" xfId="16357"/>
    <cellStyle name="쉼표 [0] 4 2 4 14 2 2 3 2" xfId="41709"/>
    <cellStyle name="쉼표 [0] 4 2 4 14 2 2 4" xfId="29037"/>
    <cellStyle name="쉼표 [0] 4 2 4 14 2 3" xfId="6914"/>
    <cellStyle name="쉼표 [0] 4 2 4 14 2 3 2" xfId="19588"/>
    <cellStyle name="쉼표 [0] 4 2 4 14 2 3 2 2" xfId="44940"/>
    <cellStyle name="쉼표 [0] 4 2 4 14 2 3 3" xfId="32268"/>
    <cellStyle name="쉼표 [0] 4 2 4 14 2 4" xfId="13252"/>
    <cellStyle name="쉼표 [0] 4 2 4 14 2 4 2" xfId="38604"/>
    <cellStyle name="쉼표 [0] 4 2 4 14 2 5" xfId="25932"/>
    <cellStyle name="쉼표 [0] 4 2 4 14 3" xfId="3684"/>
    <cellStyle name="쉼표 [0] 4 2 4 14 3 2" xfId="10020"/>
    <cellStyle name="쉼표 [0] 4 2 4 14 3 2 2" xfId="22694"/>
    <cellStyle name="쉼표 [0] 4 2 4 14 3 2 2 2" xfId="48046"/>
    <cellStyle name="쉼표 [0] 4 2 4 14 3 2 3" xfId="35374"/>
    <cellStyle name="쉼표 [0] 4 2 4 14 3 3" xfId="16358"/>
    <cellStyle name="쉼표 [0] 4 2 4 14 3 3 2" xfId="41710"/>
    <cellStyle name="쉼표 [0] 4 2 4 14 3 4" xfId="29038"/>
    <cellStyle name="쉼표 [0] 4 2 4 14 4" xfId="6913"/>
    <cellStyle name="쉼표 [0] 4 2 4 14 4 2" xfId="19587"/>
    <cellStyle name="쉼표 [0] 4 2 4 14 4 2 2" xfId="44939"/>
    <cellStyle name="쉼표 [0] 4 2 4 14 4 3" xfId="32267"/>
    <cellStyle name="쉼표 [0] 4 2 4 14 5" xfId="13251"/>
    <cellStyle name="쉼표 [0] 4 2 4 14 5 2" xfId="38603"/>
    <cellStyle name="쉼표 [0] 4 2 4 14 6" xfId="25931"/>
    <cellStyle name="쉼표 [0] 4 2 4 15" xfId="578"/>
    <cellStyle name="쉼표 [0] 4 2 4 15 2" xfId="579"/>
    <cellStyle name="쉼표 [0] 4 2 4 15 2 2" xfId="3685"/>
    <cellStyle name="쉼표 [0] 4 2 4 15 2 2 2" xfId="10021"/>
    <cellStyle name="쉼표 [0] 4 2 4 15 2 2 2 2" xfId="22695"/>
    <cellStyle name="쉼표 [0] 4 2 4 15 2 2 2 2 2" xfId="48047"/>
    <cellStyle name="쉼표 [0] 4 2 4 15 2 2 2 3" xfId="35375"/>
    <cellStyle name="쉼표 [0] 4 2 4 15 2 2 3" xfId="16359"/>
    <cellStyle name="쉼표 [0] 4 2 4 15 2 2 3 2" xfId="41711"/>
    <cellStyle name="쉼표 [0] 4 2 4 15 2 2 4" xfId="29039"/>
    <cellStyle name="쉼표 [0] 4 2 4 15 2 3" xfId="6916"/>
    <cellStyle name="쉼표 [0] 4 2 4 15 2 3 2" xfId="19590"/>
    <cellStyle name="쉼표 [0] 4 2 4 15 2 3 2 2" xfId="44942"/>
    <cellStyle name="쉼표 [0] 4 2 4 15 2 3 3" xfId="32270"/>
    <cellStyle name="쉼표 [0] 4 2 4 15 2 4" xfId="13254"/>
    <cellStyle name="쉼표 [0] 4 2 4 15 2 4 2" xfId="38606"/>
    <cellStyle name="쉼표 [0] 4 2 4 15 2 5" xfId="25934"/>
    <cellStyle name="쉼표 [0] 4 2 4 15 3" xfId="3686"/>
    <cellStyle name="쉼표 [0] 4 2 4 15 3 2" xfId="10022"/>
    <cellStyle name="쉼표 [0] 4 2 4 15 3 2 2" xfId="22696"/>
    <cellStyle name="쉼표 [0] 4 2 4 15 3 2 2 2" xfId="48048"/>
    <cellStyle name="쉼표 [0] 4 2 4 15 3 2 3" xfId="35376"/>
    <cellStyle name="쉼표 [0] 4 2 4 15 3 3" xfId="16360"/>
    <cellStyle name="쉼표 [0] 4 2 4 15 3 3 2" xfId="41712"/>
    <cellStyle name="쉼표 [0] 4 2 4 15 3 4" xfId="29040"/>
    <cellStyle name="쉼표 [0] 4 2 4 15 4" xfId="6915"/>
    <cellStyle name="쉼표 [0] 4 2 4 15 4 2" xfId="19589"/>
    <cellStyle name="쉼표 [0] 4 2 4 15 4 2 2" xfId="44941"/>
    <cellStyle name="쉼표 [0] 4 2 4 15 4 3" xfId="32269"/>
    <cellStyle name="쉼표 [0] 4 2 4 15 5" xfId="13253"/>
    <cellStyle name="쉼표 [0] 4 2 4 15 5 2" xfId="38605"/>
    <cellStyle name="쉼표 [0] 4 2 4 15 6" xfId="25933"/>
    <cellStyle name="쉼표 [0] 4 2 4 16" xfId="580"/>
    <cellStyle name="쉼표 [0] 4 2 4 16 2" xfId="581"/>
    <cellStyle name="쉼표 [0] 4 2 4 16 2 2" xfId="3687"/>
    <cellStyle name="쉼표 [0] 4 2 4 16 2 2 2" xfId="10023"/>
    <cellStyle name="쉼표 [0] 4 2 4 16 2 2 2 2" xfId="22697"/>
    <cellStyle name="쉼표 [0] 4 2 4 16 2 2 2 2 2" xfId="48049"/>
    <cellStyle name="쉼표 [0] 4 2 4 16 2 2 2 3" xfId="35377"/>
    <cellStyle name="쉼표 [0] 4 2 4 16 2 2 3" xfId="16361"/>
    <cellStyle name="쉼표 [0] 4 2 4 16 2 2 3 2" xfId="41713"/>
    <cellStyle name="쉼표 [0] 4 2 4 16 2 2 4" xfId="29041"/>
    <cellStyle name="쉼표 [0] 4 2 4 16 2 3" xfId="6918"/>
    <cellStyle name="쉼표 [0] 4 2 4 16 2 3 2" xfId="19592"/>
    <cellStyle name="쉼표 [0] 4 2 4 16 2 3 2 2" xfId="44944"/>
    <cellStyle name="쉼표 [0] 4 2 4 16 2 3 3" xfId="32272"/>
    <cellStyle name="쉼표 [0] 4 2 4 16 2 4" xfId="13256"/>
    <cellStyle name="쉼표 [0] 4 2 4 16 2 4 2" xfId="38608"/>
    <cellStyle name="쉼표 [0] 4 2 4 16 2 5" xfId="25936"/>
    <cellStyle name="쉼표 [0] 4 2 4 16 3" xfId="3688"/>
    <cellStyle name="쉼표 [0] 4 2 4 16 3 2" xfId="10024"/>
    <cellStyle name="쉼표 [0] 4 2 4 16 3 2 2" xfId="22698"/>
    <cellStyle name="쉼표 [0] 4 2 4 16 3 2 2 2" xfId="48050"/>
    <cellStyle name="쉼표 [0] 4 2 4 16 3 2 3" xfId="35378"/>
    <cellStyle name="쉼표 [0] 4 2 4 16 3 3" xfId="16362"/>
    <cellStyle name="쉼표 [0] 4 2 4 16 3 3 2" xfId="41714"/>
    <cellStyle name="쉼표 [0] 4 2 4 16 3 4" xfId="29042"/>
    <cellStyle name="쉼표 [0] 4 2 4 16 4" xfId="6917"/>
    <cellStyle name="쉼표 [0] 4 2 4 16 4 2" xfId="19591"/>
    <cellStyle name="쉼표 [0] 4 2 4 16 4 2 2" xfId="44943"/>
    <cellStyle name="쉼표 [0] 4 2 4 16 4 3" xfId="32271"/>
    <cellStyle name="쉼표 [0] 4 2 4 16 5" xfId="13255"/>
    <cellStyle name="쉼표 [0] 4 2 4 16 5 2" xfId="38607"/>
    <cellStyle name="쉼표 [0] 4 2 4 16 6" xfId="25935"/>
    <cellStyle name="쉼표 [0] 4 2 4 17" xfId="582"/>
    <cellStyle name="쉼표 [0] 4 2 4 17 2" xfId="583"/>
    <cellStyle name="쉼표 [0] 4 2 4 17 2 2" xfId="3689"/>
    <cellStyle name="쉼표 [0] 4 2 4 17 2 2 2" xfId="10025"/>
    <cellStyle name="쉼표 [0] 4 2 4 17 2 2 2 2" xfId="22699"/>
    <cellStyle name="쉼표 [0] 4 2 4 17 2 2 2 2 2" xfId="48051"/>
    <cellStyle name="쉼표 [0] 4 2 4 17 2 2 2 3" xfId="35379"/>
    <cellStyle name="쉼표 [0] 4 2 4 17 2 2 3" xfId="16363"/>
    <cellStyle name="쉼표 [0] 4 2 4 17 2 2 3 2" xfId="41715"/>
    <cellStyle name="쉼표 [0] 4 2 4 17 2 2 4" xfId="29043"/>
    <cellStyle name="쉼표 [0] 4 2 4 17 2 3" xfId="6920"/>
    <cellStyle name="쉼표 [0] 4 2 4 17 2 3 2" xfId="19594"/>
    <cellStyle name="쉼표 [0] 4 2 4 17 2 3 2 2" xfId="44946"/>
    <cellStyle name="쉼표 [0] 4 2 4 17 2 3 3" xfId="32274"/>
    <cellStyle name="쉼표 [0] 4 2 4 17 2 4" xfId="13258"/>
    <cellStyle name="쉼표 [0] 4 2 4 17 2 4 2" xfId="38610"/>
    <cellStyle name="쉼표 [0] 4 2 4 17 2 5" xfId="25938"/>
    <cellStyle name="쉼표 [0] 4 2 4 17 3" xfId="3690"/>
    <cellStyle name="쉼표 [0] 4 2 4 17 3 2" xfId="10026"/>
    <cellStyle name="쉼표 [0] 4 2 4 17 3 2 2" xfId="22700"/>
    <cellStyle name="쉼표 [0] 4 2 4 17 3 2 2 2" xfId="48052"/>
    <cellStyle name="쉼표 [0] 4 2 4 17 3 2 3" xfId="35380"/>
    <cellStyle name="쉼표 [0] 4 2 4 17 3 3" xfId="16364"/>
    <cellStyle name="쉼표 [0] 4 2 4 17 3 3 2" xfId="41716"/>
    <cellStyle name="쉼표 [0] 4 2 4 17 3 4" xfId="29044"/>
    <cellStyle name="쉼표 [0] 4 2 4 17 4" xfId="6919"/>
    <cellStyle name="쉼표 [0] 4 2 4 17 4 2" xfId="19593"/>
    <cellStyle name="쉼표 [0] 4 2 4 17 4 2 2" xfId="44945"/>
    <cellStyle name="쉼표 [0] 4 2 4 17 4 3" xfId="32273"/>
    <cellStyle name="쉼표 [0] 4 2 4 17 5" xfId="13257"/>
    <cellStyle name="쉼표 [0] 4 2 4 17 5 2" xfId="38609"/>
    <cellStyle name="쉼표 [0] 4 2 4 17 6" xfId="25937"/>
    <cellStyle name="쉼표 [0] 4 2 4 18" xfId="584"/>
    <cellStyle name="쉼표 [0] 4 2 4 18 2" xfId="585"/>
    <cellStyle name="쉼표 [0] 4 2 4 18 2 2" xfId="3691"/>
    <cellStyle name="쉼표 [0] 4 2 4 18 2 2 2" xfId="10027"/>
    <cellStyle name="쉼표 [0] 4 2 4 18 2 2 2 2" xfId="22701"/>
    <cellStyle name="쉼표 [0] 4 2 4 18 2 2 2 2 2" xfId="48053"/>
    <cellStyle name="쉼표 [0] 4 2 4 18 2 2 2 3" xfId="35381"/>
    <cellStyle name="쉼표 [0] 4 2 4 18 2 2 3" xfId="16365"/>
    <cellStyle name="쉼표 [0] 4 2 4 18 2 2 3 2" xfId="41717"/>
    <cellStyle name="쉼표 [0] 4 2 4 18 2 2 4" xfId="29045"/>
    <cellStyle name="쉼표 [0] 4 2 4 18 2 3" xfId="6922"/>
    <cellStyle name="쉼표 [0] 4 2 4 18 2 3 2" xfId="19596"/>
    <cellStyle name="쉼표 [0] 4 2 4 18 2 3 2 2" xfId="44948"/>
    <cellStyle name="쉼표 [0] 4 2 4 18 2 3 3" xfId="32276"/>
    <cellStyle name="쉼표 [0] 4 2 4 18 2 4" xfId="13260"/>
    <cellStyle name="쉼표 [0] 4 2 4 18 2 4 2" xfId="38612"/>
    <cellStyle name="쉼표 [0] 4 2 4 18 2 5" xfId="25940"/>
    <cellStyle name="쉼표 [0] 4 2 4 18 3" xfId="3692"/>
    <cellStyle name="쉼표 [0] 4 2 4 18 3 2" xfId="10028"/>
    <cellStyle name="쉼표 [0] 4 2 4 18 3 2 2" xfId="22702"/>
    <cellStyle name="쉼표 [0] 4 2 4 18 3 2 2 2" xfId="48054"/>
    <cellStyle name="쉼표 [0] 4 2 4 18 3 2 3" xfId="35382"/>
    <cellStyle name="쉼표 [0] 4 2 4 18 3 3" xfId="16366"/>
    <cellStyle name="쉼표 [0] 4 2 4 18 3 3 2" xfId="41718"/>
    <cellStyle name="쉼표 [0] 4 2 4 18 3 4" xfId="29046"/>
    <cellStyle name="쉼표 [0] 4 2 4 18 4" xfId="6921"/>
    <cellStyle name="쉼표 [0] 4 2 4 18 4 2" xfId="19595"/>
    <cellStyle name="쉼표 [0] 4 2 4 18 4 2 2" xfId="44947"/>
    <cellStyle name="쉼표 [0] 4 2 4 18 4 3" xfId="32275"/>
    <cellStyle name="쉼표 [0] 4 2 4 18 5" xfId="13259"/>
    <cellStyle name="쉼표 [0] 4 2 4 18 5 2" xfId="38611"/>
    <cellStyle name="쉼표 [0] 4 2 4 18 6" xfId="25939"/>
    <cellStyle name="쉼표 [0] 4 2 4 19" xfId="586"/>
    <cellStyle name="쉼표 [0] 4 2 4 19 2" xfId="587"/>
    <cellStyle name="쉼표 [0] 4 2 4 19 2 2" xfId="3693"/>
    <cellStyle name="쉼표 [0] 4 2 4 19 2 2 2" xfId="10029"/>
    <cellStyle name="쉼표 [0] 4 2 4 19 2 2 2 2" xfId="22703"/>
    <cellStyle name="쉼표 [0] 4 2 4 19 2 2 2 2 2" xfId="48055"/>
    <cellStyle name="쉼표 [0] 4 2 4 19 2 2 2 3" xfId="35383"/>
    <cellStyle name="쉼표 [0] 4 2 4 19 2 2 3" xfId="16367"/>
    <cellStyle name="쉼표 [0] 4 2 4 19 2 2 3 2" xfId="41719"/>
    <cellStyle name="쉼표 [0] 4 2 4 19 2 2 4" xfId="29047"/>
    <cellStyle name="쉼표 [0] 4 2 4 19 2 3" xfId="6924"/>
    <cellStyle name="쉼표 [0] 4 2 4 19 2 3 2" xfId="19598"/>
    <cellStyle name="쉼표 [0] 4 2 4 19 2 3 2 2" xfId="44950"/>
    <cellStyle name="쉼표 [0] 4 2 4 19 2 3 3" xfId="32278"/>
    <cellStyle name="쉼표 [0] 4 2 4 19 2 4" xfId="13262"/>
    <cellStyle name="쉼표 [0] 4 2 4 19 2 4 2" xfId="38614"/>
    <cellStyle name="쉼표 [0] 4 2 4 19 2 5" xfId="25942"/>
    <cellStyle name="쉼표 [0] 4 2 4 19 3" xfId="3694"/>
    <cellStyle name="쉼표 [0] 4 2 4 19 3 2" xfId="10030"/>
    <cellStyle name="쉼표 [0] 4 2 4 19 3 2 2" xfId="22704"/>
    <cellStyle name="쉼표 [0] 4 2 4 19 3 2 2 2" xfId="48056"/>
    <cellStyle name="쉼표 [0] 4 2 4 19 3 2 3" xfId="35384"/>
    <cellStyle name="쉼표 [0] 4 2 4 19 3 3" xfId="16368"/>
    <cellStyle name="쉼표 [0] 4 2 4 19 3 3 2" xfId="41720"/>
    <cellStyle name="쉼표 [0] 4 2 4 19 3 4" xfId="29048"/>
    <cellStyle name="쉼표 [0] 4 2 4 19 4" xfId="6923"/>
    <cellStyle name="쉼표 [0] 4 2 4 19 4 2" xfId="19597"/>
    <cellStyle name="쉼표 [0] 4 2 4 19 4 2 2" xfId="44949"/>
    <cellStyle name="쉼표 [0] 4 2 4 19 4 3" xfId="32277"/>
    <cellStyle name="쉼표 [0] 4 2 4 19 5" xfId="13261"/>
    <cellStyle name="쉼표 [0] 4 2 4 19 5 2" xfId="38613"/>
    <cellStyle name="쉼표 [0] 4 2 4 19 6" xfId="25941"/>
    <cellStyle name="쉼표 [0] 4 2 4 2" xfId="588"/>
    <cellStyle name="쉼표 [0] 4 2 4 2 2" xfId="589"/>
    <cellStyle name="쉼표 [0] 4 2 4 2 2 2" xfId="3695"/>
    <cellStyle name="쉼표 [0] 4 2 4 2 2 2 2" xfId="10031"/>
    <cellStyle name="쉼표 [0] 4 2 4 2 2 2 2 2" xfId="22705"/>
    <cellStyle name="쉼표 [0] 4 2 4 2 2 2 2 2 2" xfId="48057"/>
    <cellStyle name="쉼표 [0] 4 2 4 2 2 2 2 3" xfId="35385"/>
    <cellStyle name="쉼표 [0] 4 2 4 2 2 2 3" xfId="16369"/>
    <cellStyle name="쉼표 [0] 4 2 4 2 2 2 3 2" xfId="41721"/>
    <cellStyle name="쉼표 [0] 4 2 4 2 2 2 4" xfId="29049"/>
    <cellStyle name="쉼표 [0] 4 2 4 2 2 3" xfId="6926"/>
    <cellStyle name="쉼표 [0] 4 2 4 2 2 3 2" xfId="19600"/>
    <cellStyle name="쉼표 [0] 4 2 4 2 2 3 2 2" xfId="44952"/>
    <cellStyle name="쉼표 [0] 4 2 4 2 2 3 3" xfId="32280"/>
    <cellStyle name="쉼표 [0] 4 2 4 2 2 4" xfId="13264"/>
    <cellStyle name="쉼표 [0] 4 2 4 2 2 4 2" xfId="38616"/>
    <cellStyle name="쉼표 [0] 4 2 4 2 2 5" xfId="25944"/>
    <cellStyle name="쉼표 [0] 4 2 4 2 3" xfId="3696"/>
    <cellStyle name="쉼표 [0] 4 2 4 2 3 2" xfId="10032"/>
    <cellStyle name="쉼표 [0] 4 2 4 2 3 2 2" xfId="22706"/>
    <cellStyle name="쉼표 [0] 4 2 4 2 3 2 2 2" xfId="48058"/>
    <cellStyle name="쉼표 [0] 4 2 4 2 3 2 3" xfId="35386"/>
    <cellStyle name="쉼표 [0] 4 2 4 2 3 3" xfId="16370"/>
    <cellStyle name="쉼표 [0] 4 2 4 2 3 3 2" xfId="41722"/>
    <cellStyle name="쉼표 [0] 4 2 4 2 3 4" xfId="29050"/>
    <cellStyle name="쉼표 [0] 4 2 4 2 4" xfId="6925"/>
    <cellStyle name="쉼표 [0] 4 2 4 2 4 2" xfId="19599"/>
    <cellStyle name="쉼표 [0] 4 2 4 2 4 2 2" xfId="44951"/>
    <cellStyle name="쉼표 [0] 4 2 4 2 4 3" xfId="32279"/>
    <cellStyle name="쉼표 [0] 4 2 4 2 5" xfId="13263"/>
    <cellStyle name="쉼표 [0] 4 2 4 2 5 2" xfId="38615"/>
    <cellStyle name="쉼표 [0] 4 2 4 2 6" xfId="25943"/>
    <cellStyle name="쉼표 [0] 4 2 4 20" xfId="590"/>
    <cellStyle name="쉼표 [0] 4 2 4 20 2" xfId="591"/>
    <cellStyle name="쉼표 [0] 4 2 4 20 2 2" xfId="3697"/>
    <cellStyle name="쉼표 [0] 4 2 4 20 2 2 2" xfId="10033"/>
    <cellStyle name="쉼표 [0] 4 2 4 20 2 2 2 2" xfId="22707"/>
    <cellStyle name="쉼표 [0] 4 2 4 20 2 2 2 2 2" xfId="48059"/>
    <cellStyle name="쉼표 [0] 4 2 4 20 2 2 2 3" xfId="35387"/>
    <cellStyle name="쉼표 [0] 4 2 4 20 2 2 3" xfId="16371"/>
    <cellStyle name="쉼표 [0] 4 2 4 20 2 2 3 2" xfId="41723"/>
    <cellStyle name="쉼표 [0] 4 2 4 20 2 2 4" xfId="29051"/>
    <cellStyle name="쉼표 [0] 4 2 4 20 2 3" xfId="6928"/>
    <cellStyle name="쉼표 [0] 4 2 4 20 2 3 2" xfId="19602"/>
    <cellStyle name="쉼표 [0] 4 2 4 20 2 3 2 2" xfId="44954"/>
    <cellStyle name="쉼표 [0] 4 2 4 20 2 3 3" xfId="32282"/>
    <cellStyle name="쉼표 [0] 4 2 4 20 2 4" xfId="13266"/>
    <cellStyle name="쉼표 [0] 4 2 4 20 2 4 2" xfId="38618"/>
    <cellStyle name="쉼표 [0] 4 2 4 20 2 5" xfId="25946"/>
    <cellStyle name="쉼표 [0] 4 2 4 20 3" xfId="3698"/>
    <cellStyle name="쉼표 [0] 4 2 4 20 3 2" xfId="10034"/>
    <cellStyle name="쉼표 [0] 4 2 4 20 3 2 2" xfId="22708"/>
    <cellStyle name="쉼표 [0] 4 2 4 20 3 2 2 2" xfId="48060"/>
    <cellStyle name="쉼표 [0] 4 2 4 20 3 2 3" xfId="35388"/>
    <cellStyle name="쉼표 [0] 4 2 4 20 3 3" xfId="16372"/>
    <cellStyle name="쉼표 [0] 4 2 4 20 3 3 2" xfId="41724"/>
    <cellStyle name="쉼표 [0] 4 2 4 20 3 4" xfId="29052"/>
    <cellStyle name="쉼표 [0] 4 2 4 20 4" xfId="6927"/>
    <cellStyle name="쉼표 [0] 4 2 4 20 4 2" xfId="19601"/>
    <cellStyle name="쉼표 [0] 4 2 4 20 4 2 2" xfId="44953"/>
    <cellStyle name="쉼표 [0] 4 2 4 20 4 3" xfId="32281"/>
    <cellStyle name="쉼표 [0] 4 2 4 20 5" xfId="13265"/>
    <cellStyle name="쉼표 [0] 4 2 4 20 5 2" xfId="38617"/>
    <cellStyle name="쉼표 [0] 4 2 4 20 6" xfId="25945"/>
    <cellStyle name="쉼표 [0] 4 2 4 21" xfId="592"/>
    <cellStyle name="쉼표 [0] 4 2 4 21 2" xfId="593"/>
    <cellStyle name="쉼표 [0] 4 2 4 21 2 2" xfId="3699"/>
    <cellStyle name="쉼표 [0] 4 2 4 21 2 2 2" xfId="10035"/>
    <cellStyle name="쉼표 [0] 4 2 4 21 2 2 2 2" xfId="22709"/>
    <cellStyle name="쉼표 [0] 4 2 4 21 2 2 2 2 2" xfId="48061"/>
    <cellStyle name="쉼표 [0] 4 2 4 21 2 2 2 3" xfId="35389"/>
    <cellStyle name="쉼표 [0] 4 2 4 21 2 2 3" xfId="16373"/>
    <cellStyle name="쉼표 [0] 4 2 4 21 2 2 3 2" xfId="41725"/>
    <cellStyle name="쉼표 [0] 4 2 4 21 2 2 4" xfId="29053"/>
    <cellStyle name="쉼표 [0] 4 2 4 21 2 3" xfId="6930"/>
    <cellStyle name="쉼표 [0] 4 2 4 21 2 3 2" xfId="19604"/>
    <cellStyle name="쉼표 [0] 4 2 4 21 2 3 2 2" xfId="44956"/>
    <cellStyle name="쉼표 [0] 4 2 4 21 2 3 3" xfId="32284"/>
    <cellStyle name="쉼표 [0] 4 2 4 21 2 4" xfId="13268"/>
    <cellStyle name="쉼표 [0] 4 2 4 21 2 4 2" xfId="38620"/>
    <cellStyle name="쉼표 [0] 4 2 4 21 2 5" xfId="25948"/>
    <cellStyle name="쉼표 [0] 4 2 4 21 3" xfId="3700"/>
    <cellStyle name="쉼표 [0] 4 2 4 21 3 2" xfId="10036"/>
    <cellStyle name="쉼표 [0] 4 2 4 21 3 2 2" xfId="22710"/>
    <cellStyle name="쉼표 [0] 4 2 4 21 3 2 2 2" xfId="48062"/>
    <cellStyle name="쉼표 [0] 4 2 4 21 3 2 3" xfId="35390"/>
    <cellStyle name="쉼표 [0] 4 2 4 21 3 3" xfId="16374"/>
    <cellStyle name="쉼표 [0] 4 2 4 21 3 3 2" xfId="41726"/>
    <cellStyle name="쉼표 [0] 4 2 4 21 3 4" xfId="29054"/>
    <cellStyle name="쉼표 [0] 4 2 4 21 4" xfId="6929"/>
    <cellStyle name="쉼표 [0] 4 2 4 21 4 2" xfId="19603"/>
    <cellStyle name="쉼표 [0] 4 2 4 21 4 2 2" xfId="44955"/>
    <cellStyle name="쉼표 [0] 4 2 4 21 4 3" xfId="32283"/>
    <cellStyle name="쉼표 [0] 4 2 4 21 5" xfId="13267"/>
    <cellStyle name="쉼표 [0] 4 2 4 21 5 2" xfId="38619"/>
    <cellStyle name="쉼표 [0] 4 2 4 21 6" xfId="25947"/>
    <cellStyle name="쉼표 [0] 4 2 4 22" xfId="594"/>
    <cellStyle name="쉼표 [0] 4 2 4 22 2" xfId="595"/>
    <cellStyle name="쉼표 [0] 4 2 4 22 2 2" xfId="3701"/>
    <cellStyle name="쉼표 [0] 4 2 4 22 2 2 2" xfId="10037"/>
    <cellStyle name="쉼표 [0] 4 2 4 22 2 2 2 2" xfId="22711"/>
    <cellStyle name="쉼표 [0] 4 2 4 22 2 2 2 2 2" xfId="48063"/>
    <cellStyle name="쉼표 [0] 4 2 4 22 2 2 2 3" xfId="35391"/>
    <cellStyle name="쉼표 [0] 4 2 4 22 2 2 3" xfId="16375"/>
    <cellStyle name="쉼표 [0] 4 2 4 22 2 2 3 2" xfId="41727"/>
    <cellStyle name="쉼표 [0] 4 2 4 22 2 2 4" xfId="29055"/>
    <cellStyle name="쉼표 [0] 4 2 4 22 2 3" xfId="6932"/>
    <cellStyle name="쉼표 [0] 4 2 4 22 2 3 2" xfId="19606"/>
    <cellStyle name="쉼표 [0] 4 2 4 22 2 3 2 2" xfId="44958"/>
    <cellStyle name="쉼표 [0] 4 2 4 22 2 3 3" xfId="32286"/>
    <cellStyle name="쉼표 [0] 4 2 4 22 2 4" xfId="13270"/>
    <cellStyle name="쉼표 [0] 4 2 4 22 2 4 2" xfId="38622"/>
    <cellStyle name="쉼표 [0] 4 2 4 22 2 5" xfId="25950"/>
    <cellStyle name="쉼표 [0] 4 2 4 22 3" xfId="3702"/>
    <cellStyle name="쉼표 [0] 4 2 4 22 3 2" xfId="10038"/>
    <cellStyle name="쉼표 [0] 4 2 4 22 3 2 2" xfId="22712"/>
    <cellStyle name="쉼표 [0] 4 2 4 22 3 2 2 2" xfId="48064"/>
    <cellStyle name="쉼표 [0] 4 2 4 22 3 2 3" xfId="35392"/>
    <cellStyle name="쉼표 [0] 4 2 4 22 3 3" xfId="16376"/>
    <cellStyle name="쉼표 [0] 4 2 4 22 3 3 2" xfId="41728"/>
    <cellStyle name="쉼표 [0] 4 2 4 22 3 4" xfId="29056"/>
    <cellStyle name="쉼표 [0] 4 2 4 22 4" xfId="6931"/>
    <cellStyle name="쉼표 [0] 4 2 4 22 4 2" xfId="19605"/>
    <cellStyle name="쉼표 [0] 4 2 4 22 4 2 2" xfId="44957"/>
    <cellStyle name="쉼표 [0] 4 2 4 22 4 3" xfId="32285"/>
    <cellStyle name="쉼표 [0] 4 2 4 22 5" xfId="13269"/>
    <cellStyle name="쉼표 [0] 4 2 4 22 5 2" xfId="38621"/>
    <cellStyle name="쉼표 [0] 4 2 4 22 6" xfId="25949"/>
    <cellStyle name="쉼표 [0] 4 2 4 23" xfId="596"/>
    <cellStyle name="쉼표 [0] 4 2 4 23 2" xfId="597"/>
    <cellStyle name="쉼표 [0] 4 2 4 23 2 2" xfId="3703"/>
    <cellStyle name="쉼표 [0] 4 2 4 23 2 2 2" xfId="10039"/>
    <cellStyle name="쉼표 [0] 4 2 4 23 2 2 2 2" xfId="22713"/>
    <cellStyle name="쉼표 [0] 4 2 4 23 2 2 2 2 2" xfId="48065"/>
    <cellStyle name="쉼표 [0] 4 2 4 23 2 2 2 3" xfId="35393"/>
    <cellStyle name="쉼표 [0] 4 2 4 23 2 2 3" xfId="16377"/>
    <cellStyle name="쉼표 [0] 4 2 4 23 2 2 3 2" xfId="41729"/>
    <cellStyle name="쉼표 [0] 4 2 4 23 2 2 4" xfId="29057"/>
    <cellStyle name="쉼표 [0] 4 2 4 23 2 3" xfId="6934"/>
    <cellStyle name="쉼표 [0] 4 2 4 23 2 3 2" xfId="19608"/>
    <cellStyle name="쉼표 [0] 4 2 4 23 2 3 2 2" xfId="44960"/>
    <cellStyle name="쉼표 [0] 4 2 4 23 2 3 3" xfId="32288"/>
    <cellStyle name="쉼표 [0] 4 2 4 23 2 4" xfId="13272"/>
    <cellStyle name="쉼표 [0] 4 2 4 23 2 4 2" xfId="38624"/>
    <cellStyle name="쉼표 [0] 4 2 4 23 2 5" xfId="25952"/>
    <cellStyle name="쉼표 [0] 4 2 4 23 3" xfId="3704"/>
    <cellStyle name="쉼표 [0] 4 2 4 23 3 2" xfId="10040"/>
    <cellStyle name="쉼표 [0] 4 2 4 23 3 2 2" xfId="22714"/>
    <cellStyle name="쉼표 [0] 4 2 4 23 3 2 2 2" xfId="48066"/>
    <cellStyle name="쉼표 [0] 4 2 4 23 3 2 3" xfId="35394"/>
    <cellStyle name="쉼표 [0] 4 2 4 23 3 3" xfId="16378"/>
    <cellStyle name="쉼표 [0] 4 2 4 23 3 3 2" xfId="41730"/>
    <cellStyle name="쉼표 [0] 4 2 4 23 3 4" xfId="29058"/>
    <cellStyle name="쉼표 [0] 4 2 4 23 4" xfId="6933"/>
    <cellStyle name="쉼표 [0] 4 2 4 23 4 2" xfId="19607"/>
    <cellStyle name="쉼표 [0] 4 2 4 23 4 2 2" xfId="44959"/>
    <cellStyle name="쉼표 [0] 4 2 4 23 4 3" xfId="32287"/>
    <cellStyle name="쉼표 [0] 4 2 4 23 5" xfId="13271"/>
    <cellStyle name="쉼표 [0] 4 2 4 23 5 2" xfId="38623"/>
    <cellStyle name="쉼표 [0] 4 2 4 23 6" xfId="25951"/>
    <cellStyle name="쉼표 [0] 4 2 4 24" xfId="598"/>
    <cellStyle name="쉼표 [0] 4 2 4 24 2" xfId="599"/>
    <cellStyle name="쉼표 [0] 4 2 4 24 2 2" xfId="3705"/>
    <cellStyle name="쉼표 [0] 4 2 4 24 2 2 2" xfId="10041"/>
    <cellStyle name="쉼표 [0] 4 2 4 24 2 2 2 2" xfId="22715"/>
    <cellStyle name="쉼표 [0] 4 2 4 24 2 2 2 2 2" xfId="48067"/>
    <cellStyle name="쉼표 [0] 4 2 4 24 2 2 2 3" xfId="35395"/>
    <cellStyle name="쉼표 [0] 4 2 4 24 2 2 3" xfId="16379"/>
    <cellStyle name="쉼표 [0] 4 2 4 24 2 2 3 2" xfId="41731"/>
    <cellStyle name="쉼표 [0] 4 2 4 24 2 2 4" xfId="29059"/>
    <cellStyle name="쉼표 [0] 4 2 4 24 2 3" xfId="6936"/>
    <cellStyle name="쉼표 [0] 4 2 4 24 2 3 2" xfId="19610"/>
    <cellStyle name="쉼표 [0] 4 2 4 24 2 3 2 2" xfId="44962"/>
    <cellStyle name="쉼표 [0] 4 2 4 24 2 3 3" xfId="32290"/>
    <cellStyle name="쉼표 [0] 4 2 4 24 2 4" xfId="13274"/>
    <cellStyle name="쉼표 [0] 4 2 4 24 2 4 2" xfId="38626"/>
    <cellStyle name="쉼표 [0] 4 2 4 24 2 5" xfId="25954"/>
    <cellStyle name="쉼표 [0] 4 2 4 24 3" xfId="3706"/>
    <cellStyle name="쉼표 [0] 4 2 4 24 3 2" xfId="10042"/>
    <cellStyle name="쉼표 [0] 4 2 4 24 3 2 2" xfId="22716"/>
    <cellStyle name="쉼표 [0] 4 2 4 24 3 2 2 2" xfId="48068"/>
    <cellStyle name="쉼표 [0] 4 2 4 24 3 2 3" xfId="35396"/>
    <cellStyle name="쉼표 [0] 4 2 4 24 3 3" xfId="16380"/>
    <cellStyle name="쉼표 [0] 4 2 4 24 3 3 2" xfId="41732"/>
    <cellStyle name="쉼표 [0] 4 2 4 24 3 4" xfId="29060"/>
    <cellStyle name="쉼표 [0] 4 2 4 24 4" xfId="6935"/>
    <cellStyle name="쉼표 [0] 4 2 4 24 4 2" xfId="19609"/>
    <cellStyle name="쉼표 [0] 4 2 4 24 4 2 2" xfId="44961"/>
    <cellStyle name="쉼표 [0] 4 2 4 24 4 3" xfId="32289"/>
    <cellStyle name="쉼표 [0] 4 2 4 24 5" xfId="13273"/>
    <cellStyle name="쉼표 [0] 4 2 4 24 5 2" xfId="38625"/>
    <cellStyle name="쉼표 [0] 4 2 4 24 6" xfId="25953"/>
    <cellStyle name="쉼표 [0] 4 2 4 25" xfId="600"/>
    <cellStyle name="쉼표 [0] 4 2 4 25 2" xfId="601"/>
    <cellStyle name="쉼표 [0] 4 2 4 25 2 2" xfId="3707"/>
    <cellStyle name="쉼표 [0] 4 2 4 25 2 2 2" xfId="10043"/>
    <cellStyle name="쉼표 [0] 4 2 4 25 2 2 2 2" xfId="22717"/>
    <cellStyle name="쉼표 [0] 4 2 4 25 2 2 2 2 2" xfId="48069"/>
    <cellStyle name="쉼표 [0] 4 2 4 25 2 2 2 3" xfId="35397"/>
    <cellStyle name="쉼표 [0] 4 2 4 25 2 2 3" xfId="16381"/>
    <cellStyle name="쉼표 [0] 4 2 4 25 2 2 3 2" xfId="41733"/>
    <cellStyle name="쉼표 [0] 4 2 4 25 2 2 4" xfId="29061"/>
    <cellStyle name="쉼표 [0] 4 2 4 25 2 3" xfId="6938"/>
    <cellStyle name="쉼표 [0] 4 2 4 25 2 3 2" xfId="19612"/>
    <cellStyle name="쉼표 [0] 4 2 4 25 2 3 2 2" xfId="44964"/>
    <cellStyle name="쉼표 [0] 4 2 4 25 2 3 3" xfId="32292"/>
    <cellStyle name="쉼표 [0] 4 2 4 25 2 4" xfId="13276"/>
    <cellStyle name="쉼표 [0] 4 2 4 25 2 4 2" xfId="38628"/>
    <cellStyle name="쉼표 [0] 4 2 4 25 2 5" xfId="25956"/>
    <cellStyle name="쉼표 [0] 4 2 4 25 3" xfId="3708"/>
    <cellStyle name="쉼표 [0] 4 2 4 25 3 2" xfId="10044"/>
    <cellStyle name="쉼표 [0] 4 2 4 25 3 2 2" xfId="22718"/>
    <cellStyle name="쉼표 [0] 4 2 4 25 3 2 2 2" xfId="48070"/>
    <cellStyle name="쉼표 [0] 4 2 4 25 3 2 3" xfId="35398"/>
    <cellStyle name="쉼표 [0] 4 2 4 25 3 3" xfId="16382"/>
    <cellStyle name="쉼표 [0] 4 2 4 25 3 3 2" xfId="41734"/>
    <cellStyle name="쉼표 [0] 4 2 4 25 3 4" xfId="29062"/>
    <cellStyle name="쉼표 [0] 4 2 4 25 4" xfId="6937"/>
    <cellStyle name="쉼표 [0] 4 2 4 25 4 2" xfId="19611"/>
    <cellStyle name="쉼표 [0] 4 2 4 25 4 2 2" xfId="44963"/>
    <cellStyle name="쉼표 [0] 4 2 4 25 4 3" xfId="32291"/>
    <cellStyle name="쉼표 [0] 4 2 4 25 5" xfId="13275"/>
    <cellStyle name="쉼표 [0] 4 2 4 25 5 2" xfId="38627"/>
    <cellStyle name="쉼표 [0] 4 2 4 25 6" xfId="25955"/>
    <cellStyle name="쉼표 [0] 4 2 4 26" xfId="602"/>
    <cellStyle name="쉼표 [0] 4 2 4 26 2" xfId="603"/>
    <cellStyle name="쉼표 [0] 4 2 4 26 2 2" xfId="3709"/>
    <cellStyle name="쉼표 [0] 4 2 4 26 2 2 2" xfId="10045"/>
    <cellStyle name="쉼표 [0] 4 2 4 26 2 2 2 2" xfId="22719"/>
    <cellStyle name="쉼표 [0] 4 2 4 26 2 2 2 2 2" xfId="48071"/>
    <cellStyle name="쉼표 [0] 4 2 4 26 2 2 2 3" xfId="35399"/>
    <cellStyle name="쉼표 [0] 4 2 4 26 2 2 3" xfId="16383"/>
    <cellStyle name="쉼표 [0] 4 2 4 26 2 2 3 2" xfId="41735"/>
    <cellStyle name="쉼표 [0] 4 2 4 26 2 2 4" xfId="29063"/>
    <cellStyle name="쉼표 [0] 4 2 4 26 2 3" xfId="6940"/>
    <cellStyle name="쉼표 [0] 4 2 4 26 2 3 2" xfId="19614"/>
    <cellStyle name="쉼표 [0] 4 2 4 26 2 3 2 2" xfId="44966"/>
    <cellStyle name="쉼표 [0] 4 2 4 26 2 3 3" xfId="32294"/>
    <cellStyle name="쉼표 [0] 4 2 4 26 2 4" xfId="13278"/>
    <cellStyle name="쉼표 [0] 4 2 4 26 2 4 2" xfId="38630"/>
    <cellStyle name="쉼표 [0] 4 2 4 26 2 5" xfId="25958"/>
    <cellStyle name="쉼표 [0] 4 2 4 26 3" xfId="3710"/>
    <cellStyle name="쉼표 [0] 4 2 4 26 3 2" xfId="10046"/>
    <cellStyle name="쉼표 [0] 4 2 4 26 3 2 2" xfId="22720"/>
    <cellStyle name="쉼표 [0] 4 2 4 26 3 2 2 2" xfId="48072"/>
    <cellStyle name="쉼표 [0] 4 2 4 26 3 2 3" xfId="35400"/>
    <cellStyle name="쉼표 [0] 4 2 4 26 3 3" xfId="16384"/>
    <cellStyle name="쉼표 [0] 4 2 4 26 3 3 2" xfId="41736"/>
    <cellStyle name="쉼표 [0] 4 2 4 26 3 4" xfId="29064"/>
    <cellStyle name="쉼표 [0] 4 2 4 26 4" xfId="6939"/>
    <cellStyle name="쉼표 [0] 4 2 4 26 4 2" xfId="19613"/>
    <cellStyle name="쉼표 [0] 4 2 4 26 4 2 2" xfId="44965"/>
    <cellStyle name="쉼표 [0] 4 2 4 26 4 3" xfId="32293"/>
    <cellStyle name="쉼표 [0] 4 2 4 26 5" xfId="13277"/>
    <cellStyle name="쉼표 [0] 4 2 4 26 5 2" xfId="38629"/>
    <cellStyle name="쉼표 [0] 4 2 4 26 6" xfId="25957"/>
    <cellStyle name="쉼표 [0] 4 2 4 27" xfId="604"/>
    <cellStyle name="쉼표 [0] 4 2 4 27 2" xfId="605"/>
    <cellStyle name="쉼표 [0] 4 2 4 27 2 2" xfId="3711"/>
    <cellStyle name="쉼표 [0] 4 2 4 27 2 2 2" xfId="10047"/>
    <cellStyle name="쉼표 [0] 4 2 4 27 2 2 2 2" xfId="22721"/>
    <cellStyle name="쉼표 [0] 4 2 4 27 2 2 2 2 2" xfId="48073"/>
    <cellStyle name="쉼표 [0] 4 2 4 27 2 2 2 3" xfId="35401"/>
    <cellStyle name="쉼표 [0] 4 2 4 27 2 2 3" xfId="16385"/>
    <cellStyle name="쉼표 [0] 4 2 4 27 2 2 3 2" xfId="41737"/>
    <cellStyle name="쉼표 [0] 4 2 4 27 2 2 4" xfId="29065"/>
    <cellStyle name="쉼표 [0] 4 2 4 27 2 3" xfId="6942"/>
    <cellStyle name="쉼표 [0] 4 2 4 27 2 3 2" xfId="19616"/>
    <cellStyle name="쉼표 [0] 4 2 4 27 2 3 2 2" xfId="44968"/>
    <cellStyle name="쉼표 [0] 4 2 4 27 2 3 3" xfId="32296"/>
    <cellStyle name="쉼표 [0] 4 2 4 27 2 4" xfId="13280"/>
    <cellStyle name="쉼표 [0] 4 2 4 27 2 4 2" xfId="38632"/>
    <cellStyle name="쉼표 [0] 4 2 4 27 2 5" xfId="25960"/>
    <cellStyle name="쉼표 [0] 4 2 4 27 3" xfId="3712"/>
    <cellStyle name="쉼표 [0] 4 2 4 27 3 2" xfId="10048"/>
    <cellStyle name="쉼표 [0] 4 2 4 27 3 2 2" xfId="22722"/>
    <cellStyle name="쉼표 [0] 4 2 4 27 3 2 2 2" xfId="48074"/>
    <cellStyle name="쉼표 [0] 4 2 4 27 3 2 3" xfId="35402"/>
    <cellStyle name="쉼표 [0] 4 2 4 27 3 3" xfId="16386"/>
    <cellStyle name="쉼표 [0] 4 2 4 27 3 3 2" xfId="41738"/>
    <cellStyle name="쉼표 [0] 4 2 4 27 3 4" xfId="29066"/>
    <cellStyle name="쉼표 [0] 4 2 4 27 4" xfId="6941"/>
    <cellStyle name="쉼표 [0] 4 2 4 27 4 2" xfId="19615"/>
    <cellStyle name="쉼표 [0] 4 2 4 27 4 2 2" xfId="44967"/>
    <cellStyle name="쉼표 [0] 4 2 4 27 4 3" xfId="32295"/>
    <cellStyle name="쉼표 [0] 4 2 4 27 5" xfId="13279"/>
    <cellStyle name="쉼표 [0] 4 2 4 27 5 2" xfId="38631"/>
    <cellStyle name="쉼표 [0] 4 2 4 27 6" xfId="25959"/>
    <cellStyle name="쉼표 [0] 4 2 4 28" xfId="606"/>
    <cellStyle name="쉼표 [0] 4 2 4 28 2" xfId="607"/>
    <cellStyle name="쉼표 [0] 4 2 4 28 2 2" xfId="3713"/>
    <cellStyle name="쉼표 [0] 4 2 4 28 2 2 2" xfId="10049"/>
    <cellStyle name="쉼표 [0] 4 2 4 28 2 2 2 2" xfId="22723"/>
    <cellStyle name="쉼표 [0] 4 2 4 28 2 2 2 2 2" xfId="48075"/>
    <cellStyle name="쉼표 [0] 4 2 4 28 2 2 2 3" xfId="35403"/>
    <cellStyle name="쉼표 [0] 4 2 4 28 2 2 3" xfId="16387"/>
    <cellStyle name="쉼표 [0] 4 2 4 28 2 2 3 2" xfId="41739"/>
    <cellStyle name="쉼표 [0] 4 2 4 28 2 2 4" xfId="29067"/>
    <cellStyle name="쉼표 [0] 4 2 4 28 2 3" xfId="6944"/>
    <cellStyle name="쉼표 [0] 4 2 4 28 2 3 2" xfId="19618"/>
    <cellStyle name="쉼표 [0] 4 2 4 28 2 3 2 2" xfId="44970"/>
    <cellStyle name="쉼표 [0] 4 2 4 28 2 3 3" xfId="32298"/>
    <cellStyle name="쉼표 [0] 4 2 4 28 2 4" xfId="13282"/>
    <cellStyle name="쉼표 [0] 4 2 4 28 2 4 2" xfId="38634"/>
    <cellStyle name="쉼표 [0] 4 2 4 28 2 5" xfId="25962"/>
    <cellStyle name="쉼표 [0] 4 2 4 28 3" xfId="3714"/>
    <cellStyle name="쉼표 [0] 4 2 4 28 3 2" xfId="10050"/>
    <cellStyle name="쉼표 [0] 4 2 4 28 3 2 2" xfId="22724"/>
    <cellStyle name="쉼표 [0] 4 2 4 28 3 2 2 2" xfId="48076"/>
    <cellStyle name="쉼표 [0] 4 2 4 28 3 2 3" xfId="35404"/>
    <cellStyle name="쉼표 [0] 4 2 4 28 3 3" xfId="16388"/>
    <cellStyle name="쉼표 [0] 4 2 4 28 3 3 2" xfId="41740"/>
    <cellStyle name="쉼표 [0] 4 2 4 28 3 4" xfId="29068"/>
    <cellStyle name="쉼표 [0] 4 2 4 28 4" xfId="6943"/>
    <cellStyle name="쉼표 [0] 4 2 4 28 4 2" xfId="19617"/>
    <cellStyle name="쉼표 [0] 4 2 4 28 4 2 2" xfId="44969"/>
    <cellStyle name="쉼표 [0] 4 2 4 28 4 3" xfId="32297"/>
    <cellStyle name="쉼표 [0] 4 2 4 28 5" xfId="13281"/>
    <cellStyle name="쉼표 [0] 4 2 4 28 5 2" xfId="38633"/>
    <cellStyle name="쉼표 [0] 4 2 4 28 6" xfId="25961"/>
    <cellStyle name="쉼표 [0] 4 2 4 29" xfId="608"/>
    <cellStyle name="쉼표 [0] 4 2 4 29 2" xfId="609"/>
    <cellStyle name="쉼표 [0] 4 2 4 29 2 2" xfId="3715"/>
    <cellStyle name="쉼표 [0] 4 2 4 29 2 2 2" xfId="10051"/>
    <cellStyle name="쉼표 [0] 4 2 4 29 2 2 2 2" xfId="22725"/>
    <cellStyle name="쉼표 [0] 4 2 4 29 2 2 2 2 2" xfId="48077"/>
    <cellStyle name="쉼표 [0] 4 2 4 29 2 2 2 3" xfId="35405"/>
    <cellStyle name="쉼표 [0] 4 2 4 29 2 2 3" xfId="16389"/>
    <cellStyle name="쉼표 [0] 4 2 4 29 2 2 3 2" xfId="41741"/>
    <cellStyle name="쉼표 [0] 4 2 4 29 2 2 4" xfId="29069"/>
    <cellStyle name="쉼표 [0] 4 2 4 29 2 3" xfId="6946"/>
    <cellStyle name="쉼표 [0] 4 2 4 29 2 3 2" xfId="19620"/>
    <cellStyle name="쉼표 [0] 4 2 4 29 2 3 2 2" xfId="44972"/>
    <cellStyle name="쉼표 [0] 4 2 4 29 2 3 3" xfId="32300"/>
    <cellStyle name="쉼표 [0] 4 2 4 29 2 4" xfId="13284"/>
    <cellStyle name="쉼표 [0] 4 2 4 29 2 4 2" xfId="38636"/>
    <cellStyle name="쉼표 [0] 4 2 4 29 2 5" xfId="25964"/>
    <cellStyle name="쉼표 [0] 4 2 4 29 3" xfId="3716"/>
    <cellStyle name="쉼표 [0] 4 2 4 29 3 2" xfId="10052"/>
    <cellStyle name="쉼표 [0] 4 2 4 29 3 2 2" xfId="22726"/>
    <cellStyle name="쉼표 [0] 4 2 4 29 3 2 2 2" xfId="48078"/>
    <cellStyle name="쉼표 [0] 4 2 4 29 3 2 3" xfId="35406"/>
    <cellStyle name="쉼표 [0] 4 2 4 29 3 3" xfId="16390"/>
    <cellStyle name="쉼표 [0] 4 2 4 29 3 3 2" xfId="41742"/>
    <cellStyle name="쉼표 [0] 4 2 4 29 3 4" xfId="29070"/>
    <cellStyle name="쉼표 [0] 4 2 4 29 4" xfId="6945"/>
    <cellStyle name="쉼표 [0] 4 2 4 29 4 2" xfId="19619"/>
    <cellStyle name="쉼표 [0] 4 2 4 29 4 2 2" xfId="44971"/>
    <cellStyle name="쉼표 [0] 4 2 4 29 4 3" xfId="32299"/>
    <cellStyle name="쉼표 [0] 4 2 4 29 5" xfId="13283"/>
    <cellStyle name="쉼표 [0] 4 2 4 29 5 2" xfId="38635"/>
    <cellStyle name="쉼표 [0] 4 2 4 29 6" xfId="25963"/>
    <cellStyle name="쉼표 [0] 4 2 4 3" xfId="610"/>
    <cellStyle name="쉼표 [0] 4 2 4 3 2" xfId="611"/>
    <cellStyle name="쉼표 [0] 4 2 4 3 2 2" xfId="3717"/>
    <cellStyle name="쉼표 [0] 4 2 4 3 2 2 2" xfId="10053"/>
    <cellStyle name="쉼표 [0] 4 2 4 3 2 2 2 2" xfId="22727"/>
    <cellStyle name="쉼표 [0] 4 2 4 3 2 2 2 2 2" xfId="48079"/>
    <cellStyle name="쉼표 [0] 4 2 4 3 2 2 2 3" xfId="35407"/>
    <cellStyle name="쉼표 [0] 4 2 4 3 2 2 3" xfId="16391"/>
    <cellStyle name="쉼표 [0] 4 2 4 3 2 2 3 2" xfId="41743"/>
    <cellStyle name="쉼표 [0] 4 2 4 3 2 2 4" xfId="29071"/>
    <cellStyle name="쉼표 [0] 4 2 4 3 2 3" xfId="6948"/>
    <cellStyle name="쉼표 [0] 4 2 4 3 2 3 2" xfId="19622"/>
    <cellStyle name="쉼표 [0] 4 2 4 3 2 3 2 2" xfId="44974"/>
    <cellStyle name="쉼표 [0] 4 2 4 3 2 3 3" xfId="32302"/>
    <cellStyle name="쉼표 [0] 4 2 4 3 2 4" xfId="13286"/>
    <cellStyle name="쉼표 [0] 4 2 4 3 2 4 2" xfId="38638"/>
    <cellStyle name="쉼표 [0] 4 2 4 3 2 5" xfId="25966"/>
    <cellStyle name="쉼표 [0] 4 2 4 3 3" xfId="3718"/>
    <cellStyle name="쉼표 [0] 4 2 4 3 3 2" xfId="10054"/>
    <cellStyle name="쉼표 [0] 4 2 4 3 3 2 2" xfId="22728"/>
    <cellStyle name="쉼표 [0] 4 2 4 3 3 2 2 2" xfId="48080"/>
    <cellStyle name="쉼표 [0] 4 2 4 3 3 2 3" xfId="35408"/>
    <cellStyle name="쉼표 [0] 4 2 4 3 3 3" xfId="16392"/>
    <cellStyle name="쉼표 [0] 4 2 4 3 3 3 2" xfId="41744"/>
    <cellStyle name="쉼표 [0] 4 2 4 3 3 4" xfId="29072"/>
    <cellStyle name="쉼표 [0] 4 2 4 3 4" xfId="6947"/>
    <cellStyle name="쉼표 [0] 4 2 4 3 4 2" xfId="19621"/>
    <cellStyle name="쉼표 [0] 4 2 4 3 4 2 2" xfId="44973"/>
    <cellStyle name="쉼표 [0] 4 2 4 3 4 3" xfId="32301"/>
    <cellStyle name="쉼표 [0] 4 2 4 3 5" xfId="13285"/>
    <cellStyle name="쉼표 [0] 4 2 4 3 5 2" xfId="38637"/>
    <cellStyle name="쉼표 [0] 4 2 4 3 6" xfId="25965"/>
    <cellStyle name="쉼표 [0] 4 2 4 30" xfId="612"/>
    <cellStyle name="쉼표 [0] 4 2 4 30 2" xfId="613"/>
    <cellStyle name="쉼표 [0] 4 2 4 30 2 2" xfId="3719"/>
    <cellStyle name="쉼표 [0] 4 2 4 30 2 2 2" xfId="10055"/>
    <cellStyle name="쉼표 [0] 4 2 4 30 2 2 2 2" xfId="22729"/>
    <cellStyle name="쉼표 [0] 4 2 4 30 2 2 2 2 2" xfId="48081"/>
    <cellStyle name="쉼표 [0] 4 2 4 30 2 2 2 3" xfId="35409"/>
    <cellStyle name="쉼표 [0] 4 2 4 30 2 2 3" xfId="16393"/>
    <cellStyle name="쉼표 [0] 4 2 4 30 2 2 3 2" xfId="41745"/>
    <cellStyle name="쉼표 [0] 4 2 4 30 2 2 4" xfId="29073"/>
    <cellStyle name="쉼표 [0] 4 2 4 30 2 3" xfId="6950"/>
    <cellStyle name="쉼표 [0] 4 2 4 30 2 3 2" xfId="19624"/>
    <cellStyle name="쉼표 [0] 4 2 4 30 2 3 2 2" xfId="44976"/>
    <cellStyle name="쉼표 [0] 4 2 4 30 2 3 3" xfId="32304"/>
    <cellStyle name="쉼표 [0] 4 2 4 30 2 4" xfId="13288"/>
    <cellStyle name="쉼표 [0] 4 2 4 30 2 4 2" xfId="38640"/>
    <cellStyle name="쉼표 [0] 4 2 4 30 2 5" xfId="25968"/>
    <cellStyle name="쉼표 [0] 4 2 4 30 3" xfId="3720"/>
    <cellStyle name="쉼표 [0] 4 2 4 30 3 2" xfId="10056"/>
    <cellStyle name="쉼표 [0] 4 2 4 30 3 2 2" xfId="22730"/>
    <cellStyle name="쉼표 [0] 4 2 4 30 3 2 2 2" xfId="48082"/>
    <cellStyle name="쉼표 [0] 4 2 4 30 3 2 3" xfId="35410"/>
    <cellStyle name="쉼표 [0] 4 2 4 30 3 3" xfId="16394"/>
    <cellStyle name="쉼표 [0] 4 2 4 30 3 3 2" xfId="41746"/>
    <cellStyle name="쉼표 [0] 4 2 4 30 3 4" xfId="29074"/>
    <cellStyle name="쉼표 [0] 4 2 4 30 4" xfId="6949"/>
    <cellStyle name="쉼표 [0] 4 2 4 30 4 2" xfId="19623"/>
    <cellStyle name="쉼표 [0] 4 2 4 30 4 2 2" xfId="44975"/>
    <cellStyle name="쉼표 [0] 4 2 4 30 4 3" xfId="32303"/>
    <cellStyle name="쉼표 [0] 4 2 4 30 5" xfId="13287"/>
    <cellStyle name="쉼표 [0] 4 2 4 30 5 2" xfId="38639"/>
    <cellStyle name="쉼표 [0] 4 2 4 30 6" xfId="25967"/>
    <cellStyle name="쉼표 [0] 4 2 4 31" xfId="614"/>
    <cellStyle name="쉼표 [0] 4 2 4 31 2" xfId="615"/>
    <cellStyle name="쉼표 [0] 4 2 4 31 2 2" xfId="3721"/>
    <cellStyle name="쉼표 [0] 4 2 4 31 2 2 2" xfId="10057"/>
    <cellStyle name="쉼표 [0] 4 2 4 31 2 2 2 2" xfId="22731"/>
    <cellStyle name="쉼표 [0] 4 2 4 31 2 2 2 2 2" xfId="48083"/>
    <cellStyle name="쉼표 [0] 4 2 4 31 2 2 2 3" xfId="35411"/>
    <cellStyle name="쉼표 [0] 4 2 4 31 2 2 3" xfId="16395"/>
    <cellStyle name="쉼표 [0] 4 2 4 31 2 2 3 2" xfId="41747"/>
    <cellStyle name="쉼표 [0] 4 2 4 31 2 2 4" xfId="29075"/>
    <cellStyle name="쉼표 [0] 4 2 4 31 2 3" xfId="6952"/>
    <cellStyle name="쉼표 [0] 4 2 4 31 2 3 2" xfId="19626"/>
    <cellStyle name="쉼표 [0] 4 2 4 31 2 3 2 2" xfId="44978"/>
    <cellStyle name="쉼표 [0] 4 2 4 31 2 3 3" xfId="32306"/>
    <cellStyle name="쉼표 [0] 4 2 4 31 2 4" xfId="13290"/>
    <cellStyle name="쉼표 [0] 4 2 4 31 2 4 2" xfId="38642"/>
    <cellStyle name="쉼표 [0] 4 2 4 31 2 5" xfId="25970"/>
    <cellStyle name="쉼표 [0] 4 2 4 31 3" xfId="3722"/>
    <cellStyle name="쉼표 [0] 4 2 4 31 3 2" xfId="10058"/>
    <cellStyle name="쉼표 [0] 4 2 4 31 3 2 2" xfId="22732"/>
    <cellStyle name="쉼표 [0] 4 2 4 31 3 2 2 2" xfId="48084"/>
    <cellStyle name="쉼표 [0] 4 2 4 31 3 2 3" xfId="35412"/>
    <cellStyle name="쉼표 [0] 4 2 4 31 3 3" xfId="16396"/>
    <cellStyle name="쉼표 [0] 4 2 4 31 3 3 2" xfId="41748"/>
    <cellStyle name="쉼표 [0] 4 2 4 31 3 4" xfId="29076"/>
    <cellStyle name="쉼표 [0] 4 2 4 31 4" xfId="6951"/>
    <cellStyle name="쉼표 [0] 4 2 4 31 4 2" xfId="19625"/>
    <cellStyle name="쉼표 [0] 4 2 4 31 4 2 2" xfId="44977"/>
    <cellStyle name="쉼표 [0] 4 2 4 31 4 3" xfId="32305"/>
    <cellStyle name="쉼표 [0] 4 2 4 31 5" xfId="13289"/>
    <cellStyle name="쉼표 [0] 4 2 4 31 5 2" xfId="38641"/>
    <cellStyle name="쉼표 [0] 4 2 4 31 6" xfId="25969"/>
    <cellStyle name="쉼표 [0] 4 2 4 32" xfId="616"/>
    <cellStyle name="쉼표 [0] 4 2 4 32 2" xfId="617"/>
    <cellStyle name="쉼표 [0] 4 2 4 32 2 2" xfId="3723"/>
    <cellStyle name="쉼표 [0] 4 2 4 32 2 2 2" xfId="10059"/>
    <cellStyle name="쉼표 [0] 4 2 4 32 2 2 2 2" xfId="22733"/>
    <cellStyle name="쉼표 [0] 4 2 4 32 2 2 2 2 2" xfId="48085"/>
    <cellStyle name="쉼표 [0] 4 2 4 32 2 2 2 3" xfId="35413"/>
    <cellStyle name="쉼표 [0] 4 2 4 32 2 2 3" xfId="16397"/>
    <cellStyle name="쉼표 [0] 4 2 4 32 2 2 3 2" xfId="41749"/>
    <cellStyle name="쉼표 [0] 4 2 4 32 2 2 4" xfId="29077"/>
    <cellStyle name="쉼표 [0] 4 2 4 32 2 3" xfId="6954"/>
    <cellStyle name="쉼표 [0] 4 2 4 32 2 3 2" xfId="19628"/>
    <cellStyle name="쉼표 [0] 4 2 4 32 2 3 2 2" xfId="44980"/>
    <cellStyle name="쉼표 [0] 4 2 4 32 2 3 3" xfId="32308"/>
    <cellStyle name="쉼표 [0] 4 2 4 32 2 4" xfId="13292"/>
    <cellStyle name="쉼표 [0] 4 2 4 32 2 4 2" xfId="38644"/>
    <cellStyle name="쉼표 [0] 4 2 4 32 2 5" xfId="25972"/>
    <cellStyle name="쉼표 [0] 4 2 4 32 3" xfId="3724"/>
    <cellStyle name="쉼표 [0] 4 2 4 32 3 2" xfId="10060"/>
    <cellStyle name="쉼표 [0] 4 2 4 32 3 2 2" xfId="22734"/>
    <cellStyle name="쉼표 [0] 4 2 4 32 3 2 2 2" xfId="48086"/>
    <cellStyle name="쉼표 [0] 4 2 4 32 3 2 3" xfId="35414"/>
    <cellStyle name="쉼표 [0] 4 2 4 32 3 3" xfId="16398"/>
    <cellStyle name="쉼표 [0] 4 2 4 32 3 3 2" xfId="41750"/>
    <cellStyle name="쉼표 [0] 4 2 4 32 3 4" xfId="29078"/>
    <cellStyle name="쉼표 [0] 4 2 4 32 4" xfId="6953"/>
    <cellStyle name="쉼표 [0] 4 2 4 32 4 2" xfId="19627"/>
    <cellStyle name="쉼표 [0] 4 2 4 32 4 2 2" xfId="44979"/>
    <cellStyle name="쉼표 [0] 4 2 4 32 4 3" xfId="32307"/>
    <cellStyle name="쉼표 [0] 4 2 4 32 5" xfId="13291"/>
    <cellStyle name="쉼표 [0] 4 2 4 32 5 2" xfId="38643"/>
    <cellStyle name="쉼표 [0] 4 2 4 32 6" xfId="25971"/>
    <cellStyle name="쉼표 [0] 4 2 4 33" xfId="618"/>
    <cellStyle name="쉼표 [0] 4 2 4 33 2" xfId="619"/>
    <cellStyle name="쉼표 [0] 4 2 4 33 2 2" xfId="3725"/>
    <cellStyle name="쉼표 [0] 4 2 4 33 2 2 2" xfId="10061"/>
    <cellStyle name="쉼표 [0] 4 2 4 33 2 2 2 2" xfId="22735"/>
    <cellStyle name="쉼표 [0] 4 2 4 33 2 2 2 2 2" xfId="48087"/>
    <cellStyle name="쉼표 [0] 4 2 4 33 2 2 2 3" xfId="35415"/>
    <cellStyle name="쉼표 [0] 4 2 4 33 2 2 3" xfId="16399"/>
    <cellStyle name="쉼표 [0] 4 2 4 33 2 2 3 2" xfId="41751"/>
    <cellStyle name="쉼표 [0] 4 2 4 33 2 2 4" xfId="29079"/>
    <cellStyle name="쉼표 [0] 4 2 4 33 2 3" xfId="6956"/>
    <cellStyle name="쉼표 [0] 4 2 4 33 2 3 2" xfId="19630"/>
    <cellStyle name="쉼표 [0] 4 2 4 33 2 3 2 2" xfId="44982"/>
    <cellStyle name="쉼표 [0] 4 2 4 33 2 3 3" xfId="32310"/>
    <cellStyle name="쉼표 [0] 4 2 4 33 2 4" xfId="13294"/>
    <cellStyle name="쉼표 [0] 4 2 4 33 2 4 2" xfId="38646"/>
    <cellStyle name="쉼표 [0] 4 2 4 33 2 5" xfId="25974"/>
    <cellStyle name="쉼표 [0] 4 2 4 33 3" xfId="3726"/>
    <cellStyle name="쉼표 [0] 4 2 4 33 3 2" xfId="10062"/>
    <cellStyle name="쉼표 [0] 4 2 4 33 3 2 2" xfId="22736"/>
    <cellStyle name="쉼표 [0] 4 2 4 33 3 2 2 2" xfId="48088"/>
    <cellStyle name="쉼표 [0] 4 2 4 33 3 2 3" xfId="35416"/>
    <cellStyle name="쉼표 [0] 4 2 4 33 3 3" xfId="16400"/>
    <cellStyle name="쉼표 [0] 4 2 4 33 3 3 2" xfId="41752"/>
    <cellStyle name="쉼표 [0] 4 2 4 33 3 4" xfId="29080"/>
    <cellStyle name="쉼표 [0] 4 2 4 33 4" xfId="6955"/>
    <cellStyle name="쉼표 [0] 4 2 4 33 4 2" xfId="19629"/>
    <cellStyle name="쉼표 [0] 4 2 4 33 4 2 2" xfId="44981"/>
    <cellStyle name="쉼표 [0] 4 2 4 33 4 3" xfId="32309"/>
    <cellStyle name="쉼표 [0] 4 2 4 33 5" xfId="13293"/>
    <cellStyle name="쉼표 [0] 4 2 4 33 5 2" xfId="38645"/>
    <cellStyle name="쉼표 [0] 4 2 4 33 6" xfId="25973"/>
    <cellStyle name="쉼표 [0] 4 2 4 34" xfId="620"/>
    <cellStyle name="쉼표 [0] 4 2 4 34 2" xfId="3727"/>
    <cellStyle name="쉼표 [0] 4 2 4 34 2 2" xfId="10063"/>
    <cellStyle name="쉼표 [0] 4 2 4 34 2 2 2" xfId="22737"/>
    <cellStyle name="쉼표 [0] 4 2 4 34 2 2 2 2" xfId="48089"/>
    <cellStyle name="쉼표 [0] 4 2 4 34 2 2 3" xfId="35417"/>
    <cellStyle name="쉼표 [0] 4 2 4 34 2 3" xfId="16401"/>
    <cellStyle name="쉼표 [0] 4 2 4 34 2 3 2" xfId="41753"/>
    <cellStyle name="쉼표 [0] 4 2 4 34 2 4" xfId="29081"/>
    <cellStyle name="쉼표 [0] 4 2 4 34 3" xfId="6957"/>
    <cellStyle name="쉼표 [0] 4 2 4 34 3 2" xfId="19631"/>
    <cellStyle name="쉼표 [0] 4 2 4 34 3 2 2" xfId="44983"/>
    <cellStyle name="쉼표 [0] 4 2 4 34 3 3" xfId="32311"/>
    <cellStyle name="쉼표 [0] 4 2 4 34 4" xfId="13295"/>
    <cellStyle name="쉼표 [0] 4 2 4 34 4 2" xfId="38647"/>
    <cellStyle name="쉼표 [0] 4 2 4 34 5" xfId="25975"/>
    <cellStyle name="쉼표 [0] 4 2 4 35" xfId="3728"/>
    <cellStyle name="쉼표 [0] 4 2 4 35 2" xfId="10064"/>
    <cellStyle name="쉼표 [0] 4 2 4 35 2 2" xfId="22738"/>
    <cellStyle name="쉼표 [0] 4 2 4 35 2 2 2" xfId="48090"/>
    <cellStyle name="쉼표 [0] 4 2 4 35 2 3" xfId="35418"/>
    <cellStyle name="쉼표 [0] 4 2 4 35 3" xfId="16402"/>
    <cellStyle name="쉼표 [0] 4 2 4 35 3 2" xfId="41754"/>
    <cellStyle name="쉼표 [0] 4 2 4 35 4" xfId="29082"/>
    <cellStyle name="쉼표 [0] 4 2 4 36" xfId="6401"/>
    <cellStyle name="쉼표 [0] 4 2 4 36 2" xfId="19075"/>
    <cellStyle name="쉼표 [0] 4 2 4 36 2 2" xfId="44427"/>
    <cellStyle name="쉼표 [0] 4 2 4 36 3" xfId="31755"/>
    <cellStyle name="쉼표 [0] 4 2 4 37" xfId="12739"/>
    <cellStyle name="쉼표 [0] 4 2 4 37 2" xfId="38091"/>
    <cellStyle name="쉼표 [0] 4 2 4 38" xfId="25419"/>
    <cellStyle name="쉼표 [0] 4 2 4 4" xfId="621"/>
    <cellStyle name="쉼표 [0] 4 2 4 4 2" xfId="622"/>
    <cellStyle name="쉼표 [0] 4 2 4 4 2 2" xfId="3729"/>
    <cellStyle name="쉼표 [0] 4 2 4 4 2 2 2" xfId="10065"/>
    <cellStyle name="쉼표 [0] 4 2 4 4 2 2 2 2" xfId="22739"/>
    <cellStyle name="쉼표 [0] 4 2 4 4 2 2 2 2 2" xfId="48091"/>
    <cellStyle name="쉼표 [0] 4 2 4 4 2 2 2 3" xfId="35419"/>
    <cellStyle name="쉼표 [0] 4 2 4 4 2 2 3" xfId="16403"/>
    <cellStyle name="쉼표 [0] 4 2 4 4 2 2 3 2" xfId="41755"/>
    <cellStyle name="쉼표 [0] 4 2 4 4 2 2 4" xfId="29083"/>
    <cellStyle name="쉼표 [0] 4 2 4 4 2 3" xfId="6959"/>
    <cellStyle name="쉼표 [0] 4 2 4 4 2 3 2" xfId="19633"/>
    <cellStyle name="쉼표 [0] 4 2 4 4 2 3 2 2" xfId="44985"/>
    <cellStyle name="쉼표 [0] 4 2 4 4 2 3 3" xfId="32313"/>
    <cellStyle name="쉼표 [0] 4 2 4 4 2 4" xfId="13297"/>
    <cellStyle name="쉼표 [0] 4 2 4 4 2 4 2" xfId="38649"/>
    <cellStyle name="쉼표 [0] 4 2 4 4 2 5" xfId="25977"/>
    <cellStyle name="쉼표 [0] 4 2 4 4 3" xfId="3730"/>
    <cellStyle name="쉼표 [0] 4 2 4 4 3 2" xfId="10066"/>
    <cellStyle name="쉼표 [0] 4 2 4 4 3 2 2" xfId="22740"/>
    <cellStyle name="쉼표 [0] 4 2 4 4 3 2 2 2" xfId="48092"/>
    <cellStyle name="쉼표 [0] 4 2 4 4 3 2 3" xfId="35420"/>
    <cellStyle name="쉼표 [0] 4 2 4 4 3 3" xfId="16404"/>
    <cellStyle name="쉼표 [0] 4 2 4 4 3 3 2" xfId="41756"/>
    <cellStyle name="쉼표 [0] 4 2 4 4 3 4" xfId="29084"/>
    <cellStyle name="쉼표 [0] 4 2 4 4 4" xfId="6958"/>
    <cellStyle name="쉼표 [0] 4 2 4 4 4 2" xfId="19632"/>
    <cellStyle name="쉼표 [0] 4 2 4 4 4 2 2" xfId="44984"/>
    <cellStyle name="쉼표 [0] 4 2 4 4 4 3" xfId="32312"/>
    <cellStyle name="쉼표 [0] 4 2 4 4 5" xfId="13296"/>
    <cellStyle name="쉼표 [0] 4 2 4 4 5 2" xfId="38648"/>
    <cellStyle name="쉼표 [0] 4 2 4 4 6" xfId="25976"/>
    <cellStyle name="쉼표 [0] 4 2 4 5" xfId="623"/>
    <cellStyle name="쉼표 [0] 4 2 4 5 2" xfId="624"/>
    <cellStyle name="쉼표 [0] 4 2 4 5 2 2" xfId="3731"/>
    <cellStyle name="쉼표 [0] 4 2 4 5 2 2 2" xfId="10067"/>
    <cellStyle name="쉼표 [0] 4 2 4 5 2 2 2 2" xfId="22741"/>
    <cellStyle name="쉼표 [0] 4 2 4 5 2 2 2 2 2" xfId="48093"/>
    <cellStyle name="쉼표 [0] 4 2 4 5 2 2 2 3" xfId="35421"/>
    <cellStyle name="쉼표 [0] 4 2 4 5 2 2 3" xfId="16405"/>
    <cellStyle name="쉼표 [0] 4 2 4 5 2 2 3 2" xfId="41757"/>
    <cellStyle name="쉼표 [0] 4 2 4 5 2 2 4" xfId="29085"/>
    <cellStyle name="쉼표 [0] 4 2 4 5 2 3" xfId="6961"/>
    <cellStyle name="쉼표 [0] 4 2 4 5 2 3 2" xfId="19635"/>
    <cellStyle name="쉼표 [0] 4 2 4 5 2 3 2 2" xfId="44987"/>
    <cellStyle name="쉼표 [0] 4 2 4 5 2 3 3" xfId="32315"/>
    <cellStyle name="쉼표 [0] 4 2 4 5 2 4" xfId="13299"/>
    <cellStyle name="쉼표 [0] 4 2 4 5 2 4 2" xfId="38651"/>
    <cellStyle name="쉼표 [0] 4 2 4 5 2 5" xfId="25979"/>
    <cellStyle name="쉼표 [0] 4 2 4 5 3" xfId="3732"/>
    <cellStyle name="쉼표 [0] 4 2 4 5 3 2" xfId="10068"/>
    <cellStyle name="쉼표 [0] 4 2 4 5 3 2 2" xfId="22742"/>
    <cellStyle name="쉼표 [0] 4 2 4 5 3 2 2 2" xfId="48094"/>
    <cellStyle name="쉼표 [0] 4 2 4 5 3 2 3" xfId="35422"/>
    <cellStyle name="쉼표 [0] 4 2 4 5 3 3" xfId="16406"/>
    <cellStyle name="쉼표 [0] 4 2 4 5 3 3 2" xfId="41758"/>
    <cellStyle name="쉼표 [0] 4 2 4 5 3 4" xfId="29086"/>
    <cellStyle name="쉼표 [0] 4 2 4 5 4" xfId="6960"/>
    <cellStyle name="쉼표 [0] 4 2 4 5 4 2" xfId="19634"/>
    <cellStyle name="쉼표 [0] 4 2 4 5 4 2 2" xfId="44986"/>
    <cellStyle name="쉼표 [0] 4 2 4 5 4 3" xfId="32314"/>
    <cellStyle name="쉼표 [0] 4 2 4 5 5" xfId="13298"/>
    <cellStyle name="쉼표 [0] 4 2 4 5 5 2" xfId="38650"/>
    <cellStyle name="쉼표 [0] 4 2 4 5 6" xfId="25978"/>
    <cellStyle name="쉼표 [0] 4 2 4 6" xfId="625"/>
    <cellStyle name="쉼표 [0] 4 2 4 6 2" xfId="626"/>
    <cellStyle name="쉼표 [0] 4 2 4 6 2 2" xfId="3733"/>
    <cellStyle name="쉼표 [0] 4 2 4 6 2 2 2" xfId="10069"/>
    <cellStyle name="쉼표 [0] 4 2 4 6 2 2 2 2" xfId="22743"/>
    <cellStyle name="쉼표 [0] 4 2 4 6 2 2 2 2 2" xfId="48095"/>
    <cellStyle name="쉼표 [0] 4 2 4 6 2 2 2 3" xfId="35423"/>
    <cellStyle name="쉼표 [0] 4 2 4 6 2 2 3" xfId="16407"/>
    <cellStyle name="쉼표 [0] 4 2 4 6 2 2 3 2" xfId="41759"/>
    <cellStyle name="쉼표 [0] 4 2 4 6 2 2 4" xfId="29087"/>
    <cellStyle name="쉼표 [0] 4 2 4 6 2 3" xfId="6963"/>
    <cellStyle name="쉼표 [0] 4 2 4 6 2 3 2" xfId="19637"/>
    <cellStyle name="쉼표 [0] 4 2 4 6 2 3 2 2" xfId="44989"/>
    <cellStyle name="쉼표 [0] 4 2 4 6 2 3 3" xfId="32317"/>
    <cellStyle name="쉼표 [0] 4 2 4 6 2 4" xfId="13301"/>
    <cellStyle name="쉼표 [0] 4 2 4 6 2 4 2" xfId="38653"/>
    <cellStyle name="쉼표 [0] 4 2 4 6 2 5" xfId="25981"/>
    <cellStyle name="쉼표 [0] 4 2 4 6 3" xfId="3734"/>
    <cellStyle name="쉼표 [0] 4 2 4 6 3 2" xfId="10070"/>
    <cellStyle name="쉼표 [0] 4 2 4 6 3 2 2" xfId="22744"/>
    <cellStyle name="쉼표 [0] 4 2 4 6 3 2 2 2" xfId="48096"/>
    <cellStyle name="쉼표 [0] 4 2 4 6 3 2 3" xfId="35424"/>
    <cellStyle name="쉼표 [0] 4 2 4 6 3 3" xfId="16408"/>
    <cellStyle name="쉼표 [0] 4 2 4 6 3 3 2" xfId="41760"/>
    <cellStyle name="쉼표 [0] 4 2 4 6 3 4" xfId="29088"/>
    <cellStyle name="쉼표 [0] 4 2 4 6 4" xfId="6962"/>
    <cellStyle name="쉼표 [0] 4 2 4 6 4 2" xfId="19636"/>
    <cellStyle name="쉼표 [0] 4 2 4 6 4 2 2" xfId="44988"/>
    <cellStyle name="쉼표 [0] 4 2 4 6 4 3" xfId="32316"/>
    <cellStyle name="쉼표 [0] 4 2 4 6 5" xfId="13300"/>
    <cellStyle name="쉼표 [0] 4 2 4 6 5 2" xfId="38652"/>
    <cellStyle name="쉼표 [0] 4 2 4 6 6" xfId="25980"/>
    <cellStyle name="쉼표 [0] 4 2 4 7" xfId="627"/>
    <cellStyle name="쉼표 [0] 4 2 4 7 2" xfId="628"/>
    <cellStyle name="쉼표 [0] 4 2 4 7 2 2" xfId="3735"/>
    <cellStyle name="쉼표 [0] 4 2 4 7 2 2 2" xfId="10071"/>
    <cellStyle name="쉼표 [0] 4 2 4 7 2 2 2 2" xfId="22745"/>
    <cellStyle name="쉼표 [0] 4 2 4 7 2 2 2 2 2" xfId="48097"/>
    <cellStyle name="쉼표 [0] 4 2 4 7 2 2 2 3" xfId="35425"/>
    <cellStyle name="쉼표 [0] 4 2 4 7 2 2 3" xfId="16409"/>
    <cellStyle name="쉼표 [0] 4 2 4 7 2 2 3 2" xfId="41761"/>
    <cellStyle name="쉼표 [0] 4 2 4 7 2 2 4" xfId="29089"/>
    <cellStyle name="쉼표 [0] 4 2 4 7 2 3" xfId="6965"/>
    <cellStyle name="쉼표 [0] 4 2 4 7 2 3 2" xfId="19639"/>
    <cellStyle name="쉼표 [0] 4 2 4 7 2 3 2 2" xfId="44991"/>
    <cellStyle name="쉼표 [0] 4 2 4 7 2 3 3" xfId="32319"/>
    <cellStyle name="쉼표 [0] 4 2 4 7 2 4" xfId="13303"/>
    <cellStyle name="쉼표 [0] 4 2 4 7 2 4 2" xfId="38655"/>
    <cellStyle name="쉼표 [0] 4 2 4 7 2 5" xfId="25983"/>
    <cellStyle name="쉼표 [0] 4 2 4 7 3" xfId="3736"/>
    <cellStyle name="쉼표 [0] 4 2 4 7 3 2" xfId="10072"/>
    <cellStyle name="쉼표 [0] 4 2 4 7 3 2 2" xfId="22746"/>
    <cellStyle name="쉼표 [0] 4 2 4 7 3 2 2 2" xfId="48098"/>
    <cellStyle name="쉼표 [0] 4 2 4 7 3 2 3" xfId="35426"/>
    <cellStyle name="쉼표 [0] 4 2 4 7 3 3" xfId="16410"/>
    <cellStyle name="쉼표 [0] 4 2 4 7 3 3 2" xfId="41762"/>
    <cellStyle name="쉼표 [0] 4 2 4 7 3 4" xfId="29090"/>
    <cellStyle name="쉼표 [0] 4 2 4 7 4" xfId="6964"/>
    <cellStyle name="쉼표 [0] 4 2 4 7 4 2" xfId="19638"/>
    <cellStyle name="쉼표 [0] 4 2 4 7 4 2 2" xfId="44990"/>
    <cellStyle name="쉼표 [0] 4 2 4 7 4 3" xfId="32318"/>
    <cellStyle name="쉼표 [0] 4 2 4 7 5" xfId="13302"/>
    <cellStyle name="쉼표 [0] 4 2 4 7 5 2" xfId="38654"/>
    <cellStyle name="쉼표 [0] 4 2 4 7 6" xfId="25982"/>
    <cellStyle name="쉼표 [0] 4 2 4 8" xfId="629"/>
    <cellStyle name="쉼표 [0] 4 2 4 8 2" xfId="630"/>
    <cellStyle name="쉼표 [0] 4 2 4 8 2 2" xfId="3737"/>
    <cellStyle name="쉼표 [0] 4 2 4 8 2 2 2" xfId="10073"/>
    <cellStyle name="쉼표 [0] 4 2 4 8 2 2 2 2" xfId="22747"/>
    <cellStyle name="쉼표 [0] 4 2 4 8 2 2 2 2 2" xfId="48099"/>
    <cellStyle name="쉼표 [0] 4 2 4 8 2 2 2 3" xfId="35427"/>
    <cellStyle name="쉼표 [0] 4 2 4 8 2 2 3" xfId="16411"/>
    <cellStyle name="쉼표 [0] 4 2 4 8 2 2 3 2" xfId="41763"/>
    <cellStyle name="쉼표 [0] 4 2 4 8 2 2 4" xfId="29091"/>
    <cellStyle name="쉼표 [0] 4 2 4 8 2 3" xfId="6967"/>
    <cellStyle name="쉼표 [0] 4 2 4 8 2 3 2" xfId="19641"/>
    <cellStyle name="쉼표 [0] 4 2 4 8 2 3 2 2" xfId="44993"/>
    <cellStyle name="쉼표 [0] 4 2 4 8 2 3 3" xfId="32321"/>
    <cellStyle name="쉼표 [0] 4 2 4 8 2 4" xfId="13305"/>
    <cellStyle name="쉼표 [0] 4 2 4 8 2 4 2" xfId="38657"/>
    <cellStyle name="쉼표 [0] 4 2 4 8 2 5" xfId="25985"/>
    <cellStyle name="쉼표 [0] 4 2 4 8 3" xfId="3738"/>
    <cellStyle name="쉼표 [0] 4 2 4 8 3 2" xfId="10074"/>
    <cellStyle name="쉼표 [0] 4 2 4 8 3 2 2" xfId="22748"/>
    <cellStyle name="쉼표 [0] 4 2 4 8 3 2 2 2" xfId="48100"/>
    <cellStyle name="쉼표 [0] 4 2 4 8 3 2 3" xfId="35428"/>
    <cellStyle name="쉼표 [0] 4 2 4 8 3 3" xfId="16412"/>
    <cellStyle name="쉼표 [0] 4 2 4 8 3 3 2" xfId="41764"/>
    <cellStyle name="쉼표 [0] 4 2 4 8 3 4" xfId="29092"/>
    <cellStyle name="쉼표 [0] 4 2 4 8 4" xfId="6966"/>
    <cellStyle name="쉼표 [0] 4 2 4 8 4 2" xfId="19640"/>
    <cellStyle name="쉼표 [0] 4 2 4 8 4 2 2" xfId="44992"/>
    <cellStyle name="쉼표 [0] 4 2 4 8 4 3" xfId="32320"/>
    <cellStyle name="쉼표 [0] 4 2 4 8 5" xfId="13304"/>
    <cellStyle name="쉼표 [0] 4 2 4 8 5 2" xfId="38656"/>
    <cellStyle name="쉼표 [0] 4 2 4 8 6" xfId="25984"/>
    <cellStyle name="쉼표 [0] 4 2 4 9" xfId="631"/>
    <cellStyle name="쉼표 [0] 4 2 4 9 2" xfId="632"/>
    <cellStyle name="쉼표 [0] 4 2 4 9 2 2" xfId="3739"/>
    <cellStyle name="쉼표 [0] 4 2 4 9 2 2 2" xfId="10075"/>
    <cellStyle name="쉼표 [0] 4 2 4 9 2 2 2 2" xfId="22749"/>
    <cellStyle name="쉼표 [0] 4 2 4 9 2 2 2 2 2" xfId="48101"/>
    <cellStyle name="쉼표 [0] 4 2 4 9 2 2 2 3" xfId="35429"/>
    <cellStyle name="쉼표 [0] 4 2 4 9 2 2 3" xfId="16413"/>
    <cellStyle name="쉼표 [0] 4 2 4 9 2 2 3 2" xfId="41765"/>
    <cellStyle name="쉼표 [0] 4 2 4 9 2 2 4" xfId="29093"/>
    <cellStyle name="쉼표 [0] 4 2 4 9 2 3" xfId="6969"/>
    <cellStyle name="쉼표 [0] 4 2 4 9 2 3 2" xfId="19643"/>
    <cellStyle name="쉼표 [0] 4 2 4 9 2 3 2 2" xfId="44995"/>
    <cellStyle name="쉼표 [0] 4 2 4 9 2 3 3" xfId="32323"/>
    <cellStyle name="쉼표 [0] 4 2 4 9 2 4" xfId="13307"/>
    <cellStyle name="쉼표 [0] 4 2 4 9 2 4 2" xfId="38659"/>
    <cellStyle name="쉼표 [0] 4 2 4 9 2 5" xfId="25987"/>
    <cellStyle name="쉼표 [0] 4 2 4 9 3" xfId="3740"/>
    <cellStyle name="쉼표 [0] 4 2 4 9 3 2" xfId="10076"/>
    <cellStyle name="쉼표 [0] 4 2 4 9 3 2 2" xfId="22750"/>
    <cellStyle name="쉼표 [0] 4 2 4 9 3 2 2 2" xfId="48102"/>
    <cellStyle name="쉼표 [0] 4 2 4 9 3 2 3" xfId="35430"/>
    <cellStyle name="쉼표 [0] 4 2 4 9 3 3" xfId="16414"/>
    <cellStyle name="쉼표 [0] 4 2 4 9 3 3 2" xfId="41766"/>
    <cellStyle name="쉼표 [0] 4 2 4 9 3 4" xfId="29094"/>
    <cellStyle name="쉼표 [0] 4 2 4 9 4" xfId="6968"/>
    <cellStyle name="쉼표 [0] 4 2 4 9 4 2" xfId="19642"/>
    <cellStyle name="쉼표 [0] 4 2 4 9 4 2 2" xfId="44994"/>
    <cellStyle name="쉼표 [0] 4 2 4 9 4 3" xfId="32322"/>
    <cellStyle name="쉼표 [0] 4 2 4 9 5" xfId="13306"/>
    <cellStyle name="쉼표 [0] 4 2 4 9 5 2" xfId="38658"/>
    <cellStyle name="쉼표 [0] 4 2 4 9 6" xfId="25986"/>
    <cellStyle name="쉼표 [0] 4 2 40" xfId="12712"/>
    <cellStyle name="쉼표 [0] 4 2 40 2" xfId="38064"/>
    <cellStyle name="쉼표 [0] 4 2 41" xfId="25392"/>
    <cellStyle name="쉼표 [0] 4 2 5" xfId="64"/>
    <cellStyle name="쉼표 [0] 4 2 5 2" xfId="633"/>
    <cellStyle name="쉼표 [0] 4 2 5 2 2" xfId="3741"/>
    <cellStyle name="쉼표 [0] 4 2 5 2 2 2" xfId="10077"/>
    <cellStyle name="쉼표 [0] 4 2 5 2 2 2 2" xfId="22751"/>
    <cellStyle name="쉼표 [0] 4 2 5 2 2 2 2 2" xfId="48103"/>
    <cellStyle name="쉼표 [0] 4 2 5 2 2 2 3" xfId="35431"/>
    <cellStyle name="쉼표 [0] 4 2 5 2 2 3" xfId="16415"/>
    <cellStyle name="쉼표 [0] 4 2 5 2 2 3 2" xfId="41767"/>
    <cellStyle name="쉼표 [0] 4 2 5 2 2 4" xfId="29095"/>
    <cellStyle name="쉼표 [0] 4 2 5 2 3" xfId="6970"/>
    <cellStyle name="쉼표 [0] 4 2 5 2 3 2" xfId="19644"/>
    <cellStyle name="쉼표 [0] 4 2 5 2 3 2 2" xfId="44996"/>
    <cellStyle name="쉼표 [0] 4 2 5 2 3 3" xfId="32324"/>
    <cellStyle name="쉼표 [0] 4 2 5 2 4" xfId="13308"/>
    <cellStyle name="쉼표 [0] 4 2 5 2 4 2" xfId="38660"/>
    <cellStyle name="쉼표 [0] 4 2 5 2 5" xfId="25988"/>
    <cellStyle name="쉼표 [0] 4 2 5 3" xfId="3742"/>
    <cellStyle name="쉼표 [0] 4 2 5 3 2" xfId="10078"/>
    <cellStyle name="쉼표 [0] 4 2 5 3 2 2" xfId="22752"/>
    <cellStyle name="쉼표 [0] 4 2 5 3 2 2 2" xfId="48104"/>
    <cellStyle name="쉼표 [0] 4 2 5 3 2 3" xfId="35432"/>
    <cellStyle name="쉼표 [0] 4 2 5 3 3" xfId="16416"/>
    <cellStyle name="쉼표 [0] 4 2 5 3 3 2" xfId="41768"/>
    <cellStyle name="쉼표 [0] 4 2 5 3 4" xfId="29096"/>
    <cellStyle name="쉼표 [0] 4 2 5 4" xfId="6402"/>
    <cellStyle name="쉼표 [0] 4 2 5 4 2" xfId="19076"/>
    <cellStyle name="쉼표 [0] 4 2 5 4 2 2" xfId="44428"/>
    <cellStyle name="쉼표 [0] 4 2 5 4 3" xfId="31756"/>
    <cellStyle name="쉼표 [0] 4 2 5 5" xfId="12740"/>
    <cellStyle name="쉼표 [0] 4 2 5 5 2" xfId="38092"/>
    <cellStyle name="쉼표 [0] 4 2 5 6" xfId="25420"/>
    <cellStyle name="쉼표 [0] 4 2 6" xfId="634"/>
    <cellStyle name="쉼표 [0] 4 2 6 2" xfId="635"/>
    <cellStyle name="쉼표 [0] 4 2 6 2 2" xfId="3743"/>
    <cellStyle name="쉼표 [0] 4 2 6 2 2 2" xfId="10079"/>
    <cellStyle name="쉼표 [0] 4 2 6 2 2 2 2" xfId="22753"/>
    <cellStyle name="쉼표 [0] 4 2 6 2 2 2 2 2" xfId="48105"/>
    <cellStyle name="쉼표 [0] 4 2 6 2 2 2 3" xfId="35433"/>
    <cellStyle name="쉼표 [0] 4 2 6 2 2 3" xfId="16417"/>
    <cellStyle name="쉼표 [0] 4 2 6 2 2 3 2" xfId="41769"/>
    <cellStyle name="쉼표 [0] 4 2 6 2 2 4" xfId="29097"/>
    <cellStyle name="쉼표 [0] 4 2 6 2 3" xfId="6972"/>
    <cellStyle name="쉼표 [0] 4 2 6 2 3 2" xfId="19646"/>
    <cellStyle name="쉼표 [0] 4 2 6 2 3 2 2" xfId="44998"/>
    <cellStyle name="쉼표 [0] 4 2 6 2 3 3" xfId="32326"/>
    <cellStyle name="쉼표 [0] 4 2 6 2 4" xfId="13310"/>
    <cellStyle name="쉼표 [0] 4 2 6 2 4 2" xfId="38662"/>
    <cellStyle name="쉼표 [0] 4 2 6 2 5" xfId="25990"/>
    <cellStyle name="쉼표 [0] 4 2 6 3" xfId="3744"/>
    <cellStyle name="쉼표 [0] 4 2 6 3 2" xfId="10080"/>
    <cellStyle name="쉼표 [0] 4 2 6 3 2 2" xfId="22754"/>
    <cellStyle name="쉼표 [0] 4 2 6 3 2 2 2" xfId="48106"/>
    <cellStyle name="쉼표 [0] 4 2 6 3 2 3" xfId="35434"/>
    <cellStyle name="쉼표 [0] 4 2 6 3 3" xfId="16418"/>
    <cellStyle name="쉼표 [0] 4 2 6 3 3 2" xfId="41770"/>
    <cellStyle name="쉼표 [0] 4 2 6 3 4" xfId="29098"/>
    <cellStyle name="쉼표 [0] 4 2 6 4" xfId="6971"/>
    <cellStyle name="쉼표 [0] 4 2 6 4 2" xfId="19645"/>
    <cellStyle name="쉼표 [0] 4 2 6 4 2 2" xfId="44997"/>
    <cellStyle name="쉼표 [0] 4 2 6 4 3" xfId="32325"/>
    <cellStyle name="쉼표 [0] 4 2 6 5" xfId="13309"/>
    <cellStyle name="쉼표 [0] 4 2 6 5 2" xfId="38661"/>
    <cellStyle name="쉼표 [0] 4 2 6 6" xfId="25989"/>
    <cellStyle name="쉼표 [0] 4 2 7" xfId="636"/>
    <cellStyle name="쉼표 [0] 4 2 7 2" xfId="637"/>
    <cellStyle name="쉼표 [0] 4 2 7 2 2" xfId="3745"/>
    <cellStyle name="쉼표 [0] 4 2 7 2 2 2" xfId="10081"/>
    <cellStyle name="쉼표 [0] 4 2 7 2 2 2 2" xfId="22755"/>
    <cellStyle name="쉼표 [0] 4 2 7 2 2 2 2 2" xfId="48107"/>
    <cellStyle name="쉼표 [0] 4 2 7 2 2 2 3" xfId="35435"/>
    <cellStyle name="쉼표 [0] 4 2 7 2 2 3" xfId="16419"/>
    <cellStyle name="쉼표 [0] 4 2 7 2 2 3 2" xfId="41771"/>
    <cellStyle name="쉼표 [0] 4 2 7 2 2 4" xfId="29099"/>
    <cellStyle name="쉼표 [0] 4 2 7 2 3" xfId="6974"/>
    <cellStyle name="쉼표 [0] 4 2 7 2 3 2" xfId="19648"/>
    <cellStyle name="쉼표 [0] 4 2 7 2 3 2 2" xfId="45000"/>
    <cellStyle name="쉼표 [0] 4 2 7 2 3 3" xfId="32328"/>
    <cellStyle name="쉼표 [0] 4 2 7 2 4" xfId="13312"/>
    <cellStyle name="쉼표 [0] 4 2 7 2 4 2" xfId="38664"/>
    <cellStyle name="쉼표 [0] 4 2 7 2 5" xfId="25992"/>
    <cellStyle name="쉼표 [0] 4 2 7 3" xfId="3746"/>
    <cellStyle name="쉼표 [0] 4 2 7 3 2" xfId="10082"/>
    <cellStyle name="쉼표 [0] 4 2 7 3 2 2" xfId="22756"/>
    <cellStyle name="쉼표 [0] 4 2 7 3 2 2 2" xfId="48108"/>
    <cellStyle name="쉼표 [0] 4 2 7 3 2 3" xfId="35436"/>
    <cellStyle name="쉼표 [0] 4 2 7 3 3" xfId="16420"/>
    <cellStyle name="쉼표 [0] 4 2 7 3 3 2" xfId="41772"/>
    <cellStyle name="쉼표 [0] 4 2 7 3 4" xfId="29100"/>
    <cellStyle name="쉼표 [0] 4 2 7 4" xfId="6973"/>
    <cellStyle name="쉼표 [0] 4 2 7 4 2" xfId="19647"/>
    <cellStyle name="쉼표 [0] 4 2 7 4 2 2" xfId="44999"/>
    <cellStyle name="쉼표 [0] 4 2 7 4 3" xfId="32327"/>
    <cellStyle name="쉼표 [0] 4 2 7 5" xfId="13311"/>
    <cellStyle name="쉼표 [0] 4 2 7 5 2" xfId="38663"/>
    <cellStyle name="쉼표 [0] 4 2 7 6" xfId="25991"/>
    <cellStyle name="쉼표 [0] 4 2 8" xfId="638"/>
    <cellStyle name="쉼표 [0] 4 2 8 2" xfId="639"/>
    <cellStyle name="쉼표 [0] 4 2 8 2 2" xfId="3747"/>
    <cellStyle name="쉼표 [0] 4 2 8 2 2 2" xfId="10083"/>
    <cellStyle name="쉼표 [0] 4 2 8 2 2 2 2" xfId="22757"/>
    <cellStyle name="쉼표 [0] 4 2 8 2 2 2 2 2" xfId="48109"/>
    <cellStyle name="쉼표 [0] 4 2 8 2 2 2 3" xfId="35437"/>
    <cellStyle name="쉼표 [0] 4 2 8 2 2 3" xfId="16421"/>
    <cellStyle name="쉼표 [0] 4 2 8 2 2 3 2" xfId="41773"/>
    <cellStyle name="쉼표 [0] 4 2 8 2 2 4" xfId="29101"/>
    <cellStyle name="쉼표 [0] 4 2 8 2 3" xfId="6976"/>
    <cellStyle name="쉼표 [0] 4 2 8 2 3 2" xfId="19650"/>
    <cellStyle name="쉼표 [0] 4 2 8 2 3 2 2" xfId="45002"/>
    <cellStyle name="쉼표 [0] 4 2 8 2 3 3" xfId="32330"/>
    <cellStyle name="쉼표 [0] 4 2 8 2 4" xfId="13314"/>
    <cellStyle name="쉼표 [0] 4 2 8 2 4 2" xfId="38666"/>
    <cellStyle name="쉼표 [0] 4 2 8 2 5" xfId="25994"/>
    <cellStyle name="쉼표 [0] 4 2 8 3" xfId="3748"/>
    <cellStyle name="쉼표 [0] 4 2 8 3 2" xfId="10084"/>
    <cellStyle name="쉼표 [0] 4 2 8 3 2 2" xfId="22758"/>
    <cellStyle name="쉼표 [0] 4 2 8 3 2 2 2" xfId="48110"/>
    <cellStyle name="쉼표 [0] 4 2 8 3 2 3" xfId="35438"/>
    <cellStyle name="쉼표 [0] 4 2 8 3 3" xfId="16422"/>
    <cellStyle name="쉼표 [0] 4 2 8 3 3 2" xfId="41774"/>
    <cellStyle name="쉼표 [0] 4 2 8 3 4" xfId="29102"/>
    <cellStyle name="쉼표 [0] 4 2 8 4" xfId="6975"/>
    <cellStyle name="쉼표 [0] 4 2 8 4 2" xfId="19649"/>
    <cellStyle name="쉼표 [0] 4 2 8 4 2 2" xfId="45001"/>
    <cellStyle name="쉼표 [0] 4 2 8 4 3" xfId="32329"/>
    <cellStyle name="쉼표 [0] 4 2 8 5" xfId="13313"/>
    <cellStyle name="쉼표 [0] 4 2 8 5 2" xfId="38665"/>
    <cellStyle name="쉼표 [0] 4 2 8 6" xfId="25993"/>
    <cellStyle name="쉼표 [0] 4 2 9" xfId="640"/>
    <cellStyle name="쉼표 [0] 4 2 9 2" xfId="641"/>
    <cellStyle name="쉼표 [0] 4 2 9 2 2" xfId="3749"/>
    <cellStyle name="쉼표 [0] 4 2 9 2 2 2" xfId="10085"/>
    <cellStyle name="쉼표 [0] 4 2 9 2 2 2 2" xfId="22759"/>
    <cellStyle name="쉼표 [0] 4 2 9 2 2 2 2 2" xfId="48111"/>
    <cellStyle name="쉼표 [0] 4 2 9 2 2 2 3" xfId="35439"/>
    <cellStyle name="쉼표 [0] 4 2 9 2 2 3" xfId="16423"/>
    <cellStyle name="쉼표 [0] 4 2 9 2 2 3 2" xfId="41775"/>
    <cellStyle name="쉼표 [0] 4 2 9 2 2 4" xfId="29103"/>
    <cellStyle name="쉼표 [0] 4 2 9 2 3" xfId="6978"/>
    <cellStyle name="쉼표 [0] 4 2 9 2 3 2" xfId="19652"/>
    <cellStyle name="쉼표 [0] 4 2 9 2 3 2 2" xfId="45004"/>
    <cellStyle name="쉼표 [0] 4 2 9 2 3 3" xfId="32332"/>
    <cellStyle name="쉼표 [0] 4 2 9 2 4" xfId="13316"/>
    <cellStyle name="쉼표 [0] 4 2 9 2 4 2" xfId="38668"/>
    <cellStyle name="쉼표 [0] 4 2 9 2 5" xfId="25996"/>
    <cellStyle name="쉼표 [0] 4 2 9 3" xfId="3750"/>
    <cellStyle name="쉼표 [0] 4 2 9 3 2" xfId="10086"/>
    <cellStyle name="쉼표 [0] 4 2 9 3 2 2" xfId="22760"/>
    <cellStyle name="쉼표 [0] 4 2 9 3 2 2 2" xfId="48112"/>
    <cellStyle name="쉼표 [0] 4 2 9 3 2 3" xfId="35440"/>
    <cellStyle name="쉼표 [0] 4 2 9 3 3" xfId="16424"/>
    <cellStyle name="쉼표 [0] 4 2 9 3 3 2" xfId="41776"/>
    <cellStyle name="쉼표 [0] 4 2 9 3 4" xfId="29104"/>
    <cellStyle name="쉼표 [0] 4 2 9 4" xfId="6977"/>
    <cellStyle name="쉼표 [0] 4 2 9 4 2" xfId="19651"/>
    <cellStyle name="쉼표 [0] 4 2 9 4 2 2" xfId="45003"/>
    <cellStyle name="쉼표 [0] 4 2 9 4 3" xfId="32331"/>
    <cellStyle name="쉼표 [0] 4 2 9 5" xfId="13315"/>
    <cellStyle name="쉼표 [0] 4 2 9 5 2" xfId="38667"/>
    <cellStyle name="쉼표 [0] 4 2 9 6" xfId="25995"/>
    <cellStyle name="쉼표 [0] 4 20" xfId="642"/>
    <cellStyle name="쉼표 [0] 4 20 2" xfId="643"/>
    <cellStyle name="쉼표 [0] 4 20 2 2" xfId="3751"/>
    <cellStyle name="쉼표 [0] 4 20 2 2 2" xfId="10087"/>
    <cellStyle name="쉼표 [0] 4 20 2 2 2 2" xfId="22761"/>
    <cellStyle name="쉼표 [0] 4 20 2 2 2 2 2" xfId="48113"/>
    <cellStyle name="쉼표 [0] 4 20 2 2 2 3" xfId="35441"/>
    <cellStyle name="쉼표 [0] 4 20 2 2 3" xfId="16425"/>
    <cellStyle name="쉼표 [0] 4 20 2 2 3 2" xfId="41777"/>
    <cellStyle name="쉼표 [0] 4 20 2 2 4" xfId="29105"/>
    <cellStyle name="쉼표 [0] 4 20 2 3" xfId="6980"/>
    <cellStyle name="쉼표 [0] 4 20 2 3 2" xfId="19654"/>
    <cellStyle name="쉼표 [0] 4 20 2 3 2 2" xfId="45006"/>
    <cellStyle name="쉼표 [0] 4 20 2 3 3" xfId="32334"/>
    <cellStyle name="쉼표 [0] 4 20 2 4" xfId="13318"/>
    <cellStyle name="쉼표 [0] 4 20 2 4 2" xfId="38670"/>
    <cellStyle name="쉼표 [0] 4 20 2 5" xfId="25998"/>
    <cellStyle name="쉼표 [0] 4 20 3" xfId="3752"/>
    <cellStyle name="쉼표 [0] 4 20 3 2" xfId="10088"/>
    <cellStyle name="쉼표 [0] 4 20 3 2 2" xfId="22762"/>
    <cellStyle name="쉼표 [0] 4 20 3 2 2 2" xfId="48114"/>
    <cellStyle name="쉼표 [0] 4 20 3 2 3" xfId="35442"/>
    <cellStyle name="쉼표 [0] 4 20 3 3" xfId="16426"/>
    <cellStyle name="쉼표 [0] 4 20 3 3 2" xfId="41778"/>
    <cellStyle name="쉼표 [0] 4 20 3 4" xfId="29106"/>
    <cellStyle name="쉼표 [0] 4 20 4" xfId="6979"/>
    <cellStyle name="쉼표 [0] 4 20 4 2" xfId="19653"/>
    <cellStyle name="쉼표 [0] 4 20 4 2 2" xfId="45005"/>
    <cellStyle name="쉼표 [0] 4 20 4 3" xfId="32333"/>
    <cellStyle name="쉼표 [0] 4 20 5" xfId="13317"/>
    <cellStyle name="쉼표 [0] 4 20 5 2" xfId="38669"/>
    <cellStyle name="쉼표 [0] 4 20 6" xfId="25997"/>
    <cellStyle name="쉼표 [0] 4 21" xfId="644"/>
    <cellStyle name="쉼표 [0] 4 21 2" xfId="645"/>
    <cellStyle name="쉼표 [0] 4 21 2 2" xfId="3753"/>
    <cellStyle name="쉼표 [0] 4 21 2 2 2" xfId="10089"/>
    <cellStyle name="쉼표 [0] 4 21 2 2 2 2" xfId="22763"/>
    <cellStyle name="쉼표 [0] 4 21 2 2 2 2 2" xfId="48115"/>
    <cellStyle name="쉼표 [0] 4 21 2 2 2 3" xfId="35443"/>
    <cellStyle name="쉼표 [0] 4 21 2 2 3" xfId="16427"/>
    <cellStyle name="쉼표 [0] 4 21 2 2 3 2" xfId="41779"/>
    <cellStyle name="쉼표 [0] 4 21 2 2 4" xfId="29107"/>
    <cellStyle name="쉼표 [0] 4 21 2 3" xfId="6982"/>
    <cellStyle name="쉼표 [0] 4 21 2 3 2" xfId="19656"/>
    <cellStyle name="쉼표 [0] 4 21 2 3 2 2" xfId="45008"/>
    <cellStyle name="쉼표 [0] 4 21 2 3 3" xfId="32336"/>
    <cellStyle name="쉼표 [0] 4 21 2 4" xfId="13320"/>
    <cellStyle name="쉼표 [0] 4 21 2 4 2" xfId="38672"/>
    <cellStyle name="쉼표 [0] 4 21 2 5" xfId="26000"/>
    <cellStyle name="쉼표 [0] 4 21 3" xfId="3754"/>
    <cellStyle name="쉼표 [0] 4 21 3 2" xfId="10090"/>
    <cellStyle name="쉼표 [0] 4 21 3 2 2" xfId="22764"/>
    <cellStyle name="쉼표 [0] 4 21 3 2 2 2" xfId="48116"/>
    <cellStyle name="쉼표 [0] 4 21 3 2 3" xfId="35444"/>
    <cellStyle name="쉼표 [0] 4 21 3 3" xfId="16428"/>
    <cellStyle name="쉼표 [0] 4 21 3 3 2" xfId="41780"/>
    <cellStyle name="쉼표 [0] 4 21 3 4" xfId="29108"/>
    <cellStyle name="쉼표 [0] 4 21 4" xfId="6981"/>
    <cellStyle name="쉼표 [0] 4 21 4 2" xfId="19655"/>
    <cellStyle name="쉼표 [0] 4 21 4 2 2" xfId="45007"/>
    <cellStyle name="쉼표 [0] 4 21 4 3" xfId="32335"/>
    <cellStyle name="쉼표 [0] 4 21 5" xfId="13319"/>
    <cellStyle name="쉼표 [0] 4 21 5 2" xfId="38671"/>
    <cellStyle name="쉼표 [0] 4 21 6" xfId="25999"/>
    <cellStyle name="쉼표 [0] 4 22" xfId="646"/>
    <cellStyle name="쉼표 [0] 4 22 2" xfId="647"/>
    <cellStyle name="쉼표 [0] 4 22 2 2" xfId="3755"/>
    <cellStyle name="쉼표 [0] 4 22 2 2 2" xfId="10091"/>
    <cellStyle name="쉼표 [0] 4 22 2 2 2 2" xfId="22765"/>
    <cellStyle name="쉼표 [0] 4 22 2 2 2 2 2" xfId="48117"/>
    <cellStyle name="쉼표 [0] 4 22 2 2 2 3" xfId="35445"/>
    <cellStyle name="쉼표 [0] 4 22 2 2 3" xfId="16429"/>
    <cellStyle name="쉼표 [0] 4 22 2 2 3 2" xfId="41781"/>
    <cellStyle name="쉼표 [0] 4 22 2 2 4" xfId="29109"/>
    <cellStyle name="쉼표 [0] 4 22 2 3" xfId="6984"/>
    <cellStyle name="쉼표 [0] 4 22 2 3 2" xfId="19658"/>
    <cellStyle name="쉼표 [0] 4 22 2 3 2 2" xfId="45010"/>
    <cellStyle name="쉼표 [0] 4 22 2 3 3" xfId="32338"/>
    <cellStyle name="쉼표 [0] 4 22 2 4" xfId="13322"/>
    <cellStyle name="쉼표 [0] 4 22 2 4 2" xfId="38674"/>
    <cellStyle name="쉼표 [0] 4 22 2 5" xfId="26002"/>
    <cellStyle name="쉼표 [0] 4 22 3" xfId="3756"/>
    <cellStyle name="쉼표 [0] 4 22 3 2" xfId="10092"/>
    <cellStyle name="쉼표 [0] 4 22 3 2 2" xfId="22766"/>
    <cellStyle name="쉼표 [0] 4 22 3 2 2 2" xfId="48118"/>
    <cellStyle name="쉼표 [0] 4 22 3 2 3" xfId="35446"/>
    <cellStyle name="쉼표 [0] 4 22 3 3" xfId="16430"/>
    <cellStyle name="쉼표 [0] 4 22 3 3 2" xfId="41782"/>
    <cellStyle name="쉼표 [0] 4 22 3 4" xfId="29110"/>
    <cellStyle name="쉼표 [0] 4 22 4" xfId="6983"/>
    <cellStyle name="쉼표 [0] 4 22 4 2" xfId="19657"/>
    <cellStyle name="쉼표 [0] 4 22 4 2 2" xfId="45009"/>
    <cellStyle name="쉼표 [0] 4 22 4 3" xfId="32337"/>
    <cellStyle name="쉼표 [0] 4 22 5" xfId="13321"/>
    <cellStyle name="쉼표 [0] 4 22 5 2" xfId="38673"/>
    <cellStyle name="쉼표 [0] 4 22 6" xfId="26001"/>
    <cellStyle name="쉼표 [0] 4 23" xfId="648"/>
    <cellStyle name="쉼표 [0] 4 23 2" xfId="649"/>
    <cellStyle name="쉼표 [0] 4 23 2 2" xfId="3757"/>
    <cellStyle name="쉼표 [0] 4 23 2 2 2" xfId="10093"/>
    <cellStyle name="쉼표 [0] 4 23 2 2 2 2" xfId="22767"/>
    <cellStyle name="쉼표 [0] 4 23 2 2 2 2 2" xfId="48119"/>
    <cellStyle name="쉼표 [0] 4 23 2 2 2 3" xfId="35447"/>
    <cellStyle name="쉼표 [0] 4 23 2 2 3" xfId="16431"/>
    <cellStyle name="쉼표 [0] 4 23 2 2 3 2" xfId="41783"/>
    <cellStyle name="쉼표 [0] 4 23 2 2 4" xfId="29111"/>
    <cellStyle name="쉼표 [0] 4 23 2 3" xfId="6986"/>
    <cellStyle name="쉼표 [0] 4 23 2 3 2" xfId="19660"/>
    <cellStyle name="쉼표 [0] 4 23 2 3 2 2" xfId="45012"/>
    <cellStyle name="쉼표 [0] 4 23 2 3 3" xfId="32340"/>
    <cellStyle name="쉼표 [0] 4 23 2 4" xfId="13324"/>
    <cellStyle name="쉼표 [0] 4 23 2 4 2" xfId="38676"/>
    <cellStyle name="쉼표 [0] 4 23 2 5" xfId="26004"/>
    <cellStyle name="쉼표 [0] 4 23 3" xfId="3758"/>
    <cellStyle name="쉼표 [0] 4 23 3 2" xfId="10094"/>
    <cellStyle name="쉼표 [0] 4 23 3 2 2" xfId="22768"/>
    <cellStyle name="쉼표 [0] 4 23 3 2 2 2" xfId="48120"/>
    <cellStyle name="쉼표 [0] 4 23 3 2 3" xfId="35448"/>
    <cellStyle name="쉼표 [0] 4 23 3 3" xfId="16432"/>
    <cellStyle name="쉼표 [0] 4 23 3 3 2" xfId="41784"/>
    <cellStyle name="쉼표 [0] 4 23 3 4" xfId="29112"/>
    <cellStyle name="쉼표 [0] 4 23 4" xfId="6985"/>
    <cellStyle name="쉼표 [0] 4 23 4 2" xfId="19659"/>
    <cellStyle name="쉼표 [0] 4 23 4 2 2" xfId="45011"/>
    <cellStyle name="쉼표 [0] 4 23 4 3" xfId="32339"/>
    <cellStyle name="쉼표 [0] 4 23 5" xfId="13323"/>
    <cellStyle name="쉼표 [0] 4 23 5 2" xfId="38675"/>
    <cellStyle name="쉼표 [0] 4 23 6" xfId="26003"/>
    <cellStyle name="쉼표 [0] 4 24" xfId="650"/>
    <cellStyle name="쉼표 [0] 4 24 2" xfId="651"/>
    <cellStyle name="쉼표 [0] 4 24 2 2" xfId="3759"/>
    <cellStyle name="쉼표 [0] 4 24 2 2 2" xfId="10095"/>
    <cellStyle name="쉼표 [0] 4 24 2 2 2 2" xfId="22769"/>
    <cellStyle name="쉼표 [0] 4 24 2 2 2 2 2" xfId="48121"/>
    <cellStyle name="쉼표 [0] 4 24 2 2 2 3" xfId="35449"/>
    <cellStyle name="쉼표 [0] 4 24 2 2 3" xfId="16433"/>
    <cellStyle name="쉼표 [0] 4 24 2 2 3 2" xfId="41785"/>
    <cellStyle name="쉼표 [0] 4 24 2 2 4" xfId="29113"/>
    <cellStyle name="쉼표 [0] 4 24 2 3" xfId="6988"/>
    <cellStyle name="쉼표 [0] 4 24 2 3 2" xfId="19662"/>
    <cellStyle name="쉼표 [0] 4 24 2 3 2 2" xfId="45014"/>
    <cellStyle name="쉼표 [0] 4 24 2 3 3" xfId="32342"/>
    <cellStyle name="쉼표 [0] 4 24 2 4" xfId="13326"/>
    <cellStyle name="쉼표 [0] 4 24 2 4 2" xfId="38678"/>
    <cellStyle name="쉼표 [0] 4 24 2 5" xfId="26006"/>
    <cellStyle name="쉼표 [0] 4 24 3" xfId="3760"/>
    <cellStyle name="쉼표 [0] 4 24 3 2" xfId="10096"/>
    <cellStyle name="쉼표 [0] 4 24 3 2 2" xfId="22770"/>
    <cellStyle name="쉼표 [0] 4 24 3 2 2 2" xfId="48122"/>
    <cellStyle name="쉼표 [0] 4 24 3 2 3" xfId="35450"/>
    <cellStyle name="쉼표 [0] 4 24 3 3" xfId="16434"/>
    <cellStyle name="쉼표 [0] 4 24 3 3 2" xfId="41786"/>
    <cellStyle name="쉼표 [0] 4 24 3 4" xfId="29114"/>
    <cellStyle name="쉼표 [0] 4 24 4" xfId="6987"/>
    <cellStyle name="쉼표 [0] 4 24 4 2" xfId="19661"/>
    <cellStyle name="쉼표 [0] 4 24 4 2 2" xfId="45013"/>
    <cellStyle name="쉼표 [0] 4 24 4 3" xfId="32341"/>
    <cellStyle name="쉼표 [0] 4 24 5" xfId="13325"/>
    <cellStyle name="쉼표 [0] 4 24 5 2" xfId="38677"/>
    <cellStyle name="쉼표 [0] 4 24 6" xfId="26005"/>
    <cellStyle name="쉼표 [0] 4 25" xfId="652"/>
    <cellStyle name="쉼표 [0] 4 25 2" xfId="653"/>
    <cellStyle name="쉼표 [0] 4 25 2 2" xfId="3761"/>
    <cellStyle name="쉼표 [0] 4 25 2 2 2" xfId="10097"/>
    <cellStyle name="쉼표 [0] 4 25 2 2 2 2" xfId="22771"/>
    <cellStyle name="쉼표 [0] 4 25 2 2 2 2 2" xfId="48123"/>
    <cellStyle name="쉼표 [0] 4 25 2 2 2 3" xfId="35451"/>
    <cellStyle name="쉼표 [0] 4 25 2 2 3" xfId="16435"/>
    <cellStyle name="쉼표 [0] 4 25 2 2 3 2" xfId="41787"/>
    <cellStyle name="쉼표 [0] 4 25 2 2 4" xfId="29115"/>
    <cellStyle name="쉼표 [0] 4 25 2 3" xfId="6990"/>
    <cellStyle name="쉼표 [0] 4 25 2 3 2" xfId="19664"/>
    <cellStyle name="쉼표 [0] 4 25 2 3 2 2" xfId="45016"/>
    <cellStyle name="쉼표 [0] 4 25 2 3 3" xfId="32344"/>
    <cellStyle name="쉼표 [0] 4 25 2 4" xfId="13328"/>
    <cellStyle name="쉼표 [0] 4 25 2 4 2" xfId="38680"/>
    <cellStyle name="쉼표 [0] 4 25 2 5" xfId="26008"/>
    <cellStyle name="쉼표 [0] 4 25 3" xfId="3762"/>
    <cellStyle name="쉼표 [0] 4 25 3 2" xfId="10098"/>
    <cellStyle name="쉼표 [0] 4 25 3 2 2" xfId="22772"/>
    <cellStyle name="쉼표 [0] 4 25 3 2 2 2" xfId="48124"/>
    <cellStyle name="쉼표 [0] 4 25 3 2 3" xfId="35452"/>
    <cellStyle name="쉼표 [0] 4 25 3 3" xfId="16436"/>
    <cellStyle name="쉼표 [0] 4 25 3 3 2" xfId="41788"/>
    <cellStyle name="쉼표 [0] 4 25 3 4" xfId="29116"/>
    <cellStyle name="쉼표 [0] 4 25 4" xfId="6989"/>
    <cellStyle name="쉼표 [0] 4 25 4 2" xfId="19663"/>
    <cellStyle name="쉼표 [0] 4 25 4 2 2" xfId="45015"/>
    <cellStyle name="쉼표 [0] 4 25 4 3" xfId="32343"/>
    <cellStyle name="쉼표 [0] 4 25 5" xfId="13327"/>
    <cellStyle name="쉼표 [0] 4 25 5 2" xfId="38679"/>
    <cellStyle name="쉼표 [0] 4 25 6" xfId="26007"/>
    <cellStyle name="쉼표 [0] 4 26" xfId="654"/>
    <cellStyle name="쉼표 [0] 4 26 2" xfId="655"/>
    <cellStyle name="쉼표 [0] 4 26 2 2" xfId="3763"/>
    <cellStyle name="쉼표 [0] 4 26 2 2 2" xfId="10099"/>
    <cellStyle name="쉼표 [0] 4 26 2 2 2 2" xfId="22773"/>
    <cellStyle name="쉼표 [0] 4 26 2 2 2 2 2" xfId="48125"/>
    <cellStyle name="쉼표 [0] 4 26 2 2 2 3" xfId="35453"/>
    <cellStyle name="쉼표 [0] 4 26 2 2 3" xfId="16437"/>
    <cellStyle name="쉼표 [0] 4 26 2 2 3 2" xfId="41789"/>
    <cellStyle name="쉼표 [0] 4 26 2 2 4" xfId="29117"/>
    <cellStyle name="쉼표 [0] 4 26 2 3" xfId="6992"/>
    <cellStyle name="쉼표 [0] 4 26 2 3 2" xfId="19666"/>
    <cellStyle name="쉼표 [0] 4 26 2 3 2 2" xfId="45018"/>
    <cellStyle name="쉼표 [0] 4 26 2 3 3" xfId="32346"/>
    <cellStyle name="쉼표 [0] 4 26 2 4" xfId="13330"/>
    <cellStyle name="쉼표 [0] 4 26 2 4 2" xfId="38682"/>
    <cellStyle name="쉼표 [0] 4 26 2 5" xfId="26010"/>
    <cellStyle name="쉼표 [0] 4 26 3" xfId="3764"/>
    <cellStyle name="쉼표 [0] 4 26 3 2" xfId="10100"/>
    <cellStyle name="쉼표 [0] 4 26 3 2 2" xfId="22774"/>
    <cellStyle name="쉼표 [0] 4 26 3 2 2 2" xfId="48126"/>
    <cellStyle name="쉼표 [0] 4 26 3 2 3" xfId="35454"/>
    <cellStyle name="쉼표 [0] 4 26 3 3" xfId="16438"/>
    <cellStyle name="쉼표 [0] 4 26 3 3 2" xfId="41790"/>
    <cellStyle name="쉼표 [0] 4 26 3 4" xfId="29118"/>
    <cellStyle name="쉼표 [0] 4 26 4" xfId="6991"/>
    <cellStyle name="쉼표 [0] 4 26 4 2" xfId="19665"/>
    <cellStyle name="쉼표 [0] 4 26 4 2 2" xfId="45017"/>
    <cellStyle name="쉼표 [0] 4 26 4 3" xfId="32345"/>
    <cellStyle name="쉼표 [0] 4 26 5" xfId="13329"/>
    <cellStyle name="쉼표 [0] 4 26 5 2" xfId="38681"/>
    <cellStyle name="쉼표 [0] 4 26 6" xfId="26009"/>
    <cellStyle name="쉼표 [0] 4 27" xfId="656"/>
    <cellStyle name="쉼표 [0] 4 27 2" xfId="657"/>
    <cellStyle name="쉼표 [0] 4 27 2 2" xfId="3765"/>
    <cellStyle name="쉼표 [0] 4 27 2 2 2" xfId="10101"/>
    <cellStyle name="쉼표 [0] 4 27 2 2 2 2" xfId="22775"/>
    <cellStyle name="쉼표 [0] 4 27 2 2 2 2 2" xfId="48127"/>
    <cellStyle name="쉼표 [0] 4 27 2 2 2 3" xfId="35455"/>
    <cellStyle name="쉼표 [0] 4 27 2 2 3" xfId="16439"/>
    <cellStyle name="쉼표 [0] 4 27 2 2 3 2" xfId="41791"/>
    <cellStyle name="쉼표 [0] 4 27 2 2 4" xfId="29119"/>
    <cellStyle name="쉼표 [0] 4 27 2 3" xfId="6994"/>
    <cellStyle name="쉼표 [0] 4 27 2 3 2" xfId="19668"/>
    <cellStyle name="쉼표 [0] 4 27 2 3 2 2" xfId="45020"/>
    <cellStyle name="쉼표 [0] 4 27 2 3 3" xfId="32348"/>
    <cellStyle name="쉼표 [0] 4 27 2 4" xfId="13332"/>
    <cellStyle name="쉼표 [0] 4 27 2 4 2" xfId="38684"/>
    <cellStyle name="쉼표 [0] 4 27 2 5" xfId="26012"/>
    <cellStyle name="쉼표 [0] 4 27 3" xfId="3766"/>
    <cellStyle name="쉼표 [0] 4 27 3 2" xfId="10102"/>
    <cellStyle name="쉼표 [0] 4 27 3 2 2" xfId="22776"/>
    <cellStyle name="쉼표 [0] 4 27 3 2 2 2" xfId="48128"/>
    <cellStyle name="쉼표 [0] 4 27 3 2 3" xfId="35456"/>
    <cellStyle name="쉼표 [0] 4 27 3 3" xfId="16440"/>
    <cellStyle name="쉼표 [0] 4 27 3 3 2" xfId="41792"/>
    <cellStyle name="쉼표 [0] 4 27 3 4" xfId="29120"/>
    <cellStyle name="쉼표 [0] 4 27 4" xfId="6993"/>
    <cellStyle name="쉼표 [0] 4 27 4 2" xfId="19667"/>
    <cellStyle name="쉼표 [0] 4 27 4 2 2" xfId="45019"/>
    <cellStyle name="쉼표 [0] 4 27 4 3" xfId="32347"/>
    <cellStyle name="쉼표 [0] 4 27 5" xfId="13331"/>
    <cellStyle name="쉼표 [0] 4 27 5 2" xfId="38683"/>
    <cellStyle name="쉼표 [0] 4 27 6" xfId="26011"/>
    <cellStyle name="쉼표 [0] 4 28" xfId="658"/>
    <cellStyle name="쉼표 [0] 4 28 2" xfId="659"/>
    <cellStyle name="쉼표 [0] 4 28 2 2" xfId="3767"/>
    <cellStyle name="쉼표 [0] 4 28 2 2 2" xfId="10103"/>
    <cellStyle name="쉼표 [0] 4 28 2 2 2 2" xfId="22777"/>
    <cellStyle name="쉼표 [0] 4 28 2 2 2 2 2" xfId="48129"/>
    <cellStyle name="쉼표 [0] 4 28 2 2 2 3" xfId="35457"/>
    <cellStyle name="쉼표 [0] 4 28 2 2 3" xfId="16441"/>
    <cellStyle name="쉼표 [0] 4 28 2 2 3 2" xfId="41793"/>
    <cellStyle name="쉼표 [0] 4 28 2 2 4" xfId="29121"/>
    <cellStyle name="쉼표 [0] 4 28 2 3" xfId="6996"/>
    <cellStyle name="쉼표 [0] 4 28 2 3 2" xfId="19670"/>
    <cellStyle name="쉼표 [0] 4 28 2 3 2 2" xfId="45022"/>
    <cellStyle name="쉼표 [0] 4 28 2 3 3" xfId="32350"/>
    <cellStyle name="쉼표 [0] 4 28 2 4" xfId="13334"/>
    <cellStyle name="쉼표 [0] 4 28 2 4 2" xfId="38686"/>
    <cellStyle name="쉼표 [0] 4 28 2 5" xfId="26014"/>
    <cellStyle name="쉼표 [0] 4 28 3" xfId="3768"/>
    <cellStyle name="쉼표 [0] 4 28 3 2" xfId="10104"/>
    <cellStyle name="쉼표 [0] 4 28 3 2 2" xfId="22778"/>
    <cellStyle name="쉼표 [0] 4 28 3 2 2 2" xfId="48130"/>
    <cellStyle name="쉼표 [0] 4 28 3 2 3" xfId="35458"/>
    <cellStyle name="쉼표 [0] 4 28 3 3" xfId="16442"/>
    <cellStyle name="쉼표 [0] 4 28 3 3 2" xfId="41794"/>
    <cellStyle name="쉼표 [0] 4 28 3 4" xfId="29122"/>
    <cellStyle name="쉼표 [0] 4 28 4" xfId="6995"/>
    <cellStyle name="쉼표 [0] 4 28 4 2" xfId="19669"/>
    <cellStyle name="쉼표 [0] 4 28 4 2 2" xfId="45021"/>
    <cellStyle name="쉼표 [0] 4 28 4 3" xfId="32349"/>
    <cellStyle name="쉼표 [0] 4 28 5" xfId="13333"/>
    <cellStyle name="쉼표 [0] 4 28 5 2" xfId="38685"/>
    <cellStyle name="쉼표 [0] 4 28 6" xfId="26013"/>
    <cellStyle name="쉼표 [0] 4 29" xfId="660"/>
    <cellStyle name="쉼표 [0] 4 29 2" xfId="661"/>
    <cellStyle name="쉼표 [0] 4 29 2 2" xfId="3769"/>
    <cellStyle name="쉼표 [0] 4 29 2 2 2" xfId="10105"/>
    <cellStyle name="쉼표 [0] 4 29 2 2 2 2" xfId="22779"/>
    <cellStyle name="쉼표 [0] 4 29 2 2 2 2 2" xfId="48131"/>
    <cellStyle name="쉼표 [0] 4 29 2 2 2 3" xfId="35459"/>
    <cellStyle name="쉼표 [0] 4 29 2 2 3" xfId="16443"/>
    <cellStyle name="쉼표 [0] 4 29 2 2 3 2" xfId="41795"/>
    <cellStyle name="쉼표 [0] 4 29 2 2 4" xfId="29123"/>
    <cellStyle name="쉼표 [0] 4 29 2 3" xfId="6998"/>
    <cellStyle name="쉼표 [0] 4 29 2 3 2" xfId="19672"/>
    <cellStyle name="쉼표 [0] 4 29 2 3 2 2" xfId="45024"/>
    <cellStyle name="쉼표 [0] 4 29 2 3 3" xfId="32352"/>
    <cellStyle name="쉼표 [0] 4 29 2 4" xfId="13336"/>
    <cellStyle name="쉼표 [0] 4 29 2 4 2" xfId="38688"/>
    <cellStyle name="쉼표 [0] 4 29 2 5" xfId="26016"/>
    <cellStyle name="쉼표 [0] 4 29 3" xfId="3770"/>
    <cellStyle name="쉼표 [0] 4 29 3 2" xfId="10106"/>
    <cellStyle name="쉼표 [0] 4 29 3 2 2" xfId="22780"/>
    <cellStyle name="쉼표 [0] 4 29 3 2 2 2" xfId="48132"/>
    <cellStyle name="쉼표 [0] 4 29 3 2 3" xfId="35460"/>
    <cellStyle name="쉼표 [0] 4 29 3 3" xfId="16444"/>
    <cellStyle name="쉼표 [0] 4 29 3 3 2" xfId="41796"/>
    <cellStyle name="쉼표 [0] 4 29 3 4" xfId="29124"/>
    <cellStyle name="쉼표 [0] 4 29 4" xfId="6997"/>
    <cellStyle name="쉼표 [0] 4 29 4 2" xfId="19671"/>
    <cellStyle name="쉼표 [0] 4 29 4 2 2" xfId="45023"/>
    <cellStyle name="쉼표 [0] 4 29 4 3" xfId="32351"/>
    <cellStyle name="쉼표 [0] 4 29 5" xfId="13335"/>
    <cellStyle name="쉼표 [0] 4 29 5 2" xfId="38687"/>
    <cellStyle name="쉼표 [0] 4 29 6" xfId="26015"/>
    <cellStyle name="쉼표 [0] 4 3" xfId="19"/>
    <cellStyle name="쉼표 [0] 4 3 10" xfId="662"/>
    <cellStyle name="쉼표 [0] 4 3 10 2" xfId="663"/>
    <cellStyle name="쉼표 [0] 4 3 10 2 2" xfId="3771"/>
    <cellStyle name="쉼표 [0] 4 3 10 2 2 2" xfId="10107"/>
    <cellStyle name="쉼표 [0] 4 3 10 2 2 2 2" xfId="22781"/>
    <cellStyle name="쉼표 [0] 4 3 10 2 2 2 2 2" xfId="48133"/>
    <cellStyle name="쉼표 [0] 4 3 10 2 2 2 3" xfId="35461"/>
    <cellStyle name="쉼표 [0] 4 3 10 2 2 3" xfId="16445"/>
    <cellStyle name="쉼표 [0] 4 3 10 2 2 3 2" xfId="41797"/>
    <cellStyle name="쉼표 [0] 4 3 10 2 2 4" xfId="29125"/>
    <cellStyle name="쉼표 [0] 4 3 10 2 3" xfId="7000"/>
    <cellStyle name="쉼표 [0] 4 3 10 2 3 2" xfId="19674"/>
    <cellStyle name="쉼표 [0] 4 3 10 2 3 2 2" xfId="45026"/>
    <cellStyle name="쉼표 [0] 4 3 10 2 3 3" xfId="32354"/>
    <cellStyle name="쉼표 [0] 4 3 10 2 4" xfId="13338"/>
    <cellStyle name="쉼표 [0] 4 3 10 2 4 2" xfId="38690"/>
    <cellStyle name="쉼표 [0] 4 3 10 2 5" xfId="26018"/>
    <cellStyle name="쉼표 [0] 4 3 10 3" xfId="3772"/>
    <cellStyle name="쉼표 [0] 4 3 10 3 2" xfId="10108"/>
    <cellStyle name="쉼표 [0] 4 3 10 3 2 2" xfId="22782"/>
    <cellStyle name="쉼표 [0] 4 3 10 3 2 2 2" xfId="48134"/>
    <cellStyle name="쉼표 [0] 4 3 10 3 2 3" xfId="35462"/>
    <cellStyle name="쉼표 [0] 4 3 10 3 3" xfId="16446"/>
    <cellStyle name="쉼표 [0] 4 3 10 3 3 2" xfId="41798"/>
    <cellStyle name="쉼표 [0] 4 3 10 3 4" xfId="29126"/>
    <cellStyle name="쉼표 [0] 4 3 10 4" xfId="6999"/>
    <cellStyle name="쉼표 [0] 4 3 10 4 2" xfId="19673"/>
    <cellStyle name="쉼표 [0] 4 3 10 4 2 2" xfId="45025"/>
    <cellStyle name="쉼표 [0] 4 3 10 4 3" xfId="32353"/>
    <cellStyle name="쉼표 [0] 4 3 10 5" xfId="13337"/>
    <cellStyle name="쉼표 [0] 4 3 10 5 2" xfId="38689"/>
    <cellStyle name="쉼표 [0] 4 3 10 6" xfId="26017"/>
    <cellStyle name="쉼표 [0] 4 3 11" xfId="664"/>
    <cellStyle name="쉼표 [0] 4 3 11 2" xfId="665"/>
    <cellStyle name="쉼표 [0] 4 3 11 2 2" xfId="3773"/>
    <cellStyle name="쉼표 [0] 4 3 11 2 2 2" xfId="10109"/>
    <cellStyle name="쉼표 [0] 4 3 11 2 2 2 2" xfId="22783"/>
    <cellStyle name="쉼표 [0] 4 3 11 2 2 2 2 2" xfId="48135"/>
    <cellStyle name="쉼표 [0] 4 3 11 2 2 2 3" xfId="35463"/>
    <cellStyle name="쉼표 [0] 4 3 11 2 2 3" xfId="16447"/>
    <cellStyle name="쉼표 [0] 4 3 11 2 2 3 2" xfId="41799"/>
    <cellStyle name="쉼표 [0] 4 3 11 2 2 4" xfId="29127"/>
    <cellStyle name="쉼표 [0] 4 3 11 2 3" xfId="7002"/>
    <cellStyle name="쉼표 [0] 4 3 11 2 3 2" xfId="19676"/>
    <cellStyle name="쉼표 [0] 4 3 11 2 3 2 2" xfId="45028"/>
    <cellStyle name="쉼표 [0] 4 3 11 2 3 3" xfId="32356"/>
    <cellStyle name="쉼표 [0] 4 3 11 2 4" xfId="13340"/>
    <cellStyle name="쉼표 [0] 4 3 11 2 4 2" xfId="38692"/>
    <cellStyle name="쉼표 [0] 4 3 11 2 5" xfId="26020"/>
    <cellStyle name="쉼표 [0] 4 3 11 3" xfId="3774"/>
    <cellStyle name="쉼표 [0] 4 3 11 3 2" xfId="10110"/>
    <cellStyle name="쉼표 [0] 4 3 11 3 2 2" xfId="22784"/>
    <cellStyle name="쉼표 [0] 4 3 11 3 2 2 2" xfId="48136"/>
    <cellStyle name="쉼표 [0] 4 3 11 3 2 3" xfId="35464"/>
    <cellStyle name="쉼표 [0] 4 3 11 3 3" xfId="16448"/>
    <cellStyle name="쉼표 [0] 4 3 11 3 3 2" xfId="41800"/>
    <cellStyle name="쉼표 [0] 4 3 11 3 4" xfId="29128"/>
    <cellStyle name="쉼표 [0] 4 3 11 4" xfId="7001"/>
    <cellStyle name="쉼표 [0] 4 3 11 4 2" xfId="19675"/>
    <cellStyle name="쉼표 [0] 4 3 11 4 2 2" xfId="45027"/>
    <cellStyle name="쉼표 [0] 4 3 11 4 3" xfId="32355"/>
    <cellStyle name="쉼표 [0] 4 3 11 5" xfId="13339"/>
    <cellStyle name="쉼표 [0] 4 3 11 5 2" xfId="38691"/>
    <cellStyle name="쉼표 [0] 4 3 11 6" xfId="26019"/>
    <cellStyle name="쉼표 [0] 4 3 12" xfId="666"/>
    <cellStyle name="쉼표 [0] 4 3 12 2" xfId="667"/>
    <cellStyle name="쉼표 [0] 4 3 12 2 2" xfId="3775"/>
    <cellStyle name="쉼표 [0] 4 3 12 2 2 2" xfId="10111"/>
    <cellStyle name="쉼표 [0] 4 3 12 2 2 2 2" xfId="22785"/>
    <cellStyle name="쉼표 [0] 4 3 12 2 2 2 2 2" xfId="48137"/>
    <cellStyle name="쉼표 [0] 4 3 12 2 2 2 3" xfId="35465"/>
    <cellStyle name="쉼표 [0] 4 3 12 2 2 3" xfId="16449"/>
    <cellStyle name="쉼표 [0] 4 3 12 2 2 3 2" xfId="41801"/>
    <cellStyle name="쉼표 [0] 4 3 12 2 2 4" xfId="29129"/>
    <cellStyle name="쉼표 [0] 4 3 12 2 3" xfId="7004"/>
    <cellStyle name="쉼표 [0] 4 3 12 2 3 2" xfId="19678"/>
    <cellStyle name="쉼표 [0] 4 3 12 2 3 2 2" xfId="45030"/>
    <cellStyle name="쉼표 [0] 4 3 12 2 3 3" xfId="32358"/>
    <cellStyle name="쉼표 [0] 4 3 12 2 4" xfId="13342"/>
    <cellStyle name="쉼표 [0] 4 3 12 2 4 2" xfId="38694"/>
    <cellStyle name="쉼표 [0] 4 3 12 2 5" xfId="26022"/>
    <cellStyle name="쉼표 [0] 4 3 12 3" xfId="3776"/>
    <cellStyle name="쉼표 [0] 4 3 12 3 2" xfId="10112"/>
    <cellStyle name="쉼표 [0] 4 3 12 3 2 2" xfId="22786"/>
    <cellStyle name="쉼표 [0] 4 3 12 3 2 2 2" xfId="48138"/>
    <cellStyle name="쉼표 [0] 4 3 12 3 2 3" xfId="35466"/>
    <cellStyle name="쉼표 [0] 4 3 12 3 3" xfId="16450"/>
    <cellStyle name="쉼표 [0] 4 3 12 3 3 2" xfId="41802"/>
    <cellStyle name="쉼표 [0] 4 3 12 3 4" xfId="29130"/>
    <cellStyle name="쉼표 [0] 4 3 12 4" xfId="7003"/>
    <cellStyle name="쉼표 [0] 4 3 12 4 2" xfId="19677"/>
    <cellStyle name="쉼표 [0] 4 3 12 4 2 2" xfId="45029"/>
    <cellStyle name="쉼표 [0] 4 3 12 4 3" xfId="32357"/>
    <cellStyle name="쉼표 [0] 4 3 12 5" xfId="13341"/>
    <cellStyle name="쉼표 [0] 4 3 12 5 2" xfId="38693"/>
    <cellStyle name="쉼표 [0] 4 3 12 6" xfId="26021"/>
    <cellStyle name="쉼표 [0] 4 3 13" xfId="668"/>
    <cellStyle name="쉼표 [0] 4 3 13 2" xfId="669"/>
    <cellStyle name="쉼표 [0] 4 3 13 2 2" xfId="3777"/>
    <cellStyle name="쉼표 [0] 4 3 13 2 2 2" xfId="10113"/>
    <cellStyle name="쉼표 [0] 4 3 13 2 2 2 2" xfId="22787"/>
    <cellStyle name="쉼표 [0] 4 3 13 2 2 2 2 2" xfId="48139"/>
    <cellStyle name="쉼표 [0] 4 3 13 2 2 2 3" xfId="35467"/>
    <cellStyle name="쉼표 [0] 4 3 13 2 2 3" xfId="16451"/>
    <cellStyle name="쉼표 [0] 4 3 13 2 2 3 2" xfId="41803"/>
    <cellStyle name="쉼표 [0] 4 3 13 2 2 4" xfId="29131"/>
    <cellStyle name="쉼표 [0] 4 3 13 2 3" xfId="7006"/>
    <cellStyle name="쉼표 [0] 4 3 13 2 3 2" xfId="19680"/>
    <cellStyle name="쉼표 [0] 4 3 13 2 3 2 2" xfId="45032"/>
    <cellStyle name="쉼표 [0] 4 3 13 2 3 3" xfId="32360"/>
    <cellStyle name="쉼표 [0] 4 3 13 2 4" xfId="13344"/>
    <cellStyle name="쉼표 [0] 4 3 13 2 4 2" xfId="38696"/>
    <cellStyle name="쉼표 [0] 4 3 13 2 5" xfId="26024"/>
    <cellStyle name="쉼표 [0] 4 3 13 3" xfId="3778"/>
    <cellStyle name="쉼표 [0] 4 3 13 3 2" xfId="10114"/>
    <cellStyle name="쉼표 [0] 4 3 13 3 2 2" xfId="22788"/>
    <cellStyle name="쉼표 [0] 4 3 13 3 2 2 2" xfId="48140"/>
    <cellStyle name="쉼표 [0] 4 3 13 3 2 3" xfId="35468"/>
    <cellStyle name="쉼표 [0] 4 3 13 3 3" xfId="16452"/>
    <cellStyle name="쉼표 [0] 4 3 13 3 3 2" xfId="41804"/>
    <cellStyle name="쉼표 [0] 4 3 13 3 4" xfId="29132"/>
    <cellStyle name="쉼표 [0] 4 3 13 4" xfId="7005"/>
    <cellStyle name="쉼표 [0] 4 3 13 4 2" xfId="19679"/>
    <cellStyle name="쉼표 [0] 4 3 13 4 2 2" xfId="45031"/>
    <cellStyle name="쉼표 [0] 4 3 13 4 3" xfId="32359"/>
    <cellStyle name="쉼표 [0] 4 3 13 5" xfId="13343"/>
    <cellStyle name="쉼표 [0] 4 3 13 5 2" xfId="38695"/>
    <cellStyle name="쉼표 [0] 4 3 13 6" xfId="26023"/>
    <cellStyle name="쉼표 [0] 4 3 14" xfId="670"/>
    <cellStyle name="쉼표 [0] 4 3 14 2" xfId="671"/>
    <cellStyle name="쉼표 [0] 4 3 14 2 2" xfId="3779"/>
    <cellStyle name="쉼표 [0] 4 3 14 2 2 2" xfId="10115"/>
    <cellStyle name="쉼표 [0] 4 3 14 2 2 2 2" xfId="22789"/>
    <cellStyle name="쉼표 [0] 4 3 14 2 2 2 2 2" xfId="48141"/>
    <cellStyle name="쉼표 [0] 4 3 14 2 2 2 3" xfId="35469"/>
    <cellStyle name="쉼표 [0] 4 3 14 2 2 3" xfId="16453"/>
    <cellStyle name="쉼표 [0] 4 3 14 2 2 3 2" xfId="41805"/>
    <cellStyle name="쉼표 [0] 4 3 14 2 2 4" xfId="29133"/>
    <cellStyle name="쉼표 [0] 4 3 14 2 3" xfId="7008"/>
    <cellStyle name="쉼표 [0] 4 3 14 2 3 2" xfId="19682"/>
    <cellStyle name="쉼표 [0] 4 3 14 2 3 2 2" xfId="45034"/>
    <cellStyle name="쉼표 [0] 4 3 14 2 3 3" xfId="32362"/>
    <cellStyle name="쉼표 [0] 4 3 14 2 4" xfId="13346"/>
    <cellStyle name="쉼표 [0] 4 3 14 2 4 2" xfId="38698"/>
    <cellStyle name="쉼표 [0] 4 3 14 2 5" xfId="26026"/>
    <cellStyle name="쉼표 [0] 4 3 14 3" xfId="3780"/>
    <cellStyle name="쉼표 [0] 4 3 14 3 2" xfId="10116"/>
    <cellStyle name="쉼표 [0] 4 3 14 3 2 2" xfId="22790"/>
    <cellStyle name="쉼표 [0] 4 3 14 3 2 2 2" xfId="48142"/>
    <cellStyle name="쉼표 [0] 4 3 14 3 2 3" xfId="35470"/>
    <cellStyle name="쉼표 [0] 4 3 14 3 3" xfId="16454"/>
    <cellStyle name="쉼표 [0] 4 3 14 3 3 2" xfId="41806"/>
    <cellStyle name="쉼표 [0] 4 3 14 3 4" xfId="29134"/>
    <cellStyle name="쉼표 [0] 4 3 14 4" xfId="7007"/>
    <cellStyle name="쉼표 [0] 4 3 14 4 2" xfId="19681"/>
    <cellStyle name="쉼표 [0] 4 3 14 4 2 2" xfId="45033"/>
    <cellStyle name="쉼표 [0] 4 3 14 4 3" xfId="32361"/>
    <cellStyle name="쉼표 [0] 4 3 14 5" xfId="13345"/>
    <cellStyle name="쉼표 [0] 4 3 14 5 2" xfId="38697"/>
    <cellStyle name="쉼표 [0] 4 3 14 6" xfId="26025"/>
    <cellStyle name="쉼표 [0] 4 3 15" xfId="672"/>
    <cellStyle name="쉼표 [0] 4 3 15 2" xfId="673"/>
    <cellStyle name="쉼표 [0] 4 3 15 2 2" xfId="3781"/>
    <cellStyle name="쉼표 [0] 4 3 15 2 2 2" xfId="10117"/>
    <cellStyle name="쉼표 [0] 4 3 15 2 2 2 2" xfId="22791"/>
    <cellStyle name="쉼표 [0] 4 3 15 2 2 2 2 2" xfId="48143"/>
    <cellStyle name="쉼표 [0] 4 3 15 2 2 2 3" xfId="35471"/>
    <cellStyle name="쉼표 [0] 4 3 15 2 2 3" xfId="16455"/>
    <cellStyle name="쉼표 [0] 4 3 15 2 2 3 2" xfId="41807"/>
    <cellStyle name="쉼표 [0] 4 3 15 2 2 4" xfId="29135"/>
    <cellStyle name="쉼표 [0] 4 3 15 2 3" xfId="7010"/>
    <cellStyle name="쉼표 [0] 4 3 15 2 3 2" xfId="19684"/>
    <cellStyle name="쉼표 [0] 4 3 15 2 3 2 2" xfId="45036"/>
    <cellStyle name="쉼표 [0] 4 3 15 2 3 3" xfId="32364"/>
    <cellStyle name="쉼표 [0] 4 3 15 2 4" xfId="13348"/>
    <cellStyle name="쉼표 [0] 4 3 15 2 4 2" xfId="38700"/>
    <cellStyle name="쉼표 [0] 4 3 15 2 5" xfId="26028"/>
    <cellStyle name="쉼표 [0] 4 3 15 3" xfId="3782"/>
    <cellStyle name="쉼표 [0] 4 3 15 3 2" xfId="10118"/>
    <cellStyle name="쉼표 [0] 4 3 15 3 2 2" xfId="22792"/>
    <cellStyle name="쉼표 [0] 4 3 15 3 2 2 2" xfId="48144"/>
    <cellStyle name="쉼표 [0] 4 3 15 3 2 3" xfId="35472"/>
    <cellStyle name="쉼표 [0] 4 3 15 3 3" xfId="16456"/>
    <cellStyle name="쉼표 [0] 4 3 15 3 3 2" xfId="41808"/>
    <cellStyle name="쉼표 [0] 4 3 15 3 4" xfId="29136"/>
    <cellStyle name="쉼표 [0] 4 3 15 4" xfId="7009"/>
    <cellStyle name="쉼표 [0] 4 3 15 4 2" xfId="19683"/>
    <cellStyle name="쉼표 [0] 4 3 15 4 2 2" xfId="45035"/>
    <cellStyle name="쉼표 [0] 4 3 15 4 3" xfId="32363"/>
    <cellStyle name="쉼표 [0] 4 3 15 5" xfId="13347"/>
    <cellStyle name="쉼표 [0] 4 3 15 5 2" xfId="38699"/>
    <cellStyle name="쉼표 [0] 4 3 15 6" xfId="26027"/>
    <cellStyle name="쉼표 [0] 4 3 16" xfId="674"/>
    <cellStyle name="쉼표 [0] 4 3 16 2" xfId="675"/>
    <cellStyle name="쉼표 [0] 4 3 16 2 2" xfId="3783"/>
    <cellStyle name="쉼표 [0] 4 3 16 2 2 2" xfId="10119"/>
    <cellStyle name="쉼표 [0] 4 3 16 2 2 2 2" xfId="22793"/>
    <cellStyle name="쉼표 [0] 4 3 16 2 2 2 2 2" xfId="48145"/>
    <cellStyle name="쉼표 [0] 4 3 16 2 2 2 3" xfId="35473"/>
    <cellStyle name="쉼표 [0] 4 3 16 2 2 3" xfId="16457"/>
    <cellStyle name="쉼표 [0] 4 3 16 2 2 3 2" xfId="41809"/>
    <cellStyle name="쉼표 [0] 4 3 16 2 2 4" xfId="29137"/>
    <cellStyle name="쉼표 [0] 4 3 16 2 3" xfId="7012"/>
    <cellStyle name="쉼표 [0] 4 3 16 2 3 2" xfId="19686"/>
    <cellStyle name="쉼표 [0] 4 3 16 2 3 2 2" xfId="45038"/>
    <cellStyle name="쉼표 [0] 4 3 16 2 3 3" xfId="32366"/>
    <cellStyle name="쉼표 [0] 4 3 16 2 4" xfId="13350"/>
    <cellStyle name="쉼표 [0] 4 3 16 2 4 2" xfId="38702"/>
    <cellStyle name="쉼표 [0] 4 3 16 2 5" xfId="26030"/>
    <cellStyle name="쉼표 [0] 4 3 16 3" xfId="3784"/>
    <cellStyle name="쉼표 [0] 4 3 16 3 2" xfId="10120"/>
    <cellStyle name="쉼표 [0] 4 3 16 3 2 2" xfId="22794"/>
    <cellStyle name="쉼표 [0] 4 3 16 3 2 2 2" xfId="48146"/>
    <cellStyle name="쉼표 [0] 4 3 16 3 2 3" xfId="35474"/>
    <cellStyle name="쉼표 [0] 4 3 16 3 3" xfId="16458"/>
    <cellStyle name="쉼표 [0] 4 3 16 3 3 2" xfId="41810"/>
    <cellStyle name="쉼표 [0] 4 3 16 3 4" xfId="29138"/>
    <cellStyle name="쉼표 [0] 4 3 16 4" xfId="7011"/>
    <cellStyle name="쉼표 [0] 4 3 16 4 2" xfId="19685"/>
    <cellStyle name="쉼표 [0] 4 3 16 4 2 2" xfId="45037"/>
    <cellStyle name="쉼표 [0] 4 3 16 4 3" xfId="32365"/>
    <cellStyle name="쉼표 [0] 4 3 16 5" xfId="13349"/>
    <cellStyle name="쉼표 [0] 4 3 16 5 2" xfId="38701"/>
    <cellStyle name="쉼표 [0] 4 3 16 6" xfId="26029"/>
    <cellStyle name="쉼표 [0] 4 3 17" xfId="676"/>
    <cellStyle name="쉼표 [0] 4 3 17 2" xfId="677"/>
    <cellStyle name="쉼표 [0] 4 3 17 2 2" xfId="3785"/>
    <cellStyle name="쉼표 [0] 4 3 17 2 2 2" xfId="10121"/>
    <cellStyle name="쉼표 [0] 4 3 17 2 2 2 2" xfId="22795"/>
    <cellStyle name="쉼표 [0] 4 3 17 2 2 2 2 2" xfId="48147"/>
    <cellStyle name="쉼표 [0] 4 3 17 2 2 2 3" xfId="35475"/>
    <cellStyle name="쉼표 [0] 4 3 17 2 2 3" xfId="16459"/>
    <cellStyle name="쉼표 [0] 4 3 17 2 2 3 2" xfId="41811"/>
    <cellStyle name="쉼표 [0] 4 3 17 2 2 4" xfId="29139"/>
    <cellStyle name="쉼표 [0] 4 3 17 2 3" xfId="7014"/>
    <cellStyle name="쉼표 [0] 4 3 17 2 3 2" xfId="19688"/>
    <cellStyle name="쉼표 [0] 4 3 17 2 3 2 2" xfId="45040"/>
    <cellStyle name="쉼표 [0] 4 3 17 2 3 3" xfId="32368"/>
    <cellStyle name="쉼표 [0] 4 3 17 2 4" xfId="13352"/>
    <cellStyle name="쉼표 [0] 4 3 17 2 4 2" xfId="38704"/>
    <cellStyle name="쉼표 [0] 4 3 17 2 5" xfId="26032"/>
    <cellStyle name="쉼표 [0] 4 3 17 3" xfId="3786"/>
    <cellStyle name="쉼표 [0] 4 3 17 3 2" xfId="10122"/>
    <cellStyle name="쉼표 [0] 4 3 17 3 2 2" xfId="22796"/>
    <cellStyle name="쉼표 [0] 4 3 17 3 2 2 2" xfId="48148"/>
    <cellStyle name="쉼표 [0] 4 3 17 3 2 3" xfId="35476"/>
    <cellStyle name="쉼표 [0] 4 3 17 3 3" xfId="16460"/>
    <cellStyle name="쉼표 [0] 4 3 17 3 3 2" xfId="41812"/>
    <cellStyle name="쉼표 [0] 4 3 17 3 4" xfId="29140"/>
    <cellStyle name="쉼표 [0] 4 3 17 4" xfId="7013"/>
    <cellStyle name="쉼표 [0] 4 3 17 4 2" xfId="19687"/>
    <cellStyle name="쉼표 [0] 4 3 17 4 2 2" xfId="45039"/>
    <cellStyle name="쉼표 [0] 4 3 17 4 3" xfId="32367"/>
    <cellStyle name="쉼표 [0] 4 3 17 5" xfId="13351"/>
    <cellStyle name="쉼표 [0] 4 3 17 5 2" xfId="38703"/>
    <cellStyle name="쉼표 [0] 4 3 17 6" xfId="26031"/>
    <cellStyle name="쉼표 [0] 4 3 18" xfId="678"/>
    <cellStyle name="쉼표 [0] 4 3 18 2" xfId="679"/>
    <cellStyle name="쉼표 [0] 4 3 18 2 2" xfId="3787"/>
    <cellStyle name="쉼표 [0] 4 3 18 2 2 2" xfId="10123"/>
    <cellStyle name="쉼표 [0] 4 3 18 2 2 2 2" xfId="22797"/>
    <cellStyle name="쉼표 [0] 4 3 18 2 2 2 2 2" xfId="48149"/>
    <cellStyle name="쉼표 [0] 4 3 18 2 2 2 3" xfId="35477"/>
    <cellStyle name="쉼표 [0] 4 3 18 2 2 3" xfId="16461"/>
    <cellStyle name="쉼표 [0] 4 3 18 2 2 3 2" xfId="41813"/>
    <cellStyle name="쉼표 [0] 4 3 18 2 2 4" xfId="29141"/>
    <cellStyle name="쉼표 [0] 4 3 18 2 3" xfId="7016"/>
    <cellStyle name="쉼표 [0] 4 3 18 2 3 2" xfId="19690"/>
    <cellStyle name="쉼표 [0] 4 3 18 2 3 2 2" xfId="45042"/>
    <cellStyle name="쉼표 [0] 4 3 18 2 3 3" xfId="32370"/>
    <cellStyle name="쉼표 [0] 4 3 18 2 4" xfId="13354"/>
    <cellStyle name="쉼표 [0] 4 3 18 2 4 2" xfId="38706"/>
    <cellStyle name="쉼표 [0] 4 3 18 2 5" xfId="26034"/>
    <cellStyle name="쉼표 [0] 4 3 18 3" xfId="3788"/>
    <cellStyle name="쉼표 [0] 4 3 18 3 2" xfId="10124"/>
    <cellStyle name="쉼표 [0] 4 3 18 3 2 2" xfId="22798"/>
    <cellStyle name="쉼표 [0] 4 3 18 3 2 2 2" xfId="48150"/>
    <cellStyle name="쉼표 [0] 4 3 18 3 2 3" xfId="35478"/>
    <cellStyle name="쉼표 [0] 4 3 18 3 3" xfId="16462"/>
    <cellStyle name="쉼표 [0] 4 3 18 3 3 2" xfId="41814"/>
    <cellStyle name="쉼표 [0] 4 3 18 3 4" xfId="29142"/>
    <cellStyle name="쉼표 [0] 4 3 18 4" xfId="7015"/>
    <cellStyle name="쉼표 [0] 4 3 18 4 2" xfId="19689"/>
    <cellStyle name="쉼표 [0] 4 3 18 4 2 2" xfId="45041"/>
    <cellStyle name="쉼표 [0] 4 3 18 4 3" xfId="32369"/>
    <cellStyle name="쉼표 [0] 4 3 18 5" xfId="13353"/>
    <cellStyle name="쉼표 [0] 4 3 18 5 2" xfId="38705"/>
    <cellStyle name="쉼표 [0] 4 3 18 6" xfId="26033"/>
    <cellStyle name="쉼표 [0] 4 3 19" xfId="680"/>
    <cellStyle name="쉼표 [0] 4 3 19 2" xfId="681"/>
    <cellStyle name="쉼표 [0] 4 3 19 2 2" xfId="3789"/>
    <cellStyle name="쉼표 [0] 4 3 19 2 2 2" xfId="10125"/>
    <cellStyle name="쉼표 [0] 4 3 19 2 2 2 2" xfId="22799"/>
    <cellStyle name="쉼표 [0] 4 3 19 2 2 2 2 2" xfId="48151"/>
    <cellStyle name="쉼표 [0] 4 3 19 2 2 2 3" xfId="35479"/>
    <cellStyle name="쉼표 [0] 4 3 19 2 2 3" xfId="16463"/>
    <cellStyle name="쉼표 [0] 4 3 19 2 2 3 2" xfId="41815"/>
    <cellStyle name="쉼표 [0] 4 3 19 2 2 4" xfId="29143"/>
    <cellStyle name="쉼표 [0] 4 3 19 2 3" xfId="7018"/>
    <cellStyle name="쉼표 [0] 4 3 19 2 3 2" xfId="19692"/>
    <cellStyle name="쉼표 [0] 4 3 19 2 3 2 2" xfId="45044"/>
    <cellStyle name="쉼표 [0] 4 3 19 2 3 3" xfId="32372"/>
    <cellStyle name="쉼표 [0] 4 3 19 2 4" xfId="13356"/>
    <cellStyle name="쉼표 [0] 4 3 19 2 4 2" xfId="38708"/>
    <cellStyle name="쉼표 [0] 4 3 19 2 5" xfId="26036"/>
    <cellStyle name="쉼표 [0] 4 3 19 3" xfId="3790"/>
    <cellStyle name="쉼표 [0] 4 3 19 3 2" xfId="10126"/>
    <cellStyle name="쉼표 [0] 4 3 19 3 2 2" xfId="22800"/>
    <cellStyle name="쉼표 [0] 4 3 19 3 2 2 2" xfId="48152"/>
    <cellStyle name="쉼표 [0] 4 3 19 3 2 3" xfId="35480"/>
    <cellStyle name="쉼표 [0] 4 3 19 3 3" xfId="16464"/>
    <cellStyle name="쉼표 [0] 4 3 19 3 3 2" xfId="41816"/>
    <cellStyle name="쉼표 [0] 4 3 19 3 4" xfId="29144"/>
    <cellStyle name="쉼표 [0] 4 3 19 4" xfId="7017"/>
    <cellStyle name="쉼표 [0] 4 3 19 4 2" xfId="19691"/>
    <cellStyle name="쉼표 [0] 4 3 19 4 2 2" xfId="45043"/>
    <cellStyle name="쉼표 [0] 4 3 19 4 3" xfId="32371"/>
    <cellStyle name="쉼표 [0] 4 3 19 5" xfId="13355"/>
    <cellStyle name="쉼표 [0] 4 3 19 5 2" xfId="38707"/>
    <cellStyle name="쉼표 [0] 4 3 19 6" xfId="26035"/>
    <cellStyle name="쉼표 [0] 4 3 2" xfId="31"/>
    <cellStyle name="쉼표 [0] 4 3 2 10" xfId="682"/>
    <cellStyle name="쉼표 [0] 4 3 2 10 2" xfId="683"/>
    <cellStyle name="쉼표 [0] 4 3 2 10 2 2" xfId="3791"/>
    <cellStyle name="쉼표 [0] 4 3 2 10 2 2 2" xfId="10127"/>
    <cellStyle name="쉼표 [0] 4 3 2 10 2 2 2 2" xfId="22801"/>
    <cellStyle name="쉼표 [0] 4 3 2 10 2 2 2 2 2" xfId="48153"/>
    <cellStyle name="쉼표 [0] 4 3 2 10 2 2 2 3" xfId="35481"/>
    <cellStyle name="쉼표 [0] 4 3 2 10 2 2 3" xfId="16465"/>
    <cellStyle name="쉼표 [0] 4 3 2 10 2 2 3 2" xfId="41817"/>
    <cellStyle name="쉼표 [0] 4 3 2 10 2 2 4" xfId="29145"/>
    <cellStyle name="쉼표 [0] 4 3 2 10 2 3" xfId="7020"/>
    <cellStyle name="쉼표 [0] 4 3 2 10 2 3 2" xfId="19694"/>
    <cellStyle name="쉼표 [0] 4 3 2 10 2 3 2 2" xfId="45046"/>
    <cellStyle name="쉼표 [0] 4 3 2 10 2 3 3" xfId="32374"/>
    <cellStyle name="쉼표 [0] 4 3 2 10 2 4" xfId="13358"/>
    <cellStyle name="쉼표 [0] 4 3 2 10 2 4 2" xfId="38710"/>
    <cellStyle name="쉼표 [0] 4 3 2 10 2 5" xfId="26038"/>
    <cellStyle name="쉼표 [0] 4 3 2 10 3" xfId="3792"/>
    <cellStyle name="쉼표 [0] 4 3 2 10 3 2" xfId="10128"/>
    <cellStyle name="쉼표 [0] 4 3 2 10 3 2 2" xfId="22802"/>
    <cellStyle name="쉼표 [0] 4 3 2 10 3 2 2 2" xfId="48154"/>
    <cellStyle name="쉼표 [0] 4 3 2 10 3 2 3" xfId="35482"/>
    <cellStyle name="쉼표 [0] 4 3 2 10 3 3" xfId="16466"/>
    <cellStyle name="쉼표 [0] 4 3 2 10 3 3 2" xfId="41818"/>
    <cellStyle name="쉼표 [0] 4 3 2 10 3 4" xfId="29146"/>
    <cellStyle name="쉼표 [0] 4 3 2 10 4" xfId="7019"/>
    <cellStyle name="쉼표 [0] 4 3 2 10 4 2" xfId="19693"/>
    <cellStyle name="쉼표 [0] 4 3 2 10 4 2 2" xfId="45045"/>
    <cellStyle name="쉼표 [0] 4 3 2 10 4 3" xfId="32373"/>
    <cellStyle name="쉼표 [0] 4 3 2 10 5" xfId="13357"/>
    <cellStyle name="쉼표 [0] 4 3 2 10 5 2" xfId="38709"/>
    <cellStyle name="쉼표 [0] 4 3 2 10 6" xfId="26037"/>
    <cellStyle name="쉼표 [0] 4 3 2 11" xfId="684"/>
    <cellStyle name="쉼표 [0] 4 3 2 11 2" xfId="685"/>
    <cellStyle name="쉼표 [0] 4 3 2 11 2 2" xfId="3793"/>
    <cellStyle name="쉼표 [0] 4 3 2 11 2 2 2" xfId="10129"/>
    <cellStyle name="쉼표 [0] 4 3 2 11 2 2 2 2" xfId="22803"/>
    <cellStyle name="쉼표 [0] 4 3 2 11 2 2 2 2 2" xfId="48155"/>
    <cellStyle name="쉼표 [0] 4 3 2 11 2 2 2 3" xfId="35483"/>
    <cellStyle name="쉼표 [0] 4 3 2 11 2 2 3" xfId="16467"/>
    <cellStyle name="쉼표 [0] 4 3 2 11 2 2 3 2" xfId="41819"/>
    <cellStyle name="쉼표 [0] 4 3 2 11 2 2 4" xfId="29147"/>
    <cellStyle name="쉼표 [0] 4 3 2 11 2 3" xfId="7022"/>
    <cellStyle name="쉼표 [0] 4 3 2 11 2 3 2" xfId="19696"/>
    <cellStyle name="쉼표 [0] 4 3 2 11 2 3 2 2" xfId="45048"/>
    <cellStyle name="쉼표 [0] 4 3 2 11 2 3 3" xfId="32376"/>
    <cellStyle name="쉼표 [0] 4 3 2 11 2 4" xfId="13360"/>
    <cellStyle name="쉼표 [0] 4 3 2 11 2 4 2" xfId="38712"/>
    <cellStyle name="쉼표 [0] 4 3 2 11 2 5" xfId="26040"/>
    <cellStyle name="쉼표 [0] 4 3 2 11 3" xfId="3794"/>
    <cellStyle name="쉼표 [0] 4 3 2 11 3 2" xfId="10130"/>
    <cellStyle name="쉼표 [0] 4 3 2 11 3 2 2" xfId="22804"/>
    <cellStyle name="쉼표 [0] 4 3 2 11 3 2 2 2" xfId="48156"/>
    <cellStyle name="쉼표 [0] 4 3 2 11 3 2 3" xfId="35484"/>
    <cellStyle name="쉼표 [0] 4 3 2 11 3 3" xfId="16468"/>
    <cellStyle name="쉼표 [0] 4 3 2 11 3 3 2" xfId="41820"/>
    <cellStyle name="쉼표 [0] 4 3 2 11 3 4" xfId="29148"/>
    <cellStyle name="쉼표 [0] 4 3 2 11 4" xfId="7021"/>
    <cellStyle name="쉼표 [0] 4 3 2 11 4 2" xfId="19695"/>
    <cellStyle name="쉼표 [0] 4 3 2 11 4 2 2" xfId="45047"/>
    <cellStyle name="쉼표 [0] 4 3 2 11 4 3" xfId="32375"/>
    <cellStyle name="쉼표 [0] 4 3 2 11 5" xfId="13359"/>
    <cellStyle name="쉼표 [0] 4 3 2 11 5 2" xfId="38711"/>
    <cellStyle name="쉼표 [0] 4 3 2 11 6" xfId="26039"/>
    <cellStyle name="쉼표 [0] 4 3 2 12" xfId="686"/>
    <cellStyle name="쉼표 [0] 4 3 2 12 2" xfId="687"/>
    <cellStyle name="쉼표 [0] 4 3 2 12 2 2" xfId="3795"/>
    <cellStyle name="쉼표 [0] 4 3 2 12 2 2 2" xfId="10131"/>
    <cellStyle name="쉼표 [0] 4 3 2 12 2 2 2 2" xfId="22805"/>
    <cellStyle name="쉼표 [0] 4 3 2 12 2 2 2 2 2" xfId="48157"/>
    <cellStyle name="쉼표 [0] 4 3 2 12 2 2 2 3" xfId="35485"/>
    <cellStyle name="쉼표 [0] 4 3 2 12 2 2 3" xfId="16469"/>
    <cellStyle name="쉼표 [0] 4 3 2 12 2 2 3 2" xfId="41821"/>
    <cellStyle name="쉼표 [0] 4 3 2 12 2 2 4" xfId="29149"/>
    <cellStyle name="쉼표 [0] 4 3 2 12 2 3" xfId="7024"/>
    <cellStyle name="쉼표 [0] 4 3 2 12 2 3 2" xfId="19698"/>
    <cellStyle name="쉼표 [0] 4 3 2 12 2 3 2 2" xfId="45050"/>
    <cellStyle name="쉼표 [0] 4 3 2 12 2 3 3" xfId="32378"/>
    <cellStyle name="쉼표 [0] 4 3 2 12 2 4" xfId="13362"/>
    <cellStyle name="쉼표 [0] 4 3 2 12 2 4 2" xfId="38714"/>
    <cellStyle name="쉼표 [0] 4 3 2 12 2 5" xfId="26042"/>
    <cellStyle name="쉼표 [0] 4 3 2 12 3" xfId="3796"/>
    <cellStyle name="쉼표 [0] 4 3 2 12 3 2" xfId="10132"/>
    <cellStyle name="쉼표 [0] 4 3 2 12 3 2 2" xfId="22806"/>
    <cellStyle name="쉼표 [0] 4 3 2 12 3 2 2 2" xfId="48158"/>
    <cellStyle name="쉼표 [0] 4 3 2 12 3 2 3" xfId="35486"/>
    <cellStyle name="쉼표 [0] 4 3 2 12 3 3" xfId="16470"/>
    <cellStyle name="쉼표 [0] 4 3 2 12 3 3 2" xfId="41822"/>
    <cellStyle name="쉼표 [0] 4 3 2 12 3 4" xfId="29150"/>
    <cellStyle name="쉼표 [0] 4 3 2 12 4" xfId="7023"/>
    <cellStyle name="쉼표 [0] 4 3 2 12 4 2" xfId="19697"/>
    <cellStyle name="쉼표 [0] 4 3 2 12 4 2 2" xfId="45049"/>
    <cellStyle name="쉼표 [0] 4 3 2 12 4 3" xfId="32377"/>
    <cellStyle name="쉼표 [0] 4 3 2 12 5" xfId="13361"/>
    <cellStyle name="쉼표 [0] 4 3 2 12 5 2" xfId="38713"/>
    <cellStyle name="쉼표 [0] 4 3 2 12 6" xfId="26041"/>
    <cellStyle name="쉼표 [0] 4 3 2 13" xfId="688"/>
    <cellStyle name="쉼표 [0] 4 3 2 13 2" xfId="689"/>
    <cellStyle name="쉼표 [0] 4 3 2 13 2 2" xfId="3797"/>
    <cellStyle name="쉼표 [0] 4 3 2 13 2 2 2" xfId="10133"/>
    <cellStyle name="쉼표 [0] 4 3 2 13 2 2 2 2" xfId="22807"/>
    <cellStyle name="쉼표 [0] 4 3 2 13 2 2 2 2 2" xfId="48159"/>
    <cellStyle name="쉼표 [0] 4 3 2 13 2 2 2 3" xfId="35487"/>
    <cellStyle name="쉼표 [0] 4 3 2 13 2 2 3" xfId="16471"/>
    <cellStyle name="쉼표 [0] 4 3 2 13 2 2 3 2" xfId="41823"/>
    <cellStyle name="쉼표 [0] 4 3 2 13 2 2 4" xfId="29151"/>
    <cellStyle name="쉼표 [0] 4 3 2 13 2 3" xfId="7026"/>
    <cellStyle name="쉼표 [0] 4 3 2 13 2 3 2" xfId="19700"/>
    <cellStyle name="쉼표 [0] 4 3 2 13 2 3 2 2" xfId="45052"/>
    <cellStyle name="쉼표 [0] 4 3 2 13 2 3 3" xfId="32380"/>
    <cellStyle name="쉼표 [0] 4 3 2 13 2 4" xfId="13364"/>
    <cellStyle name="쉼표 [0] 4 3 2 13 2 4 2" xfId="38716"/>
    <cellStyle name="쉼표 [0] 4 3 2 13 2 5" xfId="26044"/>
    <cellStyle name="쉼표 [0] 4 3 2 13 3" xfId="3798"/>
    <cellStyle name="쉼표 [0] 4 3 2 13 3 2" xfId="10134"/>
    <cellStyle name="쉼표 [0] 4 3 2 13 3 2 2" xfId="22808"/>
    <cellStyle name="쉼표 [0] 4 3 2 13 3 2 2 2" xfId="48160"/>
    <cellStyle name="쉼표 [0] 4 3 2 13 3 2 3" xfId="35488"/>
    <cellStyle name="쉼표 [0] 4 3 2 13 3 3" xfId="16472"/>
    <cellStyle name="쉼표 [0] 4 3 2 13 3 3 2" xfId="41824"/>
    <cellStyle name="쉼표 [0] 4 3 2 13 3 4" xfId="29152"/>
    <cellStyle name="쉼표 [0] 4 3 2 13 4" xfId="7025"/>
    <cellStyle name="쉼표 [0] 4 3 2 13 4 2" xfId="19699"/>
    <cellStyle name="쉼표 [0] 4 3 2 13 4 2 2" xfId="45051"/>
    <cellStyle name="쉼표 [0] 4 3 2 13 4 3" xfId="32379"/>
    <cellStyle name="쉼표 [0] 4 3 2 13 5" xfId="13363"/>
    <cellStyle name="쉼표 [0] 4 3 2 13 5 2" xfId="38715"/>
    <cellStyle name="쉼표 [0] 4 3 2 13 6" xfId="26043"/>
    <cellStyle name="쉼표 [0] 4 3 2 14" xfId="690"/>
    <cellStyle name="쉼표 [0] 4 3 2 14 2" xfId="691"/>
    <cellStyle name="쉼표 [0] 4 3 2 14 2 2" xfId="3799"/>
    <cellStyle name="쉼표 [0] 4 3 2 14 2 2 2" xfId="10135"/>
    <cellStyle name="쉼표 [0] 4 3 2 14 2 2 2 2" xfId="22809"/>
    <cellStyle name="쉼표 [0] 4 3 2 14 2 2 2 2 2" xfId="48161"/>
    <cellStyle name="쉼표 [0] 4 3 2 14 2 2 2 3" xfId="35489"/>
    <cellStyle name="쉼표 [0] 4 3 2 14 2 2 3" xfId="16473"/>
    <cellStyle name="쉼표 [0] 4 3 2 14 2 2 3 2" xfId="41825"/>
    <cellStyle name="쉼표 [0] 4 3 2 14 2 2 4" xfId="29153"/>
    <cellStyle name="쉼표 [0] 4 3 2 14 2 3" xfId="7028"/>
    <cellStyle name="쉼표 [0] 4 3 2 14 2 3 2" xfId="19702"/>
    <cellStyle name="쉼표 [0] 4 3 2 14 2 3 2 2" xfId="45054"/>
    <cellStyle name="쉼표 [0] 4 3 2 14 2 3 3" xfId="32382"/>
    <cellStyle name="쉼표 [0] 4 3 2 14 2 4" xfId="13366"/>
    <cellStyle name="쉼표 [0] 4 3 2 14 2 4 2" xfId="38718"/>
    <cellStyle name="쉼표 [0] 4 3 2 14 2 5" xfId="26046"/>
    <cellStyle name="쉼표 [0] 4 3 2 14 3" xfId="3800"/>
    <cellStyle name="쉼표 [0] 4 3 2 14 3 2" xfId="10136"/>
    <cellStyle name="쉼표 [0] 4 3 2 14 3 2 2" xfId="22810"/>
    <cellStyle name="쉼표 [0] 4 3 2 14 3 2 2 2" xfId="48162"/>
    <cellStyle name="쉼표 [0] 4 3 2 14 3 2 3" xfId="35490"/>
    <cellStyle name="쉼표 [0] 4 3 2 14 3 3" xfId="16474"/>
    <cellStyle name="쉼표 [0] 4 3 2 14 3 3 2" xfId="41826"/>
    <cellStyle name="쉼표 [0] 4 3 2 14 3 4" xfId="29154"/>
    <cellStyle name="쉼표 [0] 4 3 2 14 4" xfId="7027"/>
    <cellStyle name="쉼표 [0] 4 3 2 14 4 2" xfId="19701"/>
    <cellStyle name="쉼표 [0] 4 3 2 14 4 2 2" xfId="45053"/>
    <cellStyle name="쉼표 [0] 4 3 2 14 4 3" xfId="32381"/>
    <cellStyle name="쉼표 [0] 4 3 2 14 5" xfId="13365"/>
    <cellStyle name="쉼표 [0] 4 3 2 14 5 2" xfId="38717"/>
    <cellStyle name="쉼표 [0] 4 3 2 14 6" xfId="26045"/>
    <cellStyle name="쉼표 [0] 4 3 2 15" xfId="692"/>
    <cellStyle name="쉼표 [0] 4 3 2 15 2" xfId="693"/>
    <cellStyle name="쉼표 [0] 4 3 2 15 2 2" xfId="3801"/>
    <cellStyle name="쉼표 [0] 4 3 2 15 2 2 2" xfId="10137"/>
    <cellStyle name="쉼표 [0] 4 3 2 15 2 2 2 2" xfId="22811"/>
    <cellStyle name="쉼표 [0] 4 3 2 15 2 2 2 2 2" xfId="48163"/>
    <cellStyle name="쉼표 [0] 4 3 2 15 2 2 2 3" xfId="35491"/>
    <cellStyle name="쉼표 [0] 4 3 2 15 2 2 3" xfId="16475"/>
    <cellStyle name="쉼표 [0] 4 3 2 15 2 2 3 2" xfId="41827"/>
    <cellStyle name="쉼표 [0] 4 3 2 15 2 2 4" xfId="29155"/>
    <cellStyle name="쉼표 [0] 4 3 2 15 2 3" xfId="7030"/>
    <cellStyle name="쉼표 [0] 4 3 2 15 2 3 2" xfId="19704"/>
    <cellStyle name="쉼표 [0] 4 3 2 15 2 3 2 2" xfId="45056"/>
    <cellStyle name="쉼표 [0] 4 3 2 15 2 3 3" xfId="32384"/>
    <cellStyle name="쉼표 [0] 4 3 2 15 2 4" xfId="13368"/>
    <cellStyle name="쉼표 [0] 4 3 2 15 2 4 2" xfId="38720"/>
    <cellStyle name="쉼표 [0] 4 3 2 15 2 5" xfId="26048"/>
    <cellStyle name="쉼표 [0] 4 3 2 15 3" xfId="3802"/>
    <cellStyle name="쉼표 [0] 4 3 2 15 3 2" xfId="10138"/>
    <cellStyle name="쉼표 [0] 4 3 2 15 3 2 2" xfId="22812"/>
    <cellStyle name="쉼표 [0] 4 3 2 15 3 2 2 2" xfId="48164"/>
    <cellStyle name="쉼표 [0] 4 3 2 15 3 2 3" xfId="35492"/>
    <cellStyle name="쉼표 [0] 4 3 2 15 3 3" xfId="16476"/>
    <cellStyle name="쉼표 [0] 4 3 2 15 3 3 2" xfId="41828"/>
    <cellStyle name="쉼표 [0] 4 3 2 15 3 4" xfId="29156"/>
    <cellStyle name="쉼표 [0] 4 3 2 15 4" xfId="7029"/>
    <cellStyle name="쉼표 [0] 4 3 2 15 4 2" xfId="19703"/>
    <cellStyle name="쉼표 [0] 4 3 2 15 4 2 2" xfId="45055"/>
    <cellStyle name="쉼표 [0] 4 3 2 15 4 3" xfId="32383"/>
    <cellStyle name="쉼표 [0] 4 3 2 15 5" xfId="13367"/>
    <cellStyle name="쉼표 [0] 4 3 2 15 5 2" xfId="38719"/>
    <cellStyle name="쉼표 [0] 4 3 2 15 6" xfId="26047"/>
    <cellStyle name="쉼표 [0] 4 3 2 16" xfId="694"/>
    <cellStyle name="쉼표 [0] 4 3 2 16 2" xfId="695"/>
    <cellStyle name="쉼표 [0] 4 3 2 16 2 2" xfId="3803"/>
    <cellStyle name="쉼표 [0] 4 3 2 16 2 2 2" xfId="10139"/>
    <cellStyle name="쉼표 [0] 4 3 2 16 2 2 2 2" xfId="22813"/>
    <cellStyle name="쉼표 [0] 4 3 2 16 2 2 2 2 2" xfId="48165"/>
    <cellStyle name="쉼표 [0] 4 3 2 16 2 2 2 3" xfId="35493"/>
    <cellStyle name="쉼표 [0] 4 3 2 16 2 2 3" xfId="16477"/>
    <cellStyle name="쉼표 [0] 4 3 2 16 2 2 3 2" xfId="41829"/>
    <cellStyle name="쉼표 [0] 4 3 2 16 2 2 4" xfId="29157"/>
    <cellStyle name="쉼표 [0] 4 3 2 16 2 3" xfId="7032"/>
    <cellStyle name="쉼표 [0] 4 3 2 16 2 3 2" xfId="19706"/>
    <cellStyle name="쉼표 [0] 4 3 2 16 2 3 2 2" xfId="45058"/>
    <cellStyle name="쉼표 [0] 4 3 2 16 2 3 3" xfId="32386"/>
    <cellStyle name="쉼표 [0] 4 3 2 16 2 4" xfId="13370"/>
    <cellStyle name="쉼표 [0] 4 3 2 16 2 4 2" xfId="38722"/>
    <cellStyle name="쉼표 [0] 4 3 2 16 2 5" xfId="26050"/>
    <cellStyle name="쉼표 [0] 4 3 2 16 3" xfId="3804"/>
    <cellStyle name="쉼표 [0] 4 3 2 16 3 2" xfId="10140"/>
    <cellStyle name="쉼표 [0] 4 3 2 16 3 2 2" xfId="22814"/>
    <cellStyle name="쉼표 [0] 4 3 2 16 3 2 2 2" xfId="48166"/>
    <cellStyle name="쉼표 [0] 4 3 2 16 3 2 3" xfId="35494"/>
    <cellStyle name="쉼표 [0] 4 3 2 16 3 3" xfId="16478"/>
    <cellStyle name="쉼표 [0] 4 3 2 16 3 3 2" xfId="41830"/>
    <cellStyle name="쉼표 [0] 4 3 2 16 3 4" xfId="29158"/>
    <cellStyle name="쉼표 [0] 4 3 2 16 4" xfId="7031"/>
    <cellStyle name="쉼표 [0] 4 3 2 16 4 2" xfId="19705"/>
    <cellStyle name="쉼표 [0] 4 3 2 16 4 2 2" xfId="45057"/>
    <cellStyle name="쉼표 [0] 4 3 2 16 4 3" xfId="32385"/>
    <cellStyle name="쉼표 [0] 4 3 2 16 5" xfId="13369"/>
    <cellStyle name="쉼표 [0] 4 3 2 16 5 2" xfId="38721"/>
    <cellStyle name="쉼표 [0] 4 3 2 16 6" xfId="26049"/>
    <cellStyle name="쉼표 [0] 4 3 2 17" xfId="696"/>
    <cellStyle name="쉼표 [0] 4 3 2 17 2" xfId="697"/>
    <cellStyle name="쉼표 [0] 4 3 2 17 2 2" xfId="3805"/>
    <cellStyle name="쉼표 [0] 4 3 2 17 2 2 2" xfId="10141"/>
    <cellStyle name="쉼표 [0] 4 3 2 17 2 2 2 2" xfId="22815"/>
    <cellStyle name="쉼표 [0] 4 3 2 17 2 2 2 2 2" xfId="48167"/>
    <cellStyle name="쉼표 [0] 4 3 2 17 2 2 2 3" xfId="35495"/>
    <cellStyle name="쉼표 [0] 4 3 2 17 2 2 3" xfId="16479"/>
    <cellStyle name="쉼표 [0] 4 3 2 17 2 2 3 2" xfId="41831"/>
    <cellStyle name="쉼표 [0] 4 3 2 17 2 2 4" xfId="29159"/>
    <cellStyle name="쉼표 [0] 4 3 2 17 2 3" xfId="7034"/>
    <cellStyle name="쉼표 [0] 4 3 2 17 2 3 2" xfId="19708"/>
    <cellStyle name="쉼표 [0] 4 3 2 17 2 3 2 2" xfId="45060"/>
    <cellStyle name="쉼표 [0] 4 3 2 17 2 3 3" xfId="32388"/>
    <cellStyle name="쉼표 [0] 4 3 2 17 2 4" xfId="13372"/>
    <cellStyle name="쉼표 [0] 4 3 2 17 2 4 2" xfId="38724"/>
    <cellStyle name="쉼표 [0] 4 3 2 17 2 5" xfId="26052"/>
    <cellStyle name="쉼표 [0] 4 3 2 17 3" xfId="3806"/>
    <cellStyle name="쉼표 [0] 4 3 2 17 3 2" xfId="10142"/>
    <cellStyle name="쉼표 [0] 4 3 2 17 3 2 2" xfId="22816"/>
    <cellStyle name="쉼표 [0] 4 3 2 17 3 2 2 2" xfId="48168"/>
    <cellStyle name="쉼표 [0] 4 3 2 17 3 2 3" xfId="35496"/>
    <cellStyle name="쉼표 [0] 4 3 2 17 3 3" xfId="16480"/>
    <cellStyle name="쉼표 [0] 4 3 2 17 3 3 2" xfId="41832"/>
    <cellStyle name="쉼표 [0] 4 3 2 17 3 4" xfId="29160"/>
    <cellStyle name="쉼표 [0] 4 3 2 17 4" xfId="7033"/>
    <cellStyle name="쉼표 [0] 4 3 2 17 4 2" xfId="19707"/>
    <cellStyle name="쉼표 [0] 4 3 2 17 4 2 2" xfId="45059"/>
    <cellStyle name="쉼표 [0] 4 3 2 17 4 3" xfId="32387"/>
    <cellStyle name="쉼표 [0] 4 3 2 17 5" xfId="13371"/>
    <cellStyle name="쉼표 [0] 4 3 2 17 5 2" xfId="38723"/>
    <cellStyle name="쉼표 [0] 4 3 2 17 6" xfId="26051"/>
    <cellStyle name="쉼표 [0] 4 3 2 18" xfId="698"/>
    <cellStyle name="쉼표 [0] 4 3 2 18 2" xfId="699"/>
    <cellStyle name="쉼표 [0] 4 3 2 18 2 2" xfId="3807"/>
    <cellStyle name="쉼표 [0] 4 3 2 18 2 2 2" xfId="10143"/>
    <cellStyle name="쉼표 [0] 4 3 2 18 2 2 2 2" xfId="22817"/>
    <cellStyle name="쉼표 [0] 4 3 2 18 2 2 2 2 2" xfId="48169"/>
    <cellStyle name="쉼표 [0] 4 3 2 18 2 2 2 3" xfId="35497"/>
    <cellStyle name="쉼표 [0] 4 3 2 18 2 2 3" xfId="16481"/>
    <cellStyle name="쉼표 [0] 4 3 2 18 2 2 3 2" xfId="41833"/>
    <cellStyle name="쉼표 [0] 4 3 2 18 2 2 4" xfId="29161"/>
    <cellStyle name="쉼표 [0] 4 3 2 18 2 3" xfId="7036"/>
    <cellStyle name="쉼표 [0] 4 3 2 18 2 3 2" xfId="19710"/>
    <cellStyle name="쉼표 [0] 4 3 2 18 2 3 2 2" xfId="45062"/>
    <cellStyle name="쉼표 [0] 4 3 2 18 2 3 3" xfId="32390"/>
    <cellStyle name="쉼표 [0] 4 3 2 18 2 4" xfId="13374"/>
    <cellStyle name="쉼표 [0] 4 3 2 18 2 4 2" xfId="38726"/>
    <cellStyle name="쉼표 [0] 4 3 2 18 2 5" xfId="26054"/>
    <cellStyle name="쉼표 [0] 4 3 2 18 3" xfId="3808"/>
    <cellStyle name="쉼표 [0] 4 3 2 18 3 2" xfId="10144"/>
    <cellStyle name="쉼표 [0] 4 3 2 18 3 2 2" xfId="22818"/>
    <cellStyle name="쉼표 [0] 4 3 2 18 3 2 2 2" xfId="48170"/>
    <cellStyle name="쉼표 [0] 4 3 2 18 3 2 3" xfId="35498"/>
    <cellStyle name="쉼표 [0] 4 3 2 18 3 3" xfId="16482"/>
    <cellStyle name="쉼표 [0] 4 3 2 18 3 3 2" xfId="41834"/>
    <cellStyle name="쉼표 [0] 4 3 2 18 3 4" xfId="29162"/>
    <cellStyle name="쉼표 [0] 4 3 2 18 4" xfId="7035"/>
    <cellStyle name="쉼표 [0] 4 3 2 18 4 2" xfId="19709"/>
    <cellStyle name="쉼표 [0] 4 3 2 18 4 2 2" xfId="45061"/>
    <cellStyle name="쉼표 [0] 4 3 2 18 4 3" xfId="32389"/>
    <cellStyle name="쉼표 [0] 4 3 2 18 5" xfId="13373"/>
    <cellStyle name="쉼표 [0] 4 3 2 18 5 2" xfId="38725"/>
    <cellStyle name="쉼표 [0] 4 3 2 18 6" xfId="26053"/>
    <cellStyle name="쉼표 [0] 4 3 2 19" xfId="700"/>
    <cellStyle name="쉼표 [0] 4 3 2 19 2" xfId="701"/>
    <cellStyle name="쉼표 [0] 4 3 2 19 2 2" xfId="3809"/>
    <cellStyle name="쉼표 [0] 4 3 2 19 2 2 2" xfId="10145"/>
    <cellStyle name="쉼표 [0] 4 3 2 19 2 2 2 2" xfId="22819"/>
    <cellStyle name="쉼표 [0] 4 3 2 19 2 2 2 2 2" xfId="48171"/>
    <cellStyle name="쉼표 [0] 4 3 2 19 2 2 2 3" xfId="35499"/>
    <cellStyle name="쉼표 [0] 4 3 2 19 2 2 3" xfId="16483"/>
    <cellStyle name="쉼표 [0] 4 3 2 19 2 2 3 2" xfId="41835"/>
    <cellStyle name="쉼표 [0] 4 3 2 19 2 2 4" xfId="29163"/>
    <cellStyle name="쉼표 [0] 4 3 2 19 2 3" xfId="7038"/>
    <cellStyle name="쉼표 [0] 4 3 2 19 2 3 2" xfId="19712"/>
    <cellStyle name="쉼표 [0] 4 3 2 19 2 3 2 2" xfId="45064"/>
    <cellStyle name="쉼표 [0] 4 3 2 19 2 3 3" xfId="32392"/>
    <cellStyle name="쉼표 [0] 4 3 2 19 2 4" xfId="13376"/>
    <cellStyle name="쉼표 [0] 4 3 2 19 2 4 2" xfId="38728"/>
    <cellStyle name="쉼표 [0] 4 3 2 19 2 5" xfId="26056"/>
    <cellStyle name="쉼표 [0] 4 3 2 19 3" xfId="3810"/>
    <cellStyle name="쉼표 [0] 4 3 2 19 3 2" xfId="10146"/>
    <cellStyle name="쉼표 [0] 4 3 2 19 3 2 2" xfId="22820"/>
    <cellStyle name="쉼표 [0] 4 3 2 19 3 2 2 2" xfId="48172"/>
    <cellStyle name="쉼표 [0] 4 3 2 19 3 2 3" xfId="35500"/>
    <cellStyle name="쉼표 [0] 4 3 2 19 3 3" xfId="16484"/>
    <cellStyle name="쉼표 [0] 4 3 2 19 3 3 2" xfId="41836"/>
    <cellStyle name="쉼표 [0] 4 3 2 19 3 4" xfId="29164"/>
    <cellStyle name="쉼표 [0] 4 3 2 19 4" xfId="7037"/>
    <cellStyle name="쉼표 [0] 4 3 2 19 4 2" xfId="19711"/>
    <cellStyle name="쉼표 [0] 4 3 2 19 4 2 2" xfId="45063"/>
    <cellStyle name="쉼표 [0] 4 3 2 19 4 3" xfId="32391"/>
    <cellStyle name="쉼표 [0] 4 3 2 19 5" xfId="13375"/>
    <cellStyle name="쉼표 [0] 4 3 2 19 5 2" xfId="38727"/>
    <cellStyle name="쉼표 [0] 4 3 2 19 6" xfId="26055"/>
    <cellStyle name="쉼표 [0] 4 3 2 2" xfId="65"/>
    <cellStyle name="쉼표 [0] 4 3 2 2 10" xfId="702"/>
    <cellStyle name="쉼표 [0] 4 3 2 2 10 2" xfId="703"/>
    <cellStyle name="쉼표 [0] 4 3 2 2 10 2 2" xfId="3811"/>
    <cellStyle name="쉼표 [0] 4 3 2 2 10 2 2 2" xfId="10147"/>
    <cellStyle name="쉼표 [0] 4 3 2 2 10 2 2 2 2" xfId="22821"/>
    <cellStyle name="쉼표 [0] 4 3 2 2 10 2 2 2 2 2" xfId="48173"/>
    <cellStyle name="쉼표 [0] 4 3 2 2 10 2 2 2 3" xfId="35501"/>
    <cellStyle name="쉼표 [0] 4 3 2 2 10 2 2 3" xfId="16485"/>
    <cellStyle name="쉼표 [0] 4 3 2 2 10 2 2 3 2" xfId="41837"/>
    <cellStyle name="쉼표 [0] 4 3 2 2 10 2 2 4" xfId="29165"/>
    <cellStyle name="쉼표 [0] 4 3 2 2 10 2 3" xfId="7040"/>
    <cellStyle name="쉼표 [0] 4 3 2 2 10 2 3 2" xfId="19714"/>
    <cellStyle name="쉼표 [0] 4 3 2 2 10 2 3 2 2" xfId="45066"/>
    <cellStyle name="쉼표 [0] 4 3 2 2 10 2 3 3" xfId="32394"/>
    <cellStyle name="쉼표 [0] 4 3 2 2 10 2 4" xfId="13378"/>
    <cellStyle name="쉼표 [0] 4 3 2 2 10 2 4 2" xfId="38730"/>
    <cellStyle name="쉼표 [0] 4 3 2 2 10 2 5" xfId="26058"/>
    <cellStyle name="쉼표 [0] 4 3 2 2 10 3" xfId="3812"/>
    <cellStyle name="쉼표 [0] 4 3 2 2 10 3 2" xfId="10148"/>
    <cellStyle name="쉼표 [0] 4 3 2 2 10 3 2 2" xfId="22822"/>
    <cellStyle name="쉼표 [0] 4 3 2 2 10 3 2 2 2" xfId="48174"/>
    <cellStyle name="쉼표 [0] 4 3 2 2 10 3 2 3" xfId="35502"/>
    <cellStyle name="쉼표 [0] 4 3 2 2 10 3 3" xfId="16486"/>
    <cellStyle name="쉼표 [0] 4 3 2 2 10 3 3 2" xfId="41838"/>
    <cellStyle name="쉼표 [0] 4 3 2 2 10 3 4" xfId="29166"/>
    <cellStyle name="쉼표 [0] 4 3 2 2 10 4" xfId="7039"/>
    <cellStyle name="쉼표 [0] 4 3 2 2 10 4 2" xfId="19713"/>
    <cellStyle name="쉼표 [0] 4 3 2 2 10 4 2 2" xfId="45065"/>
    <cellStyle name="쉼표 [0] 4 3 2 2 10 4 3" xfId="32393"/>
    <cellStyle name="쉼표 [0] 4 3 2 2 10 5" xfId="13377"/>
    <cellStyle name="쉼표 [0] 4 3 2 2 10 5 2" xfId="38729"/>
    <cellStyle name="쉼표 [0] 4 3 2 2 10 6" xfId="26057"/>
    <cellStyle name="쉼표 [0] 4 3 2 2 11" xfId="704"/>
    <cellStyle name="쉼표 [0] 4 3 2 2 11 2" xfId="705"/>
    <cellStyle name="쉼표 [0] 4 3 2 2 11 2 2" xfId="3813"/>
    <cellStyle name="쉼표 [0] 4 3 2 2 11 2 2 2" xfId="10149"/>
    <cellStyle name="쉼표 [0] 4 3 2 2 11 2 2 2 2" xfId="22823"/>
    <cellStyle name="쉼표 [0] 4 3 2 2 11 2 2 2 2 2" xfId="48175"/>
    <cellStyle name="쉼표 [0] 4 3 2 2 11 2 2 2 3" xfId="35503"/>
    <cellStyle name="쉼표 [0] 4 3 2 2 11 2 2 3" xfId="16487"/>
    <cellStyle name="쉼표 [0] 4 3 2 2 11 2 2 3 2" xfId="41839"/>
    <cellStyle name="쉼표 [0] 4 3 2 2 11 2 2 4" xfId="29167"/>
    <cellStyle name="쉼표 [0] 4 3 2 2 11 2 3" xfId="7042"/>
    <cellStyle name="쉼표 [0] 4 3 2 2 11 2 3 2" xfId="19716"/>
    <cellStyle name="쉼표 [0] 4 3 2 2 11 2 3 2 2" xfId="45068"/>
    <cellStyle name="쉼표 [0] 4 3 2 2 11 2 3 3" xfId="32396"/>
    <cellStyle name="쉼표 [0] 4 3 2 2 11 2 4" xfId="13380"/>
    <cellStyle name="쉼표 [0] 4 3 2 2 11 2 4 2" xfId="38732"/>
    <cellStyle name="쉼표 [0] 4 3 2 2 11 2 5" xfId="26060"/>
    <cellStyle name="쉼표 [0] 4 3 2 2 11 3" xfId="3814"/>
    <cellStyle name="쉼표 [0] 4 3 2 2 11 3 2" xfId="10150"/>
    <cellStyle name="쉼표 [0] 4 3 2 2 11 3 2 2" xfId="22824"/>
    <cellStyle name="쉼표 [0] 4 3 2 2 11 3 2 2 2" xfId="48176"/>
    <cellStyle name="쉼표 [0] 4 3 2 2 11 3 2 3" xfId="35504"/>
    <cellStyle name="쉼표 [0] 4 3 2 2 11 3 3" xfId="16488"/>
    <cellStyle name="쉼표 [0] 4 3 2 2 11 3 3 2" xfId="41840"/>
    <cellStyle name="쉼표 [0] 4 3 2 2 11 3 4" xfId="29168"/>
    <cellStyle name="쉼표 [0] 4 3 2 2 11 4" xfId="7041"/>
    <cellStyle name="쉼표 [0] 4 3 2 2 11 4 2" xfId="19715"/>
    <cellStyle name="쉼표 [0] 4 3 2 2 11 4 2 2" xfId="45067"/>
    <cellStyle name="쉼표 [0] 4 3 2 2 11 4 3" xfId="32395"/>
    <cellStyle name="쉼표 [0] 4 3 2 2 11 5" xfId="13379"/>
    <cellStyle name="쉼표 [0] 4 3 2 2 11 5 2" xfId="38731"/>
    <cellStyle name="쉼표 [0] 4 3 2 2 11 6" xfId="26059"/>
    <cellStyle name="쉼표 [0] 4 3 2 2 12" xfId="706"/>
    <cellStyle name="쉼표 [0] 4 3 2 2 12 2" xfId="707"/>
    <cellStyle name="쉼표 [0] 4 3 2 2 12 2 2" xfId="3815"/>
    <cellStyle name="쉼표 [0] 4 3 2 2 12 2 2 2" xfId="10151"/>
    <cellStyle name="쉼표 [0] 4 3 2 2 12 2 2 2 2" xfId="22825"/>
    <cellStyle name="쉼표 [0] 4 3 2 2 12 2 2 2 2 2" xfId="48177"/>
    <cellStyle name="쉼표 [0] 4 3 2 2 12 2 2 2 3" xfId="35505"/>
    <cellStyle name="쉼표 [0] 4 3 2 2 12 2 2 3" xfId="16489"/>
    <cellStyle name="쉼표 [0] 4 3 2 2 12 2 2 3 2" xfId="41841"/>
    <cellStyle name="쉼표 [0] 4 3 2 2 12 2 2 4" xfId="29169"/>
    <cellStyle name="쉼표 [0] 4 3 2 2 12 2 3" xfId="7044"/>
    <cellStyle name="쉼표 [0] 4 3 2 2 12 2 3 2" xfId="19718"/>
    <cellStyle name="쉼표 [0] 4 3 2 2 12 2 3 2 2" xfId="45070"/>
    <cellStyle name="쉼표 [0] 4 3 2 2 12 2 3 3" xfId="32398"/>
    <cellStyle name="쉼표 [0] 4 3 2 2 12 2 4" xfId="13382"/>
    <cellStyle name="쉼표 [0] 4 3 2 2 12 2 4 2" xfId="38734"/>
    <cellStyle name="쉼표 [0] 4 3 2 2 12 2 5" xfId="26062"/>
    <cellStyle name="쉼표 [0] 4 3 2 2 12 3" xfId="3816"/>
    <cellStyle name="쉼표 [0] 4 3 2 2 12 3 2" xfId="10152"/>
    <cellStyle name="쉼표 [0] 4 3 2 2 12 3 2 2" xfId="22826"/>
    <cellStyle name="쉼표 [0] 4 3 2 2 12 3 2 2 2" xfId="48178"/>
    <cellStyle name="쉼표 [0] 4 3 2 2 12 3 2 3" xfId="35506"/>
    <cellStyle name="쉼표 [0] 4 3 2 2 12 3 3" xfId="16490"/>
    <cellStyle name="쉼표 [0] 4 3 2 2 12 3 3 2" xfId="41842"/>
    <cellStyle name="쉼표 [0] 4 3 2 2 12 3 4" xfId="29170"/>
    <cellStyle name="쉼표 [0] 4 3 2 2 12 4" xfId="7043"/>
    <cellStyle name="쉼표 [0] 4 3 2 2 12 4 2" xfId="19717"/>
    <cellStyle name="쉼표 [0] 4 3 2 2 12 4 2 2" xfId="45069"/>
    <cellStyle name="쉼표 [0] 4 3 2 2 12 4 3" xfId="32397"/>
    <cellStyle name="쉼표 [0] 4 3 2 2 12 5" xfId="13381"/>
    <cellStyle name="쉼표 [0] 4 3 2 2 12 5 2" xfId="38733"/>
    <cellStyle name="쉼표 [0] 4 3 2 2 12 6" xfId="26061"/>
    <cellStyle name="쉼표 [0] 4 3 2 2 13" xfId="708"/>
    <cellStyle name="쉼표 [0] 4 3 2 2 13 2" xfId="709"/>
    <cellStyle name="쉼표 [0] 4 3 2 2 13 2 2" xfId="3817"/>
    <cellStyle name="쉼표 [0] 4 3 2 2 13 2 2 2" xfId="10153"/>
    <cellStyle name="쉼표 [0] 4 3 2 2 13 2 2 2 2" xfId="22827"/>
    <cellStyle name="쉼표 [0] 4 3 2 2 13 2 2 2 2 2" xfId="48179"/>
    <cellStyle name="쉼표 [0] 4 3 2 2 13 2 2 2 3" xfId="35507"/>
    <cellStyle name="쉼표 [0] 4 3 2 2 13 2 2 3" xfId="16491"/>
    <cellStyle name="쉼표 [0] 4 3 2 2 13 2 2 3 2" xfId="41843"/>
    <cellStyle name="쉼표 [0] 4 3 2 2 13 2 2 4" xfId="29171"/>
    <cellStyle name="쉼표 [0] 4 3 2 2 13 2 3" xfId="7046"/>
    <cellStyle name="쉼표 [0] 4 3 2 2 13 2 3 2" xfId="19720"/>
    <cellStyle name="쉼표 [0] 4 3 2 2 13 2 3 2 2" xfId="45072"/>
    <cellStyle name="쉼표 [0] 4 3 2 2 13 2 3 3" xfId="32400"/>
    <cellStyle name="쉼표 [0] 4 3 2 2 13 2 4" xfId="13384"/>
    <cellStyle name="쉼표 [0] 4 3 2 2 13 2 4 2" xfId="38736"/>
    <cellStyle name="쉼표 [0] 4 3 2 2 13 2 5" xfId="26064"/>
    <cellStyle name="쉼표 [0] 4 3 2 2 13 3" xfId="3818"/>
    <cellStyle name="쉼표 [0] 4 3 2 2 13 3 2" xfId="10154"/>
    <cellStyle name="쉼표 [0] 4 3 2 2 13 3 2 2" xfId="22828"/>
    <cellStyle name="쉼표 [0] 4 3 2 2 13 3 2 2 2" xfId="48180"/>
    <cellStyle name="쉼표 [0] 4 3 2 2 13 3 2 3" xfId="35508"/>
    <cellStyle name="쉼표 [0] 4 3 2 2 13 3 3" xfId="16492"/>
    <cellStyle name="쉼표 [0] 4 3 2 2 13 3 3 2" xfId="41844"/>
    <cellStyle name="쉼표 [0] 4 3 2 2 13 3 4" xfId="29172"/>
    <cellStyle name="쉼표 [0] 4 3 2 2 13 4" xfId="7045"/>
    <cellStyle name="쉼표 [0] 4 3 2 2 13 4 2" xfId="19719"/>
    <cellStyle name="쉼표 [0] 4 3 2 2 13 4 2 2" xfId="45071"/>
    <cellStyle name="쉼표 [0] 4 3 2 2 13 4 3" xfId="32399"/>
    <cellStyle name="쉼표 [0] 4 3 2 2 13 5" xfId="13383"/>
    <cellStyle name="쉼표 [0] 4 3 2 2 13 5 2" xfId="38735"/>
    <cellStyle name="쉼표 [0] 4 3 2 2 13 6" xfId="26063"/>
    <cellStyle name="쉼표 [0] 4 3 2 2 14" xfId="710"/>
    <cellStyle name="쉼표 [0] 4 3 2 2 14 2" xfId="711"/>
    <cellStyle name="쉼표 [0] 4 3 2 2 14 2 2" xfId="3819"/>
    <cellStyle name="쉼표 [0] 4 3 2 2 14 2 2 2" xfId="10155"/>
    <cellStyle name="쉼표 [0] 4 3 2 2 14 2 2 2 2" xfId="22829"/>
    <cellStyle name="쉼표 [0] 4 3 2 2 14 2 2 2 2 2" xfId="48181"/>
    <cellStyle name="쉼표 [0] 4 3 2 2 14 2 2 2 3" xfId="35509"/>
    <cellStyle name="쉼표 [0] 4 3 2 2 14 2 2 3" xfId="16493"/>
    <cellStyle name="쉼표 [0] 4 3 2 2 14 2 2 3 2" xfId="41845"/>
    <cellStyle name="쉼표 [0] 4 3 2 2 14 2 2 4" xfId="29173"/>
    <cellStyle name="쉼표 [0] 4 3 2 2 14 2 3" xfId="7048"/>
    <cellStyle name="쉼표 [0] 4 3 2 2 14 2 3 2" xfId="19722"/>
    <cellStyle name="쉼표 [0] 4 3 2 2 14 2 3 2 2" xfId="45074"/>
    <cellStyle name="쉼표 [0] 4 3 2 2 14 2 3 3" xfId="32402"/>
    <cellStyle name="쉼표 [0] 4 3 2 2 14 2 4" xfId="13386"/>
    <cellStyle name="쉼표 [0] 4 3 2 2 14 2 4 2" xfId="38738"/>
    <cellStyle name="쉼표 [0] 4 3 2 2 14 2 5" xfId="26066"/>
    <cellStyle name="쉼표 [0] 4 3 2 2 14 3" xfId="3820"/>
    <cellStyle name="쉼표 [0] 4 3 2 2 14 3 2" xfId="10156"/>
    <cellStyle name="쉼표 [0] 4 3 2 2 14 3 2 2" xfId="22830"/>
    <cellStyle name="쉼표 [0] 4 3 2 2 14 3 2 2 2" xfId="48182"/>
    <cellStyle name="쉼표 [0] 4 3 2 2 14 3 2 3" xfId="35510"/>
    <cellStyle name="쉼표 [0] 4 3 2 2 14 3 3" xfId="16494"/>
    <cellStyle name="쉼표 [0] 4 3 2 2 14 3 3 2" xfId="41846"/>
    <cellStyle name="쉼표 [0] 4 3 2 2 14 3 4" xfId="29174"/>
    <cellStyle name="쉼표 [0] 4 3 2 2 14 4" xfId="7047"/>
    <cellStyle name="쉼표 [0] 4 3 2 2 14 4 2" xfId="19721"/>
    <cellStyle name="쉼표 [0] 4 3 2 2 14 4 2 2" xfId="45073"/>
    <cellStyle name="쉼표 [0] 4 3 2 2 14 4 3" xfId="32401"/>
    <cellStyle name="쉼표 [0] 4 3 2 2 14 5" xfId="13385"/>
    <cellStyle name="쉼표 [0] 4 3 2 2 14 5 2" xfId="38737"/>
    <cellStyle name="쉼표 [0] 4 3 2 2 14 6" xfId="26065"/>
    <cellStyle name="쉼표 [0] 4 3 2 2 15" xfId="712"/>
    <cellStyle name="쉼표 [0] 4 3 2 2 15 2" xfId="713"/>
    <cellStyle name="쉼표 [0] 4 3 2 2 15 2 2" xfId="3821"/>
    <cellStyle name="쉼표 [0] 4 3 2 2 15 2 2 2" xfId="10157"/>
    <cellStyle name="쉼표 [0] 4 3 2 2 15 2 2 2 2" xfId="22831"/>
    <cellStyle name="쉼표 [0] 4 3 2 2 15 2 2 2 2 2" xfId="48183"/>
    <cellStyle name="쉼표 [0] 4 3 2 2 15 2 2 2 3" xfId="35511"/>
    <cellStyle name="쉼표 [0] 4 3 2 2 15 2 2 3" xfId="16495"/>
    <cellStyle name="쉼표 [0] 4 3 2 2 15 2 2 3 2" xfId="41847"/>
    <cellStyle name="쉼표 [0] 4 3 2 2 15 2 2 4" xfId="29175"/>
    <cellStyle name="쉼표 [0] 4 3 2 2 15 2 3" xfId="7050"/>
    <cellStyle name="쉼표 [0] 4 3 2 2 15 2 3 2" xfId="19724"/>
    <cellStyle name="쉼표 [0] 4 3 2 2 15 2 3 2 2" xfId="45076"/>
    <cellStyle name="쉼표 [0] 4 3 2 2 15 2 3 3" xfId="32404"/>
    <cellStyle name="쉼표 [0] 4 3 2 2 15 2 4" xfId="13388"/>
    <cellStyle name="쉼표 [0] 4 3 2 2 15 2 4 2" xfId="38740"/>
    <cellStyle name="쉼표 [0] 4 3 2 2 15 2 5" xfId="26068"/>
    <cellStyle name="쉼표 [0] 4 3 2 2 15 3" xfId="3822"/>
    <cellStyle name="쉼표 [0] 4 3 2 2 15 3 2" xfId="10158"/>
    <cellStyle name="쉼표 [0] 4 3 2 2 15 3 2 2" xfId="22832"/>
    <cellStyle name="쉼표 [0] 4 3 2 2 15 3 2 2 2" xfId="48184"/>
    <cellStyle name="쉼표 [0] 4 3 2 2 15 3 2 3" xfId="35512"/>
    <cellStyle name="쉼표 [0] 4 3 2 2 15 3 3" xfId="16496"/>
    <cellStyle name="쉼표 [0] 4 3 2 2 15 3 3 2" xfId="41848"/>
    <cellStyle name="쉼표 [0] 4 3 2 2 15 3 4" xfId="29176"/>
    <cellStyle name="쉼표 [0] 4 3 2 2 15 4" xfId="7049"/>
    <cellStyle name="쉼표 [0] 4 3 2 2 15 4 2" xfId="19723"/>
    <cellStyle name="쉼표 [0] 4 3 2 2 15 4 2 2" xfId="45075"/>
    <cellStyle name="쉼표 [0] 4 3 2 2 15 4 3" xfId="32403"/>
    <cellStyle name="쉼표 [0] 4 3 2 2 15 5" xfId="13387"/>
    <cellStyle name="쉼표 [0] 4 3 2 2 15 5 2" xfId="38739"/>
    <cellStyle name="쉼표 [0] 4 3 2 2 15 6" xfId="26067"/>
    <cellStyle name="쉼표 [0] 4 3 2 2 16" xfId="714"/>
    <cellStyle name="쉼표 [0] 4 3 2 2 16 2" xfId="715"/>
    <cellStyle name="쉼표 [0] 4 3 2 2 16 2 2" xfId="3823"/>
    <cellStyle name="쉼표 [0] 4 3 2 2 16 2 2 2" xfId="10159"/>
    <cellStyle name="쉼표 [0] 4 3 2 2 16 2 2 2 2" xfId="22833"/>
    <cellStyle name="쉼표 [0] 4 3 2 2 16 2 2 2 2 2" xfId="48185"/>
    <cellStyle name="쉼표 [0] 4 3 2 2 16 2 2 2 3" xfId="35513"/>
    <cellStyle name="쉼표 [0] 4 3 2 2 16 2 2 3" xfId="16497"/>
    <cellStyle name="쉼표 [0] 4 3 2 2 16 2 2 3 2" xfId="41849"/>
    <cellStyle name="쉼표 [0] 4 3 2 2 16 2 2 4" xfId="29177"/>
    <cellStyle name="쉼표 [0] 4 3 2 2 16 2 3" xfId="7052"/>
    <cellStyle name="쉼표 [0] 4 3 2 2 16 2 3 2" xfId="19726"/>
    <cellStyle name="쉼표 [0] 4 3 2 2 16 2 3 2 2" xfId="45078"/>
    <cellStyle name="쉼표 [0] 4 3 2 2 16 2 3 3" xfId="32406"/>
    <cellStyle name="쉼표 [0] 4 3 2 2 16 2 4" xfId="13390"/>
    <cellStyle name="쉼표 [0] 4 3 2 2 16 2 4 2" xfId="38742"/>
    <cellStyle name="쉼표 [0] 4 3 2 2 16 2 5" xfId="26070"/>
    <cellStyle name="쉼표 [0] 4 3 2 2 16 3" xfId="3824"/>
    <cellStyle name="쉼표 [0] 4 3 2 2 16 3 2" xfId="10160"/>
    <cellStyle name="쉼표 [0] 4 3 2 2 16 3 2 2" xfId="22834"/>
    <cellStyle name="쉼표 [0] 4 3 2 2 16 3 2 2 2" xfId="48186"/>
    <cellStyle name="쉼표 [0] 4 3 2 2 16 3 2 3" xfId="35514"/>
    <cellStyle name="쉼표 [0] 4 3 2 2 16 3 3" xfId="16498"/>
    <cellStyle name="쉼표 [0] 4 3 2 2 16 3 3 2" xfId="41850"/>
    <cellStyle name="쉼표 [0] 4 3 2 2 16 3 4" xfId="29178"/>
    <cellStyle name="쉼표 [0] 4 3 2 2 16 4" xfId="7051"/>
    <cellStyle name="쉼표 [0] 4 3 2 2 16 4 2" xfId="19725"/>
    <cellStyle name="쉼표 [0] 4 3 2 2 16 4 2 2" xfId="45077"/>
    <cellStyle name="쉼표 [0] 4 3 2 2 16 4 3" xfId="32405"/>
    <cellStyle name="쉼표 [0] 4 3 2 2 16 5" xfId="13389"/>
    <cellStyle name="쉼표 [0] 4 3 2 2 16 5 2" xfId="38741"/>
    <cellStyle name="쉼표 [0] 4 3 2 2 16 6" xfId="26069"/>
    <cellStyle name="쉼표 [0] 4 3 2 2 17" xfId="716"/>
    <cellStyle name="쉼표 [0] 4 3 2 2 17 2" xfId="717"/>
    <cellStyle name="쉼표 [0] 4 3 2 2 17 2 2" xfId="3825"/>
    <cellStyle name="쉼표 [0] 4 3 2 2 17 2 2 2" xfId="10161"/>
    <cellStyle name="쉼표 [0] 4 3 2 2 17 2 2 2 2" xfId="22835"/>
    <cellStyle name="쉼표 [0] 4 3 2 2 17 2 2 2 2 2" xfId="48187"/>
    <cellStyle name="쉼표 [0] 4 3 2 2 17 2 2 2 3" xfId="35515"/>
    <cellStyle name="쉼표 [0] 4 3 2 2 17 2 2 3" xfId="16499"/>
    <cellStyle name="쉼표 [0] 4 3 2 2 17 2 2 3 2" xfId="41851"/>
    <cellStyle name="쉼표 [0] 4 3 2 2 17 2 2 4" xfId="29179"/>
    <cellStyle name="쉼표 [0] 4 3 2 2 17 2 3" xfId="7054"/>
    <cellStyle name="쉼표 [0] 4 3 2 2 17 2 3 2" xfId="19728"/>
    <cellStyle name="쉼표 [0] 4 3 2 2 17 2 3 2 2" xfId="45080"/>
    <cellStyle name="쉼표 [0] 4 3 2 2 17 2 3 3" xfId="32408"/>
    <cellStyle name="쉼표 [0] 4 3 2 2 17 2 4" xfId="13392"/>
    <cellStyle name="쉼표 [0] 4 3 2 2 17 2 4 2" xfId="38744"/>
    <cellStyle name="쉼표 [0] 4 3 2 2 17 2 5" xfId="26072"/>
    <cellStyle name="쉼표 [0] 4 3 2 2 17 3" xfId="3826"/>
    <cellStyle name="쉼표 [0] 4 3 2 2 17 3 2" xfId="10162"/>
    <cellStyle name="쉼표 [0] 4 3 2 2 17 3 2 2" xfId="22836"/>
    <cellStyle name="쉼표 [0] 4 3 2 2 17 3 2 2 2" xfId="48188"/>
    <cellStyle name="쉼표 [0] 4 3 2 2 17 3 2 3" xfId="35516"/>
    <cellStyle name="쉼표 [0] 4 3 2 2 17 3 3" xfId="16500"/>
    <cellStyle name="쉼표 [0] 4 3 2 2 17 3 3 2" xfId="41852"/>
    <cellStyle name="쉼표 [0] 4 3 2 2 17 3 4" xfId="29180"/>
    <cellStyle name="쉼표 [0] 4 3 2 2 17 4" xfId="7053"/>
    <cellStyle name="쉼표 [0] 4 3 2 2 17 4 2" xfId="19727"/>
    <cellStyle name="쉼표 [0] 4 3 2 2 17 4 2 2" xfId="45079"/>
    <cellStyle name="쉼표 [0] 4 3 2 2 17 4 3" xfId="32407"/>
    <cellStyle name="쉼표 [0] 4 3 2 2 17 5" xfId="13391"/>
    <cellStyle name="쉼표 [0] 4 3 2 2 17 5 2" xfId="38743"/>
    <cellStyle name="쉼표 [0] 4 3 2 2 17 6" xfId="26071"/>
    <cellStyle name="쉼표 [0] 4 3 2 2 18" xfId="718"/>
    <cellStyle name="쉼표 [0] 4 3 2 2 18 2" xfId="719"/>
    <cellStyle name="쉼표 [0] 4 3 2 2 18 2 2" xfId="3827"/>
    <cellStyle name="쉼표 [0] 4 3 2 2 18 2 2 2" xfId="10163"/>
    <cellStyle name="쉼표 [0] 4 3 2 2 18 2 2 2 2" xfId="22837"/>
    <cellStyle name="쉼표 [0] 4 3 2 2 18 2 2 2 2 2" xfId="48189"/>
    <cellStyle name="쉼표 [0] 4 3 2 2 18 2 2 2 3" xfId="35517"/>
    <cellStyle name="쉼표 [0] 4 3 2 2 18 2 2 3" xfId="16501"/>
    <cellStyle name="쉼표 [0] 4 3 2 2 18 2 2 3 2" xfId="41853"/>
    <cellStyle name="쉼표 [0] 4 3 2 2 18 2 2 4" xfId="29181"/>
    <cellStyle name="쉼표 [0] 4 3 2 2 18 2 3" xfId="7056"/>
    <cellStyle name="쉼표 [0] 4 3 2 2 18 2 3 2" xfId="19730"/>
    <cellStyle name="쉼표 [0] 4 3 2 2 18 2 3 2 2" xfId="45082"/>
    <cellStyle name="쉼표 [0] 4 3 2 2 18 2 3 3" xfId="32410"/>
    <cellStyle name="쉼표 [0] 4 3 2 2 18 2 4" xfId="13394"/>
    <cellStyle name="쉼표 [0] 4 3 2 2 18 2 4 2" xfId="38746"/>
    <cellStyle name="쉼표 [0] 4 3 2 2 18 2 5" xfId="26074"/>
    <cellStyle name="쉼표 [0] 4 3 2 2 18 3" xfId="3828"/>
    <cellStyle name="쉼표 [0] 4 3 2 2 18 3 2" xfId="10164"/>
    <cellStyle name="쉼표 [0] 4 3 2 2 18 3 2 2" xfId="22838"/>
    <cellStyle name="쉼표 [0] 4 3 2 2 18 3 2 2 2" xfId="48190"/>
    <cellStyle name="쉼표 [0] 4 3 2 2 18 3 2 3" xfId="35518"/>
    <cellStyle name="쉼표 [0] 4 3 2 2 18 3 3" xfId="16502"/>
    <cellStyle name="쉼표 [0] 4 3 2 2 18 3 3 2" xfId="41854"/>
    <cellStyle name="쉼표 [0] 4 3 2 2 18 3 4" xfId="29182"/>
    <cellStyle name="쉼표 [0] 4 3 2 2 18 4" xfId="7055"/>
    <cellStyle name="쉼표 [0] 4 3 2 2 18 4 2" xfId="19729"/>
    <cellStyle name="쉼표 [0] 4 3 2 2 18 4 2 2" xfId="45081"/>
    <cellStyle name="쉼표 [0] 4 3 2 2 18 4 3" xfId="32409"/>
    <cellStyle name="쉼표 [0] 4 3 2 2 18 5" xfId="13393"/>
    <cellStyle name="쉼표 [0] 4 3 2 2 18 5 2" xfId="38745"/>
    <cellStyle name="쉼표 [0] 4 3 2 2 18 6" xfId="26073"/>
    <cellStyle name="쉼표 [0] 4 3 2 2 19" xfId="720"/>
    <cellStyle name="쉼표 [0] 4 3 2 2 19 2" xfId="721"/>
    <cellStyle name="쉼표 [0] 4 3 2 2 19 2 2" xfId="3829"/>
    <cellStyle name="쉼표 [0] 4 3 2 2 19 2 2 2" xfId="10165"/>
    <cellStyle name="쉼표 [0] 4 3 2 2 19 2 2 2 2" xfId="22839"/>
    <cellStyle name="쉼표 [0] 4 3 2 2 19 2 2 2 2 2" xfId="48191"/>
    <cellStyle name="쉼표 [0] 4 3 2 2 19 2 2 2 3" xfId="35519"/>
    <cellStyle name="쉼표 [0] 4 3 2 2 19 2 2 3" xfId="16503"/>
    <cellStyle name="쉼표 [0] 4 3 2 2 19 2 2 3 2" xfId="41855"/>
    <cellStyle name="쉼표 [0] 4 3 2 2 19 2 2 4" xfId="29183"/>
    <cellStyle name="쉼표 [0] 4 3 2 2 19 2 3" xfId="7058"/>
    <cellStyle name="쉼표 [0] 4 3 2 2 19 2 3 2" xfId="19732"/>
    <cellStyle name="쉼표 [0] 4 3 2 2 19 2 3 2 2" xfId="45084"/>
    <cellStyle name="쉼표 [0] 4 3 2 2 19 2 3 3" xfId="32412"/>
    <cellStyle name="쉼표 [0] 4 3 2 2 19 2 4" xfId="13396"/>
    <cellStyle name="쉼표 [0] 4 3 2 2 19 2 4 2" xfId="38748"/>
    <cellStyle name="쉼표 [0] 4 3 2 2 19 2 5" xfId="26076"/>
    <cellStyle name="쉼표 [0] 4 3 2 2 19 3" xfId="3830"/>
    <cellStyle name="쉼표 [0] 4 3 2 2 19 3 2" xfId="10166"/>
    <cellStyle name="쉼표 [0] 4 3 2 2 19 3 2 2" xfId="22840"/>
    <cellStyle name="쉼표 [0] 4 3 2 2 19 3 2 2 2" xfId="48192"/>
    <cellStyle name="쉼표 [0] 4 3 2 2 19 3 2 3" xfId="35520"/>
    <cellStyle name="쉼표 [0] 4 3 2 2 19 3 3" xfId="16504"/>
    <cellStyle name="쉼표 [0] 4 3 2 2 19 3 3 2" xfId="41856"/>
    <cellStyle name="쉼표 [0] 4 3 2 2 19 3 4" xfId="29184"/>
    <cellStyle name="쉼표 [0] 4 3 2 2 19 4" xfId="7057"/>
    <cellStyle name="쉼표 [0] 4 3 2 2 19 4 2" xfId="19731"/>
    <cellStyle name="쉼표 [0] 4 3 2 2 19 4 2 2" xfId="45083"/>
    <cellStyle name="쉼표 [0] 4 3 2 2 19 4 3" xfId="32411"/>
    <cellStyle name="쉼표 [0] 4 3 2 2 19 5" xfId="13395"/>
    <cellStyle name="쉼표 [0] 4 3 2 2 19 5 2" xfId="38747"/>
    <cellStyle name="쉼표 [0] 4 3 2 2 19 6" xfId="26075"/>
    <cellStyle name="쉼표 [0] 4 3 2 2 2" xfId="722"/>
    <cellStyle name="쉼표 [0] 4 3 2 2 2 2" xfId="723"/>
    <cellStyle name="쉼표 [0] 4 3 2 2 2 2 2" xfId="3831"/>
    <cellStyle name="쉼표 [0] 4 3 2 2 2 2 2 2" xfId="10167"/>
    <cellStyle name="쉼표 [0] 4 3 2 2 2 2 2 2 2" xfId="22841"/>
    <cellStyle name="쉼표 [0] 4 3 2 2 2 2 2 2 2 2" xfId="48193"/>
    <cellStyle name="쉼표 [0] 4 3 2 2 2 2 2 2 3" xfId="35521"/>
    <cellStyle name="쉼표 [0] 4 3 2 2 2 2 2 3" xfId="16505"/>
    <cellStyle name="쉼표 [0] 4 3 2 2 2 2 2 3 2" xfId="41857"/>
    <cellStyle name="쉼표 [0] 4 3 2 2 2 2 2 4" xfId="29185"/>
    <cellStyle name="쉼표 [0] 4 3 2 2 2 2 3" xfId="7060"/>
    <cellStyle name="쉼표 [0] 4 3 2 2 2 2 3 2" xfId="19734"/>
    <cellStyle name="쉼표 [0] 4 3 2 2 2 2 3 2 2" xfId="45086"/>
    <cellStyle name="쉼표 [0] 4 3 2 2 2 2 3 3" xfId="32414"/>
    <cellStyle name="쉼표 [0] 4 3 2 2 2 2 4" xfId="13398"/>
    <cellStyle name="쉼표 [0] 4 3 2 2 2 2 4 2" xfId="38750"/>
    <cellStyle name="쉼표 [0] 4 3 2 2 2 2 5" xfId="26078"/>
    <cellStyle name="쉼표 [0] 4 3 2 2 2 3" xfId="3832"/>
    <cellStyle name="쉼표 [0] 4 3 2 2 2 3 2" xfId="10168"/>
    <cellStyle name="쉼표 [0] 4 3 2 2 2 3 2 2" xfId="22842"/>
    <cellStyle name="쉼표 [0] 4 3 2 2 2 3 2 2 2" xfId="48194"/>
    <cellStyle name="쉼표 [0] 4 3 2 2 2 3 2 3" xfId="35522"/>
    <cellStyle name="쉼표 [0] 4 3 2 2 2 3 3" xfId="16506"/>
    <cellStyle name="쉼표 [0] 4 3 2 2 2 3 3 2" xfId="41858"/>
    <cellStyle name="쉼표 [0] 4 3 2 2 2 3 4" xfId="29186"/>
    <cellStyle name="쉼표 [0] 4 3 2 2 2 4" xfId="7059"/>
    <cellStyle name="쉼표 [0] 4 3 2 2 2 4 2" xfId="19733"/>
    <cellStyle name="쉼표 [0] 4 3 2 2 2 4 2 2" xfId="45085"/>
    <cellStyle name="쉼표 [0] 4 3 2 2 2 4 3" xfId="32413"/>
    <cellStyle name="쉼표 [0] 4 3 2 2 2 5" xfId="13397"/>
    <cellStyle name="쉼표 [0] 4 3 2 2 2 5 2" xfId="38749"/>
    <cellStyle name="쉼표 [0] 4 3 2 2 2 6" xfId="26077"/>
    <cellStyle name="쉼표 [0] 4 3 2 2 20" xfId="724"/>
    <cellStyle name="쉼표 [0] 4 3 2 2 20 2" xfId="725"/>
    <cellStyle name="쉼표 [0] 4 3 2 2 20 2 2" xfId="3833"/>
    <cellStyle name="쉼표 [0] 4 3 2 2 20 2 2 2" xfId="10169"/>
    <cellStyle name="쉼표 [0] 4 3 2 2 20 2 2 2 2" xfId="22843"/>
    <cellStyle name="쉼표 [0] 4 3 2 2 20 2 2 2 2 2" xfId="48195"/>
    <cellStyle name="쉼표 [0] 4 3 2 2 20 2 2 2 3" xfId="35523"/>
    <cellStyle name="쉼표 [0] 4 3 2 2 20 2 2 3" xfId="16507"/>
    <cellStyle name="쉼표 [0] 4 3 2 2 20 2 2 3 2" xfId="41859"/>
    <cellStyle name="쉼표 [0] 4 3 2 2 20 2 2 4" xfId="29187"/>
    <cellStyle name="쉼표 [0] 4 3 2 2 20 2 3" xfId="7062"/>
    <cellStyle name="쉼표 [0] 4 3 2 2 20 2 3 2" xfId="19736"/>
    <cellStyle name="쉼표 [0] 4 3 2 2 20 2 3 2 2" xfId="45088"/>
    <cellStyle name="쉼표 [0] 4 3 2 2 20 2 3 3" xfId="32416"/>
    <cellStyle name="쉼표 [0] 4 3 2 2 20 2 4" xfId="13400"/>
    <cellStyle name="쉼표 [0] 4 3 2 2 20 2 4 2" xfId="38752"/>
    <cellStyle name="쉼표 [0] 4 3 2 2 20 2 5" xfId="26080"/>
    <cellStyle name="쉼표 [0] 4 3 2 2 20 3" xfId="3834"/>
    <cellStyle name="쉼표 [0] 4 3 2 2 20 3 2" xfId="10170"/>
    <cellStyle name="쉼표 [0] 4 3 2 2 20 3 2 2" xfId="22844"/>
    <cellStyle name="쉼표 [0] 4 3 2 2 20 3 2 2 2" xfId="48196"/>
    <cellStyle name="쉼표 [0] 4 3 2 2 20 3 2 3" xfId="35524"/>
    <cellStyle name="쉼표 [0] 4 3 2 2 20 3 3" xfId="16508"/>
    <cellStyle name="쉼표 [0] 4 3 2 2 20 3 3 2" xfId="41860"/>
    <cellStyle name="쉼표 [0] 4 3 2 2 20 3 4" xfId="29188"/>
    <cellStyle name="쉼표 [0] 4 3 2 2 20 4" xfId="7061"/>
    <cellStyle name="쉼표 [0] 4 3 2 2 20 4 2" xfId="19735"/>
    <cellStyle name="쉼표 [0] 4 3 2 2 20 4 2 2" xfId="45087"/>
    <cellStyle name="쉼표 [0] 4 3 2 2 20 4 3" xfId="32415"/>
    <cellStyle name="쉼표 [0] 4 3 2 2 20 5" xfId="13399"/>
    <cellStyle name="쉼표 [0] 4 3 2 2 20 5 2" xfId="38751"/>
    <cellStyle name="쉼표 [0] 4 3 2 2 20 6" xfId="26079"/>
    <cellStyle name="쉼표 [0] 4 3 2 2 21" xfId="726"/>
    <cellStyle name="쉼표 [0] 4 3 2 2 21 2" xfId="727"/>
    <cellStyle name="쉼표 [0] 4 3 2 2 21 2 2" xfId="3835"/>
    <cellStyle name="쉼표 [0] 4 3 2 2 21 2 2 2" xfId="10171"/>
    <cellStyle name="쉼표 [0] 4 3 2 2 21 2 2 2 2" xfId="22845"/>
    <cellStyle name="쉼표 [0] 4 3 2 2 21 2 2 2 2 2" xfId="48197"/>
    <cellStyle name="쉼표 [0] 4 3 2 2 21 2 2 2 3" xfId="35525"/>
    <cellStyle name="쉼표 [0] 4 3 2 2 21 2 2 3" xfId="16509"/>
    <cellStyle name="쉼표 [0] 4 3 2 2 21 2 2 3 2" xfId="41861"/>
    <cellStyle name="쉼표 [0] 4 3 2 2 21 2 2 4" xfId="29189"/>
    <cellStyle name="쉼표 [0] 4 3 2 2 21 2 3" xfId="7064"/>
    <cellStyle name="쉼표 [0] 4 3 2 2 21 2 3 2" xfId="19738"/>
    <cellStyle name="쉼표 [0] 4 3 2 2 21 2 3 2 2" xfId="45090"/>
    <cellStyle name="쉼표 [0] 4 3 2 2 21 2 3 3" xfId="32418"/>
    <cellStyle name="쉼표 [0] 4 3 2 2 21 2 4" xfId="13402"/>
    <cellStyle name="쉼표 [0] 4 3 2 2 21 2 4 2" xfId="38754"/>
    <cellStyle name="쉼표 [0] 4 3 2 2 21 2 5" xfId="26082"/>
    <cellStyle name="쉼표 [0] 4 3 2 2 21 3" xfId="3836"/>
    <cellStyle name="쉼표 [0] 4 3 2 2 21 3 2" xfId="10172"/>
    <cellStyle name="쉼표 [0] 4 3 2 2 21 3 2 2" xfId="22846"/>
    <cellStyle name="쉼표 [0] 4 3 2 2 21 3 2 2 2" xfId="48198"/>
    <cellStyle name="쉼표 [0] 4 3 2 2 21 3 2 3" xfId="35526"/>
    <cellStyle name="쉼표 [0] 4 3 2 2 21 3 3" xfId="16510"/>
    <cellStyle name="쉼표 [0] 4 3 2 2 21 3 3 2" xfId="41862"/>
    <cellStyle name="쉼표 [0] 4 3 2 2 21 3 4" xfId="29190"/>
    <cellStyle name="쉼표 [0] 4 3 2 2 21 4" xfId="7063"/>
    <cellStyle name="쉼표 [0] 4 3 2 2 21 4 2" xfId="19737"/>
    <cellStyle name="쉼표 [0] 4 3 2 2 21 4 2 2" xfId="45089"/>
    <cellStyle name="쉼표 [0] 4 3 2 2 21 4 3" xfId="32417"/>
    <cellStyle name="쉼표 [0] 4 3 2 2 21 5" xfId="13401"/>
    <cellStyle name="쉼표 [0] 4 3 2 2 21 5 2" xfId="38753"/>
    <cellStyle name="쉼표 [0] 4 3 2 2 21 6" xfId="26081"/>
    <cellStyle name="쉼표 [0] 4 3 2 2 22" xfId="728"/>
    <cellStyle name="쉼표 [0] 4 3 2 2 22 2" xfId="729"/>
    <cellStyle name="쉼표 [0] 4 3 2 2 22 2 2" xfId="3837"/>
    <cellStyle name="쉼표 [0] 4 3 2 2 22 2 2 2" xfId="10173"/>
    <cellStyle name="쉼표 [0] 4 3 2 2 22 2 2 2 2" xfId="22847"/>
    <cellStyle name="쉼표 [0] 4 3 2 2 22 2 2 2 2 2" xfId="48199"/>
    <cellStyle name="쉼표 [0] 4 3 2 2 22 2 2 2 3" xfId="35527"/>
    <cellStyle name="쉼표 [0] 4 3 2 2 22 2 2 3" xfId="16511"/>
    <cellStyle name="쉼표 [0] 4 3 2 2 22 2 2 3 2" xfId="41863"/>
    <cellStyle name="쉼표 [0] 4 3 2 2 22 2 2 4" xfId="29191"/>
    <cellStyle name="쉼표 [0] 4 3 2 2 22 2 3" xfId="7066"/>
    <cellStyle name="쉼표 [0] 4 3 2 2 22 2 3 2" xfId="19740"/>
    <cellStyle name="쉼표 [0] 4 3 2 2 22 2 3 2 2" xfId="45092"/>
    <cellStyle name="쉼표 [0] 4 3 2 2 22 2 3 3" xfId="32420"/>
    <cellStyle name="쉼표 [0] 4 3 2 2 22 2 4" xfId="13404"/>
    <cellStyle name="쉼표 [0] 4 3 2 2 22 2 4 2" xfId="38756"/>
    <cellStyle name="쉼표 [0] 4 3 2 2 22 2 5" xfId="26084"/>
    <cellStyle name="쉼표 [0] 4 3 2 2 22 3" xfId="3838"/>
    <cellStyle name="쉼표 [0] 4 3 2 2 22 3 2" xfId="10174"/>
    <cellStyle name="쉼표 [0] 4 3 2 2 22 3 2 2" xfId="22848"/>
    <cellStyle name="쉼표 [0] 4 3 2 2 22 3 2 2 2" xfId="48200"/>
    <cellStyle name="쉼표 [0] 4 3 2 2 22 3 2 3" xfId="35528"/>
    <cellStyle name="쉼표 [0] 4 3 2 2 22 3 3" xfId="16512"/>
    <cellStyle name="쉼표 [0] 4 3 2 2 22 3 3 2" xfId="41864"/>
    <cellStyle name="쉼표 [0] 4 3 2 2 22 3 4" xfId="29192"/>
    <cellStyle name="쉼표 [0] 4 3 2 2 22 4" xfId="7065"/>
    <cellStyle name="쉼표 [0] 4 3 2 2 22 4 2" xfId="19739"/>
    <cellStyle name="쉼표 [0] 4 3 2 2 22 4 2 2" xfId="45091"/>
    <cellStyle name="쉼표 [0] 4 3 2 2 22 4 3" xfId="32419"/>
    <cellStyle name="쉼표 [0] 4 3 2 2 22 5" xfId="13403"/>
    <cellStyle name="쉼표 [0] 4 3 2 2 22 5 2" xfId="38755"/>
    <cellStyle name="쉼표 [0] 4 3 2 2 22 6" xfId="26083"/>
    <cellStyle name="쉼표 [0] 4 3 2 2 23" xfId="730"/>
    <cellStyle name="쉼표 [0] 4 3 2 2 23 2" xfId="731"/>
    <cellStyle name="쉼표 [0] 4 3 2 2 23 2 2" xfId="3839"/>
    <cellStyle name="쉼표 [0] 4 3 2 2 23 2 2 2" xfId="10175"/>
    <cellStyle name="쉼표 [0] 4 3 2 2 23 2 2 2 2" xfId="22849"/>
    <cellStyle name="쉼표 [0] 4 3 2 2 23 2 2 2 2 2" xfId="48201"/>
    <cellStyle name="쉼표 [0] 4 3 2 2 23 2 2 2 3" xfId="35529"/>
    <cellStyle name="쉼표 [0] 4 3 2 2 23 2 2 3" xfId="16513"/>
    <cellStyle name="쉼표 [0] 4 3 2 2 23 2 2 3 2" xfId="41865"/>
    <cellStyle name="쉼표 [0] 4 3 2 2 23 2 2 4" xfId="29193"/>
    <cellStyle name="쉼표 [0] 4 3 2 2 23 2 3" xfId="7068"/>
    <cellStyle name="쉼표 [0] 4 3 2 2 23 2 3 2" xfId="19742"/>
    <cellStyle name="쉼표 [0] 4 3 2 2 23 2 3 2 2" xfId="45094"/>
    <cellStyle name="쉼표 [0] 4 3 2 2 23 2 3 3" xfId="32422"/>
    <cellStyle name="쉼표 [0] 4 3 2 2 23 2 4" xfId="13406"/>
    <cellStyle name="쉼표 [0] 4 3 2 2 23 2 4 2" xfId="38758"/>
    <cellStyle name="쉼표 [0] 4 3 2 2 23 2 5" xfId="26086"/>
    <cellStyle name="쉼표 [0] 4 3 2 2 23 3" xfId="3840"/>
    <cellStyle name="쉼표 [0] 4 3 2 2 23 3 2" xfId="10176"/>
    <cellStyle name="쉼표 [0] 4 3 2 2 23 3 2 2" xfId="22850"/>
    <cellStyle name="쉼표 [0] 4 3 2 2 23 3 2 2 2" xfId="48202"/>
    <cellStyle name="쉼표 [0] 4 3 2 2 23 3 2 3" xfId="35530"/>
    <cellStyle name="쉼표 [0] 4 3 2 2 23 3 3" xfId="16514"/>
    <cellStyle name="쉼표 [0] 4 3 2 2 23 3 3 2" xfId="41866"/>
    <cellStyle name="쉼표 [0] 4 3 2 2 23 3 4" xfId="29194"/>
    <cellStyle name="쉼표 [0] 4 3 2 2 23 4" xfId="7067"/>
    <cellStyle name="쉼표 [0] 4 3 2 2 23 4 2" xfId="19741"/>
    <cellStyle name="쉼표 [0] 4 3 2 2 23 4 2 2" xfId="45093"/>
    <cellStyle name="쉼표 [0] 4 3 2 2 23 4 3" xfId="32421"/>
    <cellStyle name="쉼표 [0] 4 3 2 2 23 5" xfId="13405"/>
    <cellStyle name="쉼표 [0] 4 3 2 2 23 5 2" xfId="38757"/>
    <cellStyle name="쉼표 [0] 4 3 2 2 23 6" xfId="26085"/>
    <cellStyle name="쉼표 [0] 4 3 2 2 24" xfId="732"/>
    <cellStyle name="쉼표 [0] 4 3 2 2 24 2" xfId="733"/>
    <cellStyle name="쉼표 [0] 4 3 2 2 24 2 2" xfId="3841"/>
    <cellStyle name="쉼표 [0] 4 3 2 2 24 2 2 2" xfId="10177"/>
    <cellStyle name="쉼표 [0] 4 3 2 2 24 2 2 2 2" xfId="22851"/>
    <cellStyle name="쉼표 [0] 4 3 2 2 24 2 2 2 2 2" xfId="48203"/>
    <cellStyle name="쉼표 [0] 4 3 2 2 24 2 2 2 3" xfId="35531"/>
    <cellStyle name="쉼표 [0] 4 3 2 2 24 2 2 3" xfId="16515"/>
    <cellStyle name="쉼표 [0] 4 3 2 2 24 2 2 3 2" xfId="41867"/>
    <cellStyle name="쉼표 [0] 4 3 2 2 24 2 2 4" xfId="29195"/>
    <cellStyle name="쉼표 [0] 4 3 2 2 24 2 3" xfId="7070"/>
    <cellStyle name="쉼표 [0] 4 3 2 2 24 2 3 2" xfId="19744"/>
    <cellStyle name="쉼표 [0] 4 3 2 2 24 2 3 2 2" xfId="45096"/>
    <cellStyle name="쉼표 [0] 4 3 2 2 24 2 3 3" xfId="32424"/>
    <cellStyle name="쉼표 [0] 4 3 2 2 24 2 4" xfId="13408"/>
    <cellStyle name="쉼표 [0] 4 3 2 2 24 2 4 2" xfId="38760"/>
    <cellStyle name="쉼표 [0] 4 3 2 2 24 2 5" xfId="26088"/>
    <cellStyle name="쉼표 [0] 4 3 2 2 24 3" xfId="3842"/>
    <cellStyle name="쉼표 [0] 4 3 2 2 24 3 2" xfId="10178"/>
    <cellStyle name="쉼표 [0] 4 3 2 2 24 3 2 2" xfId="22852"/>
    <cellStyle name="쉼표 [0] 4 3 2 2 24 3 2 2 2" xfId="48204"/>
    <cellStyle name="쉼표 [0] 4 3 2 2 24 3 2 3" xfId="35532"/>
    <cellStyle name="쉼표 [0] 4 3 2 2 24 3 3" xfId="16516"/>
    <cellStyle name="쉼표 [0] 4 3 2 2 24 3 3 2" xfId="41868"/>
    <cellStyle name="쉼표 [0] 4 3 2 2 24 3 4" xfId="29196"/>
    <cellStyle name="쉼표 [0] 4 3 2 2 24 4" xfId="7069"/>
    <cellStyle name="쉼표 [0] 4 3 2 2 24 4 2" xfId="19743"/>
    <cellStyle name="쉼표 [0] 4 3 2 2 24 4 2 2" xfId="45095"/>
    <cellStyle name="쉼표 [0] 4 3 2 2 24 4 3" xfId="32423"/>
    <cellStyle name="쉼표 [0] 4 3 2 2 24 5" xfId="13407"/>
    <cellStyle name="쉼표 [0] 4 3 2 2 24 5 2" xfId="38759"/>
    <cellStyle name="쉼표 [0] 4 3 2 2 24 6" xfId="26087"/>
    <cellStyle name="쉼표 [0] 4 3 2 2 25" xfId="734"/>
    <cellStyle name="쉼표 [0] 4 3 2 2 25 2" xfId="735"/>
    <cellStyle name="쉼표 [0] 4 3 2 2 25 2 2" xfId="3843"/>
    <cellStyle name="쉼표 [0] 4 3 2 2 25 2 2 2" xfId="10179"/>
    <cellStyle name="쉼표 [0] 4 3 2 2 25 2 2 2 2" xfId="22853"/>
    <cellStyle name="쉼표 [0] 4 3 2 2 25 2 2 2 2 2" xfId="48205"/>
    <cellStyle name="쉼표 [0] 4 3 2 2 25 2 2 2 3" xfId="35533"/>
    <cellStyle name="쉼표 [0] 4 3 2 2 25 2 2 3" xfId="16517"/>
    <cellStyle name="쉼표 [0] 4 3 2 2 25 2 2 3 2" xfId="41869"/>
    <cellStyle name="쉼표 [0] 4 3 2 2 25 2 2 4" xfId="29197"/>
    <cellStyle name="쉼표 [0] 4 3 2 2 25 2 3" xfId="7072"/>
    <cellStyle name="쉼표 [0] 4 3 2 2 25 2 3 2" xfId="19746"/>
    <cellStyle name="쉼표 [0] 4 3 2 2 25 2 3 2 2" xfId="45098"/>
    <cellStyle name="쉼표 [0] 4 3 2 2 25 2 3 3" xfId="32426"/>
    <cellStyle name="쉼표 [0] 4 3 2 2 25 2 4" xfId="13410"/>
    <cellStyle name="쉼표 [0] 4 3 2 2 25 2 4 2" xfId="38762"/>
    <cellStyle name="쉼표 [0] 4 3 2 2 25 2 5" xfId="26090"/>
    <cellStyle name="쉼표 [0] 4 3 2 2 25 3" xfId="3844"/>
    <cellStyle name="쉼표 [0] 4 3 2 2 25 3 2" xfId="10180"/>
    <cellStyle name="쉼표 [0] 4 3 2 2 25 3 2 2" xfId="22854"/>
    <cellStyle name="쉼표 [0] 4 3 2 2 25 3 2 2 2" xfId="48206"/>
    <cellStyle name="쉼표 [0] 4 3 2 2 25 3 2 3" xfId="35534"/>
    <cellStyle name="쉼표 [0] 4 3 2 2 25 3 3" xfId="16518"/>
    <cellStyle name="쉼표 [0] 4 3 2 2 25 3 3 2" xfId="41870"/>
    <cellStyle name="쉼표 [0] 4 3 2 2 25 3 4" xfId="29198"/>
    <cellStyle name="쉼표 [0] 4 3 2 2 25 4" xfId="7071"/>
    <cellStyle name="쉼표 [0] 4 3 2 2 25 4 2" xfId="19745"/>
    <cellStyle name="쉼표 [0] 4 3 2 2 25 4 2 2" xfId="45097"/>
    <cellStyle name="쉼표 [0] 4 3 2 2 25 4 3" xfId="32425"/>
    <cellStyle name="쉼표 [0] 4 3 2 2 25 5" xfId="13409"/>
    <cellStyle name="쉼표 [0] 4 3 2 2 25 5 2" xfId="38761"/>
    <cellStyle name="쉼표 [0] 4 3 2 2 25 6" xfId="26089"/>
    <cellStyle name="쉼표 [0] 4 3 2 2 26" xfId="736"/>
    <cellStyle name="쉼표 [0] 4 3 2 2 26 2" xfId="737"/>
    <cellStyle name="쉼표 [0] 4 3 2 2 26 2 2" xfId="3845"/>
    <cellStyle name="쉼표 [0] 4 3 2 2 26 2 2 2" xfId="10181"/>
    <cellStyle name="쉼표 [0] 4 3 2 2 26 2 2 2 2" xfId="22855"/>
    <cellStyle name="쉼표 [0] 4 3 2 2 26 2 2 2 2 2" xfId="48207"/>
    <cellStyle name="쉼표 [0] 4 3 2 2 26 2 2 2 3" xfId="35535"/>
    <cellStyle name="쉼표 [0] 4 3 2 2 26 2 2 3" xfId="16519"/>
    <cellStyle name="쉼표 [0] 4 3 2 2 26 2 2 3 2" xfId="41871"/>
    <cellStyle name="쉼표 [0] 4 3 2 2 26 2 2 4" xfId="29199"/>
    <cellStyle name="쉼표 [0] 4 3 2 2 26 2 3" xfId="7074"/>
    <cellStyle name="쉼표 [0] 4 3 2 2 26 2 3 2" xfId="19748"/>
    <cellStyle name="쉼표 [0] 4 3 2 2 26 2 3 2 2" xfId="45100"/>
    <cellStyle name="쉼표 [0] 4 3 2 2 26 2 3 3" xfId="32428"/>
    <cellStyle name="쉼표 [0] 4 3 2 2 26 2 4" xfId="13412"/>
    <cellStyle name="쉼표 [0] 4 3 2 2 26 2 4 2" xfId="38764"/>
    <cellStyle name="쉼표 [0] 4 3 2 2 26 2 5" xfId="26092"/>
    <cellStyle name="쉼표 [0] 4 3 2 2 26 3" xfId="3846"/>
    <cellStyle name="쉼표 [0] 4 3 2 2 26 3 2" xfId="10182"/>
    <cellStyle name="쉼표 [0] 4 3 2 2 26 3 2 2" xfId="22856"/>
    <cellStyle name="쉼표 [0] 4 3 2 2 26 3 2 2 2" xfId="48208"/>
    <cellStyle name="쉼표 [0] 4 3 2 2 26 3 2 3" xfId="35536"/>
    <cellStyle name="쉼표 [0] 4 3 2 2 26 3 3" xfId="16520"/>
    <cellStyle name="쉼표 [0] 4 3 2 2 26 3 3 2" xfId="41872"/>
    <cellStyle name="쉼표 [0] 4 3 2 2 26 3 4" xfId="29200"/>
    <cellStyle name="쉼표 [0] 4 3 2 2 26 4" xfId="7073"/>
    <cellStyle name="쉼표 [0] 4 3 2 2 26 4 2" xfId="19747"/>
    <cellStyle name="쉼표 [0] 4 3 2 2 26 4 2 2" xfId="45099"/>
    <cellStyle name="쉼표 [0] 4 3 2 2 26 4 3" xfId="32427"/>
    <cellStyle name="쉼표 [0] 4 3 2 2 26 5" xfId="13411"/>
    <cellStyle name="쉼표 [0] 4 3 2 2 26 5 2" xfId="38763"/>
    <cellStyle name="쉼표 [0] 4 3 2 2 26 6" xfId="26091"/>
    <cellStyle name="쉼표 [0] 4 3 2 2 27" xfId="738"/>
    <cellStyle name="쉼표 [0] 4 3 2 2 27 2" xfId="739"/>
    <cellStyle name="쉼표 [0] 4 3 2 2 27 2 2" xfId="3847"/>
    <cellStyle name="쉼표 [0] 4 3 2 2 27 2 2 2" xfId="10183"/>
    <cellStyle name="쉼표 [0] 4 3 2 2 27 2 2 2 2" xfId="22857"/>
    <cellStyle name="쉼표 [0] 4 3 2 2 27 2 2 2 2 2" xfId="48209"/>
    <cellStyle name="쉼표 [0] 4 3 2 2 27 2 2 2 3" xfId="35537"/>
    <cellStyle name="쉼표 [0] 4 3 2 2 27 2 2 3" xfId="16521"/>
    <cellStyle name="쉼표 [0] 4 3 2 2 27 2 2 3 2" xfId="41873"/>
    <cellStyle name="쉼표 [0] 4 3 2 2 27 2 2 4" xfId="29201"/>
    <cellStyle name="쉼표 [0] 4 3 2 2 27 2 3" xfId="7076"/>
    <cellStyle name="쉼표 [0] 4 3 2 2 27 2 3 2" xfId="19750"/>
    <cellStyle name="쉼표 [0] 4 3 2 2 27 2 3 2 2" xfId="45102"/>
    <cellStyle name="쉼표 [0] 4 3 2 2 27 2 3 3" xfId="32430"/>
    <cellStyle name="쉼표 [0] 4 3 2 2 27 2 4" xfId="13414"/>
    <cellStyle name="쉼표 [0] 4 3 2 2 27 2 4 2" xfId="38766"/>
    <cellStyle name="쉼표 [0] 4 3 2 2 27 2 5" xfId="26094"/>
    <cellStyle name="쉼표 [0] 4 3 2 2 27 3" xfId="3848"/>
    <cellStyle name="쉼표 [0] 4 3 2 2 27 3 2" xfId="10184"/>
    <cellStyle name="쉼표 [0] 4 3 2 2 27 3 2 2" xfId="22858"/>
    <cellStyle name="쉼표 [0] 4 3 2 2 27 3 2 2 2" xfId="48210"/>
    <cellStyle name="쉼표 [0] 4 3 2 2 27 3 2 3" xfId="35538"/>
    <cellStyle name="쉼표 [0] 4 3 2 2 27 3 3" xfId="16522"/>
    <cellStyle name="쉼표 [0] 4 3 2 2 27 3 3 2" xfId="41874"/>
    <cellStyle name="쉼표 [0] 4 3 2 2 27 3 4" xfId="29202"/>
    <cellStyle name="쉼표 [0] 4 3 2 2 27 4" xfId="7075"/>
    <cellStyle name="쉼표 [0] 4 3 2 2 27 4 2" xfId="19749"/>
    <cellStyle name="쉼표 [0] 4 3 2 2 27 4 2 2" xfId="45101"/>
    <cellStyle name="쉼표 [0] 4 3 2 2 27 4 3" xfId="32429"/>
    <cellStyle name="쉼표 [0] 4 3 2 2 27 5" xfId="13413"/>
    <cellStyle name="쉼표 [0] 4 3 2 2 27 5 2" xfId="38765"/>
    <cellStyle name="쉼표 [0] 4 3 2 2 27 6" xfId="26093"/>
    <cellStyle name="쉼표 [0] 4 3 2 2 28" xfId="740"/>
    <cellStyle name="쉼표 [0] 4 3 2 2 28 2" xfId="741"/>
    <cellStyle name="쉼표 [0] 4 3 2 2 28 2 2" xfId="3849"/>
    <cellStyle name="쉼표 [0] 4 3 2 2 28 2 2 2" xfId="10185"/>
    <cellStyle name="쉼표 [0] 4 3 2 2 28 2 2 2 2" xfId="22859"/>
    <cellStyle name="쉼표 [0] 4 3 2 2 28 2 2 2 2 2" xfId="48211"/>
    <cellStyle name="쉼표 [0] 4 3 2 2 28 2 2 2 3" xfId="35539"/>
    <cellStyle name="쉼표 [0] 4 3 2 2 28 2 2 3" xfId="16523"/>
    <cellStyle name="쉼표 [0] 4 3 2 2 28 2 2 3 2" xfId="41875"/>
    <cellStyle name="쉼표 [0] 4 3 2 2 28 2 2 4" xfId="29203"/>
    <cellStyle name="쉼표 [0] 4 3 2 2 28 2 3" xfId="7078"/>
    <cellStyle name="쉼표 [0] 4 3 2 2 28 2 3 2" xfId="19752"/>
    <cellStyle name="쉼표 [0] 4 3 2 2 28 2 3 2 2" xfId="45104"/>
    <cellStyle name="쉼표 [0] 4 3 2 2 28 2 3 3" xfId="32432"/>
    <cellStyle name="쉼표 [0] 4 3 2 2 28 2 4" xfId="13416"/>
    <cellStyle name="쉼표 [0] 4 3 2 2 28 2 4 2" xfId="38768"/>
    <cellStyle name="쉼표 [0] 4 3 2 2 28 2 5" xfId="26096"/>
    <cellStyle name="쉼표 [0] 4 3 2 2 28 3" xfId="3850"/>
    <cellStyle name="쉼표 [0] 4 3 2 2 28 3 2" xfId="10186"/>
    <cellStyle name="쉼표 [0] 4 3 2 2 28 3 2 2" xfId="22860"/>
    <cellStyle name="쉼표 [0] 4 3 2 2 28 3 2 2 2" xfId="48212"/>
    <cellStyle name="쉼표 [0] 4 3 2 2 28 3 2 3" xfId="35540"/>
    <cellStyle name="쉼표 [0] 4 3 2 2 28 3 3" xfId="16524"/>
    <cellStyle name="쉼표 [0] 4 3 2 2 28 3 3 2" xfId="41876"/>
    <cellStyle name="쉼표 [0] 4 3 2 2 28 3 4" xfId="29204"/>
    <cellStyle name="쉼표 [0] 4 3 2 2 28 4" xfId="7077"/>
    <cellStyle name="쉼표 [0] 4 3 2 2 28 4 2" xfId="19751"/>
    <cellStyle name="쉼표 [0] 4 3 2 2 28 4 2 2" xfId="45103"/>
    <cellStyle name="쉼표 [0] 4 3 2 2 28 4 3" xfId="32431"/>
    <cellStyle name="쉼표 [0] 4 3 2 2 28 5" xfId="13415"/>
    <cellStyle name="쉼표 [0] 4 3 2 2 28 5 2" xfId="38767"/>
    <cellStyle name="쉼표 [0] 4 3 2 2 28 6" xfId="26095"/>
    <cellStyle name="쉼표 [0] 4 3 2 2 29" xfId="742"/>
    <cellStyle name="쉼표 [0] 4 3 2 2 29 2" xfId="743"/>
    <cellStyle name="쉼표 [0] 4 3 2 2 29 2 2" xfId="3851"/>
    <cellStyle name="쉼표 [0] 4 3 2 2 29 2 2 2" xfId="10187"/>
    <cellStyle name="쉼표 [0] 4 3 2 2 29 2 2 2 2" xfId="22861"/>
    <cellStyle name="쉼표 [0] 4 3 2 2 29 2 2 2 2 2" xfId="48213"/>
    <cellStyle name="쉼표 [0] 4 3 2 2 29 2 2 2 3" xfId="35541"/>
    <cellStyle name="쉼표 [0] 4 3 2 2 29 2 2 3" xfId="16525"/>
    <cellStyle name="쉼표 [0] 4 3 2 2 29 2 2 3 2" xfId="41877"/>
    <cellStyle name="쉼표 [0] 4 3 2 2 29 2 2 4" xfId="29205"/>
    <cellStyle name="쉼표 [0] 4 3 2 2 29 2 3" xfId="7080"/>
    <cellStyle name="쉼표 [0] 4 3 2 2 29 2 3 2" xfId="19754"/>
    <cellStyle name="쉼표 [0] 4 3 2 2 29 2 3 2 2" xfId="45106"/>
    <cellStyle name="쉼표 [0] 4 3 2 2 29 2 3 3" xfId="32434"/>
    <cellStyle name="쉼표 [0] 4 3 2 2 29 2 4" xfId="13418"/>
    <cellStyle name="쉼표 [0] 4 3 2 2 29 2 4 2" xfId="38770"/>
    <cellStyle name="쉼표 [0] 4 3 2 2 29 2 5" xfId="26098"/>
    <cellStyle name="쉼표 [0] 4 3 2 2 29 3" xfId="3852"/>
    <cellStyle name="쉼표 [0] 4 3 2 2 29 3 2" xfId="10188"/>
    <cellStyle name="쉼표 [0] 4 3 2 2 29 3 2 2" xfId="22862"/>
    <cellStyle name="쉼표 [0] 4 3 2 2 29 3 2 2 2" xfId="48214"/>
    <cellStyle name="쉼표 [0] 4 3 2 2 29 3 2 3" xfId="35542"/>
    <cellStyle name="쉼표 [0] 4 3 2 2 29 3 3" xfId="16526"/>
    <cellStyle name="쉼표 [0] 4 3 2 2 29 3 3 2" xfId="41878"/>
    <cellStyle name="쉼표 [0] 4 3 2 2 29 3 4" xfId="29206"/>
    <cellStyle name="쉼표 [0] 4 3 2 2 29 4" xfId="7079"/>
    <cellStyle name="쉼표 [0] 4 3 2 2 29 4 2" xfId="19753"/>
    <cellStyle name="쉼표 [0] 4 3 2 2 29 4 2 2" xfId="45105"/>
    <cellStyle name="쉼표 [0] 4 3 2 2 29 4 3" xfId="32433"/>
    <cellStyle name="쉼표 [0] 4 3 2 2 29 5" xfId="13417"/>
    <cellStyle name="쉼표 [0] 4 3 2 2 29 5 2" xfId="38769"/>
    <cellStyle name="쉼표 [0] 4 3 2 2 29 6" xfId="26097"/>
    <cellStyle name="쉼표 [0] 4 3 2 2 3" xfId="744"/>
    <cellStyle name="쉼표 [0] 4 3 2 2 3 2" xfId="745"/>
    <cellStyle name="쉼표 [0] 4 3 2 2 3 2 2" xfId="3853"/>
    <cellStyle name="쉼표 [0] 4 3 2 2 3 2 2 2" xfId="10189"/>
    <cellStyle name="쉼표 [0] 4 3 2 2 3 2 2 2 2" xfId="22863"/>
    <cellStyle name="쉼표 [0] 4 3 2 2 3 2 2 2 2 2" xfId="48215"/>
    <cellStyle name="쉼표 [0] 4 3 2 2 3 2 2 2 3" xfId="35543"/>
    <cellStyle name="쉼표 [0] 4 3 2 2 3 2 2 3" xfId="16527"/>
    <cellStyle name="쉼표 [0] 4 3 2 2 3 2 2 3 2" xfId="41879"/>
    <cellStyle name="쉼표 [0] 4 3 2 2 3 2 2 4" xfId="29207"/>
    <cellStyle name="쉼표 [0] 4 3 2 2 3 2 3" xfId="7082"/>
    <cellStyle name="쉼표 [0] 4 3 2 2 3 2 3 2" xfId="19756"/>
    <cellStyle name="쉼표 [0] 4 3 2 2 3 2 3 2 2" xfId="45108"/>
    <cellStyle name="쉼표 [0] 4 3 2 2 3 2 3 3" xfId="32436"/>
    <cellStyle name="쉼표 [0] 4 3 2 2 3 2 4" xfId="13420"/>
    <cellStyle name="쉼표 [0] 4 3 2 2 3 2 4 2" xfId="38772"/>
    <cellStyle name="쉼표 [0] 4 3 2 2 3 2 5" xfId="26100"/>
    <cellStyle name="쉼표 [0] 4 3 2 2 3 3" xfId="3854"/>
    <cellStyle name="쉼표 [0] 4 3 2 2 3 3 2" xfId="10190"/>
    <cellStyle name="쉼표 [0] 4 3 2 2 3 3 2 2" xfId="22864"/>
    <cellStyle name="쉼표 [0] 4 3 2 2 3 3 2 2 2" xfId="48216"/>
    <cellStyle name="쉼표 [0] 4 3 2 2 3 3 2 3" xfId="35544"/>
    <cellStyle name="쉼표 [0] 4 3 2 2 3 3 3" xfId="16528"/>
    <cellStyle name="쉼표 [0] 4 3 2 2 3 3 3 2" xfId="41880"/>
    <cellStyle name="쉼표 [0] 4 3 2 2 3 3 4" xfId="29208"/>
    <cellStyle name="쉼표 [0] 4 3 2 2 3 4" xfId="7081"/>
    <cellStyle name="쉼표 [0] 4 3 2 2 3 4 2" xfId="19755"/>
    <cellStyle name="쉼표 [0] 4 3 2 2 3 4 2 2" xfId="45107"/>
    <cellStyle name="쉼표 [0] 4 3 2 2 3 4 3" xfId="32435"/>
    <cellStyle name="쉼표 [0] 4 3 2 2 3 5" xfId="13419"/>
    <cellStyle name="쉼표 [0] 4 3 2 2 3 5 2" xfId="38771"/>
    <cellStyle name="쉼표 [0] 4 3 2 2 3 6" xfId="26099"/>
    <cellStyle name="쉼표 [0] 4 3 2 2 30" xfId="746"/>
    <cellStyle name="쉼표 [0] 4 3 2 2 30 2" xfId="747"/>
    <cellStyle name="쉼표 [0] 4 3 2 2 30 2 2" xfId="3855"/>
    <cellStyle name="쉼표 [0] 4 3 2 2 30 2 2 2" xfId="10191"/>
    <cellStyle name="쉼표 [0] 4 3 2 2 30 2 2 2 2" xfId="22865"/>
    <cellStyle name="쉼표 [0] 4 3 2 2 30 2 2 2 2 2" xfId="48217"/>
    <cellStyle name="쉼표 [0] 4 3 2 2 30 2 2 2 3" xfId="35545"/>
    <cellStyle name="쉼표 [0] 4 3 2 2 30 2 2 3" xfId="16529"/>
    <cellStyle name="쉼표 [0] 4 3 2 2 30 2 2 3 2" xfId="41881"/>
    <cellStyle name="쉼표 [0] 4 3 2 2 30 2 2 4" xfId="29209"/>
    <cellStyle name="쉼표 [0] 4 3 2 2 30 2 3" xfId="7084"/>
    <cellStyle name="쉼표 [0] 4 3 2 2 30 2 3 2" xfId="19758"/>
    <cellStyle name="쉼표 [0] 4 3 2 2 30 2 3 2 2" xfId="45110"/>
    <cellStyle name="쉼표 [0] 4 3 2 2 30 2 3 3" xfId="32438"/>
    <cellStyle name="쉼표 [0] 4 3 2 2 30 2 4" xfId="13422"/>
    <cellStyle name="쉼표 [0] 4 3 2 2 30 2 4 2" xfId="38774"/>
    <cellStyle name="쉼표 [0] 4 3 2 2 30 2 5" xfId="26102"/>
    <cellStyle name="쉼표 [0] 4 3 2 2 30 3" xfId="3856"/>
    <cellStyle name="쉼표 [0] 4 3 2 2 30 3 2" xfId="10192"/>
    <cellStyle name="쉼표 [0] 4 3 2 2 30 3 2 2" xfId="22866"/>
    <cellStyle name="쉼표 [0] 4 3 2 2 30 3 2 2 2" xfId="48218"/>
    <cellStyle name="쉼표 [0] 4 3 2 2 30 3 2 3" xfId="35546"/>
    <cellStyle name="쉼표 [0] 4 3 2 2 30 3 3" xfId="16530"/>
    <cellStyle name="쉼표 [0] 4 3 2 2 30 3 3 2" xfId="41882"/>
    <cellStyle name="쉼표 [0] 4 3 2 2 30 3 4" xfId="29210"/>
    <cellStyle name="쉼표 [0] 4 3 2 2 30 4" xfId="7083"/>
    <cellStyle name="쉼표 [0] 4 3 2 2 30 4 2" xfId="19757"/>
    <cellStyle name="쉼표 [0] 4 3 2 2 30 4 2 2" xfId="45109"/>
    <cellStyle name="쉼표 [0] 4 3 2 2 30 4 3" xfId="32437"/>
    <cellStyle name="쉼표 [0] 4 3 2 2 30 5" xfId="13421"/>
    <cellStyle name="쉼표 [0] 4 3 2 2 30 5 2" xfId="38773"/>
    <cellStyle name="쉼표 [0] 4 3 2 2 30 6" xfId="26101"/>
    <cellStyle name="쉼표 [0] 4 3 2 2 31" xfId="748"/>
    <cellStyle name="쉼표 [0] 4 3 2 2 31 2" xfId="749"/>
    <cellStyle name="쉼표 [0] 4 3 2 2 31 2 2" xfId="3857"/>
    <cellStyle name="쉼표 [0] 4 3 2 2 31 2 2 2" xfId="10193"/>
    <cellStyle name="쉼표 [0] 4 3 2 2 31 2 2 2 2" xfId="22867"/>
    <cellStyle name="쉼표 [0] 4 3 2 2 31 2 2 2 2 2" xfId="48219"/>
    <cellStyle name="쉼표 [0] 4 3 2 2 31 2 2 2 3" xfId="35547"/>
    <cellStyle name="쉼표 [0] 4 3 2 2 31 2 2 3" xfId="16531"/>
    <cellStyle name="쉼표 [0] 4 3 2 2 31 2 2 3 2" xfId="41883"/>
    <cellStyle name="쉼표 [0] 4 3 2 2 31 2 2 4" xfId="29211"/>
    <cellStyle name="쉼표 [0] 4 3 2 2 31 2 3" xfId="7086"/>
    <cellStyle name="쉼표 [0] 4 3 2 2 31 2 3 2" xfId="19760"/>
    <cellStyle name="쉼표 [0] 4 3 2 2 31 2 3 2 2" xfId="45112"/>
    <cellStyle name="쉼표 [0] 4 3 2 2 31 2 3 3" xfId="32440"/>
    <cellStyle name="쉼표 [0] 4 3 2 2 31 2 4" xfId="13424"/>
    <cellStyle name="쉼표 [0] 4 3 2 2 31 2 4 2" xfId="38776"/>
    <cellStyle name="쉼표 [0] 4 3 2 2 31 2 5" xfId="26104"/>
    <cellStyle name="쉼표 [0] 4 3 2 2 31 3" xfId="3858"/>
    <cellStyle name="쉼표 [0] 4 3 2 2 31 3 2" xfId="10194"/>
    <cellStyle name="쉼표 [0] 4 3 2 2 31 3 2 2" xfId="22868"/>
    <cellStyle name="쉼표 [0] 4 3 2 2 31 3 2 2 2" xfId="48220"/>
    <cellStyle name="쉼표 [0] 4 3 2 2 31 3 2 3" xfId="35548"/>
    <cellStyle name="쉼표 [0] 4 3 2 2 31 3 3" xfId="16532"/>
    <cellStyle name="쉼표 [0] 4 3 2 2 31 3 3 2" xfId="41884"/>
    <cellStyle name="쉼표 [0] 4 3 2 2 31 3 4" xfId="29212"/>
    <cellStyle name="쉼표 [0] 4 3 2 2 31 4" xfId="7085"/>
    <cellStyle name="쉼표 [0] 4 3 2 2 31 4 2" xfId="19759"/>
    <cellStyle name="쉼표 [0] 4 3 2 2 31 4 2 2" xfId="45111"/>
    <cellStyle name="쉼표 [0] 4 3 2 2 31 4 3" xfId="32439"/>
    <cellStyle name="쉼표 [0] 4 3 2 2 31 5" xfId="13423"/>
    <cellStyle name="쉼표 [0] 4 3 2 2 31 5 2" xfId="38775"/>
    <cellStyle name="쉼표 [0] 4 3 2 2 31 6" xfId="26103"/>
    <cellStyle name="쉼표 [0] 4 3 2 2 32" xfId="750"/>
    <cellStyle name="쉼표 [0] 4 3 2 2 32 2" xfId="751"/>
    <cellStyle name="쉼표 [0] 4 3 2 2 32 2 2" xfId="3859"/>
    <cellStyle name="쉼표 [0] 4 3 2 2 32 2 2 2" xfId="10195"/>
    <cellStyle name="쉼표 [0] 4 3 2 2 32 2 2 2 2" xfId="22869"/>
    <cellStyle name="쉼표 [0] 4 3 2 2 32 2 2 2 2 2" xfId="48221"/>
    <cellStyle name="쉼표 [0] 4 3 2 2 32 2 2 2 3" xfId="35549"/>
    <cellStyle name="쉼표 [0] 4 3 2 2 32 2 2 3" xfId="16533"/>
    <cellStyle name="쉼표 [0] 4 3 2 2 32 2 2 3 2" xfId="41885"/>
    <cellStyle name="쉼표 [0] 4 3 2 2 32 2 2 4" xfId="29213"/>
    <cellStyle name="쉼표 [0] 4 3 2 2 32 2 3" xfId="7088"/>
    <cellStyle name="쉼표 [0] 4 3 2 2 32 2 3 2" xfId="19762"/>
    <cellStyle name="쉼표 [0] 4 3 2 2 32 2 3 2 2" xfId="45114"/>
    <cellStyle name="쉼표 [0] 4 3 2 2 32 2 3 3" xfId="32442"/>
    <cellStyle name="쉼표 [0] 4 3 2 2 32 2 4" xfId="13426"/>
    <cellStyle name="쉼표 [0] 4 3 2 2 32 2 4 2" xfId="38778"/>
    <cellStyle name="쉼표 [0] 4 3 2 2 32 2 5" xfId="26106"/>
    <cellStyle name="쉼표 [0] 4 3 2 2 32 3" xfId="3860"/>
    <cellStyle name="쉼표 [0] 4 3 2 2 32 3 2" xfId="10196"/>
    <cellStyle name="쉼표 [0] 4 3 2 2 32 3 2 2" xfId="22870"/>
    <cellStyle name="쉼표 [0] 4 3 2 2 32 3 2 2 2" xfId="48222"/>
    <cellStyle name="쉼표 [0] 4 3 2 2 32 3 2 3" xfId="35550"/>
    <cellStyle name="쉼표 [0] 4 3 2 2 32 3 3" xfId="16534"/>
    <cellStyle name="쉼표 [0] 4 3 2 2 32 3 3 2" xfId="41886"/>
    <cellStyle name="쉼표 [0] 4 3 2 2 32 3 4" xfId="29214"/>
    <cellStyle name="쉼표 [0] 4 3 2 2 32 4" xfId="7087"/>
    <cellStyle name="쉼표 [0] 4 3 2 2 32 4 2" xfId="19761"/>
    <cellStyle name="쉼표 [0] 4 3 2 2 32 4 2 2" xfId="45113"/>
    <cellStyle name="쉼표 [0] 4 3 2 2 32 4 3" xfId="32441"/>
    <cellStyle name="쉼표 [0] 4 3 2 2 32 5" xfId="13425"/>
    <cellStyle name="쉼표 [0] 4 3 2 2 32 5 2" xfId="38777"/>
    <cellStyle name="쉼표 [0] 4 3 2 2 32 6" xfId="26105"/>
    <cellStyle name="쉼표 [0] 4 3 2 2 33" xfId="752"/>
    <cellStyle name="쉼표 [0] 4 3 2 2 33 2" xfId="753"/>
    <cellStyle name="쉼표 [0] 4 3 2 2 33 2 2" xfId="3861"/>
    <cellStyle name="쉼표 [0] 4 3 2 2 33 2 2 2" xfId="10197"/>
    <cellStyle name="쉼표 [0] 4 3 2 2 33 2 2 2 2" xfId="22871"/>
    <cellStyle name="쉼표 [0] 4 3 2 2 33 2 2 2 2 2" xfId="48223"/>
    <cellStyle name="쉼표 [0] 4 3 2 2 33 2 2 2 3" xfId="35551"/>
    <cellStyle name="쉼표 [0] 4 3 2 2 33 2 2 3" xfId="16535"/>
    <cellStyle name="쉼표 [0] 4 3 2 2 33 2 2 3 2" xfId="41887"/>
    <cellStyle name="쉼표 [0] 4 3 2 2 33 2 2 4" xfId="29215"/>
    <cellStyle name="쉼표 [0] 4 3 2 2 33 2 3" xfId="7090"/>
    <cellStyle name="쉼표 [0] 4 3 2 2 33 2 3 2" xfId="19764"/>
    <cellStyle name="쉼표 [0] 4 3 2 2 33 2 3 2 2" xfId="45116"/>
    <cellStyle name="쉼표 [0] 4 3 2 2 33 2 3 3" xfId="32444"/>
    <cellStyle name="쉼표 [0] 4 3 2 2 33 2 4" xfId="13428"/>
    <cellStyle name="쉼표 [0] 4 3 2 2 33 2 4 2" xfId="38780"/>
    <cellStyle name="쉼표 [0] 4 3 2 2 33 2 5" xfId="26108"/>
    <cellStyle name="쉼표 [0] 4 3 2 2 33 3" xfId="3862"/>
    <cellStyle name="쉼표 [0] 4 3 2 2 33 3 2" xfId="10198"/>
    <cellStyle name="쉼표 [0] 4 3 2 2 33 3 2 2" xfId="22872"/>
    <cellStyle name="쉼표 [0] 4 3 2 2 33 3 2 2 2" xfId="48224"/>
    <cellStyle name="쉼표 [0] 4 3 2 2 33 3 2 3" xfId="35552"/>
    <cellStyle name="쉼표 [0] 4 3 2 2 33 3 3" xfId="16536"/>
    <cellStyle name="쉼표 [0] 4 3 2 2 33 3 3 2" xfId="41888"/>
    <cellStyle name="쉼표 [0] 4 3 2 2 33 3 4" xfId="29216"/>
    <cellStyle name="쉼표 [0] 4 3 2 2 33 4" xfId="7089"/>
    <cellStyle name="쉼표 [0] 4 3 2 2 33 4 2" xfId="19763"/>
    <cellStyle name="쉼표 [0] 4 3 2 2 33 4 2 2" xfId="45115"/>
    <cellStyle name="쉼표 [0] 4 3 2 2 33 4 3" xfId="32443"/>
    <cellStyle name="쉼표 [0] 4 3 2 2 33 5" xfId="13427"/>
    <cellStyle name="쉼표 [0] 4 3 2 2 33 5 2" xfId="38779"/>
    <cellStyle name="쉼표 [0] 4 3 2 2 33 6" xfId="26107"/>
    <cellStyle name="쉼표 [0] 4 3 2 2 34" xfId="754"/>
    <cellStyle name="쉼표 [0] 4 3 2 2 34 2" xfId="3863"/>
    <cellStyle name="쉼표 [0] 4 3 2 2 34 2 2" xfId="10199"/>
    <cellStyle name="쉼표 [0] 4 3 2 2 34 2 2 2" xfId="22873"/>
    <cellStyle name="쉼표 [0] 4 3 2 2 34 2 2 2 2" xfId="48225"/>
    <cellStyle name="쉼표 [0] 4 3 2 2 34 2 2 3" xfId="35553"/>
    <cellStyle name="쉼표 [0] 4 3 2 2 34 2 3" xfId="16537"/>
    <cellStyle name="쉼표 [0] 4 3 2 2 34 2 3 2" xfId="41889"/>
    <cellStyle name="쉼표 [0] 4 3 2 2 34 2 4" xfId="29217"/>
    <cellStyle name="쉼표 [0] 4 3 2 2 34 3" xfId="7091"/>
    <cellStyle name="쉼표 [0] 4 3 2 2 34 3 2" xfId="19765"/>
    <cellStyle name="쉼표 [0] 4 3 2 2 34 3 2 2" xfId="45117"/>
    <cellStyle name="쉼표 [0] 4 3 2 2 34 3 3" xfId="32445"/>
    <cellStyle name="쉼표 [0] 4 3 2 2 34 4" xfId="13429"/>
    <cellStyle name="쉼표 [0] 4 3 2 2 34 4 2" xfId="38781"/>
    <cellStyle name="쉼표 [0] 4 3 2 2 34 5" xfId="26109"/>
    <cellStyle name="쉼표 [0] 4 3 2 2 35" xfId="3864"/>
    <cellStyle name="쉼표 [0] 4 3 2 2 35 2" xfId="10200"/>
    <cellStyle name="쉼표 [0] 4 3 2 2 35 2 2" xfId="22874"/>
    <cellStyle name="쉼표 [0] 4 3 2 2 35 2 2 2" xfId="48226"/>
    <cellStyle name="쉼표 [0] 4 3 2 2 35 2 3" xfId="35554"/>
    <cellStyle name="쉼표 [0] 4 3 2 2 35 3" xfId="16538"/>
    <cellStyle name="쉼표 [0] 4 3 2 2 35 3 2" xfId="41890"/>
    <cellStyle name="쉼표 [0] 4 3 2 2 35 4" xfId="29218"/>
    <cellStyle name="쉼표 [0] 4 3 2 2 36" xfId="6403"/>
    <cellStyle name="쉼표 [0] 4 3 2 2 36 2" xfId="19077"/>
    <cellStyle name="쉼표 [0] 4 3 2 2 36 2 2" xfId="44429"/>
    <cellStyle name="쉼표 [0] 4 3 2 2 36 3" xfId="31757"/>
    <cellStyle name="쉼표 [0] 4 3 2 2 37" xfId="12741"/>
    <cellStyle name="쉼표 [0] 4 3 2 2 37 2" xfId="38093"/>
    <cellStyle name="쉼표 [0] 4 3 2 2 38" xfId="25421"/>
    <cellStyle name="쉼표 [0] 4 3 2 2 4" xfId="755"/>
    <cellStyle name="쉼표 [0] 4 3 2 2 4 2" xfId="756"/>
    <cellStyle name="쉼표 [0] 4 3 2 2 4 2 2" xfId="3865"/>
    <cellStyle name="쉼표 [0] 4 3 2 2 4 2 2 2" xfId="10201"/>
    <cellStyle name="쉼표 [0] 4 3 2 2 4 2 2 2 2" xfId="22875"/>
    <cellStyle name="쉼표 [0] 4 3 2 2 4 2 2 2 2 2" xfId="48227"/>
    <cellStyle name="쉼표 [0] 4 3 2 2 4 2 2 2 3" xfId="35555"/>
    <cellStyle name="쉼표 [0] 4 3 2 2 4 2 2 3" xfId="16539"/>
    <cellStyle name="쉼표 [0] 4 3 2 2 4 2 2 3 2" xfId="41891"/>
    <cellStyle name="쉼표 [0] 4 3 2 2 4 2 2 4" xfId="29219"/>
    <cellStyle name="쉼표 [0] 4 3 2 2 4 2 3" xfId="7093"/>
    <cellStyle name="쉼표 [0] 4 3 2 2 4 2 3 2" xfId="19767"/>
    <cellStyle name="쉼표 [0] 4 3 2 2 4 2 3 2 2" xfId="45119"/>
    <cellStyle name="쉼표 [0] 4 3 2 2 4 2 3 3" xfId="32447"/>
    <cellStyle name="쉼표 [0] 4 3 2 2 4 2 4" xfId="13431"/>
    <cellStyle name="쉼표 [0] 4 3 2 2 4 2 4 2" xfId="38783"/>
    <cellStyle name="쉼표 [0] 4 3 2 2 4 2 5" xfId="26111"/>
    <cellStyle name="쉼표 [0] 4 3 2 2 4 3" xfId="3866"/>
    <cellStyle name="쉼표 [0] 4 3 2 2 4 3 2" xfId="10202"/>
    <cellStyle name="쉼표 [0] 4 3 2 2 4 3 2 2" xfId="22876"/>
    <cellStyle name="쉼표 [0] 4 3 2 2 4 3 2 2 2" xfId="48228"/>
    <cellStyle name="쉼표 [0] 4 3 2 2 4 3 2 3" xfId="35556"/>
    <cellStyle name="쉼표 [0] 4 3 2 2 4 3 3" xfId="16540"/>
    <cellStyle name="쉼표 [0] 4 3 2 2 4 3 3 2" xfId="41892"/>
    <cellStyle name="쉼표 [0] 4 3 2 2 4 3 4" xfId="29220"/>
    <cellStyle name="쉼표 [0] 4 3 2 2 4 4" xfId="7092"/>
    <cellStyle name="쉼표 [0] 4 3 2 2 4 4 2" xfId="19766"/>
    <cellStyle name="쉼표 [0] 4 3 2 2 4 4 2 2" xfId="45118"/>
    <cellStyle name="쉼표 [0] 4 3 2 2 4 4 3" xfId="32446"/>
    <cellStyle name="쉼표 [0] 4 3 2 2 4 5" xfId="13430"/>
    <cellStyle name="쉼표 [0] 4 3 2 2 4 5 2" xfId="38782"/>
    <cellStyle name="쉼표 [0] 4 3 2 2 4 6" xfId="26110"/>
    <cellStyle name="쉼표 [0] 4 3 2 2 5" xfId="757"/>
    <cellStyle name="쉼표 [0] 4 3 2 2 5 2" xfId="758"/>
    <cellStyle name="쉼표 [0] 4 3 2 2 5 2 2" xfId="3867"/>
    <cellStyle name="쉼표 [0] 4 3 2 2 5 2 2 2" xfId="10203"/>
    <cellStyle name="쉼표 [0] 4 3 2 2 5 2 2 2 2" xfId="22877"/>
    <cellStyle name="쉼표 [0] 4 3 2 2 5 2 2 2 2 2" xfId="48229"/>
    <cellStyle name="쉼표 [0] 4 3 2 2 5 2 2 2 3" xfId="35557"/>
    <cellStyle name="쉼표 [0] 4 3 2 2 5 2 2 3" xfId="16541"/>
    <cellStyle name="쉼표 [0] 4 3 2 2 5 2 2 3 2" xfId="41893"/>
    <cellStyle name="쉼표 [0] 4 3 2 2 5 2 2 4" xfId="29221"/>
    <cellStyle name="쉼표 [0] 4 3 2 2 5 2 3" xfId="7095"/>
    <cellStyle name="쉼표 [0] 4 3 2 2 5 2 3 2" xfId="19769"/>
    <cellStyle name="쉼표 [0] 4 3 2 2 5 2 3 2 2" xfId="45121"/>
    <cellStyle name="쉼표 [0] 4 3 2 2 5 2 3 3" xfId="32449"/>
    <cellStyle name="쉼표 [0] 4 3 2 2 5 2 4" xfId="13433"/>
    <cellStyle name="쉼표 [0] 4 3 2 2 5 2 4 2" xfId="38785"/>
    <cellStyle name="쉼표 [0] 4 3 2 2 5 2 5" xfId="26113"/>
    <cellStyle name="쉼표 [0] 4 3 2 2 5 3" xfId="3868"/>
    <cellStyle name="쉼표 [0] 4 3 2 2 5 3 2" xfId="10204"/>
    <cellStyle name="쉼표 [0] 4 3 2 2 5 3 2 2" xfId="22878"/>
    <cellStyle name="쉼표 [0] 4 3 2 2 5 3 2 2 2" xfId="48230"/>
    <cellStyle name="쉼표 [0] 4 3 2 2 5 3 2 3" xfId="35558"/>
    <cellStyle name="쉼표 [0] 4 3 2 2 5 3 3" xfId="16542"/>
    <cellStyle name="쉼표 [0] 4 3 2 2 5 3 3 2" xfId="41894"/>
    <cellStyle name="쉼표 [0] 4 3 2 2 5 3 4" xfId="29222"/>
    <cellStyle name="쉼표 [0] 4 3 2 2 5 4" xfId="7094"/>
    <cellStyle name="쉼표 [0] 4 3 2 2 5 4 2" xfId="19768"/>
    <cellStyle name="쉼표 [0] 4 3 2 2 5 4 2 2" xfId="45120"/>
    <cellStyle name="쉼표 [0] 4 3 2 2 5 4 3" xfId="32448"/>
    <cellStyle name="쉼표 [0] 4 3 2 2 5 5" xfId="13432"/>
    <cellStyle name="쉼표 [0] 4 3 2 2 5 5 2" xfId="38784"/>
    <cellStyle name="쉼표 [0] 4 3 2 2 5 6" xfId="26112"/>
    <cellStyle name="쉼표 [0] 4 3 2 2 6" xfId="759"/>
    <cellStyle name="쉼표 [0] 4 3 2 2 6 2" xfId="760"/>
    <cellStyle name="쉼표 [0] 4 3 2 2 6 2 2" xfId="3869"/>
    <cellStyle name="쉼표 [0] 4 3 2 2 6 2 2 2" xfId="10205"/>
    <cellStyle name="쉼표 [0] 4 3 2 2 6 2 2 2 2" xfId="22879"/>
    <cellStyle name="쉼표 [0] 4 3 2 2 6 2 2 2 2 2" xfId="48231"/>
    <cellStyle name="쉼표 [0] 4 3 2 2 6 2 2 2 3" xfId="35559"/>
    <cellStyle name="쉼표 [0] 4 3 2 2 6 2 2 3" xfId="16543"/>
    <cellStyle name="쉼표 [0] 4 3 2 2 6 2 2 3 2" xfId="41895"/>
    <cellStyle name="쉼표 [0] 4 3 2 2 6 2 2 4" xfId="29223"/>
    <cellStyle name="쉼표 [0] 4 3 2 2 6 2 3" xfId="7097"/>
    <cellStyle name="쉼표 [0] 4 3 2 2 6 2 3 2" xfId="19771"/>
    <cellStyle name="쉼표 [0] 4 3 2 2 6 2 3 2 2" xfId="45123"/>
    <cellStyle name="쉼표 [0] 4 3 2 2 6 2 3 3" xfId="32451"/>
    <cellStyle name="쉼표 [0] 4 3 2 2 6 2 4" xfId="13435"/>
    <cellStyle name="쉼표 [0] 4 3 2 2 6 2 4 2" xfId="38787"/>
    <cellStyle name="쉼표 [0] 4 3 2 2 6 2 5" xfId="26115"/>
    <cellStyle name="쉼표 [0] 4 3 2 2 6 3" xfId="3870"/>
    <cellStyle name="쉼표 [0] 4 3 2 2 6 3 2" xfId="10206"/>
    <cellStyle name="쉼표 [0] 4 3 2 2 6 3 2 2" xfId="22880"/>
    <cellStyle name="쉼표 [0] 4 3 2 2 6 3 2 2 2" xfId="48232"/>
    <cellStyle name="쉼표 [0] 4 3 2 2 6 3 2 3" xfId="35560"/>
    <cellStyle name="쉼표 [0] 4 3 2 2 6 3 3" xfId="16544"/>
    <cellStyle name="쉼표 [0] 4 3 2 2 6 3 3 2" xfId="41896"/>
    <cellStyle name="쉼표 [0] 4 3 2 2 6 3 4" xfId="29224"/>
    <cellStyle name="쉼표 [0] 4 3 2 2 6 4" xfId="7096"/>
    <cellStyle name="쉼표 [0] 4 3 2 2 6 4 2" xfId="19770"/>
    <cellStyle name="쉼표 [0] 4 3 2 2 6 4 2 2" xfId="45122"/>
    <cellStyle name="쉼표 [0] 4 3 2 2 6 4 3" xfId="32450"/>
    <cellStyle name="쉼표 [0] 4 3 2 2 6 5" xfId="13434"/>
    <cellStyle name="쉼표 [0] 4 3 2 2 6 5 2" xfId="38786"/>
    <cellStyle name="쉼표 [0] 4 3 2 2 6 6" xfId="26114"/>
    <cellStyle name="쉼표 [0] 4 3 2 2 7" xfId="761"/>
    <cellStyle name="쉼표 [0] 4 3 2 2 7 2" xfId="762"/>
    <cellStyle name="쉼표 [0] 4 3 2 2 7 2 2" xfId="3871"/>
    <cellStyle name="쉼표 [0] 4 3 2 2 7 2 2 2" xfId="10207"/>
    <cellStyle name="쉼표 [0] 4 3 2 2 7 2 2 2 2" xfId="22881"/>
    <cellStyle name="쉼표 [0] 4 3 2 2 7 2 2 2 2 2" xfId="48233"/>
    <cellStyle name="쉼표 [0] 4 3 2 2 7 2 2 2 3" xfId="35561"/>
    <cellStyle name="쉼표 [0] 4 3 2 2 7 2 2 3" xfId="16545"/>
    <cellStyle name="쉼표 [0] 4 3 2 2 7 2 2 3 2" xfId="41897"/>
    <cellStyle name="쉼표 [0] 4 3 2 2 7 2 2 4" xfId="29225"/>
    <cellStyle name="쉼표 [0] 4 3 2 2 7 2 3" xfId="7099"/>
    <cellStyle name="쉼표 [0] 4 3 2 2 7 2 3 2" xfId="19773"/>
    <cellStyle name="쉼표 [0] 4 3 2 2 7 2 3 2 2" xfId="45125"/>
    <cellStyle name="쉼표 [0] 4 3 2 2 7 2 3 3" xfId="32453"/>
    <cellStyle name="쉼표 [0] 4 3 2 2 7 2 4" xfId="13437"/>
    <cellStyle name="쉼표 [0] 4 3 2 2 7 2 4 2" xfId="38789"/>
    <cellStyle name="쉼표 [0] 4 3 2 2 7 2 5" xfId="26117"/>
    <cellStyle name="쉼표 [0] 4 3 2 2 7 3" xfId="3872"/>
    <cellStyle name="쉼표 [0] 4 3 2 2 7 3 2" xfId="10208"/>
    <cellStyle name="쉼표 [0] 4 3 2 2 7 3 2 2" xfId="22882"/>
    <cellStyle name="쉼표 [0] 4 3 2 2 7 3 2 2 2" xfId="48234"/>
    <cellStyle name="쉼표 [0] 4 3 2 2 7 3 2 3" xfId="35562"/>
    <cellStyle name="쉼표 [0] 4 3 2 2 7 3 3" xfId="16546"/>
    <cellStyle name="쉼표 [0] 4 3 2 2 7 3 3 2" xfId="41898"/>
    <cellStyle name="쉼표 [0] 4 3 2 2 7 3 4" xfId="29226"/>
    <cellStyle name="쉼표 [0] 4 3 2 2 7 4" xfId="7098"/>
    <cellStyle name="쉼표 [0] 4 3 2 2 7 4 2" xfId="19772"/>
    <cellStyle name="쉼표 [0] 4 3 2 2 7 4 2 2" xfId="45124"/>
    <cellStyle name="쉼표 [0] 4 3 2 2 7 4 3" xfId="32452"/>
    <cellStyle name="쉼표 [0] 4 3 2 2 7 5" xfId="13436"/>
    <cellStyle name="쉼표 [0] 4 3 2 2 7 5 2" xfId="38788"/>
    <cellStyle name="쉼표 [0] 4 3 2 2 7 6" xfId="26116"/>
    <cellStyle name="쉼표 [0] 4 3 2 2 8" xfId="763"/>
    <cellStyle name="쉼표 [0] 4 3 2 2 8 2" xfId="764"/>
    <cellStyle name="쉼표 [0] 4 3 2 2 8 2 2" xfId="3873"/>
    <cellStyle name="쉼표 [0] 4 3 2 2 8 2 2 2" xfId="10209"/>
    <cellStyle name="쉼표 [0] 4 3 2 2 8 2 2 2 2" xfId="22883"/>
    <cellStyle name="쉼표 [0] 4 3 2 2 8 2 2 2 2 2" xfId="48235"/>
    <cellStyle name="쉼표 [0] 4 3 2 2 8 2 2 2 3" xfId="35563"/>
    <cellStyle name="쉼표 [0] 4 3 2 2 8 2 2 3" xfId="16547"/>
    <cellStyle name="쉼표 [0] 4 3 2 2 8 2 2 3 2" xfId="41899"/>
    <cellStyle name="쉼표 [0] 4 3 2 2 8 2 2 4" xfId="29227"/>
    <cellStyle name="쉼표 [0] 4 3 2 2 8 2 3" xfId="7101"/>
    <cellStyle name="쉼표 [0] 4 3 2 2 8 2 3 2" xfId="19775"/>
    <cellStyle name="쉼표 [0] 4 3 2 2 8 2 3 2 2" xfId="45127"/>
    <cellStyle name="쉼표 [0] 4 3 2 2 8 2 3 3" xfId="32455"/>
    <cellStyle name="쉼표 [0] 4 3 2 2 8 2 4" xfId="13439"/>
    <cellStyle name="쉼표 [0] 4 3 2 2 8 2 4 2" xfId="38791"/>
    <cellStyle name="쉼표 [0] 4 3 2 2 8 2 5" xfId="26119"/>
    <cellStyle name="쉼표 [0] 4 3 2 2 8 3" xfId="3874"/>
    <cellStyle name="쉼표 [0] 4 3 2 2 8 3 2" xfId="10210"/>
    <cellStyle name="쉼표 [0] 4 3 2 2 8 3 2 2" xfId="22884"/>
    <cellStyle name="쉼표 [0] 4 3 2 2 8 3 2 2 2" xfId="48236"/>
    <cellStyle name="쉼표 [0] 4 3 2 2 8 3 2 3" xfId="35564"/>
    <cellStyle name="쉼표 [0] 4 3 2 2 8 3 3" xfId="16548"/>
    <cellStyle name="쉼표 [0] 4 3 2 2 8 3 3 2" xfId="41900"/>
    <cellStyle name="쉼표 [0] 4 3 2 2 8 3 4" xfId="29228"/>
    <cellStyle name="쉼표 [0] 4 3 2 2 8 4" xfId="7100"/>
    <cellStyle name="쉼표 [0] 4 3 2 2 8 4 2" xfId="19774"/>
    <cellStyle name="쉼표 [0] 4 3 2 2 8 4 2 2" xfId="45126"/>
    <cellStyle name="쉼표 [0] 4 3 2 2 8 4 3" xfId="32454"/>
    <cellStyle name="쉼표 [0] 4 3 2 2 8 5" xfId="13438"/>
    <cellStyle name="쉼표 [0] 4 3 2 2 8 5 2" xfId="38790"/>
    <cellStyle name="쉼표 [0] 4 3 2 2 8 6" xfId="26118"/>
    <cellStyle name="쉼표 [0] 4 3 2 2 9" xfId="765"/>
    <cellStyle name="쉼표 [0] 4 3 2 2 9 2" xfId="766"/>
    <cellStyle name="쉼표 [0] 4 3 2 2 9 2 2" xfId="3875"/>
    <cellStyle name="쉼표 [0] 4 3 2 2 9 2 2 2" xfId="10211"/>
    <cellStyle name="쉼표 [0] 4 3 2 2 9 2 2 2 2" xfId="22885"/>
    <cellStyle name="쉼표 [0] 4 3 2 2 9 2 2 2 2 2" xfId="48237"/>
    <cellStyle name="쉼표 [0] 4 3 2 2 9 2 2 2 3" xfId="35565"/>
    <cellStyle name="쉼표 [0] 4 3 2 2 9 2 2 3" xfId="16549"/>
    <cellStyle name="쉼표 [0] 4 3 2 2 9 2 2 3 2" xfId="41901"/>
    <cellStyle name="쉼표 [0] 4 3 2 2 9 2 2 4" xfId="29229"/>
    <cellStyle name="쉼표 [0] 4 3 2 2 9 2 3" xfId="7103"/>
    <cellStyle name="쉼표 [0] 4 3 2 2 9 2 3 2" xfId="19777"/>
    <cellStyle name="쉼표 [0] 4 3 2 2 9 2 3 2 2" xfId="45129"/>
    <cellStyle name="쉼표 [0] 4 3 2 2 9 2 3 3" xfId="32457"/>
    <cellStyle name="쉼표 [0] 4 3 2 2 9 2 4" xfId="13441"/>
    <cellStyle name="쉼표 [0] 4 3 2 2 9 2 4 2" xfId="38793"/>
    <cellStyle name="쉼표 [0] 4 3 2 2 9 2 5" xfId="26121"/>
    <cellStyle name="쉼표 [0] 4 3 2 2 9 3" xfId="3876"/>
    <cellStyle name="쉼표 [0] 4 3 2 2 9 3 2" xfId="10212"/>
    <cellStyle name="쉼표 [0] 4 3 2 2 9 3 2 2" xfId="22886"/>
    <cellStyle name="쉼표 [0] 4 3 2 2 9 3 2 2 2" xfId="48238"/>
    <cellStyle name="쉼표 [0] 4 3 2 2 9 3 2 3" xfId="35566"/>
    <cellStyle name="쉼표 [0] 4 3 2 2 9 3 3" xfId="16550"/>
    <cellStyle name="쉼표 [0] 4 3 2 2 9 3 3 2" xfId="41902"/>
    <cellStyle name="쉼표 [0] 4 3 2 2 9 3 4" xfId="29230"/>
    <cellStyle name="쉼표 [0] 4 3 2 2 9 4" xfId="7102"/>
    <cellStyle name="쉼표 [0] 4 3 2 2 9 4 2" xfId="19776"/>
    <cellStyle name="쉼표 [0] 4 3 2 2 9 4 2 2" xfId="45128"/>
    <cellStyle name="쉼표 [0] 4 3 2 2 9 4 3" xfId="32456"/>
    <cellStyle name="쉼표 [0] 4 3 2 2 9 5" xfId="13440"/>
    <cellStyle name="쉼표 [0] 4 3 2 2 9 5 2" xfId="38792"/>
    <cellStyle name="쉼표 [0] 4 3 2 2 9 6" xfId="26120"/>
    <cellStyle name="쉼표 [0] 4 3 2 20" xfId="767"/>
    <cellStyle name="쉼표 [0] 4 3 2 20 2" xfId="768"/>
    <cellStyle name="쉼표 [0] 4 3 2 20 2 2" xfId="3877"/>
    <cellStyle name="쉼표 [0] 4 3 2 20 2 2 2" xfId="10213"/>
    <cellStyle name="쉼표 [0] 4 3 2 20 2 2 2 2" xfId="22887"/>
    <cellStyle name="쉼표 [0] 4 3 2 20 2 2 2 2 2" xfId="48239"/>
    <cellStyle name="쉼표 [0] 4 3 2 20 2 2 2 3" xfId="35567"/>
    <cellStyle name="쉼표 [0] 4 3 2 20 2 2 3" xfId="16551"/>
    <cellStyle name="쉼표 [0] 4 3 2 20 2 2 3 2" xfId="41903"/>
    <cellStyle name="쉼표 [0] 4 3 2 20 2 2 4" xfId="29231"/>
    <cellStyle name="쉼표 [0] 4 3 2 20 2 3" xfId="7105"/>
    <cellStyle name="쉼표 [0] 4 3 2 20 2 3 2" xfId="19779"/>
    <cellStyle name="쉼표 [0] 4 3 2 20 2 3 2 2" xfId="45131"/>
    <cellStyle name="쉼표 [0] 4 3 2 20 2 3 3" xfId="32459"/>
    <cellStyle name="쉼표 [0] 4 3 2 20 2 4" xfId="13443"/>
    <cellStyle name="쉼표 [0] 4 3 2 20 2 4 2" xfId="38795"/>
    <cellStyle name="쉼표 [0] 4 3 2 20 2 5" xfId="26123"/>
    <cellStyle name="쉼표 [0] 4 3 2 20 3" xfId="3878"/>
    <cellStyle name="쉼표 [0] 4 3 2 20 3 2" xfId="10214"/>
    <cellStyle name="쉼표 [0] 4 3 2 20 3 2 2" xfId="22888"/>
    <cellStyle name="쉼표 [0] 4 3 2 20 3 2 2 2" xfId="48240"/>
    <cellStyle name="쉼표 [0] 4 3 2 20 3 2 3" xfId="35568"/>
    <cellStyle name="쉼표 [0] 4 3 2 20 3 3" xfId="16552"/>
    <cellStyle name="쉼표 [0] 4 3 2 20 3 3 2" xfId="41904"/>
    <cellStyle name="쉼표 [0] 4 3 2 20 3 4" xfId="29232"/>
    <cellStyle name="쉼표 [0] 4 3 2 20 4" xfId="7104"/>
    <cellStyle name="쉼표 [0] 4 3 2 20 4 2" xfId="19778"/>
    <cellStyle name="쉼표 [0] 4 3 2 20 4 2 2" xfId="45130"/>
    <cellStyle name="쉼표 [0] 4 3 2 20 4 3" xfId="32458"/>
    <cellStyle name="쉼표 [0] 4 3 2 20 5" xfId="13442"/>
    <cellStyle name="쉼표 [0] 4 3 2 20 5 2" xfId="38794"/>
    <cellStyle name="쉼표 [0] 4 3 2 20 6" xfId="26122"/>
    <cellStyle name="쉼표 [0] 4 3 2 21" xfId="769"/>
    <cellStyle name="쉼표 [0] 4 3 2 21 2" xfId="770"/>
    <cellStyle name="쉼표 [0] 4 3 2 21 2 2" xfId="3879"/>
    <cellStyle name="쉼표 [0] 4 3 2 21 2 2 2" xfId="10215"/>
    <cellStyle name="쉼표 [0] 4 3 2 21 2 2 2 2" xfId="22889"/>
    <cellStyle name="쉼표 [0] 4 3 2 21 2 2 2 2 2" xfId="48241"/>
    <cellStyle name="쉼표 [0] 4 3 2 21 2 2 2 3" xfId="35569"/>
    <cellStyle name="쉼표 [0] 4 3 2 21 2 2 3" xfId="16553"/>
    <cellStyle name="쉼표 [0] 4 3 2 21 2 2 3 2" xfId="41905"/>
    <cellStyle name="쉼표 [0] 4 3 2 21 2 2 4" xfId="29233"/>
    <cellStyle name="쉼표 [0] 4 3 2 21 2 3" xfId="7107"/>
    <cellStyle name="쉼표 [0] 4 3 2 21 2 3 2" xfId="19781"/>
    <cellStyle name="쉼표 [0] 4 3 2 21 2 3 2 2" xfId="45133"/>
    <cellStyle name="쉼표 [0] 4 3 2 21 2 3 3" xfId="32461"/>
    <cellStyle name="쉼표 [0] 4 3 2 21 2 4" xfId="13445"/>
    <cellStyle name="쉼표 [0] 4 3 2 21 2 4 2" xfId="38797"/>
    <cellStyle name="쉼표 [0] 4 3 2 21 2 5" xfId="26125"/>
    <cellStyle name="쉼표 [0] 4 3 2 21 3" xfId="3880"/>
    <cellStyle name="쉼표 [0] 4 3 2 21 3 2" xfId="10216"/>
    <cellStyle name="쉼표 [0] 4 3 2 21 3 2 2" xfId="22890"/>
    <cellStyle name="쉼표 [0] 4 3 2 21 3 2 2 2" xfId="48242"/>
    <cellStyle name="쉼표 [0] 4 3 2 21 3 2 3" xfId="35570"/>
    <cellStyle name="쉼표 [0] 4 3 2 21 3 3" xfId="16554"/>
    <cellStyle name="쉼표 [0] 4 3 2 21 3 3 2" xfId="41906"/>
    <cellStyle name="쉼표 [0] 4 3 2 21 3 4" xfId="29234"/>
    <cellStyle name="쉼표 [0] 4 3 2 21 4" xfId="7106"/>
    <cellStyle name="쉼표 [0] 4 3 2 21 4 2" xfId="19780"/>
    <cellStyle name="쉼표 [0] 4 3 2 21 4 2 2" xfId="45132"/>
    <cellStyle name="쉼표 [0] 4 3 2 21 4 3" xfId="32460"/>
    <cellStyle name="쉼표 [0] 4 3 2 21 5" xfId="13444"/>
    <cellStyle name="쉼표 [0] 4 3 2 21 5 2" xfId="38796"/>
    <cellStyle name="쉼표 [0] 4 3 2 21 6" xfId="26124"/>
    <cellStyle name="쉼표 [0] 4 3 2 22" xfId="771"/>
    <cellStyle name="쉼표 [0] 4 3 2 22 2" xfId="772"/>
    <cellStyle name="쉼표 [0] 4 3 2 22 2 2" xfId="3881"/>
    <cellStyle name="쉼표 [0] 4 3 2 22 2 2 2" xfId="10217"/>
    <cellStyle name="쉼표 [0] 4 3 2 22 2 2 2 2" xfId="22891"/>
    <cellStyle name="쉼표 [0] 4 3 2 22 2 2 2 2 2" xfId="48243"/>
    <cellStyle name="쉼표 [0] 4 3 2 22 2 2 2 3" xfId="35571"/>
    <cellStyle name="쉼표 [0] 4 3 2 22 2 2 3" xfId="16555"/>
    <cellStyle name="쉼표 [0] 4 3 2 22 2 2 3 2" xfId="41907"/>
    <cellStyle name="쉼표 [0] 4 3 2 22 2 2 4" xfId="29235"/>
    <cellStyle name="쉼표 [0] 4 3 2 22 2 3" xfId="7109"/>
    <cellStyle name="쉼표 [0] 4 3 2 22 2 3 2" xfId="19783"/>
    <cellStyle name="쉼표 [0] 4 3 2 22 2 3 2 2" xfId="45135"/>
    <cellStyle name="쉼표 [0] 4 3 2 22 2 3 3" xfId="32463"/>
    <cellStyle name="쉼표 [0] 4 3 2 22 2 4" xfId="13447"/>
    <cellStyle name="쉼표 [0] 4 3 2 22 2 4 2" xfId="38799"/>
    <cellStyle name="쉼표 [0] 4 3 2 22 2 5" xfId="26127"/>
    <cellStyle name="쉼표 [0] 4 3 2 22 3" xfId="3882"/>
    <cellStyle name="쉼표 [0] 4 3 2 22 3 2" xfId="10218"/>
    <cellStyle name="쉼표 [0] 4 3 2 22 3 2 2" xfId="22892"/>
    <cellStyle name="쉼표 [0] 4 3 2 22 3 2 2 2" xfId="48244"/>
    <cellStyle name="쉼표 [0] 4 3 2 22 3 2 3" xfId="35572"/>
    <cellStyle name="쉼표 [0] 4 3 2 22 3 3" xfId="16556"/>
    <cellStyle name="쉼표 [0] 4 3 2 22 3 3 2" xfId="41908"/>
    <cellStyle name="쉼표 [0] 4 3 2 22 3 4" xfId="29236"/>
    <cellStyle name="쉼표 [0] 4 3 2 22 4" xfId="7108"/>
    <cellStyle name="쉼표 [0] 4 3 2 22 4 2" xfId="19782"/>
    <cellStyle name="쉼표 [0] 4 3 2 22 4 2 2" xfId="45134"/>
    <cellStyle name="쉼표 [0] 4 3 2 22 4 3" xfId="32462"/>
    <cellStyle name="쉼표 [0] 4 3 2 22 5" xfId="13446"/>
    <cellStyle name="쉼표 [0] 4 3 2 22 5 2" xfId="38798"/>
    <cellStyle name="쉼표 [0] 4 3 2 22 6" xfId="26126"/>
    <cellStyle name="쉼표 [0] 4 3 2 23" xfId="773"/>
    <cellStyle name="쉼표 [0] 4 3 2 23 2" xfId="774"/>
    <cellStyle name="쉼표 [0] 4 3 2 23 2 2" xfId="3883"/>
    <cellStyle name="쉼표 [0] 4 3 2 23 2 2 2" xfId="10219"/>
    <cellStyle name="쉼표 [0] 4 3 2 23 2 2 2 2" xfId="22893"/>
    <cellStyle name="쉼표 [0] 4 3 2 23 2 2 2 2 2" xfId="48245"/>
    <cellStyle name="쉼표 [0] 4 3 2 23 2 2 2 3" xfId="35573"/>
    <cellStyle name="쉼표 [0] 4 3 2 23 2 2 3" xfId="16557"/>
    <cellStyle name="쉼표 [0] 4 3 2 23 2 2 3 2" xfId="41909"/>
    <cellStyle name="쉼표 [0] 4 3 2 23 2 2 4" xfId="29237"/>
    <cellStyle name="쉼표 [0] 4 3 2 23 2 3" xfId="7111"/>
    <cellStyle name="쉼표 [0] 4 3 2 23 2 3 2" xfId="19785"/>
    <cellStyle name="쉼표 [0] 4 3 2 23 2 3 2 2" xfId="45137"/>
    <cellStyle name="쉼표 [0] 4 3 2 23 2 3 3" xfId="32465"/>
    <cellStyle name="쉼표 [0] 4 3 2 23 2 4" xfId="13449"/>
    <cellStyle name="쉼표 [0] 4 3 2 23 2 4 2" xfId="38801"/>
    <cellStyle name="쉼표 [0] 4 3 2 23 2 5" xfId="26129"/>
    <cellStyle name="쉼표 [0] 4 3 2 23 3" xfId="3884"/>
    <cellStyle name="쉼표 [0] 4 3 2 23 3 2" xfId="10220"/>
    <cellStyle name="쉼표 [0] 4 3 2 23 3 2 2" xfId="22894"/>
    <cellStyle name="쉼표 [0] 4 3 2 23 3 2 2 2" xfId="48246"/>
    <cellStyle name="쉼표 [0] 4 3 2 23 3 2 3" xfId="35574"/>
    <cellStyle name="쉼표 [0] 4 3 2 23 3 3" xfId="16558"/>
    <cellStyle name="쉼표 [0] 4 3 2 23 3 3 2" xfId="41910"/>
    <cellStyle name="쉼표 [0] 4 3 2 23 3 4" xfId="29238"/>
    <cellStyle name="쉼표 [0] 4 3 2 23 4" xfId="7110"/>
    <cellStyle name="쉼표 [0] 4 3 2 23 4 2" xfId="19784"/>
    <cellStyle name="쉼표 [0] 4 3 2 23 4 2 2" xfId="45136"/>
    <cellStyle name="쉼표 [0] 4 3 2 23 4 3" xfId="32464"/>
    <cellStyle name="쉼표 [0] 4 3 2 23 5" xfId="13448"/>
    <cellStyle name="쉼표 [0] 4 3 2 23 5 2" xfId="38800"/>
    <cellStyle name="쉼표 [0] 4 3 2 23 6" xfId="26128"/>
    <cellStyle name="쉼표 [0] 4 3 2 24" xfId="775"/>
    <cellStyle name="쉼표 [0] 4 3 2 24 2" xfId="776"/>
    <cellStyle name="쉼표 [0] 4 3 2 24 2 2" xfId="3885"/>
    <cellStyle name="쉼표 [0] 4 3 2 24 2 2 2" xfId="10221"/>
    <cellStyle name="쉼표 [0] 4 3 2 24 2 2 2 2" xfId="22895"/>
    <cellStyle name="쉼표 [0] 4 3 2 24 2 2 2 2 2" xfId="48247"/>
    <cellStyle name="쉼표 [0] 4 3 2 24 2 2 2 3" xfId="35575"/>
    <cellStyle name="쉼표 [0] 4 3 2 24 2 2 3" xfId="16559"/>
    <cellStyle name="쉼표 [0] 4 3 2 24 2 2 3 2" xfId="41911"/>
    <cellStyle name="쉼표 [0] 4 3 2 24 2 2 4" xfId="29239"/>
    <cellStyle name="쉼표 [0] 4 3 2 24 2 3" xfId="7113"/>
    <cellStyle name="쉼표 [0] 4 3 2 24 2 3 2" xfId="19787"/>
    <cellStyle name="쉼표 [0] 4 3 2 24 2 3 2 2" xfId="45139"/>
    <cellStyle name="쉼표 [0] 4 3 2 24 2 3 3" xfId="32467"/>
    <cellStyle name="쉼표 [0] 4 3 2 24 2 4" xfId="13451"/>
    <cellStyle name="쉼표 [0] 4 3 2 24 2 4 2" xfId="38803"/>
    <cellStyle name="쉼표 [0] 4 3 2 24 2 5" xfId="26131"/>
    <cellStyle name="쉼표 [0] 4 3 2 24 3" xfId="3886"/>
    <cellStyle name="쉼표 [0] 4 3 2 24 3 2" xfId="10222"/>
    <cellStyle name="쉼표 [0] 4 3 2 24 3 2 2" xfId="22896"/>
    <cellStyle name="쉼표 [0] 4 3 2 24 3 2 2 2" xfId="48248"/>
    <cellStyle name="쉼표 [0] 4 3 2 24 3 2 3" xfId="35576"/>
    <cellStyle name="쉼표 [0] 4 3 2 24 3 3" xfId="16560"/>
    <cellStyle name="쉼표 [0] 4 3 2 24 3 3 2" xfId="41912"/>
    <cellStyle name="쉼표 [0] 4 3 2 24 3 4" xfId="29240"/>
    <cellStyle name="쉼표 [0] 4 3 2 24 4" xfId="7112"/>
    <cellStyle name="쉼표 [0] 4 3 2 24 4 2" xfId="19786"/>
    <cellStyle name="쉼표 [0] 4 3 2 24 4 2 2" xfId="45138"/>
    <cellStyle name="쉼표 [0] 4 3 2 24 4 3" xfId="32466"/>
    <cellStyle name="쉼표 [0] 4 3 2 24 5" xfId="13450"/>
    <cellStyle name="쉼표 [0] 4 3 2 24 5 2" xfId="38802"/>
    <cellStyle name="쉼표 [0] 4 3 2 24 6" xfId="26130"/>
    <cellStyle name="쉼표 [0] 4 3 2 25" xfId="777"/>
    <cellStyle name="쉼표 [0] 4 3 2 25 2" xfId="778"/>
    <cellStyle name="쉼표 [0] 4 3 2 25 2 2" xfId="3887"/>
    <cellStyle name="쉼표 [0] 4 3 2 25 2 2 2" xfId="10223"/>
    <cellStyle name="쉼표 [0] 4 3 2 25 2 2 2 2" xfId="22897"/>
    <cellStyle name="쉼표 [0] 4 3 2 25 2 2 2 2 2" xfId="48249"/>
    <cellStyle name="쉼표 [0] 4 3 2 25 2 2 2 3" xfId="35577"/>
    <cellStyle name="쉼표 [0] 4 3 2 25 2 2 3" xfId="16561"/>
    <cellStyle name="쉼표 [0] 4 3 2 25 2 2 3 2" xfId="41913"/>
    <cellStyle name="쉼표 [0] 4 3 2 25 2 2 4" xfId="29241"/>
    <cellStyle name="쉼표 [0] 4 3 2 25 2 3" xfId="7115"/>
    <cellStyle name="쉼표 [0] 4 3 2 25 2 3 2" xfId="19789"/>
    <cellStyle name="쉼표 [0] 4 3 2 25 2 3 2 2" xfId="45141"/>
    <cellStyle name="쉼표 [0] 4 3 2 25 2 3 3" xfId="32469"/>
    <cellStyle name="쉼표 [0] 4 3 2 25 2 4" xfId="13453"/>
    <cellStyle name="쉼표 [0] 4 3 2 25 2 4 2" xfId="38805"/>
    <cellStyle name="쉼표 [0] 4 3 2 25 2 5" xfId="26133"/>
    <cellStyle name="쉼표 [0] 4 3 2 25 3" xfId="3888"/>
    <cellStyle name="쉼표 [0] 4 3 2 25 3 2" xfId="10224"/>
    <cellStyle name="쉼표 [0] 4 3 2 25 3 2 2" xfId="22898"/>
    <cellStyle name="쉼표 [0] 4 3 2 25 3 2 2 2" xfId="48250"/>
    <cellStyle name="쉼표 [0] 4 3 2 25 3 2 3" xfId="35578"/>
    <cellStyle name="쉼표 [0] 4 3 2 25 3 3" xfId="16562"/>
    <cellStyle name="쉼표 [0] 4 3 2 25 3 3 2" xfId="41914"/>
    <cellStyle name="쉼표 [0] 4 3 2 25 3 4" xfId="29242"/>
    <cellStyle name="쉼표 [0] 4 3 2 25 4" xfId="7114"/>
    <cellStyle name="쉼표 [0] 4 3 2 25 4 2" xfId="19788"/>
    <cellStyle name="쉼표 [0] 4 3 2 25 4 2 2" xfId="45140"/>
    <cellStyle name="쉼표 [0] 4 3 2 25 4 3" xfId="32468"/>
    <cellStyle name="쉼표 [0] 4 3 2 25 5" xfId="13452"/>
    <cellStyle name="쉼표 [0] 4 3 2 25 5 2" xfId="38804"/>
    <cellStyle name="쉼표 [0] 4 3 2 25 6" xfId="26132"/>
    <cellStyle name="쉼표 [0] 4 3 2 26" xfId="779"/>
    <cellStyle name="쉼표 [0] 4 3 2 26 2" xfId="780"/>
    <cellStyle name="쉼표 [0] 4 3 2 26 2 2" xfId="3889"/>
    <cellStyle name="쉼표 [0] 4 3 2 26 2 2 2" xfId="10225"/>
    <cellStyle name="쉼표 [0] 4 3 2 26 2 2 2 2" xfId="22899"/>
    <cellStyle name="쉼표 [0] 4 3 2 26 2 2 2 2 2" xfId="48251"/>
    <cellStyle name="쉼표 [0] 4 3 2 26 2 2 2 3" xfId="35579"/>
    <cellStyle name="쉼표 [0] 4 3 2 26 2 2 3" xfId="16563"/>
    <cellStyle name="쉼표 [0] 4 3 2 26 2 2 3 2" xfId="41915"/>
    <cellStyle name="쉼표 [0] 4 3 2 26 2 2 4" xfId="29243"/>
    <cellStyle name="쉼표 [0] 4 3 2 26 2 3" xfId="7117"/>
    <cellStyle name="쉼표 [0] 4 3 2 26 2 3 2" xfId="19791"/>
    <cellStyle name="쉼표 [0] 4 3 2 26 2 3 2 2" xfId="45143"/>
    <cellStyle name="쉼표 [0] 4 3 2 26 2 3 3" xfId="32471"/>
    <cellStyle name="쉼표 [0] 4 3 2 26 2 4" xfId="13455"/>
    <cellStyle name="쉼표 [0] 4 3 2 26 2 4 2" xfId="38807"/>
    <cellStyle name="쉼표 [0] 4 3 2 26 2 5" xfId="26135"/>
    <cellStyle name="쉼표 [0] 4 3 2 26 3" xfId="3890"/>
    <cellStyle name="쉼표 [0] 4 3 2 26 3 2" xfId="10226"/>
    <cellStyle name="쉼표 [0] 4 3 2 26 3 2 2" xfId="22900"/>
    <cellStyle name="쉼표 [0] 4 3 2 26 3 2 2 2" xfId="48252"/>
    <cellStyle name="쉼표 [0] 4 3 2 26 3 2 3" xfId="35580"/>
    <cellStyle name="쉼표 [0] 4 3 2 26 3 3" xfId="16564"/>
    <cellStyle name="쉼표 [0] 4 3 2 26 3 3 2" xfId="41916"/>
    <cellStyle name="쉼표 [0] 4 3 2 26 3 4" xfId="29244"/>
    <cellStyle name="쉼표 [0] 4 3 2 26 4" xfId="7116"/>
    <cellStyle name="쉼표 [0] 4 3 2 26 4 2" xfId="19790"/>
    <cellStyle name="쉼표 [0] 4 3 2 26 4 2 2" xfId="45142"/>
    <cellStyle name="쉼표 [0] 4 3 2 26 4 3" xfId="32470"/>
    <cellStyle name="쉼표 [0] 4 3 2 26 5" xfId="13454"/>
    <cellStyle name="쉼표 [0] 4 3 2 26 5 2" xfId="38806"/>
    <cellStyle name="쉼표 [0] 4 3 2 26 6" xfId="26134"/>
    <cellStyle name="쉼표 [0] 4 3 2 27" xfId="781"/>
    <cellStyle name="쉼표 [0] 4 3 2 27 2" xfId="782"/>
    <cellStyle name="쉼표 [0] 4 3 2 27 2 2" xfId="3891"/>
    <cellStyle name="쉼표 [0] 4 3 2 27 2 2 2" xfId="10227"/>
    <cellStyle name="쉼표 [0] 4 3 2 27 2 2 2 2" xfId="22901"/>
    <cellStyle name="쉼표 [0] 4 3 2 27 2 2 2 2 2" xfId="48253"/>
    <cellStyle name="쉼표 [0] 4 3 2 27 2 2 2 3" xfId="35581"/>
    <cellStyle name="쉼표 [0] 4 3 2 27 2 2 3" xfId="16565"/>
    <cellStyle name="쉼표 [0] 4 3 2 27 2 2 3 2" xfId="41917"/>
    <cellStyle name="쉼표 [0] 4 3 2 27 2 2 4" xfId="29245"/>
    <cellStyle name="쉼표 [0] 4 3 2 27 2 3" xfId="7119"/>
    <cellStyle name="쉼표 [0] 4 3 2 27 2 3 2" xfId="19793"/>
    <cellStyle name="쉼표 [0] 4 3 2 27 2 3 2 2" xfId="45145"/>
    <cellStyle name="쉼표 [0] 4 3 2 27 2 3 3" xfId="32473"/>
    <cellStyle name="쉼표 [0] 4 3 2 27 2 4" xfId="13457"/>
    <cellStyle name="쉼표 [0] 4 3 2 27 2 4 2" xfId="38809"/>
    <cellStyle name="쉼표 [0] 4 3 2 27 2 5" xfId="26137"/>
    <cellStyle name="쉼표 [0] 4 3 2 27 3" xfId="3892"/>
    <cellStyle name="쉼표 [0] 4 3 2 27 3 2" xfId="10228"/>
    <cellStyle name="쉼표 [0] 4 3 2 27 3 2 2" xfId="22902"/>
    <cellStyle name="쉼표 [0] 4 3 2 27 3 2 2 2" xfId="48254"/>
    <cellStyle name="쉼표 [0] 4 3 2 27 3 2 3" xfId="35582"/>
    <cellStyle name="쉼표 [0] 4 3 2 27 3 3" xfId="16566"/>
    <cellStyle name="쉼표 [0] 4 3 2 27 3 3 2" xfId="41918"/>
    <cellStyle name="쉼표 [0] 4 3 2 27 3 4" xfId="29246"/>
    <cellStyle name="쉼표 [0] 4 3 2 27 4" xfId="7118"/>
    <cellStyle name="쉼표 [0] 4 3 2 27 4 2" xfId="19792"/>
    <cellStyle name="쉼표 [0] 4 3 2 27 4 2 2" xfId="45144"/>
    <cellStyle name="쉼표 [0] 4 3 2 27 4 3" xfId="32472"/>
    <cellStyle name="쉼표 [0] 4 3 2 27 5" xfId="13456"/>
    <cellStyle name="쉼표 [0] 4 3 2 27 5 2" xfId="38808"/>
    <cellStyle name="쉼표 [0] 4 3 2 27 6" xfId="26136"/>
    <cellStyle name="쉼표 [0] 4 3 2 28" xfId="783"/>
    <cellStyle name="쉼표 [0] 4 3 2 28 2" xfId="784"/>
    <cellStyle name="쉼표 [0] 4 3 2 28 2 2" xfId="3893"/>
    <cellStyle name="쉼표 [0] 4 3 2 28 2 2 2" xfId="10229"/>
    <cellStyle name="쉼표 [0] 4 3 2 28 2 2 2 2" xfId="22903"/>
    <cellStyle name="쉼표 [0] 4 3 2 28 2 2 2 2 2" xfId="48255"/>
    <cellStyle name="쉼표 [0] 4 3 2 28 2 2 2 3" xfId="35583"/>
    <cellStyle name="쉼표 [0] 4 3 2 28 2 2 3" xfId="16567"/>
    <cellStyle name="쉼표 [0] 4 3 2 28 2 2 3 2" xfId="41919"/>
    <cellStyle name="쉼표 [0] 4 3 2 28 2 2 4" xfId="29247"/>
    <cellStyle name="쉼표 [0] 4 3 2 28 2 3" xfId="7121"/>
    <cellStyle name="쉼표 [0] 4 3 2 28 2 3 2" xfId="19795"/>
    <cellStyle name="쉼표 [0] 4 3 2 28 2 3 2 2" xfId="45147"/>
    <cellStyle name="쉼표 [0] 4 3 2 28 2 3 3" xfId="32475"/>
    <cellStyle name="쉼표 [0] 4 3 2 28 2 4" xfId="13459"/>
    <cellStyle name="쉼표 [0] 4 3 2 28 2 4 2" xfId="38811"/>
    <cellStyle name="쉼표 [0] 4 3 2 28 2 5" xfId="26139"/>
    <cellStyle name="쉼표 [0] 4 3 2 28 3" xfId="3894"/>
    <cellStyle name="쉼표 [0] 4 3 2 28 3 2" xfId="10230"/>
    <cellStyle name="쉼표 [0] 4 3 2 28 3 2 2" xfId="22904"/>
    <cellStyle name="쉼표 [0] 4 3 2 28 3 2 2 2" xfId="48256"/>
    <cellStyle name="쉼표 [0] 4 3 2 28 3 2 3" xfId="35584"/>
    <cellStyle name="쉼표 [0] 4 3 2 28 3 3" xfId="16568"/>
    <cellStyle name="쉼표 [0] 4 3 2 28 3 3 2" xfId="41920"/>
    <cellStyle name="쉼표 [0] 4 3 2 28 3 4" xfId="29248"/>
    <cellStyle name="쉼표 [0] 4 3 2 28 4" xfId="7120"/>
    <cellStyle name="쉼표 [0] 4 3 2 28 4 2" xfId="19794"/>
    <cellStyle name="쉼표 [0] 4 3 2 28 4 2 2" xfId="45146"/>
    <cellStyle name="쉼표 [0] 4 3 2 28 4 3" xfId="32474"/>
    <cellStyle name="쉼표 [0] 4 3 2 28 5" xfId="13458"/>
    <cellStyle name="쉼표 [0] 4 3 2 28 5 2" xfId="38810"/>
    <cellStyle name="쉼표 [0] 4 3 2 28 6" xfId="26138"/>
    <cellStyle name="쉼표 [0] 4 3 2 29" xfId="785"/>
    <cellStyle name="쉼표 [0] 4 3 2 29 2" xfId="786"/>
    <cellStyle name="쉼표 [0] 4 3 2 29 2 2" xfId="3895"/>
    <cellStyle name="쉼표 [0] 4 3 2 29 2 2 2" xfId="10231"/>
    <cellStyle name="쉼표 [0] 4 3 2 29 2 2 2 2" xfId="22905"/>
    <cellStyle name="쉼표 [0] 4 3 2 29 2 2 2 2 2" xfId="48257"/>
    <cellStyle name="쉼표 [0] 4 3 2 29 2 2 2 3" xfId="35585"/>
    <cellStyle name="쉼표 [0] 4 3 2 29 2 2 3" xfId="16569"/>
    <cellStyle name="쉼표 [0] 4 3 2 29 2 2 3 2" xfId="41921"/>
    <cellStyle name="쉼표 [0] 4 3 2 29 2 2 4" xfId="29249"/>
    <cellStyle name="쉼표 [0] 4 3 2 29 2 3" xfId="7123"/>
    <cellStyle name="쉼표 [0] 4 3 2 29 2 3 2" xfId="19797"/>
    <cellStyle name="쉼표 [0] 4 3 2 29 2 3 2 2" xfId="45149"/>
    <cellStyle name="쉼표 [0] 4 3 2 29 2 3 3" xfId="32477"/>
    <cellStyle name="쉼표 [0] 4 3 2 29 2 4" xfId="13461"/>
    <cellStyle name="쉼표 [0] 4 3 2 29 2 4 2" xfId="38813"/>
    <cellStyle name="쉼표 [0] 4 3 2 29 2 5" xfId="26141"/>
    <cellStyle name="쉼표 [0] 4 3 2 29 3" xfId="3896"/>
    <cellStyle name="쉼표 [0] 4 3 2 29 3 2" xfId="10232"/>
    <cellStyle name="쉼표 [0] 4 3 2 29 3 2 2" xfId="22906"/>
    <cellStyle name="쉼표 [0] 4 3 2 29 3 2 2 2" xfId="48258"/>
    <cellStyle name="쉼표 [0] 4 3 2 29 3 2 3" xfId="35586"/>
    <cellStyle name="쉼표 [0] 4 3 2 29 3 3" xfId="16570"/>
    <cellStyle name="쉼표 [0] 4 3 2 29 3 3 2" xfId="41922"/>
    <cellStyle name="쉼표 [0] 4 3 2 29 3 4" xfId="29250"/>
    <cellStyle name="쉼표 [0] 4 3 2 29 4" xfId="7122"/>
    <cellStyle name="쉼표 [0] 4 3 2 29 4 2" xfId="19796"/>
    <cellStyle name="쉼표 [0] 4 3 2 29 4 2 2" xfId="45148"/>
    <cellStyle name="쉼표 [0] 4 3 2 29 4 3" xfId="32476"/>
    <cellStyle name="쉼표 [0] 4 3 2 29 5" xfId="13460"/>
    <cellStyle name="쉼표 [0] 4 3 2 29 5 2" xfId="38812"/>
    <cellStyle name="쉼표 [0] 4 3 2 29 6" xfId="26140"/>
    <cellStyle name="쉼표 [0] 4 3 2 3" xfId="66"/>
    <cellStyle name="쉼표 [0] 4 3 2 3 2" xfId="787"/>
    <cellStyle name="쉼표 [0] 4 3 2 3 2 2" xfId="3897"/>
    <cellStyle name="쉼표 [0] 4 3 2 3 2 2 2" xfId="10233"/>
    <cellStyle name="쉼표 [0] 4 3 2 3 2 2 2 2" xfId="22907"/>
    <cellStyle name="쉼표 [0] 4 3 2 3 2 2 2 2 2" xfId="48259"/>
    <cellStyle name="쉼표 [0] 4 3 2 3 2 2 2 3" xfId="35587"/>
    <cellStyle name="쉼표 [0] 4 3 2 3 2 2 3" xfId="16571"/>
    <cellStyle name="쉼표 [0] 4 3 2 3 2 2 3 2" xfId="41923"/>
    <cellStyle name="쉼표 [0] 4 3 2 3 2 2 4" xfId="29251"/>
    <cellStyle name="쉼표 [0] 4 3 2 3 2 3" xfId="7124"/>
    <cellStyle name="쉼표 [0] 4 3 2 3 2 3 2" xfId="19798"/>
    <cellStyle name="쉼표 [0] 4 3 2 3 2 3 2 2" xfId="45150"/>
    <cellStyle name="쉼표 [0] 4 3 2 3 2 3 3" xfId="32478"/>
    <cellStyle name="쉼표 [0] 4 3 2 3 2 4" xfId="13462"/>
    <cellStyle name="쉼표 [0] 4 3 2 3 2 4 2" xfId="38814"/>
    <cellStyle name="쉼표 [0] 4 3 2 3 2 5" xfId="26142"/>
    <cellStyle name="쉼표 [0] 4 3 2 3 3" xfId="3898"/>
    <cellStyle name="쉼표 [0] 4 3 2 3 3 2" xfId="10234"/>
    <cellStyle name="쉼표 [0] 4 3 2 3 3 2 2" xfId="22908"/>
    <cellStyle name="쉼표 [0] 4 3 2 3 3 2 2 2" xfId="48260"/>
    <cellStyle name="쉼표 [0] 4 3 2 3 3 2 3" xfId="35588"/>
    <cellStyle name="쉼표 [0] 4 3 2 3 3 3" xfId="16572"/>
    <cellStyle name="쉼표 [0] 4 3 2 3 3 3 2" xfId="41924"/>
    <cellStyle name="쉼표 [0] 4 3 2 3 3 4" xfId="29252"/>
    <cellStyle name="쉼표 [0] 4 3 2 3 4" xfId="6404"/>
    <cellStyle name="쉼표 [0] 4 3 2 3 4 2" xfId="19078"/>
    <cellStyle name="쉼표 [0] 4 3 2 3 4 2 2" xfId="44430"/>
    <cellStyle name="쉼표 [0] 4 3 2 3 4 3" xfId="31758"/>
    <cellStyle name="쉼표 [0] 4 3 2 3 5" xfId="12742"/>
    <cellStyle name="쉼표 [0] 4 3 2 3 5 2" xfId="38094"/>
    <cellStyle name="쉼표 [0] 4 3 2 3 6" xfId="25422"/>
    <cellStyle name="쉼표 [0] 4 3 2 30" xfId="788"/>
    <cellStyle name="쉼표 [0] 4 3 2 30 2" xfId="789"/>
    <cellStyle name="쉼표 [0] 4 3 2 30 2 2" xfId="3899"/>
    <cellStyle name="쉼표 [0] 4 3 2 30 2 2 2" xfId="10235"/>
    <cellStyle name="쉼표 [0] 4 3 2 30 2 2 2 2" xfId="22909"/>
    <cellStyle name="쉼표 [0] 4 3 2 30 2 2 2 2 2" xfId="48261"/>
    <cellStyle name="쉼표 [0] 4 3 2 30 2 2 2 3" xfId="35589"/>
    <cellStyle name="쉼표 [0] 4 3 2 30 2 2 3" xfId="16573"/>
    <cellStyle name="쉼표 [0] 4 3 2 30 2 2 3 2" xfId="41925"/>
    <cellStyle name="쉼표 [0] 4 3 2 30 2 2 4" xfId="29253"/>
    <cellStyle name="쉼표 [0] 4 3 2 30 2 3" xfId="7126"/>
    <cellStyle name="쉼표 [0] 4 3 2 30 2 3 2" xfId="19800"/>
    <cellStyle name="쉼표 [0] 4 3 2 30 2 3 2 2" xfId="45152"/>
    <cellStyle name="쉼표 [0] 4 3 2 30 2 3 3" xfId="32480"/>
    <cellStyle name="쉼표 [0] 4 3 2 30 2 4" xfId="13464"/>
    <cellStyle name="쉼표 [0] 4 3 2 30 2 4 2" xfId="38816"/>
    <cellStyle name="쉼표 [0] 4 3 2 30 2 5" xfId="26144"/>
    <cellStyle name="쉼표 [0] 4 3 2 30 3" xfId="3900"/>
    <cellStyle name="쉼표 [0] 4 3 2 30 3 2" xfId="10236"/>
    <cellStyle name="쉼표 [0] 4 3 2 30 3 2 2" xfId="22910"/>
    <cellStyle name="쉼표 [0] 4 3 2 30 3 2 2 2" xfId="48262"/>
    <cellStyle name="쉼표 [0] 4 3 2 30 3 2 3" xfId="35590"/>
    <cellStyle name="쉼표 [0] 4 3 2 30 3 3" xfId="16574"/>
    <cellStyle name="쉼표 [0] 4 3 2 30 3 3 2" xfId="41926"/>
    <cellStyle name="쉼표 [0] 4 3 2 30 3 4" xfId="29254"/>
    <cellStyle name="쉼표 [0] 4 3 2 30 4" xfId="7125"/>
    <cellStyle name="쉼표 [0] 4 3 2 30 4 2" xfId="19799"/>
    <cellStyle name="쉼표 [0] 4 3 2 30 4 2 2" xfId="45151"/>
    <cellStyle name="쉼표 [0] 4 3 2 30 4 3" xfId="32479"/>
    <cellStyle name="쉼표 [0] 4 3 2 30 5" xfId="13463"/>
    <cellStyle name="쉼표 [0] 4 3 2 30 5 2" xfId="38815"/>
    <cellStyle name="쉼표 [0] 4 3 2 30 6" xfId="26143"/>
    <cellStyle name="쉼표 [0] 4 3 2 31" xfId="790"/>
    <cellStyle name="쉼표 [0] 4 3 2 31 2" xfId="791"/>
    <cellStyle name="쉼표 [0] 4 3 2 31 2 2" xfId="3901"/>
    <cellStyle name="쉼표 [0] 4 3 2 31 2 2 2" xfId="10237"/>
    <cellStyle name="쉼표 [0] 4 3 2 31 2 2 2 2" xfId="22911"/>
    <cellStyle name="쉼표 [0] 4 3 2 31 2 2 2 2 2" xfId="48263"/>
    <cellStyle name="쉼표 [0] 4 3 2 31 2 2 2 3" xfId="35591"/>
    <cellStyle name="쉼표 [0] 4 3 2 31 2 2 3" xfId="16575"/>
    <cellStyle name="쉼표 [0] 4 3 2 31 2 2 3 2" xfId="41927"/>
    <cellStyle name="쉼표 [0] 4 3 2 31 2 2 4" xfId="29255"/>
    <cellStyle name="쉼표 [0] 4 3 2 31 2 3" xfId="7128"/>
    <cellStyle name="쉼표 [0] 4 3 2 31 2 3 2" xfId="19802"/>
    <cellStyle name="쉼표 [0] 4 3 2 31 2 3 2 2" xfId="45154"/>
    <cellStyle name="쉼표 [0] 4 3 2 31 2 3 3" xfId="32482"/>
    <cellStyle name="쉼표 [0] 4 3 2 31 2 4" xfId="13466"/>
    <cellStyle name="쉼표 [0] 4 3 2 31 2 4 2" xfId="38818"/>
    <cellStyle name="쉼표 [0] 4 3 2 31 2 5" xfId="26146"/>
    <cellStyle name="쉼표 [0] 4 3 2 31 3" xfId="3902"/>
    <cellStyle name="쉼표 [0] 4 3 2 31 3 2" xfId="10238"/>
    <cellStyle name="쉼표 [0] 4 3 2 31 3 2 2" xfId="22912"/>
    <cellStyle name="쉼표 [0] 4 3 2 31 3 2 2 2" xfId="48264"/>
    <cellStyle name="쉼표 [0] 4 3 2 31 3 2 3" xfId="35592"/>
    <cellStyle name="쉼표 [0] 4 3 2 31 3 3" xfId="16576"/>
    <cellStyle name="쉼표 [0] 4 3 2 31 3 3 2" xfId="41928"/>
    <cellStyle name="쉼표 [0] 4 3 2 31 3 4" xfId="29256"/>
    <cellStyle name="쉼표 [0] 4 3 2 31 4" xfId="7127"/>
    <cellStyle name="쉼표 [0] 4 3 2 31 4 2" xfId="19801"/>
    <cellStyle name="쉼표 [0] 4 3 2 31 4 2 2" xfId="45153"/>
    <cellStyle name="쉼표 [0] 4 3 2 31 4 3" xfId="32481"/>
    <cellStyle name="쉼표 [0] 4 3 2 31 5" xfId="13465"/>
    <cellStyle name="쉼표 [0] 4 3 2 31 5 2" xfId="38817"/>
    <cellStyle name="쉼표 [0] 4 3 2 31 6" xfId="26145"/>
    <cellStyle name="쉼표 [0] 4 3 2 32" xfId="792"/>
    <cellStyle name="쉼표 [0] 4 3 2 32 2" xfId="793"/>
    <cellStyle name="쉼표 [0] 4 3 2 32 2 2" xfId="3903"/>
    <cellStyle name="쉼표 [0] 4 3 2 32 2 2 2" xfId="10239"/>
    <cellStyle name="쉼표 [0] 4 3 2 32 2 2 2 2" xfId="22913"/>
    <cellStyle name="쉼표 [0] 4 3 2 32 2 2 2 2 2" xfId="48265"/>
    <cellStyle name="쉼표 [0] 4 3 2 32 2 2 2 3" xfId="35593"/>
    <cellStyle name="쉼표 [0] 4 3 2 32 2 2 3" xfId="16577"/>
    <cellStyle name="쉼표 [0] 4 3 2 32 2 2 3 2" xfId="41929"/>
    <cellStyle name="쉼표 [0] 4 3 2 32 2 2 4" xfId="29257"/>
    <cellStyle name="쉼표 [0] 4 3 2 32 2 3" xfId="7130"/>
    <cellStyle name="쉼표 [0] 4 3 2 32 2 3 2" xfId="19804"/>
    <cellStyle name="쉼표 [0] 4 3 2 32 2 3 2 2" xfId="45156"/>
    <cellStyle name="쉼표 [0] 4 3 2 32 2 3 3" xfId="32484"/>
    <cellStyle name="쉼표 [0] 4 3 2 32 2 4" xfId="13468"/>
    <cellStyle name="쉼표 [0] 4 3 2 32 2 4 2" xfId="38820"/>
    <cellStyle name="쉼표 [0] 4 3 2 32 2 5" xfId="26148"/>
    <cellStyle name="쉼표 [0] 4 3 2 32 3" xfId="3904"/>
    <cellStyle name="쉼표 [0] 4 3 2 32 3 2" xfId="10240"/>
    <cellStyle name="쉼표 [0] 4 3 2 32 3 2 2" xfId="22914"/>
    <cellStyle name="쉼표 [0] 4 3 2 32 3 2 2 2" xfId="48266"/>
    <cellStyle name="쉼표 [0] 4 3 2 32 3 2 3" xfId="35594"/>
    <cellStyle name="쉼표 [0] 4 3 2 32 3 3" xfId="16578"/>
    <cellStyle name="쉼표 [0] 4 3 2 32 3 3 2" xfId="41930"/>
    <cellStyle name="쉼표 [0] 4 3 2 32 3 4" xfId="29258"/>
    <cellStyle name="쉼표 [0] 4 3 2 32 4" xfId="7129"/>
    <cellStyle name="쉼표 [0] 4 3 2 32 4 2" xfId="19803"/>
    <cellStyle name="쉼표 [0] 4 3 2 32 4 2 2" xfId="45155"/>
    <cellStyle name="쉼표 [0] 4 3 2 32 4 3" xfId="32483"/>
    <cellStyle name="쉼표 [0] 4 3 2 32 5" xfId="13467"/>
    <cellStyle name="쉼표 [0] 4 3 2 32 5 2" xfId="38819"/>
    <cellStyle name="쉼표 [0] 4 3 2 32 6" xfId="26147"/>
    <cellStyle name="쉼표 [0] 4 3 2 33" xfId="794"/>
    <cellStyle name="쉼표 [0] 4 3 2 33 2" xfId="795"/>
    <cellStyle name="쉼표 [0] 4 3 2 33 2 2" xfId="3905"/>
    <cellStyle name="쉼표 [0] 4 3 2 33 2 2 2" xfId="10241"/>
    <cellStyle name="쉼표 [0] 4 3 2 33 2 2 2 2" xfId="22915"/>
    <cellStyle name="쉼표 [0] 4 3 2 33 2 2 2 2 2" xfId="48267"/>
    <cellStyle name="쉼표 [0] 4 3 2 33 2 2 2 3" xfId="35595"/>
    <cellStyle name="쉼표 [0] 4 3 2 33 2 2 3" xfId="16579"/>
    <cellStyle name="쉼표 [0] 4 3 2 33 2 2 3 2" xfId="41931"/>
    <cellStyle name="쉼표 [0] 4 3 2 33 2 2 4" xfId="29259"/>
    <cellStyle name="쉼표 [0] 4 3 2 33 2 3" xfId="7132"/>
    <cellStyle name="쉼표 [0] 4 3 2 33 2 3 2" xfId="19806"/>
    <cellStyle name="쉼표 [0] 4 3 2 33 2 3 2 2" xfId="45158"/>
    <cellStyle name="쉼표 [0] 4 3 2 33 2 3 3" xfId="32486"/>
    <cellStyle name="쉼표 [0] 4 3 2 33 2 4" xfId="13470"/>
    <cellStyle name="쉼표 [0] 4 3 2 33 2 4 2" xfId="38822"/>
    <cellStyle name="쉼표 [0] 4 3 2 33 2 5" xfId="26150"/>
    <cellStyle name="쉼표 [0] 4 3 2 33 3" xfId="3906"/>
    <cellStyle name="쉼표 [0] 4 3 2 33 3 2" xfId="10242"/>
    <cellStyle name="쉼표 [0] 4 3 2 33 3 2 2" xfId="22916"/>
    <cellStyle name="쉼표 [0] 4 3 2 33 3 2 2 2" xfId="48268"/>
    <cellStyle name="쉼표 [0] 4 3 2 33 3 2 3" xfId="35596"/>
    <cellStyle name="쉼표 [0] 4 3 2 33 3 3" xfId="16580"/>
    <cellStyle name="쉼표 [0] 4 3 2 33 3 3 2" xfId="41932"/>
    <cellStyle name="쉼표 [0] 4 3 2 33 3 4" xfId="29260"/>
    <cellStyle name="쉼표 [0] 4 3 2 33 4" xfId="7131"/>
    <cellStyle name="쉼표 [0] 4 3 2 33 4 2" xfId="19805"/>
    <cellStyle name="쉼표 [0] 4 3 2 33 4 2 2" xfId="45157"/>
    <cellStyle name="쉼표 [0] 4 3 2 33 4 3" xfId="32485"/>
    <cellStyle name="쉼표 [0] 4 3 2 33 5" xfId="13469"/>
    <cellStyle name="쉼표 [0] 4 3 2 33 5 2" xfId="38821"/>
    <cellStyle name="쉼표 [0] 4 3 2 33 6" xfId="26149"/>
    <cellStyle name="쉼표 [0] 4 3 2 34" xfId="796"/>
    <cellStyle name="쉼표 [0] 4 3 2 34 2" xfId="797"/>
    <cellStyle name="쉼표 [0] 4 3 2 34 2 2" xfId="3907"/>
    <cellStyle name="쉼표 [0] 4 3 2 34 2 2 2" xfId="10243"/>
    <cellStyle name="쉼표 [0] 4 3 2 34 2 2 2 2" xfId="22917"/>
    <cellStyle name="쉼표 [0] 4 3 2 34 2 2 2 2 2" xfId="48269"/>
    <cellStyle name="쉼표 [0] 4 3 2 34 2 2 2 3" xfId="35597"/>
    <cellStyle name="쉼표 [0] 4 3 2 34 2 2 3" xfId="16581"/>
    <cellStyle name="쉼표 [0] 4 3 2 34 2 2 3 2" xfId="41933"/>
    <cellStyle name="쉼표 [0] 4 3 2 34 2 2 4" xfId="29261"/>
    <cellStyle name="쉼표 [0] 4 3 2 34 2 3" xfId="7134"/>
    <cellStyle name="쉼표 [0] 4 3 2 34 2 3 2" xfId="19808"/>
    <cellStyle name="쉼표 [0] 4 3 2 34 2 3 2 2" xfId="45160"/>
    <cellStyle name="쉼표 [0] 4 3 2 34 2 3 3" xfId="32488"/>
    <cellStyle name="쉼표 [0] 4 3 2 34 2 4" xfId="13472"/>
    <cellStyle name="쉼표 [0] 4 3 2 34 2 4 2" xfId="38824"/>
    <cellStyle name="쉼표 [0] 4 3 2 34 2 5" xfId="26152"/>
    <cellStyle name="쉼표 [0] 4 3 2 34 3" xfId="3908"/>
    <cellStyle name="쉼표 [0] 4 3 2 34 3 2" xfId="10244"/>
    <cellStyle name="쉼표 [0] 4 3 2 34 3 2 2" xfId="22918"/>
    <cellStyle name="쉼표 [0] 4 3 2 34 3 2 2 2" xfId="48270"/>
    <cellStyle name="쉼표 [0] 4 3 2 34 3 2 3" xfId="35598"/>
    <cellStyle name="쉼표 [0] 4 3 2 34 3 3" xfId="16582"/>
    <cellStyle name="쉼표 [0] 4 3 2 34 3 3 2" xfId="41934"/>
    <cellStyle name="쉼표 [0] 4 3 2 34 3 4" xfId="29262"/>
    <cellStyle name="쉼표 [0] 4 3 2 34 4" xfId="7133"/>
    <cellStyle name="쉼표 [0] 4 3 2 34 4 2" xfId="19807"/>
    <cellStyle name="쉼표 [0] 4 3 2 34 4 2 2" xfId="45159"/>
    <cellStyle name="쉼표 [0] 4 3 2 34 4 3" xfId="32487"/>
    <cellStyle name="쉼표 [0] 4 3 2 34 5" xfId="13471"/>
    <cellStyle name="쉼표 [0] 4 3 2 34 5 2" xfId="38823"/>
    <cellStyle name="쉼표 [0] 4 3 2 34 6" xfId="26151"/>
    <cellStyle name="쉼표 [0] 4 3 2 35" xfId="798"/>
    <cellStyle name="쉼표 [0] 4 3 2 35 2" xfId="3909"/>
    <cellStyle name="쉼표 [0] 4 3 2 35 2 2" xfId="10245"/>
    <cellStyle name="쉼표 [0] 4 3 2 35 2 2 2" xfId="22919"/>
    <cellStyle name="쉼표 [0] 4 3 2 35 2 2 2 2" xfId="48271"/>
    <cellStyle name="쉼표 [0] 4 3 2 35 2 2 3" xfId="35599"/>
    <cellStyle name="쉼표 [0] 4 3 2 35 2 3" xfId="16583"/>
    <cellStyle name="쉼표 [0] 4 3 2 35 2 3 2" xfId="41935"/>
    <cellStyle name="쉼표 [0] 4 3 2 35 2 4" xfId="29263"/>
    <cellStyle name="쉼표 [0] 4 3 2 35 3" xfId="7135"/>
    <cellStyle name="쉼표 [0] 4 3 2 35 3 2" xfId="19809"/>
    <cellStyle name="쉼표 [0] 4 3 2 35 3 2 2" xfId="45161"/>
    <cellStyle name="쉼표 [0] 4 3 2 35 3 3" xfId="32489"/>
    <cellStyle name="쉼표 [0] 4 3 2 35 4" xfId="13473"/>
    <cellStyle name="쉼표 [0] 4 3 2 35 4 2" xfId="38825"/>
    <cellStyle name="쉼표 [0] 4 3 2 35 5" xfId="26153"/>
    <cellStyle name="쉼표 [0] 4 3 2 36" xfId="3910"/>
    <cellStyle name="쉼표 [0] 4 3 2 36 2" xfId="10246"/>
    <cellStyle name="쉼표 [0] 4 3 2 36 2 2" xfId="22920"/>
    <cellStyle name="쉼표 [0] 4 3 2 36 2 2 2" xfId="48272"/>
    <cellStyle name="쉼표 [0] 4 3 2 36 2 3" xfId="35600"/>
    <cellStyle name="쉼표 [0] 4 3 2 36 3" xfId="16584"/>
    <cellStyle name="쉼표 [0] 4 3 2 36 3 2" xfId="41936"/>
    <cellStyle name="쉼표 [0] 4 3 2 36 4" xfId="29264"/>
    <cellStyle name="쉼표 [0] 4 3 2 37" xfId="6391"/>
    <cellStyle name="쉼표 [0] 4 3 2 37 2" xfId="19065"/>
    <cellStyle name="쉼표 [0] 4 3 2 37 2 2" xfId="44417"/>
    <cellStyle name="쉼표 [0] 4 3 2 37 3" xfId="31745"/>
    <cellStyle name="쉼표 [0] 4 3 2 38" xfId="12729"/>
    <cellStyle name="쉼표 [0] 4 3 2 38 2" xfId="38081"/>
    <cellStyle name="쉼표 [0] 4 3 2 39" xfId="25409"/>
    <cellStyle name="쉼표 [0] 4 3 2 4" xfId="799"/>
    <cellStyle name="쉼표 [0] 4 3 2 4 2" xfId="800"/>
    <cellStyle name="쉼표 [0] 4 3 2 4 2 2" xfId="3911"/>
    <cellStyle name="쉼표 [0] 4 3 2 4 2 2 2" xfId="10247"/>
    <cellStyle name="쉼표 [0] 4 3 2 4 2 2 2 2" xfId="22921"/>
    <cellStyle name="쉼표 [0] 4 3 2 4 2 2 2 2 2" xfId="48273"/>
    <cellStyle name="쉼표 [0] 4 3 2 4 2 2 2 3" xfId="35601"/>
    <cellStyle name="쉼표 [0] 4 3 2 4 2 2 3" xfId="16585"/>
    <cellStyle name="쉼표 [0] 4 3 2 4 2 2 3 2" xfId="41937"/>
    <cellStyle name="쉼표 [0] 4 3 2 4 2 2 4" xfId="29265"/>
    <cellStyle name="쉼표 [0] 4 3 2 4 2 3" xfId="7137"/>
    <cellStyle name="쉼표 [0] 4 3 2 4 2 3 2" xfId="19811"/>
    <cellStyle name="쉼표 [0] 4 3 2 4 2 3 2 2" xfId="45163"/>
    <cellStyle name="쉼표 [0] 4 3 2 4 2 3 3" xfId="32491"/>
    <cellStyle name="쉼표 [0] 4 3 2 4 2 4" xfId="13475"/>
    <cellStyle name="쉼표 [0] 4 3 2 4 2 4 2" xfId="38827"/>
    <cellStyle name="쉼표 [0] 4 3 2 4 2 5" xfId="26155"/>
    <cellStyle name="쉼표 [0] 4 3 2 4 3" xfId="3912"/>
    <cellStyle name="쉼표 [0] 4 3 2 4 3 2" xfId="10248"/>
    <cellStyle name="쉼표 [0] 4 3 2 4 3 2 2" xfId="22922"/>
    <cellStyle name="쉼표 [0] 4 3 2 4 3 2 2 2" xfId="48274"/>
    <cellStyle name="쉼표 [0] 4 3 2 4 3 2 3" xfId="35602"/>
    <cellStyle name="쉼표 [0] 4 3 2 4 3 3" xfId="16586"/>
    <cellStyle name="쉼표 [0] 4 3 2 4 3 3 2" xfId="41938"/>
    <cellStyle name="쉼표 [0] 4 3 2 4 3 4" xfId="29266"/>
    <cellStyle name="쉼표 [0] 4 3 2 4 4" xfId="7136"/>
    <cellStyle name="쉼표 [0] 4 3 2 4 4 2" xfId="19810"/>
    <cellStyle name="쉼표 [0] 4 3 2 4 4 2 2" xfId="45162"/>
    <cellStyle name="쉼표 [0] 4 3 2 4 4 3" xfId="32490"/>
    <cellStyle name="쉼표 [0] 4 3 2 4 5" xfId="13474"/>
    <cellStyle name="쉼표 [0] 4 3 2 4 5 2" xfId="38826"/>
    <cellStyle name="쉼표 [0] 4 3 2 4 6" xfId="26154"/>
    <cellStyle name="쉼표 [0] 4 3 2 5" xfId="801"/>
    <cellStyle name="쉼표 [0] 4 3 2 5 2" xfId="802"/>
    <cellStyle name="쉼표 [0] 4 3 2 5 2 2" xfId="3913"/>
    <cellStyle name="쉼표 [0] 4 3 2 5 2 2 2" xfId="10249"/>
    <cellStyle name="쉼표 [0] 4 3 2 5 2 2 2 2" xfId="22923"/>
    <cellStyle name="쉼표 [0] 4 3 2 5 2 2 2 2 2" xfId="48275"/>
    <cellStyle name="쉼표 [0] 4 3 2 5 2 2 2 3" xfId="35603"/>
    <cellStyle name="쉼표 [0] 4 3 2 5 2 2 3" xfId="16587"/>
    <cellStyle name="쉼표 [0] 4 3 2 5 2 2 3 2" xfId="41939"/>
    <cellStyle name="쉼표 [0] 4 3 2 5 2 2 4" xfId="29267"/>
    <cellStyle name="쉼표 [0] 4 3 2 5 2 3" xfId="7139"/>
    <cellStyle name="쉼표 [0] 4 3 2 5 2 3 2" xfId="19813"/>
    <cellStyle name="쉼표 [0] 4 3 2 5 2 3 2 2" xfId="45165"/>
    <cellStyle name="쉼표 [0] 4 3 2 5 2 3 3" xfId="32493"/>
    <cellStyle name="쉼표 [0] 4 3 2 5 2 4" xfId="13477"/>
    <cellStyle name="쉼표 [0] 4 3 2 5 2 4 2" xfId="38829"/>
    <cellStyle name="쉼표 [0] 4 3 2 5 2 5" xfId="26157"/>
    <cellStyle name="쉼표 [0] 4 3 2 5 3" xfId="3914"/>
    <cellStyle name="쉼표 [0] 4 3 2 5 3 2" xfId="10250"/>
    <cellStyle name="쉼표 [0] 4 3 2 5 3 2 2" xfId="22924"/>
    <cellStyle name="쉼표 [0] 4 3 2 5 3 2 2 2" xfId="48276"/>
    <cellStyle name="쉼표 [0] 4 3 2 5 3 2 3" xfId="35604"/>
    <cellStyle name="쉼표 [0] 4 3 2 5 3 3" xfId="16588"/>
    <cellStyle name="쉼표 [0] 4 3 2 5 3 3 2" xfId="41940"/>
    <cellStyle name="쉼표 [0] 4 3 2 5 3 4" xfId="29268"/>
    <cellStyle name="쉼표 [0] 4 3 2 5 4" xfId="7138"/>
    <cellStyle name="쉼표 [0] 4 3 2 5 4 2" xfId="19812"/>
    <cellStyle name="쉼표 [0] 4 3 2 5 4 2 2" xfId="45164"/>
    <cellStyle name="쉼표 [0] 4 3 2 5 4 3" xfId="32492"/>
    <cellStyle name="쉼표 [0] 4 3 2 5 5" xfId="13476"/>
    <cellStyle name="쉼표 [0] 4 3 2 5 5 2" xfId="38828"/>
    <cellStyle name="쉼표 [0] 4 3 2 5 6" xfId="26156"/>
    <cellStyle name="쉼표 [0] 4 3 2 6" xfId="803"/>
    <cellStyle name="쉼표 [0] 4 3 2 6 2" xfId="804"/>
    <cellStyle name="쉼표 [0] 4 3 2 6 2 2" xfId="3915"/>
    <cellStyle name="쉼표 [0] 4 3 2 6 2 2 2" xfId="10251"/>
    <cellStyle name="쉼표 [0] 4 3 2 6 2 2 2 2" xfId="22925"/>
    <cellStyle name="쉼표 [0] 4 3 2 6 2 2 2 2 2" xfId="48277"/>
    <cellStyle name="쉼표 [0] 4 3 2 6 2 2 2 3" xfId="35605"/>
    <cellStyle name="쉼표 [0] 4 3 2 6 2 2 3" xfId="16589"/>
    <cellStyle name="쉼표 [0] 4 3 2 6 2 2 3 2" xfId="41941"/>
    <cellStyle name="쉼표 [0] 4 3 2 6 2 2 4" xfId="29269"/>
    <cellStyle name="쉼표 [0] 4 3 2 6 2 3" xfId="7141"/>
    <cellStyle name="쉼표 [0] 4 3 2 6 2 3 2" xfId="19815"/>
    <cellStyle name="쉼표 [0] 4 3 2 6 2 3 2 2" xfId="45167"/>
    <cellStyle name="쉼표 [0] 4 3 2 6 2 3 3" xfId="32495"/>
    <cellStyle name="쉼표 [0] 4 3 2 6 2 4" xfId="13479"/>
    <cellStyle name="쉼표 [0] 4 3 2 6 2 4 2" xfId="38831"/>
    <cellStyle name="쉼표 [0] 4 3 2 6 2 5" xfId="26159"/>
    <cellStyle name="쉼표 [0] 4 3 2 6 3" xfId="3916"/>
    <cellStyle name="쉼표 [0] 4 3 2 6 3 2" xfId="10252"/>
    <cellStyle name="쉼표 [0] 4 3 2 6 3 2 2" xfId="22926"/>
    <cellStyle name="쉼표 [0] 4 3 2 6 3 2 2 2" xfId="48278"/>
    <cellStyle name="쉼표 [0] 4 3 2 6 3 2 3" xfId="35606"/>
    <cellStyle name="쉼표 [0] 4 3 2 6 3 3" xfId="16590"/>
    <cellStyle name="쉼표 [0] 4 3 2 6 3 3 2" xfId="41942"/>
    <cellStyle name="쉼표 [0] 4 3 2 6 3 4" xfId="29270"/>
    <cellStyle name="쉼표 [0] 4 3 2 6 4" xfId="7140"/>
    <cellStyle name="쉼표 [0] 4 3 2 6 4 2" xfId="19814"/>
    <cellStyle name="쉼표 [0] 4 3 2 6 4 2 2" xfId="45166"/>
    <cellStyle name="쉼표 [0] 4 3 2 6 4 3" xfId="32494"/>
    <cellStyle name="쉼표 [0] 4 3 2 6 5" xfId="13478"/>
    <cellStyle name="쉼표 [0] 4 3 2 6 5 2" xfId="38830"/>
    <cellStyle name="쉼표 [0] 4 3 2 6 6" xfId="26158"/>
    <cellStyle name="쉼표 [0] 4 3 2 7" xfId="805"/>
    <cellStyle name="쉼표 [0] 4 3 2 7 2" xfId="806"/>
    <cellStyle name="쉼표 [0] 4 3 2 7 2 2" xfId="3917"/>
    <cellStyle name="쉼표 [0] 4 3 2 7 2 2 2" xfId="10253"/>
    <cellStyle name="쉼표 [0] 4 3 2 7 2 2 2 2" xfId="22927"/>
    <cellStyle name="쉼표 [0] 4 3 2 7 2 2 2 2 2" xfId="48279"/>
    <cellStyle name="쉼표 [0] 4 3 2 7 2 2 2 3" xfId="35607"/>
    <cellStyle name="쉼표 [0] 4 3 2 7 2 2 3" xfId="16591"/>
    <cellStyle name="쉼표 [0] 4 3 2 7 2 2 3 2" xfId="41943"/>
    <cellStyle name="쉼표 [0] 4 3 2 7 2 2 4" xfId="29271"/>
    <cellStyle name="쉼표 [0] 4 3 2 7 2 3" xfId="7143"/>
    <cellStyle name="쉼표 [0] 4 3 2 7 2 3 2" xfId="19817"/>
    <cellStyle name="쉼표 [0] 4 3 2 7 2 3 2 2" xfId="45169"/>
    <cellStyle name="쉼표 [0] 4 3 2 7 2 3 3" xfId="32497"/>
    <cellStyle name="쉼표 [0] 4 3 2 7 2 4" xfId="13481"/>
    <cellStyle name="쉼표 [0] 4 3 2 7 2 4 2" xfId="38833"/>
    <cellStyle name="쉼표 [0] 4 3 2 7 2 5" xfId="26161"/>
    <cellStyle name="쉼표 [0] 4 3 2 7 3" xfId="3918"/>
    <cellStyle name="쉼표 [0] 4 3 2 7 3 2" xfId="10254"/>
    <cellStyle name="쉼표 [0] 4 3 2 7 3 2 2" xfId="22928"/>
    <cellStyle name="쉼표 [0] 4 3 2 7 3 2 2 2" xfId="48280"/>
    <cellStyle name="쉼표 [0] 4 3 2 7 3 2 3" xfId="35608"/>
    <cellStyle name="쉼표 [0] 4 3 2 7 3 3" xfId="16592"/>
    <cellStyle name="쉼표 [0] 4 3 2 7 3 3 2" xfId="41944"/>
    <cellStyle name="쉼표 [0] 4 3 2 7 3 4" xfId="29272"/>
    <cellStyle name="쉼표 [0] 4 3 2 7 4" xfId="7142"/>
    <cellStyle name="쉼표 [0] 4 3 2 7 4 2" xfId="19816"/>
    <cellStyle name="쉼표 [0] 4 3 2 7 4 2 2" xfId="45168"/>
    <cellStyle name="쉼표 [0] 4 3 2 7 4 3" xfId="32496"/>
    <cellStyle name="쉼표 [0] 4 3 2 7 5" xfId="13480"/>
    <cellStyle name="쉼표 [0] 4 3 2 7 5 2" xfId="38832"/>
    <cellStyle name="쉼표 [0] 4 3 2 7 6" xfId="26160"/>
    <cellStyle name="쉼표 [0] 4 3 2 8" xfId="807"/>
    <cellStyle name="쉼표 [0] 4 3 2 8 2" xfId="808"/>
    <cellStyle name="쉼표 [0] 4 3 2 8 2 2" xfId="3919"/>
    <cellStyle name="쉼표 [0] 4 3 2 8 2 2 2" xfId="10255"/>
    <cellStyle name="쉼표 [0] 4 3 2 8 2 2 2 2" xfId="22929"/>
    <cellStyle name="쉼표 [0] 4 3 2 8 2 2 2 2 2" xfId="48281"/>
    <cellStyle name="쉼표 [0] 4 3 2 8 2 2 2 3" xfId="35609"/>
    <cellStyle name="쉼표 [0] 4 3 2 8 2 2 3" xfId="16593"/>
    <cellStyle name="쉼표 [0] 4 3 2 8 2 2 3 2" xfId="41945"/>
    <cellStyle name="쉼표 [0] 4 3 2 8 2 2 4" xfId="29273"/>
    <cellStyle name="쉼표 [0] 4 3 2 8 2 3" xfId="7145"/>
    <cellStyle name="쉼표 [0] 4 3 2 8 2 3 2" xfId="19819"/>
    <cellStyle name="쉼표 [0] 4 3 2 8 2 3 2 2" xfId="45171"/>
    <cellStyle name="쉼표 [0] 4 3 2 8 2 3 3" xfId="32499"/>
    <cellStyle name="쉼표 [0] 4 3 2 8 2 4" xfId="13483"/>
    <cellStyle name="쉼표 [0] 4 3 2 8 2 4 2" xfId="38835"/>
    <cellStyle name="쉼표 [0] 4 3 2 8 2 5" xfId="26163"/>
    <cellStyle name="쉼표 [0] 4 3 2 8 3" xfId="3920"/>
    <cellStyle name="쉼표 [0] 4 3 2 8 3 2" xfId="10256"/>
    <cellStyle name="쉼표 [0] 4 3 2 8 3 2 2" xfId="22930"/>
    <cellStyle name="쉼표 [0] 4 3 2 8 3 2 2 2" xfId="48282"/>
    <cellStyle name="쉼표 [0] 4 3 2 8 3 2 3" xfId="35610"/>
    <cellStyle name="쉼표 [0] 4 3 2 8 3 3" xfId="16594"/>
    <cellStyle name="쉼표 [0] 4 3 2 8 3 3 2" xfId="41946"/>
    <cellStyle name="쉼표 [0] 4 3 2 8 3 4" xfId="29274"/>
    <cellStyle name="쉼표 [0] 4 3 2 8 4" xfId="7144"/>
    <cellStyle name="쉼표 [0] 4 3 2 8 4 2" xfId="19818"/>
    <cellStyle name="쉼표 [0] 4 3 2 8 4 2 2" xfId="45170"/>
    <cellStyle name="쉼표 [0] 4 3 2 8 4 3" xfId="32498"/>
    <cellStyle name="쉼표 [0] 4 3 2 8 5" xfId="13482"/>
    <cellStyle name="쉼표 [0] 4 3 2 8 5 2" xfId="38834"/>
    <cellStyle name="쉼표 [0] 4 3 2 8 6" xfId="26162"/>
    <cellStyle name="쉼표 [0] 4 3 2 9" xfId="809"/>
    <cellStyle name="쉼표 [0] 4 3 2 9 2" xfId="810"/>
    <cellStyle name="쉼표 [0] 4 3 2 9 2 2" xfId="3921"/>
    <cellStyle name="쉼표 [0] 4 3 2 9 2 2 2" xfId="10257"/>
    <cellStyle name="쉼표 [0] 4 3 2 9 2 2 2 2" xfId="22931"/>
    <cellStyle name="쉼표 [0] 4 3 2 9 2 2 2 2 2" xfId="48283"/>
    <cellStyle name="쉼표 [0] 4 3 2 9 2 2 2 3" xfId="35611"/>
    <cellStyle name="쉼표 [0] 4 3 2 9 2 2 3" xfId="16595"/>
    <cellStyle name="쉼표 [0] 4 3 2 9 2 2 3 2" xfId="41947"/>
    <cellStyle name="쉼표 [0] 4 3 2 9 2 2 4" xfId="29275"/>
    <cellStyle name="쉼표 [0] 4 3 2 9 2 3" xfId="7147"/>
    <cellStyle name="쉼표 [0] 4 3 2 9 2 3 2" xfId="19821"/>
    <cellStyle name="쉼표 [0] 4 3 2 9 2 3 2 2" xfId="45173"/>
    <cellStyle name="쉼표 [0] 4 3 2 9 2 3 3" xfId="32501"/>
    <cellStyle name="쉼표 [0] 4 3 2 9 2 4" xfId="13485"/>
    <cellStyle name="쉼표 [0] 4 3 2 9 2 4 2" xfId="38837"/>
    <cellStyle name="쉼표 [0] 4 3 2 9 2 5" xfId="26165"/>
    <cellStyle name="쉼표 [0] 4 3 2 9 3" xfId="3922"/>
    <cellStyle name="쉼표 [0] 4 3 2 9 3 2" xfId="10258"/>
    <cellStyle name="쉼표 [0] 4 3 2 9 3 2 2" xfId="22932"/>
    <cellStyle name="쉼표 [0] 4 3 2 9 3 2 2 2" xfId="48284"/>
    <cellStyle name="쉼표 [0] 4 3 2 9 3 2 3" xfId="35612"/>
    <cellStyle name="쉼표 [0] 4 3 2 9 3 3" xfId="16596"/>
    <cellStyle name="쉼표 [0] 4 3 2 9 3 3 2" xfId="41948"/>
    <cellStyle name="쉼표 [0] 4 3 2 9 3 4" xfId="29276"/>
    <cellStyle name="쉼표 [0] 4 3 2 9 4" xfId="7146"/>
    <cellStyle name="쉼표 [0] 4 3 2 9 4 2" xfId="19820"/>
    <cellStyle name="쉼표 [0] 4 3 2 9 4 2 2" xfId="45172"/>
    <cellStyle name="쉼표 [0] 4 3 2 9 4 3" xfId="32500"/>
    <cellStyle name="쉼표 [0] 4 3 2 9 5" xfId="13484"/>
    <cellStyle name="쉼표 [0] 4 3 2 9 5 2" xfId="38836"/>
    <cellStyle name="쉼표 [0] 4 3 2 9 6" xfId="26164"/>
    <cellStyle name="쉼표 [0] 4 3 20" xfId="811"/>
    <cellStyle name="쉼표 [0] 4 3 20 2" xfId="812"/>
    <cellStyle name="쉼표 [0] 4 3 20 2 2" xfId="3923"/>
    <cellStyle name="쉼표 [0] 4 3 20 2 2 2" xfId="10259"/>
    <cellStyle name="쉼표 [0] 4 3 20 2 2 2 2" xfId="22933"/>
    <cellStyle name="쉼표 [0] 4 3 20 2 2 2 2 2" xfId="48285"/>
    <cellStyle name="쉼표 [0] 4 3 20 2 2 2 3" xfId="35613"/>
    <cellStyle name="쉼표 [0] 4 3 20 2 2 3" xfId="16597"/>
    <cellStyle name="쉼표 [0] 4 3 20 2 2 3 2" xfId="41949"/>
    <cellStyle name="쉼표 [0] 4 3 20 2 2 4" xfId="29277"/>
    <cellStyle name="쉼표 [0] 4 3 20 2 3" xfId="7149"/>
    <cellStyle name="쉼표 [0] 4 3 20 2 3 2" xfId="19823"/>
    <cellStyle name="쉼표 [0] 4 3 20 2 3 2 2" xfId="45175"/>
    <cellStyle name="쉼표 [0] 4 3 20 2 3 3" xfId="32503"/>
    <cellStyle name="쉼표 [0] 4 3 20 2 4" xfId="13487"/>
    <cellStyle name="쉼표 [0] 4 3 20 2 4 2" xfId="38839"/>
    <cellStyle name="쉼표 [0] 4 3 20 2 5" xfId="26167"/>
    <cellStyle name="쉼표 [0] 4 3 20 3" xfId="3924"/>
    <cellStyle name="쉼표 [0] 4 3 20 3 2" xfId="10260"/>
    <cellStyle name="쉼표 [0] 4 3 20 3 2 2" xfId="22934"/>
    <cellStyle name="쉼표 [0] 4 3 20 3 2 2 2" xfId="48286"/>
    <cellStyle name="쉼표 [0] 4 3 20 3 2 3" xfId="35614"/>
    <cellStyle name="쉼표 [0] 4 3 20 3 3" xfId="16598"/>
    <cellStyle name="쉼표 [0] 4 3 20 3 3 2" xfId="41950"/>
    <cellStyle name="쉼표 [0] 4 3 20 3 4" xfId="29278"/>
    <cellStyle name="쉼표 [0] 4 3 20 4" xfId="7148"/>
    <cellStyle name="쉼표 [0] 4 3 20 4 2" xfId="19822"/>
    <cellStyle name="쉼표 [0] 4 3 20 4 2 2" xfId="45174"/>
    <cellStyle name="쉼표 [0] 4 3 20 4 3" xfId="32502"/>
    <cellStyle name="쉼표 [0] 4 3 20 5" xfId="13486"/>
    <cellStyle name="쉼표 [0] 4 3 20 5 2" xfId="38838"/>
    <cellStyle name="쉼표 [0] 4 3 20 6" xfId="26166"/>
    <cellStyle name="쉼표 [0] 4 3 21" xfId="813"/>
    <cellStyle name="쉼표 [0] 4 3 21 2" xfId="814"/>
    <cellStyle name="쉼표 [0] 4 3 21 2 2" xfId="3925"/>
    <cellStyle name="쉼표 [0] 4 3 21 2 2 2" xfId="10261"/>
    <cellStyle name="쉼표 [0] 4 3 21 2 2 2 2" xfId="22935"/>
    <cellStyle name="쉼표 [0] 4 3 21 2 2 2 2 2" xfId="48287"/>
    <cellStyle name="쉼표 [0] 4 3 21 2 2 2 3" xfId="35615"/>
    <cellStyle name="쉼표 [0] 4 3 21 2 2 3" xfId="16599"/>
    <cellStyle name="쉼표 [0] 4 3 21 2 2 3 2" xfId="41951"/>
    <cellStyle name="쉼표 [0] 4 3 21 2 2 4" xfId="29279"/>
    <cellStyle name="쉼표 [0] 4 3 21 2 3" xfId="7151"/>
    <cellStyle name="쉼표 [0] 4 3 21 2 3 2" xfId="19825"/>
    <cellStyle name="쉼표 [0] 4 3 21 2 3 2 2" xfId="45177"/>
    <cellStyle name="쉼표 [0] 4 3 21 2 3 3" xfId="32505"/>
    <cellStyle name="쉼표 [0] 4 3 21 2 4" xfId="13489"/>
    <cellStyle name="쉼표 [0] 4 3 21 2 4 2" xfId="38841"/>
    <cellStyle name="쉼표 [0] 4 3 21 2 5" xfId="26169"/>
    <cellStyle name="쉼표 [0] 4 3 21 3" xfId="3926"/>
    <cellStyle name="쉼표 [0] 4 3 21 3 2" xfId="10262"/>
    <cellStyle name="쉼표 [0] 4 3 21 3 2 2" xfId="22936"/>
    <cellStyle name="쉼표 [0] 4 3 21 3 2 2 2" xfId="48288"/>
    <cellStyle name="쉼표 [0] 4 3 21 3 2 3" xfId="35616"/>
    <cellStyle name="쉼표 [0] 4 3 21 3 3" xfId="16600"/>
    <cellStyle name="쉼표 [0] 4 3 21 3 3 2" xfId="41952"/>
    <cellStyle name="쉼표 [0] 4 3 21 3 4" xfId="29280"/>
    <cellStyle name="쉼표 [0] 4 3 21 4" xfId="7150"/>
    <cellStyle name="쉼표 [0] 4 3 21 4 2" xfId="19824"/>
    <cellStyle name="쉼표 [0] 4 3 21 4 2 2" xfId="45176"/>
    <cellStyle name="쉼표 [0] 4 3 21 4 3" xfId="32504"/>
    <cellStyle name="쉼표 [0] 4 3 21 5" xfId="13488"/>
    <cellStyle name="쉼표 [0] 4 3 21 5 2" xfId="38840"/>
    <cellStyle name="쉼표 [0] 4 3 21 6" xfId="26168"/>
    <cellStyle name="쉼표 [0] 4 3 22" xfId="815"/>
    <cellStyle name="쉼표 [0] 4 3 22 2" xfId="816"/>
    <cellStyle name="쉼표 [0] 4 3 22 2 2" xfId="3927"/>
    <cellStyle name="쉼표 [0] 4 3 22 2 2 2" xfId="10263"/>
    <cellStyle name="쉼표 [0] 4 3 22 2 2 2 2" xfId="22937"/>
    <cellStyle name="쉼표 [0] 4 3 22 2 2 2 2 2" xfId="48289"/>
    <cellStyle name="쉼표 [0] 4 3 22 2 2 2 3" xfId="35617"/>
    <cellStyle name="쉼표 [0] 4 3 22 2 2 3" xfId="16601"/>
    <cellStyle name="쉼표 [0] 4 3 22 2 2 3 2" xfId="41953"/>
    <cellStyle name="쉼표 [0] 4 3 22 2 2 4" xfId="29281"/>
    <cellStyle name="쉼표 [0] 4 3 22 2 3" xfId="7153"/>
    <cellStyle name="쉼표 [0] 4 3 22 2 3 2" xfId="19827"/>
    <cellStyle name="쉼표 [0] 4 3 22 2 3 2 2" xfId="45179"/>
    <cellStyle name="쉼표 [0] 4 3 22 2 3 3" xfId="32507"/>
    <cellStyle name="쉼표 [0] 4 3 22 2 4" xfId="13491"/>
    <cellStyle name="쉼표 [0] 4 3 22 2 4 2" xfId="38843"/>
    <cellStyle name="쉼표 [0] 4 3 22 2 5" xfId="26171"/>
    <cellStyle name="쉼표 [0] 4 3 22 3" xfId="3928"/>
    <cellStyle name="쉼표 [0] 4 3 22 3 2" xfId="10264"/>
    <cellStyle name="쉼표 [0] 4 3 22 3 2 2" xfId="22938"/>
    <cellStyle name="쉼표 [0] 4 3 22 3 2 2 2" xfId="48290"/>
    <cellStyle name="쉼표 [0] 4 3 22 3 2 3" xfId="35618"/>
    <cellStyle name="쉼표 [0] 4 3 22 3 3" xfId="16602"/>
    <cellStyle name="쉼표 [0] 4 3 22 3 3 2" xfId="41954"/>
    <cellStyle name="쉼표 [0] 4 3 22 3 4" xfId="29282"/>
    <cellStyle name="쉼표 [0] 4 3 22 4" xfId="7152"/>
    <cellStyle name="쉼표 [0] 4 3 22 4 2" xfId="19826"/>
    <cellStyle name="쉼표 [0] 4 3 22 4 2 2" xfId="45178"/>
    <cellStyle name="쉼표 [0] 4 3 22 4 3" xfId="32506"/>
    <cellStyle name="쉼표 [0] 4 3 22 5" xfId="13490"/>
    <cellStyle name="쉼표 [0] 4 3 22 5 2" xfId="38842"/>
    <cellStyle name="쉼표 [0] 4 3 22 6" xfId="26170"/>
    <cellStyle name="쉼표 [0] 4 3 23" xfId="817"/>
    <cellStyle name="쉼표 [0] 4 3 23 2" xfId="818"/>
    <cellStyle name="쉼표 [0] 4 3 23 2 2" xfId="3929"/>
    <cellStyle name="쉼표 [0] 4 3 23 2 2 2" xfId="10265"/>
    <cellStyle name="쉼표 [0] 4 3 23 2 2 2 2" xfId="22939"/>
    <cellStyle name="쉼표 [0] 4 3 23 2 2 2 2 2" xfId="48291"/>
    <cellStyle name="쉼표 [0] 4 3 23 2 2 2 3" xfId="35619"/>
    <cellStyle name="쉼표 [0] 4 3 23 2 2 3" xfId="16603"/>
    <cellStyle name="쉼표 [0] 4 3 23 2 2 3 2" xfId="41955"/>
    <cellStyle name="쉼표 [0] 4 3 23 2 2 4" xfId="29283"/>
    <cellStyle name="쉼표 [0] 4 3 23 2 3" xfId="7155"/>
    <cellStyle name="쉼표 [0] 4 3 23 2 3 2" xfId="19829"/>
    <cellStyle name="쉼표 [0] 4 3 23 2 3 2 2" xfId="45181"/>
    <cellStyle name="쉼표 [0] 4 3 23 2 3 3" xfId="32509"/>
    <cellStyle name="쉼표 [0] 4 3 23 2 4" xfId="13493"/>
    <cellStyle name="쉼표 [0] 4 3 23 2 4 2" xfId="38845"/>
    <cellStyle name="쉼표 [0] 4 3 23 2 5" xfId="26173"/>
    <cellStyle name="쉼표 [0] 4 3 23 3" xfId="3930"/>
    <cellStyle name="쉼표 [0] 4 3 23 3 2" xfId="10266"/>
    <cellStyle name="쉼표 [0] 4 3 23 3 2 2" xfId="22940"/>
    <cellStyle name="쉼표 [0] 4 3 23 3 2 2 2" xfId="48292"/>
    <cellStyle name="쉼표 [0] 4 3 23 3 2 3" xfId="35620"/>
    <cellStyle name="쉼표 [0] 4 3 23 3 3" xfId="16604"/>
    <cellStyle name="쉼표 [0] 4 3 23 3 3 2" xfId="41956"/>
    <cellStyle name="쉼표 [0] 4 3 23 3 4" xfId="29284"/>
    <cellStyle name="쉼표 [0] 4 3 23 4" xfId="7154"/>
    <cellStyle name="쉼표 [0] 4 3 23 4 2" xfId="19828"/>
    <cellStyle name="쉼표 [0] 4 3 23 4 2 2" xfId="45180"/>
    <cellStyle name="쉼표 [0] 4 3 23 4 3" xfId="32508"/>
    <cellStyle name="쉼표 [0] 4 3 23 5" xfId="13492"/>
    <cellStyle name="쉼표 [0] 4 3 23 5 2" xfId="38844"/>
    <cellStyle name="쉼표 [0] 4 3 23 6" xfId="26172"/>
    <cellStyle name="쉼표 [0] 4 3 24" xfId="819"/>
    <cellStyle name="쉼표 [0] 4 3 24 2" xfId="820"/>
    <cellStyle name="쉼표 [0] 4 3 24 2 2" xfId="3931"/>
    <cellStyle name="쉼표 [0] 4 3 24 2 2 2" xfId="10267"/>
    <cellStyle name="쉼표 [0] 4 3 24 2 2 2 2" xfId="22941"/>
    <cellStyle name="쉼표 [0] 4 3 24 2 2 2 2 2" xfId="48293"/>
    <cellStyle name="쉼표 [0] 4 3 24 2 2 2 3" xfId="35621"/>
    <cellStyle name="쉼표 [0] 4 3 24 2 2 3" xfId="16605"/>
    <cellStyle name="쉼표 [0] 4 3 24 2 2 3 2" xfId="41957"/>
    <cellStyle name="쉼표 [0] 4 3 24 2 2 4" xfId="29285"/>
    <cellStyle name="쉼표 [0] 4 3 24 2 3" xfId="7157"/>
    <cellStyle name="쉼표 [0] 4 3 24 2 3 2" xfId="19831"/>
    <cellStyle name="쉼표 [0] 4 3 24 2 3 2 2" xfId="45183"/>
    <cellStyle name="쉼표 [0] 4 3 24 2 3 3" xfId="32511"/>
    <cellStyle name="쉼표 [0] 4 3 24 2 4" xfId="13495"/>
    <cellStyle name="쉼표 [0] 4 3 24 2 4 2" xfId="38847"/>
    <cellStyle name="쉼표 [0] 4 3 24 2 5" xfId="26175"/>
    <cellStyle name="쉼표 [0] 4 3 24 3" xfId="3932"/>
    <cellStyle name="쉼표 [0] 4 3 24 3 2" xfId="10268"/>
    <cellStyle name="쉼표 [0] 4 3 24 3 2 2" xfId="22942"/>
    <cellStyle name="쉼표 [0] 4 3 24 3 2 2 2" xfId="48294"/>
    <cellStyle name="쉼표 [0] 4 3 24 3 2 3" xfId="35622"/>
    <cellStyle name="쉼표 [0] 4 3 24 3 3" xfId="16606"/>
    <cellStyle name="쉼표 [0] 4 3 24 3 3 2" xfId="41958"/>
    <cellStyle name="쉼표 [0] 4 3 24 3 4" xfId="29286"/>
    <cellStyle name="쉼표 [0] 4 3 24 4" xfId="7156"/>
    <cellStyle name="쉼표 [0] 4 3 24 4 2" xfId="19830"/>
    <cellStyle name="쉼표 [0] 4 3 24 4 2 2" xfId="45182"/>
    <cellStyle name="쉼표 [0] 4 3 24 4 3" xfId="32510"/>
    <cellStyle name="쉼표 [0] 4 3 24 5" xfId="13494"/>
    <cellStyle name="쉼표 [0] 4 3 24 5 2" xfId="38846"/>
    <cellStyle name="쉼표 [0] 4 3 24 6" xfId="26174"/>
    <cellStyle name="쉼표 [0] 4 3 25" xfId="821"/>
    <cellStyle name="쉼표 [0] 4 3 25 2" xfId="822"/>
    <cellStyle name="쉼표 [0] 4 3 25 2 2" xfId="3933"/>
    <cellStyle name="쉼표 [0] 4 3 25 2 2 2" xfId="10269"/>
    <cellStyle name="쉼표 [0] 4 3 25 2 2 2 2" xfId="22943"/>
    <cellStyle name="쉼표 [0] 4 3 25 2 2 2 2 2" xfId="48295"/>
    <cellStyle name="쉼표 [0] 4 3 25 2 2 2 3" xfId="35623"/>
    <cellStyle name="쉼표 [0] 4 3 25 2 2 3" xfId="16607"/>
    <cellStyle name="쉼표 [0] 4 3 25 2 2 3 2" xfId="41959"/>
    <cellStyle name="쉼표 [0] 4 3 25 2 2 4" xfId="29287"/>
    <cellStyle name="쉼표 [0] 4 3 25 2 3" xfId="7159"/>
    <cellStyle name="쉼표 [0] 4 3 25 2 3 2" xfId="19833"/>
    <cellStyle name="쉼표 [0] 4 3 25 2 3 2 2" xfId="45185"/>
    <cellStyle name="쉼표 [0] 4 3 25 2 3 3" xfId="32513"/>
    <cellStyle name="쉼표 [0] 4 3 25 2 4" xfId="13497"/>
    <cellStyle name="쉼표 [0] 4 3 25 2 4 2" xfId="38849"/>
    <cellStyle name="쉼표 [0] 4 3 25 2 5" xfId="26177"/>
    <cellStyle name="쉼표 [0] 4 3 25 3" xfId="3934"/>
    <cellStyle name="쉼표 [0] 4 3 25 3 2" xfId="10270"/>
    <cellStyle name="쉼표 [0] 4 3 25 3 2 2" xfId="22944"/>
    <cellStyle name="쉼표 [0] 4 3 25 3 2 2 2" xfId="48296"/>
    <cellStyle name="쉼표 [0] 4 3 25 3 2 3" xfId="35624"/>
    <cellStyle name="쉼표 [0] 4 3 25 3 3" xfId="16608"/>
    <cellStyle name="쉼표 [0] 4 3 25 3 3 2" xfId="41960"/>
    <cellStyle name="쉼표 [0] 4 3 25 3 4" xfId="29288"/>
    <cellStyle name="쉼표 [0] 4 3 25 4" xfId="7158"/>
    <cellStyle name="쉼표 [0] 4 3 25 4 2" xfId="19832"/>
    <cellStyle name="쉼표 [0] 4 3 25 4 2 2" xfId="45184"/>
    <cellStyle name="쉼표 [0] 4 3 25 4 3" xfId="32512"/>
    <cellStyle name="쉼표 [0] 4 3 25 5" xfId="13496"/>
    <cellStyle name="쉼표 [0] 4 3 25 5 2" xfId="38848"/>
    <cellStyle name="쉼표 [0] 4 3 25 6" xfId="26176"/>
    <cellStyle name="쉼표 [0] 4 3 26" xfId="823"/>
    <cellStyle name="쉼표 [0] 4 3 26 2" xfId="824"/>
    <cellStyle name="쉼표 [0] 4 3 26 2 2" xfId="3935"/>
    <cellStyle name="쉼표 [0] 4 3 26 2 2 2" xfId="10271"/>
    <cellStyle name="쉼표 [0] 4 3 26 2 2 2 2" xfId="22945"/>
    <cellStyle name="쉼표 [0] 4 3 26 2 2 2 2 2" xfId="48297"/>
    <cellStyle name="쉼표 [0] 4 3 26 2 2 2 3" xfId="35625"/>
    <cellStyle name="쉼표 [0] 4 3 26 2 2 3" xfId="16609"/>
    <cellStyle name="쉼표 [0] 4 3 26 2 2 3 2" xfId="41961"/>
    <cellStyle name="쉼표 [0] 4 3 26 2 2 4" xfId="29289"/>
    <cellStyle name="쉼표 [0] 4 3 26 2 3" xfId="7161"/>
    <cellStyle name="쉼표 [0] 4 3 26 2 3 2" xfId="19835"/>
    <cellStyle name="쉼표 [0] 4 3 26 2 3 2 2" xfId="45187"/>
    <cellStyle name="쉼표 [0] 4 3 26 2 3 3" xfId="32515"/>
    <cellStyle name="쉼표 [0] 4 3 26 2 4" xfId="13499"/>
    <cellStyle name="쉼표 [0] 4 3 26 2 4 2" xfId="38851"/>
    <cellStyle name="쉼표 [0] 4 3 26 2 5" xfId="26179"/>
    <cellStyle name="쉼표 [0] 4 3 26 3" xfId="3936"/>
    <cellStyle name="쉼표 [0] 4 3 26 3 2" xfId="10272"/>
    <cellStyle name="쉼표 [0] 4 3 26 3 2 2" xfId="22946"/>
    <cellStyle name="쉼표 [0] 4 3 26 3 2 2 2" xfId="48298"/>
    <cellStyle name="쉼표 [0] 4 3 26 3 2 3" xfId="35626"/>
    <cellStyle name="쉼표 [0] 4 3 26 3 3" xfId="16610"/>
    <cellStyle name="쉼표 [0] 4 3 26 3 3 2" xfId="41962"/>
    <cellStyle name="쉼표 [0] 4 3 26 3 4" xfId="29290"/>
    <cellStyle name="쉼표 [0] 4 3 26 4" xfId="7160"/>
    <cellStyle name="쉼표 [0] 4 3 26 4 2" xfId="19834"/>
    <cellStyle name="쉼표 [0] 4 3 26 4 2 2" xfId="45186"/>
    <cellStyle name="쉼표 [0] 4 3 26 4 3" xfId="32514"/>
    <cellStyle name="쉼표 [0] 4 3 26 5" xfId="13498"/>
    <cellStyle name="쉼표 [0] 4 3 26 5 2" xfId="38850"/>
    <cellStyle name="쉼표 [0] 4 3 26 6" xfId="26178"/>
    <cellStyle name="쉼표 [0] 4 3 27" xfId="825"/>
    <cellStyle name="쉼표 [0] 4 3 27 2" xfId="826"/>
    <cellStyle name="쉼표 [0] 4 3 27 2 2" xfId="3937"/>
    <cellStyle name="쉼표 [0] 4 3 27 2 2 2" xfId="10273"/>
    <cellStyle name="쉼표 [0] 4 3 27 2 2 2 2" xfId="22947"/>
    <cellStyle name="쉼표 [0] 4 3 27 2 2 2 2 2" xfId="48299"/>
    <cellStyle name="쉼표 [0] 4 3 27 2 2 2 3" xfId="35627"/>
    <cellStyle name="쉼표 [0] 4 3 27 2 2 3" xfId="16611"/>
    <cellStyle name="쉼표 [0] 4 3 27 2 2 3 2" xfId="41963"/>
    <cellStyle name="쉼표 [0] 4 3 27 2 2 4" xfId="29291"/>
    <cellStyle name="쉼표 [0] 4 3 27 2 3" xfId="7163"/>
    <cellStyle name="쉼표 [0] 4 3 27 2 3 2" xfId="19837"/>
    <cellStyle name="쉼표 [0] 4 3 27 2 3 2 2" xfId="45189"/>
    <cellStyle name="쉼표 [0] 4 3 27 2 3 3" xfId="32517"/>
    <cellStyle name="쉼표 [0] 4 3 27 2 4" xfId="13501"/>
    <cellStyle name="쉼표 [0] 4 3 27 2 4 2" xfId="38853"/>
    <cellStyle name="쉼표 [0] 4 3 27 2 5" xfId="26181"/>
    <cellStyle name="쉼표 [0] 4 3 27 3" xfId="3938"/>
    <cellStyle name="쉼표 [0] 4 3 27 3 2" xfId="10274"/>
    <cellStyle name="쉼표 [0] 4 3 27 3 2 2" xfId="22948"/>
    <cellStyle name="쉼표 [0] 4 3 27 3 2 2 2" xfId="48300"/>
    <cellStyle name="쉼표 [0] 4 3 27 3 2 3" xfId="35628"/>
    <cellStyle name="쉼표 [0] 4 3 27 3 3" xfId="16612"/>
    <cellStyle name="쉼표 [0] 4 3 27 3 3 2" xfId="41964"/>
    <cellStyle name="쉼표 [0] 4 3 27 3 4" xfId="29292"/>
    <cellStyle name="쉼표 [0] 4 3 27 4" xfId="7162"/>
    <cellStyle name="쉼표 [0] 4 3 27 4 2" xfId="19836"/>
    <cellStyle name="쉼표 [0] 4 3 27 4 2 2" xfId="45188"/>
    <cellStyle name="쉼표 [0] 4 3 27 4 3" xfId="32516"/>
    <cellStyle name="쉼표 [0] 4 3 27 5" xfId="13500"/>
    <cellStyle name="쉼표 [0] 4 3 27 5 2" xfId="38852"/>
    <cellStyle name="쉼표 [0] 4 3 27 6" xfId="26180"/>
    <cellStyle name="쉼표 [0] 4 3 28" xfId="827"/>
    <cellStyle name="쉼표 [0] 4 3 28 2" xfId="828"/>
    <cellStyle name="쉼표 [0] 4 3 28 2 2" xfId="3939"/>
    <cellStyle name="쉼표 [0] 4 3 28 2 2 2" xfId="10275"/>
    <cellStyle name="쉼표 [0] 4 3 28 2 2 2 2" xfId="22949"/>
    <cellStyle name="쉼표 [0] 4 3 28 2 2 2 2 2" xfId="48301"/>
    <cellStyle name="쉼표 [0] 4 3 28 2 2 2 3" xfId="35629"/>
    <cellStyle name="쉼표 [0] 4 3 28 2 2 3" xfId="16613"/>
    <cellStyle name="쉼표 [0] 4 3 28 2 2 3 2" xfId="41965"/>
    <cellStyle name="쉼표 [0] 4 3 28 2 2 4" xfId="29293"/>
    <cellStyle name="쉼표 [0] 4 3 28 2 3" xfId="7165"/>
    <cellStyle name="쉼표 [0] 4 3 28 2 3 2" xfId="19839"/>
    <cellStyle name="쉼표 [0] 4 3 28 2 3 2 2" xfId="45191"/>
    <cellStyle name="쉼표 [0] 4 3 28 2 3 3" xfId="32519"/>
    <cellStyle name="쉼표 [0] 4 3 28 2 4" xfId="13503"/>
    <cellStyle name="쉼표 [0] 4 3 28 2 4 2" xfId="38855"/>
    <cellStyle name="쉼표 [0] 4 3 28 2 5" xfId="26183"/>
    <cellStyle name="쉼표 [0] 4 3 28 3" xfId="3940"/>
    <cellStyle name="쉼표 [0] 4 3 28 3 2" xfId="10276"/>
    <cellStyle name="쉼표 [0] 4 3 28 3 2 2" xfId="22950"/>
    <cellStyle name="쉼표 [0] 4 3 28 3 2 2 2" xfId="48302"/>
    <cellStyle name="쉼표 [0] 4 3 28 3 2 3" xfId="35630"/>
    <cellStyle name="쉼표 [0] 4 3 28 3 3" xfId="16614"/>
    <cellStyle name="쉼표 [0] 4 3 28 3 3 2" xfId="41966"/>
    <cellStyle name="쉼표 [0] 4 3 28 3 4" xfId="29294"/>
    <cellStyle name="쉼표 [0] 4 3 28 4" xfId="7164"/>
    <cellStyle name="쉼표 [0] 4 3 28 4 2" xfId="19838"/>
    <cellStyle name="쉼표 [0] 4 3 28 4 2 2" xfId="45190"/>
    <cellStyle name="쉼표 [0] 4 3 28 4 3" xfId="32518"/>
    <cellStyle name="쉼표 [0] 4 3 28 5" xfId="13502"/>
    <cellStyle name="쉼표 [0] 4 3 28 5 2" xfId="38854"/>
    <cellStyle name="쉼표 [0] 4 3 28 6" xfId="26182"/>
    <cellStyle name="쉼표 [0] 4 3 29" xfId="829"/>
    <cellStyle name="쉼표 [0] 4 3 29 2" xfId="830"/>
    <cellStyle name="쉼표 [0] 4 3 29 2 2" xfId="3941"/>
    <cellStyle name="쉼표 [0] 4 3 29 2 2 2" xfId="10277"/>
    <cellStyle name="쉼표 [0] 4 3 29 2 2 2 2" xfId="22951"/>
    <cellStyle name="쉼표 [0] 4 3 29 2 2 2 2 2" xfId="48303"/>
    <cellStyle name="쉼표 [0] 4 3 29 2 2 2 3" xfId="35631"/>
    <cellStyle name="쉼표 [0] 4 3 29 2 2 3" xfId="16615"/>
    <cellStyle name="쉼표 [0] 4 3 29 2 2 3 2" xfId="41967"/>
    <cellStyle name="쉼표 [0] 4 3 29 2 2 4" xfId="29295"/>
    <cellStyle name="쉼표 [0] 4 3 29 2 3" xfId="7167"/>
    <cellStyle name="쉼표 [0] 4 3 29 2 3 2" xfId="19841"/>
    <cellStyle name="쉼표 [0] 4 3 29 2 3 2 2" xfId="45193"/>
    <cellStyle name="쉼표 [0] 4 3 29 2 3 3" xfId="32521"/>
    <cellStyle name="쉼표 [0] 4 3 29 2 4" xfId="13505"/>
    <cellStyle name="쉼표 [0] 4 3 29 2 4 2" xfId="38857"/>
    <cellStyle name="쉼표 [0] 4 3 29 2 5" xfId="26185"/>
    <cellStyle name="쉼표 [0] 4 3 29 3" xfId="3942"/>
    <cellStyle name="쉼표 [0] 4 3 29 3 2" xfId="10278"/>
    <cellStyle name="쉼표 [0] 4 3 29 3 2 2" xfId="22952"/>
    <cellStyle name="쉼표 [0] 4 3 29 3 2 2 2" xfId="48304"/>
    <cellStyle name="쉼표 [0] 4 3 29 3 2 3" xfId="35632"/>
    <cellStyle name="쉼표 [0] 4 3 29 3 3" xfId="16616"/>
    <cellStyle name="쉼표 [0] 4 3 29 3 3 2" xfId="41968"/>
    <cellStyle name="쉼표 [0] 4 3 29 3 4" xfId="29296"/>
    <cellStyle name="쉼표 [0] 4 3 29 4" xfId="7166"/>
    <cellStyle name="쉼표 [0] 4 3 29 4 2" xfId="19840"/>
    <cellStyle name="쉼표 [0] 4 3 29 4 2 2" xfId="45192"/>
    <cellStyle name="쉼표 [0] 4 3 29 4 3" xfId="32520"/>
    <cellStyle name="쉼표 [0] 4 3 29 5" xfId="13504"/>
    <cellStyle name="쉼표 [0] 4 3 29 5 2" xfId="38856"/>
    <cellStyle name="쉼표 [0] 4 3 29 6" xfId="26184"/>
    <cellStyle name="쉼표 [0] 4 3 3" xfId="67"/>
    <cellStyle name="쉼표 [0] 4 3 3 10" xfId="831"/>
    <cellStyle name="쉼표 [0] 4 3 3 10 2" xfId="832"/>
    <cellStyle name="쉼표 [0] 4 3 3 10 2 2" xfId="3943"/>
    <cellStyle name="쉼표 [0] 4 3 3 10 2 2 2" xfId="10279"/>
    <cellStyle name="쉼표 [0] 4 3 3 10 2 2 2 2" xfId="22953"/>
    <cellStyle name="쉼표 [0] 4 3 3 10 2 2 2 2 2" xfId="48305"/>
    <cellStyle name="쉼표 [0] 4 3 3 10 2 2 2 3" xfId="35633"/>
    <cellStyle name="쉼표 [0] 4 3 3 10 2 2 3" xfId="16617"/>
    <cellStyle name="쉼표 [0] 4 3 3 10 2 2 3 2" xfId="41969"/>
    <cellStyle name="쉼표 [0] 4 3 3 10 2 2 4" xfId="29297"/>
    <cellStyle name="쉼표 [0] 4 3 3 10 2 3" xfId="7169"/>
    <cellStyle name="쉼표 [0] 4 3 3 10 2 3 2" xfId="19843"/>
    <cellStyle name="쉼표 [0] 4 3 3 10 2 3 2 2" xfId="45195"/>
    <cellStyle name="쉼표 [0] 4 3 3 10 2 3 3" xfId="32523"/>
    <cellStyle name="쉼표 [0] 4 3 3 10 2 4" xfId="13507"/>
    <cellStyle name="쉼표 [0] 4 3 3 10 2 4 2" xfId="38859"/>
    <cellStyle name="쉼표 [0] 4 3 3 10 2 5" xfId="26187"/>
    <cellStyle name="쉼표 [0] 4 3 3 10 3" xfId="3944"/>
    <cellStyle name="쉼표 [0] 4 3 3 10 3 2" xfId="10280"/>
    <cellStyle name="쉼표 [0] 4 3 3 10 3 2 2" xfId="22954"/>
    <cellStyle name="쉼표 [0] 4 3 3 10 3 2 2 2" xfId="48306"/>
    <cellStyle name="쉼표 [0] 4 3 3 10 3 2 3" xfId="35634"/>
    <cellStyle name="쉼표 [0] 4 3 3 10 3 3" xfId="16618"/>
    <cellStyle name="쉼표 [0] 4 3 3 10 3 3 2" xfId="41970"/>
    <cellStyle name="쉼표 [0] 4 3 3 10 3 4" xfId="29298"/>
    <cellStyle name="쉼표 [0] 4 3 3 10 4" xfId="7168"/>
    <cellStyle name="쉼표 [0] 4 3 3 10 4 2" xfId="19842"/>
    <cellStyle name="쉼표 [0] 4 3 3 10 4 2 2" xfId="45194"/>
    <cellStyle name="쉼표 [0] 4 3 3 10 4 3" xfId="32522"/>
    <cellStyle name="쉼표 [0] 4 3 3 10 5" xfId="13506"/>
    <cellStyle name="쉼표 [0] 4 3 3 10 5 2" xfId="38858"/>
    <cellStyle name="쉼표 [0] 4 3 3 10 6" xfId="26186"/>
    <cellStyle name="쉼표 [0] 4 3 3 11" xfId="833"/>
    <cellStyle name="쉼표 [0] 4 3 3 11 2" xfId="834"/>
    <cellStyle name="쉼표 [0] 4 3 3 11 2 2" xfId="3945"/>
    <cellStyle name="쉼표 [0] 4 3 3 11 2 2 2" xfId="10281"/>
    <cellStyle name="쉼표 [0] 4 3 3 11 2 2 2 2" xfId="22955"/>
    <cellStyle name="쉼표 [0] 4 3 3 11 2 2 2 2 2" xfId="48307"/>
    <cellStyle name="쉼표 [0] 4 3 3 11 2 2 2 3" xfId="35635"/>
    <cellStyle name="쉼표 [0] 4 3 3 11 2 2 3" xfId="16619"/>
    <cellStyle name="쉼표 [0] 4 3 3 11 2 2 3 2" xfId="41971"/>
    <cellStyle name="쉼표 [0] 4 3 3 11 2 2 4" xfId="29299"/>
    <cellStyle name="쉼표 [0] 4 3 3 11 2 3" xfId="7171"/>
    <cellStyle name="쉼표 [0] 4 3 3 11 2 3 2" xfId="19845"/>
    <cellStyle name="쉼표 [0] 4 3 3 11 2 3 2 2" xfId="45197"/>
    <cellStyle name="쉼표 [0] 4 3 3 11 2 3 3" xfId="32525"/>
    <cellStyle name="쉼표 [0] 4 3 3 11 2 4" xfId="13509"/>
    <cellStyle name="쉼표 [0] 4 3 3 11 2 4 2" xfId="38861"/>
    <cellStyle name="쉼표 [0] 4 3 3 11 2 5" xfId="26189"/>
    <cellStyle name="쉼표 [0] 4 3 3 11 3" xfId="3946"/>
    <cellStyle name="쉼표 [0] 4 3 3 11 3 2" xfId="10282"/>
    <cellStyle name="쉼표 [0] 4 3 3 11 3 2 2" xfId="22956"/>
    <cellStyle name="쉼표 [0] 4 3 3 11 3 2 2 2" xfId="48308"/>
    <cellStyle name="쉼표 [0] 4 3 3 11 3 2 3" xfId="35636"/>
    <cellStyle name="쉼표 [0] 4 3 3 11 3 3" xfId="16620"/>
    <cellStyle name="쉼표 [0] 4 3 3 11 3 3 2" xfId="41972"/>
    <cellStyle name="쉼표 [0] 4 3 3 11 3 4" xfId="29300"/>
    <cellStyle name="쉼표 [0] 4 3 3 11 4" xfId="7170"/>
    <cellStyle name="쉼표 [0] 4 3 3 11 4 2" xfId="19844"/>
    <cellStyle name="쉼표 [0] 4 3 3 11 4 2 2" xfId="45196"/>
    <cellStyle name="쉼표 [0] 4 3 3 11 4 3" xfId="32524"/>
    <cellStyle name="쉼표 [0] 4 3 3 11 5" xfId="13508"/>
    <cellStyle name="쉼표 [0] 4 3 3 11 5 2" xfId="38860"/>
    <cellStyle name="쉼표 [0] 4 3 3 11 6" xfId="26188"/>
    <cellStyle name="쉼표 [0] 4 3 3 12" xfId="835"/>
    <cellStyle name="쉼표 [0] 4 3 3 12 2" xfId="836"/>
    <cellStyle name="쉼표 [0] 4 3 3 12 2 2" xfId="3947"/>
    <cellStyle name="쉼표 [0] 4 3 3 12 2 2 2" xfId="10283"/>
    <cellStyle name="쉼표 [0] 4 3 3 12 2 2 2 2" xfId="22957"/>
    <cellStyle name="쉼표 [0] 4 3 3 12 2 2 2 2 2" xfId="48309"/>
    <cellStyle name="쉼표 [0] 4 3 3 12 2 2 2 3" xfId="35637"/>
    <cellStyle name="쉼표 [0] 4 3 3 12 2 2 3" xfId="16621"/>
    <cellStyle name="쉼표 [0] 4 3 3 12 2 2 3 2" xfId="41973"/>
    <cellStyle name="쉼표 [0] 4 3 3 12 2 2 4" xfId="29301"/>
    <cellStyle name="쉼표 [0] 4 3 3 12 2 3" xfId="7173"/>
    <cellStyle name="쉼표 [0] 4 3 3 12 2 3 2" xfId="19847"/>
    <cellStyle name="쉼표 [0] 4 3 3 12 2 3 2 2" xfId="45199"/>
    <cellStyle name="쉼표 [0] 4 3 3 12 2 3 3" xfId="32527"/>
    <cellStyle name="쉼표 [0] 4 3 3 12 2 4" xfId="13511"/>
    <cellStyle name="쉼표 [0] 4 3 3 12 2 4 2" xfId="38863"/>
    <cellStyle name="쉼표 [0] 4 3 3 12 2 5" xfId="26191"/>
    <cellStyle name="쉼표 [0] 4 3 3 12 3" xfId="3948"/>
    <cellStyle name="쉼표 [0] 4 3 3 12 3 2" xfId="10284"/>
    <cellStyle name="쉼표 [0] 4 3 3 12 3 2 2" xfId="22958"/>
    <cellStyle name="쉼표 [0] 4 3 3 12 3 2 2 2" xfId="48310"/>
    <cellStyle name="쉼표 [0] 4 3 3 12 3 2 3" xfId="35638"/>
    <cellStyle name="쉼표 [0] 4 3 3 12 3 3" xfId="16622"/>
    <cellStyle name="쉼표 [0] 4 3 3 12 3 3 2" xfId="41974"/>
    <cellStyle name="쉼표 [0] 4 3 3 12 3 4" xfId="29302"/>
    <cellStyle name="쉼표 [0] 4 3 3 12 4" xfId="7172"/>
    <cellStyle name="쉼표 [0] 4 3 3 12 4 2" xfId="19846"/>
    <cellStyle name="쉼표 [0] 4 3 3 12 4 2 2" xfId="45198"/>
    <cellStyle name="쉼표 [0] 4 3 3 12 4 3" xfId="32526"/>
    <cellStyle name="쉼표 [0] 4 3 3 12 5" xfId="13510"/>
    <cellStyle name="쉼표 [0] 4 3 3 12 5 2" xfId="38862"/>
    <cellStyle name="쉼표 [0] 4 3 3 12 6" xfId="26190"/>
    <cellStyle name="쉼표 [0] 4 3 3 13" xfId="837"/>
    <cellStyle name="쉼표 [0] 4 3 3 13 2" xfId="838"/>
    <cellStyle name="쉼표 [0] 4 3 3 13 2 2" xfId="3949"/>
    <cellStyle name="쉼표 [0] 4 3 3 13 2 2 2" xfId="10285"/>
    <cellStyle name="쉼표 [0] 4 3 3 13 2 2 2 2" xfId="22959"/>
    <cellStyle name="쉼표 [0] 4 3 3 13 2 2 2 2 2" xfId="48311"/>
    <cellStyle name="쉼표 [0] 4 3 3 13 2 2 2 3" xfId="35639"/>
    <cellStyle name="쉼표 [0] 4 3 3 13 2 2 3" xfId="16623"/>
    <cellStyle name="쉼표 [0] 4 3 3 13 2 2 3 2" xfId="41975"/>
    <cellStyle name="쉼표 [0] 4 3 3 13 2 2 4" xfId="29303"/>
    <cellStyle name="쉼표 [0] 4 3 3 13 2 3" xfId="7175"/>
    <cellStyle name="쉼표 [0] 4 3 3 13 2 3 2" xfId="19849"/>
    <cellStyle name="쉼표 [0] 4 3 3 13 2 3 2 2" xfId="45201"/>
    <cellStyle name="쉼표 [0] 4 3 3 13 2 3 3" xfId="32529"/>
    <cellStyle name="쉼표 [0] 4 3 3 13 2 4" xfId="13513"/>
    <cellStyle name="쉼표 [0] 4 3 3 13 2 4 2" xfId="38865"/>
    <cellStyle name="쉼표 [0] 4 3 3 13 2 5" xfId="26193"/>
    <cellStyle name="쉼표 [0] 4 3 3 13 3" xfId="3950"/>
    <cellStyle name="쉼표 [0] 4 3 3 13 3 2" xfId="10286"/>
    <cellStyle name="쉼표 [0] 4 3 3 13 3 2 2" xfId="22960"/>
    <cellStyle name="쉼표 [0] 4 3 3 13 3 2 2 2" xfId="48312"/>
    <cellStyle name="쉼표 [0] 4 3 3 13 3 2 3" xfId="35640"/>
    <cellStyle name="쉼표 [0] 4 3 3 13 3 3" xfId="16624"/>
    <cellStyle name="쉼표 [0] 4 3 3 13 3 3 2" xfId="41976"/>
    <cellStyle name="쉼표 [0] 4 3 3 13 3 4" xfId="29304"/>
    <cellStyle name="쉼표 [0] 4 3 3 13 4" xfId="7174"/>
    <cellStyle name="쉼표 [0] 4 3 3 13 4 2" xfId="19848"/>
    <cellStyle name="쉼표 [0] 4 3 3 13 4 2 2" xfId="45200"/>
    <cellStyle name="쉼표 [0] 4 3 3 13 4 3" xfId="32528"/>
    <cellStyle name="쉼표 [0] 4 3 3 13 5" xfId="13512"/>
    <cellStyle name="쉼표 [0] 4 3 3 13 5 2" xfId="38864"/>
    <cellStyle name="쉼표 [0] 4 3 3 13 6" xfId="26192"/>
    <cellStyle name="쉼표 [0] 4 3 3 14" xfId="839"/>
    <cellStyle name="쉼표 [0] 4 3 3 14 2" xfId="840"/>
    <cellStyle name="쉼표 [0] 4 3 3 14 2 2" xfId="3951"/>
    <cellStyle name="쉼표 [0] 4 3 3 14 2 2 2" xfId="10287"/>
    <cellStyle name="쉼표 [0] 4 3 3 14 2 2 2 2" xfId="22961"/>
    <cellStyle name="쉼표 [0] 4 3 3 14 2 2 2 2 2" xfId="48313"/>
    <cellStyle name="쉼표 [0] 4 3 3 14 2 2 2 3" xfId="35641"/>
    <cellStyle name="쉼표 [0] 4 3 3 14 2 2 3" xfId="16625"/>
    <cellStyle name="쉼표 [0] 4 3 3 14 2 2 3 2" xfId="41977"/>
    <cellStyle name="쉼표 [0] 4 3 3 14 2 2 4" xfId="29305"/>
    <cellStyle name="쉼표 [0] 4 3 3 14 2 3" xfId="7177"/>
    <cellStyle name="쉼표 [0] 4 3 3 14 2 3 2" xfId="19851"/>
    <cellStyle name="쉼표 [0] 4 3 3 14 2 3 2 2" xfId="45203"/>
    <cellStyle name="쉼표 [0] 4 3 3 14 2 3 3" xfId="32531"/>
    <cellStyle name="쉼표 [0] 4 3 3 14 2 4" xfId="13515"/>
    <cellStyle name="쉼표 [0] 4 3 3 14 2 4 2" xfId="38867"/>
    <cellStyle name="쉼표 [0] 4 3 3 14 2 5" xfId="26195"/>
    <cellStyle name="쉼표 [0] 4 3 3 14 3" xfId="3952"/>
    <cellStyle name="쉼표 [0] 4 3 3 14 3 2" xfId="10288"/>
    <cellStyle name="쉼표 [0] 4 3 3 14 3 2 2" xfId="22962"/>
    <cellStyle name="쉼표 [0] 4 3 3 14 3 2 2 2" xfId="48314"/>
    <cellStyle name="쉼표 [0] 4 3 3 14 3 2 3" xfId="35642"/>
    <cellStyle name="쉼표 [0] 4 3 3 14 3 3" xfId="16626"/>
    <cellStyle name="쉼표 [0] 4 3 3 14 3 3 2" xfId="41978"/>
    <cellStyle name="쉼표 [0] 4 3 3 14 3 4" xfId="29306"/>
    <cellStyle name="쉼표 [0] 4 3 3 14 4" xfId="7176"/>
    <cellStyle name="쉼표 [0] 4 3 3 14 4 2" xfId="19850"/>
    <cellStyle name="쉼표 [0] 4 3 3 14 4 2 2" xfId="45202"/>
    <cellStyle name="쉼표 [0] 4 3 3 14 4 3" xfId="32530"/>
    <cellStyle name="쉼표 [0] 4 3 3 14 5" xfId="13514"/>
    <cellStyle name="쉼표 [0] 4 3 3 14 5 2" xfId="38866"/>
    <cellStyle name="쉼표 [0] 4 3 3 14 6" xfId="26194"/>
    <cellStyle name="쉼표 [0] 4 3 3 15" xfId="841"/>
    <cellStyle name="쉼표 [0] 4 3 3 15 2" xfId="842"/>
    <cellStyle name="쉼표 [0] 4 3 3 15 2 2" xfId="3953"/>
    <cellStyle name="쉼표 [0] 4 3 3 15 2 2 2" xfId="10289"/>
    <cellStyle name="쉼표 [0] 4 3 3 15 2 2 2 2" xfId="22963"/>
    <cellStyle name="쉼표 [0] 4 3 3 15 2 2 2 2 2" xfId="48315"/>
    <cellStyle name="쉼표 [0] 4 3 3 15 2 2 2 3" xfId="35643"/>
    <cellStyle name="쉼표 [0] 4 3 3 15 2 2 3" xfId="16627"/>
    <cellStyle name="쉼표 [0] 4 3 3 15 2 2 3 2" xfId="41979"/>
    <cellStyle name="쉼표 [0] 4 3 3 15 2 2 4" xfId="29307"/>
    <cellStyle name="쉼표 [0] 4 3 3 15 2 3" xfId="7179"/>
    <cellStyle name="쉼표 [0] 4 3 3 15 2 3 2" xfId="19853"/>
    <cellStyle name="쉼표 [0] 4 3 3 15 2 3 2 2" xfId="45205"/>
    <cellStyle name="쉼표 [0] 4 3 3 15 2 3 3" xfId="32533"/>
    <cellStyle name="쉼표 [0] 4 3 3 15 2 4" xfId="13517"/>
    <cellStyle name="쉼표 [0] 4 3 3 15 2 4 2" xfId="38869"/>
    <cellStyle name="쉼표 [0] 4 3 3 15 2 5" xfId="26197"/>
    <cellStyle name="쉼표 [0] 4 3 3 15 3" xfId="3954"/>
    <cellStyle name="쉼표 [0] 4 3 3 15 3 2" xfId="10290"/>
    <cellStyle name="쉼표 [0] 4 3 3 15 3 2 2" xfId="22964"/>
    <cellStyle name="쉼표 [0] 4 3 3 15 3 2 2 2" xfId="48316"/>
    <cellStyle name="쉼표 [0] 4 3 3 15 3 2 3" xfId="35644"/>
    <cellStyle name="쉼표 [0] 4 3 3 15 3 3" xfId="16628"/>
    <cellStyle name="쉼표 [0] 4 3 3 15 3 3 2" xfId="41980"/>
    <cellStyle name="쉼표 [0] 4 3 3 15 3 4" xfId="29308"/>
    <cellStyle name="쉼표 [0] 4 3 3 15 4" xfId="7178"/>
    <cellStyle name="쉼표 [0] 4 3 3 15 4 2" xfId="19852"/>
    <cellStyle name="쉼표 [0] 4 3 3 15 4 2 2" xfId="45204"/>
    <cellStyle name="쉼표 [0] 4 3 3 15 4 3" xfId="32532"/>
    <cellStyle name="쉼표 [0] 4 3 3 15 5" xfId="13516"/>
    <cellStyle name="쉼표 [0] 4 3 3 15 5 2" xfId="38868"/>
    <cellStyle name="쉼표 [0] 4 3 3 15 6" xfId="26196"/>
    <cellStyle name="쉼표 [0] 4 3 3 16" xfId="843"/>
    <cellStyle name="쉼표 [0] 4 3 3 16 2" xfId="844"/>
    <cellStyle name="쉼표 [0] 4 3 3 16 2 2" xfId="3955"/>
    <cellStyle name="쉼표 [0] 4 3 3 16 2 2 2" xfId="10291"/>
    <cellStyle name="쉼표 [0] 4 3 3 16 2 2 2 2" xfId="22965"/>
    <cellStyle name="쉼표 [0] 4 3 3 16 2 2 2 2 2" xfId="48317"/>
    <cellStyle name="쉼표 [0] 4 3 3 16 2 2 2 3" xfId="35645"/>
    <cellStyle name="쉼표 [0] 4 3 3 16 2 2 3" xfId="16629"/>
    <cellStyle name="쉼표 [0] 4 3 3 16 2 2 3 2" xfId="41981"/>
    <cellStyle name="쉼표 [0] 4 3 3 16 2 2 4" xfId="29309"/>
    <cellStyle name="쉼표 [0] 4 3 3 16 2 3" xfId="7181"/>
    <cellStyle name="쉼표 [0] 4 3 3 16 2 3 2" xfId="19855"/>
    <cellStyle name="쉼표 [0] 4 3 3 16 2 3 2 2" xfId="45207"/>
    <cellStyle name="쉼표 [0] 4 3 3 16 2 3 3" xfId="32535"/>
    <cellStyle name="쉼표 [0] 4 3 3 16 2 4" xfId="13519"/>
    <cellStyle name="쉼표 [0] 4 3 3 16 2 4 2" xfId="38871"/>
    <cellStyle name="쉼표 [0] 4 3 3 16 2 5" xfId="26199"/>
    <cellStyle name="쉼표 [0] 4 3 3 16 3" xfId="3956"/>
    <cellStyle name="쉼표 [0] 4 3 3 16 3 2" xfId="10292"/>
    <cellStyle name="쉼표 [0] 4 3 3 16 3 2 2" xfId="22966"/>
    <cellStyle name="쉼표 [0] 4 3 3 16 3 2 2 2" xfId="48318"/>
    <cellStyle name="쉼표 [0] 4 3 3 16 3 2 3" xfId="35646"/>
    <cellStyle name="쉼표 [0] 4 3 3 16 3 3" xfId="16630"/>
    <cellStyle name="쉼표 [0] 4 3 3 16 3 3 2" xfId="41982"/>
    <cellStyle name="쉼표 [0] 4 3 3 16 3 4" xfId="29310"/>
    <cellStyle name="쉼표 [0] 4 3 3 16 4" xfId="7180"/>
    <cellStyle name="쉼표 [0] 4 3 3 16 4 2" xfId="19854"/>
    <cellStyle name="쉼표 [0] 4 3 3 16 4 2 2" xfId="45206"/>
    <cellStyle name="쉼표 [0] 4 3 3 16 4 3" xfId="32534"/>
    <cellStyle name="쉼표 [0] 4 3 3 16 5" xfId="13518"/>
    <cellStyle name="쉼표 [0] 4 3 3 16 5 2" xfId="38870"/>
    <cellStyle name="쉼표 [0] 4 3 3 16 6" xfId="26198"/>
    <cellStyle name="쉼표 [0] 4 3 3 17" xfId="845"/>
    <cellStyle name="쉼표 [0] 4 3 3 17 2" xfId="846"/>
    <cellStyle name="쉼표 [0] 4 3 3 17 2 2" xfId="3957"/>
    <cellStyle name="쉼표 [0] 4 3 3 17 2 2 2" xfId="10293"/>
    <cellStyle name="쉼표 [0] 4 3 3 17 2 2 2 2" xfId="22967"/>
    <cellStyle name="쉼표 [0] 4 3 3 17 2 2 2 2 2" xfId="48319"/>
    <cellStyle name="쉼표 [0] 4 3 3 17 2 2 2 3" xfId="35647"/>
    <cellStyle name="쉼표 [0] 4 3 3 17 2 2 3" xfId="16631"/>
    <cellStyle name="쉼표 [0] 4 3 3 17 2 2 3 2" xfId="41983"/>
    <cellStyle name="쉼표 [0] 4 3 3 17 2 2 4" xfId="29311"/>
    <cellStyle name="쉼표 [0] 4 3 3 17 2 3" xfId="7183"/>
    <cellStyle name="쉼표 [0] 4 3 3 17 2 3 2" xfId="19857"/>
    <cellStyle name="쉼표 [0] 4 3 3 17 2 3 2 2" xfId="45209"/>
    <cellStyle name="쉼표 [0] 4 3 3 17 2 3 3" xfId="32537"/>
    <cellStyle name="쉼표 [0] 4 3 3 17 2 4" xfId="13521"/>
    <cellStyle name="쉼표 [0] 4 3 3 17 2 4 2" xfId="38873"/>
    <cellStyle name="쉼표 [0] 4 3 3 17 2 5" xfId="26201"/>
    <cellStyle name="쉼표 [0] 4 3 3 17 3" xfId="3958"/>
    <cellStyle name="쉼표 [0] 4 3 3 17 3 2" xfId="10294"/>
    <cellStyle name="쉼표 [0] 4 3 3 17 3 2 2" xfId="22968"/>
    <cellStyle name="쉼표 [0] 4 3 3 17 3 2 2 2" xfId="48320"/>
    <cellStyle name="쉼표 [0] 4 3 3 17 3 2 3" xfId="35648"/>
    <cellStyle name="쉼표 [0] 4 3 3 17 3 3" xfId="16632"/>
    <cellStyle name="쉼표 [0] 4 3 3 17 3 3 2" xfId="41984"/>
    <cellStyle name="쉼표 [0] 4 3 3 17 3 4" xfId="29312"/>
    <cellStyle name="쉼표 [0] 4 3 3 17 4" xfId="7182"/>
    <cellStyle name="쉼표 [0] 4 3 3 17 4 2" xfId="19856"/>
    <cellStyle name="쉼표 [0] 4 3 3 17 4 2 2" xfId="45208"/>
    <cellStyle name="쉼표 [0] 4 3 3 17 4 3" xfId="32536"/>
    <cellStyle name="쉼표 [0] 4 3 3 17 5" xfId="13520"/>
    <cellStyle name="쉼표 [0] 4 3 3 17 5 2" xfId="38872"/>
    <cellStyle name="쉼표 [0] 4 3 3 17 6" xfId="26200"/>
    <cellStyle name="쉼표 [0] 4 3 3 18" xfId="847"/>
    <cellStyle name="쉼표 [0] 4 3 3 18 2" xfId="848"/>
    <cellStyle name="쉼표 [0] 4 3 3 18 2 2" xfId="3959"/>
    <cellStyle name="쉼표 [0] 4 3 3 18 2 2 2" xfId="10295"/>
    <cellStyle name="쉼표 [0] 4 3 3 18 2 2 2 2" xfId="22969"/>
    <cellStyle name="쉼표 [0] 4 3 3 18 2 2 2 2 2" xfId="48321"/>
    <cellStyle name="쉼표 [0] 4 3 3 18 2 2 2 3" xfId="35649"/>
    <cellStyle name="쉼표 [0] 4 3 3 18 2 2 3" xfId="16633"/>
    <cellStyle name="쉼표 [0] 4 3 3 18 2 2 3 2" xfId="41985"/>
    <cellStyle name="쉼표 [0] 4 3 3 18 2 2 4" xfId="29313"/>
    <cellStyle name="쉼표 [0] 4 3 3 18 2 3" xfId="7185"/>
    <cellStyle name="쉼표 [0] 4 3 3 18 2 3 2" xfId="19859"/>
    <cellStyle name="쉼표 [0] 4 3 3 18 2 3 2 2" xfId="45211"/>
    <cellStyle name="쉼표 [0] 4 3 3 18 2 3 3" xfId="32539"/>
    <cellStyle name="쉼표 [0] 4 3 3 18 2 4" xfId="13523"/>
    <cellStyle name="쉼표 [0] 4 3 3 18 2 4 2" xfId="38875"/>
    <cellStyle name="쉼표 [0] 4 3 3 18 2 5" xfId="26203"/>
    <cellStyle name="쉼표 [0] 4 3 3 18 3" xfId="3960"/>
    <cellStyle name="쉼표 [0] 4 3 3 18 3 2" xfId="10296"/>
    <cellStyle name="쉼표 [0] 4 3 3 18 3 2 2" xfId="22970"/>
    <cellStyle name="쉼표 [0] 4 3 3 18 3 2 2 2" xfId="48322"/>
    <cellStyle name="쉼표 [0] 4 3 3 18 3 2 3" xfId="35650"/>
    <cellStyle name="쉼표 [0] 4 3 3 18 3 3" xfId="16634"/>
    <cellStyle name="쉼표 [0] 4 3 3 18 3 3 2" xfId="41986"/>
    <cellStyle name="쉼표 [0] 4 3 3 18 3 4" xfId="29314"/>
    <cellStyle name="쉼표 [0] 4 3 3 18 4" xfId="7184"/>
    <cellStyle name="쉼표 [0] 4 3 3 18 4 2" xfId="19858"/>
    <cellStyle name="쉼표 [0] 4 3 3 18 4 2 2" xfId="45210"/>
    <cellStyle name="쉼표 [0] 4 3 3 18 4 3" xfId="32538"/>
    <cellStyle name="쉼표 [0] 4 3 3 18 5" xfId="13522"/>
    <cellStyle name="쉼표 [0] 4 3 3 18 5 2" xfId="38874"/>
    <cellStyle name="쉼표 [0] 4 3 3 18 6" xfId="26202"/>
    <cellStyle name="쉼표 [0] 4 3 3 19" xfId="849"/>
    <cellStyle name="쉼표 [0] 4 3 3 19 2" xfId="850"/>
    <cellStyle name="쉼표 [0] 4 3 3 19 2 2" xfId="3961"/>
    <cellStyle name="쉼표 [0] 4 3 3 19 2 2 2" xfId="10297"/>
    <cellStyle name="쉼표 [0] 4 3 3 19 2 2 2 2" xfId="22971"/>
    <cellStyle name="쉼표 [0] 4 3 3 19 2 2 2 2 2" xfId="48323"/>
    <cellStyle name="쉼표 [0] 4 3 3 19 2 2 2 3" xfId="35651"/>
    <cellStyle name="쉼표 [0] 4 3 3 19 2 2 3" xfId="16635"/>
    <cellStyle name="쉼표 [0] 4 3 3 19 2 2 3 2" xfId="41987"/>
    <cellStyle name="쉼표 [0] 4 3 3 19 2 2 4" xfId="29315"/>
    <cellStyle name="쉼표 [0] 4 3 3 19 2 3" xfId="7187"/>
    <cellStyle name="쉼표 [0] 4 3 3 19 2 3 2" xfId="19861"/>
    <cellStyle name="쉼표 [0] 4 3 3 19 2 3 2 2" xfId="45213"/>
    <cellStyle name="쉼표 [0] 4 3 3 19 2 3 3" xfId="32541"/>
    <cellStyle name="쉼표 [0] 4 3 3 19 2 4" xfId="13525"/>
    <cellStyle name="쉼표 [0] 4 3 3 19 2 4 2" xfId="38877"/>
    <cellStyle name="쉼표 [0] 4 3 3 19 2 5" xfId="26205"/>
    <cellStyle name="쉼표 [0] 4 3 3 19 3" xfId="3962"/>
    <cellStyle name="쉼표 [0] 4 3 3 19 3 2" xfId="10298"/>
    <cellStyle name="쉼표 [0] 4 3 3 19 3 2 2" xfId="22972"/>
    <cellStyle name="쉼표 [0] 4 3 3 19 3 2 2 2" xfId="48324"/>
    <cellStyle name="쉼표 [0] 4 3 3 19 3 2 3" xfId="35652"/>
    <cellStyle name="쉼표 [0] 4 3 3 19 3 3" xfId="16636"/>
    <cellStyle name="쉼표 [0] 4 3 3 19 3 3 2" xfId="41988"/>
    <cellStyle name="쉼표 [0] 4 3 3 19 3 4" xfId="29316"/>
    <cellStyle name="쉼표 [0] 4 3 3 19 4" xfId="7186"/>
    <cellStyle name="쉼표 [0] 4 3 3 19 4 2" xfId="19860"/>
    <cellStyle name="쉼표 [0] 4 3 3 19 4 2 2" xfId="45212"/>
    <cellStyle name="쉼표 [0] 4 3 3 19 4 3" xfId="32540"/>
    <cellStyle name="쉼표 [0] 4 3 3 19 5" xfId="13524"/>
    <cellStyle name="쉼표 [0] 4 3 3 19 5 2" xfId="38876"/>
    <cellStyle name="쉼표 [0] 4 3 3 19 6" xfId="26204"/>
    <cellStyle name="쉼표 [0] 4 3 3 2" xfId="851"/>
    <cellStyle name="쉼표 [0] 4 3 3 2 2" xfId="852"/>
    <cellStyle name="쉼표 [0] 4 3 3 2 2 2" xfId="3963"/>
    <cellStyle name="쉼표 [0] 4 3 3 2 2 2 2" xfId="10299"/>
    <cellStyle name="쉼표 [0] 4 3 3 2 2 2 2 2" xfId="22973"/>
    <cellStyle name="쉼표 [0] 4 3 3 2 2 2 2 2 2" xfId="48325"/>
    <cellStyle name="쉼표 [0] 4 3 3 2 2 2 2 3" xfId="35653"/>
    <cellStyle name="쉼표 [0] 4 3 3 2 2 2 3" xfId="16637"/>
    <cellStyle name="쉼표 [0] 4 3 3 2 2 2 3 2" xfId="41989"/>
    <cellStyle name="쉼표 [0] 4 3 3 2 2 2 4" xfId="29317"/>
    <cellStyle name="쉼표 [0] 4 3 3 2 2 3" xfId="7189"/>
    <cellStyle name="쉼표 [0] 4 3 3 2 2 3 2" xfId="19863"/>
    <cellStyle name="쉼표 [0] 4 3 3 2 2 3 2 2" xfId="45215"/>
    <cellStyle name="쉼표 [0] 4 3 3 2 2 3 3" xfId="32543"/>
    <cellStyle name="쉼표 [0] 4 3 3 2 2 4" xfId="13527"/>
    <cellStyle name="쉼표 [0] 4 3 3 2 2 4 2" xfId="38879"/>
    <cellStyle name="쉼표 [0] 4 3 3 2 2 5" xfId="26207"/>
    <cellStyle name="쉼표 [0] 4 3 3 2 3" xfId="3964"/>
    <cellStyle name="쉼표 [0] 4 3 3 2 3 2" xfId="10300"/>
    <cellStyle name="쉼표 [0] 4 3 3 2 3 2 2" xfId="22974"/>
    <cellStyle name="쉼표 [0] 4 3 3 2 3 2 2 2" xfId="48326"/>
    <cellStyle name="쉼표 [0] 4 3 3 2 3 2 3" xfId="35654"/>
    <cellStyle name="쉼표 [0] 4 3 3 2 3 3" xfId="16638"/>
    <cellStyle name="쉼표 [0] 4 3 3 2 3 3 2" xfId="41990"/>
    <cellStyle name="쉼표 [0] 4 3 3 2 3 4" xfId="29318"/>
    <cellStyle name="쉼표 [0] 4 3 3 2 4" xfId="7188"/>
    <cellStyle name="쉼표 [0] 4 3 3 2 4 2" xfId="19862"/>
    <cellStyle name="쉼표 [0] 4 3 3 2 4 2 2" xfId="45214"/>
    <cellStyle name="쉼표 [0] 4 3 3 2 4 3" xfId="32542"/>
    <cellStyle name="쉼표 [0] 4 3 3 2 5" xfId="13526"/>
    <cellStyle name="쉼표 [0] 4 3 3 2 5 2" xfId="38878"/>
    <cellStyle name="쉼표 [0] 4 3 3 2 6" xfId="26206"/>
    <cellStyle name="쉼표 [0] 4 3 3 20" xfId="853"/>
    <cellStyle name="쉼표 [0] 4 3 3 20 2" xfId="854"/>
    <cellStyle name="쉼표 [0] 4 3 3 20 2 2" xfId="3965"/>
    <cellStyle name="쉼표 [0] 4 3 3 20 2 2 2" xfId="10301"/>
    <cellStyle name="쉼표 [0] 4 3 3 20 2 2 2 2" xfId="22975"/>
    <cellStyle name="쉼표 [0] 4 3 3 20 2 2 2 2 2" xfId="48327"/>
    <cellStyle name="쉼표 [0] 4 3 3 20 2 2 2 3" xfId="35655"/>
    <cellStyle name="쉼표 [0] 4 3 3 20 2 2 3" xfId="16639"/>
    <cellStyle name="쉼표 [0] 4 3 3 20 2 2 3 2" xfId="41991"/>
    <cellStyle name="쉼표 [0] 4 3 3 20 2 2 4" xfId="29319"/>
    <cellStyle name="쉼표 [0] 4 3 3 20 2 3" xfId="7191"/>
    <cellStyle name="쉼표 [0] 4 3 3 20 2 3 2" xfId="19865"/>
    <cellStyle name="쉼표 [0] 4 3 3 20 2 3 2 2" xfId="45217"/>
    <cellStyle name="쉼표 [0] 4 3 3 20 2 3 3" xfId="32545"/>
    <cellStyle name="쉼표 [0] 4 3 3 20 2 4" xfId="13529"/>
    <cellStyle name="쉼표 [0] 4 3 3 20 2 4 2" xfId="38881"/>
    <cellStyle name="쉼표 [0] 4 3 3 20 2 5" xfId="26209"/>
    <cellStyle name="쉼표 [0] 4 3 3 20 3" xfId="3966"/>
    <cellStyle name="쉼표 [0] 4 3 3 20 3 2" xfId="10302"/>
    <cellStyle name="쉼표 [0] 4 3 3 20 3 2 2" xfId="22976"/>
    <cellStyle name="쉼표 [0] 4 3 3 20 3 2 2 2" xfId="48328"/>
    <cellStyle name="쉼표 [0] 4 3 3 20 3 2 3" xfId="35656"/>
    <cellStyle name="쉼표 [0] 4 3 3 20 3 3" xfId="16640"/>
    <cellStyle name="쉼표 [0] 4 3 3 20 3 3 2" xfId="41992"/>
    <cellStyle name="쉼표 [0] 4 3 3 20 3 4" xfId="29320"/>
    <cellStyle name="쉼표 [0] 4 3 3 20 4" xfId="7190"/>
    <cellStyle name="쉼표 [0] 4 3 3 20 4 2" xfId="19864"/>
    <cellStyle name="쉼표 [0] 4 3 3 20 4 2 2" xfId="45216"/>
    <cellStyle name="쉼표 [0] 4 3 3 20 4 3" xfId="32544"/>
    <cellStyle name="쉼표 [0] 4 3 3 20 5" xfId="13528"/>
    <cellStyle name="쉼표 [0] 4 3 3 20 5 2" xfId="38880"/>
    <cellStyle name="쉼표 [0] 4 3 3 20 6" xfId="26208"/>
    <cellStyle name="쉼표 [0] 4 3 3 21" xfId="855"/>
    <cellStyle name="쉼표 [0] 4 3 3 21 2" xfId="856"/>
    <cellStyle name="쉼표 [0] 4 3 3 21 2 2" xfId="3967"/>
    <cellStyle name="쉼표 [0] 4 3 3 21 2 2 2" xfId="10303"/>
    <cellStyle name="쉼표 [0] 4 3 3 21 2 2 2 2" xfId="22977"/>
    <cellStyle name="쉼표 [0] 4 3 3 21 2 2 2 2 2" xfId="48329"/>
    <cellStyle name="쉼표 [0] 4 3 3 21 2 2 2 3" xfId="35657"/>
    <cellStyle name="쉼표 [0] 4 3 3 21 2 2 3" xfId="16641"/>
    <cellStyle name="쉼표 [0] 4 3 3 21 2 2 3 2" xfId="41993"/>
    <cellStyle name="쉼표 [0] 4 3 3 21 2 2 4" xfId="29321"/>
    <cellStyle name="쉼표 [0] 4 3 3 21 2 3" xfId="7193"/>
    <cellStyle name="쉼표 [0] 4 3 3 21 2 3 2" xfId="19867"/>
    <cellStyle name="쉼표 [0] 4 3 3 21 2 3 2 2" xfId="45219"/>
    <cellStyle name="쉼표 [0] 4 3 3 21 2 3 3" xfId="32547"/>
    <cellStyle name="쉼표 [0] 4 3 3 21 2 4" xfId="13531"/>
    <cellStyle name="쉼표 [0] 4 3 3 21 2 4 2" xfId="38883"/>
    <cellStyle name="쉼표 [0] 4 3 3 21 2 5" xfId="26211"/>
    <cellStyle name="쉼표 [0] 4 3 3 21 3" xfId="3968"/>
    <cellStyle name="쉼표 [0] 4 3 3 21 3 2" xfId="10304"/>
    <cellStyle name="쉼표 [0] 4 3 3 21 3 2 2" xfId="22978"/>
    <cellStyle name="쉼표 [0] 4 3 3 21 3 2 2 2" xfId="48330"/>
    <cellStyle name="쉼표 [0] 4 3 3 21 3 2 3" xfId="35658"/>
    <cellStyle name="쉼표 [0] 4 3 3 21 3 3" xfId="16642"/>
    <cellStyle name="쉼표 [0] 4 3 3 21 3 3 2" xfId="41994"/>
    <cellStyle name="쉼표 [0] 4 3 3 21 3 4" xfId="29322"/>
    <cellStyle name="쉼표 [0] 4 3 3 21 4" xfId="7192"/>
    <cellStyle name="쉼표 [0] 4 3 3 21 4 2" xfId="19866"/>
    <cellStyle name="쉼표 [0] 4 3 3 21 4 2 2" xfId="45218"/>
    <cellStyle name="쉼표 [0] 4 3 3 21 4 3" xfId="32546"/>
    <cellStyle name="쉼표 [0] 4 3 3 21 5" xfId="13530"/>
    <cellStyle name="쉼표 [0] 4 3 3 21 5 2" xfId="38882"/>
    <cellStyle name="쉼표 [0] 4 3 3 21 6" xfId="26210"/>
    <cellStyle name="쉼표 [0] 4 3 3 22" xfId="857"/>
    <cellStyle name="쉼표 [0] 4 3 3 22 2" xfId="858"/>
    <cellStyle name="쉼표 [0] 4 3 3 22 2 2" xfId="3969"/>
    <cellStyle name="쉼표 [0] 4 3 3 22 2 2 2" xfId="10305"/>
    <cellStyle name="쉼표 [0] 4 3 3 22 2 2 2 2" xfId="22979"/>
    <cellStyle name="쉼표 [0] 4 3 3 22 2 2 2 2 2" xfId="48331"/>
    <cellStyle name="쉼표 [0] 4 3 3 22 2 2 2 3" xfId="35659"/>
    <cellStyle name="쉼표 [0] 4 3 3 22 2 2 3" xfId="16643"/>
    <cellStyle name="쉼표 [0] 4 3 3 22 2 2 3 2" xfId="41995"/>
    <cellStyle name="쉼표 [0] 4 3 3 22 2 2 4" xfId="29323"/>
    <cellStyle name="쉼표 [0] 4 3 3 22 2 3" xfId="7195"/>
    <cellStyle name="쉼표 [0] 4 3 3 22 2 3 2" xfId="19869"/>
    <cellStyle name="쉼표 [0] 4 3 3 22 2 3 2 2" xfId="45221"/>
    <cellStyle name="쉼표 [0] 4 3 3 22 2 3 3" xfId="32549"/>
    <cellStyle name="쉼표 [0] 4 3 3 22 2 4" xfId="13533"/>
    <cellStyle name="쉼표 [0] 4 3 3 22 2 4 2" xfId="38885"/>
    <cellStyle name="쉼표 [0] 4 3 3 22 2 5" xfId="26213"/>
    <cellStyle name="쉼표 [0] 4 3 3 22 3" xfId="3970"/>
    <cellStyle name="쉼표 [0] 4 3 3 22 3 2" xfId="10306"/>
    <cellStyle name="쉼표 [0] 4 3 3 22 3 2 2" xfId="22980"/>
    <cellStyle name="쉼표 [0] 4 3 3 22 3 2 2 2" xfId="48332"/>
    <cellStyle name="쉼표 [0] 4 3 3 22 3 2 3" xfId="35660"/>
    <cellStyle name="쉼표 [0] 4 3 3 22 3 3" xfId="16644"/>
    <cellStyle name="쉼표 [0] 4 3 3 22 3 3 2" xfId="41996"/>
    <cellStyle name="쉼표 [0] 4 3 3 22 3 4" xfId="29324"/>
    <cellStyle name="쉼표 [0] 4 3 3 22 4" xfId="7194"/>
    <cellStyle name="쉼표 [0] 4 3 3 22 4 2" xfId="19868"/>
    <cellStyle name="쉼표 [0] 4 3 3 22 4 2 2" xfId="45220"/>
    <cellStyle name="쉼표 [0] 4 3 3 22 4 3" xfId="32548"/>
    <cellStyle name="쉼표 [0] 4 3 3 22 5" xfId="13532"/>
    <cellStyle name="쉼표 [0] 4 3 3 22 5 2" xfId="38884"/>
    <cellStyle name="쉼표 [0] 4 3 3 22 6" xfId="26212"/>
    <cellStyle name="쉼표 [0] 4 3 3 23" xfId="859"/>
    <cellStyle name="쉼표 [0] 4 3 3 23 2" xfId="860"/>
    <cellStyle name="쉼표 [0] 4 3 3 23 2 2" xfId="3971"/>
    <cellStyle name="쉼표 [0] 4 3 3 23 2 2 2" xfId="10307"/>
    <cellStyle name="쉼표 [0] 4 3 3 23 2 2 2 2" xfId="22981"/>
    <cellStyle name="쉼표 [0] 4 3 3 23 2 2 2 2 2" xfId="48333"/>
    <cellStyle name="쉼표 [0] 4 3 3 23 2 2 2 3" xfId="35661"/>
    <cellStyle name="쉼표 [0] 4 3 3 23 2 2 3" xfId="16645"/>
    <cellStyle name="쉼표 [0] 4 3 3 23 2 2 3 2" xfId="41997"/>
    <cellStyle name="쉼표 [0] 4 3 3 23 2 2 4" xfId="29325"/>
    <cellStyle name="쉼표 [0] 4 3 3 23 2 3" xfId="7197"/>
    <cellStyle name="쉼표 [0] 4 3 3 23 2 3 2" xfId="19871"/>
    <cellStyle name="쉼표 [0] 4 3 3 23 2 3 2 2" xfId="45223"/>
    <cellStyle name="쉼표 [0] 4 3 3 23 2 3 3" xfId="32551"/>
    <cellStyle name="쉼표 [0] 4 3 3 23 2 4" xfId="13535"/>
    <cellStyle name="쉼표 [0] 4 3 3 23 2 4 2" xfId="38887"/>
    <cellStyle name="쉼표 [0] 4 3 3 23 2 5" xfId="26215"/>
    <cellStyle name="쉼표 [0] 4 3 3 23 3" xfId="3972"/>
    <cellStyle name="쉼표 [0] 4 3 3 23 3 2" xfId="10308"/>
    <cellStyle name="쉼표 [0] 4 3 3 23 3 2 2" xfId="22982"/>
    <cellStyle name="쉼표 [0] 4 3 3 23 3 2 2 2" xfId="48334"/>
    <cellStyle name="쉼표 [0] 4 3 3 23 3 2 3" xfId="35662"/>
    <cellStyle name="쉼표 [0] 4 3 3 23 3 3" xfId="16646"/>
    <cellStyle name="쉼표 [0] 4 3 3 23 3 3 2" xfId="41998"/>
    <cellStyle name="쉼표 [0] 4 3 3 23 3 4" xfId="29326"/>
    <cellStyle name="쉼표 [0] 4 3 3 23 4" xfId="7196"/>
    <cellStyle name="쉼표 [0] 4 3 3 23 4 2" xfId="19870"/>
    <cellStyle name="쉼표 [0] 4 3 3 23 4 2 2" xfId="45222"/>
    <cellStyle name="쉼표 [0] 4 3 3 23 4 3" xfId="32550"/>
    <cellStyle name="쉼표 [0] 4 3 3 23 5" xfId="13534"/>
    <cellStyle name="쉼표 [0] 4 3 3 23 5 2" xfId="38886"/>
    <cellStyle name="쉼표 [0] 4 3 3 23 6" xfId="26214"/>
    <cellStyle name="쉼표 [0] 4 3 3 24" xfId="861"/>
    <cellStyle name="쉼표 [0] 4 3 3 24 2" xfId="862"/>
    <cellStyle name="쉼표 [0] 4 3 3 24 2 2" xfId="3973"/>
    <cellStyle name="쉼표 [0] 4 3 3 24 2 2 2" xfId="10309"/>
    <cellStyle name="쉼표 [0] 4 3 3 24 2 2 2 2" xfId="22983"/>
    <cellStyle name="쉼표 [0] 4 3 3 24 2 2 2 2 2" xfId="48335"/>
    <cellStyle name="쉼표 [0] 4 3 3 24 2 2 2 3" xfId="35663"/>
    <cellStyle name="쉼표 [0] 4 3 3 24 2 2 3" xfId="16647"/>
    <cellStyle name="쉼표 [0] 4 3 3 24 2 2 3 2" xfId="41999"/>
    <cellStyle name="쉼표 [0] 4 3 3 24 2 2 4" xfId="29327"/>
    <cellStyle name="쉼표 [0] 4 3 3 24 2 3" xfId="7199"/>
    <cellStyle name="쉼표 [0] 4 3 3 24 2 3 2" xfId="19873"/>
    <cellStyle name="쉼표 [0] 4 3 3 24 2 3 2 2" xfId="45225"/>
    <cellStyle name="쉼표 [0] 4 3 3 24 2 3 3" xfId="32553"/>
    <cellStyle name="쉼표 [0] 4 3 3 24 2 4" xfId="13537"/>
    <cellStyle name="쉼표 [0] 4 3 3 24 2 4 2" xfId="38889"/>
    <cellStyle name="쉼표 [0] 4 3 3 24 2 5" xfId="26217"/>
    <cellStyle name="쉼표 [0] 4 3 3 24 3" xfId="3974"/>
    <cellStyle name="쉼표 [0] 4 3 3 24 3 2" xfId="10310"/>
    <cellStyle name="쉼표 [0] 4 3 3 24 3 2 2" xfId="22984"/>
    <cellStyle name="쉼표 [0] 4 3 3 24 3 2 2 2" xfId="48336"/>
    <cellStyle name="쉼표 [0] 4 3 3 24 3 2 3" xfId="35664"/>
    <cellStyle name="쉼표 [0] 4 3 3 24 3 3" xfId="16648"/>
    <cellStyle name="쉼표 [0] 4 3 3 24 3 3 2" xfId="42000"/>
    <cellStyle name="쉼표 [0] 4 3 3 24 3 4" xfId="29328"/>
    <cellStyle name="쉼표 [0] 4 3 3 24 4" xfId="7198"/>
    <cellStyle name="쉼표 [0] 4 3 3 24 4 2" xfId="19872"/>
    <cellStyle name="쉼표 [0] 4 3 3 24 4 2 2" xfId="45224"/>
    <cellStyle name="쉼표 [0] 4 3 3 24 4 3" xfId="32552"/>
    <cellStyle name="쉼표 [0] 4 3 3 24 5" xfId="13536"/>
    <cellStyle name="쉼표 [0] 4 3 3 24 5 2" xfId="38888"/>
    <cellStyle name="쉼표 [0] 4 3 3 24 6" xfId="26216"/>
    <cellStyle name="쉼표 [0] 4 3 3 25" xfId="863"/>
    <cellStyle name="쉼표 [0] 4 3 3 25 2" xfId="864"/>
    <cellStyle name="쉼표 [0] 4 3 3 25 2 2" xfId="3975"/>
    <cellStyle name="쉼표 [0] 4 3 3 25 2 2 2" xfId="10311"/>
    <cellStyle name="쉼표 [0] 4 3 3 25 2 2 2 2" xfId="22985"/>
    <cellStyle name="쉼표 [0] 4 3 3 25 2 2 2 2 2" xfId="48337"/>
    <cellStyle name="쉼표 [0] 4 3 3 25 2 2 2 3" xfId="35665"/>
    <cellStyle name="쉼표 [0] 4 3 3 25 2 2 3" xfId="16649"/>
    <cellStyle name="쉼표 [0] 4 3 3 25 2 2 3 2" xfId="42001"/>
    <cellStyle name="쉼표 [0] 4 3 3 25 2 2 4" xfId="29329"/>
    <cellStyle name="쉼표 [0] 4 3 3 25 2 3" xfId="7201"/>
    <cellStyle name="쉼표 [0] 4 3 3 25 2 3 2" xfId="19875"/>
    <cellStyle name="쉼표 [0] 4 3 3 25 2 3 2 2" xfId="45227"/>
    <cellStyle name="쉼표 [0] 4 3 3 25 2 3 3" xfId="32555"/>
    <cellStyle name="쉼표 [0] 4 3 3 25 2 4" xfId="13539"/>
    <cellStyle name="쉼표 [0] 4 3 3 25 2 4 2" xfId="38891"/>
    <cellStyle name="쉼표 [0] 4 3 3 25 2 5" xfId="26219"/>
    <cellStyle name="쉼표 [0] 4 3 3 25 3" xfId="3976"/>
    <cellStyle name="쉼표 [0] 4 3 3 25 3 2" xfId="10312"/>
    <cellStyle name="쉼표 [0] 4 3 3 25 3 2 2" xfId="22986"/>
    <cellStyle name="쉼표 [0] 4 3 3 25 3 2 2 2" xfId="48338"/>
    <cellStyle name="쉼표 [0] 4 3 3 25 3 2 3" xfId="35666"/>
    <cellStyle name="쉼표 [0] 4 3 3 25 3 3" xfId="16650"/>
    <cellStyle name="쉼표 [0] 4 3 3 25 3 3 2" xfId="42002"/>
    <cellStyle name="쉼표 [0] 4 3 3 25 3 4" xfId="29330"/>
    <cellStyle name="쉼표 [0] 4 3 3 25 4" xfId="7200"/>
    <cellStyle name="쉼표 [0] 4 3 3 25 4 2" xfId="19874"/>
    <cellStyle name="쉼표 [0] 4 3 3 25 4 2 2" xfId="45226"/>
    <cellStyle name="쉼표 [0] 4 3 3 25 4 3" xfId="32554"/>
    <cellStyle name="쉼표 [0] 4 3 3 25 5" xfId="13538"/>
    <cellStyle name="쉼표 [0] 4 3 3 25 5 2" xfId="38890"/>
    <cellStyle name="쉼표 [0] 4 3 3 25 6" xfId="26218"/>
    <cellStyle name="쉼표 [0] 4 3 3 26" xfId="865"/>
    <cellStyle name="쉼표 [0] 4 3 3 26 2" xfId="866"/>
    <cellStyle name="쉼표 [0] 4 3 3 26 2 2" xfId="3977"/>
    <cellStyle name="쉼표 [0] 4 3 3 26 2 2 2" xfId="10313"/>
    <cellStyle name="쉼표 [0] 4 3 3 26 2 2 2 2" xfId="22987"/>
    <cellStyle name="쉼표 [0] 4 3 3 26 2 2 2 2 2" xfId="48339"/>
    <cellStyle name="쉼표 [0] 4 3 3 26 2 2 2 3" xfId="35667"/>
    <cellStyle name="쉼표 [0] 4 3 3 26 2 2 3" xfId="16651"/>
    <cellStyle name="쉼표 [0] 4 3 3 26 2 2 3 2" xfId="42003"/>
    <cellStyle name="쉼표 [0] 4 3 3 26 2 2 4" xfId="29331"/>
    <cellStyle name="쉼표 [0] 4 3 3 26 2 3" xfId="7203"/>
    <cellStyle name="쉼표 [0] 4 3 3 26 2 3 2" xfId="19877"/>
    <cellStyle name="쉼표 [0] 4 3 3 26 2 3 2 2" xfId="45229"/>
    <cellStyle name="쉼표 [0] 4 3 3 26 2 3 3" xfId="32557"/>
    <cellStyle name="쉼표 [0] 4 3 3 26 2 4" xfId="13541"/>
    <cellStyle name="쉼표 [0] 4 3 3 26 2 4 2" xfId="38893"/>
    <cellStyle name="쉼표 [0] 4 3 3 26 2 5" xfId="26221"/>
    <cellStyle name="쉼표 [0] 4 3 3 26 3" xfId="3978"/>
    <cellStyle name="쉼표 [0] 4 3 3 26 3 2" xfId="10314"/>
    <cellStyle name="쉼표 [0] 4 3 3 26 3 2 2" xfId="22988"/>
    <cellStyle name="쉼표 [0] 4 3 3 26 3 2 2 2" xfId="48340"/>
    <cellStyle name="쉼표 [0] 4 3 3 26 3 2 3" xfId="35668"/>
    <cellStyle name="쉼표 [0] 4 3 3 26 3 3" xfId="16652"/>
    <cellStyle name="쉼표 [0] 4 3 3 26 3 3 2" xfId="42004"/>
    <cellStyle name="쉼표 [0] 4 3 3 26 3 4" xfId="29332"/>
    <cellStyle name="쉼표 [0] 4 3 3 26 4" xfId="7202"/>
    <cellStyle name="쉼표 [0] 4 3 3 26 4 2" xfId="19876"/>
    <cellStyle name="쉼표 [0] 4 3 3 26 4 2 2" xfId="45228"/>
    <cellStyle name="쉼표 [0] 4 3 3 26 4 3" xfId="32556"/>
    <cellStyle name="쉼표 [0] 4 3 3 26 5" xfId="13540"/>
    <cellStyle name="쉼표 [0] 4 3 3 26 5 2" xfId="38892"/>
    <cellStyle name="쉼표 [0] 4 3 3 26 6" xfId="26220"/>
    <cellStyle name="쉼표 [0] 4 3 3 27" xfId="867"/>
    <cellStyle name="쉼표 [0] 4 3 3 27 2" xfId="868"/>
    <cellStyle name="쉼표 [0] 4 3 3 27 2 2" xfId="3979"/>
    <cellStyle name="쉼표 [0] 4 3 3 27 2 2 2" xfId="10315"/>
    <cellStyle name="쉼표 [0] 4 3 3 27 2 2 2 2" xfId="22989"/>
    <cellStyle name="쉼표 [0] 4 3 3 27 2 2 2 2 2" xfId="48341"/>
    <cellStyle name="쉼표 [0] 4 3 3 27 2 2 2 3" xfId="35669"/>
    <cellStyle name="쉼표 [0] 4 3 3 27 2 2 3" xfId="16653"/>
    <cellStyle name="쉼표 [0] 4 3 3 27 2 2 3 2" xfId="42005"/>
    <cellStyle name="쉼표 [0] 4 3 3 27 2 2 4" xfId="29333"/>
    <cellStyle name="쉼표 [0] 4 3 3 27 2 3" xfId="7205"/>
    <cellStyle name="쉼표 [0] 4 3 3 27 2 3 2" xfId="19879"/>
    <cellStyle name="쉼표 [0] 4 3 3 27 2 3 2 2" xfId="45231"/>
    <cellStyle name="쉼표 [0] 4 3 3 27 2 3 3" xfId="32559"/>
    <cellStyle name="쉼표 [0] 4 3 3 27 2 4" xfId="13543"/>
    <cellStyle name="쉼표 [0] 4 3 3 27 2 4 2" xfId="38895"/>
    <cellStyle name="쉼표 [0] 4 3 3 27 2 5" xfId="26223"/>
    <cellStyle name="쉼표 [0] 4 3 3 27 3" xfId="3980"/>
    <cellStyle name="쉼표 [0] 4 3 3 27 3 2" xfId="10316"/>
    <cellStyle name="쉼표 [0] 4 3 3 27 3 2 2" xfId="22990"/>
    <cellStyle name="쉼표 [0] 4 3 3 27 3 2 2 2" xfId="48342"/>
    <cellStyle name="쉼표 [0] 4 3 3 27 3 2 3" xfId="35670"/>
    <cellStyle name="쉼표 [0] 4 3 3 27 3 3" xfId="16654"/>
    <cellStyle name="쉼표 [0] 4 3 3 27 3 3 2" xfId="42006"/>
    <cellStyle name="쉼표 [0] 4 3 3 27 3 4" xfId="29334"/>
    <cellStyle name="쉼표 [0] 4 3 3 27 4" xfId="7204"/>
    <cellStyle name="쉼표 [0] 4 3 3 27 4 2" xfId="19878"/>
    <cellStyle name="쉼표 [0] 4 3 3 27 4 2 2" xfId="45230"/>
    <cellStyle name="쉼표 [0] 4 3 3 27 4 3" xfId="32558"/>
    <cellStyle name="쉼표 [0] 4 3 3 27 5" xfId="13542"/>
    <cellStyle name="쉼표 [0] 4 3 3 27 5 2" xfId="38894"/>
    <cellStyle name="쉼표 [0] 4 3 3 27 6" xfId="26222"/>
    <cellStyle name="쉼표 [0] 4 3 3 28" xfId="869"/>
    <cellStyle name="쉼표 [0] 4 3 3 28 2" xfId="870"/>
    <cellStyle name="쉼표 [0] 4 3 3 28 2 2" xfId="3981"/>
    <cellStyle name="쉼표 [0] 4 3 3 28 2 2 2" xfId="10317"/>
    <cellStyle name="쉼표 [0] 4 3 3 28 2 2 2 2" xfId="22991"/>
    <cellStyle name="쉼표 [0] 4 3 3 28 2 2 2 2 2" xfId="48343"/>
    <cellStyle name="쉼표 [0] 4 3 3 28 2 2 2 3" xfId="35671"/>
    <cellStyle name="쉼표 [0] 4 3 3 28 2 2 3" xfId="16655"/>
    <cellStyle name="쉼표 [0] 4 3 3 28 2 2 3 2" xfId="42007"/>
    <cellStyle name="쉼표 [0] 4 3 3 28 2 2 4" xfId="29335"/>
    <cellStyle name="쉼표 [0] 4 3 3 28 2 3" xfId="7207"/>
    <cellStyle name="쉼표 [0] 4 3 3 28 2 3 2" xfId="19881"/>
    <cellStyle name="쉼표 [0] 4 3 3 28 2 3 2 2" xfId="45233"/>
    <cellStyle name="쉼표 [0] 4 3 3 28 2 3 3" xfId="32561"/>
    <cellStyle name="쉼표 [0] 4 3 3 28 2 4" xfId="13545"/>
    <cellStyle name="쉼표 [0] 4 3 3 28 2 4 2" xfId="38897"/>
    <cellStyle name="쉼표 [0] 4 3 3 28 2 5" xfId="26225"/>
    <cellStyle name="쉼표 [0] 4 3 3 28 3" xfId="3982"/>
    <cellStyle name="쉼표 [0] 4 3 3 28 3 2" xfId="10318"/>
    <cellStyle name="쉼표 [0] 4 3 3 28 3 2 2" xfId="22992"/>
    <cellStyle name="쉼표 [0] 4 3 3 28 3 2 2 2" xfId="48344"/>
    <cellStyle name="쉼표 [0] 4 3 3 28 3 2 3" xfId="35672"/>
    <cellStyle name="쉼표 [0] 4 3 3 28 3 3" xfId="16656"/>
    <cellStyle name="쉼표 [0] 4 3 3 28 3 3 2" xfId="42008"/>
    <cellStyle name="쉼표 [0] 4 3 3 28 3 4" xfId="29336"/>
    <cellStyle name="쉼표 [0] 4 3 3 28 4" xfId="7206"/>
    <cellStyle name="쉼표 [0] 4 3 3 28 4 2" xfId="19880"/>
    <cellStyle name="쉼표 [0] 4 3 3 28 4 2 2" xfId="45232"/>
    <cellStyle name="쉼표 [0] 4 3 3 28 4 3" xfId="32560"/>
    <cellStyle name="쉼표 [0] 4 3 3 28 5" xfId="13544"/>
    <cellStyle name="쉼표 [0] 4 3 3 28 5 2" xfId="38896"/>
    <cellStyle name="쉼표 [0] 4 3 3 28 6" xfId="26224"/>
    <cellStyle name="쉼표 [0] 4 3 3 29" xfId="871"/>
    <cellStyle name="쉼표 [0] 4 3 3 29 2" xfId="872"/>
    <cellStyle name="쉼표 [0] 4 3 3 29 2 2" xfId="3983"/>
    <cellStyle name="쉼표 [0] 4 3 3 29 2 2 2" xfId="10319"/>
    <cellStyle name="쉼표 [0] 4 3 3 29 2 2 2 2" xfId="22993"/>
    <cellStyle name="쉼표 [0] 4 3 3 29 2 2 2 2 2" xfId="48345"/>
    <cellStyle name="쉼표 [0] 4 3 3 29 2 2 2 3" xfId="35673"/>
    <cellStyle name="쉼표 [0] 4 3 3 29 2 2 3" xfId="16657"/>
    <cellStyle name="쉼표 [0] 4 3 3 29 2 2 3 2" xfId="42009"/>
    <cellStyle name="쉼표 [0] 4 3 3 29 2 2 4" xfId="29337"/>
    <cellStyle name="쉼표 [0] 4 3 3 29 2 3" xfId="7209"/>
    <cellStyle name="쉼표 [0] 4 3 3 29 2 3 2" xfId="19883"/>
    <cellStyle name="쉼표 [0] 4 3 3 29 2 3 2 2" xfId="45235"/>
    <cellStyle name="쉼표 [0] 4 3 3 29 2 3 3" xfId="32563"/>
    <cellStyle name="쉼표 [0] 4 3 3 29 2 4" xfId="13547"/>
    <cellStyle name="쉼표 [0] 4 3 3 29 2 4 2" xfId="38899"/>
    <cellStyle name="쉼표 [0] 4 3 3 29 2 5" xfId="26227"/>
    <cellStyle name="쉼표 [0] 4 3 3 29 3" xfId="3984"/>
    <cellStyle name="쉼표 [0] 4 3 3 29 3 2" xfId="10320"/>
    <cellStyle name="쉼표 [0] 4 3 3 29 3 2 2" xfId="22994"/>
    <cellStyle name="쉼표 [0] 4 3 3 29 3 2 2 2" xfId="48346"/>
    <cellStyle name="쉼표 [0] 4 3 3 29 3 2 3" xfId="35674"/>
    <cellStyle name="쉼표 [0] 4 3 3 29 3 3" xfId="16658"/>
    <cellStyle name="쉼표 [0] 4 3 3 29 3 3 2" xfId="42010"/>
    <cellStyle name="쉼표 [0] 4 3 3 29 3 4" xfId="29338"/>
    <cellStyle name="쉼표 [0] 4 3 3 29 4" xfId="7208"/>
    <cellStyle name="쉼표 [0] 4 3 3 29 4 2" xfId="19882"/>
    <cellStyle name="쉼표 [0] 4 3 3 29 4 2 2" xfId="45234"/>
    <cellStyle name="쉼표 [0] 4 3 3 29 4 3" xfId="32562"/>
    <cellStyle name="쉼표 [0] 4 3 3 29 5" xfId="13546"/>
    <cellStyle name="쉼표 [0] 4 3 3 29 5 2" xfId="38898"/>
    <cellStyle name="쉼표 [0] 4 3 3 29 6" xfId="26226"/>
    <cellStyle name="쉼표 [0] 4 3 3 3" xfId="873"/>
    <cellStyle name="쉼표 [0] 4 3 3 3 2" xfId="874"/>
    <cellStyle name="쉼표 [0] 4 3 3 3 2 2" xfId="3985"/>
    <cellStyle name="쉼표 [0] 4 3 3 3 2 2 2" xfId="10321"/>
    <cellStyle name="쉼표 [0] 4 3 3 3 2 2 2 2" xfId="22995"/>
    <cellStyle name="쉼표 [0] 4 3 3 3 2 2 2 2 2" xfId="48347"/>
    <cellStyle name="쉼표 [0] 4 3 3 3 2 2 2 3" xfId="35675"/>
    <cellStyle name="쉼표 [0] 4 3 3 3 2 2 3" xfId="16659"/>
    <cellStyle name="쉼표 [0] 4 3 3 3 2 2 3 2" xfId="42011"/>
    <cellStyle name="쉼표 [0] 4 3 3 3 2 2 4" xfId="29339"/>
    <cellStyle name="쉼표 [0] 4 3 3 3 2 3" xfId="7211"/>
    <cellStyle name="쉼표 [0] 4 3 3 3 2 3 2" xfId="19885"/>
    <cellStyle name="쉼표 [0] 4 3 3 3 2 3 2 2" xfId="45237"/>
    <cellStyle name="쉼표 [0] 4 3 3 3 2 3 3" xfId="32565"/>
    <cellStyle name="쉼표 [0] 4 3 3 3 2 4" xfId="13549"/>
    <cellStyle name="쉼표 [0] 4 3 3 3 2 4 2" xfId="38901"/>
    <cellStyle name="쉼표 [0] 4 3 3 3 2 5" xfId="26229"/>
    <cellStyle name="쉼표 [0] 4 3 3 3 3" xfId="3986"/>
    <cellStyle name="쉼표 [0] 4 3 3 3 3 2" xfId="10322"/>
    <cellStyle name="쉼표 [0] 4 3 3 3 3 2 2" xfId="22996"/>
    <cellStyle name="쉼표 [0] 4 3 3 3 3 2 2 2" xfId="48348"/>
    <cellStyle name="쉼표 [0] 4 3 3 3 3 2 3" xfId="35676"/>
    <cellStyle name="쉼표 [0] 4 3 3 3 3 3" xfId="16660"/>
    <cellStyle name="쉼표 [0] 4 3 3 3 3 3 2" xfId="42012"/>
    <cellStyle name="쉼표 [0] 4 3 3 3 3 4" xfId="29340"/>
    <cellStyle name="쉼표 [0] 4 3 3 3 4" xfId="7210"/>
    <cellStyle name="쉼표 [0] 4 3 3 3 4 2" xfId="19884"/>
    <cellStyle name="쉼표 [0] 4 3 3 3 4 2 2" xfId="45236"/>
    <cellStyle name="쉼표 [0] 4 3 3 3 4 3" xfId="32564"/>
    <cellStyle name="쉼표 [0] 4 3 3 3 5" xfId="13548"/>
    <cellStyle name="쉼표 [0] 4 3 3 3 5 2" xfId="38900"/>
    <cellStyle name="쉼표 [0] 4 3 3 3 6" xfId="26228"/>
    <cellStyle name="쉼표 [0] 4 3 3 30" xfId="875"/>
    <cellStyle name="쉼표 [0] 4 3 3 30 2" xfId="876"/>
    <cellStyle name="쉼표 [0] 4 3 3 30 2 2" xfId="3987"/>
    <cellStyle name="쉼표 [0] 4 3 3 30 2 2 2" xfId="10323"/>
    <cellStyle name="쉼표 [0] 4 3 3 30 2 2 2 2" xfId="22997"/>
    <cellStyle name="쉼표 [0] 4 3 3 30 2 2 2 2 2" xfId="48349"/>
    <cellStyle name="쉼표 [0] 4 3 3 30 2 2 2 3" xfId="35677"/>
    <cellStyle name="쉼표 [0] 4 3 3 30 2 2 3" xfId="16661"/>
    <cellStyle name="쉼표 [0] 4 3 3 30 2 2 3 2" xfId="42013"/>
    <cellStyle name="쉼표 [0] 4 3 3 30 2 2 4" xfId="29341"/>
    <cellStyle name="쉼표 [0] 4 3 3 30 2 3" xfId="7213"/>
    <cellStyle name="쉼표 [0] 4 3 3 30 2 3 2" xfId="19887"/>
    <cellStyle name="쉼표 [0] 4 3 3 30 2 3 2 2" xfId="45239"/>
    <cellStyle name="쉼표 [0] 4 3 3 30 2 3 3" xfId="32567"/>
    <cellStyle name="쉼표 [0] 4 3 3 30 2 4" xfId="13551"/>
    <cellStyle name="쉼표 [0] 4 3 3 30 2 4 2" xfId="38903"/>
    <cellStyle name="쉼표 [0] 4 3 3 30 2 5" xfId="26231"/>
    <cellStyle name="쉼표 [0] 4 3 3 30 3" xfId="3988"/>
    <cellStyle name="쉼표 [0] 4 3 3 30 3 2" xfId="10324"/>
    <cellStyle name="쉼표 [0] 4 3 3 30 3 2 2" xfId="22998"/>
    <cellStyle name="쉼표 [0] 4 3 3 30 3 2 2 2" xfId="48350"/>
    <cellStyle name="쉼표 [0] 4 3 3 30 3 2 3" xfId="35678"/>
    <cellStyle name="쉼표 [0] 4 3 3 30 3 3" xfId="16662"/>
    <cellStyle name="쉼표 [0] 4 3 3 30 3 3 2" xfId="42014"/>
    <cellStyle name="쉼표 [0] 4 3 3 30 3 4" xfId="29342"/>
    <cellStyle name="쉼표 [0] 4 3 3 30 4" xfId="7212"/>
    <cellStyle name="쉼표 [0] 4 3 3 30 4 2" xfId="19886"/>
    <cellStyle name="쉼표 [0] 4 3 3 30 4 2 2" xfId="45238"/>
    <cellStyle name="쉼표 [0] 4 3 3 30 4 3" xfId="32566"/>
    <cellStyle name="쉼표 [0] 4 3 3 30 5" xfId="13550"/>
    <cellStyle name="쉼표 [0] 4 3 3 30 5 2" xfId="38902"/>
    <cellStyle name="쉼표 [0] 4 3 3 30 6" xfId="26230"/>
    <cellStyle name="쉼표 [0] 4 3 3 31" xfId="877"/>
    <cellStyle name="쉼표 [0] 4 3 3 31 2" xfId="878"/>
    <cellStyle name="쉼표 [0] 4 3 3 31 2 2" xfId="3989"/>
    <cellStyle name="쉼표 [0] 4 3 3 31 2 2 2" xfId="10325"/>
    <cellStyle name="쉼표 [0] 4 3 3 31 2 2 2 2" xfId="22999"/>
    <cellStyle name="쉼표 [0] 4 3 3 31 2 2 2 2 2" xfId="48351"/>
    <cellStyle name="쉼표 [0] 4 3 3 31 2 2 2 3" xfId="35679"/>
    <cellStyle name="쉼표 [0] 4 3 3 31 2 2 3" xfId="16663"/>
    <cellStyle name="쉼표 [0] 4 3 3 31 2 2 3 2" xfId="42015"/>
    <cellStyle name="쉼표 [0] 4 3 3 31 2 2 4" xfId="29343"/>
    <cellStyle name="쉼표 [0] 4 3 3 31 2 3" xfId="7215"/>
    <cellStyle name="쉼표 [0] 4 3 3 31 2 3 2" xfId="19889"/>
    <cellStyle name="쉼표 [0] 4 3 3 31 2 3 2 2" xfId="45241"/>
    <cellStyle name="쉼표 [0] 4 3 3 31 2 3 3" xfId="32569"/>
    <cellStyle name="쉼표 [0] 4 3 3 31 2 4" xfId="13553"/>
    <cellStyle name="쉼표 [0] 4 3 3 31 2 4 2" xfId="38905"/>
    <cellStyle name="쉼표 [0] 4 3 3 31 2 5" xfId="26233"/>
    <cellStyle name="쉼표 [0] 4 3 3 31 3" xfId="3990"/>
    <cellStyle name="쉼표 [0] 4 3 3 31 3 2" xfId="10326"/>
    <cellStyle name="쉼표 [0] 4 3 3 31 3 2 2" xfId="23000"/>
    <cellStyle name="쉼표 [0] 4 3 3 31 3 2 2 2" xfId="48352"/>
    <cellStyle name="쉼표 [0] 4 3 3 31 3 2 3" xfId="35680"/>
    <cellStyle name="쉼표 [0] 4 3 3 31 3 3" xfId="16664"/>
    <cellStyle name="쉼표 [0] 4 3 3 31 3 3 2" xfId="42016"/>
    <cellStyle name="쉼표 [0] 4 3 3 31 3 4" xfId="29344"/>
    <cellStyle name="쉼표 [0] 4 3 3 31 4" xfId="7214"/>
    <cellStyle name="쉼표 [0] 4 3 3 31 4 2" xfId="19888"/>
    <cellStyle name="쉼표 [0] 4 3 3 31 4 2 2" xfId="45240"/>
    <cellStyle name="쉼표 [0] 4 3 3 31 4 3" xfId="32568"/>
    <cellStyle name="쉼표 [0] 4 3 3 31 5" xfId="13552"/>
    <cellStyle name="쉼표 [0] 4 3 3 31 5 2" xfId="38904"/>
    <cellStyle name="쉼표 [0] 4 3 3 31 6" xfId="26232"/>
    <cellStyle name="쉼표 [0] 4 3 3 32" xfId="879"/>
    <cellStyle name="쉼표 [0] 4 3 3 32 2" xfId="880"/>
    <cellStyle name="쉼표 [0] 4 3 3 32 2 2" xfId="3991"/>
    <cellStyle name="쉼표 [0] 4 3 3 32 2 2 2" xfId="10327"/>
    <cellStyle name="쉼표 [0] 4 3 3 32 2 2 2 2" xfId="23001"/>
    <cellStyle name="쉼표 [0] 4 3 3 32 2 2 2 2 2" xfId="48353"/>
    <cellStyle name="쉼표 [0] 4 3 3 32 2 2 2 3" xfId="35681"/>
    <cellStyle name="쉼표 [0] 4 3 3 32 2 2 3" xfId="16665"/>
    <cellStyle name="쉼표 [0] 4 3 3 32 2 2 3 2" xfId="42017"/>
    <cellStyle name="쉼표 [0] 4 3 3 32 2 2 4" xfId="29345"/>
    <cellStyle name="쉼표 [0] 4 3 3 32 2 3" xfId="7217"/>
    <cellStyle name="쉼표 [0] 4 3 3 32 2 3 2" xfId="19891"/>
    <cellStyle name="쉼표 [0] 4 3 3 32 2 3 2 2" xfId="45243"/>
    <cellStyle name="쉼표 [0] 4 3 3 32 2 3 3" xfId="32571"/>
    <cellStyle name="쉼표 [0] 4 3 3 32 2 4" xfId="13555"/>
    <cellStyle name="쉼표 [0] 4 3 3 32 2 4 2" xfId="38907"/>
    <cellStyle name="쉼표 [0] 4 3 3 32 2 5" xfId="26235"/>
    <cellStyle name="쉼표 [0] 4 3 3 32 3" xfId="3992"/>
    <cellStyle name="쉼표 [0] 4 3 3 32 3 2" xfId="10328"/>
    <cellStyle name="쉼표 [0] 4 3 3 32 3 2 2" xfId="23002"/>
    <cellStyle name="쉼표 [0] 4 3 3 32 3 2 2 2" xfId="48354"/>
    <cellStyle name="쉼표 [0] 4 3 3 32 3 2 3" xfId="35682"/>
    <cellStyle name="쉼표 [0] 4 3 3 32 3 3" xfId="16666"/>
    <cellStyle name="쉼표 [0] 4 3 3 32 3 3 2" xfId="42018"/>
    <cellStyle name="쉼표 [0] 4 3 3 32 3 4" xfId="29346"/>
    <cellStyle name="쉼표 [0] 4 3 3 32 4" xfId="7216"/>
    <cellStyle name="쉼표 [0] 4 3 3 32 4 2" xfId="19890"/>
    <cellStyle name="쉼표 [0] 4 3 3 32 4 2 2" xfId="45242"/>
    <cellStyle name="쉼표 [0] 4 3 3 32 4 3" xfId="32570"/>
    <cellStyle name="쉼표 [0] 4 3 3 32 5" xfId="13554"/>
    <cellStyle name="쉼표 [0] 4 3 3 32 5 2" xfId="38906"/>
    <cellStyle name="쉼표 [0] 4 3 3 32 6" xfId="26234"/>
    <cellStyle name="쉼표 [0] 4 3 3 33" xfId="881"/>
    <cellStyle name="쉼표 [0] 4 3 3 33 2" xfId="882"/>
    <cellStyle name="쉼표 [0] 4 3 3 33 2 2" xfId="3993"/>
    <cellStyle name="쉼표 [0] 4 3 3 33 2 2 2" xfId="10329"/>
    <cellStyle name="쉼표 [0] 4 3 3 33 2 2 2 2" xfId="23003"/>
    <cellStyle name="쉼표 [0] 4 3 3 33 2 2 2 2 2" xfId="48355"/>
    <cellStyle name="쉼표 [0] 4 3 3 33 2 2 2 3" xfId="35683"/>
    <cellStyle name="쉼표 [0] 4 3 3 33 2 2 3" xfId="16667"/>
    <cellStyle name="쉼표 [0] 4 3 3 33 2 2 3 2" xfId="42019"/>
    <cellStyle name="쉼표 [0] 4 3 3 33 2 2 4" xfId="29347"/>
    <cellStyle name="쉼표 [0] 4 3 3 33 2 3" xfId="7219"/>
    <cellStyle name="쉼표 [0] 4 3 3 33 2 3 2" xfId="19893"/>
    <cellStyle name="쉼표 [0] 4 3 3 33 2 3 2 2" xfId="45245"/>
    <cellStyle name="쉼표 [0] 4 3 3 33 2 3 3" xfId="32573"/>
    <cellStyle name="쉼표 [0] 4 3 3 33 2 4" xfId="13557"/>
    <cellStyle name="쉼표 [0] 4 3 3 33 2 4 2" xfId="38909"/>
    <cellStyle name="쉼표 [0] 4 3 3 33 2 5" xfId="26237"/>
    <cellStyle name="쉼표 [0] 4 3 3 33 3" xfId="3994"/>
    <cellStyle name="쉼표 [0] 4 3 3 33 3 2" xfId="10330"/>
    <cellStyle name="쉼표 [0] 4 3 3 33 3 2 2" xfId="23004"/>
    <cellStyle name="쉼표 [0] 4 3 3 33 3 2 2 2" xfId="48356"/>
    <cellStyle name="쉼표 [0] 4 3 3 33 3 2 3" xfId="35684"/>
    <cellStyle name="쉼표 [0] 4 3 3 33 3 3" xfId="16668"/>
    <cellStyle name="쉼표 [0] 4 3 3 33 3 3 2" xfId="42020"/>
    <cellStyle name="쉼표 [0] 4 3 3 33 3 4" xfId="29348"/>
    <cellStyle name="쉼표 [0] 4 3 3 33 4" xfId="7218"/>
    <cellStyle name="쉼표 [0] 4 3 3 33 4 2" xfId="19892"/>
    <cellStyle name="쉼표 [0] 4 3 3 33 4 2 2" xfId="45244"/>
    <cellStyle name="쉼표 [0] 4 3 3 33 4 3" xfId="32572"/>
    <cellStyle name="쉼표 [0] 4 3 3 33 5" xfId="13556"/>
    <cellStyle name="쉼표 [0] 4 3 3 33 5 2" xfId="38908"/>
    <cellStyle name="쉼표 [0] 4 3 3 33 6" xfId="26236"/>
    <cellStyle name="쉼표 [0] 4 3 3 34" xfId="883"/>
    <cellStyle name="쉼표 [0] 4 3 3 34 2" xfId="3995"/>
    <cellStyle name="쉼표 [0] 4 3 3 34 2 2" xfId="10331"/>
    <cellStyle name="쉼표 [0] 4 3 3 34 2 2 2" xfId="23005"/>
    <cellStyle name="쉼표 [0] 4 3 3 34 2 2 2 2" xfId="48357"/>
    <cellStyle name="쉼표 [0] 4 3 3 34 2 2 3" xfId="35685"/>
    <cellStyle name="쉼표 [0] 4 3 3 34 2 3" xfId="16669"/>
    <cellStyle name="쉼표 [0] 4 3 3 34 2 3 2" xfId="42021"/>
    <cellStyle name="쉼표 [0] 4 3 3 34 2 4" xfId="29349"/>
    <cellStyle name="쉼표 [0] 4 3 3 34 3" xfId="7220"/>
    <cellStyle name="쉼표 [0] 4 3 3 34 3 2" xfId="19894"/>
    <cellStyle name="쉼표 [0] 4 3 3 34 3 2 2" xfId="45246"/>
    <cellStyle name="쉼표 [0] 4 3 3 34 3 3" xfId="32574"/>
    <cellStyle name="쉼표 [0] 4 3 3 34 4" xfId="13558"/>
    <cellStyle name="쉼표 [0] 4 3 3 34 4 2" xfId="38910"/>
    <cellStyle name="쉼표 [0] 4 3 3 34 5" xfId="26238"/>
    <cellStyle name="쉼표 [0] 4 3 3 35" xfId="3996"/>
    <cellStyle name="쉼표 [0] 4 3 3 35 2" xfId="10332"/>
    <cellStyle name="쉼표 [0] 4 3 3 35 2 2" xfId="23006"/>
    <cellStyle name="쉼표 [0] 4 3 3 35 2 2 2" xfId="48358"/>
    <cellStyle name="쉼표 [0] 4 3 3 35 2 3" xfId="35686"/>
    <cellStyle name="쉼표 [0] 4 3 3 35 3" xfId="16670"/>
    <cellStyle name="쉼표 [0] 4 3 3 35 3 2" xfId="42022"/>
    <cellStyle name="쉼표 [0] 4 3 3 35 4" xfId="29350"/>
    <cellStyle name="쉼표 [0] 4 3 3 36" xfId="6405"/>
    <cellStyle name="쉼표 [0] 4 3 3 36 2" xfId="19079"/>
    <cellStyle name="쉼표 [0] 4 3 3 36 2 2" xfId="44431"/>
    <cellStyle name="쉼표 [0] 4 3 3 36 3" xfId="31759"/>
    <cellStyle name="쉼표 [0] 4 3 3 37" xfId="12743"/>
    <cellStyle name="쉼표 [0] 4 3 3 37 2" xfId="38095"/>
    <cellStyle name="쉼표 [0] 4 3 3 38" xfId="25423"/>
    <cellStyle name="쉼표 [0] 4 3 3 4" xfId="884"/>
    <cellStyle name="쉼표 [0] 4 3 3 4 2" xfId="885"/>
    <cellStyle name="쉼표 [0] 4 3 3 4 2 2" xfId="3997"/>
    <cellStyle name="쉼표 [0] 4 3 3 4 2 2 2" xfId="10333"/>
    <cellStyle name="쉼표 [0] 4 3 3 4 2 2 2 2" xfId="23007"/>
    <cellStyle name="쉼표 [0] 4 3 3 4 2 2 2 2 2" xfId="48359"/>
    <cellStyle name="쉼표 [0] 4 3 3 4 2 2 2 3" xfId="35687"/>
    <cellStyle name="쉼표 [0] 4 3 3 4 2 2 3" xfId="16671"/>
    <cellStyle name="쉼표 [0] 4 3 3 4 2 2 3 2" xfId="42023"/>
    <cellStyle name="쉼표 [0] 4 3 3 4 2 2 4" xfId="29351"/>
    <cellStyle name="쉼표 [0] 4 3 3 4 2 3" xfId="7222"/>
    <cellStyle name="쉼표 [0] 4 3 3 4 2 3 2" xfId="19896"/>
    <cellStyle name="쉼표 [0] 4 3 3 4 2 3 2 2" xfId="45248"/>
    <cellStyle name="쉼표 [0] 4 3 3 4 2 3 3" xfId="32576"/>
    <cellStyle name="쉼표 [0] 4 3 3 4 2 4" xfId="13560"/>
    <cellStyle name="쉼표 [0] 4 3 3 4 2 4 2" xfId="38912"/>
    <cellStyle name="쉼표 [0] 4 3 3 4 2 5" xfId="26240"/>
    <cellStyle name="쉼표 [0] 4 3 3 4 3" xfId="3998"/>
    <cellStyle name="쉼표 [0] 4 3 3 4 3 2" xfId="10334"/>
    <cellStyle name="쉼표 [0] 4 3 3 4 3 2 2" xfId="23008"/>
    <cellStyle name="쉼표 [0] 4 3 3 4 3 2 2 2" xfId="48360"/>
    <cellStyle name="쉼표 [0] 4 3 3 4 3 2 3" xfId="35688"/>
    <cellStyle name="쉼표 [0] 4 3 3 4 3 3" xfId="16672"/>
    <cellStyle name="쉼표 [0] 4 3 3 4 3 3 2" xfId="42024"/>
    <cellStyle name="쉼표 [0] 4 3 3 4 3 4" xfId="29352"/>
    <cellStyle name="쉼표 [0] 4 3 3 4 4" xfId="7221"/>
    <cellStyle name="쉼표 [0] 4 3 3 4 4 2" xfId="19895"/>
    <cellStyle name="쉼표 [0] 4 3 3 4 4 2 2" xfId="45247"/>
    <cellStyle name="쉼표 [0] 4 3 3 4 4 3" xfId="32575"/>
    <cellStyle name="쉼표 [0] 4 3 3 4 5" xfId="13559"/>
    <cellStyle name="쉼표 [0] 4 3 3 4 5 2" xfId="38911"/>
    <cellStyle name="쉼표 [0] 4 3 3 4 6" xfId="26239"/>
    <cellStyle name="쉼표 [0] 4 3 3 5" xfId="886"/>
    <cellStyle name="쉼표 [0] 4 3 3 5 2" xfId="887"/>
    <cellStyle name="쉼표 [0] 4 3 3 5 2 2" xfId="3999"/>
    <cellStyle name="쉼표 [0] 4 3 3 5 2 2 2" xfId="10335"/>
    <cellStyle name="쉼표 [0] 4 3 3 5 2 2 2 2" xfId="23009"/>
    <cellStyle name="쉼표 [0] 4 3 3 5 2 2 2 2 2" xfId="48361"/>
    <cellStyle name="쉼표 [0] 4 3 3 5 2 2 2 3" xfId="35689"/>
    <cellStyle name="쉼표 [0] 4 3 3 5 2 2 3" xfId="16673"/>
    <cellStyle name="쉼표 [0] 4 3 3 5 2 2 3 2" xfId="42025"/>
    <cellStyle name="쉼표 [0] 4 3 3 5 2 2 4" xfId="29353"/>
    <cellStyle name="쉼표 [0] 4 3 3 5 2 3" xfId="7224"/>
    <cellStyle name="쉼표 [0] 4 3 3 5 2 3 2" xfId="19898"/>
    <cellStyle name="쉼표 [0] 4 3 3 5 2 3 2 2" xfId="45250"/>
    <cellStyle name="쉼표 [0] 4 3 3 5 2 3 3" xfId="32578"/>
    <cellStyle name="쉼표 [0] 4 3 3 5 2 4" xfId="13562"/>
    <cellStyle name="쉼표 [0] 4 3 3 5 2 4 2" xfId="38914"/>
    <cellStyle name="쉼표 [0] 4 3 3 5 2 5" xfId="26242"/>
    <cellStyle name="쉼표 [0] 4 3 3 5 3" xfId="4000"/>
    <cellStyle name="쉼표 [0] 4 3 3 5 3 2" xfId="10336"/>
    <cellStyle name="쉼표 [0] 4 3 3 5 3 2 2" xfId="23010"/>
    <cellStyle name="쉼표 [0] 4 3 3 5 3 2 2 2" xfId="48362"/>
    <cellStyle name="쉼표 [0] 4 3 3 5 3 2 3" xfId="35690"/>
    <cellStyle name="쉼표 [0] 4 3 3 5 3 3" xfId="16674"/>
    <cellStyle name="쉼표 [0] 4 3 3 5 3 3 2" xfId="42026"/>
    <cellStyle name="쉼표 [0] 4 3 3 5 3 4" xfId="29354"/>
    <cellStyle name="쉼표 [0] 4 3 3 5 4" xfId="7223"/>
    <cellStyle name="쉼표 [0] 4 3 3 5 4 2" xfId="19897"/>
    <cellStyle name="쉼표 [0] 4 3 3 5 4 2 2" xfId="45249"/>
    <cellStyle name="쉼표 [0] 4 3 3 5 4 3" xfId="32577"/>
    <cellStyle name="쉼표 [0] 4 3 3 5 5" xfId="13561"/>
    <cellStyle name="쉼표 [0] 4 3 3 5 5 2" xfId="38913"/>
    <cellStyle name="쉼표 [0] 4 3 3 5 6" xfId="26241"/>
    <cellStyle name="쉼표 [0] 4 3 3 6" xfId="888"/>
    <cellStyle name="쉼표 [0] 4 3 3 6 2" xfId="889"/>
    <cellStyle name="쉼표 [0] 4 3 3 6 2 2" xfId="4001"/>
    <cellStyle name="쉼표 [0] 4 3 3 6 2 2 2" xfId="10337"/>
    <cellStyle name="쉼표 [0] 4 3 3 6 2 2 2 2" xfId="23011"/>
    <cellStyle name="쉼표 [0] 4 3 3 6 2 2 2 2 2" xfId="48363"/>
    <cellStyle name="쉼표 [0] 4 3 3 6 2 2 2 3" xfId="35691"/>
    <cellStyle name="쉼표 [0] 4 3 3 6 2 2 3" xfId="16675"/>
    <cellStyle name="쉼표 [0] 4 3 3 6 2 2 3 2" xfId="42027"/>
    <cellStyle name="쉼표 [0] 4 3 3 6 2 2 4" xfId="29355"/>
    <cellStyle name="쉼표 [0] 4 3 3 6 2 3" xfId="7226"/>
    <cellStyle name="쉼표 [0] 4 3 3 6 2 3 2" xfId="19900"/>
    <cellStyle name="쉼표 [0] 4 3 3 6 2 3 2 2" xfId="45252"/>
    <cellStyle name="쉼표 [0] 4 3 3 6 2 3 3" xfId="32580"/>
    <cellStyle name="쉼표 [0] 4 3 3 6 2 4" xfId="13564"/>
    <cellStyle name="쉼표 [0] 4 3 3 6 2 4 2" xfId="38916"/>
    <cellStyle name="쉼표 [0] 4 3 3 6 2 5" xfId="26244"/>
    <cellStyle name="쉼표 [0] 4 3 3 6 3" xfId="4002"/>
    <cellStyle name="쉼표 [0] 4 3 3 6 3 2" xfId="10338"/>
    <cellStyle name="쉼표 [0] 4 3 3 6 3 2 2" xfId="23012"/>
    <cellStyle name="쉼표 [0] 4 3 3 6 3 2 2 2" xfId="48364"/>
    <cellStyle name="쉼표 [0] 4 3 3 6 3 2 3" xfId="35692"/>
    <cellStyle name="쉼표 [0] 4 3 3 6 3 3" xfId="16676"/>
    <cellStyle name="쉼표 [0] 4 3 3 6 3 3 2" xfId="42028"/>
    <cellStyle name="쉼표 [0] 4 3 3 6 3 4" xfId="29356"/>
    <cellStyle name="쉼표 [0] 4 3 3 6 4" xfId="7225"/>
    <cellStyle name="쉼표 [0] 4 3 3 6 4 2" xfId="19899"/>
    <cellStyle name="쉼표 [0] 4 3 3 6 4 2 2" xfId="45251"/>
    <cellStyle name="쉼표 [0] 4 3 3 6 4 3" xfId="32579"/>
    <cellStyle name="쉼표 [0] 4 3 3 6 5" xfId="13563"/>
    <cellStyle name="쉼표 [0] 4 3 3 6 5 2" xfId="38915"/>
    <cellStyle name="쉼표 [0] 4 3 3 6 6" xfId="26243"/>
    <cellStyle name="쉼표 [0] 4 3 3 7" xfId="890"/>
    <cellStyle name="쉼표 [0] 4 3 3 7 2" xfId="891"/>
    <cellStyle name="쉼표 [0] 4 3 3 7 2 2" xfId="4003"/>
    <cellStyle name="쉼표 [0] 4 3 3 7 2 2 2" xfId="10339"/>
    <cellStyle name="쉼표 [0] 4 3 3 7 2 2 2 2" xfId="23013"/>
    <cellStyle name="쉼표 [0] 4 3 3 7 2 2 2 2 2" xfId="48365"/>
    <cellStyle name="쉼표 [0] 4 3 3 7 2 2 2 3" xfId="35693"/>
    <cellStyle name="쉼표 [0] 4 3 3 7 2 2 3" xfId="16677"/>
    <cellStyle name="쉼표 [0] 4 3 3 7 2 2 3 2" xfId="42029"/>
    <cellStyle name="쉼표 [0] 4 3 3 7 2 2 4" xfId="29357"/>
    <cellStyle name="쉼표 [0] 4 3 3 7 2 3" xfId="7228"/>
    <cellStyle name="쉼표 [0] 4 3 3 7 2 3 2" xfId="19902"/>
    <cellStyle name="쉼표 [0] 4 3 3 7 2 3 2 2" xfId="45254"/>
    <cellStyle name="쉼표 [0] 4 3 3 7 2 3 3" xfId="32582"/>
    <cellStyle name="쉼표 [0] 4 3 3 7 2 4" xfId="13566"/>
    <cellStyle name="쉼표 [0] 4 3 3 7 2 4 2" xfId="38918"/>
    <cellStyle name="쉼표 [0] 4 3 3 7 2 5" xfId="26246"/>
    <cellStyle name="쉼표 [0] 4 3 3 7 3" xfId="4004"/>
    <cellStyle name="쉼표 [0] 4 3 3 7 3 2" xfId="10340"/>
    <cellStyle name="쉼표 [0] 4 3 3 7 3 2 2" xfId="23014"/>
    <cellStyle name="쉼표 [0] 4 3 3 7 3 2 2 2" xfId="48366"/>
    <cellStyle name="쉼표 [0] 4 3 3 7 3 2 3" xfId="35694"/>
    <cellStyle name="쉼표 [0] 4 3 3 7 3 3" xfId="16678"/>
    <cellStyle name="쉼표 [0] 4 3 3 7 3 3 2" xfId="42030"/>
    <cellStyle name="쉼표 [0] 4 3 3 7 3 4" xfId="29358"/>
    <cellStyle name="쉼표 [0] 4 3 3 7 4" xfId="7227"/>
    <cellStyle name="쉼표 [0] 4 3 3 7 4 2" xfId="19901"/>
    <cellStyle name="쉼표 [0] 4 3 3 7 4 2 2" xfId="45253"/>
    <cellStyle name="쉼표 [0] 4 3 3 7 4 3" xfId="32581"/>
    <cellStyle name="쉼표 [0] 4 3 3 7 5" xfId="13565"/>
    <cellStyle name="쉼표 [0] 4 3 3 7 5 2" xfId="38917"/>
    <cellStyle name="쉼표 [0] 4 3 3 7 6" xfId="26245"/>
    <cellStyle name="쉼표 [0] 4 3 3 8" xfId="892"/>
    <cellStyle name="쉼표 [0] 4 3 3 8 2" xfId="893"/>
    <cellStyle name="쉼표 [0] 4 3 3 8 2 2" xfId="4005"/>
    <cellStyle name="쉼표 [0] 4 3 3 8 2 2 2" xfId="10341"/>
    <cellStyle name="쉼표 [0] 4 3 3 8 2 2 2 2" xfId="23015"/>
    <cellStyle name="쉼표 [0] 4 3 3 8 2 2 2 2 2" xfId="48367"/>
    <cellStyle name="쉼표 [0] 4 3 3 8 2 2 2 3" xfId="35695"/>
    <cellStyle name="쉼표 [0] 4 3 3 8 2 2 3" xfId="16679"/>
    <cellStyle name="쉼표 [0] 4 3 3 8 2 2 3 2" xfId="42031"/>
    <cellStyle name="쉼표 [0] 4 3 3 8 2 2 4" xfId="29359"/>
    <cellStyle name="쉼표 [0] 4 3 3 8 2 3" xfId="7230"/>
    <cellStyle name="쉼표 [0] 4 3 3 8 2 3 2" xfId="19904"/>
    <cellStyle name="쉼표 [0] 4 3 3 8 2 3 2 2" xfId="45256"/>
    <cellStyle name="쉼표 [0] 4 3 3 8 2 3 3" xfId="32584"/>
    <cellStyle name="쉼표 [0] 4 3 3 8 2 4" xfId="13568"/>
    <cellStyle name="쉼표 [0] 4 3 3 8 2 4 2" xfId="38920"/>
    <cellStyle name="쉼표 [0] 4 3 3 8 2 5" xfId="26248"/>
    <cellStyle name="쉼표 [0] 4 3 3 8 3" xfId="4006"/>
    <cellStyle name="쉼표 [0] 4 3 3 8 3 2" xfId="10342"/>
    <cellStyle name="쉼표 [0] 4 3 3 8 3 2 2" xfId="23016"/>
    <cellStyle name="쉼표 [0] 4 3 3 8 3 2 2 2" xfId="48368"/>
    <cellStyle name="쉼표 [0] 4 3 3 8 3 2 3" xfId="35696"/>
    <cellStyle name="쉼표 [0] 4 3 3 8 3 3" xfId="16680"/>
    <cellStyle name="쉼표 [0] 4 3 3 8 3 3 2" xfId="42032"/>
    <cellStyle name="쉼표 [0] 4 3 3 8 3 4" xfId="29360"/>
    <cellStyle name="쉼표 [0] 4 3 3 8 4" xfId="7229"/>
    <cellStyle name="쉼표 [0] 4 3 3 8 4 2" xfId="19903"/>
    <cellStyle name="쉼표 [0] 4 3 3 8 4 2 2" xfId="45255"/>
    <cellStyle name="쉼표 [0] 4 3 3 8 4 3" xfId="32583"/>
    <cellStyle name="쉼표 [0] 4 3 3 8 5" xfId="13567"/>
    <cellStyle name="쉼표 [0] 4 3 3 8 5 2" xfId="38919"/>
    <cellStyle name="쉼표 [0] 4 3 3 8 6" xfId="26247"/>
    <cellStyle name="쉼표 [0] 4 3 3 9" xfId="894"/>
    <cellStyle name="쉼표 [0] 4 3 3 9 2" xfId="895"/>
    <cellStyle name="쉼표 [0] 4 3 3 9 2 2" xfId="4007"/>
    <cellStyle name="쉼표 [0] 4 3 3 9 2 2 2" xfId="10343"/>
    <cellStyle name="쉼표 [0] 4 3 3 9 2 2 2 2" xfId="23017"/>
    <cellStyle name="쉼표 [0] 4 3 3 9 2 2 2 2 2" xfId="48369"/>
    <cellStyle name="쉼표 [0] 4 3 3 9 2 2 2 3" xfId="35697"/>
    <cellStyle name="쉼표 [0] 4 3 3 9 2 2 3" xfId="16681"/>
    <cellStyle name="쉼표 [0] 4 3 3 9 2 2 3 2" xfId="42033"/>
    <cellStyle name="쉼표 [0] 4 3 3 9 2 2 4" xfId="29361"/>
    <cellStyle name="쉼표 [0] 4 3 3 9 2 3" xfId="7232"/>
    <cellStyle name="쉼표 [0] 4 3 3 9 2 3 2" xfId="19906"/>
    <cellStyle name="쉼표 [0] 4 3 3 9 2 3 2 2" xfId="45258"/>
    <cellStyle name="쉼표 [0] 4 3 3 9 2 3 3" xfId="32586"/>
    <cellStyle name="쉼표 [0] 4 3 3 9 2 4" xfId="13570"/>
    <cellStyle name="쉼표 [0] 4 3 3 9 2 4 2" xfId="38922"/>
    <cellStyle name="쉼표 [0] 4 3 3 9 2 5" xfId="26250"/>
    <cellStyle name="쉼표 [0] 4 3 3 9 3" xfId="4008"/>
    <cellStyle name="쉼표 [0] 4 3 3 9 3 2" xfId="10344"/>
    <cellStyle name="쉼표 [0] 4 3 3 9 3 2 2" xfId="23018"/>
    <cellStyle name="쉼표 [0] 4 3 3 9 3 2 2 2" xfId="48370"/>
    <cellStyle name="쉼표 [0] 4 3 3 9 3 2 3" xfId="35698"/>
    <cellStyle name="쉼표 [0] 4 3 3 9 3 3" xfId="16682"/>
    <cellStyle name="쉼표 [0] 4 3 3 9 3 3 2" xfId="42034"/>
    <cellStyle name="쉼표 [0] 4 3 3 9 3 4" xfId="29362"/>
    <cellStyle name="쉼표 [0] 4 3 3 9 4" xfId="7231"/>
    <cellStyle name="쉼표 [0] 4 3 3 9 4 2" xfId="19905"/>
    <cellStyle name="쉼표 [0] 4 3 3 9 4 2 2" xfId="45257"/>
    <cellStyle name="쉼표 [0] 4 3 3 9 4 3" xfId="32585"/>
    <cellStyle name="쉼표 [0] 4 3 3 9 5" xfId="13569"/>
    <cellStyle name="쉼표 [0] 4 3 3 9 5 2" xfId="38921"/>
    <cellStyle name="쉼표 [0] 4 3 3 9 6" xfId="26249"/>
    <cellStyle name="쉼표 [0] 4 3 30" xfId="896"/>
    <cellStyle name="쉼표 [0] 4 3 30 2" xfId="897"/>
    <cellStyle name="쉼표 [0] 4 3 30 2 2" xfId="4009"/>
    <cellStyle name="쉼표 [0] 4 3 30 2 2 2" xfId="10345"/>
    <cellStyle name="쉼표 [0] 4 3 30 2 2 2 2" xfId="23019"/>
    <cellStyle name="쉼표 [0] 4 3 30 2 2 2 2 2" xfId="48371"/>
    <cellStyle name="쉼표 [0] 4 3 30 2 2 2 3" xfId="35699"/>
    <cellStyle name="쉼표 [0] 4 3 30 2 2 3" xfId="16683"/>
    <cellStyle name="쉼표 [0] 4 3 30 2 2 3 2" xfId="42035"/>
    <cellStyle name="쉼표 [0] 4 3 30 2 2 4" xfId="29363"/>
    <cellStyle name="쉼표 [0] 4 3 30 2 3" xfId="7234"/>
    <cellStyle name="쉼표 [0] 4 3 30 2 3 2" xfId="19908"/>
    <cellStyle name="쉼표 [0] 4 3 30 2 3 2 2" xfId="45260"/>
    <cellStyle name="쉼표 [0] 4 3 30 2 3 3" xfId="32588"/>
    <cellStyle name="쉼표 [0] 4 3 30 2 4" xfId="13572"/>
    <cellStyle name="쉼표 [0] 4 3 30 2 4 2" xfId="38924"/>
    <cellStyle name="쉼표 [0] 4 3 30 2 5" xfId="26252"/>
    <cellStyle name="쉼표 [0] 4 3 30 3" xfId="4010"/>
    <cellStyle name="쉼표 [0] 4 3 30 3 2" xfId="10346"/>
    <cellStyle name="쉼표 [0] 4 3 30 3 2 2" xfId="23020"/>
    <cellStyle name="쉼표 [0] 4 3 30 3 2 2 2" xfId="48372"/>
    <cellStyle name="쉼표 [0] 4 3 30 3 2 3" xfId="35700"/>
    <cellStyle name="쉼표 [0] 4 3 30 3 3" xfId="16684"/>
    <cellStyle name="쉼표 [0] 4 3 30 3 3 2" xfId="42036"/>
    <cellStyle name="쉼표 [0] 4 3 30 3 4" xfId="29364"/>
    <cellStyle name="쉼표 [0] 4 3 30 4" xfId="7233"/>
    <cellStyle name="쉼표 [0] 4 3 30 4 2" xfId="19907"/>
    <cellStyle name="쉼표 [0] 4 3 30 4 2 2" xfId="45259"/>
    <cellStyle name="쉼표 [0] 4 3 30 4 3" xfId="32587"/>
    <cellStyle name="쉼표 [0] 4 3 30 5" xfId="13571"/>
    <cellStyle name="쉼표 [0] 4 3 30 5 2" xfId="38923"/>
    <cellStyle name="쉼표 [0] 4 3 30 6" xfId="26251"/>
    <cellStyle name="쉼표 [0] 4 3 31" xfId="898"/>
    <cellStyle name="쉼표 [0] 4 3 31 2" xfId="899"/>
    <cellStyle name="쉼표 [0] 4 3 31 2 2" xfId="4011"/>
    <cellStyle name="쉼표 [0] 4 3 31 2 2 2" xfId="10347"/>
    <cellStyle name="쉼표 [0] 4 3 31 2 2 2 2" xfId="23021"/>
    <cellStyle name="쉼표 [0] 4 3 31 2 2 2 2 2" xfId="48373"/>
    <cellStyle name="쉼표 [0] 4 3 31 2 2 2 3" xfId="35701"/>
    <cellStyle name="쉼표 [0] 4 3 31 2 2 3" xfId="16685"/>
    <cellStyle name="쉼표 [0] 4 3 31 2 2 3 2" xfId="42037"/>
    <cellStyle name="쉼표 [0] 4 3 31 2 2 4" xfId="29365"/>
    <cellStyle name="쉼표 [0] 4 3 31 2 3" xfId="7236"/>
    <cellStyle name="쉼표 [0] 4 3 31 2 3 2" xfId="19910"/>
    <cellStyle name="쉼표 [0] 4 3 31 2 3 2 2" xfId="45262"/>
    <cellStyle name="쉼표 [0] 4 3 31 2 3 3" xfId="32590"/>
    <cellStyle name="쉼표 [0] 4 3 31 2 4" xfId="13574"/>
    <cellStyle name="쉼표 [0] 4 3 31 2 4 2" xfId="38926"/>
    <cellStyle name="쉼표 [0] 4 3 31 2 5" xfId="26254"/>
    <cellStyle name="쉼표 [0] 4 3 31 3" xfId="4012"/>
    <cellStyle name="쉼표 [0] 4 3 31 3 2" xfId="10348"/>
    <cellStyle name="쉼표 [0] 4 3 31 3 2 2" xfId="23022"/>
    <cellStyle name="쉼표 [0] 4 3 31 3 2 2 2" xfId="48374"/>
    <cellStyle name="쉼표 [0] 4 3 31 3 2 3" xfId="35702"/>
    <cellStyle name="쉼표 [0] 4 3 31 3 3" xfId="16686"/>
    <cellStyle name="쉼표 [0] 4 3 31 3 3 2" xfId="42038"/>
    <cellStyle name="쉼표 [0] 4 3 31 3 4" xfId="29366"/>
    <cellStyle name="쉼표 [0] 4 3 31 4" xfId="7235"/>
    <cellStyle name="쉼표 [0] 4 3 31 4 2" xfId="19909"/>
    <cellStyle name="쉼표 [0] 4 3 31 4 2 2" xfId="45261"/>
    <cellStyle name="쉼표 [0] 4 3 31 4 3" xfId="32589"/>
    <cellStyle name="쉼표 [0] 4 3 31 5" xfId="13573"/>
    <cellStyle name="쉼표 [0] 4 3 31 5 2" xfId="38925"/>
    <cellStyle name="쉼표 [0] 4 3 31 6" xfId="26253"/>
    <cellStyle name="쉼표 [0] 4 3 32" xfId="900"/>
    <cellStyle name="쉼표 [0] 4 3 32 2" xfId="901"/>
    <cellStyle name="쉼표 [0] 4 3 32 2 2" xfId="4013"/>
    <cellStyle name="쉼표 [0] 4 3 32 2 2 2" xfId="10349"/>
    <cellStyle name="쉼표 [0] 4 3 32 2 2 2 2" xfId="23023"/>
    <cellStyle name="쉼표 [0] 4 3 32 2 2 2 2 2" xfId="48375"/>
    <cellStyle name="쉼표 [0] 4 3 32 2 2 2 3" xfId="35703"/>
    <cellStyle name="쉼표 [0] 4 3 32 2 2 3" xfId="16687"/>
    <cellStyle name="쉼표 [0] 4 3 32 2 2 3 2" xfId="42039"/>
    <cellStyle name="쉼표 [0] 4 3 32 2 2 4" xfId="29367"/>
    <cellStyle name="쉼표 [0] 4 3 32 2 3" xfId="7238"/>
    <cellStyle name="쉼표 [0] 4 3 32 2 3 2" xfId="19912"/>
    <cellStyle name="쉼표 [0] 4 3 32 2 3 2 2" xfId="45264"/>
    <cellStyle name="쉼표 [0] 4 3 32 2 3 3" xfId="32592"/>
    <cellStyle name="쉼표 [0] 4 3 32 2 4" xfId="13576"/>
    <cellStyle name="쉼표 [0] 4 3 32 2 4 2" xfId="38928"/>
    <cellStyle name="쉼표 [0] 4 3 32 2 5" xfId="26256"/>
    <cellStyle name="쉼표 [0] 4 3 32 3" xfId="4014"/>
    <cellStyle name="쉼표 [0] 4 3 32 3 2" xfId="10350"/>
    <cellStyle name="쉼표 [0] 4 3 32 3 2 2" xfId="23024"/>
    <cellStyle name="쉼표 [0] 4 3 32 3 2 2 2" xfId="48376"/>
    <cellStyle name="쉼표 [0] 4 3 32 3 2 3" xfId="35704"/>
    <cellStyle name="쉼표 [0] 4 3 32 3 3" xfId="16688"/>
    <cellStyle name="쉼표 [0] 4 3 32 3 3 2" xfId="42040"/>
    <cellStyle name="쉼표 [0] 4 3 32 3 4" xfId="29368"/>
    <cellStyle name="쉼표 [0] 4 3 32 4" xfId="7237"/>
    <cellStyle name="쉼표 [0] 4 3 32 4 2" xfId="19911"/>
    <cellStyle name="쉼표 [0] 4 3 32 4 2 2" xfId="45263"/>
    <cellStyle name="쉼표 [0] 4 3 32 4 3" xfId="32591"/>
    <cellStyle name="쉼표 [0] 4 3 32 5" xfId="13575"/>
    <cellStyle name="쉼표 [0] 4 3 32 5 2" xfId="38927"/>
    <cellStyle name="쉼표 [0] 4 3 32 6" xfId="26255"/>
    <cellStyle name="쉼표 [0] 4 3 33" xfId="902"/>
    <cellStyle name="쉼표 [0] 4 3 33 2" xfId="903"/>
    <cellStyle name="쉼표 [0] 4 3 33 2 2" xfId="4015"/>
    <cellStyle name="쉼표 [0] 4 3 33 2 2 2" xfId="10351"/>
    <cellStyle name="쉼표 [0] 4 3 33 2 2 2 2" xfId="23025"/>
    <cellStyle name="쉼표 [0] 4 3 33 2 2 2 2 2" xfId="48377"/>
    <cellStyle name="쉼표 [0] 4 3 33 2 2 2 3" xfId="35705"/>
    <cellStyle name="쉼표 [0] 4 3 33 2 2 3" xfId="16689"/>
    <cellStyle name="쉼표 [0] 4 3 33 2 2 3 2" xfId="42041"/>
    <cellStyle name="쉼표 [0] 4 3 33 2 2 4" xfId="29369"/>
    <cellStyle name="쉼표 [0] 4 3 33 2 3" xfId="7240"/>
    <cellStyle name="쉼표 [0] 4 3 33 2 3 2" xfId="19914"/>
    <cellStyle name="쉼표 [0] 4 3 33 2 3 2 2" xfId="45266"/>
    <cellStyle name="쉼표 [0] 4 3 33 2 3 3" xfId="32594"/>
    <cellStyle name="쉼표 [0] 4 3 33 2 4" xfId="13578"/>
    <cellStyle name="쉼표 [0] 4 3 33 2 4 2" xfId="38930"/>
    <cellStyle name="쉼표 [0] 4 3 33 2 5" xfId="26258"/>
    <cellStyle name="쉼표 [0] 4 3 33 3" xfId="4016"/>
    <cellStyle name="쉼표 [0] 4 3 33 3 2" xfId="10352"/>
    <cellStyle name="쉼표 [0] 4 3 33 3 2 2" xfId="23026"/>
    <cellStyle name="쉼표 [0] 4 3 33 3 2 2 2" xfId="48378"/>
    <cellStyle name="쉼표 [0] 4 3 33 3 2 3" xfId="35706"/>
    <cellStyle name="쉼표 [0] 4 3 33 3 3" xfId="16690"/>
    <cellStyle name="쉼표 [0] 4 3 33 3 3 2" xfId="42042"/>
    <cellStyle name="쉼표 [0] 4 3 33 3 4" xfId="29370"/>
    <cellStyle name="쉼표 [0] 4 3 33 4" xfId="7239"/>
    <cellStyle name="쉼표 [0] 4 3 33 4 2" xfId="19913"/>
    <cellStyle name="쉼표 [0] 4 3 33 4 2 2" xfId="45265"/>
    <cellStyle name="쉼표 [0] 4 3 33 4 3" xfId="32593"/>
    <cellStyle name="쉼표 [0] 4 3 33 5" xfId="13577"/>
    <cellStyle name="쉼표 [0] 4 3 33 5 2" xfId="38929"/>
    <cellStyle name="쉼표 [0] 4 3 33 6" xfId="26257"/>
    <cellStyle name="쉼표 [0] 4 3 34" xfId="904"/>
    <cellStyle name="쉼표 [0] 4 3 34 2" xfId="905"/>
    <cellStyle name="쉼표 [0] 4 3 34 2 2" xfId="4017"/>
    <cellStyle name="쉼표 [0] 4 3 34 2 2 2" xfId="10353"/>
    <cellStyle name="쉼표 [0] 4 3 34 2 2 2 2" xfId="23027"/>
    <cellStyle name="쉼표 [0] 4 3 34 2 2 2 2 2" xfId="48379"/>
    <cellStyle name="쉼표 [0] 4 3 34 2 2 2 3" xfId="35707"/>
    <cellStyle name="쉼표 [0] 4 3 34 2 2 3" xfId="16691"/>
    <cellStyle name="쉼표 [0] 4 3 34 2 2 3 2" xfId="42043"/>
    <cellStyle name="쉼표 [0] 4 3 34 2 2 4" xfId="29371"/>
    <cellStyle name="쉼표 [0] 4 3 34 2 3" xfId="7242"/>
    <cellStyle name="쉼표 [0] 4 3 34 2 3 2" xfId="19916"/>
    <cellStyle name="쉼표 [0] 4 3 34 2 3 2 2" xfId="45268"/>
    <cellStyle name="쉼표 [0] 4 3 34 2 3 3" xfId="32596"/>
    <cellStyle name="쉼표 [0] 4 3 34 2 4" xfId="13580"/>
    <cellStyle name="쉼표 [0] 4 3 34 2 4 2" xfId="38932"/>
    <cellStyle name="쉼표 [0] 4 3 34 2 5" xfId="26260"/>
    <cellStyle name="쉼표 [0] 4 3 34 3" xfId="4018"/>
    <cellStyle name="쉼표 [0] 4 3 34 3 2" xfId="10354"/>
    <cellStyle name="쉼표 [0] 4 3 34 3 2 2" xfId="23028"/>
    <cellStyle name="쉼표 [0] 4 3 34 3 2 2 2" xfId="48380"/>
    <cellStyle name="쉼표 [0] 4 3 34 3 2 3" xfId="35708"/>
    <cellStyle name="쉼표 [0] 4 3 34 3 3" xfId="16692"/>
    <cellStyle name="쉼표 [0] 4 3 34 3 3 2" xfId="42044"/>
    <cellStyle name="쉼표 [0] 4 3 34 3 4" xfId="29372"/>
    <cellStyle name="쉼표 [0] 4 3 34 4" xfId="7241"/>
    <cellStyle name="쉼표 [0] 4 3 34 4 2" xfId="19915"/>
    <cellStyle name="쉼표 [0] 4 3 34 4 2 2" xfId="45267"/>
    <cellStyle name="쉼표 [0] 4 3 34 4 3" xfId="32595"/>
    <cellStyle name="쉼표 [0] 4 3 34 5" xfId="13579"/>
    <cellStyle name="쉼표 [0] 4 3 34 5 2" xfId="38931"/>
    <cellStyle name="쉼표 [0] 4 3 34 6" xfId="26259"/>
    <cellStyle name="쉼표 [0] 4 3 35" xfId="906"/>
    <cellStyle name="쉼표 [0] 4 3 35 2" xfId="907"/>
    <cellStyle name="쉼표 [0] 4 3 35 2 2" xfId="4019"/>
    <cellStyle name="쉼표 [0] 4 3 35 2 2 2" xfId="10355"/>
    <cellStyle name="쉼표 [0] 4 3 35 2 2 2 2" xfId="23029"/>
    <cellStyle name="쉼표 [0] 4 3 35 2 2 2 2 2" xfId="48381"/>
    <cellStyle name="쉼표 [0] 4 3 35 2 2 2 3" xfId="35709"/>
    <cellStyle name="쉼표 [0] 4 3 35 2 2 3" xfId="16693"/>
    <cellStyle name="쉼표 [0] 4 3 35 2 2 3 2" xfId="42045"/>
    <cellStyle name="쉼표 [0] 4 3 35 2 2 4" xfId="29373"/>
    <cellStyle name="쉼표 [0] 4 3 35 2 3" xfId="7244"/>
    <cellStyle name="쉼표 [0] 4 3 35 2 3 2" xfId="19918"/>
    <cellStyle name="쉼표 [0] 4 3 35 2 3 2 2" xfId="45270"/>
    <cellStyle name="쉼표 [0] 4 3 35 2 3 3" xfId="32598"/>
    <cellStyle name="쉼표 [0] 4 3 35 2 4" xfId="13582"/>
    <cellStyle name="쉼표 [0] 4 3 35 2 4 2" xfId="38934"/>
    <cellStyle name="쉼표 [0] 4 3 35 2 5" xfId="26262"/>
    <cellStyle name="쉼표 [0] 4 3 35 3" xfId="4020"/>
    <cellStyle name="쉼표 [0] 4 3 35 3 2" xfId="10356"/>
    <cellStyle name="쉼표 [0] 4 3 35 3 2 2" xfId="23030"/>
    <cellStyle name="쉼표 [0] 4 3 35 3 2 2 2" xfId="48382"/>
    <cellStyle name="쉼표 [0] 4 3 35 3 2 3" xfId="35710"/>
    <cellStyle name="쉼표 [0] 4 3 35 3 3" xfId="16694"/>
    <cellStyle name="쉼표 [0] 4 3 35 3 3 2" xfId="42046"/>
    <cellStyle name="쉼표 [0] 4 3 35 3 4" xfId="29374"/>
    <cellStyle name="쉼표 [0] 4 3 35 4" xfId="7243"/>
    <cellStyle name="쉼표 [0] 4 3 35 4 2" xfId="19917"/>
    <cellStyle name="쉼표 [0] 4 3 35 4 2 2" xfId="45269"/>
    <cellStyle name="쉼표 [0] 4 3 35 4 3" xfId="32597"/>
    <cellStyle name="쉼표 [0] 4 3 35 5" xfId="13581"/>
    <cellStyle name="쉼표 [0] 4 3 35 5 2" xfId="38933"/>
    <cellStyle name="쉼표 [0] 4 3 35 6" xfId="26261"/>
    <cellStyle name="쉼표 [0] 4 3 36" xfId="908"/>
    <cellStyle name="쉼표 [0] 4 3 36 2" xfId="4021"/>
    <cellStyle name="쉼표 [0] 4 3 36 2 2" xfId="10357"/>
    <cellStyle name="쉼표 [0] 4 3 36 2 2 2" xfId="23031"/>
    <cellStyle name="쉼표 [0] 4 3 36 2 2 2 2" xfId="48383"/>
    <cellStyle name="쉼표 [0] 4 3 36 2 2 3" xfId="35711"/>
    <cellStyle name="쉼표 [0] 4 3 36 2 3" xfId="16695"/>
    <cellStyle name="쉼표 [0] 4 3 36 2 3 2" xfId="42047"/>
    <cellStyle name="쉼표 [0] 4 3 36 2 4" xfId="29375"/>
    <cellStyle name="쉼표 [0] 4 3 36 3" xfId="7245"/>
    <cellStyle name="쉼표 [0] 4 3 36 3 2" xfId="19919"/>
    <cellStyle name="쉼표 [0] 4 3 36 3 2 2" xfId="45271"/>
    <cellStyle name="쉼표 [0] 4 3 36 3 3" xfId="32599"/>
    <cellStyle name="쉼표 [0] 4 3 36 4" xfId="13583"/>
    <cellStyle name="쉼표 [0] 4 3 36 4 2" xfId="38935"/>
    <cellStyle name="쉼표 [0] 4 3 36 5" xfId="26263"/>
    <cellStyle name="쉼표 [0] 4 3 37" xfId="4022"/>
    <cellStyle name="쉼표 [0] 4 3 37 2" xfId="10358"/>
    <cellStyle name="쉼표 [0] 4 3 37 2 2" xfId="23032"/>
    <cellStyle name="쉼표 [0] 4 3 37 2 2 2" xfId="48384"/>
    <cellStyle name="쉼표 [0] 4 3 37 2 3" xfId="35712"/>
    <cellStyle name="쉼표 [0] 4 3 37 3" xfId="16696"/>
    <cellStyle name="쉼표 [0] 4 3 37 3 2" xfId="42048"/>
    <cellStyle name="쉼표 [0] 4 3 37 4" xfId="29376"/>
    <cellStyle name="쉼표 [0] 4 3 38" xfId="6379"/>
    <cellStyle name="쉼표 [0] 4 3 38 2" xfId="19053"/>
    <cellStyle name="쉼표 [0] 4 3 38 2 2" xfId="44405"/>
    <cellStyle name="쉼표 [0] 4 3 38 3" xfId="31733"/>
    <cellStyle name="쉼표 [0] 4 3 39" xfId="12717"/>
    <cellStyle name="쉼표 [0] 4 3 39 2" xfId="38069"/>
    <cellStyle name="쉼표 [0] 4 3 4" xfId="68"/>
    <cellStyle name="쉼표 [0] 4 3 4 2" xfId="909"/>
    <cellStyle name="쉼표 [0] 4 3 4 2 2" xfId="4023"/>
    <cellStyle name="쉼표 [0] 4 3 4 2 2 2" xfId="10359"/>
    <cellStyle name="쉼표 [0] 4 3 4 2 2 2 2" xfId="23033"/>
    <cellStyle name="쉼표 [0] 4 3 4 2 2 2 2 2" xfId="48385"/>
    <cellStyle name="쉼표 [0] 4 3 4 2 2 2 3" xfId="35713"/>
    <cellStyle name="쉼표 [0] 4 3 4 2 2 3" xfId="16697"/>
    <cellStyle name="쉼표 [0] 4 3 4 2 2 3 2" xfId="42049"/>
    <cellStyle name="쉼표 [0] 4 3 4 2 2 4" xfId="29377"/>
    <cellStyle name="쉼표 [0] 4 3 4 2 3" xfId="7246"/>
    <cellStyle name="쉼표 [0] 4 3 4 2 3 2" xfId="19920"/>
    <cellStyle name="쉼표 [0] 4 3 4 2 3 2 2" xfId="45272"/>
    <cellStyle name="쉼표 [0] 4 3 4 2 3 3" xfId="32600"/>
    <cellStyle name="쉼표 [0] 4 3 4 2 4" xfId="13584"/>
    <cellStyle name="쉼표 [0] 4 3 4 2 4 2" xfId="38936"/>
    <cellStyle name="쉼표 [0] 4 3 4 2 5" xfId="26264"/>
    <cellStyle name="쉼표 [0] 4 3 4 3" xfId="4024"/>
    <cellStyle name="쉼표 [0] 4 3 4 3 2" xfId="10360"/>
    <cellStyle name="쉼표 [0] 4 3 4 3 2 2" xfId="23034"/>
    <cellStyle name="쉼표 [0] 4 3 4 3 2 2 2" xfId="48386"/>
    <cellStyle name="쉼표 [0] 4 3 4 3 2 3" xfId="35714"/>
    <cellStyle name="쉼표 [0] 4 3 4 3 3" xfId="16698"/>
    <cellStyle name="쉼표 [0] 4 3 4 3 3 2" xfId="42050"/>
    <cellStyle name="쉼표 [0] 4 3 4 3 4" xfId="29378"/>
    <cellStyle name="쉼표 [0] 4 3 4 4" xfId="6406"/>
    <cellStyle name="쉼표 [0] 4 3 4 4 2" xfId="19080"/>
    <cellStyle name="쉼표 [0] 4 3 4 4 2 2" xfId="44432"/>
    <cellStyle name="쉼표 [0] 4 3 4 4 3" xfId="31760"/>
    <cellStyle name="쉼표 [0] 4 3 4 5" xfId="12744"/>
    <cellStyle name="쉼표 [0] 4 3 4 5 2" xfId="38096"/>
    <cellStyle name="쉼표 [0] 4 3 4 6" xfId="25424"/>
    <cellStyle name="쉼표 [0] 4 3 40" xfId="25397"/>
    <cellStyle name="쉼표 [0] 4 3 5" xfId="910"/>
    <cellStyle name="쉼표 [0] 4 3 5 2" xfId="911"/>
    <cellStyle name="쉼표 [0] 4 3 5 2 2" xfId="4025"/>
    <cellStyle name="쉼표 [0] 4 3 5 2 2 2" xfId="10361"/>
    <cellStyle name="쉼표 [0] 4 3 5 2 2 2 2" xfId="23035"/>
    <cellStyle name="쉼표 [0] 4 3 5 2 2 2 2 2" xfId="48387"/>
    <cellStyle name="쉼표 [0] 4 3 5 2 2 2 3" xfId="35715"/>
    <cellStyle name="쉼표 [0] 4 3 5 2 2 3" xfId="16699"/>
    <cellStyle name="쉼표 [0] 4 3 5 2 2 3 2" xfId="42051"/>
    <cellStyle name="쉼표 [0] 4 3 5 2 2 4" xfId="29379"/>
    <cellStyle name="쉼표 [0] 4 3 5 2 3" xfId="7248"/>
    <cellStyle name="쉼표 [0] 4 3 5 2 3 2" xfId="19922"/>
    <cellStyle name="쉼표 [0] 4 3 5 2 3 2 2" xfId="45274"/>
    <cellStyle name="쉼표 [0] 4 3 5 2 3 3" xfId="32602"/>
    <cellStyle name="쉼표 [0] 4 3 5 2 4" xfId="13586"/>
    <cellStyle name="쉼표 [0] 4 3 5 2 4 2" xfId="38938"/>
    <cellStyle name="쉼표 [0] 4 3 5 2 5" xfId="26266"/>
    <cellStyle name="쉼표 [0] 4 3 5 3" xfId="4026"/>
    <cellStyle name="쉼표 [0] 4 3 5 3 2" xfId="10362"/>
    <cellStyle name="쉼표 [0] 4 3 5 3 2 2" xfId="23036"/>
    <cellStyle name="쉼표 [0] 4 3 5 3 2 2 2" xfId="48388"/>
    <cellStyle name="쉼표 [0] 4 3 5 3 2 3" xfId="35716"/>
    <cellStyle name="쉼표 [0] 4 3 5 3 3" xfId="16700"/>
    <cellStyle name="쉼표 [0] 4 3 5 3 3 2" xfId="42052"/>
    <cellStyle name="쉼표 [0] 4 3 5 3 4" xfId="29380"/>
    <cellStyle name="쉼표 [0] 4 3 5 4" xfId="7247"/>
    <cellStyle name="쉼표 [0] 4 3 5 4 2" xfId="19921"/>
    <cellStyle name="쉼표 [0] 4 3 5 4 2 2" xfId="45273"/>
    <cellStyle name="쉼표 [0] 4 3 5 4 3" xfId="32601"/>
    <cellStyle name="쉼표 [0] 4 3 5 5" xfId="13585"/>
    <cellStyle name="쉼표 [0] 4 3 5 5 2" xfId="38937"/>
    <cellStyle name="쉼표 [0] 4 3 5 6" xfId="26265"/>
    <cellStyle name="쉼표 [0] 4 3 6" xfId="912"/>
    <cellStyle name="쉼표 [0] 4 3 6 2" xfId="913"/>
    <cellStyle name="쉼표 [0] 4 3 6 2 2" xfId="4027"/>
    <cellStyle name="쉼표 [0] 4 3 6 2 2 2" xfId="10363"/>
    <cellStyle name="쉼표 [0] 4 3 6 2 2 2 2" xfId="23037"/>
    <cellStyle name="쉼표 [0] 4 3 6 2 2 2 2 2" xfId="48389"/>
    <cellStyle name="쉼표 [0] 4 3 6 2 2 2 3" xfId="35717"/>
    <cellStyle name="쉼표 [0] 4 3 6 2 2 3" xfId="16701"/>
    <cellStyle name="쉼표 [0] 4 3 6 2 2 3 2" xfId="42053"/>
    <cellStyle name="쉼표 [0] 4 3 6 2 2 4" xfId="29381"/>
    <cellStyle name="쉼표 [0] 4 3 6 2 3" xfId="7250"/>
    <cellStyle name="쉼표 [0] 4 3 6 2 3 2" xfId="19924"/>
    <cellStyle name="쉼표 [0] 4 3 6 2 3 2 2" xfId="45276"/>
    <cellStyle name="쉼표 [0] 4 3 6 2 3 3" xfId="32604"/>
    <cellStyle name="쉼표 [0] 4 3 6 2 4" xfId="13588"/>
    <cellStyle name="쉼표 [0] 4 3 6 2 4 2" xfId="38940"/>
    <cellStyle name="쉼표 [0] 4 3 6 2 5" xfId="26268"/>
    <cellStyle name="쉼표 [0] 4 3 6 3" xfId="4028"/>
    <cellStyle name="쉼표 [0] 4 3 6 3 2" xfId="10364"/>
    <cellStyle name="쉼표 [0] 4 3 6 3 2 2" xfId="23038"/>
    <cellStyle name="쉼표 [0] 4 3 6 3 2 2 2" xfId="48390"/>
    <cellStyle name="쉼표 [0] 4 3 6 3 2 3" xfId="35718"/>
    <cellStyle name="쉼표 [0] 4 3 6 3 3" xfId="16702"/>
    <cellStyle name="쉼표 [0] 4 3 6 3 3 2" xfId="42054"/>
    <cellStyle name="쉼표 [0] 4 3 6 3 4" xfId="29382"/>
    <cellStyle name="쉼표 [0] 4 3 6 4" xfId="7249"/>
    <cellStyle name="쉼표 [0] 4 3 6 4 2" xfId="19923"/>
    <cellStyle name="쉼표 [0] 4 3 6 4 2 2" xfId="45275"/>
    <cellStyle name="쉼표 [0] 4 3 6 4 3" xfId="32603"/>
    <cellStyle name="쉼표 [0] 4 3 6 5" xfId="13587"/>
    <cellStyle name="쉼표 [0] 4 3 6 5 2" xfId="38939"/>
    <cellStyle name="쉼표 [0] 4 3 6 6" xfId="26267"/>
    <cellStyle name="쉼표 [0] 4 3 7" xfId="914"/>
    <cellStyle name="쉼표 [0] 4 3 7 2" xfId="915"/>
    <cellStyle name="쉼표 [0] 4 3 7 2 2" xfId="4029"/>
    <cellStyle name="쉼표 [0] 4 3 7 2 2 2" xfId="10365"/>
    <cellStyle name="쉼표 [0] 4 3 7 2 2 2 2" xfId="23039"/>
    <cellStyle name="쉼표 [0] 4 3 7 2 2 2 2 2" xfId="48391"/>
    <cellStyle name="쉼표 [0] 4 3 7 2 2 2 3" xfId="35719"/>
    <cellStyle name="쉼표 [0] 4 3 7 2 2 3" xfId="16703"/>
    <cellStyle name="쉼표 [0] 4 3 7 2 2 3 2" xfId="42055"/>
    <cellStyle name="쉼표 [0] 4 3 7 2 2 4" xfId="29383"/>
    <cellStyle name="쉼표 [0] 4 3 7 2 3" xfId="7252"/>
    <cellStyle name="쉼표 [0] 4 3 7 2 3 2" xfId="19926"/>
    <cellStyle name="쉼표 [0] 4 3 7 2 3 2 2" xfId="45278"/>
    <cellStyle name="쉼표 [0] 4 3 7 2 3 3" xfId="32606"/>
    <cellStyle name="쉼표 [0] 4 3 7 2 4" xfId="13590"/>
    <cellStyle name="쉼표 [0] 4 3 7 2 4 2" xfId="38942"/>
    <cellStyle name="쉼표 [0] 4 3 7 2 5" xfId="26270"/>
    <cellStyle name="쉼표 [0] 4 3 7 3" xfId="4030"/>
    <cellStyle name="쉼표 [0] 4 3 7 3 2" xfId="10366"/>
    <cellStyle name="쉼표 [0] 4 3 7 3 2 2" xfId="23040"/>
    <cellStyle name="쉼표 [0] 4 3 7 3 2 2 2" xfId="48392"/>
    <cellStyle name="쉼표 [0] 4 3 7 3 2 3" xfId="35720"/>
    <cellStyle name="쉼표 [0] 4 3 7 3 3" xfId="16704"/>
    <cellStyle name="쉼표 [0] 4 3 7 3 3 2" xfId="42056"/>
    <cellStyle name="쉼표 [0] 4 3 7 3 4" xfId="29384"/>
    <cellStyle name="쉼표 [0] 4 3 7 4" xfId="7251"/>
    <cellStyle name="쉼표 [0] 4 3 7 4 2" xfId="19925"/>
    <cellStyle name="쉼표 [0] 4 3 7 4 2 2" xfId="45277"/>
    <cellStyle name="쉼표 [0] 4 3 7 4 3" xfId="32605"/>
    <cellStyle name="쉼표 [0] 4 3 7 5" xfId="13589"/>
    <cellStyle name="쉼표 [0] 4 3 7 5 2" xfId="38941"/>
    <cellStyle name="쉼표 [0] 4 3 7 6" xfId="26269"/>
    <cellStyle name="쉼표 [0] 4 3 8" xfId="916"/>
    <cellStyle name="쉼표 [0] 4 3 8 2" xfId="917"/>
    <cellStyle name="쉼표 [0] 4 3 8 2 2" xfId="4031"/>
    <cellStyle name="쉼표 [0] 4 3 8 2 2 2" xfId="10367"/>
    <cellStyle name="쉼표 [0] 4 3 8 2 2 2 2" xfId="23041"/>
    <cellStyle name="쉼표 [0] 4 3 8 2 2 2 2 2" xfId="48393"/>
    <cellStyle name="쉼표 [0] 4 3 8 2 2 2 3" xfId="35721"/>
    <cellStyle name="쉼표 [0] 4 3 8 2 2 3" xfId="16705"/>
    <cellStyle name="쉼표 [0] 4 3 8 2 2 3 2" xfId="42057"/>
    <cellStyle name="쉼표 [0] 4 3 8 2 2 4" xfId="29385"/>
    <cellStyle name="쉼표 [0] 4 3 8 2 3" xfId="7254"/>
    <cellStyle name="쉼표 [0] 4 3 8 2 3 2" xfId="19928"/>
    <cellStyle name="쉼표 [0] 4 3 8 2 3 2 2" xfId="45280"/>
    <cellStyle name="쉼표 [0] 4 3 8 2 3 3" xfId="32608"/>
    <cellStyle name="쉼표 [0] 4 3 8 2 4" xfId="13592"/>
    <cellStyle name="쉼표 [0] 4 3 8 2 4 2" xfId="38944"/>
    <cellStyle name="쉼표 [0] 4 3 8 2 5" xfId="26272"/>
    <cellStyle name="쉼표 [0] 4 3 8 3" xfId="4032"/>
    <cellStyle name="쉼표 [0] 4 3 8 3 2" xfId="10368"/>
    <cellStyle name="쉼표 [0] 4 3 8 3 2 2" xfId="23042"/>
    <cellStyle name="쉼표 [0] 4 3 8 3 2 2 2" xfId="48394"/>
    <cellStyle name="쉼표 [0] 4 3 8 3 2 3" xfId="35722"/>
    <cellStyle name="쉼표 [0] 4 3 8 3 3" xfId="16706"/>
    <cellStyle name="쉼표 [0] 4 3 8 3 3 2" xfId="42058"/>
    <cellStyle name="쉼표 [0] 4 3 8 3 4" xfId="29386"/>
    <cellStyle name="쉼표 [0] 4 3 8 4" xfId="7253"/>
    <cellStyle name="쉼표 [0] 4 3 8 4 2" xfId="19927"/>
    <cellStyle name="쉼표 [0] 4 3 8 4 2 2" xfId="45279"/>
    <cellStyle name="쉼표 [0] 4 3 8 4 3" xfId="32607"/>
    <cellStyle name="쉼표 [0] 4 3 8 5" xfId="13591"/>
    <cellStyle name="쉼표 [0] 4 3 8 5 2" xfId="38943"/>
    <cellStyle name="쉼표 [0] 4 3 8 6" xfId="26271"/>
    <cellStyle name="쉼표 [0] 4 3 9" xfId="918"/>
    <cellStyle name="쉼표 [0] 4 3 9 2" xfId="919"/>
    <cellStyle name="쉼표 [0] 4 3 9 2 2" xfId="4033"/>
    <cellStyle name="쉼표 [0] 4 3 9 2 2 2" xfId="10369"/>
    <cellStyle name="쉼표 [0] 4 3 9 2 2 2 2" xfId="23043"/>
    <cellStyle name="쉼표 [0] 4 3 9 2 2 2 2 2" xfId="48395"/>
    <cellStyle name="쉼표 [0] 4 3 9 2 2 2 3" xfId="35723"/>
    <cellStyle name="쉼표 [0] 4 3 9 2 2 3" xfId="16707"/>
    <cellStyle name="쉼표 [0] 4 3 9 2 2 3 2" xfId="42059"/>
    <cellStyle name="쉼표 [0] 4 3 9 2 2 4" xfId="29387"/>
    <cellStyle name="쉼표 [0] 4 3 9 2 3" xfId="7256"/>
    <cellStyle name="쉼표 [0] 4 3 9 2 3 2" xfId="19930"/>
    <cellStyle name="쉼표 [0] 4 3 9 2 3 2 2" xfId="45282"/>
    <cellStyle name="쉼표 [0] 4 3 9 2 3 3" xfId="32610"/>
    <cellStyle name="쉼표 [0] 4 3 9 2 4" xfId="13594"/>
    <cellStyle name="쉼표 [0] 4 3 9 2 4 2" xfId="38946"/>
    <cellStyle name="쉼표 [0] 4 3 9 2 5" xfId="26274"/>
    <cellStyle name="쉼표 [0] 4 3 9 3" xfId="4034"/>
    <cellStyle name="쉼표 [0] 4 3 9 3 2" xfId="10370"/>
    <cellStyle name="쉼표 [0] 4 3 9 3 2 2" xfId="23044"/>
    <cellStyle name="쉼표 [0] 4 3 9 3 2 2 2" xfId="48396"/>
    <cellStyle name="쉼표 [0] 4 3 9 3 2 3" xfId="35724"/>
    <cellStyle name="쉼표 [0] 4 3 9 3 3" xfId="16708"/>
    <cellStyle name="쉼표 [0] 4 3 9 3 3 2" xfId="42060"/>
    <cellStyle name="쉼표 [0] 4 3 9 3 4" xfId="29388"/>
    <cellStyle name="쉼표 [0] 4 3 9 4" xfId="7255"/>
    <cellStyle name="쉼표 [0] 4 3 9 4 2" xfId="19929"/>
    <cellStyle name="쉼표 [0] 4 3 9 4 2 2" xfId="45281"/>
    <cellStyle name="쉼표 [0] 4 3 9 4 3" xfId="32609"/>
    <cellStyle name="쉼표 [0] 4 3 9 5" xfId="13593"/>
    <cellStyle name="쉼표 [0] 4 3 9 5 2" xfId="38945"/>
    <cellStyle name="쉼표 [0] 4 3 9 6" xfId="26273"/>
    <cellStyle name="쉼표 [0] 4 30" xfId="920"/>
    <cellStyle name="쉼표 [0] 4 30 2" xfId="921"/>
    <cellStyle name="쉼표 [0] 4 30 2 2" xfId="4035"/>
    <cellStyle name="쉼표 [0] 4 30 2 2 2" xfId="10371"/>
    <cellStyle name="쉼표 [0] 4 30 2 2 2 2" xfId="23045"/>
    <cellStyle name="쉼표 [0] 4 30 2 2 2 2 2" xfId="48397"/>
    <cellStyle name="쉼표 [0] 4 30 2 2 2 3" xfId="35725"/>
    <cellStyle name="쉼표 [0] 4 30 2 2 3" xfId="16709"/>
    <cellStyle name="쉼표 [0] 4 30 2 2 3 2" xfId="42061"/>
    <cellStyle name="쉼표 [0] 4 30 2 2 4" xfId="29389"/>
    <cellStyle name="쉼표 [0] 4 30 2 3" xfId="7258"/>
    <cellStyle name="쉼표 [0] 4 30 2 3 2" xfId="19932"/>
    <cellStyle name="쉼표 [0] 4 30 2 3 2 2" xfId="45284"/>
    <cellStyle name="쉼표 [0] 4 30 2 3 3" xfId="32612"/>
    <cellStyle name="쉼표 [0] 4 30 2 4" xfId="13596"/>
    <cellStyle name="쉼표 [0] 4 30 2 4 2" xfId="38948"/>
    <cellStyle name="쉼표 [0] 4 30 2 5" xfId="26276"/>
    <cellStyle name="쉼표 [0] 4 30 3" xfId="4036"/>
    <cellStyle name="쉼표 [0] 4 30 3 2" xfId="10372"/>
    <cellStyle name="쉼표 [0] 4 30 3 2 2" xfId="23046"/>
    <cellStyle name="쉼표 [0] 4 30 3 2 2 2" xfId="48398"/>
    <cellStyle name="쉼표 [0] 4 30 3 2 3" xfId="35726"/>
    <cellStyle name="쉼표 [0] 4 30 3 3" xfId="16710"/>
    <cellStyle name="쉼표 [0] 4 30 3 3 2" xfId="42062"/>
    <cellStyle name="쉼표 [0] 4 30 3 4" xfId="29390"/>
    <cellStyle name="쉼표 [0] 4 30 4" xfId="7257"/>
    <cellStyle name="쉼표 [0] 4 30 4 2" xfId="19931"/>
    <cellStyle name="쉼표 [0] 4 30 4 2 2" xfId="45283"/>
    <cellStyle name="쉼표 [0] 4 30 4 3" xfId="32611"/>
    <cellStyle name="쉼표 [0] 4 30 5" xfId="13595"/>
    <cellStyle name="쉼표 [0] 4 30 5 2" xfId="38947"/>
    <cellStyle name="쉼표 [0] 4 30 6" xfId="26275"/>
    <cellStyle name="쉼표 [0] 4 31" xfId="922"/>
    <cellStyle name="쉼표 [0] 4 31 2" xfId="923"/>
    <cellStyle name="쉼표 [0] 4 31 2 2" xfId="4037"/>
    <cellStyle name="쉼표 [0] 4 31 2 2 2" xfId="10373"/>
    <cellStyle name="쉼표 [0] 4 31 2 2 2 2" xfId="23047"/>
    <cellStyle name="쉼표 [0] 4 31 2 2 2 2 2" xfId="48399"/>
    <cellStyle name="쉼표 [0] 4 31 2 2 2 3" xfId="35727"/>
    <cellStyle name="쉼표 [0] 4 31 2 2 3" xfId="16711"/>
    <cellStyle name="쉼표 [0] 4 31 2 2 3 2" xfId="42063"/>
    <cellStyle name="쉼표 [0] 4 31 2 2 4" xfId="29391"/>
    <cellStyle name="쉼표 [0] 4 31 2 3" xfId="7260"/>
    <cellStyle name="쉼표 [0] 4 31 2 3 2" xfId="19934"/>
    <cellStyle name="쉼표 [0] 4 31 2 3 2 2" xfId="45286"/>
    <cellStyle name="쉼표 [0] 4 31 2 3 3" xfId="32614"/>
    <cellStyle name="쉼표 [0] 4 31 2 4" xfId="13598"/>
    <cellStyle name="쉼표 [0] 4 31 2 4 2" xfId="38950"/>
    <cellStyle name="쉼표 [0] 4 31 2 5" xfId="26278"/>
    <cellStyle name="쉼표 [0] 4 31 3" xfId="4038"/>
    <cellStyle name="쉼표 [0] 4 31 3 2" xfId="10374"/>
    <cellStyle name="쉼표 [0] 4 31 3 2 2" xfId="23048"/>
    <cellStyle name="쉼표 [0] 4 31 3 2 2 2" xfId="48400"/>
    <cellStyle name="쉼표 [0] 4 31 3 2 3" xfId="35728"/>
    <cellStyle name="쉼표 [0] 4 31 3 3" xfId="16712"/>
    <cellStyle name="쉼표 [0] 4 31 3 3 2" xfId="42064"/>
    <cellStyle name="쉼표 [0] 4 31 3 4" xfId="29392"/>
    <cellStyle name="쉼표 [0] 4 31 4" xfId="7259"/>
    <cellStyle name="쉼표 [0] 4 31 4 2" xfId="19933"/>
    <cellStyle name="쉼표 [0] 4 31 4 2 2" xfId="45285"/>
    <cellStyle name="쉼표 [0] 4 31 4 3" xfId="32613"/>
    <cellStyle name="쉼표 [0] 4 31 5" xfId="13597"/>
    <cellStyle name="쉼표 [0] 4 31 5 2" xfId="38949"/>
    <cellStyle name="쉼표 [0] 4 31 6" xfId="26277"/>
    <cellStyle name="쉼표 [0] 4 32" xfId="924"/>
    <cellStyle name="쉼표 [0] 4 32 2" xfId="925"/>
    <cellStyle name="쉼표 [0] 4 32 2 2" xfId="4039"/>
    <cellStyle name="쉼표 [0] 4 32 2 2 2" xfId="10375"/>
    <cellStyle name="쉼표 [0] 4 32 2 2 2 2" xfId="23049"/>
    <cellStyle name="쉼표 [0] 4 32 2 2 2 2 2" xfId="48401"/>
    <cellStyle name="쉼표 [0] 4 32 2 2 2 3" xfId="35729"/>
    <cellStyle name="쉼표 [0] 4 32 2 2 3" xfId="16713"/>
    <cellStyle name="쉼표 [0] 4 32 2 2 3 2" xfId="42065"/>
    <cellStyle name="쉼표 [0] 4 32 2 2 4" xfId="29393"/>
    <cellStyle name="쉼표 [0] 4 32 2 3" xfId="7262"/>
    <cellStyle name="쉼표 [0] 4 32 2 3 2" xfId="19936"/>
    <cellStyle name="쉼표 [0] 4 32 2 3 2 2" xfId="45288"/>
    <cellStyle name="쉼표 [0] 4 32 2 3 3" xfId="32616"/>
    <cellStyle name="쉼표 [0] 4 32 2 4" xfId="13600"/>
    <cellStyle name="쉼표 [0] 4 32 2 4 2" xfId="38952"/>
    <cellStyle name="쉼표 [0] 4 32 2 5" xfId="26280"/>
    <cellStyle name="쉼표 [0] 4 32 3" xfId="4040"/>
    <cellStyle name="쉼표 [0] 4 32 3 2" xfId="10376"/>
    <cellStyle name="쉼표 [0] 4 32 3 2 2" xfId="23050"/>
    <cellStyle name="쉼표 [0] 4 32 3 2 2 2" xfId="48402"/>
    <cellStyle name="쉼표 [0] 4 32 3 2 3" xfId="35730"/>
    <cellStyle name="쉼표 [0] 4 32 3 3" xfId="16714"/>
    <cellStyle name="쉼표 [0] 4 32 3 3 2" xfId="42066"/>
    <cellStyle name="쉼표 [0] 4 32 3 4" xfId="29394"/>
    <cellStyle name="쉼표 [0] 4 32 4" xfId="7261"/>
    <cellStyle name="쉼표 [0] 4 32 4 2" xfId="19935"/>
    <cellStyle name="쉼표 [0] 4 32 4 2 2" xfId="45287"/>
    <cellStyle name="쉼표 [0] 4 32 4 3" xfId="32615"/>
    <cellStyle name="쉼표 [0] 4 32 5" xfId="13599"/>
    <cellStyle name="쉼표 [0] 4 32 5 2" xfId="38951"/>
    <cellStyle name="쉼표 [0] 4 32 6" xfId="26279"/>
    <cellStyle name="쉼표 [0] 4 33" xfId="926"/>
    <cellStyle name="쉼표 [0] 4 33 2" xfId="927"/>
    <cellStyle name="쉼표 [0] 4 33 2 2" xfId="4041"/>
    <cellStyle name="쉼표 [0] 4 33 2 2 2" xfId="10377"/>
    <cellStyle name="쉼표 [0] 4 33 2 2 2 2" xfId="23051"/>
    <cellStyle name="쉼표 [0] 4 33 2 2 2 2 2" xfId="48403"/>
    <cellStyle name="쉼표 [0] 4 33 2 2 2 3" xfId="35731"/>
    <cellStyle name="쉼표 [0] 4 33 2 2 3" xfId="16715"/>
    <cellStyle name="쉼표 [0] 4 33 2 2 3 2" xfId="42067"/>
    <cellStyle name="쉼표 [0] 4 33 2 2 4" xfId="29395"/>
    <cellStyle name="쉼표 [0] 4 33 2 3" xfId="7264"/>
    <cellStyle name="쉼표 [0] 4 33 2 3 2" xfId="19938"/>
    <cellStyle name="쉼표 [0] 4 33 2 3 2 2" xfId="45290"/>
    <cellStyle name="쉼표 [0] 4 33 2 3 3" xfId="32618"/>
    <cellStyle name="쉼표 [0] 4 33 2 4" xfId="13602"/>
    <cellStyle name="쉼표 [0] 4 33 2 4 2" xfId="38954"/>
    <cellStyle name="쉼표 [0] 4 33 2 5" xfId="26282"/>
    <cellStyle name="쉼표 [0] 4 33 3" xfId="4042"/>
    <cellStyle name="쉼표 [0] 4 33 3 2" xfId="10378"/>
    <cellStyle name="쉼표 [0] 4 33 3 2 2" xfId="23052"/>
    <cellStyle name="쉼표 [0] 4 33 3 2 2 2" xfId="48404"/>
    <cellStyle name="쉼표 [0] 4 33 3 2 3" xfId="35732"/>
    <cellStyle name="쉼표 [0] 4 33 3 3" xfId="16716"/>
    <cellStyle name="쉼표 [0] 4 33 3 3 2" xfId="42068"/>
    <cellStyle name="쉼표 [0] 4 33 3 4" xfId="29396"/>
    <cellStyle name="쉼표 [0] 4 33 4" xfId="7263"/>
    <cellStyle name="쉼표 [0] 4 33 4 2" xfId="19937"/>
    <cellStyle name="쉼표 [0] 4 33 4 2 2" xfId="45289"/>
    <cellStyle name="쉼표 [0] 4 33 4 3" xfId="32617"/>
    <cellStyle name="쉼표 [0] 4 33 5" xfId="13601"/>
    <cellStyle name="쉼표 [0] 4 33 5 2" xfId="38953"/>
    <cellStyle name="쉼표 [0] 4 33 6" xfId="26281"/>
    <cellStyle name="쉼표 [0] 4 34" xfId="928"/>
    <cellStyle name="쉼표 [0] 4 34 2" xfId="929"/>
    <cellStyle name="쉼표 [0] 4 34 2 2" xfId="4043"/>
    <cellStyle name="쉼표 [0] 4 34 2 2 2" xfId="10379"/>
    <cellStyle name="쉼표 [0] 4 34 2 2 2 2" xfId="23053"/>
    <cellStyle name="쉼표 [0] 4 34 2 2 2 2 2" xfId="48405"/>
    <cellStyle name="쉼표 [0] 4 34 2 2 2 3" xfId="35733"/>
    <cellStyle name="쉼표 [0] 4 34 2 2 3" xfId="16717"/>
    <cellStyle name="쉼표 [0] 4 34 2 2 3 2" xfId="42069"/>
    <cellStyle name="쉼표 [0] 4 34 2 2 4" xfId="29397"/>
    <cellStyle name="쉼표 [0] 4 34 2 3" xfId="7266"/>
    <cellStyle name="쉼표 [0] 4 34 2 3 2" xfId="19940"/>
    <cellStyle name="쉼표 [0] 4 34 2 3 2 2" xfId="45292"/>
    <cellStyle name="쉼표 [0] 4 34 2 3 3" xfId="32620"/>
    <cellStyle name="쉼표 [0] 4 34 2 4" xfId="13604"/>
    <cellStyle name="쉼표 [0] 4 34 2 4 2" xfId="38956"/>
    <cellStyle name="쉼표 [0] 4 34 2 5" xfId="26284"/>
    <cellStyle name="쉼표 [0] 4 34 3" xfId="4044"/>
    <cellStyle name="쉼표 [0] 4 34 3 2" xfId="10380"/>
    <cellStyle name="쉼표 [0] 4 34 3 2 2" xfId="23054"/>
    <cellStyle name="쉼표 [0] 4 34 3 2 2 2" xfId="48406"/>
    <cellStyle name="쉼표 [0] 4 34 3 2 3" xfId="35734"/>
    <cellStyle name="쉼표 [0] 4 34 3 3" xfId="16718"/>
    <cellStyle name="쉼표 [0] 4 34 3 3 2" xfId="42070"/>
    <cellStyle name="쉼표 [0] 4 34 3 4" xfId="29398"/>
    <cellStyle name="쉼표 [0] 4 34 4" xfId="7265"/>
    <cellStyle name="쉼표 [0] 4 34 4 2" xfId="19939"/>
    <cellStyle name="쉼표 [0] 4 34 4 2 2" xfId="45291"/>
    <cellStyle name="쉼표 [0] 4 34 4 3" xfId="32619"/>
    <cellStyle name="쉼표 [0] 4 34 5" xfId="13603"/>
    <cellStyle name="쉼표 [0] 4 34 5 2" xfId="38955"/>
    <cellStyle name="쉼표 [0] 4 34 6" xfId="26283"/>
    <cellStyle name="쉼표 [0] 4 35" xfId="930"/>
    <cellStyle name="쉼표 [0] 4 35 2" xfId="931"/>
    <cellStyle name="쉼표 [0] 4 35 2 2" xfId="4045"/>
    <cellStyle name="쉼표 [0] 4 35 2 2 2" xfId="10381"/>
    <cellStyle name="쉼표 [0] 4 35 2 2 2 2" xfId="23055"/>
    <cellStyle name="쉼표 [0] 4 35 2 2 2 2 2" xfId="48407"/>
    <cellStyle name="쉼표 [0] 4 35 2 2 2 3" xfId="35735"/>
    <cellStyle name="쉼표 [0] 4 35 2 2 3" xfId="16719"/>
    <cellStyle name="쉼표 [0] 4 35 2 2 3 2" xfId="42071"/>
    <cellStyle name="쉼표 [0] 4 35 2 2 4" xfId="29399"/>
    <cellStyle name="쉼표 [0] 4 35 2 3" xfId="7268"/>
    <cellStyle name="쉼표 [0] 4 35 2 3 2" xfId="19942"/>
    <cellStyle name="쉼표 [0] 4 35 2 3 2 2" xfId="45294"/>
    <cellStyle name="쉼표 [0] 4 35 2 3 3" xfId="32622"/>
    <cellStyle name="쉼표 [0] 4 35 2 4" xfId="13606"/>
    <cellStyle name="쉼표 [0] 4 35 2 4 2" xfId="38958"/>
    <cellStyle name="쉼표 [0] 4 35 2 5" xfId="26286"/>
    <cellStyle name="쉼표 [0] 4 35 3" xfId="4046"/>
    <cellStyle name="쉼표 [0] 4 35 3 2" xfId="10382"/>
    <cellStyle name="쉼표 [0] 4 35 3 2 2" xfId="23056"/>
    <cellStyle name="쉼표 [0] 4 35 3 2 2 2" xfId="48408"/>
    <cellStyle name="쉼표 [0] 4 35 3 2 3" xfId="35736"/>
    <cellStyle name="쉼표 [0] 4 35 3 3" xfId="16720"/>
    <cellStyle name="쉼표 [0] 4 35 3 3 2" xfId="42072"/>
    <cellStyle name="쉼표 [0] 4 35 3 4" xfId="29400"/>
    <cellStyle name="쉼표 [0] 4 35 4" xfId="7267"/>
    <cellStyle name="쉼표 [0] 4 35 4 2" xfId="19941"/>
    <cellStyle name="쉼표 [0] 4 35 4 2 2" xfId="45293"/>
    <cellStyle name="쉼표 [0] 4 35 4 3" xfId="32621"/>
    <cellStyle name="쉼표 [0] 4 35 5" xfId="13605"/>
    <cellStyle name="쉼표 [0] 4 35 5 2" xfId="38957"/>
    <cellStyle name="쉼표 [0] 4 35 6" xfId="26285"/>
    <cellStyle name="쉼표 [0] 4 36" xfId="932"/>
    <cellStyle name="쉼표 [0] 4 36 2" xfId="933"/>
    <cellStyle name="쉼표 [0] 4 36 2 2" xfId="4047"/>
    <cellStyle name="쉼표 [0] 4 36 2 2 2" xfId="10383"/>
    <cellStyle name="쉼표 [0] 4 36 2 2 2 2" xfId="23057"/>
    <cellStyle name="쉼표 [0] 4 36 2 2 2 2 2" xfId="48409"/>
    <cellStyle name="쉼표 [0] 4 36 2 2 2 3" xfId="35737"/>
    <cellStyle name="쉼표 [0] 4 36 2 2 3" xfId="16721"/>
    <cellStyle name="쉼표 [0] 4 36 2 2 3 2" xfId="42073"/>
    <cellStyle name="쉼표 [0] 4 36 2 2 4" xfId="29401"/>
    <cellStyle name="쉼표 [0] 4 36 2 3" xfId="7270"/>
    <cellStyle name="쉼표 [0] 4 36 2 3 2" xfId="19944"/>
    <cellStyle name="쉼표 [0] 4 36 2 3 2 2" xfId="45296"/>
    <cellStyle name="쉼표 [0] 4 36 2 3 3" xfId="32624"/>
    <cellStyle name="쉼표 [0] 4 36 2 4" xfId="13608"/>
    <cellStyle name="쉼표 [0] 4 36 2 4 2" xfId="38960"/>
    <cellStyle name="쉼표 [0] 4 36 2 5" xfId="26288"/>
    <cellStyle name="쉼표 [0] 4 36 3" xfId="4048"/>
    <cellStyle name="쉼표 [0] 4 36 3 2" xfId="10384"/>
    <cellStyle name="쉼표 [0] 4 36 3 2 2" xfId="23058"/>
    <cellStyle name="쉼표 [0] 4 36 3 2 2 2" xfId="48410"/>
    <cellStyle name="쉼표 [0] 4 36 3 2 3" xfId="35738"/>
    <cellStyle name="쉼표 [0] 4 36 3 3" xfId="16722"/>
    <cellStyle name="쉼표 [0] 4 36 3 3 2" xfId="42074"/>
    <cellStyle name="쉼표 [0] 4 36 3 4" xfId="29402"/>
    <cellStyle name="쉼표 [0] 4 36 4" xfId="7269"/>
    <cellStyle name="쉼표 [0] 4 36 4 2" xfId="19943"/>
    <cellStyle name="쉼표 [0] 4 36 4 2 2" xfId="45295"/>
    <cellStyle name="쉼표 [0] 4 36 4 3" xfId="32623"/>
    <cellStyle name="쉼표 [0] 4 36 5" xfId="13607"/>
    <cellStyle name="쉼표 [0] 4 36 5 2" xfId="38959"/>
    <cellStyle name="쉼표 [0] 4 36 6" xfId="26287"/>
    <cellStyle name="쉼표 [0] 4 37" xfId="934"/>
    <cellStyle name="쉼표 [0] 4 37 2" xfId="935"/>
    <cellStyle name="쉼표 [0] 4 37 2 2" xfId="4049"/>
    <cellStyle name="쉼표 [0] 4 37 2 2 2" xfId="10385"/>
    <cellStyle name="쉼표 [0] 4 37 2 2 2 2" xfId="23059"/>
    <cellStyle name="쉼표 [0] 4 37 2 2 2 2 2" xfId="48411"/>
    <cellStyle name="쉼표 [0] 4 37 2 2 2 3" xfId="35739"/>
    <cellStyle name="쉼표 [0] 4 37 2 2 3" xfId="16723"/>
    <cellStyle name="쉼표 [0] 4 37 2 2 3 2" xfId="42075"/>
    <cellStyle name="쉼표 [0] 4 37 2 2 4" xfId="29403"/>
    <cellStyle name="쉼표 [0] 4 37 2 3" xfId="7272"/>
    <cellStyle name="쉼표 [0] 4 37 2 3 2" xfId="19946"/>
    <cellStyle name="쉼표 [0] 4 37 2 3 2 2" xfId="45298"/>
    <cellStyle name="쉼표 [0] 4 37 2 3 3" xfId="32626"/>
    <cellStyle name="쉼표 [0] 4 37 2 4" xfId="13610"/>
    <cellStyle name="쉼표 [0] 4 37 2 4 2" xfId="38962"/>
    <cellStyle name="쉼표 [0] 4 37 2 5" xfId="26290"/>
    <cellStyle name="쉼표 [0] 4 37 3" xfId="4050"/>
    <cellStyle name="쉼표 [0] 4 37 3 2" xfId="10386"/>
    <cellStyle name="쉼표 [0] 4 37 3 2 2" xfId="23060"/>
    <cellStyle name="쉼표 [0] 4 37 3 2 2 2" xfId="48412"/>
    <cellStyle name="쉼표 [0] 4 37 3 2 3" xfId="35740"/>
    <cellStyle name="쉼표 [0] 4 37 3 3" xfId="16724"/>
    <cellStyle name="쉼표 [0] 4 37 3 3 2" xfId="42076"/>
    <cellStyle name="쉼표 [0] 4 37 3 4" xfId="29404"/>
    <cellStyle name="쉼표 [0] 4 37 4" xfId="7271"/>
    <cellStyle name="쉼표 [0] 4 37 4 2" xfId="19945"/>
    <cellStyle name="쉼표 [0] 4 37 4 2 2" xfId="45297"/>
    <cellStyle name="쉼표 [0] 4 37 4 3" xfId="32625"/>
    <cellStyle name="쉼표 [0] 4 37 5" xfId="13609"/>
    <cellStyle name="쉼표 [0] 4 37 5 2" xfId="38961"/>
    <cellStyle name="쉼표 [0] 4 37 6" xfId="26289"/>
    <cellStyle name="쉼표 [0] 4 38" xfId="936"/>
    <cellStyle name="쉼표 [0] 4 38 2" xfId="4051"/>
    <cellStyle name="쉼표 [0] 4 38 2 2" xfId="10387"/>
    <cellStyle name="쉼표 [0] 4 38 2 2 2" xfId="23061"/>
    <cellStyle name="쉼표 [0] 4 38 2 2 2 2" xfId="48413"/>
    <cellStyle name="쉼표 [0] 4 38 2 2 3" xfId="35741"/>
    <cellStyle name="쉼표 [0] 4 38 2 3" xfId="16725"/>
    <cellStyle name="쉼표 [0] 4 38 2 3 2" xfId="42077"/>
    <cellStyle name="쉼표 [0] 4 38 2 4" xfId="29405"/>
    <cellStyle name="쉼표 [0] 4 38 3" xfId="7273"/>
    <cellStyle name="쉼표 [0] 4 38 3 2" xfId="19947"/>
    <cellStyle name="쉼표 [0] 4 38 3 2 2" xfId="45299"/>
    <cellStyle name="쉼표 [0] 4 38 3 3" xfId="32627"/>
    <cellStyle name="쉼표 [0] 4 38 4" xfId="13611"/>
    <cellStyle name="쉼표 [0] 4 38 4 2" xfId="38963"/>
    <cellStyle name="쉼표 [0] 4 38 5" xfId="26291"/>
    <cellStyle name="쉼표 [0] 4 39" xfId="4052"/>
    <cellStyle name="쉼표 [0] 4 39 2" xfId="10388"/>
    <cellStyle name="쉼표 [0] 4 39 2 2" xfId="23062"/>
    <cellStyle name="쉼표 [0] 4 39 2 2 2" xfId="48414"/>
    <cellStyle name="쉼표 [0] 4 39 2 3" xfId="35742"/>
    <cellStyle name="쉼표 [0] 4 39 3" xfId="16726"/>
    <cellStyle name="쉼표 [0] 4 39 3 2" xfId="42078"/>
    <cellStyle name="쉼표 [0] 4 39 4" xfId="29406"/>
    <cellStyle name="쉼표 [0] 4 4" xfId="25"/>
    <cellStyle name="쉼표 [0] 4 4 10" xfId="937"/>
    <cellStyle name="쉼표 [0] 4 4 10 2" xfId="938"/>
    <cellStyle name="쉼표 [0] 4 4 10 2 2" xfId="4053"/>
    <cellStyle name="쉼표 [0] 4 4 10 2 2 2" xfId="10389"/>
    <cellStyle name="쉼표 [0] 4 4 10 2 2 2 2" xfId="23063"/>
    <cellStyle name="쉼표 [0] 4 4 10 2 2 2 2 2" xfId="48415"/>
    <cellStyle name="쉼표 [0] 4 4 10 2 2 2 3" xfId="35743"/>
    <cellStyle name="쉼표 [0] 4 4 10 2 2 3" xfId="16727"/>
    <cellStyle name="쉼표 [0] 4 4 10 2 2 3 2" xfId="42079"/>
    <cellStyle name="쉼표 [0] 4 4 10 2 2 4" xfId="29407"/>
    <cellStyle name="쉼표 [0] 4 4 10 2 3" xfId="7275"/>
    <cellStyle name="쉼표 [0] 4 4 10 2 3 2" xfId="19949"/>
    <cellStyle name="쉼표 [0] 4 4 10 2 3 2 2" xfId="45301"/>
    <cellStyle name="쉼표 [0] 4 4 10 2 3 3" xfId="32629"/>
    <cellStyle name="쉼표 [0] 4 4 10 2 4" xfId="13613"/>
    <cellStyle name="쉼표 [0] 4 4 10 2 4 2" xfId="38965"/>
    <cellStyle name="쉼표 [0] 4 4 10 2 5" xfId="26293"/>
    <cellStyle name="쉼표 [0] 4 4 10 3" xfId="4054"/>
    <cellStyle name="쉼표 [0] 4 4 10 3 2" xfId="10390"/>
    <cellStyle name="쉼표 [0] 4 4 10 3 2 2" xfId="23064"/>
    <cellStyle name="쉼표 [0] 4 4 10 3 2 2 2" xfId="48416"/>
    <cellStyle name="쉼표 [0] 4 4 10 3 2 3" xfId="35744"/>
    <cellStyle name="쉼표 [0] 4 4 10 3 3" xfId="16728"/>
    <cellStyle name="쉼표 [0] 4 4 10 3 3 2" xfId="42080"/>
    <cellStyle name="쉼표 [0] 4 4 10 3 4" xfId="29408"/>
    <cellStyle name="쉼표 [0] 4 4 10 4" xfId="7274"/>
    <cellStyle name="쉼표 [0] 4 4 10 4 2" xfId="19948"/>
    <cellStyle name="쉼표 [0] 4 4 10 4 2 2" xfId="45300"/>
    <cellStyle name="쉼표 [0] 4 4 10 4 3" xfId="32628"/>
    <cellStyle name="쉼표 [0] 4 4 10 5" xfId="13612"/>
    <cellStyle name="쉼표 [0] 4 4 10 5 2" xfId="38964"/>
    <cellStyle name="쉼표 [0] 4 4 10 6" xfId="26292"/>
    <cellStyle name="쉼표 [0] 4 4 11" xfId="939"/>
    <cellStyle name="쉼표 [0] 4 4 11 2" xfId="940"/>
    <cellStyle name="쉼표 [0] 4 4 11 2 2" xfId="4055"/>
    <cellStyle name="쉼표 [0] 4 4 11 2 2 2" xfId="10391"/>
    <cellStyle name="쉼표 [0] 4 4 11 2 2 2 2" xfId="23065"/>
    <cellStyle name="쉼표 [0] 4 4 11 2 2 2 2 2" xfId="48417"/>
    <cellStyle name="쉼표 [0] 4 4 11 2 2 2 3" xfId="35745"/>
    <cellStyle name="쉼표 [0] 4 4 11 2 2 3" xfId="16729"/>
    <cellStyle name="쉼표 [0] 4 4 11 2 2 3 2" xfId="42081"/>
    <cellStyle name="쉼표 [0] 4 4 11 2 2 4" xfId="29409"/>
    <cellStyle name="쉼표 [0] 4 4 11 2 3" xfId="7277"/>
    <cellStyle name="쉼표 [0] 4 4 11 2 3 2" xfId="19951"/>
    <cellStyle name="쉼표 [0] 4 4 11 2 3 2 2" xfId="45303"/>
    <cellStyle name="쉼표 [0] 4 4 11 2 3 3" xfId="32631"/>
    <cellStyle name="쉼표 [0] 4 4 11 2 4" xfId="13615"/>
    <cellStyle name="쉼표 [0] 4 4 11 2 4 2" xfId="38967"/>
    <cellStyle name="쉼표 [0] 4 4 11 2 5" xfId="26295"/>
    <cellStyle name="쉼표 [0] 4 4 11 3" xfId="4056"/>
    <cellStyle name="쉼표 [0] 4 4 11 3 2" xfId="10392"/>
    <cellStyle name="쉼표 [0] 4 4 11 3 2 2" xfId="23066"/>
    <cellStyle name="쉼표 [0] 4 4 11 3 2 2 2" xfId="48418"/>
    <cellStyle name="쉼표 [0] 4 4 11 3 2 3" xfId="35746"/>
    <cellStyle name="쉼표 [0] 4 4 11 3 3" xfId="16730"/>
    <cellStyle name="쉼표 [0] 4 4 11 3 3 2" xfId="42082"/>
    <cellStyle name="쉼표 [0] 4 4 11 3 4" xfId="29410"/>
    <cellStyle name="쉼표 [0] 4 4 11 4" xfId="7276"/>
    <cellStyle name="쉼표 [0] 4 4 11 4 2" xfId="19950"/>
    <cellStyle name="쉼표 [0] 4 4 11 4 2 2" xfId="45302"/>
    <cellStyle name="쉼표 [0] 4 4 11 4 3" xfId="32630"/>
    <cellStyle name="쉼표 [0] 4 4 11 5" xfId="13614"/>
    <cellStyle name="쉼표 [0] 4 4 11 5 2" xfId="38966"/>
    <cellStyle name="쉼표 [0] 4 4 11 6" xfId="26294"/>
    <cellStyle name="쉼표 [0] 4 4 12" xfId="941"/>
    <cellStyle name="쉼표 [0] 4 4 12 2" xfId="942"/>
    <cellStyle name="쉼표 [0] 4 4 12 2 2" xfId="4057"/>
    <cellStyle name="쉼표 [0] 4 4 12 2 2 2" xfId="10393"/>
    <cellStyle name="쉼표 [0] 4 4 12 2 2 2 2" xfId="23067"/>
    <cellStyle name="쉼표 [0] 4 4 12 2 2 2 2 2" xfId="48419"/>
    <cellStyle name="쉼표 [0] 4 4 12 2 2 2 3" xfId="35747"/>
    <cellStyle name="쉼표 [0] 4 4 12 2 2 3" xfId="16731"/>
    <cellStyle name="쉼표 [0] 4 4 12 2 2 3 2" xfId="42083"/>
    <cellStyle name="쉼표 [0] 4 4 12 2 2 4" xfId="29411"/>
    <cellStyle name="쉼표 [0] 4 4 12 2 3" xfId="7279"/>
    <cellStyle name="쉼표 [0] 4 4 12 2 3 2" xfId="19953"/>
    <cellStyle name="쉼표 [0] 4 4 12 2 3 2 2" xfId="45305"/>
    <cellStyle name="쉼표 [0] 4 4 12 2 3 3" xfId="32633"/>
    <cellStyle name="쉼표 [0] 4 4 12 2 4" xfId="13617"/>
    <cellStyle name="쉼표 [0] 4 4 12 2 4 2" xfId="38969"/>
    <cellStyle name="쉼표 [0] 4 4 12 2 5" xfId="26297"/>
    <cellStyle name="쉼표 [0] 4 4 12 3" xfId="4058"/>
    <cellStyle name="쉼표 [0] 4 4 12 3 2" xfId="10394"/>
    <cellStyle name="쉼표 [0] 4 4 12 3 2 2" xfId="23068"/>
    <cellStyle name="쉼표 [0] 4 4 12 3 2 2 2" xfId="48420"/>
    <cellStyle name="쉼표 [0] 4 4 12 3 2 3" xfId="35748"/>
    <cellStyle name="쉼표 [0] 4 4 12 3 3" xfId="16732"/>
    <cellStyle name="쉼표 [0] 4 4 12 3 3 2" xfId="42084"/>
    <cellStyle name="쉼표 [0] 4 4 12 3 4" xfId="29412"/>
    <cellStyle name="쉼표 [0] 4 4 12 4" xfId="7278"/>
    <cellStyle name="쉼표 [0] 4 4 12 4 2" xfId="19952"/>
    <cellStyle name="쉼표 [0] 4 4 12 4 2 2" xfId="45304"/>
    <cellStyle name="쉼표 [0] 4 4 12 4 3" xfId="32632"/>
    <cellStyle name="쉼표 [0] 4 4 12 5" xfId="13616"/>
    <cellStyle name="쉼표 [0] 4 4 12 5 2" xfId="38968"/>
    <cellStyle name="쉼표 [0] 4 4 12 6" xfId="26296"/>
    <cellStyle name="쉼표 [0] 4 4 13" xfId="943"/>
    <cellStyle name="쉼표 [0] 4 4 13 2" xfId="944"/>
    <cellStyle name="쉼표 [0] 4 4 13 2 2" xfId="4059"/>
    <cellStyle name="쉼표 [0] 4 4 13 2 2 2" xfId="10395"/>
    <cellStyle name="쉼표 [0] 4 4 13 2 2 2 2" xfId="23069"/>
    <cellStyle name="쉼표 [0] 4 4 13 2 2 2 2 2" xfId="48421"/>
    <cellStyle name="쉼표 [0] 4 4 13 2 2 2 3" xfId="35749"/>
    <cellStyle name="쉼표 [0] 4 4 13 2 2 3" xfId="16733"/>
    <cellStyle name="쉼표 [0] 4 4 13 2 2 3 2" xfId="42085"/>
    <cellStyle name="쉼표 [0] 4 4 13 2 2 4" xfId="29413"/>
    <cellStyle name="쉼표 [0] 4 4 13 2 3" xfId="7281"/>
    <cellStyle name="쉼표 [0] 4 4 13 2 3 2" xfId="19955"/>
    <cellStyle name="쉼표 [0] 4 4 13 2 3 2 2" xfId="45307"/>
    <cellStyle name="쉼표 [0] 4 4 13 2 3 3" xfId="32635"/>
    <cellStyle name="쉼표 [0] 4 4 13 2 4" xfId="13619"/>
    <cellStyle name="쉼표 [0] 4 4 13 2 4 2" xfId="38971"/>
    <cellStyle name="쉼표 [0] 4 4 13 2 5" xfId="26299"/>
    <cellStyle name="쉼표 [0] 4 4 13 3" xfId="4060"/>
    <cellStyle name="쉼표 [0] 4 4 13 3 2" xfId="10396"/>
    <cellStyle name="쉼표 [0] 4 4 13 3 2 2" xfId="23070"/>
    <cellStyle name="쉼표 [0] 4 4 13 3 2 2 2" xfId="48422"/>
    <cellStyle name="쉼표 [0] 4 4 13 3 2 3" xfId="35750"/>
    <cellStyle name="쉼표 [0] 4 4 13 3 3" xfId="16734"/>
    <cellStyle name="쉼표 [0] 4 4 13 3 3 2" xfId="42086"/>
    <cellStyle name="쉼표 [0] 4 4 13 3 4" xfId="29414"/>
    <cellStyle name="쉼표 [0] 4 4 13 4" xfId="7280"/>
    <cellStyle name="쉼표 [0] 4 4 13 4 2" xfId="19954"/>
    <cellStyle name="쉼표 [0] 4 4 13 4 2 2" xfId="45306"/>
    <cellStyle name="쉼표 [0] 4 4 13 4 3" xfId="32634"/>
    <cellStyle name="쉼표 [0] 4 4 13 5" xfId="13618"/>
    <cellStyle name="쉼표 [0] 4 4 13 5 2" xfId="38970"/>
    <cellStyle name="쉼표 [0] 4 4 13 6" xfId="26298"/>
    <cellStyle name="쉼표 [0] 4 4 14" xfId="945"/>
    <cellStyle name="쉼표 [0] 4 4 14 2" xfId="946"/>
    <cellStyle name="쉼표 [0] 4 4 14 2 2" xfId="4061"/>
    <cellStyle name="쉼표 [0] 4 4 14 2 2 2" xfId="10397"/>
    <cellStyle name="쉼표 [0] 4 4 14 2 2 2 2" xfId="23071"/>
    <cellStyle name="쉼표 [0] 4 4 14 2 2 2 2 2" xfId="48423"/>
    <cellStyle name="쉼표 [0] 4 4 14 2 2 2 3" xfId="35751"/>
    <cellStyle name="쉼표 [0] 4 4 14 2 2 3" xfId="16735"/>
    <cellStyle name="쉼표 [0] 4 4 14 2 2 3 2" xfId="42087"/>
    <cellStyle name="쉼표 [0] 4 4 14 2 2 4" xfId="29415"/>
    <cellStyle name="쉼표 [0] 4 4 14 2 3" xfId="7283"/>
    <cellStyle name="쉼표 [0] 4 4 14 2 3 2" xfId="19957"/>
    <cellStyle name="쉼표 [0] 4 4 14 2 3 2 2" xfId="45309"/>
    <cellStyle name="쉼표 [0] 4 4 14 2 3 3" xfId="32637"/>
    <cellStyle name="쉼표 [0] 4 4 14 2 4" xfId="13621"/>
    <cellStyle name="쉼표 [0] 4 4 14 2 4 2" xfId="38973"/>
    <cellStyle name="쉼표 [0] 4 4 14 2 5" xfId="26301"/>
    <cellStyle name="쉼표 [0] 4 4 14 3" xfId="4062"/>
    <cellStyle name="쉼표 [0] 4 4 14 3 2" xfId="10398"/>
    <cellStyle name="쉼표 [0] 4 4 14 3 2 2" xfId="23072"/>
    <cellStyle name="쉼표 [0] 4 4 14 3 2 2 2" xfId="48424"/>
    <cellStyle name="쉼표 [0] 4 4 14 3 2 3" xfId="35752"/>
    <cellStyle name="쉼표 [0] 4 4 14 3 3" xfId="16736"/>
    <cellStyle name="쉼표 [0] 4 4 14 3 3 2" xfId="42088"/>
    <cellStyle name="쉼표 [0] 4 4 14 3 4" xfId="29416"/>
    <cellStyle name="쉼표 [0] 4 4 14 4" xfId="7282"/>
    <cellStyle name="쉼표 [0] 4 4 14 4 2" xfId="19956"/>
    <cellStyle name="쉼표 [0] 4 4 14 4 2 2" xfId="45308"/>
    <cellStyle name="쉼표 [0] 4 4 14 4 3" xfId="32636"/>
    <cellStyle name="쉼표 [0] 4 4 14 5" xfId="13620"/>
    <cellStyle name="쉼표 [0] 4 4 14 5 2" xfId="38972"/>
    <cellStyle name="쉼표 [0] 4 4 14 6" xfId="26300"/>
    <cellStyle name="쉼표 [0] 4 4 15" xfId="947"/>
    <cellStyle name="쉼표 [0] 4 4 15 2" xfId="948"/>
    <cellStyle name="쉼표 [0] 4 4 15 2 2" xfId="4063"/>
    <cellStyle name="쉼표 [0] 4 4 15 2 2 2" xfId="10399"/>
    <cellStyle name="쉼표 [0] 4 4 15 2 2 2 2" xfId="23073"/>
    <cellStyle name="쉼표 [0] 4 4 15 2 2 2 2 2" xfId="48425"/>
    <cellStyle name="쉼표 [0] 4 4 15 2 2 2 3" xfId="35753"/>
    <cellStyle name="쉼표 [0] 4 4 15 2 2 3" xfId="16737"/>
    <cellStyle name="쉼표 [0] 4 4 15 2 2 3 2" xfId="42089"/>
    <cellStyle name="쉼표 [0] 4 4 15 2 2 4" xfId="29417"/>
    <cellStyle name="쉼표 [0] 4 4 15 2 3" xfId="7285"/>
    <cellStyle name="쉼표 [0] 4 4 15 2 3 2" xfId="19959"/>
    <cellStyle name="쉼표 [0] 4 4 15 2 3 2 2" xfId="45311"/>
    <cellStyle name="쉼표 [0] 4 4 15 2 3 3" xfId="32639"/>
    <cellStyle name="쉼표 [0] 4 4 15 2 4" xfId="13623"/>
    <cellStyle name="쉼표 [0] 4 4 15 2 4 2" xfId="38975"/>
    <cellStyle name="쉼표 [0] 4 4 15 2 5" xfId="26303"/>
    <cellStyle name="쉼표 [0] 4 4 15 3" xfId="4064"/>
    <cellStyle name="쉼표 [0] 4 4 15 3 2" xfId="10400"/>
    <cellStyle name="쉼표 [0] 4 4 15 3 2 2" xfId="23074"/>
    <cellStyle name="쉼표 [0] 4 4 15 3 2 2 2" xfId="48426"/>
    <cellStyle name="쉼표 [0] 4 4 15 3 2 3" xfId="35754"/>
    <cellStyle name="쉼표 [0] 4 4 15 3 3" xfId="16738"/>
    <cellStyle name="쉼표 [0] 4 4 15 3 3 2" xfId="42090"/>
    <cellStyle name="쉼표 [0] 4 4 15 3 4" xfId="29418"/>
    <cellStyle name="쉼표 [0] 4 4 15 4" xfId="7284"/>
    <cellStyle name="쉼표 [0] 4 4 15 4 2" xfId="19958"/>
    <cellStyle name="쉼표 [0] 4 4 15 4 2 2" xfId="45310"/>
    <cellStyle name="쉼표 [0] 4 4 15 4 3" xfId="32638"/>
    <cellStyle name="쉼표 [0] 4 4 15 5" xfId="13622"/>
    <cellStyle name="쉼표 [0] 4 4 15 5 2" xfId="38974"/>
    <cellStyle name="쉼표 [0] 4 4 15 6" xfId="26302"/>
    <cellStyle name="쉼표 [0] 4 4 16" xfId="949"/>
    <cellStyle name="쉼표 [0] 4 4 16 2" xfId="950"/>
    <cellStyle name="쉼표 [0] 4 4 16 2 2" xfId="4065"/>
    <cellStyle name="쉼표 [0] 4 4 16 2 2 2" xfId="10401"/>
    <cellStyle name="쉼표 [0] 4 4 16 2 2 2 2" xfId="23075"/>
    <cellStyle name="쉼표 [0] 4 4 16 2 2 2 2 2" xfId="48427"/>
    <cellStyle name="쉼표 [0] 4 4 16 2 2 2 3" xfId="35755"/>
    <cellStyle name="쉼표 [0] 4 4 16 2 2 3" xfId="16739"/>
    <cellStyle name="쉼표 [0] 4 4 16 2 2 3 2" xfId="42091"/>
    <cellStyle name="쉼표 [0] 4 4 16 2 2 4" xfId="29419"/>
    <cellStyle name="쉼표 [0] 4 4 16 2 3" xfId="7287"/>
    <cellStyle name="쉼표 [0] 4 4 16 2 3 2" xfId="19961"/>
    <cellStyle name="쉼표 [0] 4 4 16 2 3 2 2" xfId="45313"/>
    <cellStyle name="쉼표 [0] 4 4 16 2 3 3" xfId="32641"/>
    <cellStyle name="쉼표 [0] 4 4 16 2 4" xfId="13625"/>
    <cellStyle name="쉼표 [0] 4 4 16 2 4 2" xfId="38977"/>
    <cellStyle name="쉼표 [0] 4 4 16 2 5" xfId="26305"/>
    <cellStyle name="쉼표 [0] 4 4 16 3" xfId="4066"/>
    <cellStyle name="쉼표 [0] 4 4 16 3 2" xfId="10402"/>
    <cellStyle name="쉼표 [0] 4 4 16 3 2 2" xfId="23076"/>
    <cellStyle name="쉼표 [0] 4 4 16 3 2 2 2" xfId="48428"/>
    <cellStyle name="쉼표 [0] 4 4 16 3 2 3" xfId="35756"/>
    <cellStyle name="쉼표 [0] 4 4 16 3 3" xfId="16740"/>
    <cellStyle name="쉼표 [0] 4 4 16 3 3 2" xfId="42092"/>
    <cellStyle name="쉼표 [0] 4 4 16 3 4" xfId="29420"/>
    <cellStyle name="쉼표 [0] 4 4 16 4" xfId="7286"/>
    <cellStyle name="쉼표 [0] 4 4 16 4 2" xfId="19960"/>
    <cellStyle name="쉼표 [0] 4 4 16 4 2 2" xfId="45312"/>
    <cellStyle name="쉼표 [0] 4 4 16 4 3" xfId="32640"/>
    <cellStyle name="쉼표 [0] 4 4 16 5" xfId="13624"/>
    <cellStyle name="쉼표 [0] 4 4 16 5 2" xfId="38976"/>
    <cellStyle name="쉼표 [0] 4 4 16 6" xfId="26304"/>
    <cellStyle name="쉼표 [0] 4 4 17" xfId="951"/>
    <cellStyle name="쉼표 [0] 4 4 17 2" xfId="952"/>
    <cellStyle name="쉼표 [0] 4 4 17 2 2" xfId="4067"/>
    <cellStyle name="쉼표 [0] 4 4 17 2 2 2" xfId="10403"/>
    <cellStyle name="쉼표 [0] 4 4 17 2 2 2 2" xfId="23077"/>
    <cellStyle name="쉼표 [0] 4 4 17 2 2 2 2 2" xfId="48429"/>
    <cellStyle name="쉼표 [0] 4 4 17 2 2 2 3" xfId="35757"/>
    <cellStyle name="쉼표 [0] 4 4 17 2 2 3" xfId="16741"/>
    <cellStyle name="쉼표 [0] 4 4 17 2 2 3 2" xfId="42093"/>
    <cellStyle name="쉼표 [0] 4 4 17 2 2 4" xfId="29421"/>
    <cellStyle name="쉼표 [0] 4 4 17 2 3" xfId="7289"/>
    <cellStyle name="쉼표 [0] 4 4 17 2 3 2" xfId="19963"/>
    <cellStyle name="쉼표 [0] 4 4 17 2 3 2 2" xfId="45315"/>
    <cellStyle name="쉼표 [0] 4 4 17 2 3 3" xfId="32643"/>
    <cellStyle name="쉼표 [0] 4 4 17 2 4" xfId="13627"/>
    <cellStyle name="쉼표 [0] 4 4 17 2 4 2" xfId="38979"/>
    <cellStyle name="쉼표 [0] 4 4 17 2 5" xfId="26307"/>
    <cellStyle name="쉼표 [0] 4 4 17 3" xfId="4068"/>
    <cellStyle name="쉼표 [0] 4 4 17 3 2" xfId="10404"/>
    <cellStyle name="쉼표 [0] 4 4 17 3 2 2" xfId="23078"/>
    <cellStyle name="쉼표 [0] 4 4 17 3 2 2 2" xfId="48430"/>
    <cellStyle name="쉼표 [0] 4 4 17 3 2 3" xfId="35758"/>
    <cellStyle name="쉼표 [0] 4 4 17 3 3" xfId="16742"/>
    <cellStyle name="쉼표 [0] 4 4 17 3 3 2" xfId="42094"/>
    <cellStyle name="쉼표 [0] 4 4 17 3 4" xfId="29422"/>
    <cellStyle name="쉼표 [0] 4 4 17 4" xfId="7288"/>
    <cellStyle name="쉼표 [0] 4 4 17 4 2" xfId="19962"/>
    <cellStyle name="쉼표 [0] 4 4 17 4 2 2" xfId="45314"/>
    <cellStyle name="쉼표 [0] 4 4 17 4 3" xfId="32642"/>
    <cellStyle name="쉼표 [0] 4 4 17 5" xfId="13626"/>
    <cellStyle name="쉼표 [0] 4 4 17 5 2" xfId="38978"/>
    <cellStyle name="쉼표 [0] 4 4 17 6" xfId="26306"/>
    <cellStyle name="쉼표 [0] 4 4 18" xfId="953"/>
    <cellStyle name="쉼표 [0] 4 4 18 2" xfId="954"/>
    <cellStyle name="쉼표 [0] 4 4 18 2 2" xfId="4069"/>
    <cellStyle name="쉼표 [0] 4 4 18 2 2 2" xfId="10405"/>
    <cellStyle name="쉼표 [0] 4 4 18 2 2 2 2" xfId="23079"/>
    <cellStyle name="쉼표 [0] 4 4 18 2 2 2 2 2" xfId="48431"/>
    <cellStyle name="쉼표 [0] 4 4 18 2 2 2 3" xfId="35759"/>
    <cellStyle name="쉼표 [0] 4 4 18 2 2 3" xfId="16743"/>
    <cellStyle name="쉼표 [0] 4 4 18 2 2 3 2" xfId="42095"/>
    <cellStyle name="쉼표 [0] 4 4 18 2 2 4" xfId="29423"/>
    <cellStyle name="쉼표 [0] 4 4 18 2 3" xfId="7291"/>
    <cellStyle name="쉼표 [0] 4 4 18 2 3 2" xfId="19965"/>
    <cellStyle name="쉼표 [0] 4 4 18 2 3 2 2" xfId="45317"/>
    <cellStyle name="쉼표 [0] 4 4 18 2 3 3" xfId="32645"/>
    <cellStyle name="쉼표 [0] 4 4 18 2 4" xfId="13629"/>
    <cellStyle name="쉼표 [0] 4 4 18 2 4 2" xfId="38981"/>
    <cellStyle name="쉼표 [0] 4 4 18 2 5" xfId="26309"/>
    <cellStyle name="쉼표 [0] 4 4 18 3" xfId="4070"/>
    <cellStyle name="쉼표 [0] 4 4 18 3 2" xfId="10406"/>
    <cellStyle name="쉼표 [0] 4 4 18 3 2 2" xfId="23080"/>
    <cellStyle name="쉼표 [0] 4 4 18 3 2 2 2" xfId="48432"/>
    <cellStyle name="쉼표 [0] 4 4 18 3 2 3" xfId="35760"/>
    <cellStyle name="쉼표 [0] 4 4 18 3 3" xfId="16744"/>
    <cellStyle name="쉼표 [0] 4 4 18 3 3 2" xfId="42096"/>
    <cellStyle name="쉼표 [0] 4 4 18 3 4" xfId="29424"/>
    <cellStyle name="쉼표 [0] 4 4 18 4" xfId="7290"/>
    <cellStyle name="쉼표 [0] 4 4 18 4 2" xfId="19964"/>
    <cellStyle name="쉼표 [0] 4 4 18 4 2 2" xfId="45316"/>
    <cellStyle name="쉼표 [0] 4 4 18 4 3" xfId="32644"/>
    <cellStyle name="쉼표 [0] 4 4 18 5" xfId="13628"/>
    <cellStyle name="쉼표 [0] 4 4 18 5 2" xfId="38980"/>
    <cellStyle name="쉼표 [0] 4 4 18 6" xfId="26308"/>
    <cellStyle name="쉼표 [0] 4 4 19" xfId="955"/>
    <cellStyle name="쉼표 [0] 4 4 19 2" xfId="956"/>
    <cellStyle name="쉼표 [0] 4 4 19 2 2" xfId="4071"/>
    <cellStyle name="쉼표 [0] 4 4 19 2 2 2" xfId="10407"/>
    <cellStyle name="쉼표 [0] 4 4 19 2 2 2 2" xfId="23081"/>
    <cellStyle name="쉼표 [0] 4 4 19 2 2 2 2 2" xfId="48433"/>
    <cellStyle name="쉼표 [0] 4 4 19 2 2 2 3" xfId="35761"/>
    <cellStyle name="쉼표 [0] 4 4 19 2 2 3" xfId="16745"/>
    <cellStyle name="쉼표 [0] 4 4 19 2 2 3 2" xfId="42097"/>
    <cellStyle name="쉼표 [0] 4 4 19 2 2 4" xfId="29425"/>
    <cellStyle name="쉼표 [0] 4 4 19 2 3" xfId="7293"/>
    <cellStyle name="쉼표 [0] 4 4 19 2 3 2" xfId="19967"/>
    <cellStyle name="쉼표 [0] 4 4 19 2 3 2 2" xfId="45319"/>
    <cellStyle name="쉼표 [0] 4 4 19 2 3 3" xfId="32647"/>
    <cellStyle name="쉼표 [0] 4 4 19 2 4" xfId="13631"/>
    <cellStyle name="쉼표 [0] 4 4 19 2 4 2" xfId="38983"/>
    <cellStyle name="쉼표 [0] 4 4 19 2 5" xfId="26311"/>
    <cellStyle name="쉼표 [0] 4 4 19 3" xfId="4072"/>
    <cellStyle name="쉼표 [0] 4 4 19 3 2" xfId="10408"/>
    <cellStyle name="쉼표 [0] 4 4 19 3 2 2" xfId="23082"/>
    <cellStyle name="쉼표 [0] 4 4 19 3 2 2 2" xfId="48434"/>
    <cellStyle name="쉼표 [0] 4 4 19 3 2 3" xfId="35762"/>
    <cellStyle name="쉼표 [0] 4 4 19 3 3" xfId="16746"/>
    <cellStyle name="쉼표 [0] 4 4 19 3 3 2" xfId="42098"/>
    <cellStyle name="쉼표 [0] 4 4 19 3 4" xfId="29426"/>
    <cellStyle name="쉼표 [0] 4 4 19 4" xfId="7292"/>
    <cellStyle name="쉼표 [0] 4 4 19 4 2" xfId="19966"/>
    <cellStyle name="쉼표 [0] 4 4 19 4 2 2" xfId="45318"/>
    <cellStyle name="쉼표 [0] 4 4 19 4 3" xfId="32646"/>
    <cellStyle name="쉼표 [0] 4 4 19 5" xfId="13630"/>
    <cellStyle name="쉼표 [0] 4 4 19 5 2" xfId="38982"/>
    <cellStyle name="쉼표 [0] 4 4 19 6" xfId="26310"/>
    <cellStyle name="쉼표 [0] 4 4 2" xfId="69"/>
    <cellStyle name="쉼표 [0] 4 4 2 10" xfId="957"/>
    <cellStyle name="쉼표 [0] 4 4 2 10 2" xfId="958"/>
    <cellStyle name="쉼표 [0] 4 4 2 10 2 2" xfId="4073"/>
    <cellStyle name="쉼표 [0] 4 4 2 10 2 2 2" xfId="10409"/>
    <cellStyle name="쉼표 [0] 4 4 2 10 2 2 2 2" xfId="23083"/>
    <cellStyle name="쉼표 [0] 4 4 2 10 2 2 2 2 2" xfId="48435"/>
    <cellStyle name="쉼표 [0] 4 4 2 10 2 2 2 3" xfId="35763"/>
    <cellStyle name="쉼표 [0] 4 4 2 10 2 2 3" xfId="16747"/>
    <cellStyle name="쉼표 [0] 4 4 2 10 2 2 3 2" xfId="42099"/>
    <cellStyle name="쉼표 [0] 4 4 2 10 2 2 4" xfId="29427"/>
    <cellStyle name="쉼표 [0] 4 4 2 10 2 3" xfId="7295"/>
    <cellStyle name="쉼표 [0] 4 4 2 10 2 3 2" xfId="19969"/>
    <cellStyle name="쉼표 [0] 4 4 2 10 2 3 2 2" xfId="45321"/>
    <cellStyle name="쉼표 [0] 4 4 2 10 2 3 3" xfId="32649"/>
    <cellStyle name="쉼표 [0] 4 4 2 10 2 4" xfId="13633"/>
    <cellStyle name="쉼표 [0] 4 4 2 10 2 4 2" xfId="38985"/>
    <cellStyle name="쉼표 [0] 4 4 2 10 2 5" xfId="26313"/>
    <cellStyle name="쉼표 [0] 4 4 2 10 3" xfId="4074"/>
    <cellStyle name="쉼표 [0] 4 4 2 10 3 2" xfId="10410"/>
    <cellStyle name="쉼표 [0] 4 4 2 10 3 2 2" xfId="23084"/>
    <cellStyle name="쉼표 [0] 4 4 2 10 3 2 2 2" xfId="48436"/>
    <cellStyle name="쉼표 [0] 4 4 2 10 3 2 3" xfId="35764"/>
    <cellStyle name="쉼표 [0] 4 4 2 10 3 3" xfId="16748"/>
    <cellStyle name="쉼표 [0] 4 4 2 10 3 3 2" xfId="42100"/>
    <cellStyle name="쉼표 [0] 4 4 2 10 3 4" xfId="29428"/>
    <cellStyle name="쉼표 [0] 4 4 2 10 4" xfId="7294"/>
    <cellStyle name="쉼표 [0] 4 4 2 10 4 2" xfId="19968"/>
    <cellStyle name="쉼표 [0] 4 4 2 10 4 2 2" xfId="45320"/>
    <cellStyle name="쉼표 [0] 4 4 2 10 4 3" xfId="32648"/>
    <cellStyle name="쉼표 [0] 4 4 2 10 5" xfId="13632"/>
    <cellStyle name="쉼표 [0] 4 4 2 10 5 2" xfId="38984"/>
    <cellStyle name="쉼표 [0] 4 4 2 10 6" xfId="26312"/>
    <cellStyle name="쉼표 [0] 4 4 2 11" xfId="959"/>
    <cellStyle name="쉼표 [0] 4 4 2 11 2" xfId="960"/>
    <cellStyle name="쉼표 [0] 4 4 2 11 2 2" xfId="4075"/>
    <cellStyle name="쉼표 [0] 4 4 2 11 2 2 2" xfId="10411"/>
    <cellStyle name="쉼표 [0] 4 4 2 11 2 2 2 2" xfId="23085"/>
    <cellStyle name="쉼표 [0] 4 4 2 11 2 2 2 2 2" xfId="48437"/>
    <cellStyle name="쉼표 [0] 4 4 2 11 2 2 2 3" xfId="35765"/>
    <cellStyle name="쉼표 [0] 4 4 2 11 2 2 3" xfId="16749"/>
    <cellStyle name="쉼표 [0] 4 4 2 11 2 2 3 2" xfId="42101"/>
    <cellStyle name="쉼표 [0] 4 4 2 11 2 2 4" xfId="29429"/>
    <cellStyle name="쉼표 [0] 4 4 2 11 2 3" xfId="7297"/>
    <cellStyle name="쉼표 [0] 4 4 2 11 2 3 2" xfId="19971"/>
    <cellStyle name="쉼표 [0] 4 4 2 11 2 3 2 2" xfId="45323"/>
    <cellStyle name="쉼표 [0] 4 4 2 11 2 3 3" xfId="32651"/>
    <cellStyle name="쉼표 [0] 4 4 2 11 2 4" xfId="13635"/>
    <cellStyle name="쉼표 [0] 4 4 2 11 2 4 2" xfId="38987"/>
    <cellStyle name="쉼표 [0] 4 4 2 11 2 5" xfId="26315"/>
    <cellStyle name="쉼표 [0] 4 4 2 11 3" xfId="4076"/>
    <cellStyle name="쉼표 [0] 4 4 2 11 3 2" xfId="10412"/>
    <cellStyle name="쉼표 [0] 4 4 2 11 3 2 2" xfId="23086"/>
    <cellStyle name="쉼표 [0] 4 4 2 11 3 2 2 2" xfId="48438"/>
    <cellStyle name="쉼표 [0] 4 4 2 11 3 2 3" xfId="35766"/>
    <cellStyle name="쉼표 [0] 4 4 2 11 3 3" xfId="16750"/>
    <cellStyle name="쉼표 [0] 4 4 2 11 3 3 2" xfId="42102"/>
    <cellStyle name="쉼표 [0] 4 4 2 11 3 4" xfId="29430"/>
    <cellStyle name="쉼표 [0] 4 4 2 11 4" xfId="7296"/>
    <cellStyle name="쉼표 [0] 4 4 2 11 4 2" xfId="19970"/>
    <cellStyle name="쉼표 [0] 4 4 2 11 4 2 2" xfId="45322"/>
    <cellStyle name="쉼표 [0] 4 4 2 11 4 3" xfId="32650"/>
    <cellStyle name="쉼표 [0] 4 4 2 11 5" xfId="13634"/>
    <cellStyle name="쉼표 [0] 4 4 2 11 5 2" xfId="38986"/>
    <cellStyle name="쉼표 [0] 4 4 2 11 6" xfId="26314"/>
    <cellStyle name="쉼표 [0] 4 4 2 12" xfId="961"/>
    <cellStyle name="쉼표 [0] 4 4 2 12 2" xfId="962"/>
    <cellStyle name="쉼표 [0] 4 4 2 12 2 2" xfId="4077"/>
    <cellStyle name="쉼표 [0] 4 4 2 12 2 2 2" xfId="10413"/>
    <cellStyle name="쉼표 [0] 4 4 2 12 2 2 2 2" xfId="23087"/>
    <cellStyle name="쉼표 [0] 4 4 2 12 2 2 2 2 2" xfId="48439"/>
    <cellStyle name="쉼표 [0] 4 4 2 12 2 2 2 3" xfId="35767"/>
    <cellStyle name="쉼표 [0] 4 4 2 12 2 2 3" xfId="16751"/>
    <cellStyle name="쉼표 [0] 4 4 2 12 2 2 3 2" xfId="42103"/>
    <cellStyle name="쉼표 [0] 4 4 2 12 2 2 4" xfId="29431"/>
    <cellStyle name="쉼표 [0] 4 4 2 12 2 3" xfId="7299"/>
    <cellStyle name="쉼표 [0] 4 4 2 12 2 3 2" xfId="19973"/>
    <cellStyle name="쉼표 [0] 4 4 2 12 2 3 2 2" xfId="45325"/>
    <cellStyle name="쉼표 [0] 4 4 2 12 2 3 3" xfId="32653"/>
    <cellStyle name="쉼표 [0] 4 4 2 12 2 4" xfId="13637"/>
    <cellStyle name="쉼표 [0] 4 4 2 12 2 4 2" xfId="38989"/>
    <cellStyle name="쉼표 [0] 4 4 2 12 2 5" xfId="26317"/>
    <cellStyle name="쉼표 [0] 4 4 2 12 3" xfId="4078"/>
    <cellStyle name="쉼표 [0] 4 4 2 12 3 2" xfId="10414"/>
    <cellStyle name="쉼표 [0] 4 4 2 12 3 2 2" xfId="23088"/>
    <cellStyle name="쉼표 [0] 4 4 2 12 3 2 2 2" xfId="48440"/>
    <cellStyle name="쉼표 [0] 4 4 2 12 3 2 3" xfId="35768"/>
    <cellStyle name="쉼표 [0] 4 4 2 12 3 3" xfId="16752"/>
    <cellStyle name="쉼표 [0] 4 4 2 12 3 3 2" xfId="42104"/>
    <cellStyle name="쉼표 [0] 4 4 2 12 3 4" xfId="29432"/>
    <cellStyle name="쉼표 [0] 4 4 2 12 4" xfId="7298"/>
    <cellStyle name="쉼표 [0] 4 4 2 12 4 2" xfId="19972"/>
    <cellStyle name="쉼표 [0] 4 4 2 12 4 2 2" xfId="45324"/>
    <cellStyle name="쉼표 [0] 4 4 2 12 4 3" xfId="32652"/>
    <cellStyle name="쉼표 [0] 4 4 2 12 5" xfId="13636"/>
    <cellStyle name="쉼표 [0] 4 4 2 12 5 2" xfId="38988"/>
    <cellStyle name="쉼표 [0] 4 4 2 12 6" xfId="26316"/>
    <cellStyle name="쉼표 [0] 4 4 2 13" xfId="963"/>
    <cellStyle name="쉼표 [0] 4 4 2 13 2" xfId="964"/>
    <cellStyle name="쉼표 [0] 4 4 2 13 2 2" xfId="4079"/>
    <cellStyle name="쉼표 [0] 4 4 2 13 2 2 2" xfId="10415"/>
    <cellStyle name="쉼표 [0] 4 4 2 13 2 2 2 2" xfId="23089"/>
    <cellStyle name="쉼표 [0] 4 4 2 13 2 2 2 2 2" xfId="48441"/>
    <cellStyle name="쉼표 [0] 4 4 2 13 2 2 2 3" xfId="35769"/>
    <cellStyle name="쉼표 [0] 4 4 2 13 2 2 3" xfId="16753"/>
    <cellStyle name="쉼표 [0] 4 4 2 13 2 2 3 2" xfId="42105"/>
    <cellStyle name="쉼표 [0] 4 4 2 13 2 2 4" xfId="29433"/>
    <cellStyle name="쉼표 [0] 4 4 2 13 2 3" xfId="7301"/>
    <cellStyle name="쉼표 [0] 4 4 2 13 2 3 2" xfId="19975"/>
    <cellStyle name="쉼표 [0] 4 4 2 13 2 3 2 2" xfId="45327"/>
    <cellStyle name="쉼표 [0] 4 4 2 13 2 3 3" xfId="32655"/>
    <cellStyle name="쉼표 [0] 4 4 2 13 2 4" xfId="13639"/>
    <cellStyle name="쉼표 [0] 4 4 2 13 2 4 2" xfId="38991"/>
    <cellStyle name="쉼표 [0] 4 4 2 13 2 5" xfId="26319"/>
    <cellStyle name="쉼표 [0] 4 4 2 13 3" xfId="4080"/>
    <cellStyle name="쉼표 [0] 4 4 2 13 3 2" xfId="10416"/>
    <cellStyle name="쉼표 [0] 4 4 2 13 3 2 2" xfId="23090"/>
    <cellStyle name="쉼표 [0] 4 4 2 13 3 2 2 2" xfId="48442"/>
    <cellStyle name="쉼표 [0] 4 4 2 13 3 2 3" xfId="35770"/>
    <cellStyle name="쉼표 [0] 4 4 2 13 3 3" xfId="16754"/>
    <cellStyle name="쉼표 [0] 4 4 2 13 3 3 2" xfId="42106"/>
    <cellStyle name="쉼표 [0] 4 4 2 13 3 4" xfId="29434"/>
    <cellStyle name="쉼표 [0] 4 4 2 13 4" xfId="7300"/>
    <cellStyle name="쉼표 [0] 4 4 2 13 4 2" xfId="19974"/>
    <cellStyle name="쉼표 [0] 4 4 2 13 4 2 2" xfId="45326"/>
    <cellStyle name="쉼표 [0] 4 4 2 13 4 3" xfId="32654"/>
    <cellStyle name="쉼표 [0] 4 4 2 13 5" xfId="13638"/>
    <cellStyle name="쉼표 [0] 4 4 2 13 5 2" xfId="38990"/>
    <cellStyle name="쉼표 [0] 4 4 2 13 6" xfId="26318"/>
    <cellStyle name="쉼표 [0] 4 4 2 14" xfId="965"/>
    <cellStyle name="쉼표 [0] 4 4 2 14 2" xfId="966"/>
    <cellStyle name="쉼표 [0] 4 4 2 14 2 2" xfId="4081"/>
    <cellStyle name="쉼표 [0] 4 4 2 14 2 2 2" xfId="10417"/>
    <cellStyle name="쉼표 [0] 4 4 2 14 2 2 2 2" xfId="23091"/>
    <cellStyle name="쉼표 [0] 4 4 2 14 2 2 2 2 2" xfId="48443"/>
    <cellStyle name="쉼표 [0] 4 4 2 14 2 2 2 3" xfId="35771"/>
    <cellStyle name="쉼표 [0] 4 4 2 14 2 2 3" xfId="16755"/>
    <cellStyle name="쉼표 [0] 4 4 2 14 2 2 3 2" xfId="42107"/>
    <cellStyle name="쉼표 [0] 4 4 2 14 2 2 4" xfId="29435"/>
    <cellStyle name="쉼표 [0] 4 4 2 14 2 3" xfId="7303"/>
    <cellStyle name="쉼표 [0] 4 4 2 14 2 3 2" xfId="19977"/>
    <cellStyle name="쉼표 [0] 4 4 2 14 2 3 2 2" xfId="45329"/>
    <cellStyle name="쉼표 [0] 4 4 2 14 2 3 3" xfId="32657"/>
    <cellStyle name="쉼표 [0] 4 4 2 14 2 4" xfId="13641"/>
    <cellStyle name="쉼표 [0] 4 4 2 14 2 4 2" xfId="38993"/>
    <cellStyle name="쉼표 [0] 4 4 2 14 2 5" xfId="26321"/>
    <cellStyle name="쉼표 [0] 4 4 2 14 3" xfId="4082"/>
    <cellStyle name="쉼표 [0] 4 4 2 14 3 2" xfId="10418"/>
    <cellStyle name="쉼표 [0] 4 4 2 14 3 2 2" xfId="23092"/>
    <cellStyle name="쉼표 [0] 4 4 2 14 3 2 2 2" xfId="48444"/>
    <cellStyle name="쉼표 [0] 4 4 2 14 3 2 3" xfId="35772"/>
    <cellStyle name="쉼표 [0] 4 4 2 14 3 3" xfId="16756"/>
    <cellStyle name="쉼표 [0] 4 4 2 14 3 3 2" xfId="42108"/>
    <cellStyle name="쉼표 [0] 4 4 2 14 3 4" xfId="29436"/>
    <cellStyle name="쉼표 [0] 4 4 2 14 4" xfId="7302"/>
    <cellStyle name="쉼표 [0] 4 4 2 14 4 2" xfId="19976"/>
    <cellStyle name="쉼표 [0] 4 4 2 14 4 2 2" xfId="45328"/>
    <cellStyle name="쉼표 [0] 4 4 2 14 4 3" xfId="32656"/>
    <cellStyle name="쉼표 [0] 4 4 2 14 5" xfId="13640"/>
    <cellStyle name="쉼표 [0] 4 4 2 14 5 2" xfId="38992"/>
    <cellStyle name="쉼표 [0] 4 4 2 14 6" xfId="26320"/>
    <cellStyle name="쉼표 [0] 4 4 2 15" xfId="967"/>
    <cellStyle name="쉼표 [0] 4 4 2 15 2" xfId="968"/>
    <cellStyle name="쉼표 [0] 4 4 2 15 2 2" xfId="4083"/>
    <cellStyle name="쉼표 [0] 4 4 2 15 2 2 2" xfId="10419"/>
    <cellStyle name="쉼표 [0] 4 4 2 15 2 2 2 2" xfId="23093"/>
    <cellStyle name="쉼표 [0] 4 4 2 15 2 2 2 2 2" xfId="48445"/>
    <cellStyle name="쉼표 [0] 4 4 2 15 2 2 2 3" xfId="35773"/>
    <cellStyle name="쉼표 [0] 4 4 2 15 2 2 3" xfId="16757"/>
    <cellStyle name="쉼표 [0] 4 4 2 15 2 2 3 2" xfId="42109"/>
    <cellStyle name="쉼표 [0] 4 4 2 15 2 2 4" xfId="29437"/>
    <cellStyle name="쉼표 [0] 4 4 2 15 2 3" xfId="7305"/>
    <cellStyle name="쉼표 [0] 4 4 2 15 2 3 2" xfId="19979"/>
    <cellStyle name="쉼표 [0] 4 4 2 15 2 3 2 2" xfId="45331"/>
    <cellStyle name="쉼표 [0] 4 4 2 15 2 3 3" xfId="32659"/>
    <cellStyle name="쉼표 [0] 4 4 2 15 2 4" xfId="13643"/>
    <cellStyle name="쉼표 [0] 4 4 2 15 2 4 2" xfId="38995"/>
    <cellStyle name="쉼표 [0] 4 4 2 15 2 5" xfId="26323"/>
    <cellStyle name="쉼표 [0] 4 4 2 15 3" xfId="4084"/>
    <cellStyle name="쉼표 [0] 4 4 2 15 3 2" xfId="10420"/>
    <cellStyle name="쉼표 [0] 4 4 2 15 3 2 2" xfId="23094"/>
    <cellStyle name="쉼표 [0] 4 4 2 15 3 2 2 2" xfId="48446"/>
    <cellStyle name="쉼표 [0] 4 4 2 15 3 2 3" xfId="35774"/>
    <cellStyle name="쉼표 [0] 4 4 2 15 3 3" xfId="16758"/>
    <cellStyle name="쉼표 [0] 4 4 2 15 3 3 2" xfId="42110"/>
    <cellStyle name="쉼표 [0] 4 4 2 15 3 4" xfId="29438"/>
    <cellStyle name="쉼표 [0] 4 4 2 15 4" xfId="7304"/>
    <cellStyle name="쉼표 [0] 4 4 2 15 4 2" xfId="19978"/>
    <cellStyle name="쉼표 [0] 4 4 2 15 4 2 2" xfId="45330"/>
    <cellStyle name="쉼표 [0] 4 4 2 15 4 3" xfId="32658"/>
    <cellStyle name="쉼표 [0] 4 4 2 15 5" xfId="13642"/>
    <cellStyle name="쉼표 [0] 4 4 2 15 5 2" xfId="38994"/>
    <cellStyle name="쉼표 [0] 4 4 2 15 6" xfId="26322"/>
    <cellStyle name="쉼표 [0] 4 4 2 16" xfId="969"/>
    <cellStyle name="쉼표 [0] 4 4 2 16 2" xfId="970"/>
    <cellStyle name="쉼표 [0] 4 4 2 16 2 2" xfId="4085"/>
    <cellStyle name="쉼표 [0] 4 4 2 16 2 2 2" xfId="10421"/>
    <cellStyle name="쉼표 [0] 4 4 2 16 2 2 2 2" xfId="23095"/>
    <cellStyle name="쉼표 [0] 4 4 2 16 2 2 2 2 2" xfId="48447"/>
    <cellStyle name="쉼표 [0] 4 4 2 16 2 2 2 3" xfId="35775"/>
    <cellStyle name="쉼표 [0] 4 4 2 16 2 2 3" xfId="16759"/>
    <cellStyle name="쉼표 [0] 4 4 2 16 2 2 3 2" xfId="42111"/>
    <cellStyle name="쉼표 [0] 4 4 2 16 2 2 4" xfId="29439"/>
    <cellStyle name="쉼표 [0] 4 4 2 16 2 3" xfId="7307"/>
    <cellStyle name="쉼표 [0] 4 4 2 16 2 3 2" xfId="19981"/>
    <cellStyle name="쉼표 [0] 4 4 2 16 2 3 2 2" xfId="45333"/>
    <cellStyle name="쉼표 [0] 4 4 2 16 2 3 3" xfId="32661"/>
    <cellStyle name="쉼표 [0] 4 4 2 16 2 4" xfId="13645"/>
    <cellStyle name="쉼표 [0] 4 4 2 16 2 4 2" xfId="38997"/>
    <cellStyle name="쉼표 [0] 4 4 2 16 2 5" xfId="26325"/>
    <cellStyle name="쉼표 [0] 4 4 2 16 3" xfId="4086"/>
    <cellStyle name="쉼표 [0] 4 4 2 16 3 2" xfId="10422"/>
    <cellStyle name="쉼표 [0] 4 4 2 16 3 2 2" xfId="23096"/>
    <cellStyle name="쉼표 [0] 4 4 2 16 3 2 2 2" xfId="48448"/>
    <cellStyle name="쉼표 [0] 4 4 2 16 3 2 3" xfId="35776"/>
    <cellStyle name="쉼표 [0] 4 4 2 16 3 3" xfId="16760"/>
    <cellStyle name="쉼표 [0] 4 4 2 16 3 3 2" xfId="42112"/>
    <cellStyle name="쉼표 [0] 4 4 2 16 3 4" xfId="29440"/>
    <cellStyle name="쉼표 [0] 4 4 2 16 4" xfId="7306"/>
    <cellStyle name="쉼표 [0] 4 4 2 16 4 2" xfId="19980"/>
    <cellStyle name="쉼표 [0] 4 4 2 16 4 2 2" xfId="45332"/>
    <cellStyle name="쉼표 [0] 4 4 2 16 4 3" xfId="32660"/>
    <cellStyle name="쉼표 [0] 4 4 2 16 5" xfId="13644"/>
    <cellStyle name="쉼표 [0] 4 4 2 16 5 2" xfId="38996"/>
    <cellStyle name="쉼표 [0] 4 4 2 16 6" xfId="26324"/>
    <cellStyle name="쉼표 [0] 4 4 2 17" xfId="971"/>
    <cellStyle name="쉼표 [0] 4 4 2 17 2" xfId="972"/>
    <cellStyle name="쉼표 [0] 4 4 2 17 2 2" xfId="4087"/>
    <cellStyle name="쉼표 [0] 4 4 2 17 2 2 2" xfId="10423"/>
    <cellStyle name="쉼표 [0] 4 4 2 17 2 2 2 2" xfId="23097"/>
    <cellStyle name="쉼표 [0] 4 4 2 17 2 2 2 2 2" xfId="48449"/>
    <cellStyle name="쉼표 [0] 4 4 2 17 2 2 2 3" xfId="35777"/>
    <cellStyle name="쉼표 [0] 4 4 2 17 2 2 3" xfId="16761"/>
    <cellStyle name="쉼표 [0] 4 4 2 17 2 2 3 2" xfId="42113"/>
    <cellStyle name="쉼표 [0] 4 4 2 17 2 2 4" xfId="29441"/>
    <cellStyle name="쉼표 [0] 4 4 2 17 2 3" xfId="7309"/>
    <cellStyle name="쉼표 [0] 4 4 2 17 2 3 2" xfId="19983"/>
    <cellStyle name="쉼표 [0] 4 4 2 17 2 3 2 2" xfId="45335"/>
    <cellStyle name="쉼표 [0] 4 4 2 17 2 3 3" xfId="32663"/>
    <cellStyle name="쉼표 [0] 4 4 2 17 2 4" xfId="13647"/>
    <cellStyle name="쉼표 [0] 4 4 2 17 2 4 2" xfId="38999"/>
    <cellStyle name="쉼표 [0] 4 4 2 17 2 5" xfId="26327"/>
    <cellStyle name="쉼표 [0] 4 4 2 17 3" xfId="4088"/>
    <cellStyle name="쉼표 [0] 4 4 2 17 3 2" xfId="10424"/>
    <cellStyle name="쉼표 [0] 4 4 2 17 3 2 2" xfId="23098"/>
    <cellStyle name="쉼표 [0] 4 4 2 17 3 2 2 2" xfId="48450"/>
    <cellStyle name="쉼표 [0] 4 4 2 17 3 2 3" xfId="35778"/>
    <cellStyle name="쉼표 [0] 4 4 2 17 3 3" xfId="16762"/>
    <cellStyle name="쉼표 [0] 4 4 2 17 3 3 2" xfId="42114"/>
    <cellStyle name="쉼표 [0] 4 4 2 17 3 4" xfId="29442"/>
    <cellStyle name="쉼표 [0] 4 4 2 17 4" xfId="7308"/>
    <cellStyle name="쉼표 [0] 4 4 2 17 4 2" xfId="19982"/>
    <cellStyle name="쉼표 [0] 4 4 2 17 4 2 2" xfId="45334"/>
    <cellStyle name="쉼표 [0] 4 4 2 17 4 3" xfId="32662"/>
    <cellStyle name="쉼표 [0] 4 4 2 17 5" xfId="13646"/>
    <cellStyle name="쉼표 [0] 4 4 2 17 5 2" xfId="38998"/>
    <cellStyle name="쉼표 [0] 4 4 2 17 6" xfId="26326"/>
    <cellStyle name="쉼표 [0] 4 4 2 18" xfId="973"/>
    <cellStyle name="쉼표 [0] 4 4 2 18 2" xfId="974"/>
    <cellStyle name="쉼표 [0] 4 4 2 18 2 2" xfId="4089"/>
    <cellStyle name="쉼표 [0] 4 4 2 18 2 2 2" xfId="10425"/>
    <cellStyle name="쉼표 [0] 4 4 2 18 2 2 2 2" xfId="23099"/>
    <cellStyle name="쉼표 [0] 4 4 2 18 2 2 2 2 2" xfId="48451"/>
    <cellStyle name="쉼표 [0] 4 4 2 18 2 2 2 3" xfId="35779"/>
    <cellStyle name="쉼표 [0] 4 4 2 18 2 2 3" xfId="16763"/>
    <cellStyle name="쉼표 [0] 4 4 2 18 2 2 3 2" xfId="42115"/>
    <cellStyle name="쉼표 [0] 4 4 2 18 2 2 4" xfId="29443"/>
    <cellStyle name="쉼표 [0] 4 4 2 18 2 3" xfId="7311"/>
    <cellStyle name="쉼표 [0] 4 4 2 18 2 3 2" xfId="19985"/>
    <cellStyle name="쉼표 [0] 4 4 2 18 2 3 2 2" xfId="45337"/>
    <cellStyle name="쉼표 [0] 4 4 2 18 2 3 3" xfId="32665"/>
    <cellStyle name="쉼표 [0] 4 4 2 18 2 4" xfId="13649"/>
    <cellStyle name="쉼표 [0] 4 4 2 18 2 4 2" xfId="39001"/>
    <cellStyle name="쉼표 [0] 4 4 2 18 2 5" xfId="26329"/>
    <cellStyle name="쉼표 [0] 4 4 2 18 3" xfId="4090"/>
    <cellStyle name="쉼표 [0] 4 4 2 18 3 2" xfId="10426"/>
    <cellStyle name="쉼표 [0] 4 4 2 18 3 2 2" xfId="23100"/>
    <cellStyle name="쉼표 [0] 4 4 2 18 3 2 2 2" xfId="48452"/>
    <cellStyle name="쉼표 [0] 4 4 2 18 3 2 3" xfId="35780"/>
    <cellStyle name="쉼표 [0] 4 4 2 18 3 3" xfId="16764"/>
    <cellStyle name="쉼표 [0] 4 4 2 18 3 3 2" xfId="42116"/>
    <cellStyle name="쉼표 [0] 4 4 2 18 3 4" xfId="29444"/>
    <cellStyle name="쉼표 [0] 4 4 2 18 4" xfId="7310"/>
    <cellStyle name="쉼표 [0] 4 4 2 18 4 2" xfId="19984"/>
    <cellStyle name="쉼표 [0] 4 4 2 18 4 2 2" xfId="45336"/>
    <cellStyle name="쉼표 [0] 4 4 2 18 4 3" xfId="32664"/>
    <cellStyle name="쉼표 [0] 4 4 2 18 5" xfId="13648"/>
    <cellStyle name="쉼표 [0] 4 4 2 18 5 2" xfId="39000"/>
    <cellStyle name="쉼표 [0] 4 4 2 18 6" xfId="26328"/>
    <cellStyle name="쉼표 [0] 4 4 2 19" xfId="975"/>
    <cellStyle name="쉼표 [0] 4 4 2 19 2" xfId="976"/>
    <cellStyle name="쉼표 [0] 4 4 2 19 2 2" xfId="4091"/>
    <cellStyle name="쉼표 [0] 4 4 2 19 2 2 2" xfId="10427"/>
    <cellStyle name="쉼표 [0] 4 4 2 19 2 2 2 2" xfId="23101"/>
    <cellStyle name="쉼표 [0] 4 4 2 19 2 2 2 2 2" xfId="48453"/>
    <cellStyle name="쉼표 [0] 4 4 2 19 2 2 2 3" xfId="35781"/>
    <cellStyle name="쉼표 [0] 4 4 2 19 2 2 3" xfId="16765"/>
    <cellStyle name="쉼표 [0] 4 4 2 19 2 2 3 2" xfId="42117"/>
    <cellStyle name="쉼표 [0] 4 4 2 19 2 2 4" xfId="29445"/>
    <cellStyle name="쉼표 [0] 4 4 2 19 2 3" xfId="7313"/>
    <cellStyle name="쉼표 [0] 4 4 2 19 2 3 2" xfId="19987"/>
    <cellStyle name="쉼표 [0] 4 4 2 19 2 3 2 2" xfId="45339"/>
    <cellStyle name="쉼표 [0] 4 4 2 19 2 3 3" xfId="32667"/>
    <cellStyle name="쉼표 [0] 4 4 2 19 2 4" xfId="13651"/>
    <cellStyle name="쉼표 [0] 4 4 2 19 2 4 2" xfId="39003"/>
    <cellStyle name="쉼표 [0] 4 4 2 19 2 5" xfId="26331"/>
    <cellStyle name="쉼표 [0] 4 4 2 19 3" xfId="4092"/>
    <cellStyle name="쉼표 [0] 4 4 2 19 3 2" xfId="10428"/>
    <cellStyle name="쉼표 [0] 4 4 2 19 3 2 2" xfId="23102"/>
    <cellStyle name="쉼표 [0] 4 4 2 19 3 2 2 2" xfId="48454"/>
    <cellStyle name="쉼표 [0] 4 4 2 19 3 2 3" xfId="35782"/>
    <cellStyle name="쉼표 [0] 4 4 2 19 3 3" xfId="16766"/>
    <cellStyle name="쉼표 [0] 4 4 2 19 3 3 2" xfId="42118"/>
    <cellStyle name="쉼표 [0] 4 4 2 19 3 4" xfId="29446"/>
    <cellStyle name="쉼표 [0] 4 4 2 19 4" xfId="7312"/>
    <cellStyle name="쉼표 [0] 4 4 2 19 4 2" xfId="19986"/>
    <cellStyle name="쉼표 [0] 4 4 2 19 4 2 2" xfId="45338"/>
    <cellStyle name="쉼표 [0] 4 4 2 19 4 3" xfId="32666"/>
    <cellStyle name="쉼표 [0] 4 4 2 19 5" xfId="13650"/>
    <cellStyle name="쉼표 [0] 4 4 2 19 5 2" xfId="39002"/>
    <cellStyle name="쉼표 [0] 4 4 2 19 6" xfId="26330"/>
    <cellStyle name="쉼표 [0] 4 4 2 2" xfId="977"/>
    <cellStyle name="쉼표 [0] 4 4 2 2 2" xfId="978"/>
    <cellStyle name="쉼표 [0] 4 4 2 2 2 2" xfId="4093"/>
    <cellStyle name="쉼표 [0] 4 4 2 2 2 2 2" xfId="10429"/>
    <cellStyle name="쉼표 [0] 4 4 2 2 2 2 2 2" xfId="23103"/>
    <cellStyle name="쉼표 [0] 4 4 2 2 2 2 2 2 2" xfId="48455"/>
    <cellStyle name="쉼표 [0] 4 4 2 2 2 2 2 3" xfId="35783"/>
    <cellStyle name="쉼표 [0] 4 4 2 2 2 2 3" xfId="16767"/>
    <cellStyle name="쉼표 [0] 4 4 2 2 2 2 3 2" xfId="42119"/>
    <cellStyle name="쉼표 [0] 4 4 2 2 2 2 4" xfId="29447"/>
    <cellStyle name="쉼표 [0] 4 4 2 2 2 3" xfId="7315"/>
    <cellStyle name="쉼표 [0] 4 4 2 2 2 3 2" xfId="19989"/>
    <cellStyle name="쉼표 [0] 4 4 2 2 2 3 2 2" xfId="45341"/>
    <cellStyle name="쉼표 [0] 4 4 2 2 2 3 3" xfId="32669"/>
    <cellStyle name="쉼표 [0] 4 4 2 2 2 4" xfId="13653"/>
    <cellStyle name="쉼표 [0] 4 4 2 2 2 4 2" xfId="39005"/>
    <cellStyle name="쉼표 [0] 4 4 2 2 2 5" xfId="26333"/>
    <cellStyle name="쉼표 [0] 4 4 2 2 3" xfId="4094"/>
    <cellStyle name="쉼표 [0] 4 4 2 2 3 2" xfId="10430"/>
    <cellStyle name="쉼표 [0] 4 4 2 2 3 2 2" xfId="23104"/>
    <cellStyle name="쉼표 [0] 4 4 2 2 3 2 2 2" xfId="48456"/>
    <cellStyle name="쉼표 [0] 4 4 2 2 3 2 3" xfId="35784"/>
    <cellStyle name="쉼표 [0] 4 4 2 2 3 3" xfId="16768"/>
    <cellStyle name="쉼표 [0] 4 4 2 2 3 3 2" xfId="42120"/>
    <cellStyle name="쉼표 [0] 4 4 2 2 3 4" xfId="29448"/>
    <cellStyle name="쉼표 [0] 4 4 2 2 4" xfId="7314"/>
    <cellStyle name="쉼표 [0] 4 4 2 2 4 2" xfId="19988"/>
    <cellStyle name="쉼표 [0] 4 4 2 2 4 2 2" xfId="45340"/>
    <cellStyle name="쉼표 [0] 4 4 2 2 4 3" xfId="32668"/>
    <cellStyle name="쉼표 [0] 4 4 2 2 5" xfId="13652"/>
    <cellStyle name="쉼표 [0] 4 4 2 2 5 2" xfId="39004"/>
    <cellStyle name="쉼표 [0] 4 4 2 2 6" xfId="26332"/>
    <cellStyle name="쉼표 [0] 4 4 2 20" xfId="979"/>
    <cellStyle name="쉼표 [0] 4 4 2 20 2" xfId="980"/>
    <cellStyle name="쉼표 [0] 4 4 2 20 2 2" xfId="4095"/>
    <cellStyle name="쉼표 [0] 4 4 2 20 2 2 2" xfId="10431"/>
    <cellStyle name="쉼표 [0] 4 4 2 20 2 2 2 2" xfId="23105"/>
    <cellStyle name="쉼표 [0] 4 4 2 20 2 2 2 2 2" xfId="48457"/>
    <cellStyle name="쉼표 [0] 4 4 2 20 2 2 2 3" xfId="35785"/>
    <cellStyle name="쉼표 [0] 4 4 2 20 2 2 3" xfId="16769"/>
    <cellStyle name="쉼표 [0] 4 4 2 20 2 2 3 2" xfId="42121"/>
    <cellStyle name="쉼표 [0] 4 4 2 20 2 2 4" xfId="29449"/>
    <cellStyle name="쉼표 [0] 4 4 2 20 2 3" xfId="7317"/>
    <cellStyle name="쉼표 [0] 4 4 2 20 2 3 2" xfId="19991"/>
    <cellStyle name="쉼표 [0] 4 4 2 20 2 3 2 2" xfId="45343"/>
    <cellStyle name="쉼표 [0] 4 4 2 20 2 3 3" xfId="32671"/>
    <cellStyle name="쉼표 [0] 4 4 2 20 2 4" xfId="13655"/>
    <cellStyle name="쉼표 [0] 4 4 2 20 2 4 2" xfId="39007"/>
    <cellStyle name="쉼표 [0] 4 4 2 20 2 5" xfId="26335"/>
    <cellStyle name="쉼표 [0] 4 4 2 20 3" xfId="4096"/>
    <cellStyle name="쉼표 [0] 4 4 2 20 3 2" xfId="10432"/>
    <cellStyle name="쉼표 [0] 4 4 2 20 3 2 2" xfId="23106"/>
    <cellStyle name="쉼표 [0] 4 4 2 20 3 2 2 2" xfId="48458"/>
    <cellStyle name="쉼표 [0] 4 4 2 20 3 2 3" xfId="35786"/>
    <cellStyle name="쉼표 [0] 4 4 2 20 3 3" xfId="16770"/>
    <cellStyle name="쉼표 [0] 4 4 2 20 3 3 2" xfId="42122"/>
    <cellStyle name="쉼표 [0] 4 4 2 20 3 4" xfId="29450"/>
    <cellStyle name="쉼표 [0] 4 4 2 20 4" xfId="7316"/>
    <cellStyle name="쉼표 [0] 4 4 2 20 4 2" xfId="19990"/>
    <cellStyle name="쉼표 [0] 4 4 2 20 4 2 2" xfId="45342"/>
    <cellStyle name="쉼표 [0] 4 4 2 20 4 3" xfId="32670"/>
    <cellStyle name="쉼표 [0] 4 4 2 20 5" xfId="13654"/>
    <cellStyle name="쉼표 [0] 4 4 2 20 5 2" xfId="39006"/>
    <cellStyle name="쉼표 [0] 4 4 2 20 6" xfId="26334"/>
    <cellStyle name="쉼표 [0] 4 4 2 21" xfId="981"/>
    <cellStyle name="쉼표 [0] 4 4 2 21 2" xfId="982"/>
    <cellStyle name="쉼표 [0] 4 4 2 21 2 2" xfId="4097"/>
    <cellStyle name="쉼표 [0] 4 4 2 21 2 2 2" xfId="10433"/>
    <cellStyle name="쉼표 [0] 4 4 2 21 2 2 2 2" xfId="23107"/>
    <cellStyle name="쉼표 [0] 4 4 2 21 2 2 2 2 2" xfId="48459"/>
    <cellStyle name="쉼표 [0] 4 4 2 21 2 2 2 3" xfId="35787"/>
    <cellStyle name="쉼표 [0] 4 4 2 21 2 2 3" xfId="16771"/>
    <cellStyle name="쉼표 [0] 4 4 2 21 2 2 3 2" xfId="42123"/>
    <cellStyle name="쉼표 [0] 4 4 2 21 2 2 4" xfId="29451"/>
    <cellStyle name="쉼표 [0] 4 4 2 21 2 3" xfId="7319"/>
    <cellStyle name="쉼표 [0] 4 4 2 21 2 3 2" xfId="19993"/>
    <cellStyle name="쉼표 [0] 4 4 2 21 2 3 2 2" xfId="45345"/>
    <cellStyle name="쉼표 [0] 4 4 2 21 2 3 3" xfId="32673"/>
    <cellStyle name="쉼표 [0] 4 4 2 21 2 4" xfId="13657"/>
    <cellStyle name="쉼표 [0] 4 4 2 21 2 4 2" xfId="39009"/>
    <cellStyle name="쉼표 [0] 4 4 2 21 2 5" xfId="26337"/>
    <cellStyle name="쉼표 [0] 4 4 2 21 3" xfId="4098"/>
    <cellStyle name="쉼표 [0] 4 4 2 21 3 2" xfId="10434"/>
    <cellStyle name="쉼표 [0] 4 4 2 21 3 2 2" xfId="23108"/>
    <cellStyle name="쉼표 [0] 4 4 2 21 3 2 2 2" xfId="48460"/>
    <cellStyle name="쉼표 [0] 4 4 2 21 3 2 3" xfId="35788"/>
    <cellStyle name="쉼표 [0] 4 4 2 21 3 3" xfId="16772"/>
    <cellStyle name="쉼표 [0] 4 4 2 21 3 3 2" xfId="42124"/>
    <cellStyle name="쉼표 [0] 4 4 2 21 3 4" xfId="29452"/>
    <cellStyle name="쉼표 [0] 4 4 2 21 4" xfId="7318"/>
    <cellStyle name="쉼표 [0] 4 4 2 21 4 2" xfId="19992"/>
    <cellStyle name="쉼표 [0] 4 4 2 21 4 2 2" xfId="45344"/>
    <cellStyle name="쉼표 [0] 4 4 2 21 4 3" xfId="32672"/>
    <cellStyle name="쉼표 [0] 4 4 2 21 5" xfId="13656"/>
    <cellStyle name="쉼표 [0] 4 4 2 21 5 2" xfId="39008"/>
    <cellStyle name="쉼표 [0] 4 4 2 21 6" xfId="26336"/>
    <cellStyle name="쉼표 [0] 4 4 2 22" xfId="983"/>
    <cellStyle name="쉼표 [0] 4 4 2 22 2" xfId="984"/>
    <cellStyle name="쉼표 [0] 4 4 2 22 2 2" xfId="4099"/>
    <cellStyle name="쉼표 [0] 4 4 2 22 2 2 2" xfId="10435"/>
    <cellStyle name="쉼표 [0] 4 4 2 22 2 2 2 2" xfId="23109"/>
    <cellStyle name="쉼표 [0] 4 4 2 22 2 2 2 2 2" xfId="48461"/>
    <cellStyle name="쉼표 [0] 4 4 2 22 2 2 2 3" xfId="35789"/>
    <cellStyle name="쉼표 [0] 4 4 2 22 2 2 3" xfId="16773"/>
    <cellStyle name="쉼표 [0] 4 4 2 22 2 2 3 2" xfId="42125"/>
    <cellStyle name="쉼표 [0] 4 4 2 22 2 2 4" xfId="29453"/>
    <cellStyle name="쉼표 [0] 4 4 2 22 2 3" xfId="7321"/>
    <cellStyle name="쉼표 [0] 4 4 2 22 2 3 2" xfId="19995"/>
    <cellStyle name="쉼표 [0] 4 4 2 22 2 3 2 2" xfId="45347"/>
    <cellStyle name="쉼표 [0] 4 4 2 22 2 3 3" xfId="32675"/>
    <cellStyle name="쉼표 [0] 4 4 2 22 2 4" xfId="13659"/>
    <cellStyle name="쉼표 [0] 4 4 2 22 2 4 2" xfId="39011"/>
    <cellStyle name="쉼표 [0] 4 4 2 22 2 5" xfId="26339"/>
    <cellStyle name="쉼표 [0] 4 4 2 22 3" xfId="4100"/>
    <cellStyle name="쉼표 [0] 4 4 2 22 3 2" xfId="10436"/>
    <cellStyle name="쉼표 [0] 4 4 2 22 3 2 2" xfId="23110"/>
    <cellStyle name="쉼표 [0] 4 4 2 22 3 2 2 2" xfId="48462"/>
    <cellStyle name="쉼표 [0] 4 4 2 22 3 2 3" xfId="35790"/>
    <cellStyle name="쉼표 [0] 4 4 2 22 3 3" xfId="16774"/>
    <cellStyle name="쉼표 [0] 4 4 2 22 3 3 2" xfId="42126"/>
    <cellStyle name="쉼표 [0] 4 4 2 22 3 4" xfId="29454"/>
    <cellStyle name="쉼표 [0] 4 4 2 22 4" xfId="7320"/>
    <cellStyle name="쉼표 [0] 4 4 2 22 4 2" xfId="19994"/>
    <cellStyle name="쉼표 [0] 4 4 2 22 4 2 2" xfId="45346"/>
    <cellStyle name="쉼표 [0] 4 4 2 22 4 3" xfId="32674"/>
    <cellStyle name="쉼표 [0] 4 4 2 22 5" xfId="13658"/>
    <cellStyle name="쉼표 [0] 4 4 2 22 5 2" xfId="39010"/>
    <cellStyle name="쉼표 [0] 4 4 2 22 6" xfId="26338"/>
    <cellStyle name="쉼표 [0] 4 4 2 23" xfId="985"/>
    <cellStyle name="쉼표 [0] 4 4 2 23 2" xfId="986"/>
    <cellStyle name="쉼표 [0] 4 4 2 23 2 2" xfId="4101"/>
    <cellStyle name="쉼표 [0] 4 4 2 23 2 2 2" xfId="10437"/>
    <cellStyle name="쉼표 [0] 4 4 2 23 2 2 2 2" xfId="23111"/>
    <cellStyle name="쉼표 [0] 4 4 2 23 2 2 2 2 2" xfId="48463"/>
    <cellStyle name="쉼표 [0] 4 4 2 23 2 2 2 3" xfId="35791"/>
    <cellStyle name="쉼표 [0] 4 4 2 23 2 2 3" xfId="16775"/>
    <cellStyle name="쉼표 [0] 4 4 2 23 2 2 3 2" xfId="42127"/>
    <cellStyle name="쉼표 [0] 4 4 2 23 2 2 4" xfId="29455"/>
    <cellStyle name="쉼표 [0] 4 4 2 23 2 3" xfId="7323"/>
    <cellStyle name="쉼표 [0] 4 4 2 23 2 3 2" xfId="19997"/>
    <cellStyle name="쉼표 [0] 4 4 2 23 2 3 2 2" xfId="45349"/>
    <cellStyle name="쉼표 [0] 4 4 2 23 2 3 3" xfId="32677"/>
    <cellStyle name="쉼표 [0] 4 4 2 23 2 4" xfId="13661"/>
    <cellStyle name="쉼표 [0] 4 4 2 23 2 4 2" xfId="39013"/>
    <cellStyle name="쉼표 [0] 4 4 2 23 2 5" xfId="26341"/>
    <cellStyle name="쉼표 [0] 4 4 2 23 3" xfId="4102"/>
    <cellStyle name="쉼표 [0] 4 4 2 23 3 2" xfId="10438"/>
    <cellStyle name="쉼표 [0] 4 4 2 23 3 2 2" xfId="23112"/>
    <cellStyle name="쉼표 [0] 4 4 2 23 3 2 2 2" xfId="48464"/>
    <cellStyle name="쉼표 [0] 4 4 2 23 3 2 3" xfId="35792"/>
    <cellStyle name="쉼표 [0] 4 4 2 23 3 3" xfId="16776"/>
    <cellStyle name="쉼표 [0] 4 4 2 23 3 3 2" xfId="42128"/>
    <cellStyle name="쉼표 [0] 4 4 2 23 3 4" xfId="29456"/>
    <cellStyle name="쉼표 [0] 4 4 2 23 4" xfId="7322"/>
    <cellStyle name="쉼표 [0] 4 4 2 23 4 2" xfId="19996"/>
    <cellStyle name="쉼표 [0] 4 4 2 23 4 2 2" xfId="45348"/>
    <cellStyle name="쉼표 [0] 4 4 2 23 4 3" xfId="32676"/>
    <cellStyle name="쉼표 [0] 4 4 2 23 5" xfId="13660"/>
    <cellStyle name="쉼표 [0] 4 4 2 23 5 2" xfId="39012"/>
    <cellStyle name="쉼표 [0] 4 4 2 23 6" xfId="26340"/>
    <cellStyle name="쉼표 [0] 4 4 2 24" xfId="987"/>
    <cellStyle name="쉼표 [0] 4 4 2 24 2" xfId="988"/>
    <cellStyle name="쉼표 [0] 4 4 2 24 2 2" xfId="4103"/>
    <cellStyle name="쉼표 [0] 4 4 2 24 2 2 2" xfId="10439"/>
    <cellStyle name="쉼표 [0] 4 4 2 24 2 2 2 2" xfId="23113"/>
    <cellStyle name="쉼표 [0] 4 4 2 24 2 2 2 2 2" xfId="48465"/>
    <cellStyle name="쉼표 [0] 4 4 2 24 2 2 2 3" xfId="35793"/>
    <cellStyle name="쉼표 [0] 4 4 2 24 2 2 3" xfId="16777"/>
    <cellStyle name="쉼표 [0] 4 4 2 24 2 2 3 2" xfId="42129"/>
    <cellStyle name="쉼표 [0] 4 4 2 24 2 2 4" xfId="29457"/>
    <cellStyle name="쉼표 [0] 4 4 2 24 2 3" xfId="7325"/>
    <cellStyle name="쉼표 [0] 4 4 2 24 2 3 2" xfId="19999"/>
    <cellStyle name="쉼표 [0] 4 4 2 24 2 3 2 2" xfId="45351"/>
    <cellStyle name="쉼표 [0] 4 4 2 24 2 3 3" xfId="32679"/>
    <cellStyle name="쉼표 [0] 4 4 2 24 2 4" xfId="13663"/>
    <cellStyle name="쉼표 [0] 4 4 2 24 2 4 2" xfId="39015"/>
    <cellStyle name="쉼표 [0] 4 4 2 24 2 5" xfId="26343"/>
    <cellStyle name="쉼표 [0] 4 4 2 24 3" xfId="4104"/>
    <cellStyle name="쉼표 [0] 4 4 2 24 3 2" xfId="10440"/>
    <cellStyle name="쉼표 [0] 4 4 2 24 3 2 2" xfId="23114"/>
    <cellStyle name="쉼표 [0] 4 4 2 24 3 2 2 2" xfId="48466"/>
    <cellStyle name="쉼표 [0] 4 4 2 24 3 2 3" xfId="35794"/>
    <cellStyle name="쉼표 [0] 4 4 2 24 3 3" xfId="16778"/>
    <cellStyle name="쉼표 [0] 4 4 2 24 3 3 2" xfId="42130"/>
    <cellStyle name="쉼표 [0] 4 4 2 24 3 4" xfId="29458"/>
    <cellStyle name="쉼표 [0] 4 4 2 24 4" xfId="7324"/>
    <cellStyle name="쉼표 [0] 4 4 2 24 4 2" xfId="19998"/>
    <cellStyle name="쉼표 [0] 4 4 2 24 4 2 2" xfId="45350"/>
    <cellStyle name="쉼표 [0] 4 4 2 24 4 3" xfId="32678"/>
    <cellStyle name="쉼표 [0] 4 4 2 24 5" xfId="13662"/>
    <cellStyle name="쉼표 [0] 4 4 2 24 5 2" xfId="39014"/>
    <cellStyle name="쉼표 [0] 4 4 2 24 6" xfId="26342"/>
    <cellStyle name="쉼표 [0] 4 4 2 25" xfId="989"/>
    <cellStyle name="쉼표 [0] 4 4 2 25 2" xfId="990"/>
    <cellStyle name="쉼표 [0] 4 4 2 25 2 2" xfId="4105"/>
    <cellStyle name="쉼표 [0] 4 4 2 25 2 2 2" xfId="10441"/>
    <cellStyle name="쉼표 [0] 4 4 2 25 2 2 2 2" xfId="23115"/>
    <cellStyle name="쉼표 [0] 4 4 2 25 2 2 2 2 2" xfId="48467"/>
    <cellStyle name="쉼표 [0] 4 4 2 25 2 2 2 3" xfId="35795"/>
    <cellStyle name="쉼표 [0] 4 4 2 25 2 2 3" xfId="16779"/>
    <cellStyle name="쉼표 [0] 4 4 2 25 2 2 3 2" xfId="42131"/>
    <cellStyle name="쉼표 [0] 4 4 2 25 2 2 4" xfId="29459"/>
    <cellStyle name="쉼표 [0] 4 4 2 25 2 3" xfId="7327"/>
    <cellStyle name="쉼표 [0] 4 4 2 25 2 3 2" xfId="20001"/>
    <cellStyle name="쉼표 [0] 4 4 2 25 2 3 2 2" xfId="45353"/>
    <cellStyle name="쉼표 [0] 4 4 2 25 2 3 3" xfId="32681"/>
    <cellStyle name="쉼표 [0] 4 4 2 25 2 4" xfId="13665"/>
    <cellStyle name="쉼표 [0] 4 4 2 25 2 4 2" xfId="39017"/>
    <cellStyle name="쉼표 [0] 4 4 2 25 2 5" xfId="26345"/>
    <cellStyle name="쉼표 [0] 4 4 2 25 3" xfId="4106"/>
    <cellStyle name="쉼표 [0] 4 4 2 25 3 2" xfId="10442"/>
    <cellStyle name="쉼표 [0] 4 4 2 25 3 2 2" xfId="23116"/>
    <cellStyle name="쉼표 [0] 4 4 2 25 3 2 2 2" xfId="48468"/>
    <cellStyle name="쉼표 [0] 4 4 2 25 3 2 3" xfId="35796"/>
    <cellStyle name="쉼표 [0] 4 4 2 25 3 3" xfId="16780"/>
    <cellStyle name="쉼표 [0] 4 4 2 25 3 3 2" xfId="42132"/>
    <cellStyle name="쉼표 [0] 4 4 2 25 3 4" xfId="29460"/>
    <cellStyle name="쉼표 [0] 4 4 2 25 4" xfId="7326"/>
    <cellStyle name="쉼표 [0] 4 4 2 25 4 2" xfId="20000"/>
    <cellStyle name="쉼표 [0] 4 4 2 25 4 2 2" xfId="45352"/>
    <cellStyle name="쉼표 [0] 4 4 2 25 4 3" xfId="32680"/>
    <cellStyle name="쉼표 [0] 4 4 2 25 5" xfId="13664"/>
    <cellStyle name="쉼표 [0] 4 4 2 25 5 2" xfId="39016"/>
    <cellStyle name="쉼표 [0] 4 4 2 25 6" xfId="26344"/>
    <cellStyle name="쉼표 [0] 4 4 2 26" xfId="991"/>
    <cellStyle name="쉼표 [0] 4 4 2 26 2" xfId="992"/>
    <cellStyle name="쉼표 [0] 4 4 2 26 2 2" xfId="4107"/>
    <cellStyle name="쉼표 [0] 4 4 2 26 2 2 2" xfId="10443"/>
    <cellStyle name="쉼표 [0] 4 4 2 26 2 2 2 2" xfId="23117"/>
    <cellStyle name="쉼표 [0] 4 4 2 26 2 2 2 2 2" xfId="48469"/>
    <cellStyle name="쉼표 [0] 4 4 2 26 2 2 2 3" xfId="35797"/>
    <cellStyle name="쉼표 [0] 4 4 2 26 2 2 3" xfId="16781"/>
    <cellStyle name="쉼표 [0] 4 4 2 26 2 2 3 2" xfId="42133"/>
    <cellStyle name="쉼표 [0] 4 4 2 26 2 2 4" xfId="29461"/>
    <cellStyle name="쉼표 [0] 4 4 2 26 2 3" xfId="7329"/>
    <cellStyle name="쉼표 [0] 4 4 2 26 2 3 2" xfId="20003"/>
    <cellStyle name="쉼표 [0] 4 4 2 26 2 3 2 2" xfId="45355"/>
    <cellStyle name="쉼표 [0] 4 4 2 26 2 3 3" xfId="32683"/>
    <cellStyle name="쉼표 [0] 4 4 2 26 2 4" xfId="13667"/>
    <cellStyle name="쉼표 [0] 4 4 2 26 2 4 2" xfId="39019"/>
    <cellStyle name="쉼표 [0] 4 4 2 26 2 5" xfId="26347"/>
    <cellStyle name="쉼표 [0] 4 4 2 26 3" xfId="4108"/>
    <cellStyle name="쉼표 [0] 4 4 2 26 3 2" xfId="10444"/>
    <cellStyle name="쉼표 [0] 4 4 2 26 3 2 2" xfId="23118"/>
    <cellStyle name="쉼표 [0] 4 4 2 26 3 2 2 2" xfId="48470"/>
    <cellStyle name="쉼표 [0] 4 4 2 26 3 2 3" xfId="35798"/>
    <cellStyle name="쉼표 [0] 4 4 2 26 3 3" xfId="16782"/>
    <cellStyle name="쉼표 [0] 4 4 2 26 3 3 2" xfId="42134"/>
    <cellStyle name="쉼표 [0] 4 4 2 26 3 4" xfId="29462"/>
    <cellStyle name="쉼표 [0] 4 4 2 26 4" xfId="7328"/>
    <cellStyle name="쉼표 [0] 4 4 2 26 4 2" xfId="20002"/>
    <cellStyle name="쉼표 [0] 4 4 2 26 4 2 2" xfId="45354"/>
    <cellStyle name="쉼표 [0] 4 4 2 26 4 3" xfId="32682"/>
    <cellStyle name="쉼표 [0] 4 4 2 26 5" xfId="13666"/>
    <cellStyle name="쉼표 [0] 4 4 2 26 5 2" xfId="39018"/>
    <cellStyle name="쉼표 [0] 4 4 2 26 6" xfId="26346"/>
    <cellStyle name="쉼표 [0] 4 4 2 27" xfId="993"/>
    <cellStyle name="쉼표 [0] 4 4 2 27 2" xfId="994"/>
    <cellStyle name="쉼표 [0] 4 4 2 27 2 2" xfId="4109"/>
    <cellStyle name="쉼표 [0] 4 4 2 27 2 2 2" xfId="10445"/>
    <cellStyle name="쉼표 [0] 4 4 2 27 2 2 2 2" xfId="23119"/>
    <cellStyle name="쉼표 [0] 4 4 2 27 2 2 2 2 2" xfId="48471"/>
    <cellStyle name="쉼표 [0] 4 4 2 27 2 2 2 3" xfId="35799"/>
    <cellStyle name="쉼표 [0] 4 4 2 27 2 2 3" xfId="16783"/>
    <cellStyle name="쉼표 [0] 4 4 2 27 2 2 3 2" xfId="42135"/>
    <cellStyle name="쉼표 [0] 4 4 2 27 2 2 4" xfId="29463"/>
    <cellStyle name="쉼표 [0] 4 4 2 27 2 3" xfId="7331"/>
    <cellStyle name="쉼표 [0] 4 4 2 27 2 3 2" xfId="20005"/>
    <cellStyle name="쉼표 [0] 4 4 2 27 2 3 2 2" xfId="45357"/>
    <cellStyle name="쉼표 [0] 4 4 2 27 2 3 3" xfId="32685"/>
    <cellStyle name="쉼표 [0] 4 4 2 27 2 4" xfId="13669"/>
    <cellStyle name="쉼표 [0] 4 4 2 27 2 4 2" xfId="39021"/>
    <cellStyle name="쉼표 [0] 4 4 2 27 2 5" xfId="26349"/>
    <cellStyle name="쉼표 [0] 4 4 2 27 3" xfId="4110"/>
    <cellStyle name="쉼표 [0] 4 4 2 27 3 2" xfId="10446"/>
    <cellStyle name="쉼표 [0] 4 4 2 27 3 2 2" xfId="23120"/>
    <cellStyle name="쉼표 [0] 4 4 2 27 3 2 2 2" xfId="48472"/>
    <cellStyle name="쉼표 [0] 4 4 2 27 3 2 3" xfId="35800"/>
    <cellStyle name="쉼표 [0] 4 4 2 27 3 3" xfId="16784"/>
    <cellStyle name="쉼표 [0] 4 4 2 27 3 3 2" xfId="42136"/>
    <cellStyle name="쉼표 [0] 4 4 2 27 3 4" xfId="29464"/>
    <cellStyle name="쉼표 [0] 4 4 2 27 4" xfId="7330"/>
    <cellStyle name="쉼표 [0] 4 4 2 27 4 2" xfId="20004"/>
    <cellStyle name="쉼표 [0] 4 4 2 27 4 2 2" xfId="45356"/>
    <cellStyle name="쉼표 [0] 4 4 2 27 4 3" xfId="32684"/>
    <cellStyle name="쉼표 [0] 4 4 2 27 5" xfId="13668"/>
    <cellStyle name="쉼표 [0] 4 4 2 27 5 2" xfId="39020"/>
    <cellStyle name="쉼표 [0] 4 4 2 27 6" xfId="26348"/>
    <cellStyle name="쉼표 [0] 4 4 2 28" xfId="995"/>
    <cellStyle name="쉼표 [0] 4 4 2 28 2" xfId="996"/>
    <cellStyle name="쉼표 [0] 4 4 2 28 2 2" xfId="4111"/>
    <cellStyle name="쉼표 [0] 4 4 2 28 2 2 2" xfId="10447"/>
    <cellStyle name="쉼표 [0] 4 4 2 28 2 2 2 2" xfId="23121"/>
    <cellStyle name="쉼표 [0] 4 4 2 28 2 2 2 2 2" xfId="48473"/>
    <cellStyle name="쉼표 [0] 4 4 2 28 2 2 2 3" xfId="35801"/>
    <cellStyle name="쉼표 [0] 4 4 2 28 2 2 3" xfId="16785"/>
    <cellStyle name="쉼표 [0] 4 4 2 28 2 2 3 2" xfId="42137"/>
    <cellStyle name="쉼표 [0] 4 4 2 28 2 2 4" xfId="29465"/>
    <cellStyle name="쉼표 [0] 4 4 2 28 2 3" xfId="7333"/>
    <cellStyle name="쉼표 [0] 4 4 2 28 2 3 2" xfId="20007"/>
    <cellStyle name="쉼표 [0] 4 4 2 28 2 3 2 2" xfId="45359"/>
    <cellStyle name="쉼표 [0] 4 4 2 28 2 3 3" xfId="32687"/>
    <cellStyle name="쉼표 [0] 4 4 2 28 2 4" xfId="13671"/>
    <cellStyle name="쉼표 [0] 4 4 2 28 2 4 2" xfId="39023"/>
    <cellStyle name="쉼표 [0] 4 4 2 28 2 5" xfId="26351"/>
    <cellStyle name="쉼표 [0] 4 4 2 28 3" xfId="4112"/>
    <cellStyle name="쉼표 [0] 4 4 2 28 3 2" xfId="10448"/>
    <cellStyle name="쉼표 [0] 4 4 2 28 3 2 2" xfId="23122"/>
    <cellStyle name="쉼표 [0] 4 4 2 28 3 2 2 2" xfId="48474"/>
    <cellStyle name="쉼표 [0] 4 4 2 28 3 2 3" xfId="35802"/>
    <cellStyle name="쉼표 [0] 4 4 2 28 3 3" xfId="16786"/>
    <cellStyle name="쉼표 [0] 4 4 2 28 3 3 2" xfId="42138"/>
    <cellStyle name="쉼표 [0] 4 4 2 28 3 4" xfId="29466"/>
    <cellStyle name="쉼표 [0] 4 4 2 28 4" xfId="7332"/>
    <cellStyle name="쉼표 [0] 4 4 2 28 4 2" xfId="20006"/>
    <cellStyle name="쉼표 [0] 4 4 2 28 4 2 2" xfId="45358"/>
    <cellStyle name="쉼표 [0] 4 4 2 28 4 3" xfId="32686"/>
    <cellStyle name="쉼표 [0] 4 4 2 28 5" xfId="13670"/>
    <cellStyle name="쉼표 [0] 4 4 2 28 5 2" xfId="39022"/>
    <cellStyle name="쉼표 [0] 4 4 2 28 6" xfId="26350"/>
    <cellStyle name="쉼표 [0] 4 4 2 29" xfId="997"/>
    <cellStyle name="쉼표 [0] 4 4 2 29 2" xfId="998"/>
    <cellStyle name="쉼표 [0] 4 4 2 29 2 2" xfId="4113"/>
    <cellStyle name="쉼표 [0] 4 4 2 29 2 2 2" xfId="10449"/>
    <cellStyle name="쉼표 [0] 4 4 2 29 2 2 2 2" xfId="23123"/>
    <cellStyle name="쉼표 [0] 4 4 2 29 2 2 2 2 2" xfId="48475"/>
    <cellStyle name="쉼표 [0] 4 4 2 29 2 2 2 3" xfId="35803"/>
    <cellStyle name="쉼표 [0] 4 4 2 29 2 2 3" xfId="16787"/>
    <cellStyle name="쉼표 [0] 4 4 2 29 2 2 3 2" xfId="42139"/>
    <cellStyle name="쉼표 [0] 4 4 2 29 2 2 4" xfId="29467"/>
    <cellStyle name="쉼표 [0] 4 4 2 29 2 3" xfId="7335"/>
    <cellStyle name="쉼표 [0] 4 4 2 29 2 3 2" xfId="20009"/>
    <cellStyle name="쉼표 [0] 4 4 2 29 2 3 2 2" xfId="45361"/>
    <cellStyle name="쉼표 [0] 4 4 2 29 2 3 3" xfId="32689"/>
    <cellStyle name="쉼표 [0] 4 4 2 29 2 4" xfId="13673"/>
    <cellStyle name="쉼표 [0] 4 4 2 29 2 4 2" xfId="39025"/>
    <cellStyle name="쉼표 [0] 4 4 2 29 2 5" xfId="26353"/>
    <cellStyle name="쉼표 [0] 4 4 2 29 3" xfId="4114"/>
    <cellStyle name="쉼표 [0] 4 4 2 29 3 2" xfId="10450"/>
    <cellStyle name="쉼표 [0] 4 4 2 29 3 2 2" xfId="23124"/>
    <cellStyle name="쉼표 [0] 4 4 2 29 3 2 2 2" xfId="48476"/>
    <cellStyle name="쉼표 [0] 4 4 2 29 3 2 3" xfId="35804"/>
    <cellStyle name="쉼표 [0] 4 4 2 29 3 3" xfId="16788"/>
    <cellStyle name="쉼표 [0] 4 4 2 29 3 3 2" xfId="42140"/>
    <cellStyle name="쉼표 [0] 4 4 2 29 3 4" xfId="29468"/>
    <cellStyle name="쉼표 [0] 4 4 2 29 4" xfId="7334"/>
    <cellStyle name="쉼표 [0] 4 4 2 29 4 2" xfId="20008"/>
    <cellStyle name="쉼표 [0] 4 4 2 29 4 2 2" xfId="45360"/>
    <cellStyle name="쉼표 [0] 4 4 2 29 4 3" xfId="32688"/>
    <cellStyle name="쉼표 [0] 4 4 2 29 5" xfId="13672"/>
    <cellStyle name="쉼표 [0] 4 4 2 29 5 2" xfId="39024"/>
    <cellStyle name="쉼표 [0] 4 4 2 29 6" xfId="26352"/>
    <cellStyle name="쉼표 [0] 4 4 2 3" xfId="999"/>
    <cellStyle name="쉼표 [0] 4 4 2 3 2" xfId="1000"/>
    <cellStyle name="쉼표 [0] 4 4 2 3 2 2" xfId="4115"/>
    <cellStyle name="쉼표 [0] 4 4 2 3 2 2 2" xfId="10451"/>
    <cellStyle name="쉼표 [0] 4 4 2 3 2 2 2 2" xfId="23125"/>
    <cellStyle name="쉼표 [0] 4 4 2 3 2 2 2 2 2" xfId="48477"/>
    <cellStyle name="쉼표 [0] 4 4 2 3 2 2 2 3" xfId="35805"/>
    <cellStyle name="쉼표 [0] 4 4 2 3 2 2 3" xfId="16789"/>
    <cellStyle name="쉼표 [0] 4 4 2 3 2 2 3 2" xfId="42141"/>
    <cellStyle name="쉼표 [0] 4 4 2 3 2 2 4" xfId="29469"/>
    <cellStyle name="쉼표 [0] 4 4 2 3 2 3" xfId="7337"/>
    <cellStyle name="쉼표 [0] 4 4 2 3 2 3 2" xfId="20011"/>
    <cellStyle name="쉼표 [0] 4 4 2 3 2 3 2 2" xfId="45363"/>
    <cellStyle name="쉼표 [0] 4 4 2 3 2 3 3" xfId="32691"/>
    <cellStyle name="쉼표 [0] 4 4 2 3 2 4" xfId="13675"/>
    <cellStyle name="쉼표 [0] 4 4 2 3 2 4 2" xfId="39027"/>
    <cellStyle name="쉼표 [0] 4 4 2 3 2 5" xfId="26355"/>
    <cellStyle name="쉼표 [0] 4 4 2 3 3" xfId="4116"/>
    <cellStyle name="쉼표 [0] 4 4 2 3 3 2" xfId="10452"/>
    <cellStyle name="쉼표 [0] 4 4 2 3 3 2 2" xfId="23126"/>
    <cellStyle name="쉼표 [0] 4 4 2 3 3 2 2 2" xfId="48478"/>
    <cellStyle name="쉼표 [0] 4 4 2 3 3 2 3" xfId="35806"/>
    <cellStyle name="쉼표 [0] 4 4 2 3 3 3" xfId="16790"/>
    <cellStyle name="쉼표 [0] 4 4 2 3 3 3 2" xfId="42142"/>
    <cellStyle name="쉼표 [0] 4 4 2 3 3 4" xfId="29470"/>
    <cellStyle name="쉼표 [0] 4 4 2 3 4" xfId="7336"/>
    <cellStyle name="쉼표 [0] 4 4 2 3 4 2" xfId="20010"/>
    <cellStyle name="쉼표 [0] 4 4 2 3 4 2 2" xfId="45362"/>
    <cellStyle name="쉼표 [0] 4 4 2 3 4 3" xfId="32690"/>
    <cellStyle name="쉼표 [0] 4 4 2 3 5" xfId="13674"/>
    <cellStyle name="쉼표 [0] 4 4 2 3 5 2" xfId="39026"/>
    <cellStyle name="쉼표 [0] 4 4 2 3 6" xfId="26354"/>
    <cellStyle name="쉼표 [0] 4 4 2 30" xfId="1001"/>
    <cellStyle name="쉼표 [0] 4 4 2 30 2" xfId="1002"/>
    <cellStyle name="쉼표 [0] 4 4 2 30 2 2" xfId="4117"/>
    <cellStyle name="쉼표 [0] 4 4 2 30 2 2 2" xfId="10453"/>
    <cellStyle name="쉼표 [0] 4 4 2 30 2 2 2 2" xfId="23127"/>
    <cellStyle name="쉼표 [0] 4 4 2 30 2 2 2 2 2" xfId="48479"/>
    <cellStyle name="쉼표 [0] 4 4 2 30 2 2 2 3" xfId="35807"/>
    <cellStyle name="쉼표 [0] 4 4 2 30 2 2 3" xfId="16791"/>
    <cellStyle name="쉼표 [0] 4 4 2 30 2 2 3 2" xfId="42143"/>
    <cellStyle name="쉼표 [0] 4 4 2 30 2 2 4" xfId="29471"/>
    <cellStyle name="쉼표 [0] 4 4 2 30 2 3" xfId="7339"/>
    <cellStyle name="쉼표 [0] 4 4 2 30 2 3 2" xfId="20013"/>
    <cellStyle name="쉼표 [0] 4 4 2 30 2 3 2 2" xfId="45365"/>
    <cellStyle name="쉼표 [0] 4 4 2 30 2 3 3" xfId="32693"/>
    <cellStyle name="쉼표 [0] 4 4 2 30 2 4" xfId="13677"/>
    <cellStyle name="쉼표 [0] 4 4 2 30 2 4 2" xfId="39029"/>
    <cellStyle name="쉼표 [0] 4 4 2 30 2 5" xfId="26357"/>
    <cellStyle name="쉼표 [0] 4 4 2 30 3" xfId="4118"/>
    <cellStyle name="쉼표 [0] 4 4 2 30 3 2" xfId="10454"/>
    <cellStyle name="쉼표 [0] 4 4 2 30 3 2 2" xfId="23128"/>
    <cellStyle name="쉼표 [0] 4 4 2 30 3 2 2 2" xfId="48480"/>
    <cellStyle name="쉼표 [0] 4 4 2 30 3 2 3" xfId="35808"/>
    <cellStyle name="쉼표 [0] 4 4 2 30 3 3" xfId="16792"/>
    <cellStyle name="쉼표 [0] 4 4 2 30 3 3 2" xfId="42144"/>
    <cellStyle name="쉼표 [0] 4 4 2 30 3 4" xfId="29472"/>
    <cellStyle name="쉼표 [0] 4 4 2 30 4" xfId="7338"/>
    <cellStyle name="쉼표 [0] 4 4 2 30 4 2" xfId="20012"/>
    <cellStyle name="쉼표 [0] 4 4 2 30 4 2 2" xfId="45364"/>
    <cellStyle name="쉼표 [0] 4 4 2 30 4 3" xfId="32692"/>
    <cellStyle name="쉼표 [0] 4 4 2 30 5" xfId="13676"/>
    <cellStyle name="쉼표 [0] 4 4 2 30 5 2" xfId="39028"/>
    <cellStyle name="쉼표 [0] 4 4 2 30 6" xfId="26356"/>
    <cellStyle name="쉼표 [0] 4 4 2 31" xfId="1003"/>
    <cellStyle name="쉼표 [0] 4 4 2 31 2" xfId="1004"/>
    <cellStyle name="쉼표 [0] 4 4 2 31 2 2" xfId="4119"/>
    <cellStyle name="쉼표 [0] 4 4 2 31 2 2 2" xfId="10455"/>
    <cellStyle name="쉼표 [0] 4 4 2 31 2 2 2 2" xfId="23129"/>
    <cellStyle name="쉼표 [0] 4 4 2 31 2 2 2 2 2" xfId="48481"/>
    <cellStyle name="쉼표 [0] 4 4 2 31 2 2 2 3" xfId="35809"/>
    <cellStyle name="쉼표 [0] 4 4 2 31 2 2 3" xfId="16793"/>
    <cellStyle name="쉼표 [0] 4 4 2 31 2 2 3 2" xfId="42145"/>
    <cellStyle name="쉼표 [0] 4 4 2 31 2 2 4" xfId="29473"/>
    <cellStyle name="쉼표 [0] 4 4 2 31 2 3" xfId="7341"/>
    <cellStyle name="쉼표 [0] 4 4 2 31 2 3 2" xfId="20015"/>
    <cellStyle name="쉼표 [0] 4 4 2 31 2 3 2 2" xfId="45367"/>
    <cellStyle name="쉼표 [0] 4 4 2 31 2 3 3" xfId="32695"/>
    <cellStyle name="쉼표 [0] 4 4 2 31 2 4" xfId="13679"/>
    <cellStyle name="쉼표 [0] 4 4 2 31 2 4 2" xfId="39031"/>
    <cellStyle name="쉼표 [0] 4 4 2 31 2 5" xfId="26359"/>
    <cellStyle name="쉼표 [0] 4 4 2 31 3" xfId="4120"/>
    <cellStyle name="쉼표 [0] 4 4 2 31 3 2" xfId="10456"/>
    <cellStyle name="쉼표 [0] 4 4 2 31 3 2 2" xfId="23130"/>
    <cellStyle name="쉼표 [0] 4 4 2 31 3 2 2 2" xfId="48482"/>
    <cellStyle name="쉼표 [0] 4 4 2 31 3 2 3" xfId="35810"/>
    <cellStyle name="쉼표 [0] 4 4 2 31 3 3" xfId="16794"/>
    <cellStyle name="쉼표 [0] 4 4 2 31 3 3 2" xfId="42146"/>
    <cellStyle name="쉼표 [0] 4 4 2 31 3 4" xfId="29474"/>
    <cellStyle name="쉼표 [0] 4 4 2 31 4" xfId="7340"/>
    <cellStyle name="쉼표 [0] 4 4 2 31 4 2" xfId="20014"/>
    <cellStyle name="쉼표 [0] 4 4 2 31 4 2 2" xfId="45366"/>
    <cellStyle name="쉼표 [0] 4 4 2 31 4 3" xfId="32694"/>
    <cellStyle name="쉼표 [0] 4 4 2 31 5" xfId="13678"/>
    <cellStyle name="쉼표 [0] 4 4 2 31 5 2" xfId="39030"/>
    <cellStyle name="쉼표 [0] 4 4 2 31 6" xfId="26358"/>
    <cellStyle name="쉼표 [0] 4 4 2 32" xfId="1005"/>
    <cellStyle name="쉼표 [0] 4 4 2 32 2" xfId="1006"/>
    <cellStyle name="쉼표 [0] 4 4 2 32 2 2" xfId="4121"/>
    <cellStyle name="쉼표 [0] 4 4 2 32 2 2 2" xfId="10457"/>
    <cellStyle name="쉼표 [0] 4 4 2 32 2 2 2 2" xfId="23131"/>
    <cellStyle name="쉼표 [0] 4 4 2 32 2 2 2 2 2" xfId="48483"/>
    <cellStyle name="쉼표 [0] 4 4 2 32 2 2 2 3" xfId="35811"/>
    <cellStyle name="쉼표 [0] 4 4 2 32 2 2 3" xfId="16795"/>
    <cellStyle name="쉼표 [0] 4 4 2 32 2 2 3 2" xfId="42147"/>
    <cellStyle name="쉼표 [0] 4 4 2 32 2 2 4" xfId="29475"/>
    <cellStyle name="쉼표 [0] 4 4 2 32 2 3" xfId="7343"/>
    <cellStyle name="쉼표 [0] 4 4 2 32 2 3 2" xfId="20017"/>
    <cellStyle name="쉼표 [0] 4 4 2 32 2 3 2 2" xfId="45369"/>
    <cellStyle name="쉼표 [0] 4 4 2 32 2 3 3" xfId="32697"/>
    <cellStyle name="쉼표 [0] 4 4 2 32 2 4" xfId="13681"/>
    <cellStyle name="쉼표 [0] 4 4 2 32 2 4 2" xfId="39033"/>
    <cellStyle name="쉼표 [0] 4 4 2 32 2 5" xfId="26361"/>
    <cellStyle name="쉼표 [0] 4 4 2 32 3" xfId="4122"/>
    <cellStyle name="쉼표 [0] 4 4 2 32 3 2" xfId="10458"/>
    <cellStyle name="쉼표 [0] 4 4 2 32 3 2 2" xfId="23132"/>
    <cellStyle name="쉼표 [0] 4 4 2 32 3 2 2 2" xfId="48484"/>
    <cellStyle name="쉼표 [0] 4 4 2 32 3 2 3" xfId="35812"/>
    <cellStyle name="쉼표 [0] 4 4 2 32 3 3" xfId="16796"/>
    <cellStyle name="쉼표 [0] 4 4 2 32 3 3 2" xfId="42148"/>
    <cellStyle name="쉼표 [0] 4 4 2 32 3 4" xfId="29476"/>
    <cellStyle name="쉼표 [0] 4 4 2 32 4" xfId="7342"/>
    <cellStyle name="쉼표 [0] 4 4 2 32 4 2" xfId="20016"/>
    <cellStyle name="쉼표 [0] 4 4 2 32 4 2 2" xfId="45368"/>
    <cellStyle name="쉼표 [0] 4 4 2 32 4 3" xfId="32696"/>
    <cellStyle name="쉼표 [0] 4 4 2 32 5" xfId="13680"/>
    <cellStyle name="쉼표 [0] 4 4 2 32 5 2" xfId="39032"/>
    <cellStyle name="쉼표 [0] 4 4 2 32 6" xfId="26360"/>
    <cellStyle name="쉼표 [0] 4 4 2 33" xfId="1007"/>
    <cellStyle name="쉼표 [0] 4 4 2 33 2" xfId="1008"/>
    <cellStyle name="쉼표 [0] 4 4 2 33 2 2" xfId="4123"/>
    <cellStyle name="쉼표 [0] 4 4 2 33 2 2 2" xfId="10459"/>
    <cellStyle name="쉼표 [0] 4 4 2 33 2 2 2 2" xfId="23133"/>
    <cellStyle name="쉼표 [0] 4 4 2 33 2 2 2 2 2" xfId="48485"/>
    <cellStyle name="쉼표 [0] 4 4 2 33 2 2 2 3" xfId="35813"/>
    <cellStyle name="쉼표 [0] 4 4 2 33 2 2 3" xfId="16797"/>
    <cellStyle name="쉼표 [0] 4 4 2 33 2 2 3 2" xfId="42149"/>
    <cellStyle name="쉼표 [0] 4 4 2 33 2 2 4" xfId="29477"/>
    <cellStyle name="쉼표 [0] 4 4 2 33 2 3" xfId="7345"/>
    <cellStyle name="쉼표 [0] 4 4 2 33 2 3 2" xfId="20019"/>
    <cellStyle name="쉼표 [0] 4 4 2 33 2 3 2 2" xfId="45371"/>
    <cellStyle name="쉼표 [0] 4 4 2 33 2 3 3" xfId="32699"/>
    <cellStyle name="쉼표 [0] 4 4 2 33 2 4" xfId="13683"/>
    <cellStyle name="쉼표 [0] 4 4 2 33 2 4 2" xfId="39035"/>
    <cellStyle name="쉼표 [0] 4 4 2 33 2 5" xfId="26363"/>
    <cellStyle name="쉼표 [0] 4 4 2 33 3" xfId="4124"/>
    <cellStyle name="쉼표 [0] 4 4 2 33 3 2" xfId="10460"/>
    <cellStyle name="쉼표 [0] 4 4 2 33 3 2 2" xfId="23134"/>
    <cellStyle name="쉼표 [0] 4 4 2 33 3 2 2 2" xfId="48486"/>
    <cellStyle name="쉼표 [0] 4 4 2 33 3 2 3" xfId="35814"/>
    <cellStyle name="쉼표 [0] 4 4 2 33 3 3" xfId="16798"/>
    <cellStyle name="쉼표 [0] 4 4 2 33 3 3 2" xfId="42150"/>
    <cellStyle name="쉼표 [0] 4 4 2 33 3 4" xfId="29478"/>
    <cellStyle name="쉼표 [0] 4 4 2 33 4" xfId="7344"/>
    <cellStyle name="쉼표 [0] 4 4 2 33 4 2" xfId="20018"/>
    <cellStyle name="쉼표 [0] 4 4 2 33 4 2 2" xfId="45370"/>
    <cellStyle name="쉼표 [0] 4 4 2 33 4 3" xfId="32698"/>
    <cellStyle name="쉼표 [0] 4 4 2 33 5" xfId="13682"/>
    <cellStyle name="쉼표 [0] 4 4 2 33 5 2" xfId="39034"/>
    <cellStyle name="쉼표 [0] 4 4 2 33 6" xfId="26362"/>
    <cellStyle name="쉼표 [0] 4 4 2 34" xfId="1009"/>
    <cellStyle name="쉼표 [0] 4 4 2 34 2" xfId="4125"/>
    <cellStyle name="쉼표 [0] 4 4 2 34 2 2" xfId="10461"/>
    <cellStyle name="쉼표 [0] 4 4 2 34 2 2 2" xfId="23135"/>
    <cellStyle name="쉼표 [0] 4 4 2 34 2 2 2 2" xfId="48487"/>
    <cellStyle name="쉼표 [0] 4 4 2 34 2 2 3" xfId="35815"/>
    <cellStyle name="쉼표 [0] 4 4 2 34 2 3" xfId="16799"/>
    <cellStyle name="쉼표 [0] 4 4 2 34 2 3 2" xfId="42151"/>
    <cellStyle name="쉼표 [0] 4 4 2 34 2 4" xfId="29479"/>
    <cellStyle name="쉼표 [0] 4 4 2 34 3" xfId="7346"/>
    <cellStyle name="쉼표 [0] 4 4 2 34 3 2" xfId="20020"/>
    <cellStyle name="쉼표 [0] 4 4 2 34 3 2 2" xfId="45372"/>
    <cellStyle name="쉼표 [0] 4 4 2 34 3 3" xfId="32700"/>
    <cellStyle name="쉼표 [0] 4 4 2 34 4" xfId="13684"/>
    <cellStyle name="쉼표 [0] 4 4 2 34 4 2" xfId="39036"/>
    <cellStyle name="쉼표 [0] 4 4 2 34 5" xfId="26364"/>
    <cellStyle name="쉼표 [0] 4 4 2 35" xfId="4126"/>
    <cellStyle name="쉼표 [0] 4 4 2 35 2" xfId="10462"/>
    <cellStyle name="쉼표 [0] 4 4 2 35 2 2" xfId="23136"/>
    <cellStyle name="쉼표 [0] 4 4 2 35 2 2 2" xfId="48488"/>
    <cellStyle name="쉼표 [0] 4 4 2 35 2 3" xfId="35816"/>
    <cellStyle name="쉼표 [0] 4 4 2 35 3" xfId="16800"/>
    <cellStyle name="쉼표 [0] 4 4 2 35 3 2" xfId="42152"/>
    <cellStyle name="쉼표 [0] 4 4 2 35 4" xfId="29480"/>
    <cellStyle name="쉼표 [0] 4 4 2 36" xfId="6407"/>
    <cellStyle name="쉼표 [0] 4 4 2 36 2" xfId="19081"/>
    <cellStyle name="쉼표 [0] 4 4 2 36 2 2" xfId="44433"/>
    <cellStyle name="쉼표 [0] 4 4 2 36 3" xfId="31761"/>
    <cellStyle name="쉼표 [0] 4 4 2 37" xfId="12745"/>
    <cellStyle name="쉼표 [0] 4 4 2 37 2" xfId="38097"/>
    <cellStyle name="쉼표 [0] 4 4 2 38" xfId="25425"/>
    <cellStyle name="쉼표 [0] 4 4 2 4" xfId="1010"/>
    <cellStyle name="쉼표 [0] 4 4 2 4 2" xfId="1011"/>
    <cellStyle name="쉼표 [0] 4 4 2 4 2 2" xfId="4127"/>
    <cellStyle name="쉼표 [0] 4 4 2 4 2 2 2" xfId="10463"/>
    <cellStyle name="쉼표 [0] 4 4 2 4 2 2 2 2" xfId="23137"/>
    <cellStyle name="쉼표 [0] 4 4 2 4 2 2 2 2 2" xfId="48489"/>
    <cellStyle name="쉼표 [0] 4 4 2 4 2 2 2 3" xfId="35817"/>
    <cellStyle name="쉼표 [0] 4 4 2 4 2 2 3" xfId="16801"/>
    <cellStyle name="쉼표 [0] 4 4 2 4 2 2 3 2" xfId="42153"/>
    <cellStyle name="쉼표 [0] 4 4 2 4 2 2 4" xfId="29481"/>
    <cellStyle name="쉼표 [0] 4 4 2 4 2 3" xfId="7348"/>
    <cellStyle name="쉼표 [0] 4 4 2 4 2 3 2" xfId="20022"/>
    <cellStyle name="쉼표 [0] 4 4 2 4 2 3 2 2" xfId="45374"/>
    <cellStyle name="쉼표 [0] 4 4 2 4 2 3 3" xfId="32702"/>
    <cellStyle name="쉼표 [0] 4 4 2 4 2 4" xfId="13686"/>
    <cellStyle name="쉼표 [0] 4 4 2 4 2 4 2" xfId="39038"/>
    <cellStyle name="쉼표 [0] 4 4 2 4 2 5" xfId="26366"/>
    <cellStyle name="쉼표 [0] 4 4 2 4 3" xfId="4128"/>
    <cellStyle name="쉼표 [0] 4 4 2 4 3 2" xfId="10464"/>
    <cellStyle name="쉼표 [0] 4 4 2 4 3 2 2" xfId="23138"/>
    <cellStyle name="쉼표 [0] 4 4 2 4 3 2 2 2" xfId="48490"/>
    <cellStyle name="쉼표 [0] 4 4 2 4 3 2 3" xfId="35818"/>
    <cellStyle name="쉼표 [0] 4 4 2 4 3 3" xfId="16802"/>
    <cellStyle name="쉼표 [0] 4 4 2 4 3 3 2" xfId="42154"/>
    <cellStyle name="쉼표 [0] 4 4 2 4 3 4" xfId="29482"/>
    <cellStyle name="쉼표 [0] 4 4 2 4 4" xfId="7347"/>
    <cellStyle name="쉼표 [0] 4 4 2 4 4 2" xfId="20021"/>
    <cellStyle name="쉼표 [0] 4 4 2 4 4 2 2" xfId="45373"/>
    <cellStyle name="쉼표 [0] 4 4 2 4 4 3" xfId="32701"/>
    <cellStyle name="쉼표 [0] 4 4 2 4 5" xfId="13685"/>
    <cellStyle name="쉼표 [0] 4 4 2 4 5 2" xfId="39037"/>
    <cellStyle name="쉼표 [0] 4 4 2 4 6" xfId="26365"/>
    <cellStyle name="쉼표 [0] 4 4 2 5" xfId="1012"/>
    <cellStyle name="쉼표 [0] 4 4 2 5 2" xfId="1013"/>
    <cellStyle name="쉼표 [0] 4 4 2 5 2 2" xfId="4129"/>
    <cellStyle name="쉼표 [0] 4 4 2 5 2 2 2" xfId="10465"/>
    <cellStyle name="쉼표 [0] 4 4 2 5 2 2 2 2" xfId="23139"/>
    <cellStyle name="쉼표 [0] 4 4 2 5 2 2 2 2 2" xfId="48491"/>
    <cellStyle name="쉼표 [0] 4 4 2 5 2 2 2 3" xfId="35819"/>
    <cellStyle name="쉼표 [0] 4 4 2 5 2 2 3" xfId="16803"/>
    <cellStyle name="쉼표 [0] 4 4 2 5 2 2 3 2" xfId="42155"/>
    <cellStyle name="쉼표 [0] 4 4 2 5 2 2 4" xfId="29483"/>
    <cellStyle name="쉼표 [0] 4 4 2 5 2 3" xfId="7350"/>
    <cellStyle name="쉼표 [0] 4 4 2 5 2 3 2" xfId="20024"/>
    <cellStyle name="쉼표 [0] 4 4 2 5 2 3 2 2" xfId="45376"/>
    <cellStyle name="쉼표 [0] 4 4 2 5 2 3 3" xfId="32704"/>
    <cellStyle name="쉼표 [0] 4 4 2 5 2 4" xfId="13688"/>
    <cellStyle name="쉼표 [0] 4 4 2 5 2 4 2" xfId="39040"/>
    <cellStyle name="쉼표 [0] 4 4 2 5 2 5" xfId="26368"/>
    <cellStyle name="쉼표 [0] 4 4 2 5 3" xfId="4130"/>
    <cellStyle name="쉼표 [0] 4 4 2 5 3 2" xfId="10466"/>
    <cellStyle name="쉼표 [0] 4 4 2 5 3 2 2" xfId="23140"/>
    <cellStyle name="쉼표 [0] 4 4 2 5 3 2 2 2" xfId="48492"/>
    <cellStyle name="쉼표 [0] 4 4 2 5 3 2 3" xfId="35820"/>
    <cellStyle name="쉼표 [0] 4 4 2 5 3 3" xfId="16804"/>
    <cellStyle name="쉼표 [0] 4 4 2 5 3 3 2" xfId="42156"/>
    <cellStyle name="쉼표 [0] 4 4 2 5 3 4" xfId="29484"/>
    <cellStyle name="쉼표 [0] 4 4 2 5 4" xfId="7349"/>
    <cellStyle name="쉼표 [0] 4 4 2 5 4 2" xfId="20023"/>
    <cellStyle name="쉼표 [0] 4 4 2 5 4 2 2" xfId="45375"/>
    <cellStyle name="쉼표 [0] 4 4 2 5 4 3" xfId="32703"/>
    <cellStyle name="쉼표 [0] 4 4 2 5 5" xfId="13687"/>
    <cellStyle name="쉼표 [0] 4 4 2 5 5 2" xfId="39039"/>
    <cellStyle name="쉼표 [0] 4 4 2 5 6" xfId="26367"/>
    <cellStyle name="쉼표 [0] 4 4 2 6" xfId="1014"/>
    <cellStyle name="쉼표 [0] 4 4 2 6 2" xfId="1015"/>
    <cellStyle name="쉼표 [0] 4 4 2 6 2 2" xfId="4131"/>
    <cellStyle name="쉼표 [0] 4 4 2 6 2 2 2" xfId="10467"/>
    <cellStyle name="쉼표 [0] 4 4 2 6 2 2 2 2" xfId="23141"/>
    <cellStyle name="쉼표 [0] 4 4 2 6 2 2 2 2 2" xfId="48493"/>
    <cellStyle name="쉼표 [0] 4 4 2 6 2 2 2 3" xfId="35821"/>
    <cellStyle name="쉼표 [0] 4 4 2 6 2 2 3" xfId="16805"/>
    <cellStyle name="쉼표 [0] 4 4 2 6 2 2 3 2" xfId="42157"/>
    <cellStyle name="쉼표 [0] 4 4 2 6 2 2 4" xfId="29485"/>
    <cellStyle name="쉼표 [0] 4 4 2 6 2 3" xfId="7352"/>
    <cellStyle name="쉼표 [0] 4 4 2 6 2 3 2" xfId="20026"/>
    <cellStyle name="쉼표 [0] 4 4 2 6 2 3 2 2" xfId="45378"/>
    <cellStyle name="쉼표 [0] 4 4 2 6 2 3 3" xfId="32706"/>
    <cellStyle name="쉼표 [0] 4 4 2 6 2 4" xfId="13690"/>
    <cellStyle name="쉼표 [0] 4 4 2 6 2 4 2" xfId="39042"/>
    <cellStyle name="쉼표 [0] 4 4 2 6 2 5" xfId="26370"/>
    <cellStyle name="쉼표 [0] 4 4 2 6 3" xfId="4132"/>
    <cellStyle name="쉼표 [0] 4 4 2 6 3 2" xfId="10468"/>
    <cellStyle name="쉼표 [0] 4 4 2 6 3 2 2" xfId="23142"/>
    <cellStyle name="쉼표 [0] 4 4 2 6 3 2 2 2" xfId="48494"/>
    <cellStyle name="쉼표 [0] 4 4 2 6 3 2 3" xfId="35822"/>
    <cellStyle name="쉼표 [0] 4 4 2 6 3 3" xfId="16806"/>
    <cellStyle name="쉼표 [0] 4 4 2 6 3 3 2" xfId="42158"/>
    <cellStyle name="쉼표 [0] 4 4 2 6 3 4" xfId="29486"/>
    <cellStyle name="쉼표 [0] 4 4 2 6 4" xfId="7351"/>
    <cellStyle name="쉼표 [0] 4 4 2 6 4 2" xfId="20025"/>
    <cellStyle name="쉼표 [0] 4 4 2 6 4 2 2" xfId="45377"/>
    <cellStyle name="쉼표 [0] 4 4 2 6 4 3" xfId="32705"/>
    <cellStyle name="쉼표 [0] 4 4 2 6 5" xfId="13689"/>
    <cellStyle name="쉼표 [0] 4 4 2 6 5 2" xfId="39041"/>
    <cellStyle name="쉼표 [0] 4 4 2 6 6" xfId="26369"/>
    <cellStyle name="쉼표 [0] 4 4 2 7" xfId="1016"/>
    <cellStyle name="쉼표 [0] 4 4 2 7 2" xfId="1017"/>
    <cellStyle name="쉼표 [0] 4 4 2 7 2 2" xfId="4133"/>
    <cellStyle name="쉼표 [0] 4 4 2 7 2 2 2" xfId="10469"/>
    <cellStyle name="쉼표 [0] 4 4 2 7 2 2 2 2" xfId="23143"/>
    <cellStyle name="쉼표 [0] 4 4 2 7 2 2 2 2 2" xfId="48495"/>
    <cellStyle name="쉼표 [0] 4 4 2 7 2 2 2 3" xfId="35823"/>
    <cellStyle name="쉼표 [0] 4 4 2 7 2 2 3" xfId="16807"/>
    <cellStyle name="쉼표 [0] 4 4 2 7 2 2 3 2" xfId="42159"/>
    <cellStyle name="쉼표 [0] 4 4 2 7 2 2 4" xfId="29487"/>
    <cellStyle name="쉼표 [0] 4 4 2 7 2 3" xfId="7354"/>
    <cellStyle name="쉼표 [0] 4 4 2 7 2 3 2" xfId="20028"/>
    <cellStyle name="쉼표 [0] 4 4 2 7 2 3 2 2" xfId="45380"/>
    <cellStyle name="쉼표 [0] 4 4 2 7 2 3 3" xfId="32708"/>
    <cellStyle name="쉼표 [0] 4 4 2 7 2 4" xfId="13692"/>
    <cellStyle name="쉼표 [0] 4 4 2 7 2 4 2" xfId="39044"/>
    <cellStyle name="쉼표 [0] 4 4 2 7 2 5" xfId="26372"/>
    <cellStyle name="쉼표 [0] 4 4 2 7 3" xfId="4134"/>
    <cellStyle name="쉼표 [0] 4 4 2 7 3 2" xfId="10470"/>
    <cellStyle name="쉼표 [0] 4 4 2 7 3 2 2" xfId="23144"/>
    <cellStyle name="쉼표 [0] 4 4 2 7 3 2 2 2" xfId="48496"/>
    <cellStyle name="쉼표 [0] 4 4 2 7 3 2 3" xfId="35824"/>
    <cellStyle name="쉼표 [0] 4 4 2 7 3 3" xfId="16808"/>
    <cellStyle name="쉼표 [0] 4 4 2 7 3 3 2" xfId="42160"/>
    <cellStyle name="쉼표 [0] 4 4 2 7 3 4" xfId="29488"/>
    <cellStyle name="쉼표 [0] 4 4 2 7 4" xfId="7353"/>
    <cellStyle name="쉼표 [0] 4 4 2 7 4 2" xfId="20027"/>
    <cellStyle name="쉼표 [0] 4 4 2 7 4 2 2" xfId="45379"/>
    <cellStyle name="쉼표 [0] 4 4 2 7 4 3" xfId="32707"/>
    <cellStyle name="쉼표 [0] 4 4 2 7 5" xfId="13691"/>
    <cellStyle name="쉼표 [0] 4 4 2 7 5 2" xfId="39043"/>
    <cellStyle name="쉼표 [0] 4 4 2 7 6" xfId="26371"/>
    <cellStyle name="쉼표 [0] 4 4 2 8" xfId="1018"/>
    <cellStyle name="쉼표 [0] 4 4 2 8 2" xfId="1019"/>
    <cellStyle name="쉼표 [0] 4 4 2 8 2 2" xfId="4135"/>
    <cellStyle name="쉼표 [0] 4 4 2 8 2 2 2" xfId="10471"/>
    <cellStyle name="쉼표 [0] 4 4 2 8 2 2 2 2" xfId="23145"/>
    <cellStyle name="쉼표 [0] 4 4 2 8 2 2 2 2 2" xfId="48497"/>
    <cellStyle name="쉼표 [0] 4 4 2 8 2 2 2 3" xfId="35825"/>
    <cellStyle name="쉼표 [0] 4 4 2 8 2 2 3" xfId="16809"/>
    <cellStyle name="쉼표 [0] 4 4 2 8 2 2 3 2" xfId="42161"/>
    <cellStyle name="쉼표 [0] 4 4 2 8 2 2 4" xfId="29489"/>
    <cellStyle name="쉼표 [0] 4 4 2 8 2 3" xfId="7356"/>
    <cellStyle name="쉼표 [0] 4 4 2 8 2 3 2" xfId="20030"/>
    <cellStyle name="쉼표 [0] 4 4 2 8 2 3 2 2" xfId="45382"/>
    <cellStyle name="쉼표 [0] 4 4 2 8 2 3 3" xfId="32710"/>
    <cellStyle name="쉼표 [0] 4 4 2 8 2 4" xfId="13694"/>
    <cellStyle name="쉼표 [0] 4 4 2 8 2 4 2" xfId="39046"/>
    <cellStyle name="쉼표 [0] 4 4 2 8 2 5" xfId="26374"/>
    <cellStyle name="쉼표 [0] 4 4 2 8 3" xfId="4136"/>
    <cellStyle name="쉼표 [0] 4 4 2 8 3 2" xfId="10472"/>
    <cellStyle name="쉼표 [0] 4 4 2 8 3 2 2" xfId="23146"/>
    <cellStyle name="쉼표 [0] 4 4 2 8 3 2 2 2" xfId="48498"/>
    <cellStyle name="쉼표 [0] 4 4 2 8 3 2 3" xfId="35826"/>
    <cellStyle name="쉼표 [0] 4 4 2 8 3 3" xfId="16810"/>
    <cellStyle name="쉼표 [0] 4 4 2 8 3 3 2" xfId="42162"/>
    <cellStyle name="쉼표 [0] 4 4 2 8 3 4" xfId="29490"/>
    <cellStyle name="쉼표 [0] 4 4 2 8 4" xfId="7355"/>
    <cellStyle name="쉼표 [0] 4 4 2 8 4 2" xfId="20029"/>
    <cellStyle name="쉼표 [0] 4 4 2 8 4 2 2" xfId="45381"/>
    <cellStyle name="쉼표 [0] 4 4 2 8 4 3" xfId="32709"/>
    <cellStyle name="쉼표 [0] 4 4 2 8 5" xfId="13693"/>
    <cellStyle name="쉼표 [0] 4 4 2 8 5 2" xfId="39045"/>
    <cellStyle name="쉼표 [0] 4 4 2 8 6" xfId="26373"/>
    <cellStyle name="쉼표 [0] 4 4 2 9" xfId="1020"/>
    <cellStyle name="쉼표 [0] 4 4 2 9 2" xfId="1021"/>
    <cellStyle name="쉼표 [0] 4 4 2 9 2 2" xfId="4137"/>
    <cellStyle name="쉼표 [0] 4 4 2 9 2 2 2" xfId="10473"/>
    <cellStyle name="쉼표 [0] 4 4 2 9 2 2 2 2" xfId="23147"/>
    <cellStyle name="쉼표 [0] 4 4 2 9 2 2 2 2 2" xfId="48499"/>
    <cellStyle name="쉼표 [0] 4 4 2 9 2 2 2 3" xfId="35827"/>
    <cellStyle name="쉼표 [0] 4 4 2 9 2 2 3" xfId="16811"/>
    <cellStyle name="쉼표 [0] 4 4 2 9 2 2 3 2" xfId="42163"/>
    <cellStyle name="쉼표 [0] 4 4 2 9 2 2 4" xfId="29491"/>
    <cellStyle name="쉼표 [0] 4 4 2 9 2 3" xfId="7358"/>
    <cellStyle name="쉼표 [0] 4 4 2 9 2 3 2" xfId="20032"/>
    <cellStyle name="쉼표 [0] 4 4 2 9 2 3 2 2" xfId="45384"/>
    <cellStyle name="쉼표 [0] 4 4 2 9 2 3 3" xfId="32712"/>
    <cellStyle name="쉼표 [0] 4 4 2 9 2 4" xfId="13696"/>
    <cellStyle name="쉼표 [0] 4 4 2 9 2 4 2" xfId="39048"/>
    <cellStyle name="쉼표 [0] 4 4 2 9 2 5" xfId="26376"/>
    <cellStyle name="쉼표 [0] 4 4 2 9 3" xfId="4138"/>
    <cellStyle name="쉼표 [0] 4 4 2 9 3 2" xfId="10474"/>
    <cellStyle name="쉼표 [0] 4 4 2 9 3 2 2" xfId="23148"/>
    <cellStyle name="쉼표 [0] 4 4 2 9 3 2 2 2" xfId="48500"/>
    <cellStyle name="쉼표 [0] 4 4 2 9 3 2 3" xfId="35828"/>
    <cellStyle name="쉼표 [0] 4 4 2 9 3 3" xfId="16812"/>
    <cellStyle name="쉼표 [0] 4 4 2 9 3 3 2" xfId="42164"/>
    <cellStyle name="쉼표 [0] 4 4 2 9 3 4" xfId="29492"/>
    <cellStyle name="쉼표 [0] 4 4 2 9 4" xfId="7357"/>
    <cellStyle name="쉼표 [0] 4 4 2 9 4 2" xfId="20031"/>
    <cellStyle name="쉼표 [0] 4 4 2 9 4 2 2" xfId="45383"/>
    <cellStyle name="쉼표 [0] 4 4 2 9 4 3" xfId="32711"/>
    <cellStyle name="쉼표 [0] 4 4 2 9 5" xfId="13695"/>
    <cellStyle name="쉼표 [0] 4 4 2 9 5 2" xfId="39047"/>
    <cellStyle name="쉼표 [0] 4 4 2 9 6" xfId="26375"/>
    <cellStyle name="쉼표 [0] 4 4 20" xfId="1022"/>
    <cellStyle name="쉼표 [0] 4 4 20 2" xfId="1023"/>
    <cellStyle name="쉼표 [0] 4 4 20 2 2" xfId="4139"/>
    <cellStyle name="쉼표 [0] 4 4 20 2 2 2" xfId="10475"/>
    <cellStyle name="쉼표 [0] 4 4 20 2 2 2 2" xfId="23149"/>
    <cellStyle name="쉼표 [0] 4 4 20 2 2 2 2 2" xfId="48501"/>
    <cellStyle name="쉼표 [0] 4 4 20 2 2 2 3" xfId="35829"/>
    <cellStyle name="쉼표 [0] 4 4 20 2 2 3" xfId="16813"/>
    <cellStyle name="쉼표 [0] 4 4 20 2 2 3 2" xfId="42165"/>
    <cellStyle name="쉼표 [0] 4 4 20 2 2 4" xfId="29493"/>
    <cellStyle name="쉼표 [0] 4 4 20 2 3" xfId="7360"/>
    <cellStyle name="쉼표 [0] 4 4 20 2 3 2" xfId="20034"/>
    <cellStyle name="쉼표 [0] 4 4 20 2 3 2 2" xfId="45386"/>
    <cellStyle name="쉼표 [0] 4 4 20 2 3 3" xfId="32714"/>
    <cellStyle name="쉼표 [0] 4 4 20 2 4" xfId="13698"/>
    <cellStyle name="쉼표 [0] 4 4 20 2 4 2" xfId="39050"/>
    <cellStyle name="쉼표 [0] 4 4 20 2 5" xfId="26378"/>
    <cellStyle name="쉼표 [0] 4 4 20 3" xfId="4140"/>
    <cellStyle name="쉼표 [0] 4 4 20 3 2" xfId="10476"/>
    <cellStyle name="쉼표 [0] 4 4 20 3 2 2" xfId="23150"/>
    <cellStyle name="쉼표 [0] 4 4 20 3 2 2 2" xfId="48502"/>
    <cellStyle name="쉼표 [0] 4 4 20 3 2 3" xfId="35830"/>
    <cellStyle name="쉼표 [0] 4 4 20 3 3" xfId="16814"/>
    <cellStyle name="쉼표 [0] 4 4 20 3 3 2" xfId="42166"/>
    <cellStyle name="쉼표 [0] 4 4 20 3 4" xfId="29494"/>
    <cellStyle name="쉼표 [0] 4 4 20 4" xfId="7359"/>
    <cellStyle name="쉼표 [0] 4 4 20 4 2" xfId="20033"/>
    <cellStyle name="쉼표 [0] 4 4 20 4 2 2" xfId="45385"/>
    <cellStyle name="쉼표 [0] 4 4 20 4 3" xfId="32713"/>
    <cellStyle name="쉼표 [0] 4 4 20 5" xfId="13697"/>
    <cellStyle name="쉼표 [0] 4 4 20 5 2" xfId="39049"/>
    <cellStyle name="쉼표 [0] 4 4 20 6" xfId="26377"/>
    <cellStyle name="쉼표 [0] 4 4 21" xfId="1024"/>
    <cellStyle name="쉼표 [0] 4 4 21 2" xfId="1025"/>
    <cellStyle name="쉼표 [0] 4 4 21 2 2" xfId="4141"/>
    <cellStyle name="쉼표 [0] 4 4 21 2 2 2" xfId="10477"/>
    <cellStyle name="쉼표 [0] 4 4 21 2 2 2 2" xfId="23151"/>
    <cellStyle name="쉼표 [0] 4 4 21 2 2 2 2 2" xfId="48503"/>
    <cellStyle name="쉼표 [0] 4 4 21 2 2 2 3" xfId="35831"/>
    <cellStyle name="쉼표 [0] 4 4 21 2 2 3" xfId="16815"/>
    <cellStyle name="쉼표 [0] 4 4 21 2 2 3 2" xfId="42167"/>
    <cellStyle name="쉼표 [0] 4 4 21 2 2 4" xfId="29495"/>
    <cellStyle name="쉼표 [0] 4 4 21 2 3" xfId="7362"/>
    <cellStyle name="쉼표 [0] 4 4 21 2 3 2" xfId="20036"/>
    <cellStyle name="쉼표 [0] 4 4 21 2 3 2 2" xfId="45388"/>
    <cellStyle name="쉼표 [0] 4 4 21 2 3 3" xfId="32716"/>
    <cellStyle name="쉼표 [0] 4 4 21 2 4" xfId="13700"/>
    <cellStyle name="쉼표 [0] 4 4 21 2 4 2" xfId="39052"/>
    <cellStyle name="쉼표 [0] 4 4 21 2 5" xfId="26380"/>
    <cellStyle name="쉼표 [0] 4 4 21 3" xfId="4142"/>
    <cellStyle name="쉼표 [0] 4 4 21 3 2" xfId="10478"/>
    <cellStyle name="쉼표 [0] 4 4 21 3 2 2" xfId="23152"/>
    <cellStyle name="쉼표 [0] 4 4 21 3 2 2 2" xfId="48504"/>
    <cellStyle name="쉼표 [0] 4 4 21 3 2 3" xfId="35832"/>
    <cellStyle name="쉼표 [0] 4 4 21 3 3" xfId="16816"/>
    <cellStyle name="쉼표 [0] 4 4 21 3 3 2" xfId="42168"/>
    <cellStyle name="쉼표 [0] 4 4 21 3 4" xfId="29496"/>
    <cellStyle name="쉼표 [0] 4 4 21 4" xfId="7361"/>
    <cellStyle name="쉼표 [0] 4 4 21 4 2" xfId="20035"/>
    <cellStyle name="쉼표 [0] 4 4 21 4 2 2" xfId="45387"/>
    <cellStyle name="쉼표 [0] 4 4 21 4 3" xfId="32715"/>
    <cellStyle name="쉼표 [0] 4 4 21 5" xfId="13699"/>
    <cellStyle name="쉼표 [0] 4 4 21 5 2" xfId="39051"/>
    <cellStyle name="쉼표 [0] 4 4 21 6" xfId="26379"/>
    <cellStyle name="쉼표 [0] 4 4 22" xfId="1026"/>
    <cellStyle name="쉼표 [0] 4 4 22 2" xfId="1027"/>
    <cellStyle name="쉼표 [0] 4 4 22 2 2" xfId="4143"/>
    <cellStyle name="쉼표 [0] 4 4 22 2 2 2" xfId="10479"/>
    <cellStyle name="쉼표 [0] 4 4 22 2 2 2 2" xfId="23153"/>
    <cellStyle name="쉼표 [0] 4 4 22 2 2 2 2 2" xfId="48505"/>
    <cellStyle name="쉼표 [0] 4 4 22 2 2 2 3" xfId="35833"/>
    <cellStyle name="쉼표 [0] 4 4 22 2 2 3" xfId="16817"/>
    <cellStyle name="쉼표 [0] 4 4 22 2 2 3 2" xfId="42169"/>
    <cellStyle name="쉼표 [0] 4 4 22 2 2 4" xfId="29497"/>
    <cellStyle name="쉼표 [0] 4 4 22 2 3" xfId="7364"/>
    <cellStyle name="쉼표 [0] 4 4 22 2 3 2" xfId="20038"/>
    <cellStyle name="쉼표 [0] 4 4 22 2 3 2 2" xfId="45390"/>
    <cellStyle name="쉼표 [0] 4 4 22 2 3 3" xfId="32718"/>
    <cellStyle name="쉼표 [0] 4 4 22 2 4" xfId="13702"/>
    <cellStyle name="쉼표 [0] 4 4 22 2 4 2" xfId="39054"/>
    <cellStyle name="쉼표 [0] 4 4 22 2 5" xfId="26382"/>
    <cellStyle name="쉼표 [0] 4 4 22 3" xfId="4144"/>
    <cellStyle name="쉼표 [0] 4 4 22 3 2" xfId="10480"/>
    <cellStyle name="쉼표 [0] 4 4 22 3 2 2" xfId="23154"/>
    <cellStyle name="쉼표 [0] 4 4 22 3 2 2 2" xfId="48506"/>
    <cellStyle name="쉼표 [0] 4 4 22 3 2 3" xfId="35834"/>
    <cellStyle name="쉼표 [0] 4 4 22 3 3" xfId="16818"/>
    <cellStyle name="쉼표 [0] 4 4 22 3 3 2" xfId="42170"/>
    <cellStyle name="쉼표 [0] 4 4 22 3 4" xfId="29498"/>
    <cellStyle name="쉼표 [0] 4 4 22 4" xfId="7363"/>
    <cellStyle name="쉼표 [0] 4 4 22 4 2" xfId="20037"/>
    <cellStyle name="쉼표 [0] 4 4 22 4 2 2" xfId="45389"/>
    <cellStyle name="쉼표 [0] 4 4 22 4 3" xfId="32717"/>
    <cellStyle name="쉼표 [0] 4 4 22 5" xfId="13701"/>
    <cellStyle name="쉼표 [0] 4 4 22 5 2" xfId="39053"/>
    <cellStyle name="쉼표 [0] 4 4 22 6" xfId="26381"/>
    <cellStyle name="쉼표 [0] 4 4 23" xfId="1028"/>
    <cellStyle name="쉼표 [0] 4 4 23 2" xfId="1029"/>
    <cellStyle name="쉼표 [0] 4 4 23 2 2" xfId="4145"/>
    <cellStyle name="쉼표 [0] 4 4 23 2 2 2" xfId="10481"/>
    <cellStyle name="쉼표 [0] 4 4 23 2 2 2 2" xfId="23155"/>
    <cellStyle name="쉼표 [0] 4 4 23 2 2 2 2 2" xfId="48507"/>
    <cellStyle name="쉼표 [0] 4 4 23 2 2 2 3" xfId="35835"/>
    <cellStyle name="쉼표 [0] 4 4 23 2 2 3" xfId="16819"/>
    <cellStyle name="쉼표 [0] 4 4 23 2 2 3 2" xfId="42171"/>
    <cellStyle name="쉼표 [0] 4 4 23 2 2 4" xfId="29499"/>
    <cellStyle name="쉼표 [0] 4 4 23 2 3" xfId="7366"/>
    <cellStyle name="쉼표 [0] 4 4 23 2 3 2" xfId="20040"/>
    <cellStyle name="쉼표 [0] 4 4 23 2 3 2 2" xfId="45392"/>
    <cellStyle name="쉼표 [0] 4 4 23 2 3 3" xfId="32720"/>
    <cellStyle name="쉼표 [0] 4 4 23 2 4" xfId="13704"/>
    <cellStyle name="쉼표 [0] 4 4 23 2 4 2" xfId="39056"/>
    <cellStyle name="쉼표 [0] 4 4 23 2 5" xfId="26384"/>
    <cellStyle name="쉼표 [0] 4 4 23 3" xfId="4146"/>
    <cellStyle name="쉼표 [0] 4 4 23 3 2" xfId="10482"/>
    <cellStyle name="쉼표 [0] 4 4 23 3 2 2" xfId="23156"/>
    <cellStyle name="쉼표 [0] 4 4 23 3 2 2 2" xfId="48508"/>
    <cellStyle name="쉼표 [0] 4 4 23 3 2 3" xfId="35836"/>
    <cellStyle name="쉼표 [0] 4 4 23 3 3" xfId="16820"/>
    <cellStyle name="쉼표 [0] 4 4 23 3 3 2" xfId="42172"/>
    <cellStyle name="쉼표 [0] 4 4 23 3 4" xfId="29500"/>
    <cellStyle name="쉼표 [0] 4 4 23 4" xfId="7365"/>
    <cellStyle name="쉼표 [0] 4 4 23 4 2" xfId="20039"/>
    <cellStyle name="쉼표 [0] 4 4 23 4 2 2" xfId="45391"/>
    <cellStyle name="쉼표 [0] 4 4 23 4 3" xfId="32719"/>
    <cellStyle name="쉼표 [0] 4 4 23 5" xfId="13703"/>
    <cellStyle name="쉼표 [0] 4 4 23 5 2" xfId="39055"/>
    <cellStyle name="쉼표 [0] 4 4 23 6" xfId="26383"/>
    <cellStyle name="쉼표 [0] 4 4 24" xfId="1030"/>
    <cellStyle name="쉼표 [0] 4 4 24 2" xfId="1031"/>
    <cellStyle name="쉼표 [0] 4 4 24 2 2" xfId="4147"/>
    <cellStyle name="쉼표 [0] 4 4 24 2 2 2" xfId="10483"/>
    <cellStyle name="쉼표 [0] 4 4 24 2 2 2 2" xfId="23157"/>
    <cellStyle name="쉼표 [0] 4 4 24 2 2 2 2 2" xfId="48509"/>
    <cellStyle name="쉼표 [0] 4 4 24 2 2 2 3" xfId="35837"/>
    <cellStyle name="쉼표 [0] 4 4 24 2 2 3" xfId="16821"/>
    <cellStyle name="쉼표 [0] 4 4 24 2 2 3 2" xfId="42173"/>
    <cellStyle name="쉼표 [0] 4 4 24 2 2 4" xfId="29501"/>
    <cellStyle name="쉼표 [0] 4 4 24 2 3" xfId="7368"/>
    <cellStyle name="쉼표 [0] 4 4 24 2 3 2" xfId="20042"/>
    <cellStyle name="쉼표 [0] 4 4 24 2 3 2 2" xfId="45394"/>
    <cellStyle name="쉼표 [0] 4 4 24 2 3 3" xfId="32722"/>
    <cellStyle name="쉼표 [0] 4 4 24 2 4" xfId="13706"/>
    <cellStyle name="쉼표 [0] 4 4 24 2 4 2" xfId="39058"/>
    <cellStyle name="쉼표 [0] 4 4 24 2 5" xfId="26386"/>
    <cellStyle name="쉼표 [0] 4 4 24 3" xfId="4148"/>
    <cellStyle name="쉼표 [0] 4 4 24 3 2" xfId="10484"/>
    <cellStyle name="쉼표 [0] 4 4 24 3 2 2" xfId="23158"/>
    <cellStyle name="쉼표 [0] 4 4 24 3 2 2 2" xfId="48510"/>
    <cellStyle name="쉼표 [0] 4 4 24 3 2 3" xfId="35838"/>
    <cellStyle name="쉼표 [0] 4 4 24 3 3" xfId="16822"/>
    <cellStyle name="쉼표 [0] 4 4 24 3 3 2" xfId="42174"/>
    <cellStyle name="쉼표 [0] 4 4 24 3 4" xfId="29502"/>
    <cellStyle name="쉼표 [0] 4 4 24 4" xfId="7367"/>
    <cellStyle name="쉼표 [0] 4 4 24 4 2" xfId="20041"/>
    <cellStyle name="쉼표 [0] 4 4 24 4 2 2" xfId="45393"/>
    <cellStyle name="쉼표 [0] 4 4 24 4 3" xfId="32721"/>
    <cellStyle name="쉼표 [0] 4 4 24 5" xfId="13705"/>
    <cellStyle name="쉼표 [0] 4 4 24 5 2" xfId="39057"/>
    <cellStyle name="쉼표 [0] 4 4 24 6" xfId="26385"/>
    <cellStyle name="쉼표 [0] 4 4 25" xfId="1032"/>
    <cellStyle name="쉼표 [0] 4 4 25 2" xfId="1033"/>
    <cellStyle name="쉼표 [0] 4 4 25 2 2" xfId="4149"/>
    <cellStyle name="쉼표 [0] 4 4 25 2 2 2" xfId="10485"/>
    <cellStyle name="쉼표 [0] 4 4 25 2 2 2 2" xfId="23159"/>
    <cellStyle name="쉼표 [0] 4 4 25 2 2 2 2 2" xfId="48511"/>
    <cellStyle name="쉼표 [0] 4 4 25 2 2 2 3" xfId="35839"/>
    <cellStyle name="쉼표 [0] 4 4 25 2 2 3" xfId="16823"/>
    <cellStyle name="쉼표 [0] 4 4 25 2 2 3 2" xfId="42175"/>
    <cellStyle name="쉼표 [0] 4 4 25 2 2 4" xfId="29503"/>
    <cellStyle name="쉼표 [0] 4 4 25 2 3" xfId="7370"/>
    <cellStyle name="쉼표 [0] 4 4 25 2 3 2" xfId="20044"/>
    <cellStyle name="쉼표 [0] 4 4 25 2 3 2 2" xfId="45396"/>
    <cellStyle name="쉼표 [0] 4 4 25 2 3 3" xfId="32724"/>
    <cellStyle name="쉼표 [0] 4 4 25 2 4" xfId="13708"/>
    <cellStyle name="쉼표 [0] 4 4 25 2 4 2" xfId="39060"/>
    <cellStyle name="쉼표 [0] 4 4 25 2 5" xfId="26388"/>
    <cellStyle name="쉼표 [0] 4 4 25 3" xfId="4150"/>
    <cellStyle name="쉼표 [0] 4 4 25 3 2" xfId="10486"/>
    <cellStyle name="쉼표 [0] 4 4 25 3 2 2" xfId="23160"/>
    <cellStyle name="쉼표 [0] 4 4 25 3 2 2 2" xfId="48512"/>
    <cellStyle name="쉼표 [0] 4 4 25 3 2 3" xfId="35840"/>
    <cellStyle name="쉼표 [0] 4 4 25 3 3" xfId="16824"/>
    <cellStyle name="쉼표 [0] 4 4 25 3 3 2" xfId="42176"/>
    <cellStyle name="쉼표 [0] 4 4 25 3 4" xfId="29504"/>
    <cellStyle name="쉼표 [0] 4 4 25 4" xfId="7369"/>
    <cellStyle name="쉼표 [0] 4 4 25 4 2" xfId="20043"/>
    <cellStyle name="쉼표 [0] 4 4 25 4 2 2" xfId="45395"/>
    <cellStyle name="쉼표 [0] 4 4 25 4 3" xfId="32723"/>
    <cellStyle name="쉼표 [0] 4 4 25 5" xfId="13707"/>
    <cellStyle name="쉼표 [0] 4 4 25 5 2" xfId="39059"/>
    <cellStyle name="쉼표 [0] 4 4 25 6" xfId="26387"/>
    <cellStyle name="쉼표 [0] 4 4 26" xfId="1034"/>
    <cellStyle name="쉼표 [0] 4 4 26 2" xfId="1035"/>
    <cellStyle name="쉼표 [0] 4 4 26 2 2" xfId="4151"/>
    <cellStyle name="쉼표 [0] 4 4 26 2 2 2" xfId="10487"/>
    <cellStyle name="쉼표 [0] 4 4 26 2 2 2 2" xfId="23161"/>
    <cellStyle name="쉼표 [0] 4 4 26 2 2 2 2 2" xfId="48513"/>
    <cellStyle name="쉼표 [0] 4 4 26 2 2 2 3" xfId="35841"/>
    <cellStyle name="쉼표 [0] 4 4 26 2 2 3" xfId="16825"/>
    <cellStyle name="쉼표 [0] 4 4 26 2 2 3 2" xfId="42177"/>
    <cellStyle name="쉼표 [0] 4 4 26 2 2 4" xfId="29505"/>
    <cellStyle name="쉼표 [0] 4 4 26 2 3" xfId="7372"/>
    <cellStyle name="쉼표 [0] 4 4 26 2 3 2" xfId="20046"/>
    <cellStyle name="쉼표 [0] 4 4 26 2 3 2 2" xfId="45398"/>
    <cellStyle name="쉼표 [0] 4 4 26 2 3 3" xfId="32726"/>
    <cellStyle name="쉼표 [0] 4 4 26 2 4" xfId="13710"/>
    <cellStyle name="쉼표 [0] 4 4 26 2 4 2" xfId="39062"/>
    <cellStyle name="쉼표 [0] 4 4 26 2 5" xfId="26390"/>
    <cellStyle name="쉼표 [0] 4 4 26 3" xfId="4152"/>
    <cellStyle name="쉼표 [0] 4 4 26 3 2" xfId="10488"/>
    <cellStyle name="쉼표 [0] 4 4 26 3 2 2" xfId="23162"/>
    <cellStyle name="쉼표 [0] 4 4 26 3 2 2 2" xfId="48514"/>
    <cellStyle name="쉼표 [0] 4 4 26 3 2 3" xfId="35842"/>
    <cellStyle name="쉼표 [0] 4 4 26 3 3" xfId="16826"/>
    <cellStyle name="쉼표 [0] 4 4 26 3 3 2" xfId="42178"/>
    <cellStyle name="쉼표 [0] 4 4 26 3 4" xfId="29506"/>
    <cellStyle name="쉼표 [0] 4 4 26 4" xfId="7371"/>
    <cellStyle name="쉼표 [0] 4 4 26 4 2" xfId="20045"/>
    <cellStyle name="쉼표 [0] 4 4 26 4 2 2" xfId="45397"/>
    <cellStyle name="쉼표 [0] 4 4 26 4 3" xfId="32725"/>
    <cellStyle name="쉼표 [0] 4 4 26 5" xfId="13709"/>
    <cellStyle name="쉼표 [0] 4 4 26 5 2" xfId="39061"/>
    <cellStyle name="쉼표 [0] 4 4 26 6" xfId="26389"/>
    <cellStyle name="쉼표 [0] 4 4 27" xfId="1036"/>
    <cellStyle name="쉼표 [0] 4 4 27 2" xfId="1037"/>
    <cellStyle name="쉼표 [0] 4 4 27 2 2" xfId="4153"/>
    <cellStyle name="쉼표 [0] 4 4 27 2 2 2" xfId="10489"/>
    <cellStyle name="쉼표 [0] 4 4 27 2 2 2 2" xfId="23163"/>
    <cellStyle name="쉼표 [0] 4 4 27 2 2 2 2 2" xfId="48515"/>
    <cellStyle name="쉼표 [0] 4 4 27 2 2 2 3" xfId="35843"/>
    <cellStyle name="쉼표 [0] 4 4 27 2 2 3" xfId="16827"/>
    <cellStyle name="쉼표 [0] 4 4 27 2 2 3 2" xfId="42179"/>
    <cellStyle name="쉼표 [0] 4 4 27 2 2 4" xfId="29507"/>
    <cellStyle name="쉼표 [0] 4 4 27 2 3" xfId="7374"/>
    <cellStyle name="쉼표 [0] 4 4 27 2 3 2" xfId="20048"/>
    <cellStyle name="쉼표 [0] 4 4 27 2 3 2 2" xfId="45400"/>
    <cellStyle name="쉼표 [0] 4 4 27 2 3 3" xfId="32728"/>
    <cellStyle name="쉼표 [0] 4 4 27 2 4" xfId="13712"/>
    <cellStyle name="쉼표 [0] 4 4 27 2 4 2" xfId="39064"/>
    <cellStyle name="쉼표 [0] 4 4 27 2 5" xfId="26392"/>
    <cellStyle name="쉼표 [0] 4 4 27 3" xfId="4154"/>
    <cellStyle name="쉼표 [0] 4 4 27 3 2" xfId="10490"/>
    <cellStyle name="쉼표 [0] 4 4 27 3 2 2" xfId="23164"/>
    <cellStyle name="쉼표 [0] 4 4 27 3 2 2 2" xfId="48516"/>
    <cellStyle name="쉼표 [0] 4 4 27 3 2 3" xfId="35844"/>
    <cellStyle name="쉼표 [0] 4 4 27 3 3" xfId="16828"/>
    <cellStyle name="쉼표 [0] 4 4 27 3 3 2" xfId="42180"/>
    <cellStyle name="쉼표 [0] 4 4 27 3 4" xfId="29508"/>
    <cellStyle name="쉼표 [0] 4 4 27 4" xfId="7373"/>
    <cellStyle name="쉼표 [0] 4 4 27 4 2" xfId="20047"/>
    <cellStyle name="쉼표 [0] 4 4 27 4 2 2" xfId="45399"/>
    <cellStyle name="쉼표 [0] 4 4 27 4 3" xfId="32727"/>
    <cellStyle name="쉼표 [0] 4 4 27 5" xfId="13711"/>
    <cellStyle name="쉼표 [0] 4 4 27 5 2" xfId="39063"/>
    <cellStyle name="쉼표 [0] 4 4 27 6" xfId="26391"/>
    <cellStyle name="쉼표 [0] 4 4 28" xfId="1038"/>
    <cellStyle name="쉼표 [0] 4 4 28 2" xfId="1039"/>
    <cellStyle name="쉼표 [0] 4 4 28 2 2" xfId="4155"/>
    <cellStyle name="쉼표 [0] 4 4 28 2 2 2" xfId="10491"/>
    <cellStyle name="쉼표 [0] 4 4 28 2 2 2 2" xfId="23165"/>
    <cellStyle name="쉼표 [0] 4 4 28 2 2 2 2 2" xfId="48517"/>
    <cellStyle name="쉼표 [0] 4 4 28 2 2 2 3" xfId="35845"/>
    <cellStyle name="쉼표 [0] 4 4 28 2 2 3" xfId="16829"/>
    <cellStyle name="쉼표 [0] 4 4 28 2 2 3 2" xfId="42181"/>
    <cellStyle name="쉼표 [0] 4 4 28 2 2 4" xfId="29509"/>
    <cellStyle name="쉼표 [0] 4 4 28 2 3" xfId="7376"/>
    <cellStyle name="쉼표 [0] 4 4 28 2 3 2" xfId="20050"/>
    <cellStyle name="쉼표 [0] 4 4 28 2 3 2 2" xfId="45402"/>
    <cellStyle name="쉼표 [0] 4 4 28 2 3 3" xfId="32730"/>
    <cellStyle name="쉼표 [0] 4 4 28 2 4" xfId="13714"/>
    <cellStyle name="쉼표 [0] 4 4 28 2 4 2" xfId="39066"/>
    <cellStyle name="쉼표 [0] 4 4 28 2 5" xfId="26394"/>
    <cellStyle name="쉼표 [0] 4 4 28 3" xfId="4156"/>
    <cellStyle name="쉼표 [0] 4 4 28 3 2" xfId="10492"/>
    <cellStyle name="쉼표 [0] 4 4 28 3 2 2" xfId="23166"/>
    <cellStyle name="쉼표 [0] 4 4 28 3 2 2 2" xfId="48518"/>
    <cellStyle name="쉼표 [0] 4 4 28 3 2 3" xfId="35846"/>
    <cellStyle name="쉼표 [0] 4 4 28 3 3" xfId="16830"/>
    <cellStyle name="쉼표 [0] 4 4 28 3 3 2" xfId="42182"/>
    <cellStyle name="쉼표 [0] 4 4 28 3 4" xfId="29510"/>
    <cellStyle name="쉼표 [0] 4 4 28 4" xfId="7375"/>
    <cellStyle name="쉼표 [0] 4 4 28 4 2" xfId="20049"/>
    <cellStyle name="쉼표 [0] 4 4 28 4 2 2" xfId="45401"/>
    <cellStyle name="쉼표 [0] 4 4 28 4 3" xfId="32729"/>
    <cellStyle name="쉼표 [0] 4 4 28 5" xfId="13713"/>
    <cellStyle name="쉼표 [0] 4 4 28 5 2" xfId="39065"/>
    <cellStyle name="쉼표 [0] 4 4 28 6" xfId="26393"/>
    <cellStyle name="쉼표 [0] 4 4 29" xfId="1040"/>
    <cellStyle name="쉼표 [0] 4 4 29 2" xfId="1041"/>
    <cellStyle name="쉼표 [0] 4 4 29 2 2" xfId="4157"/>
    <cellStyle name="쉼표 [0] 4 4 29 2 2 2" xfId="10493"/>
    <cellStyle name="쉼표 [0] 4 4 29 2 2 2 2" xfId="23167"/>
    <cellStyle name="쉼표 [0] 4 4 29 2 2 2 2 2" xfId="48519"/>
    <cellStyle name="쉼표 [0] 4 4 29 2 2 2 3" xfId="35847"/>
    <cellStyle name="쉼표 [0] 4 4 29 2 2 3" xfId="16831"/>
    <cellStyle name="쉼표 [0] 4 4 29 2 2 3 2" xfId="42183"/>
    <cellStyle name="쉼표 [0] 4 4 29 2 2 4" xfId="29511"/>
    <cellStyle name="쉼표 [0] 4 4 29 2 3" xfId="7378"/>
    <cellStyle name="쉼표 [0] 4 4 29 2 3 2" xfId="20052"/>
    <cellStyle name="쉼표 [0] 4 4 29 2 3 2 2" xfId="45404"/>
    <cellStyle name="쉼표 [0] 4 4 29 2 3 3" xfId="32732"/>
    <cellStyle name="쉼표 [0] 4 4 29 2 4" xfId="13716"/>
    <cellStyle name="쉼표 [0] 4 4 29 2 4 2" xfId="39068"/>
    <cellStyle name="쉼표 [0] 4 4 29 2 5" xfId="26396"/>
    <cellStyle name="쉼표 [0] 4 4 29 3" xfId="4158"/>
    <cellStyle name="쉼표 [0] 4 4 29 3 2" xfId="10494"/>
    <cellStyle name="쉼표 [0] 4 4 29 3 2 2" xfId="23168"/>
    <cellStyle name="쉼표 [0] 4 4 29 3 2 2 2" xfId="48520"/>
    <cellStyle name="쉼표 [0] 4 4 29 3 2 3" xfId="35848"/>
    <cellStyle name="쉼표 [0] 4 4 29 3 3" xfId="16832"/>
    <cellStyle name="쉼표 [0] 4 4 29 3 3 2" xfId="42184"/>
    <cellStyle name="쉼표 [0] 4 4 29 3 4" xfId="29512"/>
    <cellStyle name="쉼표 [0] 4 4 29 4" xfId="7377"/>
    <cellStyle name="쉼표 [0] 4 4 29 4 2" xfId="20051"/>
    <cellStyle name="쉼표 [0] 4 4 29 4 2 2" xfId="45403"/>
    <cellStyle name="쉼표 [0] 4 4 29 4 3" xfId="32731"/>
    <cellStyle name="쉼표 [0] 4 4 29 5" xfId="13715"/>
    <cellStyle name="쉼표 [0] 4 4 29 5 2" xfId="39067"/>
    <cellStyle name="쉼표 [0] 4 4 29 6" xfId="26395"/>
    <cellStyle name="쉼표 [0] 4 4 3" xfId="70"/>
    <cellStyle name="쉼표 [0] 4 4 3 2" xfId="1042"/>
    <cellStyle name="쉼표 [0] 4 4 3 2 2" xfId="4159"/>
    <cellStyle name="쉼표 [0] 4 4 3 2 2 2" xfId="10495"/>
    <cellStyle name="쉼표 [0] 4 4 3 2 2 2 2" xfId="23169"/>
    <cellStyle name="쉼표 [0] 4 4 3 2 2 2 2 2" xfId="48521"/>
    <cellStyle name="쉼표 [0] 4 4 3 2 2 2 3" xfId="35849"/>
    <cellStyle name="쉼표 [0] 4 4 3 2 2 3" xfId="16833"/>
    <cellStyle name="쉼표 [0] 4 4 3 2 2 3 2" xfId="42185"/>
    <cellStyle name="쉼표 [0] 4 4 3 2 2 4" xfId="29513"/>
    <cellStyle name="쉼표 [0] 4 4 3 2 3" xfId="7379"/>
    <cellStyle name="쉼표 [0] 4 4 3 2 3 2" xfId="20053"/>
    <cellStyle name="쉼표 [0] 4 4 3 2 3 2 2" xfId="45405"/>
    <cellStyle name="쉼표 [0] 4 4 3 2 3 3" xfId="32733"/>
    <cellStyle name="쉼표 [0] 4 4 3 2 4" xfId="13717"/>
    <cellStyle name="쉼표 [0] 4 4 3 2 4 2" xfId="39069"/>
    <cellStyle name="쉼표 [0] 4 4 3 2 5" xfId="26397"/>
    <cellStyle name="쉼표 [0] 4 4 3 3" xfId="4160"/>
    <cellStyle name="쉼표 [0] 4 4 3 3 2" xfId="10496"/>
    <cellStyle name="쉼표 [0] 4 4 3 3 2 2" xfId="23170"/>
    <cellStyle name="쉼표 [0] 4 4 3 3 2 2 2" xfId="48522"/>
    <cellStyle name="쉼표 [0] 4 4 3 3 2 3" xfId="35850"/>
    <cellStyle name="쉼표 [0] 4 4 3 3 3" xfId="16834"/>
    <cellStyle name="쉼표 [0] 4 4 3 3 3 2" xfId="42186"/>
    <cellStyle name="쉼표 [0] 4 4 3 3 4" xfId="29514"/>
    <cellStyle name="쉼표 [0] 4 4 3 4" xfId="6408"/>
    <cellStyle name="쉼표 [0] 4 4 3 4 2" xfId="19082"/>
    <cellStyle name="쉼표 [0] 4 4 3 4 2 2" xfId="44434"/>
    <cellStyle name="쉼표 [0] 4 4 3 4 3" xfId="31762"/>
    <cellStyle name="쉼표 [0] 4 4 3 5" xfId="12746"/>
    <cellStyle name="쉼표 [0] 4 4 3 5 2" xfId="38098"/>
    <cellStyle name="쉼표 [0] 4 4 3 6" xfId="25426"/>
    <cellStyle name="쉼표 [0] 4 4 30" xfId="1043"/>
    <cellStyle name="쉼표 [0] 4 4 30 2" xfId="1044"/>
    <cellStyle name="쉼표 [0] 4 4 30 2 2" xfId="4161"/>
    <cellStyle name="쉼표 [0] 4 4 30 2 2 2" xfId="10497"/>
    <cellStyle name="쉼표 [0] 4 4 30 2 2 2 2" xfId="23171"/>
    <cellStyle name="쉼표 [0] 4 4 30 2 2 2 2 2" xfId="48523"/>
    <cellStyle name="쉼표 [0] 4 4 30 2 2 2 3" xfId="35851"/>
    <cellStyle name="쉼표 [0] 4 4 30 2 2 3" xfId="16835"/>
    <cellStyle name="쉼표 [0] 4 4 30 2 2 3 2" xfId="42187"/>
    <cellStyle name="쉼표 [0] 4 4 30 2 2 4" xfId="29515"/>
    <cellStyle name="쉼표 [0] 4 4 30 2 3" xfId="7381"/>
    <cellStyle name="쉼표 [0] 4 4 30 2 3 2" xfId="20055"/>
    <cellStyle name="쉼표 [0] 4 4 30 2 3 2 2" xfId="45407"/>
    <cellStyle name="쉼표 [0] 4 4 30 2 3 3" xfId="32735"/>
    <cellStyle name="쉼표 [0] 4 4 30 2 4" xfId="13719"/>
    <cellStyle name="쉼표 [0] 4 4 30 2 4 2" xfId="39071"/>
    <cellStyle name="쉼표 [0] 4 4 30 2 5" xfId="26399"/>
    <cellStyle name="쉼표 [0] 4 4 30 3" xfId="4162"/>
    <cellStyle name="쉼표 [0] 4 4 30 3 2" xfId="10498"/>
    <cellStyle name="쉼표 [0] 4 4 30 3 2 2" xfId="23172"/>
    <cellStyle name="쉼표 [0] 4 4 30 3 2 2 2" xfId="48524"/>
    <cellStyle name="쉼표 [0] 4 4 30 3 2 3" xfId="35852"/>
    <cellStyle name="쉼표 [0] 4 4 30 3 3" xfId="16836"/>
    <cellStyle name="쉼표 [0] 4 4 30 3 3 2" xfId="42188"/>
    <cellStyle name="쉼표 [0] 4 4 30 3 4" xfId="29516"/>
    <cellStyle name="쉼표 [0] 4 4 30 4" xfId="7380"/>
    <cellStyle name="쉼표 [0] 4 4 30 4 2" xfId="20054"/>
    <cellStyle name="쉼표 [0] 4 4 30 4 2 2" xfId="45406"/>
    <cellStyle name="쉼표 [0] 4 4 30 4 3" xfId="32734"/>
    <cellStyle name="쉼표 [0] 4 4 30 5" xfId="13718"/>
    <cellStyle name="쉼표 [0] 4 4 30 5 2" xfId="39070"/>
    <cellStyle name="쉼표 [0] 4 4 30 6" xfId="26398"/>
    <cellStyle name="쉼표 [0] 4 4 31" xfId="1045"/>
    <cellStyle name="쉼표 [0] 4 4 31 2" xfId="1046"/>
    <cellStyle name="쉼표 [0] 4 4 31 2 2" xfId="4163"/>
    <cellStyle name="쉼표 [0] 4 4 31 2 2 2" xfId="10499"/>
    <cellStyle name="쉼표 [0] 4 4 31 2 2 2 2" xfId="23173"/>
    <cellStyle name="쉼표 [0] 4 4 31 2 2 2 2 2" xfId="48525"/>
    <cellStyle name="쉼표 [0] 4 4 31 2 2 2 3" xfId="35853"/>
    <cellStyle name="쉼표 [0] 4 4 31 2 2 3" xfId="16837"/>
    <cellStyle name="쉼표 [0] 4 4 31 2 2 3 2" xfId="42189"/>
    <cellStyle name="쉼표 [0] 4 4 31 2 2 4" xfId="29517"/>
    <cellStyle name="쉼표 [0] 4 4 31 2 3" xfId="7383"/>
    <cellStyle name="쉼표 [0] 4 4 31 2 3 2" xfId="20057"/>
    <cellStyle name="쉼표 [0] 4 4 31 2 3 2 2" xfId="45409"/>
    <cellStyle name="쉼표 [0] 4 4 31 2 3 3" xfId="32737"/>
    <cellStyle name="쉼표 [0] 4 4 31 2 4" xfId="13721"/>
    <cellStyle name="쉼표 [0] 4 4 31 2 4 2" xfId="39073"/>
    <cellStyle name="쉼표 [0] 4 4 31 2 5" xfId="26401"/>
    <cellStyle name="쉼표 [0] 4 4 31 3" xfId="4164"/>
    <cellStyle name="쉼표 [0] 4 4 31 3 2" xfId="10500"/>
    <cellStyle name="쉼표 [0] 4 4 31 3 2 2" xfId="23174"/>
    <cellStyle name="쉼표 [0] 4 4 31 3 2 2 2" xfId="48526"/>
    <cellStyle name="쉼표 [0] 4 4 31 3 2 3" xfId="35854"/>
    <cellStyle name="쉼표 [0] 4 4 31 3 3" xfId="16838"/>
    <cellStyle name="쉼표 [0] 4 4 31 3 3 2" xfId="42190"/>
    <cellStyle name="쉼표 [0] 4 4 31 3 4" xfId="29518"/>
    <cellStyle name="쉼표 [0] 4 4 31 4" xfId="7382"/>
    <cellStyle name="쉼표 [0] 4 4 31 4 2" xfId="20056"/>
    <cellStyle name="쉼표 [0] 4 4 31 4 2 2" xfId="45408"/>
    <cellStyle name="쉼표 [0] 4 4 31 4 3" xfId="32736"/>
    <cellStyle name="쉼표 [0] 4 4 31 5" xfId="13720"/>
    <cellStyle name="쉼표 [0] 4 4 31 5 2" xfId="39072"/>
    <cellStyle name="쉼표 [0] 4 4 31 6" xfId="26400"/>
    <cellStyle name="쉼표 [0] 4 4 32" xfId="1047"/>
    <cellStyle name="쉼표 [0] 4 4 32 2" xfId="1048"/>
    <cellStyle name="쉼표 [0] 4 4 32 2 2" xfId="4165"/>
    <cellStyle name="쉼표 [0] 4 4 32 2 2 2" xfId="10501"/>
    <cellStyle name="쉼표 [0] 4 4 32 2 2 2 2" xfId="23175"/>
    <cellStyle name="쉼표 [0] 4 4 32 2 2 2 2 2" xfId="48527"/>
    <cellStyle name="쉼표 [0] 4 4 32 2 2 2 3" xfId="35855"/>
    <cellStyle name="쉼표 [0] 4 4 32 2 2 3" xfId="16839"/>
    <cellStyle name="쉼표 [0] 4 4 32 2 2 3 2" xfId="42191"/>
    <cellStyle name="쉼표 [0] 4 4 32 2 2 4" xfId="29519"/>
    <cellStyle name="쉼표 [0] 4 4 32 2 3" xfId="7385"/>
    <cellStyle name="쉼표 [0] 4 4 32 2 3 2" xfId="20059"/>
    <cellStyle name="쉼표 [0] 4 4 32 2 3 2 2" xfId="45411"/>
    <cellStyle name="쉼표 [0] 4 4 32 2 3 3" xfId="32739"/>
    <cellStyle name="쉼표 [0] 4 4 32 2 4" xfId="13723"/>
    <cellStyle name="쉼표 [0] 4 4 32 2 4 2" xfId="39075"/>
    <cellStyle name="쉼표 [0] 4 4 32 2 5" xfId="26403"/>
    <cellStyle name="쉼표 [0] 4 4 32 3" xfId="4166"/>
    <cellStyle name="쉼표 [0] 4 4 32 3 2" xfId="10502"/>
    <cellStyle name="쉼표 [0] 4 4 32 3 2 2" xfId="23176"/>
    <cellStyle name="쉼표 [0] 4 4 32 3 2 2 2" xfId="48528"/>
    <cellStyle name="쉼표 [0] 4 4 32 3 2 3" xfId="35856"/>
    <cellStyle name="쉼표 [0] 4 4 32 3 3" xfId="16840"/>
    <cellStyle name="쉼표 [0] 4 4 32 3 3 2" xfId="42192"/>
    <cellStyle name="쉼표 [0] 4 4 32 3 4" xfId="29520"/>
    <cellStyle name="쉼표 [0] 4 4 32 4" xfId="7384"/>
    <cellStyle name="쉼표 [0] 4 4 32 4 2" xfId="20058"/>
    <cellStyle name="쉼표 [0] 4 4 32 4 2 2" xfId="45410"/>
    <cellStyle name="쉼표 [0] 4 4 32 4 3" xfId="32738"/>
    <cellStyle name="쉼표 [0] 4 4 32 5" xfId="13722"/>
    <cellStyle name="쉼표 [0] 4 4 32 5 2" xfId="39074"/>
    <cellStyle name="쉼표 [0] 4 4 32 6" xfId="26402"/>
    <cellStyle name="쉼표 [0] 4 4 33" xfId="1049"/>
    <cellStyle name="쉼표 [0] 4 4 33 2" xfId="1050"/>
    <cellStyle name="쉼표 [0] 4 4 33 2 2" xfId="4167"/>
    <cellStyle name="쉼표 [0] 4 4 33 2 2 2" xfId="10503"/>
    <cellStyle name="쉼표 [0] 4 4 33 2 2 2 2" xfId="23177"/>
    <cellStyle name="쉼표 [0] 4 4 33 2 2 2 2 2" xfId="48529"/>
    <cellStyle name="쉼표 [0] 4 4 33 2 2 2 3" xfId="35857"/>
    <cellStyle name="쉼표 [0] 4 4 33 2 2 3" xfId="16841"/>
    <cellStyle name="쉼표 [0] 4 4 33 2 2 3 2" xfId="42193"/>
    <cellStyle name="쉼표 [0] 4 4 33 2 2 4" xfId="29521"/>
    <cellStyle name="쉼표 [0] 4 4 33 2 3" xfId="7387"/>
    <cellStyle name="쉼표 [0] 4 4 33 2 3 2" xfId="20061"/>
    <cellStyle name="쉼표 [0] 4 4 33 2 3 2 2" xfId="45413"/>
    <cellStyle name="쉼표 [0] 4 4 33 2 3 3" xfId="32741"/>
    <cellStyle name="쉼표 [0] 4 4 33 2 4" xfId="13725"/>
    <cellStyle name="쉼표 [0] 4 4 33 2 4 2" xfId="39077"/>
    <cellStyle name="쉼표 [0] 4 4 33 2 5" xfId="26405"/>
    <cellStyle name="쉼표 [0] 4 4 33 3" xfId="4168"/>
    <cellStyle name="쉼표 [0] 4 4 33 3 2" xfId="10504"/>
    <cellStyle name="쉼표 [0] 4 4 33 3 2 2" xfId="23178"/>
    <cellStyle name="쉼표 [0] 4 4 33 3 2 2 2" xfId="48530"/>
    <cellStyle name="쉼표 [0] 4 4 33 3 2 3" xfId="35858"/>
    <cellStyle name="쉼표 [0] 4 4 33 3 3" xfId="16842"/>
    <cellStyle name="쉼표 [0] 4 4 33 3 3 2" xfId="42194"/>
    <cellStyle name="쉼표 [0] 4 4 33 3 4" xfId="29522"/>
    <cellStyle name="쉼표 [0] 4 4 33 4" xfId="7386"/>
    <cellStyle name="쉼표 [0] 4 4 33 4 2" xfId="20060"/>
    <cellStyle name="쉼표 [0] 4 4 33 4 2 2" xfId="45412"/>
    <cellStyle name="쉼표 [0] 4 4 33 4 3" xfId="32740"/>
    <cellStyle name="쉼표 [0] 4 4 33 5" xfId="13724"/>
    <cellStyle name="쉼표 [0] 4 4 33 5 2" xfId="39076"/>
    <cellStyle name="쉼표 [0] 4 4 33 6" xfId="26404"/>
    <cellStyle name="쉼표 [0] 4 4 34" xfId="1051"/>
    <cellStyle name="쉼표 [0] 4 4 34 2" xfId="1052"/>
    <cellStyle name="쉼표 [0] 4 4 34 2 2" xfId="4169"/>
    <cellStyle name="쉼표 [0] 4 4 34 2 2 2" xfId="10505"/>
    <cellStyle name="쉼표 [0] 4 4 34 2 2 2 2" xfId="23179"/>
    <cellStyle name="쉼표 [0] 4 4 34 2 2 2 2 2" xfId="48531"/>
    <cellStyle name="쉼표 [0] 4 4 34 2 2 2 3" xfId="35859"/>
    <cellStyle name="쉼표 [0] 4 4 34 2 2 3" xfId="16843"/>
    <cellStyle name="쉼표 [0] 4 4 34 2 2 3 2" xfId="42195"/>
    <cellStyle name="쉼표 [0] 4 4 34 2 2 4" xfId="29523"/>
    <cellStyle name="쉼표 [0] 4 4 34 2 3" xfId="7389"/>
    <cellStyle name="쉼표 [0] 4 4 34 2 3 2" xfId="20063"/>
    <cellStyle name="쉼표 [0] 4 4 34 2 3 2 2" xfId="45415"/>
    <cellStyle name="쉼표 [0] 4 4 34 2 3 3" xfId="32743"/>
    <cellStyle name="쉼표 [0] 4 4 34 2 4" xfId="13727"/>
    <cellStyle name="쉼표 [0] 4 4 34 2 4 2" xfId="39079"/>
    <cellStyle name="쉼표 [0] 4 4 34 2 5" xfId="26407"/>
    <cellStyle name="쉼표 [0] 4 4 34 3" xfId="4170"/>
    <cellStyle name="쉼표 [0] 4 4 34 3 2" xfId="10506"/>
    <cellStyle name="쉼표 [0] 4 4 34 3 2 2" xfId="23180"/>
    <cellStyle name="쉼표 [0] 4 4 34 3 2 2 2" xfId="48532"/>
    <cellStyle name="쉼표 [0] 4 4 34 3 2 3" xfId="35860"/>
    <cellStyle name="쉼표 [0] 4 4 34 3 3" xfId="16844"/>
    <cellStyle name="쉼표 [0] 4 4 34 3 3 2" xfId="42196"/>
    <cellStyle name="쉼표 [0] 4 4 34 3 4" xfId="29524"/>
    <cellStyle name="쉼표 [0] 4 4 34 4" xfId="7388"/>
    <cellStyle name="쉼표 [0] 4 4 34 4 2" xfId="20062"/>
    <cellStyle name="쉼표 [0] 4 4 34 4 2 2" xfId="45414"/>
    <cellStyle name="쉼표 [0] 4 4 34 4 3" xfId="32742"/>
    <cellStyle name="쉼표 [0] 4 4 34 5" xfId="13726"/>
    <cellStyle name="쉼표 [0] 4 4 34 5 2" xfId="39078"/>
    <cellStyle name="쉼표 [0] 4 4 34 6" xfId="26406"/>
    <cellStyle name="쉼표 [0] 4 4 35" xfId="1053"/>
    <cellStyle name="쉼표 [0] 4 4 35 2" xfId="4171"/>
    <cellStyle name="쉼표 [0] 4 4 35 2 2" xfId="10507"/>
    <cellStyle name="쉼표 [0] 4 4 35 2 2 2" xfId="23181"/>
    <cellStyle name="쉼표 [0] 4 4 35 2 2 2 2" xfId="48533"/>
    <cellStyle name="쉼표 [0] 4 4 35 2 2 3" xfId="35861"/>
    <cellStyle name="쉼표 [0] 4 4 35 2 3" xfId="16845"/>
    <cellStyle name="쉼표 [0] 4 4 35 2 3 2" xfId="42197"/>
    <cellStyle name="쉼표 [0] 4 4 35 2 4" xfId="29525"/>
    <cellStyle name="쉼표 [0] 4 4 35 3" xfId="7390"/>
    <cellStyle name="쉼표 [0] 4 4 35 3 2" xfId="20064"/>
    <cellStyle name="쉼표 [0] 4 4 35 3 2 2" xfId="45416"/>
    <cellStyle name="쉼표 [0] 4 4 35 3 3" xfId="32744"/>
    <cellStyle name="쉼표 [0] 4 4 35 4" xfId="13728"/>
    <cellStyle name="쉼표 [0] 4 4 35 4 2" xfId="39080"/>
    <cellStyle name="쉼표 [0] 4 4 35 5" xfId="26408"/>
    <cellStyle name="쉼표 [0] 4 4 36" xfId="4172"/>
    <cellStyle name="쉼표 [0] 4 4 36 2" xfId="10508"/>
    <cellStyle name="쉼표 [0] 4 4 36 2 2" xfId="23182"/>
    <cellStyle name="쉼표 [0] 4 4 36 2 2 2" xfId="48534"/>
    <cellStyle name="쉼표 [0] 4 4 36 2 3" xfId="35862"/>
    <cellStyle name="쉼표 [0] 4 4 36 3" xfId="16846"/>
    <cellStyle name="쉼표 [0] 4 4 36 3 2" xfId="42198"/>
    <cellStyle name="쉼표 [0] 4 4 36 4" xfId="29526"/>
    <cellStyle name="쉼표 [0] 4 4 37" xfId="6385"/>
    <cellStyle name="쉼표 [0] 4 4 37 2" xfId="19059"/>
    <cellStyle name="쉼표 [0] 4 4 37 2 2" xfId="44411"/>
    <cellStyle name="쉼표 [0] 4 4 37 3" xfId="31739"/>
    <cellStyle name="쉼표 [0] 4 4 38" xfId="12723"/>
    <cellStyle name="쉼표 [0] 4 4 38 2" xfId="38075"/>
    <cellStyle name="쉼표 [0] 4 4 39" xfId="25403"/>
    <cellStyle name="쉼표 [0] 4 4 4" xfId="1054"/>
    <cellStyle name="쉼표 [0] 4 4 4 2" xfId="1055"/>
    <cellStyle name="쉼표 [0] 4 4 4 2 2" xfId="4173"/>
    <cellStyle name="쉼표 [0] 4 4 4 2 2 2" xfId="10509"/>
    <cellStyle name="쉼표 [0] 4 4 4 2 2 2 2" xfId="23183"/>
    <cellStyle name="쉼표 [0] 4 4 4 2 2 2 2 2" xfId="48535"/>
    <cellStyle name="쉼표 [0] 4 4 4 2 2 2 3" xfId="35863"/>
    <cellStyle name="쉼표 [0] 4 4 4 2 2 3" xfId="16847"/>
    <cellStyle name="쉼표 [0] 4 4 4 2 2 3 2" xfId="42199"/>
    <cellStyle name="쉼표 [0] 4 4 4 2 2 4" xfId="29527"/>
    <cellStyle name="쉼표 [0] 4 4 4 2 3" xfId="7392"/>
    <cellStyle name="쉼표 [0] 4 4 4 2 3 2" xfId="20066"/>
    <cellStyle name="쉼표 [0] 4 4 4 2 3 2 2" xfId="45418"/>
    <cellStyle name="쉼표 [0] 4 4 4 2 3 3" xfId="32746"/>
    <cellStyle name="쉼표 [0] 4 4 4 2 4" xfId="13730"/>
    <cellStyle name="쉼표 [0] 4 4 4 2 4 2" xfId="39082"/>
    <cellStyle name="쉼표 [0] 4 4 4 2 5" xfId="26410"/>
    <cellStyle name="쉼표 [0] 4 4 4 3" xfId="4174"/>
    <cellStyle name="쉼표 [0] 4 4 4 3 2" xfId="10510"/>
    <cellStyle name="쉼표 [0] 4 4 4 3 2 2" xfId="23184"/>
    <cellStyle name="쉼표 [0] 4 4 4 3 2 2 2" xfId="48536"/>
    <cellStyle name="쉼표 [0] 4 4 4 3 2 3" xfId="35864"/>
    <cellStyle name="쉼표 [0] 4 4 4 3 3" xfId="16848"/>
    <cellStyle name="쉼표 [0] 4 4 4 3 3 2" xfId="42200"/>
    <cellStyle name="쉼표 [0] 4 4 4 3 4" xfId="29528"/>
    <cellStyle name="쉼표 [0] 4 4 4 4" xfId="7391"/>
    <cellStyle name="쉼표 [0] 4 4 4 4 2" xfId="20065"/>
    <cellStyle name="쉼표 [0] 4 4 4 4 2 2" xfId="45417"/>
    <cellStyle name="쉼표 [0] 4 4 4 4 3" xfId="32745"/>
    <cellStyle name="쉼표 [0] 4 4 4 5" xfId="13729"/>
    <cellStyle name="쉼표 [0] 4 4 4 5 2" xfId="39081"/>
    <cellStyle name="쉼표 [0] 4 4 4 6" xfId="26409"/>
    <cellStyle name="쉼표 [0] 4 4 5" xfId="1056"/>
    <cellStyle name="쉼표 [0] 4 4 5 2" xfId="1057"/>
    <cellStyle name="쉼표 [0] 4 4 5 2 2" xfId="4175"/>
    <cellStyle name="쉼표 [0] 4 4 5 2 2 2" xfId="10511"/>
    <cellStyle name="쉼표 [0] 4 4 5 2 2 2 2" xfId="23185"/>
    <cellStyle name="쉼표 [0] 4 4 5 2 2 2 2 2" xfId="48537"/>
    <cellStyle name="쉼표 [0] 4 4 5 2 2 2 3" xfId="35865"/>
    <cellStyle name="쉼표 [0] 4 4 5 2 2 3" xfId="16849"/>
    <cellStyle name="쉼표 [0] 4 4 5 2 2 3 2" xfId="42201"/>
    <cellStyle name="쉼표 [0] 4 4 5 2 2 4" xfId="29529"/>
    <cellStyle name="쉼표 [0] 4 4 5 2 3" xfId="7394"/>
    <cellStyle name="쉼표 [0] 4 4 5 2 3 2" xfId="20068"/>
    <cellStyle name="쉼표 [0] 4 4 5 2 3 2 2" xfId="45420"/>
    <cellStyle name="쉼표 [0] 4 4 5 2 3 3" xfId="32748"/>
    <cellStyle name="쉼표 [0] 4 4 5 2 4" xfId="13732"/>
    <cellStyle name="쉼표 [0] 4 4 5 2 4 2" xfId="39084"/>
    <cellStyle name="쉼표 [0] 4 4 5 2 5" xfId="26412"/>
    <cellStyle name="쉼표 [0] 4 4 5 3" xfId="4176"/>
    <cellStyle name="쉼표 [0] 4 4 5 3 2" xfId="10512"/>
    <cellStyle name="쉼표 [0] 4 4 5 3 2 2" xfId="23186"/>
    <cellStyle name="쉼표 [0] 4 4 5 3 2 2 2" xfId="48538"/>
    <cellStyle name="쉼표 [0] 4 4 5 3 2 3" xfId="35866"/>
    <cellStyle name="쉼표 [0] 4 4 5 3 3" xfId="16850"/>
    <cellStyle name="쉼표 [0] 4 4 5 3 3 2" xfId="42202"/>
    <cellStyle name="쉼표 [0] 4 4 5 3 4" xfId="29530"/>
    <cellStyle name="쉼표 [0] 4 4 5 4" xfId="7393"/>
    <cellStyle name="쉼표 [0] 4 4 5 4 2" xfId="20067"/>
    <cellStyle name="쉼표 [0] 4 4 5 4 2 2" xfId="45419"/>
    <cellStyle name="쉼표 [0] 4 4 5 4 3" xfId="32747"/>
    <cellStyle name="쉼표 [0] 4 4 5 5" xfId="13731"/>
    <cellStyle name="쉼표 [0] 4 4 5 5 2" xfId="39083"/>
    <cellStyle name="쉼표 [0] 4 4 5 6" xfId="26411"/>
    <cellStyle name="쉼표 [0] 4 4 6" xfId="1058"/>
    <cellStyle name="쉼표 [0] 4 4 6 2" xfId="1059"/>
    <cellStyle name="쉼표 [0] 4 4 6 2 2" xfId="4177"/>
    <cellStyle name="쉼표 [0] 4 4 6 2 2 2" xfId="10513"/>
    <cellStyle name="쉼표 [0] 4 4 6 2 2 2 2" xfId="23187"/>
    <cellStyle name="쉼표 [0] 4 4 6 2 2 2 2 2" xfId="48539"/>
    <cellStyle name="쉼표 [0] 4 4 6 2 2 2 3" xfId="35867"/>
    <cellStyle name="쉼표 [0] 4 4 6 2 2 3" xfId="16851"/>
    <cellStyle name="쉼표 [0] 4 4 6 2 2 3 2" xfId="42203"/>
    <cellStyle name="쉼표 [0] 4 4 6 2 2 4" xfId="29531"/>
    <cellStyle name="쉼표 [0] 4 4 6 2 3" xfId="7396"/>
    <cellStyle name="쉼표 [0] 4 4 6 2 3 2" xfId="20070"/>
    <cellStyle name="쉼표 [0] 4 4 6 2 3 2 2" xfId="45422"/>
    <cellStyle name="쉼표 [0] 4 4 6 2 3 3" xfId="32750"/>
    <cellStyle name="쉼표 [0] 4 4 6 2 4" xfId="13734"/>
    <cellStyle name="쉼표 [0] 4 4 6 2 4 2" xfId="39086"/>
    <cellStyle name="쉼표 [0] 4 4 6 2 5" xfId="26414"/>
    <cellStyle name="쉼표 [0] 4 4 6 3" xfId="4178"/>
    <cellStyle name="쉼표 [0] 4 4 6 3 2" xfId="10514"/>
    <cellStyle name="쉼표 [0] 4 4 6 3 2 2" xfId="23188"/>
    <cellStyle name="쉼표 [0] 4 4 6 3 2 2 2" xfId="48540"/>
    <cellStyle name="쉼표 [0] 4 4 6 3 2 3" xfId="35868"/>
    <cellStyle name="쉼표 [0] 4 4 6 3 3" xfId="16852"/>
    <cellStyle name="쉼표 [0] 4 4 6 3 3 2" xfId="42204"/>
    <cellStyle name="쉼표 [0] 4 4 6 3 4" xfId="29532"/>
    <cellStyle name="쉼표 [0] 4 4 6 4" xfId="7395"/>
    <cellStyle name="쉼표 [0] 4 4 6 4 2" xfId="20069"/>
    <cellStyle name="쉼표 [0] 4 4 6 4 2 2" xfId="45421"/>
    <cellStyle name="쉼표 [0] 4 4 6 4 3" xfId="32749"/>
    <cellStyle name="쉼표 [0] 4 4 6 5" xfId="13733"/>
    <cellStyle name="쉼표 [0] 4 4 6 5 2" xfId="39085"/>
    <cellStyle name="쉼표 [0] 4 4 6 6" xfId="26413"/>
    <cellStyle name="쉼표 [0] 4 4 7" xfId="1060"/>
    <cellStyle name="쉼표 [0] 4 4 7 2" xfId="1061"/>
    <cellStyle name="쉼표 [0] 4 4 7 2 2" xfId="4179"/>
    <cellStyle name="쉼표 [0] 4 4 7 2 2 2" xfId="10515"/>
    <cellStyle name="쉼표 [0] 4 4 7 2 2 2 2" xfId="23189"/>
    <cellStyle name="쉼표 [0] 4 4 7 2 2 2 2 2" xfId="48541"/>
    <cellStyle name="쉼표 [0] 4 4 7 2 2 2 3" xfId="35869"/>
    <cellStyle name="쉼표 [0] 4 4 7 2 2 3" xfId="16853"/>
    <cellStyle name="쉼표 [0] 4 4 7 2 2 3 2" xfId="42205"/>
    <cellStyle name="쉼표 [0] 4 4 7 2 2 4" xfId="29533"/>
    <cellStyle name="쉼표 [0] 4 4 7 2 3" xfId="7398"/>
    <cellStyle name="쉼표 [0] 4 4 7 2 3 2" xfId="20072"/>
    <cellStyle name="쉼표 [0] 4 4 7 2 3 2 2" xfId="45424"/>
    <cellStyle name="쉼표 [0] 4 4 7 2 3 3" xfId="32752"/>
    <cellStyle name="쉼표 [0] 4 4 7 2 4" xfId="13736"/>
    <cellStyle name="쉼표 [0] 4 4 7 2 4 2" xfId="39088"/>
    <cellStyle name="쉼표 [0] 4 4 7 2 5" xfId="26416"/>
    <cellStyle name="쉼표 [0] 4 4 7 3" xfId="4180"/>
    <cellStyle name="쉼표 [0] 4 4 7 3 2" xfId="10516"/>
    <cellStyle name="쉼표 [0] 4 4 7 3 2 2" xfId="23190"/>
    <cellStyle name="쉼표 [0] 4 4 7 3 2 2 2" xfId="48542"/>
    <cellStyle name="쉼표 [0] 4 4 7 3 2 3" xfId="35870"/>
    <cellStyle name="쉼표 [0] 4 4 7 3 3" xfId="16854"/>
    <cellStyle name="쉼표 [0] 4 4 7 3 3 2" xfId="42206"/>
    <cellStyle name="쉼표 [0] 4 4 7 3 4" xfId="29534"/>
    <cellStyle name="쉼표 [0] 4 4 7 4" xfId="7397"/>
    <cellStyle name="쉼표 [0] 4 4 7 4 2" xfId="20071"/>
    <cellStyle name="쉼표 [0] 4 4 7 4 2 2" xfId="45423"/>
    <cellStyle name="쉼표 [0] 4 4 7 4 3" xfId="32751"/>
    <cellStyle name="쉼표 [0] 4 4 7 5" xfId="13735"/>
    <cellStyle name="쉼표 [0] 4 4 7 5 2" xfId="39087"/>
    <cellStyle name="쉼표 [0] 4 4 7 6" xfId="26415"/>
    <cellStyle name="쉼표 [0] 4 4 8" xfId="1062"/>
    <cellStyle name="쉼표 [0] 4 4 8 2" xfId="1063"/>
    <cellStyle name="쉼표 [0] 4 4 8 2 2" xfId="4181"/>
    <cellStyle name="쉼표 [0] 4 4 8 2 2 2" xfId="10517"/>
    <cellStyle name="쉼표 [0] 4 4 8 2 2 2 2" xfId="23191"/>
    <cellStyle name="쉼표 [0] 4 4 8 2 2 2 2 2" xfId="48543"/>
    <cellStyle name="쉼표 [0] 4 4 8 2 2 2 3" xfId="35871"/>
    <cellStyle name="쉼표 [0] 4 4 8 2 2 3" xfId="16855"/>
    <cellStyle name="쉼표 [0] 4 4 8 2 2 3 2" xfId="42207"/>
    <cellStyle name="쉼표 [0] 4 4 8 2 2 4" xfId="29535"/>
    <cellStyle name="쉼표 [0] 4 4 8 2 3" xfId="7400"/>
    <cellStyle name="쉼표 [0] 4 4 8 2 3 2" xfId="20074"/>
    <cellStyle name="쉼표 [0] 4 4 8 2 3 2 2" xfId="45426"/>
    <cellStyle name="쉼표 [0] 4 4 8 2 3 3" xfId="32754"/>
    <cellStyle name="쉼표 [0] 4 4 8 2 4" xfId="13738"/>
    <cellStyle name="쉼표 [0] 4 4 8 2 4 2" xfId="39090"/>
    <cellStyle name="쉼표 [0] 4 4 8 2 5" xfId="26418"/>
    <cellStyle name="쉼표 [0] 4 4 8 3" xfId="4182"/>
    <cellStyle name="쉼표 [0] 4 4 8 3 2" xfId="10518"/>
    <cellStyle name="쉼표 [0] 4 4 8 3 2 2" xfId="23192"/>
    <cellStyle name="쉼표 [0] 4 4 8 3 2 2 2" xfId="48544"/>
    <cellStyle name="쉼표 [0] 4 4 8 3 2 3" xfId="35872"/>
    <cellStyle name="쉼표 [0] 4 4 8 3 3" xfId="16856"/>
    <cellStyle name="쉼표 [0] 4 4 8 3 3 2" xfId="42208"/>
    <cellStyle name="쉼표 [0] 4 4 8 3 4" xfId="29536"/>
    <cellStyle name="쉼표 [0] 4 4 8 4" xfId="7399"/>
    <cellStyle name="쉼표 [0] 4 4 8 4 2" xfId="20073"/>
    <cellStyle name="쉼표 [0] 4 4 8 4 2 2" xfId="45425"/>
    <cellStyle name="쉼표 [0] 4 4 8 4 3" xfId="32753"/>
    <cellStyle name="쉼표 [0] 4 4 8 5" xfId="13737"/>
    <cellStyle name="쉼표 [0] 4 4 8 5 2" xfId="39089"/>
    <cellStyle name="쉼표 [0] 4 4 8 6" xfId="26417"/>
    <cellStyle name="쉼표 [0] 4 4 9" xfId="1064"/>
    <cellStyle name="쉼표 [0] 4 4 9 2" xfId="1065"/>
    <cellStyle name="쉼표 [0] 4 4 9 2 2" xfId="4183"/>
    <cellStyle name="쉼표 [0] 4 4 9 2 2 2" xfId="10519"/>
    <cellStyle name="쉼표 [0] 4 4 9 2 2 2 2" xfId="23193"/>
    <cellStyle name="쉼표 [0] 4 4 9 2 2 2 2 2" xfId="48545"/>
    <cellStyle name="쉼표 [0] 4 4 9 2 2 2 3" xfId="35873"/>
    <cellStyle name="쉼표 [0] 4 4 9 2 2 3" xfId="16857"/>
    <cellStyle name="쉼표 [0] 4 4 9 2 2 3 2" xfId="42209"/>
    <cellStyle name="쉼표 [0] 4 4 9 2 2 4" xfId="29537"/>
    <cellStyle name="쉼표 [0] 4 4 9 2 3" xfId="7402"/>
    <cellStyle name="쉼표 [0] 4 4 9 2 3 2" xfId="20076"/>
    <cellStyle name="쉼표 [0] 4 4 9 2 3 2 2" xfId="45428"/>
    <cellStyle name="쉼표 [0] 4 4 9 2 3 3" xfId="32756"/>
    <cellStyle name="쉼표 [0] 4 4 9 2 4" xfId="13740"/>
    <cellStyle name="쉼표 [0] 4 4 9 2 4 2" xfId="39092"/>
    <cellStyle name="쉼표 [0] 4 4 9 2 5" xfId="26420"/>
    <cellStyle name="쉼표 [0] 4 4 9 3" xfId="4184"/>
    <cellStyle name="쉼표 [0] 4 4 9 3 2" xfId="10520"/>
    <cellStyle name="쉼표 [0] 4 4 9 3 2 2" xfId="23194"/>
    <cellStyle name="쉼표 [0] 4 4 9 3 2 2 2" xfId="48546"/>
    <cellStyle name="쉼표 [0] 4 4 9 3 2 3" xfId="35874"/>
    <cellStyle name="쉼표 [0] 4 4 9 3 3" xfId="16858"/>
    <cellStyle name="쉼표 [0] 4 4 9 3 3 2" xfId="42210"/>
    <cellStyle name="쉼표 [0] 4 4 9 3 4" xfId="29538"/>
    <cellStyle name="쉼표 [0] 4 4 9 4" xfId="7401"/>
    <cellStyle name="쉼표 [0] 4 4 9 4 2" xfId="20075"/>
    <cellStyle name="쉼표 [0] 4 4 9 4 2 2" xfId="45427"/>
    <cellStyle name="쉼표 [0] 4 4 9 4 3" xfId="32755"/>
    <cellStyle name="쉼표 [0] 4 4 9 5" xfId="13739"/>
    <cellStyle name="쉼표 [0] 4 4 9 5 2" xfId="39091"/>
    <cellStyle name="쉼표 [0] 4 4 9 6" xfId="26419"/>
    <cellStyle name="쉼표 [0] 4 40" xfId="6373"/>
    <cellStyle name="쉼표 [0] 4 40 2" xfId="19047"/>
    <cellStyle name="쉼표 [0] 4 40 2 2" xfId="44399"/>
    <cellStyle name="쉼표 [0] 4 40 3" xfId="31727"/>
    <cellStyle name="쉼표 [0] 4 41" xfId="12711"/>
    <cellStyle name="쉼표 [0] 4 41 2" xfId="38063"/>
    <cellStyle name="쉼표 [0] 4 42" xfId="25391"/>
    <cellStyle name="쉼표 [0] 4 5" xfId="71"/>
    <cellStyle name="쉼표 [0] 4 5 10" xfId="1066"/>
    <cellStyle name="쉼표 [0] 4 5 10 2" xfId="1067"/>
    <cellStyle name="쉼표 [0] 4 5 10 2 2" xfId="4185"/>
    <cellStyle name="쉼표 [0] 4 5 10 2 2 2" xfId="10521"/>
    <cellStyle name="쉼표 [0] 4 5 10 2 2 2 2" xfId="23195"/>
    <cellStyle name="쉼표 [0] 4 5 10 2 2 2 2 2" xfId="48547"/>
    <cellStyle name="쉼표 [0] 4 5 10 2 2 2 3" xfId="35875"/>
    <cellStyle name="쉼표 [0] 4 5 10 2 2 3" xfId="16859"/>
    <cellStyle name="쉼표 [0] 4 5 10 2 2 3 2" xfId="42211"/>
    <cellStyle name="쉼표 [0] 4 5 10 2 2 4" xfId="29539"/>
    <cellStyle name="쉼표 [0] 4 5 10 2 3" xfId="7404"/>
    <cellStyle name="쉼표 [0] 4 5 10 2 3 2" xfId="20078"/>
    <cellStyle name="쉼표 [0] 4 5 10 2 3 2 2" xfId="45430"/>
    <cellStyle name="쉼표 [0] 4 5 10 2 3 3" xfId="32758"/>
    <cellStyle name="쉼표 [0] 4 5 10 2 4" xfId="13742"/>
    <cellStyle name="쉼표 [0] 4 5 10 2 4 2" xfId="39094"/>
    <cellStyle name="쉼표 [0] 4 5 10 2 5" xfId="26422"/>
    <cellStyle name="쉼표 [0] 4 5 10 3" xfId="4186"/>
    <cellStyle name="쉼표 [0] 4 5 10 3 2" xfId="10522"/>
    <cellStyle name="쉼표 [0] 4 5 10 3 2 2" xfId="23196"/>
    <cellStyle name="쉼표 [0] 4 5 10 3 2 2 2" xfId="48548"/>
    <cellStyle name="쉼표 [0] 4 5 10 3 2 3" xfId="35876"/>
    <cellStyle name="쉼표 [0] 4 5 10 3 3" xfId="16860"/>
    <cellStyle name="쉼표 [0] 4 5 10 3 3 2" xfId="42212"/>
    <cellStyle name="쉼표 [0] 4 5 10 3 4" xfId="29540"/>
    <cellStyle name="쉼표 [0] 4 5 10 4" xfId="7403"/>
    <cellStyle name="쉼표 [0] 4 5 10 4 2" xfId="20077"/>
    <cellStyle name="쉼표 [0] 4 5 10 4 2 2" xfId="45429"/>
    <cellStyle name="쉼표 [0] 4 5 10 4 3" xfId="32757"/>
    <cellStyle name="쉼표 [0] 4 5 10 5" xfId="13741"/>
    <cellStyle name="쉼표 [0] 4 5 10 5 2" xfId="39093"/>
    <cellStyle name="쉼표 [0] 4 5 10 6" xfId="26421"/>
    <cellStyle name="쉼표 [0] 4 5 11" xfId="1068"/>
    <cellStyle name="쉼표 [0] 4 5 11 2" xfId="1069"/>
    <cellStyle name="쉼표 [0] 4 5 11 2 2" xfId="4187"/>
    <cellStyle name="쉼표 [0] 4 5 11 2 2 2" xfId="10523"/>
    <cellStyle name="쉼표 [0] 4 5 11 2 2 2 2" xfId="23197"/>
    <cellStyle name="쉼표 [0] 4 5 11 2 2 2 2 2" xfId="48549"/>
    <cellStyle name="쉼표 [0] 4 5 11 2 2 2 3" xfId="35877"/>
    <cellStyle name="쉼표 [0] 4 5 11 2 2 3" xfId="16861"/>
    <cellStyle name="쉼표 [0] 4 5 11 2 2 3 2" xfId="42213"/>
    <cellStyle name="쉼표 [0] 4 5 11 2 2 4" xfId="29541"/>
    <cellStyle name="쉼표 [0] 4 5 11 2 3" xfId="7406"/>
    <cellStyle name="쉼표 [0] 4 5 11 2 3 2" xfId="20080"/>
    <cellStyle name="쉼표 [0] 4 5 11 2 3 2 2" xfId="45432"/>
    <cellStyle name="쉼표 [0] 4 5 11 2 3 3" xfId="32760"/>
    <cellStyle name="쉼표 [0] 4 5 11 2 4" xfId="13744"/>
    <cellStyle name="쉼표 [0] 4 5 11 2 4 2" xfId="39096"/>
    <cellStyle name="쉼표 [0] 4 5 11 2 5" xfId="26424"/>
    <cellStyle name="쉼표 [0] 4 5 11 3" xfId="4188"/>
    <cellStyle name="쉼표 [0] 4 5 11 3 2" xfId="10524"/>
    <cellStyle name="쉼표 [0] 4 5 11 3 2 2" xfId="23198"/>
    <cellStyle name="쉼표 [0] 4 5 11 3 2 2 2" xfId="48550"/>
    <cellStyle name="쉼표 [0] 4 5 11 3 2 3" xfId="35878"/>
    <cellStyle name="쉼표 [0] 4 5 11 3 3" xfId="16862"/>
    <cellStyle name="쉼표 [0] 4 5 11 3 3 2" xfId="42214"/>
    <cellStyle name="쉼표 [0] 4 5 11 3 4" xfId="29542"/>
    <cellStyle name="쉼표 [0] 4 5 11 4" xfId="7405"/>
    <cellStyle name="쉼표 [0] 4 5 11 4 2" xfId="20079"/>
    <cellStyle name="쉼표 [0] 4 5 11 4 2 2" xfId="45431"/>
    <cellStyle name="쉼표 [0] 4 5 11 4 3" xfId="32759"/>
    <cellStyle name="쉼표 [0] 4 5 11 5" xfId="13743"/>
    <cellStyle name="쉼표 [0] 4 5 11 5 2" xfId="39095"/>
    <cellStyle name="쉼표 [0] 4 5 11 6" xfId="26423"/>
    <cellStyle name="쉼표 [0] 4 5 12" xfId="1070"/>
    <cellStyle name="쉼표 [0] 4 5 12 2" xfId="1071"/>
    <cellStyle name="쉼표 [0] 4 5 12 2 2" xfId="4189"/>
    <cellStyle name="쉼표 [0] 4 5 12 2 2 2" xfId="10525"/>
    <cellStyle name="쉼표 [0] 4 5 12 2 2 2 2" xfId="23199"/>
    <cellStyle name="쉼표 [0] 4 5 12 2 2 2 2 2" xfId="48551"/>
    <cellStyle name="쉼표 [0] 4 5 12 2 2 2 3" xfId="35879"/>
    <cellStyle name="쉼표 [0] 4 5 12 2 2 3" xfId="16863"/>
    <cellStyle name="쉼표 [0] 4 5 12 2 2 3 2" xfId="42215"/>
    <cellStyle name="쉼표 [0] 4 5 12 2 2 4" xfId="29543"/>
    <cellStyle name="쉼표 [0] 4 5 12 2 3" xfId="7408"/>
    <cellStyle name="쉼표 [0] 4 5 12 2 3 2" xfId="20082"/>
    <cellStyle name="쉼표 [0] 4 5 12 2 3 2 2" xfId="45434"/>
    <cellStyle name="쉼표 [0] 4 5 12 2 3 3" xfId="32762"/>
    <cellStyle name="쉼표 [0] 4 5 12 2 4" xfId="13746"/>
    <cellStyle name="쉼표 [0] 4 5 12 2 4 2" xfId="39098"/>
    <cellStyle name="쉼표 [0] 4 5 12 2 5" xfId="26426"/>
    <cellStyle name="쉼표 [0] 4 5 12 3" xfId="4190"/>
    <cellStyle name="쉼표 [0] 4 5 12 3 2" xfId="10526"/>
    <cellStyle name="쉼표 [0] 4 5 12 3 2 2" xfId="23200"/>
    <cellStyle name="쉼표 [0] 4 5 12 3 2 2 2" xfId="48552"/>
    <cellStyle name="쉼표 [0] 4 5 12 3 2 3" xfId="35880"/>
    <cellStyle name="쉼표 [0] 4 5 12 3 3" xfId="16864"/>
    <cellStyle name="쉼표 [0] 4 5 12 3 3 2" xfId="42216"/>
    <cellStyle name="쉼표 [0] 4 5 12 3 4" xfId="29544"/>
    <cellStyle name="쉼표 [0] 4 5 12 4" xfId="7407"/>
    <cellStyle name="쉼표 [0] 4 5 12 4 2" xfId="20081"/>
    <cellStyle name="쉼표 [0] 4 5 12 4 2 2" xfId="45433"/>
    <cellStyle name="쉼표 [0] 4 5 12 4 3" xfId="32761"/>
    <cellStyle name="쉼표 [0] 4 5 12 5" xfId="13745"/>
    <cellStyle name="쉼표 [0] 4 5 12 5 2" xfId="39097"/>
    <cellStyle name="쉼표 [0] 4 5 12 6" xfId="26425"/>
    <cellStyle name="쉼표 [0] 4 5 13" xfId="1072"/>
    <cellStyle name="쉼표 [0] 4 5 13 2" xfId="1073"/>
    <cellStyle name="쉼표 [0] 4 5 13 2 2" xfId="4191"/>
    <cellStyle name="쉼표 [0] 4 5 13 2 2 2" xfId="10527"/>
    <cellStyle name="쉼표 [0] 4 5 13 2 2 2 2" xfId="23201"/>
    <cellStyle name="쉼표 [0] 4 5 13 2 2 2 2 2" xfId="48553"/>
    <cellStyle name="쉼표 [0] 4 5 13 2 2 2 3" xfId="35881"/>
    <cellStyle name="쉼표 [0] 4 5 13 2 2 3" xfId="16865"/>
    <cellStyle name="쉼표 [0] 4 5 13 2 2 3 2" xfId="42217"/>
    <cellStyle name="쉼표 [0] 4 5 13 2 2 4" xfId="29545"/>
    <cellStyle name="쉼표 [0] 4 5 13 2 3" xfId="7410"/>
    <cellStyle name="쉼표 [0] 4 5 13 2 3 2" xfId="20084"/>
    <cellStyle name="쉼표 [0] 4 5 13 2 3 2 2" xfId="45436"/>
    <cellStyle name="쉼표 [0] 4 5 13 2 3 3" xfId="32764"/>
    <cellStyle name="쉼표 [0] 4 5 13 2 4" xfId="13748"/>
    <cellStyle name="쉼표 [0] 4 5 13 2 4 2" xfId="39100"/>
    <cellStyle name="쉼표 [0] 4 5 13 2 5" xfId="26428"/>
    <cellStyle name="쉼표 [0] 4 5 13 3" xfId="4192"/>
    <cellStyle name="쉼표 [0] 4 5 13 3 2" xfId="10528"/>
    <cellStyle name="쉼표 [0] 4 5 13 3 2 2" xfId="23202"/>
    <cellStyle name="쉼표 [0] 4 5 13 3 2 2 2" xfId="48554"/>
    <cellStyle name="쉼표 [0] 4 5 13 3 2 3" xfId="35882"/>
    <cellStyle name="쉼표 [0] 4 5 13 3 3" xfId="16866"/>
    <cellStyle name="쉼표 [0] 4 5 13 3 3 2" xfId="42218"/>
    <cellStyle name="쉼표 [0] 4 5 13 3 4" xfId="29546"/>
    <cellStyle name="쉼표 [0] 4 5 13 4" xfId="7409"/>
    <cellStyle name="쉼표 [0] 4 5 13 4 2" xfId="20083"/>
    <cellStyle name="쉼표 [0] 4 5 13 4 2 2" xfId="45435"/>
    <cellStyle name="쉼표 [0] 4 5 13 4 3" xfId="32763"/>
    <cellStyle name="쉼표 [0] 4 5 13 5" xfId="13747"/>
    <cellStyle name="쉼표 [0] 4 5 13 5 2" xfId="39099"/>
    <cellStyle name="쉼표 [0] 4 5 13 6" xfId="26427"/>
    <cellStyle name="쉼표 [0] 4 5 14" xfId="1074"/>
    <cellStyle name="쉼표 [0] 4 5 14 2" xfId="1075"/>
    <cellStyle name="쉼표 [0] 4 5 14 2 2" xfId="4193"/>
    <cellStyle name="쉼표 [0] 4 5 14 2 2 2" xfId="10529"/>
    <cellStyle name="쉼표 [0] 4 5 14 2 2 2 2" xfId="23203"/>
    <cellStyle name="쉼표 [0] 4 5 14 2 2 2 2 2" xfId="48555"/>
    <cellStyle name="쉼표 [0] 4 5 14 2 2 2 3" xfId="35883"/>
    <cellStyle name="쉼표 [0] 4 5 14 2 2 3" xfId="16867"/>
    <cellStyle name="쉼표 [0] 4 5 14 2 2 3 2" xfId="42219"/>
    <cellStyle name="쉼표 [0] 4 5 14 2 2 4" xfId="29547"/>
    <cellStyle name="쉼표 [0] 4 5 14 2 3" xfId="7412"/>
    <cellStyle name="쉼표 [0] 4 5 14 2 3 2" xfId="20086"/>
    <cellStyle name="쉼표 [0] 4 5 14 2 3 2 2" xfId="45438"/>
    <cellStyle name="쉼표 [0] 4 5 14 2 3 3" xfId="32766"/>
    <cellStyle name="쉼표 [0] 4 5 14 2 4" xfId="13750"/>
    <cellStyle name="쉼표 [0] 4 5 14 2 4 2" xfId="39102"/>
    <cellStyle name="쉼표 [0] 4 5 14 2 5" xfId="26430"/>
    <cellStyle name="쉼표 [0] 4 5 14 3" xfId="4194"/>
    <cellStyle name="쉼표 [0] 4 5 14 3 2" xfId="10530"/>
    <cellStyle name="쉼표 [0] 4 5 14 3 2 2" xfId="23204"/>
    <cellStyle name="쉼표 [0] 4 5 14 3 2 2 2" xfId="48556"/>
    <cellStyle name="쉼표 [0] 4 5 14 3 2 3" xfId="35884"/>
    <cellStyle name="쉼표 [0] 4 5 14 3 3" xfId="16868"/>
    <cellStyle name="쉼표 [0] 4 5 14 3 3 2" xfId="42220"/>
    <cellStyle name="쉼표 [0] 4 5 14 3 4" xfId="29548"/>
    <cellStyle name="쉼표 [0] 4 5 14 4" xfId="7411"/>
    <cellStyle name="쉼표 [0] 4 5 14 4 2" xfId="20085"/>
    <cellStyle name="쉼표 [0] 4 5 14 4 2 2" xfId="45437"/>
    <cellStyle name="쉼표 [0] 4 5 14 4 3" xfId="32765"/>
    <cellStyle name="쉼표 [0] 4 5 14 5" xfId="13749"/>
    <cellStyle name="쉼표 [0] 4 5 14 5 2" xfId="39101"/>
    <cellStyle name="쉼표 [0] 4 5 14 6" xfId="26429"/>
    <cellStyle name="쉼표 [0] 4 5 15" xfId="1076"/>
    <cellStyle name="쉼표 [0] 4 5 15 2" xfId="1077"/>
    <cellStyle name="쉼표 [0] 4 5 15 2 2" xfId="4195"/>
    <cellStyle name="쉼표 [0] 4 5 15 2 2 2" xfId="10531"/>
    <cellStyle name="쉼표 [0] 4 5 15 2 2 2 2" xfId="23205"/>
    <cellStyle name="쉼표 [0] 4 5 15 2 2 2 2 2" xfId="48557"/>
    <cellStyle name="쉼표 [0] 4 5 15 2 2 2 3" xfId="35885"/>
    <cellStyle name="쉼표 [0] 4 5 15 2 2 3" xfId="16869"/>
    <cellStyle name="쉼표 [0] 4 5 15 2 2 3 2" xfId="42221"/>
    <cellStyle name="쉼표 [0] 4 5 15 2 2 4" xfId="29549"/>
    <cellStyle name="쉼표 [0] 4 5 15 2 3" xfId="7414"/>
    <cellStyle name="쉼표 [0] 4 5 15 2 3 2" xfId="20088"/>
    <cellStyle name="쉼표 [0] 4 5 15 2 3 2 2" xfId="45440"/>
    <cellStyle name="쉼표 [0] 4 5 15 2 3 3" xfId="32768"/>
    <cellStyle name="쉼표 [0] 4 5 15 2 4" xfId="13752"/>
    <cellStyle name="쉼표 [0] 4 5 15 2 4 2" xfId="39104"/>
    <cellStyle name="쉼표 [0] 4 5 15 2 5" xfId="26432"/>
    <cellStyle name="쉼표 [0] 4 5 15 3" xfId="4196"/>
    <cellStyle name="쉼표 [0] 4 5 15 3 2" xfId="10532"/>
    <cellStyle name="쉼표 [0] 4 5 15 3 2 2" xfId="23206"/>
    <cellStyle name="쉼표 [0] 4 5 15 3 2 2 2" xfId="48558"/>
    <cellStyle name="쉼표 [0] 4 5 15 3 2 3" xfId="35886"/>
    <cellStyle name="쉼표 [0] 4 5 15 3 3" xfId="16870"/>
    <cellStyle name="쉼표 [0] 4 5 15 3 3 2" xfId="42222"/>
    <cellStyle name="쉼표 [0] 4 5 15 3 4" xfId="29550"/>
    <cellStyle name="쉼표 [0] 4 5 15 4" xfId="7413"/>
    <cellStyle name="쉼표 [0] 4 5 15 4 2" xfId="20087"/>
    <cellStyle name="쉼표 [0] 4 5 15 4 2 2" xfId="45439"/>
    <cellStyle name="쉼표 [0] 4 5 15 4 3" xfId="32767"/>
    <cellStyle name="쉼표 [0] 4 5 15 5" xfId="13751"/>
    <cellStyle name="쉼표 [0] 4 5 15 5 2" xfId="39103"/>
    <cellStyle name="쉼표 [0] 4 5 15 6" xfId="26431"/>
    <cellStyle name="쉼표 [0] 4 5 16" xfId="1078"/>
    <cellStyle name="쉼표 [0] 4 5 16 2" xfId="1079"/>
    <cellStyle name="쉼표 [0] 4 5 16 2 2" xfId="4197"/>
    <cellStyle name="쉼표 [0] 4 5 16 2 2 2" xfId="10533"/>
    <cellStyle name="쉼표 [0] 4 5 16 2 2 2 2" xfId="23207"/>
    <cellStyle name="쉼표 [0] 4 5 16 2 2 2 2 2" xfId="48559"/>
    <cellStyle name="쉼표 [0] 4 5 16 2 2 2 3" xfId="35887"/>
    <cellStyle name="쉼표 [0] 4 5 16 2 2 3" xfId="16871"/>
    <cellStyle name="쉼표 [0] 4 5 16 2 2 3 2" xfId="42223"/>
    <cellStyle name="쉼표 [0] 4 5 16 2 2 4" xfId="29551"/>
    <cellStyle name="쉼표 [0] 4 5 16 2 3" xfId="7416"/>
    <cellStyle name="쉼표 [0] 4 5 16 2 3 2" xfId="20090"/>
    <cellStyle name="쉼표 [0] 4 5 16 2 3 2 2" xfId="45442"/>
    <cellStyle name="쉼표 [0] 4 5 16 2 3 3" xfId="32770"/>
    <cellStyle name="쉼표 [0] 4 5 16 2 4" xfId="13754"/>
    <cellStyle name="쉼표 [0] 4 5 16 2 4 2" xfId="39106"/>
    <cellStyle name="쉼표 [0] 4 5 16 2 5" xfId="26434"/>
    <cellStyle name="쉼표 [0] 4 5 16 3" xfId="4198"/>
    <cellStyle name="쉼표 [0] 4 5 16 3 2" xfId="10534"/>
    <cellStyle name="쉼표 [0] 4 5 16 3 2 2" xfId="23208"/>
    <cellStyle name="쉼표 [0] 4 5 16 3 2 2 2" xfId="48560"/>
    <cellStyle name="쉼표 [0] 4 5 16 3 2 3" xfId="35888"/>
    <cellStyle name="쉼표 [0] 4 5 16 3 3" xfId="16872"/>
    <cellStyle name="쉼표 [0] 4 5 16 3 3 2" xfId="42224"/>
    <cellStyle name="쉼표 [0] 4 5 16 3 4" xfId="29552"/>
    <cellStyle name="쉼표 [0] 4 5 16 4" xfId="7415"/>
    <cellStyle name="쉼표 [0] 4 5 16 4 2" xfId="20089"/>
    <cellStyle name="쉼표 [0] 4 5 16 4 2 2" xfId="45441"/>
    <cellStyle name="쉼표 [0] 4 5 16 4 3" xfId="32769"/>
    <cellStyle name="쉼표 [0] 4 5 16 5" xfId="13753"/>
    <cellStyle name="쉼표 [0] 4 5 16 5 2" xfId="39105"/>
    <cellStyle name="쉼표 [0] 4 5 16 6" xfId="26433"/>
    <cellStyle name="쉼표 [0] 4 5 17" xfId="1080"/>
    <cellStyle name="쉼표 [0] 4 5 17 2" xfId="1081"/>
    <cellStyle name="쉼표 [0] 4 5 17 2 2" xfId="4199"/>
    <cellStyle name="쉼표 [0] 4 5 17 2 2 2" xfId="10535"/>
    <cellStyle name="쉼표 [0] 4 5 17 2 2 2 2" xfId="23209"/>
    <cellStyle name="쉼표 [0] 4 5 17 2 2 2 2 2" xfId="48561"/>
    <cellStyle name="쉼표 [0] 4 5 17 2 2 2 3" xfId="35889"/>
    <cellStyle name="쉼표 [0] 4 5 17 2 2 3" xfId="16873"/>
    <cellStyle name="쉼표 [0] 4 5 17 2 2 3 2" xfId="42225"/>
    <cellStyle name="쉼표 [0] 4 5 17 2 2 4" xfId="29553"/>
    <cellStyle name="쉼표 [0] 4 5 17 2 3" xfId="7418"/>
    <cellStyle name="쉼표 [0] 4 5 17 2 3 2" xfId="20092"/>
    <cellStyle name="쉼표 [0] 4 5 17 2 3 2 2" xfId="45444"/>
    <cellStyle name="쉼표 [0] 4 5 17 2 3 3" xfId="32772"/>
    <cellStyle name="쉼표 [0] 4 5 17 2 4" xfId="13756"/>
    <cellStyle name="쉼표 [0] 4 5 17 2 4 2" xfId="39108"/>
    <cellStyle name="쉼표 [0] 4 5 17 2 5" xfId="26436"/>
    <cellStyle name="쉼표 [0] 4 5 17 3" xfId="4200"/>
    <cellStyle name="쉼표 [0] 4 5 17 3 2" xfId="10536"/>
    <cellStyle name="쉼표 [0] 4 5 17 3 2 2" xfId="23210"/>
    <cellStyle name="쉼표 [0] 4 5 17 3 2 2 2" xfId="48562"/>
    <cellStyle name="쉼표 [0] 4 5 17 3 2 3" xfId="35890"/>
    <cellStyle name="쉼표 [0] 4 5 17 3 3" xfId="16874"/>
    <cellStyle name="쉼표 [0] 4 5 17 3 3 2" xfId="42226"/>
    <cellStyle name="쉼표 [0] 4 5 17 3 4" xfId="29554"/>
    <cellStyle name="쉼표 [0] 4 5 17 4" xfId="7417"/>
    <cellStyle name="쉼표 [0] 4 5 17 4 2" xfId="20091"/>
    <cellStyle name="쉼표 [0] 4 5 17 4 2 2" xfId="45443"/>
    <cellStyle name="쉼표 [0] 4 5 17 4 3" xfId="32771"/>
    <cellStyle name="쉼표 [0] 4 5 17 5" xfId="13755"/>
    <cellStyle name="쉼표 [0] 4 5 17 5 2" xfId="39107"/>
    <cellStyle name="쉼표 [0] 4 5 17 6" xfId="26435"/>
    <cellStyle name="쉼표 [0] 4 5 18" xfId="1082"/>
    <cellStyle name="쉼표 [0] 4 5 18 2" xfId="1083"/>
    <cellStyle name="쉼표 [0] 4 5 18 2 2" xfId="4201"/>
    <cellStyle name="쉼표 [0] 4 5 18 2 2 2" xfId="10537"/>
    <cellStyle name="쉼표 [0] 4 5 18 2 2 2 2" xfId="23211"/>
    <cellStyle name="쉼표 [0] 4 5 18 2 2 2 2 2" xfId="48563"/>
    <cellStyle name="쉼표 [0] 4 5 18 2 2 2 3" xfId="35891"/>
    <cellStyle name="쉼표 [0] 4 5 18 2 2 3" xfId="16875"/>
    <cellStyle name="쉼표 [0] 4 5 18 2 2 3 2" xfId="42227"/>
    <cellStyle name="쉼표 [0] 4 5 18 2 2 4" xfId="29555"/>
    <cellStyle name="쉼표 [0] 4 5 18 2 3" xfId="7420"/>
    <cellStyle name="쉼표 [0] 4 5 18 2 3 2" xfId="20094"/>
    <cellStyle name="쉼표 [0] 4 5 18 2 3 2 2" xfId="45446"/>
    <cellStyle name="쉼표 [0] 4 5 18 2 3 3" xfId="32774"/>
    <cellStyle name="쉼표 [0] 4 5 18 2 4" xfId="13758"/>
    <cellStyle name="쉼표 [0] 4 5 18 2 4 2" xfId="39110"/>
    <cellStyle name="쉼표 [0] 4 5 18 2 5" xfId="26438"/>
    <cellStyle name="쉼표 [0] 4 5 18 3" xfId="4202"/>
    <cellStyle name="쉼표 [0] 4 5 18 3 2" xfId="10538"/>
    <cellStyle name="쉼표 [0] 4 5 18 3 2 2" xfId="23212"/>
    <cellStyle name="쉼표 [0] 4 5 18 3 2 2 2" xfId="48564"/>
    <cellStyle name="쉼표 [0] 4 5 18 3 2 3" xfId="35892"/>
    <cellStyle name="쉼표 [0] 4 5 18 3 3" xfId="16876"/>
    <cellStyle name="쉼표 [0] 4 5 18 3 3 2" xfId="42228"/>
    <cellStyle name="쉼표 [0] 4 5 18 3 4" xfId="29556"/>
    <cellStyle name="쉼표 [0] 4 5 18 4" xfId="7419"/>
    <cellStyle name="쉼표 [0] 4 5 18 4 2" xfId="20093"/>
    <cellStyle name="쉼표 [0] 4 5 18 4 2 2" xfId="45445"/>
    <cellStyle name="쉼표 [0] 4 5 18 4 3" xfId="32773"/>
    <cellStyle name="쉼표 [0] 4 5 18 5" xfId="13757"/>
    <cellStyle name="쉼표 [0] 4 5 18 5 2" xfId="39109"/>
    <cellStyle name="쉼표 [0] 4 5 18 6" xfId="26437"/>
    <cellStyle name="쉼표 [0] 4 5 19" xfId="1084"/>
    <cellStyle name="쉼표 [0] 4 5 19 2" xfId="1085"/>
    <cellStyle name="쉼표 [0] 4 5 19 2 2" xfId="4203"/>
    <cellStyle name="쉼표 [0] 4 5 19 2 2 2" xfId="10539"/>
    <cellStyle name="쉼표 [0] 4 5 19 2 2 2 2" xfId="23213"/>
    <cellStyle name="쉼표 [0] 4 5 19 2 2 2 2 2" xfId="48565"/>
    <cellStyle name="쉼표 [0] 4 5 19 2 2 2 3" xfId="35893"/>
    <cellStyle name="쉼표 [0] 4 5 19 2 2 3" xfId="16877"/>
    <cellStyle name="쉼표 [0] 4 5 19 2 2 3 2" xfId="42229"/>
    <cellStyle name="쉼표 [0] 4 5 19 2 2 4" xfId="29557"/>
    <cellStyle name="쉼표 [0] 4 5 19 2 3" xfId="7422"/>
    <cellStyle name="쉼표 [0] 4 5 19 2 3 2" xfId="20096"/>
    <cellStyle name="쉼표 [0] 4 5 19 2 3 2 2" xfId="45448"/>
    <cellStyle name="쉼표 [0] 4 5 19 2 3 3" xfId="32776"/>
    <cellStyle name="쉼표 [0] 4 5 19 2 4" xfId="13760"/>
    <cellStyle name="쉼표 [0] 4 5 19 2 4 2" xfId="39112"/>
    <cellStyle name="쉼표 [0] 4 5 19 2 5" xfId="26440"/>
    <cellStyle name="쉼표 [0] 4 5 19 3" xfId="4204"/>
    <cellStyle name="쉼표 [0] 4 5 19 3 2" xfId="10540"/>
    <cellStyle name="쉼표 [0] 4 5 19 3 2 2" xfId="23214"/>
    <cellStyle name="쉼표 [0] 4 5 19 3 2 2 2" xfId="48566"/>
    <cellStyle name="쉼표 [0] 4 5 19 3 2 3" xfId="35894"/>
    <cellStyle name="쉼표 [0] 4 5 19 3 3" xfId="16878"/>
    <cellStyle name="쉼표 [0] 4 5 19 3 3 2" xfId="42230"/>
    <cellStyle name="쉼표 [0] 4 5 19 3 4" xfId="29558"/>
    <cellStyle name="쉼표 [0] 4 5 19 4" xfId="7421"/>
    <cellStyle name="쉼표 [0] 4 5 19 4 2" xfId="20095"/>
    <cellStyle name="쉼표 [0] 4 5 19 4 2 2" xfId="45447"/>
    <cellStyle name="쉼표 [0] 4 5 19 4 3" xfId="32775"/>
    <cellStyle name="쉼표 [0] 4 5 19 5" xfId="13759"/>
    <cellStyle name="쉼표 [0] 4 5 19 5 2" xfId="39111"/>
    <cellStyle name="쉼표 [0] 4 5 19 6" xfId="26439"/>
    <cellStyle name="쉼표 [0] 4 5 2" xfId="1086"/>
    <cellStyle name="쉼표 [0] 4 5 2 2" xfId="1087"/>
    <cellStyle name="쉼표 [0] 4 5 2 2 2" xfId="4205"/>
    <cellStyle name="쉼표 [0] 4 5 2 2 2 2" xfId="10541"/>
    <cellStyle name="쉼표 [0] 4 5 2 2 2 2 2" xfId="23215"/>
    <cellStyle name="쉼표 [0] 4 5 2 2 2 2 2 2" xfId="48567"/>
    <cellStyle name="쉼표 [0] 4 5 2 2 2 2 3" xfId="35895"/>
    <cellStyle name="쉼표 [0] 4 5 2 2 2 3" xfId="16879"/>
    <cellStyle name="쉼표 [0] 4 5 2 2 2 3 2" xfId="42231"/>
    <cellStyle name="쉼표 [0] 4 5 2 2 2 4" xfId="29559"/>
    <cellStyle name="쉼표 [0] 4 5 2 2 3" xfId="7424"/>
    <cellStyle name="쉼표 [0] 4 5 2 2 3 2" xfId="20098"/>
    <cellStyle name="쉼표 [0] 4 5 2 2 3 2 2" xfId="45450"/>
    <cellStyle name="쉼표 [0] 4 5 2 2 3 3" xfId="32778"/>
    <cellStyle name="쉼표 [0] 4 5 2 2 4" xfId="13762"/>
    <cellStyle name="쉼표 [0] 4 5 2 2 4 2" xfId="39114"/>
    <cellStyle name="쉼표 [0] 4 5 2 2 5" xfId="26442"/>
    <cellStyle name="쉼표 [0] 4 5 2 3" xfId="4206"/>
    <cellStyle name="쉼표 [0] 4 5 2 3 2" xfId="10542"/>
    <cellStyle name="쉼표 [0] 4 5 2 3 2 2" xfId="23216"/>
    <cellStyle name="쉼표 [0] 4 5 2 3 2 2 2" xfId="48568"/>
    <cellStyle name="쉼표 [0] 4 5 2 3 2 3" xfId="35896"/>
    <cellStyle name="쉼표 [0] 4 5 2 3 3" xfId="16880"/>
    <cellStyle name="쉼표 [0] 4 5 2 3 3 2" xfId="42232"/>
    <cellStyle name="쉼표 [0] 4 5 2 3 4" xfId="29560"/>
    <cellStyle name="쉼표 [0] 4 5 2 4" xfId="7423"/>
    <cellStyle name="쉼표 [0] 4 5 2 4 2" xfId="20097"/>
    <cellStyle name="쉼표 [0] 4 5 2 4 2 2" xfId="45449"/>
    <cellStyle name="쉼표 [0] 4 5 2 4 3" xfId="32777"/>
    <cellStyle name="쉼표 [0] 4 5 2 5" xfId="13761"/>
    <cellStyle name="쉼표 [0] 4 5 2 5 2" xfId="39113"/>
    <cellStyle name="쉼표 [0] 4 5 2 6" xfId="26441"/>
    <cellStyle name="쉼표 [0] 4 5 20" xfId="1088"/>
    <cellStyle name="쉼표 [0] 4 5 20 2" xfId="1089"/>
    <cellStyle name="쉼표 [0] 4 5 20 2 2" xfId="4207"/>
    <cellStyle name="쉼표 [0] 4 5 20 2 2 2" xfId="10543"/>
    <cellStyle name="쉼표 [0] 4 5 20 2 2 2 2" xfId="23217"/>
    <cellStyle name="쉼표 [0] 4 5 20 2 2 2 2 2" xfId="48569"/>
    <cellStyle name="쉼표 [0] 4 5 20 2 2 2 3" xfId="35897"/>
    <cellStyle name="쉼표 [0] 4 5 20 2 2 3" xfId="16881"/>
    <cellStyle name="쉼표 [0] 4 5 20 2 2 3 2" xfId="42233"/>
    <cellStyle name="쉼표 [0] 4 5 20 2 2 4" xfId="29561"/>
    <cellStyle name="쉼표 [0] 4 5 20 2 3" xfId="7426"/>
    <cellStyle name="쉼표 [0] 4 5 20 2 3 2" xfId="20100"/>
    <cellStyle name="쉼표 [0] 4 5 20 2 3 2 2" xfId="45452"/>
    <cellStyle name="쉼표 [0] 4 5 20 2 3 3" xfId="32780"/>
    <cellStyle name="쉼표 [0] 4 5 20 2 4" xfId="13764"/>
    <cellStyle name="쉼표 [0] 4 5 20 2 4 2" xfId="39116"/>
    <cellStyle name="쉼표 [0] 4 5 20 2 5" xfId="26444"/>
    <cellStyle name="쉼표 [0] 4 5 20 3" xfId="4208"/>
    <cellStyle name="쉼표 [0] 4 5 20 3 2" xfId="10544"/>
    <cellStyle name="쉼표 [0] 4 5 20 3 2 2" xfId="23218"/>
    <cellStyle name="쉼표 [0] 4 5 20 3 2 2 2" xfId="48570"/>
    <cellStyle name="쉼표 [0] 4 5 20 3 2 3" xfId="35898"/>
    <cellStyle name="쉼표 [0] 4 5 20 3 3" xfId="16882"/>
    <cellStyle name="쉼표 [0] 4 5 20 3 3 2" xfId="42234"/>
    <cellStyle name="쉼표 [0] 4 5 20 3 4" xfId="29562"/>
    <cellStyle name="쉼표 [0] 4 5 20 4" xfId="7425"/>
    <cellStyle name="쉼표 [0] 4 5 20 4 2" xfId="20099"/>
    <cellStyle name="쉼표 [0] 4 5 20 4 2 2" xfId="45451"/>
    <cellStyle name="쉼표 [0] 4 5 20 4 3" xfId="32779"/>
    <cellStyle name="쉼표 [0] 4 5 20 5" xfId="13763"/>
    <cellStyle name="쉼표 [0] 4 5 20 5 2" xfId="39115"/>
    <cellStyle name="쉼표 [0] 4 5 20 6" xfId="26443"/>
    <cellStyle name="쉼표 [0] 4 5 21" xfId="1090"/>
    <cellStyle name="쉼표 [0] 4 5 21 2" xfId="1091"/>
    <cellStyle name="쉼표 [0] 4 5 21 2 2" xfId="4209"/>
    <cellStyle name="쉼표 [0] 4 5 21 2 2 2" xfId="10545"/>
    <cellStyle name="쉼표 [0] 4 5 21 2 2 2 2" xfId="23219"/>
    <cellStyle name="쉼표 [0] 4 5 21 2 2 2 2 2" xfId="48571"/>
    <cellStyle name="쉼표 [0] 4 5 21 2 2 2 3" xfId="35899"/>
    <cellStyle name="쉼표 [0] 4 5 21 2 2 3" xfId="16883"/>
    <cellStyle name="쉼표 [0] 4 5 21 2 2 3 2" xfId="42235"/>
    <cellStyle name="쉼표 [0] 4 5 21 2 2 4" xfId="29563"/>
    <cellStyle name="쉼표 [0] 4 5 21 2 3" xfId="7428"/>
    <cellStyle name="쉼표 [0] 4 5 21 2 3 2" xfId="20102"/>
    <cellStyle name="쉼표 [0] 4 5 21 2 3 2 2" xfId="45454"/>
    <cellStyle name="쉼표 [0] 4 5 21 2 3 3" xfId="32782"/>
    <cellStyle name="쉼표 [0] 4 5 21 2 4" xfId="13766"/>
    <cellStyle name="쉼표 [0] 4 5 21 2 4 2" xfId="39118"/>
    <cellStyle name="쉼표 [0] 4 5 21 2 5" xfId="26446"/>
    <cellStyle name="쉼표 [0] 4 5 21 3" xfId="4210"/>
    <cellStyle name="쉼표 [0] 4 5 21 3 2" xfId="10546"/>
    <cellStyle name="쉼표 [0] 4 5 21 3 2 2" xfId="23220"/>
    <cellStyle name="쉼표 [0] 4 5 21 3 2 2 2" xfId="48572"/>
    <cellStyle name="쉼표 [0] 4 5 21 3 2 3" xfId="35900"/>
    <cellStyle name="쉼표 [0] 4 5 21 3 3" xfId="16884"/>
    <cellStyle name="쉼표 [0] 4 5 21 3 3 2" xfId="42236"/>
    <cellStyle name="쉼표 [0] 4 5 21 3 4" xfId="29564"/>
    <cellStyle name="쉼표 [0] 4 5 21 4" xfId="7427"/>
    <cellStyle name="쉼표 [0] 4 5 21 4 2" xfId="20101"/>
    <cellStyle name="쉼표 [0] 4 5 21 4 2 2" xfId="45453"/>
    <cellStyle name="쉼표 [0] 4 5 21 4 3" xfId="32781"/>
    <cellStyle name="쉼표 [0] 4 5 21 5" xfId="13765"/>
    <cellStyle name="쉼표 [0] 4 5 21 5 2" xfId="39117"/>
    <cellStyle name="쉼표 [0] 4 5 21 6" xfId="26445"/>
    <cellStyle name="쉼표 [0] 4 5 22" xfId="1092"/>
    <cellStyle name="쉼표 [0] 4 5 22 2" xfId="1093"/>
    <cellStyle name="쉼표 [0] 4 5 22 2 2" xfId="4211"/>
    <cellStyle name="쉼표 [0] 4 5 22 2 2 2" xfId="10547"/>
    <cellStyle name="쉼표 [0] 4 5 22 2 2 2 2" xfId="23221"/>
    <cellStyle name="쉼표 [0] 4 5 22 2 2 2 2 2" xfId="48573"/>
    <cellStyle name="쉼표 [0] 4 5 22 2 2 2 3" xfId="35901"/>
    <cellStyle name="쉼표 [0] 4 5 22 2 2 3" xfId="16885"/>
    <cellStyle name="쉼표 [0] 4 5 22 2 2 3 2" xfId="42237"/>
    <cellStyle name="쉼표 [0] 4 5 22 2 2 4" xfId="29565"/>
    <cellStyle name="쉼표 [0] 4 5 22 2 3" xfId="7430"/>
    <cellStyle name="쉼표 [0] 4 5 22 2 3 2" xfId="20104"/>
    <cellStyle name="쉼표 [0] 4 5 22 2 3 2 2" xfId="45456"/>
    <cellStyle name="쉼표 [0] 4 5 22 2 3 3" xfId="32784"/>
    <cellStyle name="쉼표 [0] 4 5 22 2 4" xfId="13768"/>
    <cellStyle name="쉼표 [0] 4 5 22 2 4 2" xfId="39120"/>
    <cellStyle name="쉼표 [0] 4 5 22 2 5" xfId="26448"/>
    <cellStyle name="쉼표 [0] 4 5 22 3" xfId="4212"/>
    <cellStyle name="쉼표 [0] 4 5 22 3 2" xfId="10548"/>
    <cellStyle name="쉼표 [0] 4 5 22 3 2 2" xfId="23222"/>
    <cellStyle name="쉼표 [0] 4 5 22 3 2 2 2" xfId="48574"/>
    <cellStyle name="쉼표 [0] 4 5 22 3 2 3" xfId="35902"/>
    <cellStyle name="쉼표 [0] 4 5 22 3 3" xfId="16886"/>
    <cellStyle name="쉼표 [0] 4 5 22 3 3 2" xfId="42238"/>
    <cellStyle name="쉼표 [0] 4 5 22 3 4" xfId="29566"/>
    <cellStyle name="쉼표 [0] 4 5 22 4" xfId="7429"/>
    <cellStyle name="쉼표 [0] 4 5 22 4 2" xfId="20103"/>
    <cellStyle name="쉼표 [0] 4 5 22 4 2 2" xfId="45455"/>
    <cellStyle name="쉼표 [0] 4 5 22 4 3" xfId="32783"/>
    <cellStyle name="쉼표 [0] 4 5 22 5" xfId="13767"/>
    <cellStyle name="쉼표 [0] 4 5 22 5 2" xfId="39119"/>
    <cellStyle name="쉼표 [0] 4 5 22 6" xfId="26447"/>
    <cellStyle name="쉼표 [0] 4 5 23" xfId="1094"/>
    <cellStyle name="쉼표 [0] 4 5 23 2" xfId="1095"/>
    <cellStyle name="쉼표 [0] 4 5 23 2 2" xfId="4213"/>
    <cellStyle name="쉼표 [0] 4 5 23 2 2 2" xfId="10549"/>
    <cellStyle name="쉼표 [0] 4 5 23 2 2 2 2" xfId="23223"/>
    <cellStyle name="쉼표 [0] 4 5 23 2 2 2 2 2" xfId="48575"/>
    <cellStyle name="쉼표 [0] 4 5 23 2 2 2 3" xfId="35903"/>
    <cellStyle name="쉼표 [0] 4 5 23 2 2 3" xfId="16887"/>
    <cellStyle name="쉼표 [0] 4 5 23 2 2 3 2" xfId="42239"/>
    <cellStyle name="쉼표 [0] 4 5 23 2 2 4" xfId="29567"/>
    <cellStyle name="쉼표 [0] 4 5 23 2 3" xfId="7432"/>
    <cellStyle name="쉼표 [0] 4 5 23 2 3 2" xfId="20106"/>
    <cellStyle name="쉼표 [0] 4 5 23 2 3 2 2" xfId="45458"/>
    <cellStyle name="쉼표 [0] 4 5 23 2 3 3" xfId="32786"/>
    <cellStyle name="쉼표 [0] 4 5 23 2 4" xfId="13770"/>
    <cellStyle name="쉼표 [0] 4 5 23 2 4 2" xfId="39122"/>
    <cellStyle name="쉼표 [0] 4 5 23 2 5" xfId="26450"/>
    <cellStyle name="쉼표 [0] 4 5 23 3" xfId="4214"/>
    <cellStyle name="쉼표 [0] 4 5 23 3 2" xfId="10550"/>
    <cellStyle name="쉼표 [0] 4 5 23 3 2 2" xfId="23224"/>
    <cellStyle name="쉼표 [0] 4 5 23 3 2 2 2" xfId="48576"/>
    <cellStyle name="쉼표 [0] 4 5 23 3 2 3" xfId="35904"/>
    <cellStyle name="쉼표 [0] 4 5 23 3 3" xfId="16888"/>
    <cellStyle name="쉼표 [0] 4 5 23 3 3 2" xfId="42240"/>
    <cellStyle name="쉼표 [0] 4 5 23 3 4" xfId="29568"/>
    <cellStyle name="쉼표 [0] 4 5 23 4" xfId="7431"/>
    <cellStyle name="쉼표 [0] 4 5 23 4 2" xfId="20105"/>
    <cellStyle name="쉼표 [0] 4 5 23 4 2 2" xfId="45457"/>
    <cellStyle name="쉼표 [0] 4 5 23 4 3" xfId="32785"/>
    <cellStyle name="쉼표 [0] 4 5 23 5" xfId="13769"/>
    <cellStyle name="쉼표 [0] 4 5 23 5 2" xfId="39121"/>
    <cellStyle name="쉼표 [0] 4 5 23 6" xfId="26449"/>
    <cellStyle name="쉼표 [0] 4 5 24" xfId="1096"/>
    <cellStyle name="쉼표 [0] 4 5 24 2" xfId="1097"/>
    <cellStyle name="쉼표 [0] 4 5 24 2 2" xfId="4215"/>
    <cellStyle name="쉼표 [0] 4 5 24 2 2 2" xfId="10551"/>
    <cellStyle name="쉼표 [0] 4 5 24 2 2 2 2" xfId="23225"/>
    <cellStyle name="쉼표 [0] 4 5 24 2 2 2 2 2" xfId="48577"/>
    <cellStyle name="쉼표 [0] 4 5 24 2 2 2 3" xfId="35905"/>
    <cellStyle name="쉼표 [0] 4 5 24 2 2 3" xfId="16889"/>
    <cellStyle name="쉼표 [0] 4 5 24 2 2 3 2" xfId="42241"/>
    <cellStyle name="쉼표 [0] 4 5 24 2 2 4" xfId="29569"/>
    <cellStyle name="쉼표 [0] 4 5 24 2 3" xfId="7434"/>
    <cellStyle name="쉼표 [0] 4 5 24 2 3 2" xfId="20108"/>
    <cellStyle name="쉼표 [0] 4 5 24 2 3 2 2" xfId="45460"/>
    <cellStyle name="쉼표 [0] 4 5 24 2 3 3" xfId="32788"/>
    <cellStyle name="쉼표 [0] 4 5 24 2 4" xfId="13772"/>
    <cellStyle name="쉼표 [0] 4 5 24 2 4 2" xfId="39124"/>
    <cellStyle name="쉼표 [0] 4 5 24 2 5" xfId="26452"/>
    <cellStyle name="쉼표 [0] 4 5 24 3" xfId="4216"/>
    <cellStyle name="쉼표 [0] 4 5 24 3 2" xfId="10552"/>
    <cellStyle name="쉼표 [0] 4 5 24 3 2 2" xfId="23226"/>
    <cellStyle name="쉼표 [0] 4 5 24 3 2 2 2" xfId="48578"/>
    <cellStyle name="쉼표 [0] 4 5 24 3 2 3" xfId="35906"/>
    <cellStyle name="쉼표 [0] 4 5 24 3 3" xfId="16890"/>
    <cellStyle name="쉼표 [0] 4 5 24 3 3 2" xfId="42242"/>
    <cellStyle name="쉼표 [0] 4 5 24 3 4" xfId="29570"/>
    <cellStyle name="쉼표 [0] 4 5 24 4" xfId="7433"/>
    <cellStyle name="쉼표 [0] 4 5 24 4 2" xfId="20107"/>
    <cellStyle name="쉼표 [0] 4 5 24 4 2 2" xfId="45459"/>
    <cellStyle name="쉼표 [0] 4 5 24 4 3" xfId="32787"/>
    <cellStyle name="쉼표 [0] 4 5 24 5" xfId="13771"/>
    <cellStyle name="쉼표 [0] 4 5 24 5 2" xfId="39123"/>
    <cellStyle name="쉼표 [0] 4 5 24 6" xfId="26451"/>
    <cellStyle name="쉼표 [0] 4 5 25" xfId="1098"/>
    <cellStyle name="쉼표 [0] 4 5 25 2" xfId="1099"/>
    <cellStyle name="쉼표 [0] 4 5 25 2 2" xfId="4217"/>
    <cellStyle name="쉼표 [0] 4 5 25 2 2 2" xfId="10553"/>
    <cellStyle name="쉼표 [0] 4 5 25 2 2 2 2" xfId="23227"/>
    <cellStyle name="쉼표 [0] 4 5 25 2 2 2 2 2" xfId="48579"/>
    <cellStyle name="쉼표 [0] 4 5 25 2 2 2 3" xfId="35907"/>
    <cellStyle name="쉼표 [0] 4 5 25 2 2 3" xfId="16891"/>
    <cellStyle name="쉼표 [0] 4 5 25 2 2 3 2" xfId="42243"/>
    <cellStyle name="쉼표 [0] 4 5 25 2 2 4" xfId="29571"/>
    <cellStyle name="쉼표 [0] 4 5 25 2 3" xfId="7436"/>
    <cellStyle name="쉼표 [0] 4 5 25 2 3 2" xfId="20110"/>
    <cellStyle name="쉼표 [0] 4 5 25 2 3 2 2" xfId="45462"/>
    <cellStyle name="쉼표 [0] 4 5 25 2 3 3" xfId="32790"/>
    <cellStyle name="쉼표 [0] 4 5 25 2 4" xfId="13774"/>
    <cellStyle name="쉼표 [0] 4 5 25 2 4 2" xfId="39126"/>
    <cellStyle name="쉼표 [0] 4 5 25 2 5" xfId="26454"/>
    <cellStyle name="쉼표 [0] 4 5 25 3" xfId="4218"/>
    <cellStyle name="쉼표 [0] 4 5 25 3 2" xfId="10554"/>
    <cellStyle name="쉼표 [0] 4 5 25 3 2 2" xfId="23228"/>
    <cellStyle name="쉼표 [0] 4 5 25 3 2 2 2" xfId="48580"/>
    <cellStyle name="쉼표 [0] 4 5 25 3 2 3" xfId="35908"/>
    <cellStyle name="쉼표 [0] 4 5 25 3 3" xfId="16892"/>
    <cellStyle name="쉼표 [0] 4 5 25 3 3 2" xfId="42244"/>
    <cellStyle name="쉼표 [0] 4 5 25 3 4" xfId="29572"/>
    <cellStyle name="쉼표 [0] 4 5 25 4" xfId="7435"/>
    <cellStyle name="쉼표 [0] 4 5 25 4 2" xfId="20109"/>
    <cellStyle name="쉼표 [0] 4 5 25 4 2 2" xfId="45461"/>
    <cellStyle name="쉼표 [0] 4 5 25 4 3" xfId="32789"/>
    <cellStyle name="쉼표 [0] 4 5 25 5" xfId="13773"/>
    <cellStyle name="쉼표 [0] 4 5 25 5 2" xfId="39125"/>
    <cellStyle name="쉼표 [0] 4 5 25 6" xfId="26453"/>
    <cellStyle name="쉼표 [0] 4 5 26" xfId="1100"/>
    <cellStyle name="쉼표 [0] 4 5 26 2" xfId="1101"/>
    <cellStyle name="쉼표 [0] 4 5 26 2 2" xfId="4219"/>
    <cellStyle name="쉼표 [0] 4 5 26 2 2 2" xfId="10555"/>
    <cellStyle name="쉼표 [0] 4 5 26 2 2 2 2" xfId="23229"/>
    <cellStyle name="쉼표 [0] 4 5 26 2 2 2 2 2" xfId="48581"/>
    <cellStyle name="쉼표 [0] 4 5 26 2 2 2 3" xfId="35909"/>
    <cellStyle name="쉼표 [0] 4 5 26 2 2 3" xfId="16893"/>
    <cellStyle name="쉼표 [0] 4 5 26 2 2 3 2" xfId="42245"/>
    <cellStyle name="쉼표 [0] 4 5 26 2 2 4" xfId="29573"/>
    <cellStyle name="쉼표 [0] 4 5 26 2 3" xfId="7438"/>
    <cellStyle name="쉼표 [0] 4 5 26 2 3 2" xfId="20112"/>
    <cellStyle name="쉼표 [0] 4 5 26 2 3 2 2" xfId="45464"/>
    <cellStyle name="쉼표 [0] 4 5 26 2 3 3" xfId="32792"/>
    <cellStyle name="쉼표 [0] 4 5 26 2 4" xfId="13776"/>
    <cellStyle name="쉼표 [0] 4 5 26 2 4 2" xfId="39128"/>
    <cellStyle name="쉼표 [0] 4 5 26 2 5" xfId="26456"/>
    <cellStyle name="쉼표 [0] 4 5 26 3" xfId="4220"/>
    <cellStyle name="쉼표 [0] 4 5 26 3 2" xfId="10556"/>
    <cellStyle name="쉼표 [0] 4 5 26 3 2 2" xfId="23230"/>
    <cellStyle name="쉼표 [0] 4 5 26 3 2 2 2" xfId="48582"/>
    <cellStyle name="쉼표 [0] 4 5 26 3 2 3" xfId="35910"/>
    <cellStyle name="쉼표 [0] 4 5 26 3 3" xfId="16894"/>
    <cellStyle name="쉼표 [0] 4 5 26 3 3 2" xfId="42246"/>
    <cellStyle name="쉼표 [0] 4 5 26 3 4" xfId="29574"/>
    <cellStyle name="쉼표 [0] 4 5 26 4" xfId="7437"/>
    <cellStyle name="쉼표 [0] 4 5 26 4 2" xfId="20111"/>
    <cellStyle name="쉼표 [0] 4 5 26 4 2 2" xfId="45463"/>
    <cellStyle name="쉼표 [0] 4 5 26 4 3" xfId="32791"/>
    <cellStyle name="쉼표 [0] 4 5 26 5" xfId="13775"/>
    <cellStyle name="쉼표 [0] 4 5 26 5 2" xfId="39127"/>
    <cellStyle name="쉼표 [0] 4 5 26 6" xfId="26455"/>
    <cellStyle name="쉼표 [0] 4 5 27" xfId="1102"/>
    <cellStyle name="쉼표 [0] 4 5 27 2" xfId="1103"/>
    <cellStyle name="쉼표 [0] 4 5 27 2 2" xfId="4221"/>
    <cellStyle name="쉼표 [0] 4 5 27 2 2 2" xfId="10557"/>
    <cellStyle name="쉼표 [0] 4 5 27 2 2 2 2" xfId="23231"/>
    <cellStyle name="쉼표 [0] 4 5 27 2 2 2 2 2" xfId="48583"/>
    <cellStyle name="쉼표 [0] 4 5 27 2 2 2 3" xfId="35911"/>
    <cellStyle name="쉼표 [0] 4 5 27 2 2 3" xfId="16895"/>
    <cellStyle name="쉼표 [0] 4 5 27 2 2 3 2" xfId="42247"/>
    <cellStyle name="쉼표 [0] 4 5 27 2 2 4" xfId="29575"/>
    <cellStyle name="쉼표 [0] 4 5 27 2 3" xfId="7440"/>
    <cellStyle name="쉼표 [0] 4 5 27 2 3 2" xfId="20114"/>
    <cellStyle name="쉼표 [0] 4 5 27 2 3 2 2" xfId="45466"/>
    <cellStyle name="쉼표 [0] 4 5 27 2 3 3" xfId="32794"/>
    <cellStyle name="쉼표 [0] 4 5 27 2 4" xfId="13778"/>
    <cellStyle name="쉼표 [0] 4 5 27 2 4 2" xfId="39130"/>
    <cellStyle name="쉼표 [0] 4 5 27 2 5" xfId="26458"/>
    <cellStyle name="쉼표 [0] 4 5 27 3" xfId="4222"/>
    <cellStyle name="쉼표 [0] 4 5 27 3 2" xfId="10558"/>
    <cellStyle name="쉼표 [0] 4 5 27 3 2 2" xfId="23232"/>
    <cellStyle name="쉼표 [0] 4 5 27 3 2 2 2" xfId="48584"/>
    <cellStyle name="쉼표 [0] 4 5 27 3 2 3" xfId="35912"/>
    <cellStyle name="쉼표 [0] 4 5 27 3 3" xfId="16896"/>
    <cellStyle name="쉼표 [0] 4 5 27 3 3 2" xfId="42248"/>
    <cellStyle name="쉼표 [0] 4 5 27 3 4" xfId="29576"/>
    <cellStyle name="쉼표 [0] 4 5 27 4" xfId="7439"/>
    <cellStyle name="쉼표 [0] 4 5 27 4 2" xfId="20113"/>
    <cellStyle name="쉼표 [0] 4 5 27 4 2 2" xfId="45465"/>
    <cellStyle name="쉼표 [0] 4 5 27 4 3" xfId="32793"/>
    <cellStyle name="쉼표 [0] 4 5 27 5" xfId="13777"/>
    <cellStyle name="쉼표 [0] 4 5 27 5 2" xfId="39129"/>
    <cellStyle name="쉼표 [0] 4 5 27 6" xfId="26457"/>
    <cellStyle name="쉼표 [0] 4 5 28" xfId="1104"/>
    <cellStyle name="쉼표 [0] 4 5 28 2" xfId="1105"/>
    <cellStyle name="쉼표 [0] 4 5 28 2 2" xfId="4223"/>
    <cellStyle name="쉼표 [0] 4 5 28 2 2 2" xfId="10559"/>
    <cellStyle name="쉼표 [0] 4 5 28 2 2 2 2" xfId="23233"/>
    <cellStyle name="쉼표 [0] 4 5 28 2 2 2 2 2" xfId="48585"/>
    <cellStyle name="쉼표 [0] 4 5 28 2 2 2 3" xfId="35913"/>
    <cellStyle name="쉼표 [0] 4 5 28 2 2 3" xfId="16897"/>
    <cellStyle name="쉼표 [0] 4 5 28 2 2 3 2" xfId="42249"/>
    <cellStyle name="쉼표 [0] 4 5 28 2 2 4" xfId="29577"/>
    <cellStyle name="쉼표 [0] 4 5 28 2 3" xfId="7442"/>
    <cellStyle name="쉼표 [0] 4 5 28 2 3 2" xfId="20116"/>
    <cellStyle name="쉼표 [0] 4 5 28 2 3 2 2" xfId="45468"/>
    <cellStyle name="쉼표 [0] 4 5 28 2 3 3" xfId="32796"/>
    <cellStyle name="쉼표 [0] 4 5 28 2 4" xfId="13780"/>
    <cellStyle name="쉼표 [0] 4 5 28 2 4 2" xfId="39132"/>
    <cellStyle name="쉼표 [0] 4 5 28 2 5" xfId="26460"/>
    <cellStyle name="쉼표 [0] 4 5 28 3" xfId="4224"/>
    <cellStyle name="쉼표 [0] 4 5 28 3 2" xfId="10560"/>
    <cellStyle name="쉼표 [0] 4 5 28 3 2 2" xfId="23234"/>
    <cellStyle name="쉼표 [0] 4 5 28 3 2 2 2" xfId="48586"/>
    <cellStyle name="쉼표 [0] 4 5 28 3 2 3" xfId="35914"/>
    <cellStyle name="쉼표 [0] 4 5 28 3 3" xfId="16898"/>
    <cellStyle name="쉼표 [0] 4 5 28 3 3 2" xfId="42250"/>
    <cellStyle name="쉼표 [0] 4 5 28 3 4" xfId="29578"/>
    <cellStyle name="쉼표 [0] 4 5 28 4" xfId="7441"/>
    <cellStyle name="쉼표 [0] 4 5 28 4 2" xfId="20115"/>
    <cellStyle name="쉼표 [0] 4 5 28 4 2 2" xfId="45467"/>
    <cellStyle name="쉼표 [0] 4 5 28 4 3" xfId="32795"/>
    <cellStyle name="쉼표 [0] 4 5 28 5" xfId="13779"/>
    <cellStyle name="쉼표 [0] 4 5 28 5 2" xfId="39131"/>
    <cellStyle name="쉼표 [0] 4 5 28 6" xfId="26459"/>
    <cellStyle name="쉼표 [0] 4 5 29" xfId="1106"/>
    <cellStyle name="쉼표 [0] 4 5 29 2" xfId="1107"/>
    <cellStyle name="쉼표 [0] 4 5 29 2 2" xfId="4225"/>
    <cellStyle name="쉼표 [0] 4 5 29 2 2 2" xfId="10561"/>
    <cellStyle name="쉼표 [0] 4 5 29 2 2 2 2" xfId="23235"/>
    <cellStyle name="쉼표 [0] 4 5 29 2 2 2 2 2" xfId="48587"/>
    <cellStyle name="쉼표 [0] 4 5 29 2 2 2 3" xfId="35915"/>
    <cellStyle name="쉼표 [0] 4 5 29 2 2 3" xfId="16899"/>
    <cellStyle name="쉼표 [0] 4 5 29 2 2 3 2" xfId="42251"/>
    <cellStyle name="쉼표 [0] 4 5 29 2 2 4" xfId="29579"/>
    <cellStyle name="쉼표 [0] 4 5 29 2 3" xfId="7444"/>
    <cellStyle name="쉼표 [0] 4 5 29 2 3 2" xfId="20118"/>
    <cellStyle name="쉼표 [0] 4 5 29 2 3 2 2" xfId="45470"/>
    <cellStyle name="쉼표 [0] 4 5 29 2 3 3" xfId="32798"/>
    <cellStyle name="쉼표 [0] 4 5 29 2 4" xfId="13782"/>
    <cellStyle name="쉼표 [0] 4 5 29 2 4 2" xfId="39134"/>
    <cellStyle name="쉼표 [0] 4 5 29 2 5" xfId="26462"/>
    <cellStyle name="쉼표 [0] 4 5 29 3" xfId="4226"/>
    <cellStyle name="쉼표 [0] 4 5 29 3 2" xfId="10562"/>
    <cellStyle name="쉼표 [0] 4 5 29 3 2 2" xfId="23236"/>
    <cellStyle name="쉼표 [0] 4 5 29 3 2 2 2" xfId="48588"/>
    <cellStyle name="쉼표 [0] 4 5 29 3 2 3" xfId="35916"/>
    <cellStyle name="쉼표 [0] 4 5 29 3 3" xfId="16900"/>
    <cellStyle name="쉼표 [0] 4 5 29 3 3 2" xfId="42252"/>
    <cellStyle name="쉼표 [0] 4 5 29 3 4" xfId="29580"/>
    <cellStyle name="쉼표 [0] 4 5 29 4" xfId="7443"/>
    <cellStyle name="쉼표 [0] 4 5 29 4 2" xfId="20117"/>
    <cellStyle name="쉼표 [0] 4 5 29 4 2 2" xfId="45469"/>
    <cellStyle name="쉼표 [0] 4 5 29 4 3" xfId="32797"/>
    <cellStyle name="쉼표 [0] 4 5 29 5" xfId="13781"/>
    <cellStyle name="쉼표 [0] 4 5 29 5 2" xfId="39133"/>
    <cellStyle name="쉼표 [0] 4 5 29 6" xfId="26461"/>
    <cellStyle name="쉼표 [0] 4 5 3" xfId="1108"/>
    <cellStyle name="쉼표 [0] 4 5 3 2" xfId="1109"/>
    <cellStyle name="쉼표 [0] 4 5 3 2 2" xfId="4227"/>
    <cellStyle name="쉼표 [0] 4 5 3 2 2 2" xfId="10563"/>
    <cellStyle name="쉼표 [0] 4 5 3 2 2 2 2" xfId="23237"/>
    <cellStyle name="쉼표 [0] 4 5 3 2 2 2 2 2" xfId="48589"/>
    <cellStyle name="쉼표 [0] 4 5 3 2 2 2 3" xfId="35917"/>
    <cellStyle name="쉼표 [0] 4 5 3 2 2 3" xfId="16901"/>
    <cellStyle name="쉼표 [0] 4 5 3 2 2 3 2" xfId="42253"/>
    <cellStyle name="쉼표 [0] 4 5 3 2 2 4" xfId="29581"/>
    <cellStyle name="쉼표 [0] 4 5 3 2 3" xfId="7446"/>
    <cellStyle name="쉼표 [0] 4 5 3 2 3 2" xfId="20120"/>
    <cellStyle name="쉼표 [0] 4 5 3 2 3 2 2" xfId="45472"/>
    <cellStyle name="쉼표 [0] 4 5 3 2 3 3" xfId="32800"/>
    <cellStyle name="쉼표 [0] 4 5 3 2 4" xfId="13784"/>
    <cellStyle name="쉼표 [0] 4 5 3 2 4 2" xfId="39136"/>
    <cellStyle name="쉼표 [0] 4 5 3 2 5" xfId="26464"/>
    <cellStyle name="쉼표 [0] 4 5 3 3" xfId="4228"/>
    <cellStyle name="쉼표 [0] 4 5 3 3 2" xfId="10564"/>
    <cellStyle name="쉼표 [0] 4 5 3 3 2 2" xfId="23238"/>
    <cellStyle name="쉼표 [0] 4 5 3 3 2 2 2" xfId="48590"/>
    <cellStyle name="쉼표 [0] 4 5 3 3 2 3" xfId="35918"/>
    <cellStyle name="쉼표 [0] 4 5 3 3 3" xfId="16902"/>
    <cellStyle name="쉼표 [0] 4 5 3 3 3 2" xfId="42254"/>
    <cellStyle name="쉼표 [0] 4 5 3 3 4" xfId="29582"/>
    <cellStyle name="쉼표 [0] 4 5 3 4" xfId="7445"/>
    <cellStyle name="쉼표 [0] 4 5 3 4 2" xfId="20119"/>
    <cellStyle name="쉼표 [0] 4 5 3 4 2 2" xfId="45471"/>
    <cellStyle name="쉼표 [0] 4 5 3 4 3" xfId="32799"/>
    <cellStyle name="쉼표 [0] 4 5 3 5" xfId="13783"/>
    <cellStyle name="쉼표 [0] 4 5 3 5 2" xfId="39135"/>
    <cellStyle name="쉼표 [0] 4 5 3 6" xfId="26463"/>
    <cellStyle name="쉼표 [0] 4 5 30" xfId="1110"/>
    <cellStyle name="쉼표 [0] 4 5 30 2" xfId="1111"/>
    <cellStyle name="쉼표 [0] 4 5 30 2 2" xfId="4229"/>
    <cellStyle name="쉼표 [0] 4 5 30 2 2 2" xfId="10565"/>
    <cellStyle name="쉼표 [0] 4 5 30 2 2 2 2" xfId="23239"/>
    <cellStyle name="쉼표 [0] 4 5 30 2 2 2 2 2" xfId="48591"/>
    <cellStyle name="쉼표 [0] 4 5 30 2 2 2 3" xfId="35919"/>
    <cellStyle name="쉼표 [0] 4 5 30 2 2 3" xfId="16903"/>
    <cellStyle name="쉼표 [0] 4 5 30 2 2 3 2" xfId="42255"/>
    <cellStyle name="쉼표 [0] 4 5 30 2 2 4" xfId="29583"/>
    <cellStyle name="쉼표 [0] 4 5 30 2 3" xfId="7448"/>
    <cellStyle name="쉼표 [0] 4 5 30 2 3 2" xfId="20122"/>
    <cellStyle name="쉼표 [0] 4 5 30 2 3 2 2" xfId="45474"/>
    <cellStyle name="쉼표 [0] 4 5 30 2 3 3" xfId="32802"/>
    <cellStyle name="쉼표 [0] 4 5 30 2 4" xfId="13786"/>
    <cellStyle name="쉼표 [0] 4 5 30 2 4 2" xfId="39138"/>
    <cellStyle name="쉼표 [0] 4 5 30 2 5" xfId="26466"/>
    <cellStyle name="쉼표 [0] 4 5 30 3" xfId="4230"/>
    <cellStyle name="쉼표 [0] 4 5 30 3 2" xfId="10566"/>
    <cellStyle name="쉼표 [0] 4 5 30 3 2 2" xfId="23240"/>
    <cellStyle name="쉼표 [0] 4 5 30 3 2 2 2" xfId="48592"/>
    <cellStyle name="쉼표 [0] 4 5 30 3 2 3" xfId="35920"/>
    <cellStyle name="쉼표 [0] 4 5 30 3 3" xfId="16904"/>
    <cellStyle name="쉼표 [0] 4 5 30 3 3 2" xfId="42256"/>
    <cellStyle name="쉼표 [0] 4 5 30 3 4" xfId="29584"/>
    <cellStyle name="쉼표 [0] 4 5 30 4" xfId="7447"/>
    <cellStyle name="쉼표 [0] 4 5 30 4 2" xfId="20121"/>
    <cellStyle name="쉼표 [0] 4 5 30 4 2 2" xfId="45473"/>
    <cellStyle name="쉼표 [0] 4 5 30 4 3" xfId="32801"/>
    <cellStyle name="쉼표 [0] 4 5 30 5" xfId="13785"/>
    <cellStyle name="쉼표 [0] 4 5 30 5 2" xfId="39137"/>
    <cellStyle name="쉼표 [0] 4 5 30 6" xfId="26465"/>
    <cellStyle name="쉼표 [0] 4 5 31" xfId="1112"/>
    <cellStyle name="쉼표 [0] 4 5 31 2" xfId="1113"/>
    <cellStyle name="쉼표 [0] 4 5 31 2 2" xfId="4231"/>
    <cellStyle name="쉼표 [0] 4 5 31 2 2 2" xfId="10567"/>
    <cellStyle name="쉼표 [0] 4 5 31 2 2 2 2" xfId="23241"/>
    <cellStyle name="쉼표 [0] 4 5 31 2 2 2 2 2" xfId="48593"/>
    <cellStyle name="쉼표 [0] 4 5 31 2 2 2 3" xfId="35921"/>
    <cellStyle name="쉼표 [0] 4 5 31 2 2 3" xfId="16905"/>
    <cellStyle name="쉼표 [0] 4 5 31 2 2 3 2" xfId="42257"/>
    <cellStyle name="쉼표 [0] 4 5 31 2 2 4" xfId="29585"/>
    <cellStyle name="쉼표 [0] 4 5 31 2 3" xfId="7450"/>
    <cellStyle name="쉼표 [0] 4 5 31 2 3 2" xfId="20124"/>
    <cellStyle name="쉼표 [0] 4 5 31 2 3 2 2" xfId="45476"/>
    <cellStyle name="쉼표 [0] 4 5 31 2 3 3" xfId="32804"/>
    <cellStyle name="쉼표 [0] 4 5 31 2 4" xfId="13788"/>
    <cellStyle name="쉼표 [0] 4 5 31 2 4 2" xfId="39140"/>
    <cellStyle name="쉼표 [0] 4 5 31 2 5" xfId="26468"/>
    <cellStyle name="쉼표 [0] 4 5 31 3" xfId="4232"/>
    <cellStyle name="쉼표 [0] 4 5 31 3 2" xfId="10568"/>
    <cellStyle name="쉼표 [0] 4 5 31 3 2 2" xfId="23242"/>
    <cellStyle name="쉼표 [0] 4 5 31 3 2 2 2" xfId="48594"/>
    <cellStyle name="쉼표 [0] 4 5 31 3 2 3" xfId="35922"/>
    <cellStyle name="쉼표 [0] 4 5 31 3 3" xfId="16906"/>
    <cellStyle name="쉼표 [0] 4 5 31 3 3 2" xfId="42258"/>
    <cellStyle name="쉼표 [0] 4 5 31 3 4" xfId="29586"/>
    <cellStyle name="쉼표 [0] 4 5 31 4" xfId="7449"/>
    <cellStyle name="쉼표 [0] 4 5 31 4 2" xfId="20123"/>
    <cellStyle name="쉼표 [0] 4 5 31 4 2 2" xfId="45475"/>
    <cellStyle name="쉼표 [0] 4 5 31 4 3" xfId="32803"/>
    <cellStyle name="쉼표 [0] 4 5 31 5" xfId="13787"/>
    <cellStyle name="쉼표 [0] 4 5 31 5 2" xfId="39139"/>
    <cellStyle name="쉼표 [0] 4 5 31 6" xfId="26467"/>
    <cellStyle name="쉼표 [0] 4 5 32" xfId="1114"/>
    <cellStyle name="쉼표 [0] 4 5 32 2" xfId="1115"/>
    <cellStyle name="쉼표 [0] 4 5 32 2 2" xfId="4233"/>
    <cellStyle name="쉼표 [0] 4 5 32 2 2 2" xfId="10569"/>
    <cellStyle name="쉼표 [0] 4 5 32 2 2 2 2" xfId="23243"/>
    <cellStyle name="쉼표 [0] 4 5 32 2 2 2 2 2" xfId="48595"/>
    <cellStyle name="쉼표 [0] 4 5 32 2 2 2 3" xfId="35923"/>
    <cellStyle name="쉼표 [0] 4 5 32 2 2 3" xfId="16907"/>
    <cellStyle name="쉼표 [0] 4 5 32 2 2 3 2" xfId="42259"/>
    <cellStyle name="쉼표 [0] 4 5 32 2 2 4" xfId="29587"/>
    <cellStyle name="쉼표 [0] 4 5 32 2 3" xfId="7452"/>
    <cellStyle name="쉼표 [0] 4 5 32 2 3 2" xfId="20126"/>
    <cellStyle name="쉼표 [0] 4 5 32 2 3 2 2" xfId="45478"/>
    <cellStyle name="쉼표 [0] 4 5 32 2 3 3" xfId="32806"/>
    <cellStyle name="쉼표 [0] 4 5 32 2 4" xfId="13790"/>
    <cellStyle name="쉼표 [0] 4 5 32 2 4 2" xfId="39142"/>
    <cellStyle name="쉼표 [0] 4 5 32 2 5" xfId="26470"/>
    <cellStyle name="쉼표 [0] 4 5 32 3" xfId="4234"/>
    <cellStyle name="쉼표 [0] 4 5 32 3 2" xfId="10570"/>
    <cellStyle name="쉼표 [0] 4 5 32 3 2 2" xfId="23244"/>
    <cellStyle name="쉼표 [0] 4 5 32 3 2 2 2" xfId="48596"/>
    <cellStyle name="쉼표 [0] 4 5 32 3 2 3" xfId="35924"/>
    <cellStyle name="쉼표 [0] 4 5 32 3 3" xfId="16908"/>
    <cellStyle name="쉼표 [0] 4 5 32 3 3 2" xfId="42260"/>
    <cellStyle name="쉼표 [0] 4 5 32 3 4" xfId="29588"/>
    <cellStyle name="쉼표 [0] 4 5 32 4" xfId="7451"/>
    <cellStyle name="쉼표 [0] 4 5 32 4 2" xfId="20125"/>
    <cellStyle name="쉼표 [0] 4 5 32 4 2 2" xfId="45477"/>
    <cellStyle name="쉼표 [0] 4 5 32 4 3" xfId="32805"/>
    <cellStyle name="쉼표 [0] 4 5 32 5" xfId="13789"/>
    <cellStyle name="쉼표 [0] 4 5 32 5 2" xfId="39141"/>
    <cellStyle name="쉼표 [0] 4 5 32 6" xfId="26469"/>
    <cellStyle name="쉼표 [0] 4 5 33" xfId="1116"/>
    <cellStyle name="쉼표 [0] 4 5 33 2" xfId="1117"/>
    <cellStyle name="쉼표 [0] 4 5 33 2 2" xfId="4235"/>
    <cellStyle name="쉼표 [0] 4 5 33 2 2 2" xfId="10571"/>
    <cellStyle name="쉼표 [0] 4 5 33 2 2 2 2" xfId="23245"/>
    <cellStyle name="쉼표 [0] 4 5 33 2 2 2 2 2" xfId="48597"/>
    <cellStyle name="쉼표 [0] 4 5 33 2 2 2 3" xfId="35925"/>
    <cellStyle name="쉼표 [0] 4 5 33 2 2 3" xfId="16909"/>
    <cellStyle name="쉼표 [0] 4 5 33 2 2 3 2" xfId="42261"/>
    <cellStyle name="쉼표 [0] 4 5 33 2 2 4" xfId="29589"/>
    <cellStyle name="쉼표 [0] 4 5 33 2 3" xfId="7454"/>
    <cellStyle name="쉼표 [0] 4 5 33 2 3 2" xfId="20128"/>
    <cellStyle name="쉼표 [0] 4 5 33 2 3 2 2" xfId="45480"/>
    <cellStyle name="쉼표 [0] 4 5 33 2 3 3" xfId="32808"/>
    <cellStyle name="쉼표 [0] 4 5 33 2 4" xfId="13792"/>
    <cellStyle name="쉼표 [0] 4 5 33 2 4 2" xfId="39144"/>
    <cellStyle name="쉼표 [0] 4 5 33 2 5" xfId="26472"/>
    <cellStyle name="쉼표 [0] 4 5 33 3" xfId="4236"/>
    <cellStyle name="쉼표 [0] 4 5 33 3 2" xfId="10572"/>
    <cellStyle name="쉼표 [0] 4 5 33 3 2 2" xfId="23246"/>
    <cellStyle name="쉼표 [0] 4 5 33 3 2 2 2" xfId="48598"/>
    <cellStyle name="쉼표 [0] 4 5 33 3 2 3" xfId="35926"/>
    <cellStyle name="쉼표 [0] 4 5 33 3 3" xfId="16910"/>
    <cellStyle name="쉼표 [0] 4 5 33 3 3 2" xfId="42262"/>
    <cellStyle name="쉼표 [0] 4 5 33 3 4" xfId="29590"/>
    <cellStyle name="쉼표 [0] 4 5 33 4" xfId="7453"/>
    <cellStyle name="쉼표 [0] 4 5 33 4 2" xfId="20127"/>
    <cellStyle name="쉼표 [0] 4 5 33 4 2 2" xfId="45479"/>
    <cellStyle name="쉼표 [0] 4 5 33 4 3" xfId="32807"/>
    <cellStyle name="쉼표 [0] 4 5 33 5" xfId="13791"/>
    <cellStyle name="쉼표 [0] 4 5 33 5 2" xfId="39143"/>
    <cellStyle name="쉼표 [0] 4 5 33 6" xfId="26471"/>
    <cellStyle name="쉼표 [0] 4 5 34" xfId="1118"/>
    <cellStyle name="쉼표 [0] 4 5 34 2" xfId="4237"/>
    <cellStyle name="쉼표 [0] 4 5 34 2 2" xfId="10573"/>
    <cellStyle name="쉼표 [0] 4 5 34 2 2 2" xfId="23247"/>
    <cellStyle name="쉼표 [0] 4 5 34 2 2 2 2" xfId="48599"/>
    <cellStyle name="쉼표 [0] 4 5 34 2 2 3" xfId="35927"/>
    <cellStyle name="쉼표 [0] 4 5 34 2 3" xfId="16911"/>
    <cellStyle name="쉼표 [0] 4 5 34 2 3 2" xfId="42263"/>
    <cellStyle name="쉼표 [0] 4 5 34 2 4" xfId="29591"/>
    <cellStyle name="쉼표 [0] 4 5 34 3" xfId="7455"/>
    <cellStyle name="쉼표 [0] 4 5 34 3 2" xfId="20129"/>
    <cellStyle name="쉼표 [0] 4 5 34 3 2 2" xfId="45481"/>
    <cellStyle name="쉼표 [0] 4 5 34 3 3" xfId="32809"/>
    <cellStyle name="쉼표 [0] 4 5 34 4" xfId="13793"/>
    <cellStyle name="쉼표 [0] 4 5 34 4 2" xfId="39145"/>
    <cellStyle name="쉼표 [0] 4 5 34 5" xfId="26473"/>
    <cellStyle name="쉼표 [0] 4 5 35" xfId="4238"/>
    <cellStyle name="쉼표 [0] 4 5 35 2" xfId="10574"/>
    <cellStyle name="쉼표 [0] 4 5 35 2 2" xfId="23248"/>
    <cellStyle name="쉼표 [0] 4 5 35 2 2 2" xfId="48600"/>
    <cellStyle name="쉼표 [0] 4 5 35 2 3" xfId="35928"/>
    <cellStyle name="쉼표 [0] 4 5 35 3" xfId="16912"/>
    <cellStyle name="쉼표 [0] 4 5 35 3 2" xfId="42264"/>
    <cellStyle name="쉼표 [0] 4 5 35 4" xfId="29592"/>
    <cellStyle name="쉼표 [0] 4 5 36" xfId="6409"/>
    <cellStyle name="쉼표 [0] 4 5 36 2" xfId="19083"/>
    <cellStyle name="쉼표 [0] 4 5 36 2 2" xfId="44435"/>
    <cellStyle name="쉼표 [0] 4 5 36 3" xfId="31763"/>
    <cellStyle name="쉼표 [0] 4 5 37" xfId="12747"/>
    <cellStyle name="쉼표 [0] 4 5 37 2" xfId="38099"/>
    <cellStyle name="쉼표 [0] 4 5 38" xfId="25427"/>
    <cellStyle name="쉼표 [0] 4 5 4" xfId="1119"/>
    <cellStyle name="쉼표 [0] 4 5 4 2" xfId="1120"/>
    <cellStyle name="쉼표 [0] 4 5 4 2 2" xfId="4239"/>
    <cellStyle name="쉼표 [0] 4 5 4 2 2 2" xfId="10575"/>
    <cellStyle name="쉼표 [0] 4 5 4 2 2 2 2" xfId="23249"/>
    <cellStyle name="쉼표 [0] 4 5 4 2 2 2 2 2" xfId="48601"/>
    <cellStyle name="쉼표 [0] 4 5 4 2 2 2 3" xfId="35929"/>
    <cellStyle name="쉼표 [0] 4 5 4 2 2 3" xfId="16913"/>
    <cellStyle name="쉼표 [0] 4 5 4 2 2 3 2" xfId="42265"/>
    <cellStyle name="쉼표 [0] 4 5 4 2 2 4" xfId="29593"/>
    <cellStyle name="쉼표 [0] 4 5 4 2 3" xfId="7457"/>
    <cellStyle name="쉼표 [0] 4 5 4 2 3 2" xfId="20131"/>
    <cellStyle name="쉼표 [0] 4 5 4 2 3 2 2" xfId="45483"/>
    <cellStyle name="쉼표 [0] 4 5 4 2 3 3" xfId="32811"/>
    <cellStyle name="쉼표 [0] 4 5 4 2 4" xfId="13795"/>
    <cellStyle name="쉼표 [0] 4 5 4 2 4 2" xfId="39147"/>
    <cellStyle name="쉼표 [0] 4 5 4 2 5" xfId="26475"/>
    <cellStyle name="쉼표 [0] 4 5 4 3" xfId="4240"/>
    <cellStyle name="쉼표 [0] 4 5 4 3 2" xfId="10576"/>
    <cellStyle name="쉼표 [0] 4 5 4 3 2 2" xfId="23250"/>
    <cellStyle name="쉼표 [0] 4 5 4 3 2 2 2" xfId="48602"/>
    <cellStyle name="쉼표 [0] 4 5 4 3 2 3" xfId="35930"/>
    <cellStyle name="쉼표 [0] 4 5 4 3 3" xfId="16914"/>
    <cellStyle name="쉼표 [0] 4 5 4 3 3 2" xfId="42266"/>
    <cellStyle name="쉼표 [0] 4 5 4 3 4" xfId="29594"/>
    <cellStyle name="쉼표 [0] 4 5 4 4" xfId="7456"/>
    <cellStyle name="쉼표 [0] 4 5 4 4 2" xfId="20130"/>
    <cellStyle name="쉼표 [0] 4 5 4 4 2 2" xfId="45482"/>
    <cellStyle name="쉼표 [0] 4 5 4 4 3" xfId="32810"/>
    <cellStyle name="쉼표 [0] 4 5 4 5" xfId="13794"/>
    <cellStyle name="쉼표 [0] 4 5 4 5 2" xfId="39146"/>
    <cellStyle name="쉼표 [0] 4 5 4 6" xfId="26474"/>
    <cellStyle name="쉼표 [0] 4 5 5" xfId="1121"/>
    <cellStyle name="쉼표 [0] 4 5 5 2" xfId="1122"/>
    <cellStyle name="쉼표 [0] 4 5 5 2 2" xfId="4241"/>
    <cellStyle name="쉼표 [0] 4 5 5 2 2 2" xfId="10577"/>
    <cellStyle name="쉼표 [0] 4 5 5 2 2 2 2" xfId="23251"/>
    <cellStyle name="쉼표 [0] 4 5 5 2 2 2 2 2" xfId="48603"/>
    <cellStyle name="쉼표 [0] 4 5 5 2 2 2 3" xfId="35931"/>
    <cellStyle name="쉼표 [0] 4 5 5 2 2 3" xfId="16915"/>
    <cellStyle name="쉼표 [0] 4 5 5 2 2 3 2" xfId="42267"/>
    <cellStyle name="쉼표 [0] 4 5 5 2 2 4" xfId="29595"/>
    <cellStyle name="쉼표 [0] 4 5 5 2 3" xfId="7459"/>
    <cellStyle name="쉼표 [0] 4 5 5 2 3 2" xfId="20133"/>
    <cellStyle name="쉼표 [0] 4 5 5 2 3 2 2" xfId="45485"/>
    <cellStyle name="쉼표 [0] 4 5 5 2 3 3" xfId="32813"/>
    <cellStyle name="쉼표 [0] 4 5 5 2 4" xfId="13797"/>
    <cellStyle name="쉼표 [0] 4 5 5 2 4 2" xfId="39149"/>
    <cellStyle name="쉼표 [0] 4 5 5 2 5" xfId="26477"/>
    <cellStyle name="쉼표 [0] 4 5 5 3" xfId="4242"/>
    <cellStyle name="쉼표 [0] 4 5 5 3 2" xfId="10578"/>
    <cellStyle name="쉼표 [0] 4 5 5 3 2 2" xfId="23252"/>
    <cellStyle name="쉼표 [0] 4 5 5 3 2 2 2" xfId="48604"/>
    <cellStyle name="쉼표 [0] 4 5 5 3 2 3" xfId="35932"/>
    <cellStyle name="쉼표 [0] 4 5 5 3 3" xfId="16916"/>
    <cellStyle name="쉼표 [0] 4 5 5 3 3 2" xfId="42268"/>
    <cellStyle name="쉼표 [0] 4 5 5 3 4" xfId="29596"/>
    <cellStyle name="쉼표 [0] 4 5 5 4" xfId="7458"/>
    <cellStyle name="쉼표 [0] 4 5 5 4 2" xfId="20132"/>
    <cellStyle name="쉼표 [0] 4 5 5 4 2 2" xfId="45484"/>
    <cellStyle name="쉼표 [0] 4 5 5 4 3" xfId="32812"/>
    <cellStyle name="쉼표 [0] 4 5 5 5" xfId="13796"/>
    <cellStyle name="쉼표 [0] 4 5 5 5 2" xfId="39148"/>
    <cellStyle name="쉼표 [0] 4 5 5 6" xfId="26476"/>
    <cellStyle name="쉼표 [0] 4 5 6" xfId="1123"/>
    <cellStyle name="쉼표 [0] 4 5 6 2" xfId="1124"/>
    <cellStyle name="쉼표 [0] 4 5 6 2 2" xfId="4243"/>
    <cellStyle name="쉼표 [0] 4 5 6 2 2 2" xfId="10579"/>
    <cellStyle name="쉼표 [0] 4 5 6 2 2 2 2" xfId="23253"/>
    <cellStyle name="쉼표 [0] 4 5 6 2 2 2 2 2" xfId="48605"/>
    <cellStyle name="쉼표 [0] 4 5 6 2 2 2 3" xfId="35933"/>
    <cellStyle name="쉼표 [0] 4 5 6 2 2 3" xfId="16917"/>
    <cellStyle name="쉼표 [0] 4 5 6 2 2 3 2" xfId="42269"/>
    <cellStyle name="쉼표 [0] 4 5 6 2 2 4" xfId="29597"/>
    <cellStyle name="쉼표 [0] 4 5 6 2 3" xfId="7461"/>
    <cellStyle name="쉼표 [0] 4 5 6 2 3 2" xfId="20135"/>
    <cellStyle name="쉼표 [0] 4 5 6 2 3 2 2" xfId="45487"/>
    <cellStyle name="쉼표 [0] 4 5 6 2 3 3" xfId="32815"/>
    <cellStyle name="쉼표 [0] 4 5 6 2 4" xfId="13799"/>
    <cellStyle name="쉼표 [0] 4 5 6 2 4 2" xfId="39151"/>
    <cellStyle name="쉼표 [0] 4 5 6 2 5" xfId="26479"/>
    <cellStyle name="쉼표 [0] 4 5 6 3" xfId="4244"/>
    <cellStyle name="쉼표 [0] 4 5 6 3 2" xfId="10580"/>
    <cellStyle name="쉼표 [0] 4 5 6 3 2 2" xfId="23254"/>
    <cellStyle name="쉼표 [0] 4 5 6 3 2 2 2" xfId="48606"/>
    <cellStyle name="쉼표 [0] 4 5 6 3 2 3" xfId="35934"/>
    <cellStyle name="쉼표 [0] 4 5 6 3 3" xfId="16918"/>
    <cellStyle name="쉼표 [0] 4 5 6 3 3 2" xfId="42270"/>
    <cellStyle name="쉼표 [0] 4 5 6 3 4" xfId="29598"/>
    <cellStyle name="쉼표 [0] 4 5 6 4" xfId="7460"/>
    <cellStyle name="쉼표 [0] 4 5 6 4 2" xfId="20134"/>
    <cellStyle name="쉼표 [0] 4 5 6 4 2 2" xfId="45486"/>
    <cellStyle name="쉼표 [0] 4 5 6 4 3" xfId="32814"/>
    <cellStyle name="쉼표 [0] 4 5 6 5" xfId="13798"/>
    <cellStyle name="쉼표 [0] 4 5 6 5 2" xfId="39150"/>
    <cellStyle name="쉼표 [0] 4 5 6 6" xfId="26478"/>
    <cellStyle name="쉼표 [0] 4 5 7" xfId="1125"/>
    <cellStyle name="쉼표 [0] 4 5 7 2" xfId="1126"/>
    <cellStyle name="쉼표 [0] 4 5 7 2 2" xfId="4245"/>
    <cellStyle name="쉼표 [0] 4 5 7 2 2 2" xfId="10581"/>
    <cellStyle name="쉼표 [0] 4 5 7 2 2 2 2" xfId="23255"/>
    <cellStyle name="쉼표 [0] 4 5 7 2 2 2 2 2" xfId="48607"/>
    <cellStyle name="쉼표 [0] 4 5 7 2 2 2 3" xfId="35935"/>
    <cellStyle name="쉼표 [0] 4 5 7 2 2 3" xfId="16919"/>
    <cellStyle name="쉼표 [0] 4 5 7 2 2 3 2" xfId="42271"/>
    <cellStyle name="쉼표 [0] 4 5 7 2 2 4" xfId="29599"/>
    <cellStyle name="쉼표 [0] 4 5 7 2 3" xfId="7463"/>
    <cellStyle name="쉼표 [0] 4 5 7 2 3 2" xfId="20137"/>
    <cellStyle name="쉼표 [0] 4 5 7 2 3 2 2" xfId="45489"/>
    <cellStyle name="쉼표 [0] 4 5 7 2 3 3" xfId="32817"/>
    <cellStyle name="쉼표 [0] 4 5 7 2 4" xfId="13801"/>
    <cellStyle name="쉼표 [0] 4 5 7 2 4 2" xfId="39153"/>
    <cellStyle name="쉼표 [0] 4 5 7 2 5" xfId="26481"/>
    <cellStyle name="쉼표 [0] 4 5 7 3" xfId="4246"/>
    <cellStyle name="쉼표 [0] 4 5 7 3 2" xfId="10582"/>
    <cellStyle name="쉼표 [0] 4 5 7 3 2 2" xfId="23256"/>
    <cellStyle name="쉼표 [0] 4 5 7 3 2 2 2" xfId="48608"/>
    <cellStyle name="쉼표 [0] 4 5 7 3 2 3" xfId="35936"/>
    <cellStyle name="쉼표 [0] 4 5 7 3 3" xfId="16920"/>
    <cellStyle name="쉼표 [0] 4 5 7 3 3 2" xfId="42272"/>
    <cellStyle name="쉼표 [0] 4 5 7 3 4" xfId="29600"/>
    <cellStyle name="쉼표 [0] 4 5 7 4" xfId="7462"/>
    <cellStyle name="쉼표 [0] 4 5 7 4 2" xfId="20136"/>
    <cellStyle name="쉼표 [0] 4 5 7 4 2 2" xfId="45488"/>
    <cellStyle name="쉼표 [0] 4 5 7 4 3" xfId="32816"/>
    <cellStyle name="쉼표 [0] 4 5 7 5" xfId="13800"/>
    <cellStyle name="쉼표 [0] 4 5 7 5 2" xfId="39152"/>
    <cellStyle name="쉼표 [0] 4 5 7 6" xfId="26480"/>
    <cellStyle name="쉼표 [0] 4 5 8" xfId="1127"/>
    <cellStyle name="쉼표 [0] 4 5 8 2" xfId="1128"/>
    <cellStyle name="쉼표 [0] 4 5 8 2 2" xfId="4247"/>
    <cellStyle name="쉼표 [0] 4 5 8 2 2 2" xfId="10583"/>
    <cellStyle name="쉼표 [0] 4 5 8 2 2 2 2" xfId="23257"/>
    <cellStyle name="쉼표 [0] 4 5 8 2 2 2 2 2" xfId="48609"/>
    <cellStyle name="쉼표 [0] 4 5 8 2 2 2 3" xfId="35937"/>
    <cellStyle name="쉼표 [0] 4 5 8 2 2 3" xfId="16921"/>
    <cellStyle name="쉼표 [0] 4 5 8 2 2 3 2" xfId="42273"/>
    <cellStyle name="쉼표 [0] 4 5 8 2 2 4" xfId="29601"/>
    <cellStyle name="쉼표 [0] 4 5 8 2 3" xfId="7465"/>
    <cellStyle name="쉼표 [0] 4 5 8 2 3 2" xfId="20139"/>
    <cellStyle name="쉼표 [0] 4 5 8 2 3 2 2" xfId="45491"/>
    <cellStyle name="쉼표 [0] 4 5 8 2 3 3" xfId="32819"/>
    <cellStyle name="쉼표 [0] 4 5 8 2 4" xfId="13803"/>
    <cellStyle name="쉼표 [0] 4 5 8 2 4 2" xfId="39155"/>
    <cellStyle name="쉼표 [0] 4 5 8 2 5" xfId="26483"/>
    <cellStyle name="쉼표 [0] 4 5 8 3" xfId="4248"/>
    <cellStyle name="쉼표 [0] 4 5 8 3 2" xfId="10584"/>
    <cellStyle name="쉼표 [0] 4 5 8 3 2 2" xfId="23258"/>
    <cellStyle name="쉼표 [0] 4 5 8 3 2 2 2" xfId="48610"/>
    <cellStyle name="쉼표 [0] 4 5 8 3 2 3" xfId="35938"/>
    <cellStyle name="쉼표 [0] 4 5 8 3 3" xfId="16922"/>
    <cellStyle name="쉼표 [0] 4 5 8 3 3 2" xfId="42274"/>
    <cellStyle name="쉼표 [0] 4 5 8 3 4" xfId="29602"/>
    <cellStyle name="쉼표 [0] 4 5 8 4" xfId="7464"/>
    <cellStyle name="쉼표 [0] 4 5 8 4 2" xfId="20138"/>
    <cellStyle name="쉼표 [0] 4 5 8 4 2 2" xfId="45490"/>
    <cellStyle name="쉼표 [0] 4 5 8 4 3" xfId="32818"/>
    <cellStyle name="쉼표 [0] 4 5 8 5" xfId="13802"/>
    <cellStyle name="쉼표 [0] 4 5 8 5 2" xfId="39154"/>
    <cellStyle name="쉼표 [0] 4 5 8 6" xfId="26482"/>
    <cellStyle name="쉼표 [0] 4 5 9" xfId="1129"/>
    <cellStyle name="쉼표 [0] 4 5 9 2" xfId="1130"/>
    <cellStyle name="쉼표 [0] 4 5 9 2 2" xfId="4249"/>
    <cellStyle name="쉼표 [0] 4 5 9 2 2 2" xfId="10585"/>
    <cellStyle name="쉼표 [0] 4 5 9 2 2 2 2" xfId="23259"/>
    <cellStyle name="쉼표 [0] 4 5 9 2 2 2 2 2" xfId="48611"/>
    <cellStyle name="쉼표 [0] 4 5 9 2 2 2 3" xfId="35939"/>
    <cellStyle name="쉼표 [0] 4 5 9 2 2 3" xfId="16923"/>
    <cellStyle name="쉼표 [0] 4 5 9 2 2 3 2" xfId="42275"/>
    <cellStyle name="쉼표 [0] 4 5 9 2 2 4" xfId="29603"/>
    <cellStyle name="쉼표 [0] 4 5 9 2 3" xfId="7467"/>
    <cellStyle name="쉼표 [0] 4 5 9 2 3 2" xfId="20141"/>
    <cellStyle name="쉼표 [0] 4 5 9 2 3 2 2" xfId="45493"/>
    <cellStyle name="쉼표 [0] 4 5 9 2 3 3" xfId="32821"/>
    <cellStyle name="쉼표 [0] 4 5 9 2 4" xfId="13805"/>
    <cellStyle name="쉼표 [0] 4 5 9 2 4 2" xfId="39157"/>
    <cellStyle name="쉼표 [0] 4 5 9 2 5" xfId="26485"/>
    <cellStyle name="쉼표 [0] 4 5 9 3" xfId="4250"/>
    <cellStyle name="쉼표 [0] 4 5 9 3 2" xfId="10586"/>
    <cellStyle name="쉼표 [0] 4 5 9 3 2 2" xfId="23260"/>
    <cellStyle name="쉼표 [0] 4 5 9 3 2 2 2" xfId="48612"/>
    <cellStyle name="쉼표 [0] 4 5 9 3 2 3" xfId="35940"/>
    <cellStyle name="쉼표 [0] 4 5 9 3 3" xfId="16924"/>
    <cellStyle name="쉼표 [0] 4 5 9 3 3 2" xfId="42276"/>
    <cellStyle name="쉼표 [0] 4 5 9 3 4" xfId="29604"/>
    <cellStyle name="쉼표 [0] 4 5 9 4" xfId="7466"/>
    <cellStyle name="쉼표 [0] 4 5 9 4 2" xfId="20140"/>
    <cellStyle name="쉼표 [0] 4 5 9 4 2 2" xfId="45492"/>
    <cellStyle name="쉼표 [0] 4 5 9 4 3" xfId="32820"/>
    <cellStyle name="쉼표 [0] 4 5 9 5" xfId="13804"/>
    <cellStyle name="쉼표 [0] 4 5 9 5 2" xfId="39156"/>
    <cellStyle name="쉼표 [0] 4 5 9 6" xfId="26484"/>
    <cellStyle name="쉼표 [0] 4 6" xfId="72"/>
    <cellStyle name="쉼표 [0] 4 6 2" xfId="1131"/>
    <cellStyle name="쉼표 [0] 4 6 2 2" xfId="4251"/>
    <cellStyle name="쉼표 [0] 4 6 2 2 2" xfId="10587"/>
    <cellStyle name="쉼표 [0] 4 6 2 2 2 2" xfId="23261"/>
    <cellStyle name="쉼표 [0] 4 6 2 2 2 2 2" xfId="48613"/>
    <cellStyle name="쉼표 [0] 4 6 2 2 2 3" xfId="35941"/>
    <cellStyle name="쉼표 [0] 4 6 2 2 3" xfId="16925"/>
    <cellStyle name="쉼표 [0] 4 6 2 2 3 2" xfId="42277"/>
    <cellStyle name="쉼표 [0] 4 6 2 2 4" xfId="29605"/>
    <cellStyle name="쉼표 [0] 4 6 2 3" xfId="7468"/>
    <cellStyle name="쉼표 [0] 4 6 2 3 2" xfId="20142"/>
    <cellStyle name="쉼표 [0] 4 6 2 3 2 2" xfId="45494"/>
    <cellStyle name="쉼표 [0] 4 6 2 3 3" xfId="32822"/>
    <cellStyle name="쉼표 [0] 4 6 2 4" xfId="13806"/>
    <cellStyle name="쉼표 [0] 4 6 2 4 2" xfId="39158"/>
    <cellStyle name="쉼표 [0] 4 6 2 5" xfId="26486"/>
    <cellStyle name="쉼표 [0] 4 6 3" xfId="4252"/>
    <cellStyle name="쉼표 [0] 4 6 3 2" xfId="10588"/>
    <cellStyle name="쉼표 [0] 4 6 3 2 2" xfId="23262"/>
    <cellStyle name="쉼표 [0] 4 6 3 2 2 2" xfId="48614"/>
    <cellStyle name="쉼표 [0] 4 6 3 2 3" xfId="35942"/>
    <cellStyle name="쉼표 [0] 4 6 3 3" xfId="16926"/>
    <cellStyle name="쉼표 [0] 4 6 3 3 2" xfId="42278"/>
    <cellStyle name="쉼표 [0] 4 6 3 4" xfId="29606"/>
    <cellStyle name="쉼표 [0] 4 6 4" xfId="6410"/>
    <cellStyle name="쉼표 [0] 4 6 4 2" xfId="19084"/>
    <cellStyle name="쉼표 [0] 4 6 4 2 2" xfId="44436"/>
    <cellStyle name="쉼표 [0] 4 6 4 3" xfId="31764"/>
    <cellStyle name="쉼표 [0] 4 6 5" xfId="12748"/>
    <cellStyle name="쉼표 [0] 4 6 5 2" xfId="38100"/>
    <cellStyle name="쉼표 [0] 4 6 6" xfId="25428"/>
    <cellStyle name="쉼표 [0] 4 7" xfId="1132"/>
    <cellStyle name="쉼표 [0] 4 7 2" xfId="1133"/>
    <cellStyle name="쉼표 [0] 4 7 2 2" xfId="4253"/>
    <cellStyle name="쉼표 [0] 4 7 2 2 2" xfId="10589"/>
    <cellStyle name="쉼표 [0] 4 7 2 2 2 2" xfId="23263"/>
    <cellStyle name="쉼표 [0] 4 7 2 2 2 2 2" xfId="48615"/>
    <cellStyle name="쉼표 [0] 4 7 2 2 2 3" xfId="35943"/>
    <cellStyle name="쉼표 [0] 4 7 2 2 3" xfId="16927"/>
    <cellStyle name="쉼표 [0] 4 7 2 2 3 2" xfId="42279"/>
    <cellStyle name="쉼표 [0] 4 7 2 2 4" xfId="29607"/>
    <cellStyle name="쉼표 [0] 4 7 2 3" xfId="7470"/>
    <cellStyle name="쉼표 [0] 4 7 2 3 2" xfId="20144"/>
    <cellStyle name="쉼표 [0] 4 7 2 3 2 2" xfId="45496"/>
    <cellStyle name="쉼표 [0] 4 7 2 3 3" xfId="32824"/>
    <cellStyle name="쉼표 [0] 4 7 2 4" xfId="13808"/>
    <cellStyle name="쉼표 [0] 4 7 2 4 2" xfId="39160"/>
    <cellStyle name="쉼표 [0] 4 7 2 5" xfId="26488"/>
    <cellStyle name="쉼표 [0] 4 7 3" xfId="4254"/>
    <cellStyle name="쉼표 [0] 4 7 3 2" xfId="10590"/>
    <cellStyle name="쉼표 [0] 4 7 3 2 2" xfId="23264"/>
    <cellStyle name="쉼표 [0] 4 7 3 2 2 2" xfId="48616"/>
    <cellStyle name="쉼표 [0] 4 7 3 2 3" xfId="35944"/>
    <cellStyle name="쉼표 [0] 4 7 3 3" xfId="16928"/>
    <cellStyle name="쉼표 [0] 4 7 3 3 2" xfId="42280"/>
    <cellStyle name="쉼표 [0] 4 7 3 4" xfId="29608"/>
    <cellStyle name="쉼표 [0] 4 7 4" xfId="7469"/>
    <cellStyle name="쉼표 [0] 4 7 4 2" xfId="20143"/>
    <cellStyle name="쉼표 [0] 4 7 4 2 2" xfId="45495"/>
    <cellStyle name="쉼표 [0] 4 7 4 3" xfId="32823"/>
    <cellStyle name="쉼표 [0] 4 7 5" xfId="13807"/>
    <cellStyle name="쉼표 [0] 4 7 5 2" xfId="39159"/>
    <cellStyle name="쉼표 [0] 4 7 6" xfId="26487"/>
    <cellStyle name="쉼표 [0] 4 8" xfId="1134"/>
    <cellStyle name="쉼표 [0] 4 8 2" xfId="1135"/>
    <cellStyle name="쉼표 [0] 4 8 2 2" xfId="4255"/>
    <cellStyle name="쉼표 [0] 4 8 2 2 2" xfId="10591"/>
    <cellStyle name="쉼표 [0] 4 8 2 2 2 2" xfId="23265"/>
    <cellStyle name="쉼표 [0] 4 8 2 2 2 2 2" xfId="48617"/>
    <cellStyle name="쉼표 [0] 4 8 2 2 2 3" xfId="35945"/>
    <cellStyle name="쉼표 [0] 4 8 2 2 3" xfId="16929"/>
    <cellStyle name="쉼표 [0] 4 8 2 2 3 2" xfId="42281"/>
    <cellStyle name="쉼표 [0] 4 8 2 2 4" xfId="29609"/>
    <cellStyle name="쉼표 [0] 4 8 2 3" xfId="7472"/>
    <cellStyle name="쉼표 [0] 4 8 2 3 2" xfId="20146"/>
    <cellStyle name="쉼표 [0] 4 8 2 3 2 2" xfId="45498"/>
    <cellStyle name="쉼표 [0] 4 8 2 3 3" xfId="32826"/>
    <cellStyle name="쉼표 [0] 4 8 2 4" xfId="13810"/>
    <cellStyle name="쉼표 [0] 4 8 2 4 2" xfId="39162"/>
    <cellStyle name="쉼표 [0] 4 8 2 5" xfId="26490"/>
    <cellStyle name="쉼표 [0] 4 8 3" xfId="4256"/>
    <cellStyle name="쉼표 [0] 4 8 3 2" xfId="10592"/>
    <cellStyle name="쉼표 [0] 4 8 3 2 2" xfId="23266"/>
    <cellStyle name="쉼표 [0] 4 8 3 2 2 2" xfId="48618"/>
    <cellStyle name="쉼표 [0] 4 8 3 2 3" xfId="35946"/>
    <cellStyle name="쉼표 [0] 4 8 3 3" xfId="16930"/>
    <cellStyle name="쉼표 [0] 4 8 3 3 2" xfId="42282"/>
    <cellStyle name="쉼표 [0] 4 8 3 4" xfId="29610"/>
    <cellStyle name="쉼표 [0] 4 8 4" xfId="7471"/>
    <cellStyle name="쉼표 [0] 4 8 4 2" xfId="20145"/>
    <cellStyle name="쉼표 [0] 4 8 4 2 2" xfId="45497"/>
    <cellStyle name="쉼표 [0] 4 8 4 3" xfId="32825"/>
    <cellStyle name="쉼표 [0] 4 8 5" xfId="13809"/>
    <cellStyle name="쉼표 [0] 4 8 5 2" xfId="39161"/>
    <cellStyle name="쉼표 [0] 4 8 6" xfId="26489"/>
    <cellStyle name="쉼표 [0] 4 9" xfId="1136"/>
    <cellStyle name="쉼표 [0] 4 9 2" xfId="1137"/>
    <cellStyle name="쉼표 [0] 4 9 2 2" xfId="4257"/>
    <cellStyle name="쉼표 [0] 4 9 2 2 2" xfId="10593"/>
    <cellStyle name="쉼표 [0] 4 9 2 2 2 2" xfId="23267"/>
    <cellStyle name="쉼표 [0] 4 9 2 2 2 2 2" xfId="48619"/>
    <cellStyle name="쉼표 [0] 4 9 2 2 2 3" xfId="35947"/>
    <cellStyle name="쉼표 [0] 4 9 2 2 3" xfId="16931"/>
    <cellStyle name="쉼표 [0] 4 9 2 2 3 2" xfId="42283"/>
    <cellStyle name="쉼표 [0] 4 9 2 2 4" xfId="29611"/>
    <cellStyle name="쉼표 [0] 4 9 2 3" xfId="7474"/>
    <cellStyle name="쉼표 [0] 4 9 2 3 2" xfId="20148"/>
    <cellStyle name="쉼표 [0] 4 9 2 3 2 2" xfId="45500"/>
    <cellStyle name="쉼표 [0] 4 9 2 3 3" xfId="32828"/>
    <cellStyle name="쉼표 [0] 4 9 2 4" xfId="13812"/>
    <cellStyle name="쉼표 [0] 4 9 2 4 2" xfId="39164"/>
    <cellStyle name="쉼표 [0] 4 9 2 5" xfId="26492"/>
    <cellStyle name="쉼표 [0] 4 9 3" xfId="4258"/>
    <cellStyle name="쉼표 [0] 4 9 3 2" xfId="10594"/>
    <cellStyle name="쉼표 [0] 4 9 3 2 2" xfId="23268"/>
    <cellStyle name="쉼표 [0] 4 9 3 2 2 2" xfId="48620"/>
    <cellStyle name="쉼표 [0] 4 9 3 2 3" xfId="35948"/>
    <cellStyle name="쉼표 [0] 4 9 3 3" xfId="16932"/>
    <cellStyle name="쉼표 [0] 4 9 3 3 2" xfId="42284"/>
    <cellStyle name="쉼표 [0] 4 9 3 4" xfId="29612"/>
    <cellStyle name="쉼표 [0] 4 9 4" xfId="7473"/>
    <cellStyle name="쉼표 [0] 4 9 4 2" xfId="20147"/>
    <cellStyle name="쉼표 [0] 4 9 4 2 2" xfId="45499"/>
    <cellStyle name="쉼표 [0] 4 9 4 3" xfId="32827"/>
    <cellStyle name="쉼표 [0] 4 9 5" xfId="13811"/>
    <cellStyle name="쉼표 [0] 4 9 5 2" xfId="39163"/>
    <cellStyle name="쉼표 [0] 4 9 6" xfId="26491"/>
    <cellStyle name="쉼표 [0] 5" xfId="35"/>
    <cellStyle name="쉼표 [0] 6" xfId="105"/>
    <cellStyle name="쉼표 [0] 8" xfId="25387"/>
    <cellStyle name="쉼표 [0] 9" xfId="25388"/>
    <cellStyle name="콤마 [0]_05계속비조서" xfId="55"/>
    <cellStyle name="콤마_05계속비조서" xfId="56"/>
    <cellStyle name="표준" xfId="0" builtinId="0"/>
    <cellStyle name="표준 2" xfId="4"/>
    <cellStyle name="표준 3" xfId="5"/>
    <cellStyle name="표준 4" xfId="7"/>
    <cellStyle name="표준 5" xfId="8"/>
    <cellStyle name="표준 5 10" xfId="1138"/>
    <cellStyle name="표준 5 10 2" xfId="1139"/>
    <cellStyle name="표준 5 10 2 2" xfId="4259"/>
    <cellStyle name="표준 5 10 2 2 2" xfId="10595"/>
    <cellStyle name="표준 5 10 2 2 2 2" xfId="23269"/>
    <cellStyle name="표준 5 10 2 2 2 2 2" xfId="48621"/>
    <cellStyle name="표준 5 10 2 2 2 3" xfId="35949"/>
    <cellStyle name="표준 5 10 2 2 3" xfId="16933"/>
    <cellStyle name="표준 5 10 2 2 3 2" xfId="42285"/>
    <cellStyle name="표준 5 10 2 2 4" xfId="29613"/>
    <cellStyle name="표준 5 10 2 3" xfId="7476"/>
    <cellStyle name="표준 5 10 2 3 2" xfId="20150"/>
    <cellStyle name="표준 5 10 2 3 2 2" xfId="45502"/>
    <cellStyle name="표준 5 10 2 3 3" xfId="32830"/>
    <cellStyle name="표준 5 10 2 4" xfId="13814"/>
    <cellStyle name="표준 5 10 2 4 2" xfId="39166"/>
    <cellStyle name="표준 5 10 2 5" xfId="26494"/>
    <cellStyle name="표준 5 10 3" xfId="4260"/>
    <cellStyle name="표준 5 10 3 2" xfId="10596"/>
    <cellStyle name="표준 5 10 3 2 2" xfId="23270"/>
    <cellStyle name="표준 5 10 3 2 2 2" xfId="48622"/>
    <cellStyle name="표준 5 10 3 2 3" xfId="35950"/>
    <cellStyle name="표준 5 10 3 3" xfId="16934"/>
    <cellStyle name="표준 5 10 3 3 2" xfId="42286"/>
    <cellStyle name="표준 5 10 3 4" xfId="29614"/>
    <cellStyle name="표준 5 10 4" xfId="7475"/>
    <cellStyle name="표준 5 10 4 2" xfId="20149"/>
    <cellStyle name="표준 5 10 4 2 2" xfId="45501"/>
    <cellStyle name="표준 5 10 4 3" xfId="32829"/>
    <cellStyle name="표준 5 10 5" xfId="13813"/>
    <cellStyle name="표준 5 10 5 2" xfId="39165"/>
    <cellStyle name="표준 5 10 6" xfId="26493"/>
    <cellStyle name="표준 5 11" xfId="1140"/>
    <cellStyle name="표준 5 11 2" xfId="1141"/>
    <cellStyle name="표준 5 11 2 2" xfId="4261"/>
    <cellStyle name="표준 5 11 2 2 2" xfId="10597"/>
    <cellStyle name="표준 5 11 2 2 2 2" xfId="23271"/>
    <cellStyle name="표준 5 11 2 2 2 2 2" xfId="48623"/>
    <cellStyle name="표준 5 11 2 2 2 3" xfId="35951"/>
    <cellStyle name="표준 5 11 2 2 3" xfId="16935"/>
    <cellStyle name="표준 5 11 2 2 3 2" xfId="42287"/>
    <cellStyle name="표준 5 11 2 2 4" xfId="29615"/>
    <cellStyle name="표준 5 11 2 3" xfId="7478"/>
    <cellStyle name="표준 5 11 2 3 2" xfId="20152"/>
    <cellStyle name="표준 5 11 2 3 2 2" xfId="45504"/>
    <cellStyle name="표준 5 11 2 3 3" xfId="32832"/>
    <cellStyle name="표준 5 11 2 4" xfId="13816"/>
    <cellStyle name="표준 5 11 2 4 2" xfId="39168"/>
    <cellStyle name="표준 5 11 2 5" xfId="26496"/>
    <cellStyle name="표준 5 11 3" xfId="4262"/>
    <cellStyle name="표준 5 11 3 2" xfId="10598"/>
    <cellStyle name="표준 5 11 3 2 2" xfId="23272"/>
    <cellStyle name="표준 5 11 3 2 2 2" xfId="48624"/>
    <cellStyle name="표준 5 11 3 2 3" xfId="35952"/>
    <cellStyle name="표준 5 11 3 3" xfId="16936"/>
    <cellStyle name="표준 5 11 3 3 2" xfId="42288"/>
    <cellStyle name="표준 5 11 3 4" xfId="29616"/>
    <cellStyle name="표준 5 11 4" xfId="7477"/>
    <cellStyle name="표준 5 11 4 2" xfId="20151"/>
    <cellStyle name="표준 5 11 4 2 2" xfId="45503"/>
    <cellStyle name="표준 5 11 4 3" xfId="32831"/>
    <cellStyle name="표준 5 11 5" xfId="13815"/>
    <cellStyle name="표준 5 11 5 2" xfId="39167"/>
    <cellStyle name="표준 5 11 6" xfId="26495"/>
    <cellStyle name="표준 5 12" xfId="1142"/>
    <cellStyle name="표준 5 12 2" xfId="1143"/>
    <cellStyle name="표준 5 12 2 2" xfId="4263"/>
    <cellStyle name="표준 5 12 2 2 2" xfId="10599"/>
    <cellStyle name="표준 5 12 2 2 2 2" xfId="23273"/>
    <cellStyle name="표준 5 12 2 2 2 2 2" xfId="48625"/>
    <cellStyle name="표준 5 12 2 2 2 3" xfId="35953"/>
    <cellStyle name="표준 5 12 2 2 3" xfId="16937"/>
    <cellStyle name="표준 5 12 2 2 3 2" xfId="42289"/>
    <cellStyle name="표준 5 12 2 2 4" xfId="29617"/>
    <cellStyle name="표준 5 12 2 3" xfId="7480"/>
    <cellStyle name="표준 5 12 2 3 2" xfId="20154"/>
    <cellStyle name="표준 5 12 2 3 2 2" xfId="45506"/>
    <cellStyle name="표준 5 12 2 3 3" xfId="32834"/>
    <cellStyle name="표준 5 12 2 4" xfId="13818"/>
    <cellStyle name="표준 5 12 2 4 2" xfId="39170"/>
    <cellStyle name="표준 5 12 2 5" xfId="26498"/>
    <cellStyle name="표준 5 12 3" xfId="4264"/>
    <cellStyle name="표준 5 12 3 2" xfId="10600"/>
    <cellStyle name="표준 5 12 3 2 2" xfId="23274"/>
    <cellStyle name="표준 5 12 3 2 2 2" xfId="48626"/>
    <cellStyle name="표준 5 12 3 2 3" xfId="35954"/>
    <cellStyle name="표준 5 12 3 3" xfId="16938"/>
    <cellStyle name="표준 5 12 3 3 2" xfId="42290"/>
    <cellStyle name="표준 5 12 3 4" xfId="29618"/>
    <cellStyle name="표준 5 12 4" xfId="7479"/>
    <cellStyle name="표준 5 12 4 2" xfId="20153"/>
    <cellStyle name="표준 5 12 4 2 2" xfId="45505"/>
    <cellStyle name="표준 5 12 4 3" xfId="32833"/>
    <cellStyle name="표준 5 12 5" xfId="13817"/>
    <cellStyle name="표준 5 12 5 2" xfId="39169"/>
    <cellStyle name="표준 5 12 6" xfId="26497"/>
    <cellStyle name="표준 5 13" xfId="1144"/>
    <cellStyle name="표준 5 13 2" xfId="1145"/>
    <cellStyle name="표준 5 13 2 2" xfId="4265"/>
    <cellStyle name="표준 5 13 2 2 2" xfId="10601"/>
    <cellStyle name="표준 5 13 2 2 2 2" xfId="23275"/>
    <cellStyle name="표준 5 13 2 2 2 2 2" xfId="48627"/>
    <cellStyle name="표준 5 13 2 2 2 3" xfId="35955"/>
    <cellStyle name="표준 5 13 2 2 3" xfId="16939"/>
    <cellStyle name="표준 5 13 2 2 3 2" xfId="42291"/>
    <cellStyle name="표준 5 13 2 2 4" xfId="29619"/>
    <cellStyle name="표준 5 13 2 3" xfId="7482"/>
    <cellStyle name="표준 5 13 2 3 2" xfId="20156"/>
    <cellStyle name="표준 5 13 2 3 2 2" xfId="45508"/>
    <cellStyle name="표준 5 13 2 3 3" xfId="32836"/>
    <cellStyle name="표준 5 13 2 4" xfId="13820"/>
    <cellStyle name="표준 5 13 2 4 2" xfId="39172"/>
    <cellStyle name="표준 5 13 2 5" xfId="26500"/>
    <cellStyle name="표준 5 13 3" xfId="4266"/>
    <cellStyle name="표준 5 13 3 2" xfId="10602"/>
    <cellStyle name="표준 5 13 3 2 2" xfId="23276"/>
    <cellStyle name="표준 5 13 3 2 2 2" xfId="48628"/>
    <cellStyle name="표준 5 13 3 2 3" xfId="35956"/>
    <cellStyle name="표준 5 13 3 3" xfId="16940"/>
    <cellStyle name="표준 5 13 3 3 2" xfId="42292"/>
    <cellStyle name="표준 5 13 3 4" xfId="29620"/>
    <cellStyle name="표준 5 13 4" xfId="7481"/>
    <cellStyle name="표준 5 13 4 2" xfId="20155"/>
    <cellStyle name="표준 5 13 4 2 2" xfId="45507"/>
    <cellStyle name="표준 5 13 4 3" xfId="32835"/>
    <cellStyle name="표준 5 13 5" xfId="13819"/>
    <cellStyle name="표준 5 13 5 2" xfId="39171"/>
    <cellStyle name="표준 5 13 6" xfId="26499"/>
    <cellStyle name="표준 5 14" xfId="1146"/>
    <cellStyle name="표준 5 14 2" xfId="1147"/>
    <cellStyle name="표준 5 14 2 2" xfId="4267"/>
    <cellStyle name="표준 5 14 2 2 2" xfId="10603"/>
    <cellStyle name="표준 5 14 2 2 2 2" xfId="23277"/>
    <cellStyle name="표준 5 14 2 2 2 2 2" xfId="48629"/>
    <cellStyle name="표준 5 14 2 2 2 3" xfId="35957"/>
    <cellStyle name="표준 5 14 2 2 3" xfId="16941"/>
    <cellStyle name="표준 5 14 2 2 3 2" xfId="42293"/>
    <cellStyle name="표준 5 14 2 2 4" xfId="29621"/>
    <cellStyle name="표준 5 14 2 3" xfId="7484"/>
    <cellStyle name="표준 5 14 2 3 2" xfId="20158"/>
    <cellStyle name="표준 5 14 2 3 2 2" xfId="45510"/>
    <cellStyle name="표준 5 14 2 3 3" xfId="32838"/>
    <cellStyle name="표준 5 14 2 4" xfId="13822"/>
    <cellStyle name="표준 5 14 2 4 2" xfId="39174"/>
    <cellStyle name="표준 5 14 2 5" xfId="26502"/>
    <cellStyle name="표준 5 14 3" xfId="4268"/>
    <cellStyle name="표준 5 14 3 2" xfId="10604"/>
    <cellStyle name="표준 5 14 3 2 2" xfId="23278"/>
    <cellStyle name="표준 5 14 3 2 2 2" xfId="48630"/>
    <cellStyle name="표준 5 14 3 2 3" xfId="35958"/>
    <cellStyle name="표준 5 14 3 3" xfId="16942"/>
    <cellStyle name="표준 5 14 3 3 2" xfId="42294"/>
    <cellStyle name="표준 5 14 3 4" xfId="29622"/>
    <cellStyle name="표준 5 14 4" xfId="7483"/>
    <cellStyle name="표준 5 14 4 2" xfId="20157"/>
    <cellStyle name="표준 5 14 4 2 2" xfId="45509"/>
    <cellStyle name="표준 5 14 4 3" xfId="32837"/>
    <cellStyle name="표준 5 14 5" xfId="13821"/>
    <cellStyle name="표준 5 14 5 2" xfId="39173"/>
    <cellStyle name="표준 5 14 6" xfId="26501"/>
    <cellStyle name="표준 5 15" xfId="1148"/>
    <cellStyle name="표준 5 15 2" xfId="1149"/>
    <cellStyle name="표준 5 15 2 2" xfId="4269"/>
    <cellStyle name="표준 5 15 2 2 2" xfId="10605"/>
    <cellStyle name="표준 5 15 2 2 2 2" xfId="23279"/>
    <cellStyle name="표준 5 15 2 2 2 2 2" xfId="48631"/>
    <cellStyle name="표준 5 15 2 2 2 3" xfId="35959"/>
    <cellStyle name="표준 5 15 2 2 3" xfId="16943"/>
    <cellStyle name="표준 5 15 2 2 3 2" xfId="42295"/>
    <cellStyle name="표준 5 15 2 2 4" xfId="29623"/>
    <cellStyle name="표준 5 15 2 3" xfId="7486"/>
    <cellStyle name="표준 5 15 2 3 2" xfId="20160"/>
    <cellStyle name="표준 5 15 2 3 2 2" xfId="45512"/>
    <cellStyle name="표준 5 15 2 3 3" xfId="32840"/>
    <cellStyle name="표준 5 15 2 4" xfId="13824"/>
    <cellStyle name="표준 5 15 2 4 2" xfId="39176"/>
    <cellStyle name="표준 5 15 2 5" xfId="26504"/>
    <cellStyle name="표준 5 15 3" xfId="4270"/>
    <cellStyle name="표준 5 15 3 2" xfId="10606"/>
    <cellStyle name="표준 5 15 3 2 2" xfId="23280"/>
    <cellStyle name="표준 5 15 3 2 2 2" xfId="48632"/>
    <cellStyle name="표준 5 15 3 2 3" xfId="35960"/>
    <cellStyle name="표준 5 15 3 3" xfId="16944"/>
    <cellStyle name="표준 5 15 3 3 2" xfId="42296"/>
    <cellStyle name="표준 5 15 3 4" xfId="29624"/>
    <cellStyle name="표준 5 15 4" xfId="7485"/>
    <cellStyle name="표준 5 15 4 2" xfId="20159"/>
    <cellStyle name="표준 5 15 4 2 2" xfId="45511"/>
    <cellStyle name="표준 5 15 4 3" xfId="32839"/>
    <cellStyle name="표준 5 15 5" xfId="13823"/>
    <cellStyle name="표준 5 15 5 2" xfId="39175"/>
    <cellStyle name="표준 5 15 6" xfId="26503"/>
    <cellStyle name="표준 5 16" xfId="1150"/>
    <cellStyle name="표준 5 16 2" xfId="1151"/>
    <cellStyle name="표준 5 16 2 2" xfId="4271"/>
    <cellStyle name="표준 5 16 2 2 2" xfId="10607"/>
    <cellStyle name="표준 5 16 2 2 2 2" xfId="23281"/>
    <cellStyle name="표준 5 16 2 2 2 2 2" xfId="48633"/>
    <cellStyle name="표준 5 16 2 2 2 3" xfId="35961"/>
    <cellStyle name="표준 5 16 2 2 3" xfId="16945"/>
    <cellStyle name="표준 5 16 2 2 3 2" xfId="42297"/>
    <cellStyle name="표준 5 16 2 2 4" xfId="29625"/>
    <cellStyle name="표준 5 16 2 3" xfId="7488"/>
    <cellStyle name="표준 5 16 2 3 2" xfId="20162"/>
    <cellStyle name="표준 5 16 2 3 2 2" xfId="45514"/>
    <cellStyle name="표준 5 16 2 3 3" xfId="32842"/>
    <cellStyle name="표준 5 16 2 4" xfId="13826"/>
    <cellStyle name="표준 5 16 2 4 2" xfId="39178"/>
    <cellStyle name="표준 5 16 2 5" xfId="26506"/>
    <cellStyle name="표준 5 16 3" xfId="4272"/>
    <cellStyle name="표준 5 16 3 2" xfId="10608"/>
    <cellStyle name="표준 5 16 3 2 2" xfId="23282"/>
    <cellStyle name="표준 5 16 3 2 2 2" xfId="48634"/>
    <cellStyle name="표준 5 16 3 2 3" xfId="35962"/>
    <cellStyle name="표준 5 16 3 3" xfId="16946"/>
    <cellStyle name="표준 5 16 3 3 2" xfId="42298"/>
    <cellStyle name="표준 5 16 3 4" xfId="29626"/>
    <cellStyle name="표준 5 16 4" xfId="7487"/>
    <cellStyle name="표준 5 16 4 2" xfId="20161"/>
    <cellStyle name="표준 5 16 4 2 2" xfId="45513"/>
    <cellStyle name="표준 5 16 4 3" xfId="32841"/>
    <cellStyle name="표준 5 16 5" xfId="13825"/>
    <cellStyle name="표준 5 16 5 2" xfId="39177"/>
    <cellStyle name="표준 5 16 6" xfId="26505"/>
    <cellStyle name="표준 5 17" xfId="1152"/>
    <cellStyle name="표준 5 17 2" xfId="1153"/>
    <cellStyle name="표준 5 17 2 2" xfId="4273"/>
    <cellStyle name="표준 5 17 2 2 2" xfId="10609"/>
    <cellStyle name="표준 5 17 2 2 2 2" xfId="23283"/>
    <cellStyle name="표준 5 17 2 2 2 2 2" xfId="48635"/>
    <cellStyle name="표준 5 17 2 2 2 3" xfId="35963"/>
    <cellStyle name="표준 5 17 2 2 3" xfId="16947"/>
    <cellStyle name="표준 5 17 2 2 3 2" xfId="42299"/>
    <cellStyle name="표준 5 17 2 2 4" xfId="29627"/>
    <cellStyle name="표준 5 17 2 3" xfId="7490"/>
    <cellStyle name="표준 5 17 2 3 2" xfId="20164"/>
    <cellStyle name="표준 5 17 2 3 2 2" xfId="45516"/>
    <cellStyle name="표준 5 17 2 3 3" xfId="32844"/>
    <cellStyle name="표준 5 17 2 4" xfId="13828"/>
    <cellStyle name="표준 5 17 2 4 2" xfId="39180"/>
    <cellStyle name="표준 5 17 2 5" xfId="26508"/>
    <cellStyle name="표준 5 17 3" xfId="4274"/>
    <cellStyle name="표준 5 17 3 2" xfId="10610"/>
    <cellStyle name="표준 5 17 3 2 2" xfId="23284"/>
    <cellStyle name="표준 5 17 3 2 2 2" xfId="48636"/>
    <cellStyle name="표준 5 17 3 2 3" xfId="35964"/>
    <cellStyle name="표준 5 17 3 3" xfId="16948"/>
    <cellStyle name="표준 5 17 3 3 2" xfId="42300"/>
    <cellStyle name="표준 5 17 3 4" xfId="29628"/>
    <cellStyle name="표준 5 17 4" xfId="7489"/>
    <cellStyle name="표준 5 17 4 2" xfId="20163"/>
    <cellStyle name="표준 5 17 4 2 2" xfId="45515"/>
    <cellStyle name="표준 5 17 4 3" xfId="32843"/>
    <cellStyle name="표준 5 17 5" xfId="13827"/>
    <cellStyle name="표준 5 17 5 2" xfId="39179"/>
    <cellStyle name="표준 5 17 6" xfId="26507"/>
    <cellStyle name="표준 5 18" xfId="1154"/>
    <cellStyle name="표준 5 18 2" xfId="1155"/>
    <cellStyle name="표준 5 18 2 2" xfId="4275"/>
    <cellStyle name="표준 5 18 2 2 2" xfId="10611"/>
    <cellStyle name="표준 5 18 2 2 2 2" xfId="23285"/>
    <cellStyle name="표준 5 18 2 2 2 2 2" xfId="48637"/>
    <cellStyle name="표준 5 18 2 2 2 3" xfId="35965"/>
    <cellStyle name="표준 5 18 2 2 3" xfId="16949"/>
    <cellStyle name="표준 5 18 2 2 3 2" xfId="42301"/>
    <cellStyle name="표준 5 18 2 2 4" xfId="29629"/>
    <cellStyle name="표준 5 18 2 3" xfId="7492"/>
    <cellStyle name="표준 5 18 2 3 2" xfId="20166"/>
    <cellStyle name="표준 5 18 2 3 2 2" xfId="45518"/>
    <cellStyle name="표준 5 18 2 3 3" xfId="32846"/>
    <cellStyle name="표준 5 18 2 4" xfId="13830"/>
    <cellStyle name="표준 5 18 2 4 2" xfId="39182"/>
    <cellStyle name="표준 5 18 2 5" xfId="26510"/>
    <cellStyle name="표준 5 18 3" xfId="4276"/>
    <cellStyle name="표준 5 18 3 2" xfId="10612"/>
    <cellStyle name="표준 5 18 3 2 2" xfId="23286"/>
    <cellStyle name="표준 5 18 3 2 2 2" xfId="48638"/>
    <cellStyle name="표준 5 18 3 2 3" xfId="35966"/>
    <cellStyle name="표준 5 18 3 3" xfId="16950"/>
    <cellStyle name="표준 5 18 3 3 2" xfId="42302"/>
    <cellStyle name="표준 5 18 3 4" xfId="29630"/>
    <cellStyle name="표준 5 18 4" xfId="7491"/>
    <cellStyle name="표준 5 18 4 2" xfId="20165"/>
    <cellStyle name="표준 5 18 4 2 2" xfId="45517"/>
    <cellStyle name="표준 5 18 4 3" xfId="32845"/>
    <cellStyle name="표준 5 18 5" xfId="13829"/>
    <cellStyle name="표준 5 18 5 2" xfId="39181"/>
    <cellStyle name="표준 5 18 6" xfId="26509"/>
    <cellStyle name="표준 5 19" xfId="1156"/>
    <cellStyle name="표준 5 19 2" xfId="1157"/>
    <cellStyle name="표준 5 19 2 2" xfId="4277"/>
    <cellStyle name="표준 5 19 2 2 2" xfId="10613"/>
    <cellStyle name="표준 5 19 2 2 2 2" xfId="23287"/>
    <cellStyle name="표준 5 19 2 2 2 2 2" xfId="48639"/>
    <cellStyle name="표준 5 19 2 2 2 3" xfId="35967"/>
    <cellStyle name="표준 5 19 2 2 3" xfId="16951"/>
    <cellStyle name="표준 5 19 2 2 3 2" xfId="42303"/>
    <cellStyle name="표준 5 19 2 2 4" xfId="29631"/>
    <cellStyle name="표준 5 19 2 3" xfId="7494"/>
    <cellStyle name="표준 5 19 2 3 2" xfId="20168"/>
    <cellStyle name="표준 5 19 2 3 2 2" xfId="45520"/>
    <cellStyle name="표준 5 19 2 3 3" xfId="32848"/>
    <cellStyle name="표준 5 19 2 4" xfId="13832"/>
    <cellStyle name="표준 5 19 2 4 2" xfId="39184"/>
    <cellStyle name="표준 5 19 2 5" xfId="26512"/>
    <cellStyle name="표준 5 19 3" xfId="4278"/>
    <cellStyle name="표준 5 19 3 2" xfId="10614"/>
    <cellStyle name="표준 5 19 3 2 2" xfId="23288"/>
    <cellStyle name="표준 5 19 3 2 2 2" xfId="48640"/>
    <cellStyle name="표준 5 19 3 2 3" xfId="35968"/>
    <cellStyle name="표준 5 19 3 3" xfId="16952"/>
    <cellStyle name="표준 5 19 3 3 2" xfId="42304"/>
    <cellStyle name="표준 5 19 3 4" xfId="29632"/>
    <cellStyle name="표준 5 19 4" xfId="7493"/>
    <cellStyle name="표준 5 19 4 2" xfId="20167"/>
    <cellStyle name="표준 5 19 4 2 2" xfId="45519"/>
    <cellStyle name="표준 5 19 4 3" xfId="32847"/>
    <cellStyle name="표준 5 19 5" xfId="13831"/>
    <cellStyle name="표준 5 19 5 2" xfId="39183"/>
    <cellStyle name="표준 5 19 6" xfId="26511"/>
    <cellStyle name="표준 5 2" xfId="15"/>
    <cellStyle name="표준 5 2 10" xfId="1158"/>
    <cellStyle name="표준 5 2 10 2" xfId="1159"/>
    <cellStyle name="표준 5 2 10 2 2" xfId="4279"/>
    <cellStyle name="표준 5 2 10 2 2 2" xfId="10615"/>
    <cellStyle name="표준 5 2 10 2 2 2 2" xfId="23289"/>
    <cellStyle name="표준 5 2 10 2 2 2 2 2" xfId="48641"/>
    <cellStyle name="표준 5 2 10 2 2 2 3" xfId="35969"/>
    <cellStyle name="표준 5 2 10 2 2 3" xfId="16953"/>
    <cellStyle name="표준 5 2 10 2 2 3 2" xfId="42305"/>
    <cellStyle name="표준 5 2 10 2 2 4" xfId="29633"/>
    <cellStyle name="표준 5 2 10 2 3" xfId="7496"/>
    <cellStyle name="표준 5 2 10 2 3 2" xfId="20170"/>
    <cellStyle name="표준 5 2 10 2 3 2 2" xfId="45522"/>
    <cellStyle name="표준 5 2 10 2 3 3" xfId="32850"/>
    <cellStyle name="표준 5 2 10 2 4" xfId="13834"/>
    <cellStyle name="표준 5 2 10 2 4 2" xfId="39186"/>
    <cellStyle name="표준 5 2 10 2 5" xfId="26514"/>
    <cellStyle name="표준 5 2 10 3" xfId="4280"/>
    <cellStyle name="표준 5 2 10 3 2" xfId="10616"/>
    <cellStyle name="표준 5 2 10 3 2 2" xfId="23290"/>
    <cellStyle name="표준 5 2 10 3 2 2 2" xfId="48642"/>
    <cellStyle name="표준 5 2 10 3 2 3" xfId="35970"/>
    <cellStyle name="표준 5 2 10 3 3" xfId="16954"/>
    <cellStyle name="표준 5 2 10 3 3 2" xfId="42306"/>
    <cellStyle name="표준 5 2 10 3 4" xfId="29634"/>
    <cellStyle name="표준 5 2 10 4" xfId="7495"/>
    <cellStyle name="표준 5 2 10 4 2" xfId="20169"/>
    <cellStyle name="표준 5 2 10 4 2 2" xfId="45521"/>
    <cellStyle name="표준 5 2 10 4 3" xfId="32849"/>
    <cellStyle name="표준 5 2 10 5" xfId="13833"/>
    <cellStyle name="표준 5 2 10 5 2" xfId="39185"/>
    <cellStyle name="표준 5 2 10 6" xfId="26513"/>
    <cellStyle name="표준 5 2 11" xfId="1160"/>
    <cellStyle name="표준 5 2 11 2" xfId="1161"/>
    <cellStyle name="표준 5 2 11 2 2" xfId="4281"/>
    <cellStyle name="표준 5 2 11 2 2 2" xfId="10617"/>
    <cellStyle name="표준 5 2 11 2 2 2 2" xfId="23291"/>
    <cellStyle name="표준 5 2 11 2 2 2 2 2" xfId="48643"/>
    <cellStyle name="표준 5 2 11 2 2 2 3" xfId="35971"/>
    <cellStyle name="표준 5 2 11 2 2 3" xfId="16955"/>
    <cellStyle name="표준 5 2 11 2 2 3 2" xfId="42307"/>
    <cellStyle name="표준 5 2 11 2 2 4" xfId="29635"/>
    <cellStyle name="표준 5 2 11 2 3" xfId="7498"/>
    <cellStyle name="표준 5 2 11 2 3 2" xfId="20172"/>
    <cellStyle name="표준 5 2 11 2 3 2 2" xfId="45524"/>
    <cellStyle name="표준 5 2 11 2 3 3" xfId="32852"/>
    <cellStyle name="표준 5 2 11 2 4" xfId="13836"/>
    <cellStyle name="표준 5 2 11 2 4 2" xfId="39188"/>
    <cellStyle name="표준 5 2 11 2 5" xfId="26516"/>
    <cellStyle name="표준 5 2 11 3" xfId="4282"/>
    <cellStyle name="표준 5 2 11 3 2" xfId="10618"/>
    <cellStyle name="표준 5 2 11 3 2 2" xfId="23292"/>
    <cellStyle name="표준 5 2 11 3 2 2 2" xfId="48644"/>
    <cellStyle name="표준 5 2 11 3 2 3" xfId="35972"/>
    <cellStyle name="표준 5 2 11 3 3" xfId="16956"/>
    <cellStyle name="표준 5 2 11 3 3 2" xfId="42308"/>
    <cellStyle name="표준 5 2 11 3 4" xfId="29636"/>
    <cellStyle name="표준 5 2 11 4" xfId="7497"/>
    <cellStyle name="표준 5 2 11 4 2" xfId="20171"/>
    <cellStyle name="표준 5 2 11 4 2 2" xfId="45523"/>
    <cellStyle name="표준 5 2 11 4 3" xfId="32851"/>
    <cellStyle name="표준 5 2 11 5" xfId="13835"/>
    <cellStyle name="표준 5 2 11 5 2" xfId="39187"/>
    <cellStyle name="표준 5 2 11 6" xfId="26515"/>
    <cellStyle name="표준 5 2 12" xfId="1162"/>
    <cellStyle name="표준 5 2 12 2" xfId="1163"/>
    <cellStyle name="표준 5 2 12 2 2" xfId="4283"/>
    <cellStyle name="표준 5 2 12 2 2 2" xfId="10619"/>
    <cellStyle name="표준 5 2 12 2 2 2 2" xfId="23293"/>
    <cellStyle name="표준 5 2 12 2 2 2 2 2" xfId="48645"/>
    <cellStyle name="표준 5 2 12 2 2 2 3" xfId="35973"/>
    <cellStyle name="표준 5 2 12 2 2 3" xfId="16957"/>
    <cellStyle name="표준 5 2 12 2 2 3 2" xfId="42309"/>
    <cellStyle name="표준 5 2 12 2 2 4" xfId="29637"/>
    <cellStyle name="표준 5 2 12 2 3" xfId="7500"/>
    <cellStyle name="표준 5 2 12 2 3 2" xfId="20174"/>
    <cellStyle name="표준 5 2 12 2 3 2 2" xfId="45526"/>
    <cellStyle name="표준 5 2 12 2 3 3" xfId="32854"/>
    <cellStyle name="표준 5 2 12 2 4" xfId="13838"/>
    <cellStyle name="표준 5 2 12 2 4 2" xfId="39190"/>
    <cellStyle name="표준 5 2 12 2 5" xfId="26518"/>
    <cellStyle name="표준 5 2 12 3" xfId="4284"/>
    <cellStyle name="표준 5 2 12 3 2" xfId="10620"/>
    <cellStyle name="표준 5 2 12 3 2 2" xfId="23294"/>
    <cellStyle name="표준 5 2 12 3 2 2 2" xfId="48646"/>
    <cellStyle name="표준 5 2 12 3 2 3" xfId="35974"/>
    <cellStyle name="표준 5 2 12 3 3" xfId="16958"/>
    <cellStyle name="표준 5 2 12 3 3 2" xfId="42310"/>
    <cellStyle name="표준 5 2 12 3 4" xfId="29638"/>
    <cellStyle name="표준 5 2 12 4" xfId="7499"/>
    <cellStyle name="표준 5 2 12 4 2" xfId="20173"/>
    <cellStyle name="표준 5 2 12 4 2 2" xfId="45525"/>
    <cellStyle name="표준 5 2 12 4 3" xfId="32853"/>
    <cellStyle name="표준 5 2 12 5" xfId="13837"/>
    <cellStyle name="표준 5 2 12 5 2" xfId="39189"/>
    <cellStyle name="표준 5 2 12 6" xfId="26517"/>
    <cellStyle name="표준 5 2 13" xfId="1164"/>
    <cellStyle name="표준 5 2 13 2" xfId="1165"/>
    <cellStyle name="표준 5 2 13 2 2" xfId="4285"/>
    <cellStyle name="표준 5 2 13 2 2 2" xfId="10621"/>
    <cellStyle name="표준 5 2 13 2 2 2 2" xfId="23295"/>
    <cellStyle name="표준 5 2 13 2 2 2 2 2" xfId="48647"/>
    <cellStyle name="표준 5 2 13 2 2 2 3" xfId="35975"/>
    <cellStyle name="표준 5 2 13 2 2 3" xfId="16959"/>
    <cellStyle name="표준 5 2 13 2 2 3 2" xfId="42311"/>
    <cellStyle name="표준 5 2 13 2 2 4" xfId="29639"/>
    <cellStyle name="표준 5 2 13 2 3" xfId="7502"/>
    <cellStyle name="표준 5 2 13 2 3 2" xfId="20176"/>
    <cellStyle name="표준 5 2 13 2 3 2 2" xfId="45528"/>
    <cellStyle name="표준 5 2 13 2 3 3" xfId="32856"/>
    <cellStyle name="표준 5 2 13 2 4" xfId="13840"/>
    <cellStyle name="표준 5 2 13 2 4 2" xfId="39192"/>
    <cellStyle name="표준 5 2 13 2 5" xfId="26520"/>
    <cellStyle name="표준 5 2 13 3" xfId="4286"/>
    <cellStyle name="표준 5 2 13 3 2" xfId="10622"/>
    <cellStyle name="표준 5 2 13 3 2 2" xfId="23296"/>
    <cellStyle name="표준 5 2 13 3 2 2 2" xfId="48648"/>
    <cellStyle name="표준 5 2 13 3 2 3" xfId="35976"/>
    <cellStyle name="표준 5 2 13 3 3" xfId="16960"/>
    <cellStyle name="표준 5 2 13 3 3 2" xfId="42312"/>
    <cellStyle name="표준 5 2 13 3 4" xfId="29640"/>
    <cellStyle name="표준 5 2 13 4" xfId="7501"/>
    <cellStyle name="표준 5 2 13 4 2" xfId="20175"/>
    <cellStyle name="표준 5 2 13 4 2 2" xfId="45527"/>
    <cellStyle name="표준 5 2 13 4 3" xfId="32855"/>
    <cellStyle name="표준 5 2 13 5" xfId="13839"/>
    <cellStyle name="표준 5 2 13 5 2" xfId="39191"/>
    <cellStyle name="표준 5 2 13 6" xfId="26519"/>
    <cellStyle name="표준 5 2 14" xfId="1166"/>
    <cellStyle name="표준 5 2 14 2" xfId="1167"/>
    <cellStyle name="표준 5 2 14 2 2" xfId="4287"/>
    <cellStyle name="표준 5 2 14 2 2 2" xfId="10623"/>
    <cellStyle name="표준 5 2 14 2 2 2 2" xfId="23297"/>
    <cellStyle name="표준 5 2 14 2 2 2 2 2" xfId="48649"/>
    <cellStyle name="표준 5 2 14 2 2 2 3" xfId="35977"/>
    <cellStyle name="표준 5 2 14 2 2 3" xfId="16961"/>
    <cellStyle name="표준 5 2 14 2 2 3 2" xfId="42313"/>
    <cellStyle name="표준 5 2 14 2 2 4" xfId="29641"/>
    <cellStyle name="표준 5 2 14 2 3" xfId="7504"/>
    <cellStyle name="표준 5 2 14 2 3 2" xfId="20178"/>
    <cellStyle name="표준 5 2 14 2 3 2 2" xfId="45530"/>
    <cellStyle name="표준 5 2 14 2 3 3" xfId="32858"/>
    <cellStyle name="표준 5 2 14 2 4" xfId="13842"/>
    <cellStyle name="표준 5 2 14 2 4 2" xfId="39194"/>
    <cellStyle name="표준 5 2 14 2 5" xfId="26522"/>
    <cellStyle name="표준 5 2 14 3" xfId="4288"/>
    <cellStyle name="표준 5 2 14 3 2" xfId="10624"/>
    <cellStyle name="표준 5 2 14 3 2 2" xfId="23298"/>
    <cellStyle name="표준 5 2 14 3 2 2 2" xfId="48650"/>
    <cellStyle name="표준 5 2 14 3 2 3" xfId="35978"/>
    <cellStyle name="표준 5 2 14 3 3" xfId="16962"/>
    <cellStyle name="표준 5 2 14 3 3 2" xfId="42314"/>
    <cellStyle name="표준 5 2 14 3 4" xfId="29642"/>
    <cellStyle name="표준 5 2 14 4" xfId="7503"/>
    <cellStyle name="표준 5 2 14 4 2" xfId="20177"/>
    <cellStyle name="표준 5 2 14 4 2 2" xfId="45529"/>
    <cellStyle name="표준 5 2 14 4 3" xfId="32857"/>
    <cellStyle name="표준 5 2 14 5" xfId="13841"/>
    <cellStyle name="표준 5 2 14 5 2" xfId="39193"/>
    <cellStyle name="표준 5 2 14 6" xfId="26521"/>
    <cellStyle name="표준 5 2 15" xfId="1168"/>
    <cellStyle name="표준 5 2 15 2" xfId="1169"/>
    <cellStyle name="표준 5 2 15 2 2" xfId="4289"/>
    <cellStyle name="표준 5 2 15 2 2 2" xfId="10625"/>
    <cellStyle name="표준 5 2 15 2 2 2 2" xfId="23299"/>
    <cellStyle name="표준 5 2 15 2 2 2 2 2" xfId="48651"/>
    <cellStyle name="표준 5 2 15 2 2 2 3" xfId="35979"/>
    <cellStyle name="표준 5 2 15 2 2 3" xfId="16963"/>
    <cellStyle name="표준 5 2 15 2 2 3 2" xfId="42315"/>
    <cellStyle name="표준 5 2 15 2 2 4" xfId="29643"/>
    <cellStyle name="표준 5 2 15 2 3" xfId="7506"/>
    <cellStyle name="표준 5 2 15 2 3 2" xfId="20180"/>
    <cellStyle name="표준 5 2 15 2 3 2 2" xfId="45532"/>
    <cellStyle name="표준 5 2 15 2 3 3" xfId="32860"/>
    <cellStyle name="표준 5 2 15 2 4" xfId="13844"/>
    <cellStyle name="표준 5 2 15 2 4 2" xfId="39196"/>
    <cellStyle name="표준 5 2 15 2 5" xfId="26524"/>
    <cellStyle name="표준 5 2 15 3" xfId="4290"/>
    <cellStyle name="표준 5 2 15 3 2" xfId="10626"/>
    <cellStyle name="표준 5 2 15 3 2 2" xfId="23300"/>
    <cellStyle name="표준 5 2 15 3 2 2 2" xfId="48652"/>
    <cellStyle name="표준 5 2 15 3 2 3" xfId="35980"/>
    <cellStyle name="표준 5 2 15 3 3" xfId="16964"/>
    <cellStyle name="표준 5 2 15 3 3 2" xfId="42316"/>
    <cellStyle name="표준 5 2 15 3 4" xfId="29644"/>
    <cellStyle name="표준 5 2 15 4" xfId="7505"/>
    <cellStyle name="표준 5 2 15 4 2" xfId="20179"/>
    <cellStyle name="표준 5 2 15 4 2 2" xfId="45531"/>
    <cellStyle name="표준 5 2 15 4 3" xfId="32859"/>
    <cellStyle name="표준 5 2 15 5" xfId="13843"/>
    <cellStyle name="표준 5 2 15 5 2" xfId="39195"/>
    <cellStyle name="표준 5 2 15 6" xfId="26523"/>
    <cellStyle name="표준 5 2 16" xfId="1170"/>
    <cellStyle name="표준 5 2 16 2" xfId="1171"/>
    <cellStyle name="표준 5 2 16 2 2" xfId="4291"/>
    <cellStyle name="표준 5 2 16 2 2 2" xfId="10627"/>
    <cellStyle name="표준 5 2 16 2 2 2 2" xfId="23301"/>
    <cellStyle name="표준 5 2 16 2 2 2 2 2" xfId="48653"/>
    <cellStyle name="표준 5 2 16 2 2 2 3" xfId="35981"/>
    <cellStyle name="표준 5 2 16 2 2 3" xfId="16965"/>
    <cellStyle name="표준 5 2 16 2 2 3 2" xfId="42317"/>
    <cellStyle name="표준 5 2 16 2 2 4" xfId="29645"/>
    <cellStyle name="표준 5 2 16 2 3" xfId="7508"/>
    <cellStyle name="표준 5 2 16 2 3 2" xfId="20182"/>
    <cellStyle name="표준 5 2 16 2 3 2 2" xfId="45534"/>
    <cellStyle name="표준 5 2 16 2 3 3" xfId="32862"/>
    <cellStyle name="표준 5 2 16 2 4" xfId="13846"/>
    <cellStyle name="표준 5 2 16 2 4 2" xfId="39198"/>
    <cellStyle name="표준 5 2 16 2 5" xfId="26526"/>
    <cellStyle name="표준 5 2 16 3" xfId="4292"/>
    <cellStyle name="표준 5 2 16 3 2" xfId="10628"/>
    <cellStyle name="표준 5 2 16 3 2 2" xfId="23302"/>
    <cellStyle name="표준 5 2 16 3 2 2 2" xfId="48654"/>
    <cellStyle name="표준 5 2 16 3 2 3" xfId="35982"/>
    <cellStyle name="표준 5 2 16 3 3" xfId="16966"/>
    <cellStyle name="표준 5 2 16 3 3 2" xfId="42318"/>
    <cellStyle name="표준 5 2 16 3 4" xfId="29646"/>
    <cellStyle name="표준 5 2 16 4" xfId="7507"/>
    <cellStyle name="표준 5 2 16 4 2" xfId="20181"/>
    <cellStyle name="표준 5 2 16 4 2 2" xfId="45533"/>
    <cellStyle name="표준 5 2 16 4 3" xfId="32861"/>
    <cellStyle name="표준 5 2 16 5" xfId="13845"/>
    <cellStyle name="표준 5 2 16 5 2" xfId="39197"/>
    <cellStyle name="표준 5 2 16 6" xfId="26525"/>
    <cellStyle name="표준 5 2 17" xfId="1172"/>
    <cellStyle name="표준 5 2 17 2" xfId="1173"/>
    <cellStyle name="표준 5 2 17 2 2" xfId="4293"/>
    <cellStyle name="표준 5 2 17 2 2 2" xfId="10629"/>
    <cellStyle name="표준 5 2 17 2 2 2 2" xfId="23303"/>
    <cellStyle name="표준 5 2 17 2 2 2 2 2" xfId="48655"/>
    <cellStyle name="표준 5 2 17 2 2 2 3" xfId="35983"/>
    <cellStyle name="표준 5 2 17 2 2 3" xfId="16967"/>
    <cellStyle name="표준 5 2 17 2 2 3 2" xfId="42319"/>
    <cellStyle name="표준 5 2 17 2 2 4" xfId="29647"/>
    <cellStyle name="표준 5 2 17 2 3" xfId="7510"/>
    <cellStyle name="표준 5 2 17 2 3 2" xfId="20184"/>
    <cellStyle name="표준 5 2 17 2 3 2 2" xfId="45536"/>
    <cellStyle name="표준 5 2 17 2 3 3" xfId="32864"/>
    <cellStyle name="표준 5 2 17 2 4" xfId="13848"/>
    <cellStyle name="표준 5 2 17 2 4 2" xfId="39200"/>
    <cellStyle name="표준 5 2 17 2 5" xfId="26528"/>
    <cellStyle name="표준 5 2 17 3" xfId="4294"/>
    <cellStyle name="표준 5 2 17 3 2" xfId="10630"/>
    <cellStyle name="표준 5 2 17 3 2 2" xfId="23304"/>
    <cellStyle name="표준 5 2 17 3 2 2 2" xfId="48656"/>
    <cellStyle name="표준 5 2 17 3 2 3" xfId="35984"/>
    <cellStyle name="표준 5 2 17 3 3" xfId="16968"/>
    <cellStyle name="표준 5 2 17 3 3 2" xfId="42320"/>
    <cellStyle name="표준 5 2 17 3 4" xfId="29648"/>
    <cellStyle name="표준 5 2 17 4" xfId="7509"/>
    <cellStyle name="표준 5 2 17 4 2" xfId="20183"/>
    <cellStyle name="표준 5 2 17 4 2 2" xfId="45535"/>
    <cellStyle name="표준 5 2 17 4 3" xfId="32863"/>
    <cellStyle name="표준 5 2 17 5" xfId="13847"/>
    <cellStyle name="표준 5 2 17 5 2" xfId="39199"/>
    <cellStyle name="표준 5 2 17 6" xfId="26527"/>
    <cellStyle name="표준 5 2 18" xfId="1174"/>
    <cellStyle name="표준 5 2 18 2" xfId="1175"/>
    <cellStyle name="표준 5 2 18 2 2" xfId="4295"/>
    <cellStyle name="표준 5 2 18 2 2 2" xfId="10631"/>
    <cellStyle name="표준 5 2 18 2 2 2 2" xfId="23305"/>
    <cellStyle name="표준 5 2 18 2 2 2 2 2" xfId="48657"/>
    <cellStyle name="표준 5 2 18 2 2 2 3" xfId="35985"/>
    <cellStyle name="표준 5 2 18 2 2 3" xfId="16969"/>
    <cellStyle name="표준 5 2 18 2 2 3 2" xfId="42321"/>
    <cellStyle name="표준 5 2 18 2 2 4" xfId="29649"/>
    <cellStyle name="표준 5 2 18 2 3" xfId="7512"/>
    <cellStyle name="표준 5 2 18 2 3 2" xfId="20186"/>
    <cellStyle name="표준 5 2 18 2 3 2 2" xfId="45538"/>
    <cellStyle name="표준 5 2 18 2 3 3" xfId="32866"/>
    <cellStyle name="표준 5 2 18 2 4" xfId="13850"/>
    <cellStyle name="표준 5 2 18 2 4 2" xfId="39202"/>
    <cellStyle name="표준 5 2 18 2 5" xfId="26530"/>
    <cellStyle name="표준 5 2 18 3" xfId="4296"/>
    <cellStyle name="표준 5 2 18 3 2" xfId="10632"/>
    <cellStyle name="표준 5 2 18 3 2 2" xfId="23306"/>
    <cellStyle name="표준 5 2 18 3 2 2 2" xfId="48658"/>
    <cellStyle name="표준 5 2 18 3 2 3" xfId="35986"/>
    <cellStyle name="표준 5 2 18 3 3" xfId="16970"/>
    <cellStyle name="표준 5 2 18 3 3 2" xfId="42322"/>
    <cellStyle name="표준 5 2 18 3 4" xfId="29650"/>
    <cellStyle name="표준 5 2 18 4" xfId="7511"/>
    <cellStyle name="표준 5 2 18 4 2" xfId="20185"/>
    <cellStyle name="표준 5 2 18 4 2 2" xfId="45537"/>
    <cellStyle name="표준 5 2 18 4 3" xfId="32865"/>
    <cellStyle name="표준 5 2 18 5" xfId="13849"/>
    <cellStyle name="표준 5 2 18 5 2" xfId="39201"/>
    <cellStyle name="표준 5 2 18 6" xfId="26529"/>
    <cellStyle name="표준 5 2 19" xfId="1176"/>
    <cellStyle name="표준 5 2 19 2" xfId="1177"/>
    <cellStyle name="표준 5 2 19 2 2" xfId="4297"/>
    <cellStyle name="표준 5 2 19 2 2 2" xfId="10633"/>
    <cellStyle name="표준 5 2 19 2 2 2 2" xfId="23307"/>
    <cellStyle name="표준 5 2 19 2 2 2 2 2" xfId="48659"/>
    <cellStyle name="표준 5 2 19 2 2 2 3" xfId="35987"/>
    <cellStyle name="표준 5 2 19 2 2 3" xfId="16971"/>
    <cellStyle name="표준 5 2 19 2 2 3 2" xfId="42323"/>
    <cellStyle name="표준 5 2 19 2 2 4" xfId="29651"/>
    <cellStyle name="표준 5 2 19 2 3" xfId="7514"/>
    <cellStyle name="표준 5 2 19 2 3 2" xfId="20188"/>
    <cellStyle name="표준 5 2 19 2 3 2 2" xfId="45540"/>
    <cellStyle name="표준 5 2 19 2 3 3" xfId="32868"/>
    <cellStyle name="표준 5 2 19 2 4" xfId="13852"/>
    <cellStyle name="표준 5 2 19 2 4 2" xfId="39204"/>
    <cellStyle name="표준 5 2 19 2 5" xfId="26532"/>
    <cellStyle name="표준 5 2 19 3" xfId="4298"/>
    <cellStyle name="표준 5 2 19 3 2" xfId="10634"/>
    <cellStyle name="표준 5 2 19 3 2 2" xfId="23308"/>
    <cellStyle name="표준 5 2 19 3 2 2 2" xfId="48660"/>
    <cellStyle name="표준 5 2 19 3 2 3" xfId="35988"/>
    <cellStyle name="표준 5 2 19 3 3" xfId="16972"/>
    <cellStyle name="표준 5 2 19 3 3 2" xfId="42324"/>
    <cellStyle name="표준 5 2 19 3 4" xfId="29652"/>
    <cellStyle name="표준 5 2 19 4" xfId="7513"/>
    <cellStyle name="표준 5 2 19 4 2" xfId="20187"/>
    <cellStyle name="표준 5 2 19 4 2 2" xfId="45539"/>
    <cellStyle name="표준 5 2 19 4 3" xfId="32867"/>
    <cellStyle name="표준 5 2 19 5" xfId="13851"/>
    <cellStyle name="표준 5 2 19 5 2" xfId="39203"/>
    <cellStyle name="표준 5 2 19 6" xfId="26531"/>
    <cellStyle name="표준 5 2 2" xfId="21"/>
    <cellStyle name="표준 5 2 2 10" xfId="1178"/>
    <cellStyle name="표준 5 2 2 10 2" xfId="1179"/>
    <cellStyle name="표준 5 2 2 10 2 2" xfId="4299"/>
    <cellStyle name="표준 5 2 2 10 2 2 2" xfId="10635"/>
    <cellStyle name="표준 5 2 2 10 2 2 2 2" xfId="23309"/>
    <cellStyle name="표준 5 2 2 10 2 2 2 2 2" xfId="48661"/>
    <cellStyle name="표준 5 2 2 10 2 2 2 3" xfId="35989"/>
    <cellStyle name="표준 5 2 2 10 2 2 3" xfId="16973"/>
    <cellStyle name="표준 5 2 2 10 2 2 3 2" xfId="42325"/>
    <cellStyle name="표준 5 2 2 10 2 2 4" xfId="29653"/>
    <cellStyle name="표준 5 2 2 10 2 3" xfId="7516"/>
    <cellStyle name="표준 5 2 2 10 2 3 2" xfId="20190"/>
    <cellStyle name="표준 5 2 2 10 2 3 2 2" xfId="45542"/>
    <cellStyle name="표준 5 2 2 10 2 3 3" xfId="32870"/>
    <cellStyle name="표준 5 2 2 10 2 4" xfId="13854"/>
    <cellStyle name="표준 5 2 2 10 2 4 2" xfId="39206"/>
    <cellStyle name="표준 5 2 2 10 2 5" xfId="26534"/>
    <cellStyle name="표준 5 2 2 10 3" xfId="4300"/>
    <cellStyle name="표준 5 2 2 10 3 2" xfId="10636"/>
    <cellStyle name="표준 5 2 2 10 3 2 2" xfId="23310"/>
    <cellStyle name="표준 5 2 2 10 3 2 2 2" xfId="48662"/>
    <cellStyle name="표준 5 2 2 10 3 2 3" xfId="35990"/>
    <cellStyle name="표준 5 2 2 10 3 3" xfId="16974"/>
    <cellStyle name="표준 5 2 2 10 3 3 2" xfId="42326"/>
    <cellStyle name="표준 5 2 2 10 3 4" xfId="29654"/>
    <cellStyle name="표준 5 2 2 10 4" xfId="7515"/>
    <cellStyle name="표준 5 2 2 10 4 2" xfId="20189"/>
    <cellStyle name="표준 5 2 2 10 4 2 2" xfId="45541"/>
    <cellStyle name="표준 5 2 2 10 4 3" xfId="32869"/>
    <cellStyle name="표준 5 2 2 10 5" xfId="13853"/>
    <cellStyle name="표준 5 2 2 10 5 2" xfId="39205"/>
    <cellStyle name="표준 5 2 2 10 6" xfId="26533"/>
    <cellStyle name="표준 5 2 2 11" xfId="1180"/>
    <cellStyle name="표준 5 2 2 11 2" xfId="1181"/>
    <cellStyle name="표준 5 2 2 11 2 2" xfId="4301"/>
    <cellStyle name="표준 5 2 2 11 2 2 2" xfId="10637"/>
    <cellStyle name="표준 5 2 2 11 2 2 2 2" xfId="23311"/>
    <cellStyle name="표준 5 2 2 11 2 2 2 2 2" xfId="48663"/>
    <cellStyle name="표준 5 2 2 11 2 2 2 3" xfId="35991"/>
    <cellStyle name="표준 5 2 2 11 2 2 3" xfId="16975"/>
    <cellStyle name="표준 5 2 2 11 2 2 3 2" xfId="42327"/>
    <cellStyle name="표준 5 2 2 11 2 2 4" xfId="29655"/>
    <cellStyle name="표준 5 2 2 11 2 3" xfId="7518"/>
    <cellStyle name="표준 5 2 2 11 2 3 2" xfId="20192"/>
    <cellStyle name="표준 5 2 2 11 2 3 2 2" xfId="45544"/>
    <cellStyle name="표준 5 2 2 11 2 3 3" xfId="32872"/>
    <cellStyle name="표준 5 2 2 11 2 4" xfId="13856"/>
    <cellStyle name="표준 5 2 2 11 2 4 2" xfId="39208"/>
    <cellStyle name="표준 5 2 2 11 2 5" xfId="26536"/>
    <cellStyle name="표준 5 2 2 11 3" xfId="4302"/>
    <cellStyle name="표준 5 2 2 11 3 2" xfId="10638"/>
    <cellStyle name="표준 5 2 2 11 3 2 2" xfId="23312"/>
    <cellStyle name="표준 5 2 2 11 3 2 2 2" xfId="48664"/>
    <cellStyle name="표준 5 2 2 11 3 2 3" xfId="35992"/>
    <cellStyle name="표준 5 2 2 11 3 3" xfId="16976"/>
    <cellStyle name="표준 5 2 2 11 3 3 2" xfId="42328"/>
    <cellStyle name="표준 5 2 2 11 3 4" xfId="29656"/>
    <cellStyle name="표준 5 2 2 11 4" xfId="7517"/>
    <cellStyle name="표준 5 2 2 11 4 2" xfId="20191"/>
    <cellStyle name="표준 5 2 2 11 4 2 2" xfId="45543"/>
    <cellStyle name="표준 5 2 2 11 4 3" xfId="32871"/>
    <cellStyle name="표준 5 2 2 11 5" xfId="13855"/>
    <cellStyle name="표준 5 2 2 11 5 2" xfId="39207"/>
    <cellStyle name="표준 5 2 2 11 6" xfId="26535"/>
    <cellStyle name="표준 5 2 2 12" xfId="1182"/>
    <cellStyle name="표준 5 2 2 12 2" xfId="1183"/>
    <cellStyle name="표준 5 2 2 12 2 2" xfId="4303"/>
    <cellStyle name="표준 5 2 2 12 2 2 2" xfId="10639"/>
    <cellStyle name="표준 5 2 2 12 2 2 2 2" xfId="23313"/>
    <cellStyle name="표준 5 2 2 12 2 2 2 2 2" xfId="48665"/>
    <cellStyle name="표준 5 2 2 12 2 2 2 3" xfId="35993"/>
    <cellStyle name="표준 5 2 2 12 2 2 3" xfId="16977"/>
    <cellStyle name="표준 5 2 2 12 2 2 3 2" xfId="42329"/>
    <cellStyle name="표준 5 2 2 12 2 2 4" xfId="29657"/>
    <cellStyle name="표준 5 2 2 12 2 3" xfId="7520"/>
    <cellStyle name="표준 5 2 2 12 2 3 2" xfId="20194"/>
    <cellStyle name="표준 5 2 2 12 2 3 2 2" xfId="45546"/>
    <cellStyle name="표준 5 2 2 12 2 3 3" xfId="32874"/>
    <cellStyle name="표준 5 2 2 12 2 4" xfId="13858"/>
    <cellStyle name="표준 5 2 2 12 2 4 2" xfId="39210"/>
    <cellStyle name="표준 5 2 2 12 2 5" xfId="26538"/>
    <cellStyle name="표준 5 2 2 12 3" xfId="4304"/>
    <cellStyle name="표준 5 2 2 12 3 2" xfId="10640"/>
    <cellStyle name="표준 5 2 2 12 3 2 2" xfId="23314"/>
    <cellStyle name="표준 5 2 2 12 3 2 2 2" xfId="48666"/>
    <cellStyle name="표준 5 2 2 12 3 2 3" xfId="35994"/>
    <cellStyle name="표준 5 2 2 12 3 3" xfId="16978"/>
    <cellStyle name="표준 5 2 2 12 3 3 2" xfId="42330"/>
    <cellStyle name="표준 5 2 2 12 3 4" xfId="29658"/>
    <cellStyle name="표준 5 2 2 12 4" xfId="7519"/>
    <cellStyle name="표준 5 2 2 12 4 2" xfId="20193"/>
    <cellStyle name="표준 5 2 2 12 4 2 2" xfId="45545"/>
    <cellStyle name="표준 5 2 2 12 4 3" xfId="32873"/>
    <cellStyle name="표준 5 2 2 12 5" xfId="13857"/>
    <cellStyle name="표준 5 2 2 12 5 2" xfId="39209"/>
    <cellStyle name="표준 5 2 2 12 6" xfId="26537"/>
    <cellStyle name="표준 5 2 2 13" xfId="1184"/>
    <cellStyle name="표준 5 2 2 13 2" xfId="1185"/>
    <cellStyle name="표준 5 2 2 13 2 2" xfId="4305"/>
    <cellStyle name="표준 5 2 2 13 2 2 2" xfId="10641"/>
    <cellStyle name="표준 5 2 2 13 2 2 2 2" xfId="23315"/>
    <cellStyle name="표준 5 2 2 13 2 2 2 2 2" xfId="48667"/>
    <cellStyle name="표준 5 2 2 13 2 2 2 3" xfId="35995"/>
    <cellStyle name="표준 5 2 2 13 2 2 3" xfId="16979"/>
    <cellStyle name="표준 5 2 2 13 2 2 3 2" xfId="42331"/>
    <cellStyle name="표준 5 2 2 13 2 2 4" xfId="29659"/>
    <cellStyle name="표준 5 2 2 13 2 3" xfId="7522"/>
    <cellStyle name="표준 5 2 2 13 2 3 2" xfId="20196"/>
    <cellStyle name="표준 5 2 2 13 2 3 2 2" xfId="45548"/>
    <cellStyle name="표준 5 2 2 13 2 3 3" xfId="32876"/>
    <cellStyle name="표준 5 2 2 13 2 4" xfId="13860"/>
    <cellStyle name="표준 5 2 2 13 2 4 2" xfId="39212"/>
    <cellStyle name="표준 5 2 2 13 2 5" xfId="26540"/>
    <cellStyle name="표준 5 2 2 13 3" xfId="4306"/>
    <cellStyle name="표준 5 2 2 13 3 2" xfId="10642"/>
    <cellStyle name="표준 5 2 2 13 3 2 2" xfId="23316"/>
    <cellStyle name="표준 5 2 2 13 3 2 2 2" xfId="48668"/>
    <cellStyle name="표준 5 2 2 13 3 2 3" xfId="35996"/>
    <cellStyle name="표준 5 2 2 13 3 3" xfId="16980"/>
    <cellStyle name="표준 5 2 2 13 3 3 2" xfId="42332"/>
    <cellStyle name="표준 5 2 2 13 3 4" xfId="29660"/>
    <cellStyle name="표준 5 2 2 13 4" xfId="7521"/>
    <cellStyle name="표준 5 2 2 13 4 2" xfId="20195"/>
    <cellStyle name="표준 5 2 2 13 4 2 2" xfId="45547"/>
    <cellStyle name="표준 5 2 2 13 4 3" xfId="32875"/>
    <cellStyle name="표준 5 2 2 13 5" xfId="13859"/>
    <cellStyle name="표준 5 2 2 13 5 2" xfId="39211"/>
    <cellStyle name="표준 5 2 2 13 6" xfId="26539"/>
    <cellStyle name="표준 5 2 2 14" xfId="1186"/>
    <cellStyle name="표준 5 2 2 14 2" xfId="1187"/>
    <cellStyle name="표준 5 2 2 14 2 2" xfId="4307"/>
    <cellStyle name="표준 5 2 2 14 2 2 2" xfId="10643"/>
    <cellStyle name="표준 5 2 2 14 2 2 2 2" xfId="23317"/>
    <cellStyle name="표준 5 2 2 14 2 2 2 2 2" xfId="48669"/>
    <cellStyle name="표준 5 2 2 14 2 2 2 3" xfId="35997"/>
    <cellStyle name="표준 5 2 2 14 2 2 3" xfId="16981"/>
    <cellStyle name="표준 5 2 2 14 2 2 3 2" xfId="42333"/>
    <cellStyle name="표준 5 2 2 14 2 2 4" xfId="29661"/>
    <cellStyle name="표준 5 2 2 14 2 3" xfId="7524"/>
    <cellStyle name="표준 5 2 2 14 2 3 2" xfId="20198"/>
    <cellStyle name="표준 5 2 2 14 2 3 2 2" xfId="45550"/>
    <cellStyle name="표준 5 2 2 14 2 3 3" xfId="32878"/>
    <cellStyle name="표준 5 2 2 14 2 4" xfId="13862"/>
    <cellStyle name="표준 5 2 2 14 2 4 2" xfId="39214"/>
    <cellStyle name="표준 5 2 2 14 2 5" xfId="26542"/>
    <cellStyle name="표준 5 2 2 14 3" xfId="4308"/>
    <cellStyle name="표준 5 2 2 14 3 2" xfId="10644"/>
    <cellStyle name="표준 5 2 2 14 3 2 2" xfId="23318"/>
    <cellStyle name="표준 5 2 2 14 3 2 2 2" xfId="48670"/>
    <cellStyle name="표준 5 2 2 14 3 2 3" xfId="35998"/>
    <cellStyle name="표준 5 2 2 14 3 3" xfId="16982"/>
    <cellStyle name="표준 5 2 2 14 3 3 2" xfId="42334"/>
    <cellStyle name="표준 5 2 2 14 3 4" xfId="29662"/>
    <cellStyle name="표준 5 2 2 14 4" xfId="7523"/>
    <cellStyle name="표준 5 2 2 14 4 2" xfId="20197"/>
    <cellStyle name="표준 5 2 2 14 4 2 2" xfId="45549"/>
    <cellStyle name="표준 5 2 2 14 4 3" xfId="32877"/>
    <cellStyle name="표준 5 2 2 14 5" xfId="13861"/>
    <cellStyle name="표준 5 2 2 14 5 2" xfId="39213"/>
    <cellStyle name="표준 5 2 2 14 6" xfId="26541"/>
    <cellStyle name="표준 5 2 2 15" xfId="1188"/>
    <cellStyle name="표준 5 2 2 15 2" xfId="1189"/>
    <cellStyle name="표준 5 2 2 15 2 2" xfId="4309"/>
    <cellStyle name="표준 5 2 2 15 2 2 2" xfId="10645"/>
    <cellStyle name="표준 5 2 2 15 2 2 2 2" xfId="23319"/>
    <cellStyle name="표준 5 2 2 15 2 2 2 2 2" xfId="48671"/>
    <cellStyle name="표준 5 2 2 15 2 2 2 3" xfId="35999"/>
    <cellStyle name="표준 5 2 2 15 2 2 3" xfId="16983"/>
    <cellStyle name="표준 5 2 2 15 2 2 3 2" xfId="42335"/>
    <cellStyle name="표준 5 2 2 15 2 2 4" xfId="29663"/>
    <cellStyle name="표준 5 2 2 15 2 3" xfId="7526"/>
    <cellStyle name="표준 5 2 2 15 2 3 2" xfId="20200"/>
    <cellStyle name="표준 5 2 2 15 2 3 2 2" xfId="45552"/>
    <cellStyle name="표준 5 2 2 15 2 3 3" xfId="32880"/>
    <cellStyle name="표준 5 2 2 15 2 4" xfId="13864"/>
    <cellStyle name="표준 5 2 2 15 2 4 2" xfId="39216"/>
    <cellStyle name="표준 5 2 2 15 2 5" xfId="26544"/>
    <cellStyle name="표준 5 2 2 15 3" xfId="4310"/>
    <cellStyle name="표준 5 2 2 15 3 2" xfId="10646"/>
    <cellStyle name="표준 5 2 2 15 3 2 2" xfId="23320"/>
    <cellStyle name="표준 5 2 2 15 3 2 2 2" xfId="48672"/>
    <cellStyle name="표준 5 2 2 15 3 2 3" xfId="36000"/>
    <cellStyle name="표준 5 2 2 15 3 3" xfId="16984"/>
    <cellStyle name="표준 5 2 2 15 3 3 2" xfId="42336"/>
    <cellStyle name="표준 5 2 2 15 3 4" xfId="29664"/>
    <cellStyle name="표준 5 2 2 15 4" xfId="7525"/>
    <cellStyle name="표준 5 2 2 15 4 2" xfId="20199"/>
    <cellStyle name="표준 5 2 2 15 4 2 2" xfId="45551"/>
    <cellStyle name="표준 5 2 2 15 4 3" xfId="32879"/>
    <cellStyle name="표준 5 2 2 15 5" xfId="13863"/>
    <cellStyle name="표준 5 2 2 15 5 2" xfId="39215"/>
    <cellStyle name="표준 5 2 2 15 6" xfId="26543"/>
    <cellStyle name="표준 5 2 2 16" xfId="1190"/>
    <cellStyle name="표준 5 2 2 16 2" xfId="1191"/>
    <cellStyle name="표준 5 2 2 16 2 2" xfId="4311"/>
    <cellStyle name="표준 5 2 2 16 2 2 2" xfId="10647"/>
    <cellStyle name="표준 5 2 2 16 2 2 2 2" xfId="23321"/>
    <cellStyle name="표준 5 2 2 16 2 2 2 2 2" xfId="48673"/>
    <cellStyle name="표준 5 2 2 16 2 2 2 3" xfId="36001"/>
    <cellStyle name="표준 5 2 2 16 2 2 3" xfId="16985"/>
    <cellStyle name="표준 5 2 2 16 2 2 3 2" xfId="42337"/>
    <cellStyle name="표준 5 2 2 16 2 2 4" xfId="29665"/>
    <cellStyle name="표준 5 2 2 16 2 3" xfId="7528"/>
    <cellStyle name="표준 5 2 2 16 2 3 2" xfId="20202"/>
    <cellStyle name="표준 5 2 2 16 2 3 2 2" xfId="45554"/>
    <cellStyle name="표준 5 2 2 16 2 3 3" xfId="32882"/>
    <cellStyle name="표준 5 2 2 16 2 4" xfId="13866"/>
    <cellStyle name="표준 5 2 2 16 2 4 2" xfId="39218"/>
    <cellStyle name="표준 5 2 2 16 2 5" xfId="26546"/>
    <cellStyle name="표준 5 2 2 16 3" xfId="4312"/>
    <cellStyle name="표준 5 2 2 16 3 2" xfId="10648"/>
    <cellStyle name="표준 5 2 2 16 3 2 2" xfId="23322"/>
    <cellStyle name="표준 5 2 2 16 3 2 2 2" xfId="48674"/>
    <cellStyle name="표준 5 2 2 16 3 2 3" xfId="36002"/>
    <cellStyle name="표준 5 2 2 16 3 3" xfId="16986"/>
    <cellStyle name="표준 5 2 2 16 3 3 2" xfId="42338"/>
    <cellStyle name="표준 5 2 2 16 3 4" xfId="29666"/>
    <cellStyle name="표준 5 2 2 16 4" xfId="7527"/>
    <cellStyle name="표준 5 2 2 16 4 2" xfId="20201"/>
    <cellStyle name="표준 5 2 2 16 4 2 2" xfId="45553"/>
    <cellStyle name="표준 5 2 2 16 4 3" xfId="32881"/>
    <cellStyle name="표준 5 2 2 16 5" xfId="13865"/>
    <cellStyle name="표준 5 2 2 16 5 2" xfId="39217"/>
    <cellStyle name="표준 5 2 2 16 6" xfId="26545"/>
    <cellStyle name="표준 5 2 2 17" xfId="1192"/>
    <cellStyle name="표준 5 2 2 17 2" xfId="1193"/>
    <cellStyle name="표준 5 2 2 17 2 2" xfId="4313"/>
    <cellStyle name="표준 5 2 2 17 2 2 2" xfId="10649"/>
    <cellStyle name="표준 5 2 2 17 2 2 2 2" xfId="23323"/>
    <cellStyle name="표준 5 2 2 17 2 2 2 2 2" xfId="48675"/>
    <cellStyle name="표준 5 2 2 17 2 2 2 3" xfId="36003"/>
    <cellStyle name="표준 5 2 2 17 2 2 3" xfId="16987"/>
    <cellStyle name="표준 5 2 2 17 2 2 3 2" xfId="42339"/>
    <cellStyle name="표준 5 2 2 17 2 2 4" xfId="29667"/>
    <cellStyle name="표준 5 2 2 17 2 3" xfId="7530"/>
    <cellStyle name="표준 5 2 2 17 2 3 2" xfId="20204"/>
    <cellStyle name="표준 5 2 2 17 2 3 2 2" xfId="45556"/>
    <cellStyle name="표준 5 2 2 17 2 3 3" xfId="32884"/>
    <cellStyle name="표준 5 2 2 17 2 4" xfId="13868"/>
    <cellStyle name="표준 5 2 2 17 2 4 2" xfId="39220"/>
    <cellStyle name="표준 5 2 2 17 2 5" xfId="26548"/>
    <cellStyle name="표준 5 2 2 17 3" xfId="4314"/>
    <cellStyle name="표준 5 2 2 17 3 2" xfId="10650"/>
    <cellStyle name="표준 5 2 2 17 3 2 2" xfId="23324"/>
    <cellStyle name="표준 5 2 2 17 3 2 2 2" xfId="48676"/>
    <cellStyle name="표준 5 2 2 17 3 2 3" xfId="36004"/>
    <cellStyle name="표준 5 2 2 17 3 3" xfId="16988"/>
    <cellStyle name="표준 5 2 2 17 3 3 2" xfId="42340"/>
    <cellStyle name="표준 5 2 2 17 3 4" xfId="29668"/>
    <cellStyle name="표준 5 2 2 17 4" xfId="7529"/>
    <cellStyle name="표준 5 2 2 17 4 2" xfId="20203"/>
    <cellStyle name="표준 5 2 2 17 4 2 2" xfId="45555"/>
    <cellStyle name="표준 5 2 2 17 4 3" xfId="32883"/>
    <cellStyle name="표준 5 2 2 17 5" xfId="13867"/>
    <cellStyle name="표준 5 2 2 17 5 2" xfId="39219"/>
    <cellStyle name="표준 5 2 2 17 6" xfId="26547"/>
    <cellStyle name="표준 5 2 2 18" xfId="1194"/>
    <cellStyle name="표준 5 2 2 18 2" xfId="1195"/>
    <cellStyle name="표준 5 2 2 18 2 2" xfId="4315"/>
    <cellStyle name="표준 5 2 2 18 2 2 2" xfId="10651"/>
    <cellStyle name="표준 5 2 2 18 2 2 2 2" xfId="23325"/>
    <cellStyle name="표준 5 2 2 18 2 2 2 2 2" xfId="48677"/>
    <cellStyle name="표준 5 2 2 18 2 2 2 3" xfId="36005"/>
    <cellStyle name="표준 5 2 2 18 2 2 3" xfId="16989"/>
    <cellStyle name="표준 5 2 2 18 2 2 3 2" xfId="42341"/>
    <cellStyle name="표준 5 2 2 18 2 2 4" xfId="29669"/>
    <cellStyle name="표준 5 2 2 18 2 3" xfId="7532"/>
    <cellStyle name="표준 5 2 2 18 2 3 2" xfId="20206"/>
    <cellStyle name="표준 5 2 2 18 2 3 2 2" xfId="45558"/>
    <cellStyle name="표준 5 2 2 18 2 3 3" xfId="32886"/>
    <cellStyle name="표준 5 2 2 18 2 4" xfId="13870"/>
    <cellStyle name="표준 5 2 2 18 2 4 2" xfId="39222"/>
    <cellStyle name="표준 5 2 2 18 2 5" xfId="26550"/>
    <cellStyle name="표준 5 2 2 18 3" xfId="4316"/>
    <cellStyle name="표준 5 2 2 18 3 2" xfId="10652"/>
    <cellStyle name="표준 5 2 2 18 3 2 2" xfId="23326"/>
    <cellStyle name="표준 5 2 2 18 3 2 2 2" xfId="48678"/>
    <cellStyle name="표준 5 2 2 18 3 2 3" xfId="36006"/>
    <cellStyle name="표준 5 2 2 18 3 3" xfId="16990"/>
    <cellStyle name="표준 5 2 2 18 3 3 2" xfId="42342"/>
    <cellStyle name="표준 5 2 2 18 3 4" xfId="29670"/>
    <cellStyle name="표준 5 2 2 18 4" xfId="7531"/>
    <cellStyle name="표준 5 2 2 18 4 2" xfId="20205"/>
    <cellStyle name="표준 5 2 2 18 4 2 2" xfId="45557"/>
    <cellStyle name="표준 5 2 2 18 4 3" xfId="32885"/>
    <cellStyle name="표준 5 2 2 18 5" xfId="13869"/>
    <cellStyle name="표준 5 2 2 18 5 2" xfId="39221"/>
    <cellStyle name="표준 5 2 2 18 6" xfId="26549"/>
    <cellStyle name="표준 5 2 2 19" xfId="1196"/>
    <cellStyle name="표준 5 2 2 19 2" xfId="1197"/>
    <cellStyle name="표준 5 2 2 19 2 2" xfId="4317"/>
    <cellStyle name="표준 5 2 2 19 2 2 2" xfId="10653"/>
    <cellStyle name="표준 5 2 2 19 2 2 2 2" xfId="23327"/>
    <cellStyle name="표준 5 2 2 19 2 2 2 2 2" xfId="48679"/>
    <cellStyle name="표준 5 2 2 19 2 2 2 3" xfId="36007"/>
    <cellStyle name="표준 5 2 2 19 2 2 3" xfId="16991"/>
    <cellStyle name="표준 5 2 2 19 2 2 3 2" xfId="42343"/>
    <cellStyle name="표준 5 2 2 19 2 2 4" xfId="29671"/>
    <cellStyle name="표준 5 2 2 19 2 3" xfId="7534"/>
    <cellStyle name="표준 5 2 2 19 2 3 2" xfId="20208"/>
    <cellStyle name="표준 5 2 2 19 2 3 2 2" xfId="45560"/>
    <cellStyle name="표준 5 2 2 19 2 3 3" xfId="32888"/>
    <cellStyle name="표준 5 2 2 19 2 4" xfId="13872"/>
    <cellStyle name="표준 5 2 2 19 2 4 2" xfId="39224"/>
    <cellStyle name="표준 5 2 2 19 2 5" xfId="26552"/>
    <cellStyle name="표준 5 2 2 19 3" xfId="4318"/>
    <cellStyle name="표준 5 2 2 19 3 2" xfId="10654"/>
    <cellStyle name="표준 5 2 2 19 3 2 2" xfId="23328"/>
    <cellStyle name="표준 5 2 2 19 3 2 2 2" xfId="48680"/>
    <cellStyle name="표준 5 2 2 19 3 2 3" xfId="36008"/>
    <cellStyle name="표준 5 2 2 19 3 3" xfId="16992"/>
    <cellStyle name="표준 5 2 2 19 3 3 2" xfId="42344"/>
    <cellStyle name="표준 5 2 2 19 3 4" xfId="29672"/>
    <cellStyle name="표준 5 2 2 19 4" xfId="7533"/>
    <cellStyle name="표준 5 2 2 19 4 2" xfId="20207"/>
    <cellStyle name="표준 5 2 2 19 4 2 2" xfId="45559"/>
    <cellStyle name="표준 5 2 2 19 4 3" xfId="32887"/>
    <cellStyle name="표준 5 2 2 19 5" xfId="13871"/>
    <cellStyle name="표준 5 2 2 19 5 2" xfId="39223"/>
    <cellStyle name="표준 5 2 2 19 6" xfId="26551"/>
    <cellStyle name="표준 5 2 2 2" xfId="33"/>
    <cellStyle name="표준 5 2 2 2 10" xfId="1198"/>
    <cellStyle name="표준 5 2 2 2 10 2" xfId="1199"/>
    <cellStyle name="표준 5 2 2 2 10 2 2" xfId="4319"/>
    <cellStyle name="표준 5 2 2 2 10 2 2 2" xfId="10655"/>
    <cellStyle name="표준 5 2 2 2 10 2 2 2 2" xfId="23329"/>
    <cellStyle name="표준 5 2 2 2 10 2 2 2 2 2" xfId="48681"/>
    <cellStyle name="표준 5 2 2 2 10 2 2 2 3" xfId="36009"/>
    <cellStyle name="표준 5 2 2 2 10 2 2 3" xfId="16993"/>
    <cellStyle name="표준 5 2 2 2 10 2 2 3 2" xfId="42345"/>
    <cellStyle name="표준 5 2 2 2 10 2 2 4" xfId="29673"/>
    <cellStyle name="표준 5 2 2 2 10 2 3" xfId="7536"/>
    <cellStyle name="표준 5 2 2 2 10 2 3 2" xfId="20210"/>
    <cellStyle name="표준 5 2 2 2 10 2 3 2 2" xfId="45562"/>
    <cellStyle name="표준 5 2 2 2 10 2 3 3" xfId="32890"/>
    <cellStyle name="표준 5 2 2 2 10 2 4" xfId="13874"/>
    <cellStyle name="표준 5 2 2 2 10 2 4 2" xfId="39226"/>
    <cellStyle name="표준 5 2 2 2 10 2 5" xfId="26554"/>
    <cellStyle name="표준 5 2 2 2 10 3" xfId="4320"/>
    <cellStyle name="표준 5 2 2 2 10 3 2" xfId="10656"/>
    <cellStyle name="표준 5 2 2 2 10 3 2 2" xfId="23330"/>
    <cellStyle name="표준 5 2 2 2 10 3 2 2 2" xfId="48682"/>
    <cellStyle name="표준 5 2 2 2 10 3 2 3" xfId="36010"/>
    <cellStyle name="표준 5 2 2 2 10 3 3" xfId="16994"/>
    <cellStyle name="표준 5 2 2 2 10 3 3 2" xfId="42346"/>
    <cellStyle name="표준 5 2 2 2 10 3 4" xfId="29674"/>
    <cellStyle name="표준 5 2 2 2 10 4" xfId="7535"/>
    <cellStyle name="표준 5 2 2 2 10 4 2" xfId="20209"/>
    <cellStyle name="표준 5 2 2 2 10 4 2 2" xfId="45561"/>
    <cellStyle name="표준 5 2 2 2 10 4 3" xfId="32889"/>
    <cellStyle name="표준 5 2 2 2 10 5" xfId="13873"/>
    <cellStyle name="표준 5 2 2 2 10 5 2" xfId="39225"/>
    <cellStyle name="표준 5 2 2 2 10 6" xfId="26553"/>
    <cellStyle name="표준 5 2 2 2 11" xfId="1200"/>
    <cellStyle name="표준 5 2 2 2 11 2" xfId="1201"/>
    <cellStyle name="표준 5 2 2 2 11 2 2" xfId="4321"/>
    <cellStyle name="표준 5 2 2 2 11 2 2 2" xfId="10657"/>
    <cellStyle name="표준 5 2 2 2 11 2 2 2 2" xfId="23331"/>
    <cellStyle name="표준 5 2 2 2 11 2 2 2 2 2" xfId="48683"/>
    <cellStyle name="표준 5 2 2 2 11 2 2 2 3" xfId="36011"/>
    <cellStyle name="표준 5 2 2 2 11 2 2 3" xfId="16995"/>
    <cellStyle name="표준 5 2 2 2 11 2 2 3 2" xfId="42347"/>
    <cellStyle name="표준 5 2 2 2 11 2 2 4" xfId="29675"/>
    <cellStyle name="표준 5 2 2 2 11 2 3" xfId="7538"/>
    <cellStyle name="표준 5 2 2 2 11 2 3 2" xfId="20212"/>
    <cellStyle name="표준 5 2 2 2 11 2 3 2 2" xfId="45564"/>
    <cellStyle name="표준 5 2 2 2 11 2 3 3" xfId="32892"/>
    <cellStyle name="표준 5 2 2 2 11 2 4" xfId="13876"/>
    <cellStyle name="표준 5 2 2 2 11 2 4 2" xfId="39228"/>
    <cellStyle name="표준 5 2 2 2 11 2 5" xfId="26556"/>
    <cellStyle name="표준 5 2 2 2 11 3" xfId="4322"/>
    <cellStyle name="표준 5 2 2 2 11 3 2" xfId="10658"/>
    <cellStyle name="표준 5 2 2 2 11 3 2 2" xfId="23332"/>
    <cellStyle name="표준 5 2 2 2 11 3 2 2 2" xfId="48684"/>
    <cellStyle name="표준 5 2 2 2 11 3 2 3" xfId="36012"/>
    <cellStyle name="표준 5 2 2 2 11 3 3" xfId="16996"/>
    <cellStyle name="표준 5 2 2 2 11 3 3 2" xfId="42348"/>
    <cellStyle name="표준 5 2 2 2 11 3 4" xfId="29676"/>
    <cellStyle name="표준 5 2 2 2 11 4" xfId="7537"/>
    <cellStyle name="표준 5 2 2 2 11 4 2" xfId="20211"/>
    <cellStyle name="표준 5 2 2 2 11 4 2 2" xfId="45563"/>
    <cellStyle name="표준 5 2 2 2 11 4 3" xfId="32891"/>
    <cellStyle name="표준 5 2 2 2 11 5" xfId="13875"/>
    <cellStyle name="표준 5 2 2 2 11 5 2" xfId="39227"/>
    <cellStyle name="표준 5 2 2 2 11 6" xfId="26555"/>
    <cellStyle name="표준 5 2 2 2 12" xfId="1202"/>
    <cellStyle name="표준 5 2 2 2 12 2" xfId="1203"/>
    <cellStyle name="표준 5 2 2 2 12 2 2" xfId="4323"/>
    <cellStyle name="표준 5 2 2 2 12 2 2 2" xfId="10659"/>
    <cellStyle name="표준 5 2 2 2 12 2 2 2 2" xfId="23333"/>
    <cellStyle name="표준 5 2 2 2 12 2 2 2 2 2" xfId="48685"/>
    <cellStyle name="표준 5 2 2 2 12 2 2 2 3" xfId="36013"/>
    <cellStyle name="표준 5 2 2 2 12 2 2 3" xfId="16997"/>
    <cellStyle name="표준 5 2 2 2 12 2 2 3 2" xfId="42349"/>
    <cellStyle name="표준 5 2 2 2 12 2 2 4" xfId="29677"/>
    <cellStyle name="표준 5 2 2 2 12 2 3" xfId="7540"/>
    <cellStyle name="표준 5 2 2 2 12 2 3 2" xfId="20214"/>
    <cellStyle name="표준 5 2 2 2 12 2 3 2 2" xfId="45566"/>
    <cellStyle name="표준 5 2 2 2 12 2 3 3" xfId="32894"/>
    <cellStyle name="표준 5 2 2 2 12 2 4" xfId="13878"/>
    <cellStyle name="표준 5 2 2 2 12 2 4 2" xfId="39230"/>
    <cellStyle name="표준 5 2 2 2 12 2 5" xfId="26558"/>
    <cellStyle name="표준 5 2 2 2 12 3" xfId="4324"/>
    <cellStyle name="표준 5 2 2 2 12 3 2" xfId="10660"/>
    <cellStyle name="표준 5 2 2 2 12 3 2 2" xfId="23334"/>
    <cellStyle name="표준 5 2 2 2 12 3 2 2 2" xfId="48686"/>
    <cellStyle name="표준 5 2 2 2 12 3 2 3" xfId="36014"/>
    <cellStyle name="표준 5 2 2 2 12 3 3" xfId="16998"/>
    <cellStyle name="표준 5 2 2 2 12 3 3 2" xfId="42350"/>
    <cellStyle name="표준 5 2 2 2 12 3 4" xfId="29678"/>
    <cellStyle name="표준 5 2 2 2 12 4" xfId="7539"/>
    <cellStyle name="표준 5 2 2 2 12 4 2" xfId="20213"/>
    <cellStyle name="표준 5 2 2 2 12 4 2 2" xfId="45565"/>
    <cellStyle name="표준 5 2 2 2 12 4 3" xfId="32893"/>
    <cellStyle name="표준 5 2 2 2 12 5" xfId="13877"/>
    <cellStyle name="표준 5 2 2 2 12 5 2" xfId="39229"/>
    <cellStyle name="표준 5 2 2 2 12 6" xfId="26557"/>
    <cellStyle name="표준 5 2 2 2 13" xfId="1204"/>
    <cellStyle name="표준 5 2 2 2 13 2" xfId="1205"/>
    <cellStyle name="표준 5 2 2 2 13 2 2" xfId="4325"/>
    <cellStyle name="표준 5 2 2 2 13 2 2 2" xfId="10661"/>
    <cellStyle name="표준 5 2 2 2 13 2 2 2 2" xfId="23335"/>
    <cellStyle name="표준 5 2 2 2 13 2 2 2 2 2" xfId="48687"/>
    <cellStyle name="표준 5 2 2 2 13 2 2 2 3" xfId="36015"/>
    <cellStyle name="표준 5 2 2 2 13 2 2 3" xfId="16999"/>
    <cellStyle name="표준 5 2 2 2 13 2 2 3 2" xfId="42351"/>
    <cellStyle name="표준 5 2 2 2 13 2 2 4" xfId="29679"/>
    <cellStyle name="표준 5 2 2 2 13 2 3" xfId="7542"/>
    <cellStyle name="표준 5 2 2 2 13 2 3 2" xfId="20216"/>
    <cellStyle name="표준 5 2 2 2 13 2 3 2 2" xfId="45568"/>
    <cellStyle name="표준 5 2 2 2 13 2 3 3" xfId="32896"/>
    <cellStyle name="표준 5 2 2 2 13 2 4" xfId="13880"/>
    <cellStyle name="표준 5 2 2 2 13 2 4 2" xfId="39232"/>
    <cellStyle name="표준 5 2 2 2 13 2 5" xfId="26560"/>
    <cellStyle name="표준 5 2 2 2 13 3" xfId="4326"/>
    <cellStyle name="표준 5 2 2 2 13 3 2" xfId="10662"/>
    <cellStyle name="표준 5 2 2 2 13 3 2 2" xfId="23336"/>
    <cellStyle name="표준 5 2 2 2 13 3 2 2 2" xfId="48688"/>
    <cellStyle name="표준 5 2 2 2 13 3 2 3" xfId="36016"/>
    <cellStyle name="표준 5 2 2 2 13 3 3" xfId="17000"/>
    <cellStyle name="표준 5 2 2 2 13 3 3 2" xfId="42352"/>
    <cellStyle name="표준 5 2 2 2 13 3 4" xfId="29680"/>
    <cellStyle name="표준 5 2 2 2 13 4" xfId="7541"/>
    <cellStyle name="표준 5 2 2 2 13 4 2" xfId="20215"/>
    <cellStyle name="표준 5 2 2 2 13 4 2 2" xfId="45567"/>
    <cellStyle name="표준 5 2 2 2 13 4 3" xfId="32895"/>
    <cellStyle name="표준 5 2 2 2 13 5" xfId="13879"/>
    <cellStyle name="표준 5 2 2 2 13 5 2" xfId="39231"/>
    <cellStyle name="표준 5 2 2 2 13 6" xfId="26559"/>
    <cellStyle name="표준 5 2 2 2 14" xfId="1206"/>
    <cellStyle name="표준 5 2 2 2 14 2" xfId="1207"/>
    <cellStyle name="표준 5 2 2 2 14 2 2" xfId="4327"/>
    <cellStyle name="표준 5 2 2 2 14 2 2 2" xfId="10663"/>
    <cellStyle name="표준 5 2 2 2 14 2 2 2 2" xfId="23337"/>
    <cellStyle name="표준 5 2 2 2 14 2 2 2 2 2" xfId="48689"/>
    <cellStyle name="표준 5 2 2 2 14 2 2 2 3" xfId="36017"/>
    <cellStyle name="표준 5 2 2 2 14 2 2 3" xfId="17001"/>
    <cellStyle name="표준 5 2 2 2 14 2 2 3 2" xfId="42353"/>
    <cellStyle name="표준 5 2 2 2 14 2 2 4" xfId="29681"/>
    <cellStyle name="표준 5 2 2 2 14 2 3" xfId="7544"/>
    <cellStyle name="표준 5 2 2 2 14 2 3 2" xfId="20218"/>
    <cellStyle name="표준 5 2 2 2 14 2 3 2 2" xfId="45570"/>
    <cellStyle name="표준 5 2 2 2 14 2 3 3" xfId="32898"/>
    <cellStyle name="표준 5 2 2 2 14 2 4" xfId="13882"/>
    <cellStyle name="표준 5 2 2 2 14 2 4 2" xfId="39234"/>
    <cellStyle name="표준 5 2 2 2 14 2 5" xfId="26562"/>
    <cellStyle name="표준 5 2 2 2 14 3" xfId="4328"/>
    <cellStyle name="표준 5 2 2 2 14 3 2" xfId="10664"/>
    <cellStyle name="표준 5 2 2 2 14 3 2 2" xfId="23338"/>
    <cellStyle name="표준 5 2 2 2 14 3 2 2 2" xfId="48690"/>
    <cellStyle name="표준 5 2 2 2 14 3 2 3" xfId="36018"/>
    <cellStyle name="표준 5 2 2 2 14 3 3" xfId="17002"/>
    <cellStyle name="표준 5 2 2 2 14 3 3 2" xfId="42354"/>
    <cellStyle name="표준 5 2 2 2 14 3 4" xfId="29682"/>
    <cellStyle name="표준 5 2 2 2 14 4" xfId="7543"/>
    <cellStyle name="표준 5 2 2 2 14 4 2" xfId="20217"/>
    <cellStyle name="표준 5 2 2 2 14 4 2 2" xfId="45569"/>
    <cellStyle name="표준 5 2 2 2 14 4 3" xfId="32897"/>
    <cellStyle name="표준 5 2 2 2 14 5" xfId="13881"/>
    <cellStyle name="표준 5 2 2 2 14 5 2" xfId="39233"/>
    <cellStyle name="표준 5 2 2 2 14 6" xfId="26561"/>
    <cellStyle name="표준 5 2 2 2 15" xfId="1208"/>
    <cellStyle name="표준 5 2 2 2 15 2" xfId="1209"/>
    <cellStyle name="표준 5 2 2 2 15 2 2" xfId="4329"/>
    <cellStyle name="표준 5 2 2 2 15 2 2 2" xfId="10665"/>
    <cellStyle name="표준 5 2 2 2 15 2 2 2 2" xfId="23339"/>
    <cellStyle name="표준 5 2 2 2 15 2 2 2 2 2" xfId="48691"/>
    <cellStyle name="표준 5 2 2 2 15 2 2 2 3" xfId="36019"/>
    <cellStyle name="표준 5 2 2 2 15 2 2 3" xfId="17003"/>
    <cellStyle name="표준 5 2 2 2 15 2 2 3 2" xfId="42355"/>
    <cellStyle name="표준 5 2 2 2 15 2 2 4" xfId="29683"/>
    <cellStyle name="표준 5 2 2 2 15 2 3" xfId="7546"/>
    <cellStyle name="표준 5 2 2 2 15 2 3 2" xfId="20220"/>
    <cellStyle name="표준 5 2 2 2 15 2 3 2 2" xfId="45572"/>
    <cellStyle name="표준 5 2 2 2 15 2 3 3" xfId="32900"/>
    <cellStyle name="표준 5 2 2 2 15 2 4" xfId="13884"/>
    <cellStyle name="표준 5 2 2 2 15 2 4 2" xfId="39236"/>
    <cellStyle name="표준 5 2 2 2 15 2 5" xfId="26564"/>
    <cellStyle name="표준 5 2 2 2 15 3" xfId="4330"/>
    <cellStyle name="표준 5 2 2 2 15 3 2" xfId="10666"/>
    <cellStyle name="표준 5 2 2 2 15 3 2 2" xfId="23340"/>
    <cellStyle name="표준 5 2 2 2 15 3 2 2 2" xfId="48692"/>
    <cellStyle name="표준 5 2 2 2 15 3 2 3" xfId="36020"/>
    <cellStyle name="표준 5 2 2 2 15 3 3" xfId="17004"/>
    <cellStyle name="표준 5 2 2 2 15 3 3 2" xfId="42356"/>
    <cellStyle name="표준 5 2 2 2 15 3 4" xfId="29684"/>
    <cellStyle name="표준 5 2 2 2 15 4" xfId="7545"/>
    <cellStyle name="표준 5 2 2 2 15 4 2" xfId="20219"/>
    <cellStyle name="표준 5 2 2 2 15 4 2 2" xfId="45571"/>
    <cellStyle name="표준 5 2 2 2 15 4 3" xfId="32899"/>
    <cellStyle name="표준 5 2 2 2 15 5" xfId="13883"/>
    <cellStyle name="표준 5 2 2 2 15 5 2" xfId="39235"/>
    <cellStyle name="표준 5 2 2 2 15 6" xfId="26563"/>
    <cellStyle name="표준 5 2 2 2 16" xfId="1210"/>
    <cellStyle name="표준 5 2 2 2 16 2" xfId="1211"/>
    <cellStyle name="표준 5 2 2 2 16 2 2" xfId="4331"/>
    <cellStyle name="표준 5 2 2 2 16 2 2 2" xfId="10667"/>
    <cellStyle name="표준 5 2 2 2 16 2 2 2 2" xfId="23341"/>
    <cellStyle name="표준 5 2 2 2 16 2 2 2 2 2" xfId="48693"/>
    <cellStyle name="표준 5 2 2 2 16 2 2 2 3" xfId="36021"/>
    <cellStyle name="표준 5 2 2 2 16 2 2 3" xfId="17005"/>
    <cellStyle name="표준 5 2 2 2 16 2 2 3 2" xfId="42357"/>
    <cellStyle name="표준 5 2 2 2 16 2 2 4" xfId="29685"/>
    <cellStyle name="표준 5 2 2 2 16 2 3" xfId="7548"/>
    <cellStyle name="표준 5 2 2 2 16 2 3 2" xfId="20222"/>
    <cellStyle name="표준 5 2 2 2 16 2 3 2 2" xfId="45574"/>
    <cellStyle name="표준 5 2 2 2 16 2 3 3" xfId="32902"/>
    <cellStyle name="표준 5 2 2 2 16 2 4" xfId="13886"/>
    <cellStyle name="표준 5 2 2 2 16 2 4 2" xfId="39238"/>
    <cellStyle name="표준 5 2 2 2 16 2 5" xfId="26566"/>
    <cellStyle name="표준 5 2 2 2 16 3" xfId="4332"/>
    <cellStyle name="표준 5 2 2 2 16 3 2" xfId="10668"/>
    <cellStyle name="표준 5 2 2 2 16 3 2 2" xfId="23342"/>
    <cellStyle name="표준 5 2 2 2 16 3 2 2 2" xfId="48694"/>
    <cellStyle name="표준 5 2 2 2 16 3 2 3" xfId="36022"/>
    <cellStyle name="표준 5 2 2 2 16 3 3" xfId="17006"/>
    <cellStyle name="표준 5 2 2 2 16 3 3 2" xfId="42358"/>
    <cellStyle name="표준 5 2 2 2 16 3 4" xfId="29686"/>
    <cellStyle name="표준 5 2 2 2 16 4" xfId="7547"/>
    <cellStyle name="표준 5 2 2 2 16 4 2" xfId="20221"/>
    <cellStyle name="표준 5 2 2 2 16 4 2 2" xfId="45573"/>
    <cellStyle name="표준 5 2 2 2 16 4 3" xfId="32901"/>
    <cellStyle name="표준 5 2 2 2 16 5" xfId="13885"/>
    <cellStyle name="표준 5 2 2 2 16 5 2" xfId="39237"/>
    <cellStyle name="표준 5 2 2 2 16 6" xfId="26565"/>
    <cellStyle name="표준 5 2 2 2 17" xfId="1212"/>
    <cellStyle name="표준 5 2 2 2 17 2" xfId="1213"/>
    <cellStyle name="표준 5 2 2 2 17 2 2" xfId="4333"/>
    <cellStyle name="표준 5 2 2 2 17 2 2 2" xfId="10669"/>
    <cellStyle name="표준 5 2 2 2 17 2 2 2 2" xfId="23343"/>
    <cellStyle name="표준 5 2 2 2 17 2 2 2 2 2" xfId="48695"/>
    <cellStyle name="표준 5 2 2 2 17 2 2 2 3" xfId="36023"/>
    <cellStyle name="표준 5 2 2 2 17 2 2 3" xfId="17007"/>
    <cellStyle name="표준 5 2 2 2 17 2 2 3 2" xfId="42359"/>
    <cellStyle name="표준 5 2 2 2 17 2 2 4" xfId="29687"/>
    <cellStyle name="표준 5 2 2 2 17 2 3" xfId="7550"/>
    <cellStyle name="표준 5 2 2 2 17 2 3 2" xfId="20224"/>
    <cellStyle name="표준 5 2 2 2 17 2 3 2 2" xfId="45576"/>
    <cellStyle name="표준 5 2 2 2 17 2 3 3" xfId="32904"/>
    <cellStyle name="표준 5 2 2 2 17 2 4" xfId="13888"/>
    <cellStyle name="표준 5 2 2 2 17 2 4 2" xfId="39240"/>
    <cellStyle name="표준 5 2 2 2 17 2 5" xfId="26568"/>
    <cellStyle name="표준 5 2 2 2 17 3" xfId="4334"/>
    <cellStyle name="표준 5 2 2 2 17 3 2" xfId="10670"/>
    <cellStyle name="표준 5 2 2 2 17 3 2 2" xfId="23344"/>
    <cellStyle name="표준 5 2 2 2 17 3 2 2 2" xfId="48696"/>
    <cellStyle name="표준 5 2 2 2 17 3 2 3" xfId="36024"/>
    <cellStyle name="표준 5 2 2 2 17 3 3" xfId="17008"/>
    <cellStyle name="표준 5 2 2 2 17 3 3 2" xfId="42360"/>
    <cellStyle name="표준 5 2 2 2 17 3 4" xfId="29688"/>
    <cellStyle name="표준 5 2 2 2 17 4" xfId="7549"/>
    <cellStyle name="표준 5 2 2 2 17 4 2" xfId="20223"/>
    <cellStyle name="표준 5 2 2 2 17 4 2 2" xfId="45575"/>
    <cellStyle name="표준 5 2 2 2 17 4 3" xfId="32903"/>
    <cellStyle name="표준 5 2 2 2 17 5" xfId="13887"/>
    <cellStyle name="표준 5 2 2 2 17 5 2" xfId="39239"/>
    <cellStyle name="표준 5 2 2 2 17 6" xfId="26567"/>
    <cellStyle name="표준 5 2 2 2 18" xfId="1214"/>
    <cellStyle name="표준 5 2 2 2 18 2" xfId="1215"/>
    <cellStyle name="표준 5 2 2 2 18 2 2" xfId="4335"/>
    <cellStyle name="표준 5 2 2 2 18 2 2 2" xfId="10671"/>
    <cellStyle name="표준 5 2 2 2 18 2 2 2 2" xfId="23345"/>
    <cellStyle name="표준 5 2 2 2 18 2 2 2 2 2" xfId="48697"/>
    <cellStyle name="표준 5 2 2 2 18 2 2 2 3" xfId="36025"/>
    <cellStyle name="표준 5 2 2 2 18 2 2 3" xfId="17009"/>
    <cellStyle name="표준 5 2 2 2 18 2 2 3 2" xfId="42361"/>
    <cellStyle name="표준 5 2 2 2 18 2 2 4" xfId="29689"/>
    <cellStyle name="표준 5 2 2 2 18 2 3" xfId="7552"/>
    <cellStyle name="표준 5 2 2 2 18 2 3 2" xfId="20226"/>
    <cellStyle name="표준 5 2 2 2 18 2 3 2 2" xfId="45578"/>
    <cellStyle name="표준 5 2 2 2 18 2 3 3" xfId="32906"/>
    <cellStyle name="표준 5 2 2 2 18 2 4" xfId="13890"/>
    <cellStyle name="표준 5 2 2 2 18 2 4 2" xfId="39242"/>
    <cellStyle name="표준 5 2 2 2 18 2 5" xfId="26570"/>
    <cellStyle name="표준 5 2 2 2 18 3" xfId="4336"/>
    <cellStyle name="표준 5 2 2 2 18 3 2" xfId="10672"/>
    <cellStyle name="표준 5 2 2 2 18 3 2 2" xfId="23346"/>
    <cellStyle name="표준 5 2 2 2 18 3 2 2 2" xfId="48698"/>
    <cellStyle name="표준 5 2 2 2 18 3 2 3" xfId="36026"/>
    <cellStyle name="표준 5 2 2 2 18 3 3" xfId="17010"/>
    <cellStyle name="표준 5 2 2 2 18 3 3 2" xfId="42362"/>
    <cellStyle name="표준 5 2 2 2 18 3 4" xfId="29690"/>
    <cellStyle name="표준 5 2 2 2 18 4" xfId="7551"/>
    <cellStyle name="표준 5 2 2 2 18 4 2" xfId="20225"/>
    <cellStyle name="표준 5 2 2 2 18 4 2 2" xfId="45577"/>
    <cellStyle name="표준 5 2 2 2 18 4 3" xfId="32905"/>
    <cellStyle name="표준 5 2 2 2 18 5" xfId="13889"/>
    <cellStyle name="표준 5 2 2 2 18 5 2" xfId="39241"/>
    <cellStyle name="표준 5 2 2 2 18 6" xfId="26569"/>
    <cellStyle name="표준 5 2 2 2 19" xfId="1216"/>
    <cellStyle name="표준 5 2 2 2 19 2" xfId="1217"/>
    <cellStyle name="표준 5 2 2 2 19 2 2" xfId="4337"/>
    <cellStyle name="표준 5 2 2 2 19 2 2 2" xfId="10673"/>
    <cellStyle name="표준 5 2 2 2 19 2 2 2 2" xfId="23347"/>
    <cellStyle name="표준 5 2 2 2 19 2 2 2 2 2" xfId="48699"/>
    <cellStyle name="표준 5 2 2 2 19 2 2 2 3" xfId="36027"/>
    <cellStyle name="표준 5 2 2 2 19 2 2 3" xfId="17011"/>
    <cellStyle name="표준 5 2 2 2 19 2 2 3 2" xfId="42363"/>
    <cellStyle name="표준 5 2 2 2 19 2 2 4" xfId="29691"/>
    <cellStyle name="표준 5 2 2 2 19 2 3" xfId="7554"/>
    <cellStyle name="표준 5 2 2 2 19 2 3 2" xfId="20228"/>
    <cellStyle name="표준 5 2 2 2 19 2 3 2 2" xfId="45580"/>
    <cellStyle name="표준 5 2 2 2 19 2 3 3" xfId="32908"/>
    <cellStyle name="표준 5 2 2 2 19 2 4" xfId="13892"/>
    <cellStyle name="표준 5 2 2 2 19 2 4 2" xfId="39244"/>
    <cellStyle name="표준 5 2 2 2 19 2 5" xfId="26572"/>
    <cellStyle name="표준 5 2 2 2 19 3" xfId="4338"/>
    <cellStyle name="표준 5 2 2 2 19 3 2" xfId="10674"/>
    <cellStyle name="표준 5 2 2 2 19 3 2 2" xfId="23348"/>
    <cellStyle name="표준 5 2 2 2 19 3 2 2 2" xfId="48700"/>
    <cellStyle name="표준 5 2 2 2 19 3 2 3" xfId="36028"/>
    <cellStyle name="표준 5 2 2 2 19 3 3" xfId="17012"/>
    <cellStyle name="표준 5 2 2 2 19 3 3 2" xfId="42364"/>
    <cellStyle name="표준 5 2 2 2 19 3 4" xfId="29692"/>
    <cellStyle name="표준 5 2 2 2 19 4" xfId="7553"/>
    <cellStyle name="표준 5 2 2 2 19 4 2" xfId="20227"/>
    <cellStyle name="표준 5 2 2 2 19 4 2 2" xfId="45579"/>
    <cellStyle name="표준 5 2 2 2 19 4 3" xfId="32907"/>
    <cellStyle name="표준 5 2 2 2 19 5" xfId="13891"/>
    <cellStyle name="표준 5 2 2 2 19 5 2" xfId="39243"/>
    <cellStyle name="표준 5 2 2 2 19 6" xfId="26571"/>
    <cellStyle name="표준 5 2 2 2 2" xfId="73"/>
    <cellStyle name="표준 5 2 2 2 2 10" xfId="1218"/>
    <cellStyle name="표준 5 2 2 2 2 10 2" xfId="1219"/>
    <cellStyle name="표준 5 2 2 2 2 10 2 2" xfId="4339"/>
    <cellStyle name="표준 5 2 2 2 2 10 2 2 2" xfId="10675"/>
    <cellStyle name="표준 5 2 2 2 2 10 2 2 2 2" xfId="23349"/>
    <cellStyle name="표준 5 2 2 2 2 10 2 2 2 2 2" xfId="48701"/>
    <cellStyle name="표준 5 2 2 2 2 10 2 2 2 3" xfId="36029"/>
    <cellStyle name="표준 5 2 2 2 2 10 2 2 3" xfId="17013"/>
    <cellStyle name="표준 5 2 2 2 2 10 2 2 3 2" xfId="42365"/>
    <cellStyle name="표준 5 2 2 2 2 10 2 2 4" xfId="29693"/>
    <cellStyle name="표준 5 2 2 2 2 10 2 3" xfId="7556"/>
    <cellStyle name="표준 5 2 2 2 2 10 2 3 2" xfId="20230"/>
    <cellStyle name="표준 5 2 2 2 2 10 2 3 2 2" xfId="45582"/>
    <cellStyle name="표준 5 2 2 2 2 10 2 3 3" xfId="32910"/>
    <cellStyle name="표준 5 2 2 2 2 10 2 4" xfId="13894"/>
    <cellStyle name="표준 5 2 2 2 2 10 2 4 2" xfId="39246"/>
    <cellStyle name="표준 5 2 2 2 2 10 2 5" xfId="26574"/>
    <cellStyle name="표준 5 2 2 2 2 10 3" xfId="4340"/>
    <cellStyle name="표준 5 2 2 2 2 10 3 2" xfId="10676"/>
    <cellStyle name="표준 5 2 2 2 2 10 3 2 2" xfId="23350"/>
    <cellStyle name="표준 5 2 2 2 2 10 3 2 2 2" xfId="48702"/>
    <cellStyle name="표준 5 2 2 2 2 10 3 2 3" xfId="36030"/>
    <cellStyle name="표준 5 2 2 2 2 10 3 3" xfId="17014"/>
    <cellStyle name="표준 5 2 2 2 2 10 3 3 2" xfId="42366"/>
    <cellStyle name="표준 5 2 2 2 2 10 3 4" xfId="29694"/>
    <cellStyle name="표준 5 2 2 2 2 10 4" xfId="7555"/>
    <cellStyle name="표준 5 2 2 2 2 10 4 2" xfId="20229"/>
    <cellStyle name="표준 5 2 2 2 2 10 4 2 2" xfId="45581"/>
    <cellStyle name="표준 5 2 2 2 2 10 4 3" xfId="32909"/>
    <cellStyle name="표준 5 2 2 2 2 10 5" xfId="13893"/>
    <cellStyle name="표준 5 2 2 2 2 10 5 2" xfId="39245"/>
    <cellStyle name="표준 5 2 2 2 2 10 6" xfId="26573"/>
    <cellStyle name="표준 5 2 2 2 2 11" xfId="1220"/>
    <cellStyle name="표준 5 2 2 2 2 11 2" xfId="1221"/>
    <cellStyle name="표준 5 2 2 2 2 11 2 2" xfId="4341"/>
    <cellStyle name="표준 5 2 2 2 2 11 2 2 2" xfId="10677"/>
    <cellStyle name="표준 5 2 2 2 2 11 2 2 2 2" xfId="23351"/>
    <cellStyle name="표준 5 2 2 2 2 11 2 2 2 2 2" xfId="48703"/>
    <cellStyle name="표준 5 2 2 2 2 11 2 2 2 3" xfId="36031"/>
    <cellStyle name="표준 5 2 2 2 2 11 2 2 3" xfId="17015"/>
    <cellStyle name="표준 5 2 2 2 2 11 2 2 3 2" xfId="42367"/>
    <cellStyle name="표준 5 2 2 2 2 11 2 2 4" xfId="29695"/>
    <cellStyle name="표준 5 2 2 2 2 11 2 3" xfId="7558"/>
    <cellStyle name="표준 5 2 2 2 2 11 2 3 2" xfId="20232"/>
    <cellStyle name="표준 5 2 2 2 2 11 2 3 2 2" xfId="45584"/>
    <cellStyle name="표준 5 2 2 2 2 11 2 3 3" xfId="32912"/>
    <cellStyle name="표준 5 2 2 2 2 11 2 4" xfId="13896"/>
    <cellStyle name="표준 5 2 2 2 2 11 2 4 2" xfId="39248"/>
    <cellStyle name="표준 5 2 2 2 2 11 2 5" xfId="26576"/>
    <cellStyle name="표준 5 2 2 2 2 11 3" xfId="4342"/>
    <cellStyle name="표준 5 2 2 2 2 11 3 2" xfId="10678"/>
    <cellStyle name="표준 5 2 2 2 2 11 3 2 2" xfId="23352"/>
    <cellStyle name="표준 5 2 2 2 2 11 3 2 2 2" xfId="48704"/>
    <cellStyle name="표준 5 2 2 2 2 11 3 2 3" xfId="36032"/>
    <cellStyle name="표준 5 2 2 2 2 11 3 3" xfId="17016"/>
    <cellStyle name="표준 5 2 2 2 2 11 3 3 2" xfId="42368"/>
    <cellStyle name="표준 5 2 2 2 2 11 3 4" xfId="29696"/>
    <cellStyle name="표준 5 2 2 2 2 11 4" xfId="7557"/>
    <cellStyle name="표준 5 2 2 2 2 11 4 2" xfId="20231"/>
    <cellStyle name="표준 5 2 2 2 2 11 4 2 2" xfId="45583"/>
    <cellStyle name="표준 5 2 2 2 2 11 4 3" xfId="32911"/>
    <cellStyle name="표준 5 2 2 2 2 11 5" xfId="13895"/>
    <cellStyle name="표준 5 2 2 2 2 11 5 2" xfId="39247"/>
    <cellStyle name="표준 5 2 2 2 2 11 6" xfId="26575"/>
    <cellStyle name="표준 5 2 2 2 2 12" xfId="1222"/>
    <cellStyle name="표준 5 2 2 2 2 12 2" xfId="1223"/>
    <cellStyle name="표준 5 2 2 2 2 12 2 2" xfId="4343"/>
    <cellStyle name="표준 5 2 2 2 2 12 2 2 2" xfId="10679"/>
    <cellStyle name="표준 5 2 2 2 2 12 2 2 2 2" xfId="23353"/>
    <cellStyle name="표준 5 2 2 2 2 12 2 2 2 2 2" xfId="48705"/>
    <cellStyle name="표준 5 2 2 2 2 12 2 2 2 3" xfId="36033"/>
    <cellStyle name="표준 5 2 2 2 2 12 2 2 3" xfId="17017"/>
    <cellStyle name="표준 5 2 2 2 2 12 2 2 3 2" xfId="42369"/>
    <cellStyle name="표준 5 2 2 2 2 12 2 2 4" xfId="29697"/>
    <cellStyle name="표준 5 2 2 2 2 12 2 3" xfId="7560"/>
    <cellStyle name="표준 5 2 2 2 2 12 2 3 2" xfId="20234"/>
    <cellStyle name="표준 5 2 2 2 2 12 2 3 2 2" xfId="45586"/>
    <cellStyle name="표준 5 2 2 2 2 12 2 3 3" xfId="32914"/>
    <cellStyle name="표준 5 2 2 2 2 12 2 4" xfId="13898"/>
    <cellStyle name="표준 5 2 2 2 2 12 2 4 2" xfId="39250"/>
    <cellStyle name="표준 5 2 2 2 2 12 2 5" xfId="26578"/>
    <cellStyle name="표준 5 2 2 2 2 12 3" xfId="4344"/>
    <cellStyle name="표준 5 2 2 2 2 12 3 2" xfId="10680"/>
    <cellStyle name="표준 5 2 2 2 2 12 3 2 2" xfId="23354"/>
    <cellStyle name="표준 5 2 2 2 2 12 3 2 2 2" xfId="48706"/>
    <cellStyle name="표준 5 2 2 2 2 12 3 2 3" xfId="36034"/>
    <cellStyle name="표준 5 2 2 2 2 12 3 3" xfId="17018"/>
    <cellStyle name="표준 5 2 2 2 2 12 3 3 2" xfId="42370"/>
    <cellStyle name="표준 5 2 2 2 2 12 3 4" xfId="29698"/>
    <cellStyle name="표준 5 2 2 2 2 12 4" xfId="7559"/>
    <cellStyle name="표준 5 2 2 2 2 12 4 2" xfId="20233"/>
    <cellStyle name="표준 5 2 2 2 2 12 4 2 2" xfId="45585"/>
    <cellStyle name="표준 5 2 2 2 2 12 4 3" xfId="32913"/>
    <cellStyle name="표준 5 2 2 2 2 12 5" xfId="13897"/>
    <cellStyle name="표준 5 2 2 2 2 12 5 2" xfId="39249"/>
    <cellStyle name="표준 5 2 2 2 2 12 6" xfId="26577"/>
    <cellStyle name="표준 5 2 2 2 2 13" xfId="1224"/>
    <cellStyle name="표준 5 2 2 2 2 13 2" xfId="1225"/>
    <cellStyle name="표준 5 2 2 2 2 13 2 2" xfId="4345"/>
    <cellStyle name="표준 5 2 2 2 2 13 2 2 2" xfId="10681"/>
    <cellStyle name="표준 5 2 2 2 2 13 2 2 2 2" xfId="23355"/>
    <cellStyle name="표준 5 2 2 2 2 13 2 2 2 2 2" xfId="48707"/>
    <cellStyle name="표준 5 2 2 2 2 13 2 2 2 3" xfId="36035"/>
    <cellStyle name="표준 5 2 2 2 2 13 2 2 3" xfId="17019"/>
    <cellStyle name="표준 5 2 2 2 2 13 2 2 3 2" xfId="42371"/>
    <cellStyle name="표준 5 2 2 2 2 13 2 2 4" xfId="29699"/>
    <cellStyle name="표준 5 2 2 2 2 13 2 3" xfId="7562"/>
    <cellStyle name="표준 5 2 2 2 2 13 2 3 2" xfId="20236"/>
    <cellStyle name="표준 5 2 2 2 2 13 2 3 2 2" xfId="45588"/>
    <cellStyle name="표준 5 2 2 2 2 13 2 3 3" xfId="32916"/>
    <cellStyle name="표준 5 2 2 2 2 13 2 4" xfId="13900"/>
    <cellStyle name="표준 5 2 2 2 2 13 2 4 2" xfId="39252"/>
    <cellStyle name="표준 5 2 2 2 2 13 2 5" xfId="26580"/>
    <cellStyle name="표준 5 2 2 2 2 13 3" xfId="4346"/>
    <cellStyle name="표준 5 2 2 2 2 13 3 2" xfId="10682"/>
    <cellStyle name="표준 5 2 2 2 2 13 3 2 2" xfId="23356"/>
    <cellStyle name="표준 5 2 2 2 2 13 3 2 2 2" xfId="48708"/>
    <cellStyle name="표준 5 2 2 2 2 13 3 2 3" xfId="36036"/>
    <cellStyle name="표준 5 2 2 2 2 13 3 3" xfId="17020"/>
    <cellStyle name="표준 5 2 2 2 2 13 3 3 2" xfId="42372"/>
    <cellStyle name="표준 5 2 2 2 2 13 3 4" xfId="29700"/>
    <cellStyle name="표준 5 2 2 2 2 13 4" xfId="7561"/>
    <cellStyle name="표준 5 2 2 2 2 13 4 2" xfId="20235"/>
    <cellStyle name="표준 5 2 2 2 2 13 4 2 2" xfId="45587"/>
    <cellStyle name="표준 5 2 2 2 2 13 4 3" xfId="32915"/>
    <cellStyle name="표준 5 2 2 2 2 13 5" xfId="13899"/>
    <cellStyle name="표준 5 2 2 2 2 13 5 2" xfId="39251"/>
    <cellStyle name="표준 5 2 2 2 2 13 6" xfId="26579"/>
    <cellStyle name="표준 5 2 2 2 2 14" xfId="1226"/>
    <cellStyle name="표준 5 2 2 2 2 14 2" xfId="1227"/>
    <cellStyle name="표준 5 2 2 2 2 14 2 2" xfId="4347"/>
    <cellStyle name="표준 5 2 2 2 2 14 2 2 2" xfId="10683"/>
    <cellStyle name="표준 5 2 2 2 2 14 2 2 2 2" xfId="23357"/>
    <cellStyle name="표준 5 2 2 2 2 14 2 2 2 2 2" xfId="48709"/>
    <cellStyle name="표준 5 2 2 2 2 14 2 2 2 3" xfId="36037"/>
    <cellStyle name="표준 5 2 2 2 2 14 2 2 3" xfId="17021"/>
    <cellStyle name="표준 5 2 2 2 2 14 2 2 3 2" xfId="42373"/>
    <cellStyle name="표준 5 2 2 2 2 14 2 2 4" xfId="29701"/>
    <cellStyle name="표준 5 2 2 2 2 14 2 3" xfId="7564"/>
    <cellStyle name="표준 5 2 2 2 2 14 2 3 2" xfId="20238"/>
    <cellStyle name="표준 5 2 2 2 2 14 2 3 2 2" xfId="45590"/>
    <cellStyle name="표준 5 2 2 2 2 14 2 3 3" xfId="32918"/>
    <cellStyle name="표준 5 2 2 2 2 14 2 4" xfId="13902"/>
    <cellStyle name="표준 5 2 2 2 2 14 2 4 2" xfId="39254"/>
    <cellStyle name="표준 5 2 2 2 2 14 2 5" xfId="26582"/>
    <cellStyle name="표준 5 2 2 2 2 14 3" xfId="4348"/>
    <cellStyle name="표준 5 2 2 2 2 14 3 2" xfId="10684"/>
    <cellStyle name="표준 5 2 2 2 2 14 3 2 2" xfId="23358"/>
    <cellStyle name="표준 5 2 2 2 2 14 3 2 2 2" xfId="48710"/>
    <cellStyle name="표준 5 2 2 2 2 14 3 2 3" xfId="36038"/>
    <cellStyle name="표준 5 2 2 2 2 14 3 3" xfId="17022"/>
    <cellStyle name="표준 5 2 2 2 2 14 3 3 2" xfId="42374"/>
    <cellStyle name="표준 5 2 2 2 2 14 3 4" xfId="29702"/>
    <cellStyle name="표준 5 2 2 2 2 14 4" xfId="7563"/>
    <cellStyle name="표준 5 2 2 2 2 14 4 2" xfId="20237"/>
    <cellStyle name="표준 5 2 2 2 2 14 4 2 2" xfId="45589"/>
    <cellStyle name="표준 5 2 2 2 2 14 4 3" xfId="32917"/>
    <cellStyle name="표준 5 2 2 2 2 14 5" xfId="13901"/>
    <cellStyle name="표준 5 2 2 2 2 14 5 2" xfId="39253"/>
    <cellStyle name="표준 5 2 2 2 2 14 6" xfId="26581"/>
    <cellStyle name="표준 5 2 2 2 2 15" xfId="1228"/>
    <cellStyle name="표준 5 2 2 2 2 15 2" xfId="1229"/>
    <cellStyle name="표준 5 2 2 2 2 15 2 2" xfId="4349"/>
    <cellStyle name="표준 5 2 2 2 2 15 2 2 2" xfId="10685"/>
    <cellStyle name="표준 5 2 2 2 2 15 2 2 2 2" xfId="23359"/>
    <cellStyle name="표준 5 2 2 2 2 15 2 2 2 2 2" xfId="48711"/>
    <cellStyle name="표준 5 2 2 2 2 15 2 2 2 3" xfId="36039"/>
    <cellStyle name="표준 5 2 2 2 2 15 2 2 3" xfId="17023"/>
    <cellStyle name="표준 5 2 2 2 2 15 2 2 3 2" xfId="42375"/>
    <cellStyle name="표준 5 2 2 2 2 15 2 2 4" xfId="29703"/>
    <cellStyle name="표준 5 2 2 2 2 15 2 3" xfId="7566"/>
    <cellStyle name="표준 5 2 2 2 2 15 2 3 2" xfId="20240"/>
    <cellStyle name="표준 5 2 2 2 2 15 2 3 2 2" xfId="45592"/>
    <cellStyle name="표준 5 2 2 2 2 15 2 3 3" xfId="32920"/>
    <cellStyle name="표준 5 2 2 2 2 15 2 4" xfId="13904"/>
    <cellStyle name="표준 5 2 2 2 2 15 2 4 2" xfId="39256"/>
    <cellStyle name="표준 5 2 2 2 2 15 2 5" xfId="26584"/>
    <cellStyle name="표준 5 2 2 2 2 15 3" xfId="4350"/>
    <cellStyle name="표준 5 2 2 2 2 15 3 2" xfId="10686"/>
    <cellStyle name="표준 5 2 2 2 2 15 3 2 2" xfId="23360"/>
    <cellStyle name="표준 5 2 2 2 2 15 3 2 2 2" xfId="48712"/>
    <cellStyle name="표준 5 2 2 2 2 15 3 2 3" xfId="36040"/>
    <cellStyle name="표준 5 2 2 2 2 15 3 3" xfId="17024"/>
    <cellStyle name="표준 5 2 2 2 2 15 3 3 2" xfId="42376"/>
    <cellStyle name="표준 5 2 2 2 2 15 3 4" xfId="29704"/>
    <cellStyle name="표준 5 2 2 2 2 15 4" xfId="7565"/>
    <cellStyle name="표준 5 2 2 2 2 15 4 2" xfId="20239"/>
    <cellStyle name="표준 5 2 2 2 2 15 4 2 2" xfId="45591"/>
    <cellStyle name="표준 5 2 2 2 2 15 4 3" xfId="32919"/>
    <cellStyle name="표준 5 2 2 2 2 15 5" xfId="13903"/>
    <cellStyle name="표준 5 2 2 2 2 15 5 2" xfId="39255"/>
    <cellStyle name="표준 5 2 2 2 2 15 6" xfId="26583"/>
    <cellStyle name="표준 5 2 2 2 2 16" xfId="1230"/>
    <cellStyle name="표준 5 2 2 2 2 16 2" xfId="1231"/>
    <cellStyle name="표준 5 2 2 2 2 16 2 2" xfId="4351"/>
    <cellStyle name="표준 5 2 2 2 2 16 2 2 2" xfId="10687"/>
    <cellStyle name="표준 5 2 2 2 2 16 2 2 2 2" xfId="23361"/>
    <cellStyle name="표준 5 2 2 2 2 16 2 2 2 2 2" xfId="48713"/>
    <cellStyle name="표준 5 2 2 2 2 16 2 2 2 3" xfId="36041"/>
    <cellStyle name="표준 5 2 2 2 2 16 2 2 3" xfId="17025"/>
    <cellStyle name="표준 5 2 2 2 2 16 2 2 3 2" xfId="42377"/>
    <cellStyle name="표준 5 2 2 2 2 16 2 2 4" xfId="29705"/>
    <cellStyle name="표준 5 2 2 2 2 16 2 3" xfId="7568"/>
    <cellStyle name="표준 5 2 2 2 2 16 2 3 2" xfId="20242"/>
    <cellStyle name="표준 5 2 2 2 2 16 2 3 2 2" xfId="45594"/>
    <cellStyle name="표준 5 2 2 2 2 16 2 3 3" xfId="32922"/>
    <cellStyle name="표준 5 2 2 2 2 16 2 4" xfId="13906"/>
    <cellStyle name="표준 5 2 2 2 2 16 2 4 2" xfId="39258"/>
    <cellStyle name="표준 5 2 2 2 2 16 2 5" xfId="26586"/>
    <cellStyle name="표준 5 2 2 2 2 16 3" xfId="4352"/>
    <cellStyle name="표준 5 2 2 2 2 16 3 2" xfId="10688"/>
    <cellStyle name="표준 5 2 2 2 2 16 3 2 2" xfId="23362"/>
    <cellStyle name="표준 5 2 2 2 2 16 3 2 2 2" xfId="48714"/>
    <cellStyle name="표준 5 2 2 2 2 16 3 2 3" xfId="36042"/>
    <cellStyle name="표준 5 2 2 2 2 16 3 3" xfId="17026"/>
    <cellStyle name="표준 5 2 2 2 2 16 3 3 2" xfId="42378"/>
    <cellStyle name="표준 5 2 2 2 2 16 3 4" xfId="29706"/>
    <cellStyle name="표준 5 2 2 2 2 16 4" xfId="7567"/>
    <cellStyle name="표준 5 2 2 2 2 16 4 2" xfId="20241"/>
    <cellStyle name="표준 5 2 2 2 2 16 4 2 2" xfId="45593"/>
    <cellStyle name="표준 5 2 2 2 2 16 4 3" xfId="32921"/>
    <cellStyle name="표준 5 2 2 2 2 16 5" xfId="13905"/>
    <cellStyle name="표준 5 2 2 2 2 16 5 2" xfId="39257"/>
    <cellStyle name="표준 5 2 2 2 2 16 6" xfId="26585"/>
    <cellStyle name="표준 5 2 2 2 2 17" xfId="1232"/>
    <cellStyle name="표준 5 2 2 2 2 17 2" xfId="1233"/>
    <cellStyle name="표준 5 2 2 2 2 17 2 2" xfId="4353"/>
    <cellStyle name="표준 5 2 2 2 2 17 2 2 2" xfId="10689"/>
    <cellStyle name="표준 5 2 2 2 2 17 2 2 2 2" xfId="23363"/>
    <cellStyle name="표준 5 2 2 2 2 17 2 2 2 2 2" xfId="48715"/>
    <cellStyle name="표준 5 2 2 2 2 17 2 2 2 3" xfId="36043"/>
    <cellStyle name="표준 5 2 2 2 2 17 2 2 3" xfId="17027"/>
    <cellStyle name="표준 5 2 2 2 2 17 2 2 3 2" xfId="42379"/>
    <cellStyle name="표준 5 2 2 2 2 17 2 2 4" xfId="29707"/>
    <cellStyle name="표준 5 2 2 2 2 17 2 3" xfId="7570"/>
    <cellStyle name="표준 5 2 2 2 2 17 2 3 2" xfId="20244"/>
    <cellStyle name="표준 5 2 2 2 2 17 2 3 2 2" xfId="45596"/>
    <cellStyle name="표준 5 2 2 2 2 17 2 3 3" xfId="32924"/>
    <cellStyle name="표준 5 2 2 2 2 17 2 4" xfId="13908"/>
    <cellStyle name="표준 5 2 2 2 2 17 2 4 2" xfId="39260"/>
    <cellStyle name="표준 5 2 2 2 2 17 2 5" xfId="26588"/>
    <cellStyle name="표준 5 2 2 2 2 17 3" xfId="4354"/>
    <cellStyle name="표준 5 2 2 2 2 17 3 2" xfId="10690"/>
    <cellStyle name="표준 5 2 2 2 2 17 3 2 2" xfId="23364"/>
    <cellStyle name="표준 5 2 2 2 2 17 3 2 2 2" xfId="48716"/>
    <cellStyle name="표준 5 2 2 2 2 17 3 2 3" xfId="36044"/>
    <cellStyle name="표준 5 2 2 2 2 17 3 3" xfId="17028"/>
    <cellStyle name="표준 5 2 2 2 2 17 3 3 2" xfId="42380"/>
    <cellStyle name="표준 5 2 2 2 2 17 3 4" xfId="29708"/>
    <cellStyle name="표준 5 2 2 2 2 17 4" xfId="7569"/>
    <cellStyle name="표준 5 2 2 2 2 17 4 2" xfId="20243"/>
    <cellStyle name="표준 5 2 2 2 2 17 4 2 2" xfId="45595"/>
    <cellStyle name="표준 5 2 2 2 2 17 4 3" xfId="32923"/>
    <cellStyle name="표준 5 2 2 2 2 17 5" xfId="13907"/>
    <cellStyle name="표준 5 2 2 2 2 17 5 2" xfId="39259"/>
    <cellStyle name="표준 5 2 2 2 2 17 6" xfId="26587"/>
    <cellStyle name="표준 5 2 2 2 2 18" xfId="1234"/>
    <cellStyle name="표준 5 2 2 2 2 18 2" xfId="1235"/>
    <cellStyle name="표준 5 2 2 2 2 18 2 2" xfId="4355"/>
    <cellStyle name="표준 5 2 2 2 2 18 2 2 2" xfId="10691"/>
    <cellStyle name="표준 5 2 2 2 2 18 2 2 2 2" xfId="23365"/>
    <cellStyle name="표준 5 2 2 2 2 18 2 2 2 2 2" xfId="48717"/>
    <cellStyle name="표준 5 2 2 2 2 18 2 2 2 3" xfId="36045"/>
    <cellStyle name="표준 5 2 2 2 2 18 2 2 3" xfId="17029"/>
    <cellStyle name="표준 5 2 2 2 2 18 2 2 3 2" xfId="42381"/>
    <cellStyle name="표준 5 2 2 2 2 18 2 2 4" xfId="29709"/>
    <cellStyle name="표준 5 2 2 2 2 18 2 3" xfId="7572"/>
    <cellStyle name="표준 5 2 2 2 2 18 2 3 2" xfId="20246"/>
    <cellStyle name="표준 5 2 2 2 2 18 2 3 2 2" xfId="45598"/>
    <cellStyle name="표준 5 2 2 2 2 18 2 3 3" xfId="32926"/>
    <cellStyle name="표준 5 2 2 2 2 18 2 4" xfId="13910"/>
    <cellStyle name="표준 5 2 2 2 2 18 2 4 2" xfId="39262"/>
    <cellStyle name="표준 5 2 2 2 2 18 2 5" xfId="26590"/>
    <cellStyle name="표준 5 2 2 2 2 18 3" xfId="4356"/>
    <cellStyle name="표준 5 2 2 2 2 18 3 2" xfId="10692"/>
    <cellStyle name="표준 5 2 2 2 2 18 3 2 2" xfId="23366"/>
    <cellStyle name="표준 5 2 2 2 2 18 3 2 2 2" xfId="48718"/>
    <cellStyle name="표준 5 2 2 2 2 18 3 2 3" xfId="36046"/>
    <cellStyle name="표준 5 2 2 2 2 18 3 3" xfId="17030"/>
    <cellStyle name="표준 5 2 2 2 2 18 3 3 2" xfId="42382"/>
    <cellStyle name="표준 5 2 2 2 2 18 3 4" xfId="29710"/>
    <cellStyle name="표준 5 2 2 2 2 18 4" xfId="7571"/>
    <cellStyle name="표준 5 2 2 2 2 18 4 2" xfId="20245"/>
    <cellStyle name="표준 5 2 2 2 2 18 4 2 2" xfId="45597"/>
    <cellStyle name="표준 5 2 2 2 2 18 4 3" xfId="32925"/>
    <cellStyle name="표준 5 2 2 2 2 18 5" xfId="13909"/>
    <cellStyle name="표준 5 2 2 2 2 18 5 2" xfId="39261"/>
    <cellStyle name="표준 5 2 2 2 2 18 6" xfId="26589"/>
    <cellStyle name="표준 5 2 2 2 2 19" xfId="1236"/>
    <cellStyle name="표준 5 2 2 2 2 19 2" xfId="1237"/>
    <cellStyle name="표준 5 2 2 2 2 19 2 2" xfId="4357"/>
    <cellStyle name="표준 5 2 2 2 2 19 2 2 2" xfId="10693"/>
    <cellStyle name="표준 5 2 2 2 2 19 2 2 2 2" xfId="23367"/>
    <cellStyle name="표준 5 2 2 2 2 19 2 2 2 2 2" xfId="48719"/>
    <cellStyle name="표준 5 2 2 2 2 19 2 2 2 3" xfId="36047"/>
    <cellStyle name="표준 5 2 2 2 2 19 2 2 3" xfId="17031"/>
    <cellStyle name="표준 5 2 2 2 2 19 2 2 3 2" xfId="42383"/>
    <cellStyle name="표준 5 2 2 2 2 19 2 2 4" xfId="29711"/>
    <cellStyle name="표준 5 2 2 2 2 19 2 3" xfId="7574"/>
    <cellStyle name="표준 5 2 2 2 2 19 2 3 2" xfId="20248"/>
    <cellStyle name="표준 5 2 2 2 2 19 2 3 2 2" xfId="45600"/>
    <cellStyle name="표준 5 2 2 2 2 19 2 3 3" xfId="32928"/>
    <cellStyle name="표준 5 2 2 2 2 19 2 4" xfId="13912"/>
    <cellStyle name="표준 5 2 2 2 2 19 2 4 2" xfId="39264"/>
    <cellStyle name="표준 5 2 2 2 2 19 2 5" xfId="26592"/>
    <cellStyle name="표준 5 2 2 2 2 19 3" xfId="4358"/>
    <cellStyle name="표준 5 2 2 2 2 19 3 2" xfId="10694"/>
    <cellStyle name="표준 5 2 2 2 2 19 3 2 2" xfId="23368"/>
    <cellStyle name="표준 5 2 2 2 2 19 3 2 2 2" xfId="48720"/>
    <cellStyle name="표준 5 2 2 2 2 19 3 2 3" xfId="36048"/>
    <cellStyle name="표준 5 2 2 2 2 19 3 3" xfId="17032"/>
    <cellStyle name="표준 5 2 2 2 2 19 3 3 2" xfId="42384"/>
    <cellStyle name="표준 5 2 2 2 2 19 3 4" xfId="29712"/>
    <cellStyle name="표준 5 2 2 2 2 19 4" xfId="7573"/>
    <cellStyle name="표준 5 2 2 2 2 19 4 2" xfId="20247"/>
    <cellStyle name="표준 5 2 2 2 2 19 4 2 2" xfId="45599"/>
    <cellStyle name="표준 5 2 2 2 2 19 4 3" xfId="32927"/>
    <cellStyle name="표준 5 2 2 2 2 19 5" xfId="13911"/>
    <cellStyle name="표준 5 2 2 2 2 19 5 2" xfId="39263"/>
    <cellStyle name="표준 5 2 2 2 2 19 6" xfId="26591"/>
    <cellStyle name="표준 5 2 2 2 2 2" xfId="1238"/>
    <cellStyle name="표준 5 2 2 2 2 2 2" xfId="1239"/>
    <cellStyle name="표준 5 2 2 2 2 2 2 2" xfId="4359"/>
    <cellStyle name="표준 5 2 2 2 2 2 2 2 2" xfId="10695"/>
    <cellStyle name="표준 5 2 2 2 2 2 2 2 2 2" xfId="23369"/>
    <cellStyle name="표준 5 2 2 2 2 2 2 2 2 2 2" xfId="48721"/>
    <cellStyle name="표준 5 2 2 2 2 2 2 2 2 3" xfId="36049"/>
    <cellStyle name="표준 5 2 2 2 2 2 2 2 3" xfId="17033"/>
    <cellStyle name="표준 5 2 2 2 2 2 2 2 3 2" xfId="42385"/>
    <cellStyle name="표준 5 2 2 2 2 2 2 2 4" xfId="29713"/>
    <cellStyle name="표준 5 2 2 2 2 2 2 3" xfId="7576"/>
    <cellStyle name="표준 5 2 2 2 2 2 2 3 2" xfId="20250"/>
    <cellStyle name="표준 5 2 2 2 2 2 2 3 2 2" xfId="45602"/>
    <cellStyle name="표준 5 2 2 2 2 2 2 3 3" xfId="32930"/>
    <cellStyle name="표준 5 2 2 2 2 2 2 4" xfId="13914"/>
    <cellStyle name="표준 5 2 2 2 2 2 2 4 2" xfId="39266"/>
    <cellStyle name="표준 5 2 2 2 2 2 2 5" xfId="26594"/>
    <cellStyle name="표준 5 2 2 2 2 2 3" xfId="4360"/>
    <cellStyle name="표준 5 2 2 2 2 2 3 2" xfId="10696"/>
    <cellStyle name="표준 5 2 2 2 2 2 3 2 2" xfId="23370"/>
    <cellStyle name="표준 5 2 2 2 2 2 3 2 2 2" xfId="48722"/>
    <cellStyle name="표준 5 2 2 2 2 2 3 2 3" xfId="36050"/>
    <cellStyle name="표준 5 2 2 2 2 2 3 3" xfId="17034"/>
    <cellStyle name="표준 5 2 2 2 2 2 3 3 2" xfId="42386"/>
    <cellStyle name="표준 5 2 2 2 2 2 3 4" xfId="29714"/>
    <cellStyle name="표준 5 2 2 2 2 2 4" xfId="7575"/>
    <cellStyle name="표준 5 2 2 2 2 2 4 2" xfId="20249"/>
    <cellStyle name="표준 5 2 2 2 2 2 4 2 2" xfId="45601"/>
    <cellStyle name="표준 5 2 2 2 2 2 4 3" xfId="32929"/>
    <cellStyle name="표준 5 2 2 2 2 2 5" xfId="13913"/>
    <cellStyle name="표준 5 2 2 2 2 2 5 2" xfId="39265"/>
    <cellStyle name="표준 5 2 2 2 2 2 6" xfId="26593"/>
    <cellStyle name="표준 5 2 2 2 2 20" xfId="1240"/>
    <cellStyle name="표준 5 2 2 2 2 20 2" xfId="1241"/>
    <cellStyle name="표준 5 2 2 2 2 20 2 2" xfId="4361"/>
    <cellStyle name="표준 5 2 2 2 2 20 2 2 2" xfId="10697"/>
    <cellStyle name="표준 5 2 2 2 2 20 2 2 2 2" xfId="23371"/>
    <cellStyle name="표준 5 2 2 2 2 20 2 2 2 2 2" xfId="48723"/>
    <cellStyle name="표준 5 2 2 2 2 20 2 2 2 3" xfId="36051"/>
    <cellStyle name="표준 5 2 2 2 2 20 2 2 3" xfId="17035"/>
    <cellStyle name="표준 5 2 2 2 2 20 2 2 3 2" xfId="42387"/>
    <cellStyle name="표준 5 2 2 2 2 20 2 2 4" xfId="29715"/>
    <cellStyle name="표준 5 2 2 2 2 20 2 3" xfId="7578"/>
    <cellStyle name="표준 5 2 2 2 2 20 2 3 2" xfId="20252"/>
    <cellStyle name="표준 5 2 2 2 2 20 2 3 2 2" xfId="45604"/>
    <cellStyle name="표준 5 2 2 2 2 20 2 3 3" xfId="32932"/>
    <cellStyle name="표준 5 2 2 2 2 20 2 4" xfId="13916"/>
    <cellStyle name="표준 5 2 2 2 2 20 2 4 2" xfId="39268"/>
    <cellStyle name="표준 5 2 2 2 2 20 2 5" xfId="26596"/>
    <cellStyle name="표준 5 2 2 2 2 20 3" xfId="4362"/>
    <cellStyle name="표준 5 2 2 2 2 20 3 2" xfId="10698"/>
    <cellStyle name="표준 5 2 2 2 2 20 3 2 2" xfId="23372"/>
    <cellStyle name="표준 5 2 2 2 2 20 3 2 2 2" xfId="48724"/>
    <cellStyle name="표준 5 2 2 2 2 20 3 2 3" xfId="36052"/>
    <cellStyle name="표준 5 2 2 2 2 20 3 3" xfId="17036"/>
    <cellStyle name="표준 5 2 2 2 2 20 3 3 2" xfId="42388"/>
    <cellStyle name="표준 5 2 2 2 2 20 3 4" xfId="29716"/>
    <cellStyle name="표준 5 2 2 2 2 20 4" xfId="7577"/>
    <cellStyle name="표준 5 2 2 2 2 20 4 2" xfId="20251"/>
    <cellStyle name="표준 5 2 2 2 2 20 4 2 2" xfId="45603"/>
    <cellStyle name="표준 5 2 2 2 2 20 4 3" xfId="32931"/>
    <cellStyle name="표준 5 2 2 2 2 20 5" xfId="13915"/>
    <cellStyle name="표준 5 2 2 2 2 20 5 2" xfId="39267"/>
    <cellStyle name="표준 5 2 2 2 2 20 6" xfId="26595"/>
    <cellStyle name="표준 5 2 2 2 2 21" xfId="1242"/>
    <cellStyle name="표준 5 2 2 2 2 21 2" xfId="1243"/>
    <cellStyle name="표준 5 2 2 2 2 21 2 2" xfId="4363"/>
    <cellStyle name="표준 5 2 2 2 2 21 2 2 2" xfId="10699"/>
    <cellStyle name="표준 5 2 2 2 2 21 2 2 2 2" xfId="23373"/>
    <cellStyle name="표준 5 2 2 2 2 21 2 2 2 2 2" xfId="48725"/>
    <cellStyle name="표준 5 2 2 2 2 21 2 2 2 3" xfId="36053"/>
    <cellStyle name="표준 5 2 2 2 2 21 2 2 3" xfId="17037"/>
    <cellStyle name="표준 5 2 2 2 2 21 2 2 3 2" xfId="42389"/>
    <cellStyle name="표준 5 2 2 2 2 21 2 2 4" xfId="29717"/>
    <cellStyle name="표준 5 2 2 2 2 21 2 3" xfId="7580"/>
    <cellStyle name="표준 5 2 2 2 2 21 2 3 2" xfId="20254"/>
    <cellStyle name="표준 5 2 2 2 2 21 2 3 2 2" xfId="45606"/>
    <cellStyle name="표준 5 2 2 2 2 21 2 3 3" xfId="32934"/>
    <cellStyle name="표준 5 2 2 2 2 21 2 4" xfId="13918"/>
    <cellStyle name="표준 5 2 2 2 2 21 2 4 2" xfId="39270"/>
    <cellStyle name="표준 5 2 2 2 2 21 2 5" xfId="26598"/>
    <cellStyle name="표준 5 2 2 2 2 21 3" xfId="4364"/>
    <cellStyle name="표준 5 2 2 2 2 21 3 2" xfId="10700"/>
    <cellStyle name="표준 5 2 2 2 2 21 3 2 2" xfId="23374"/>
    <cellStyle name="표준 5 2 2 2 2 21 3 2 2 2" xfId="48726"/>
    <cellStyle name="표준 5 2 2 2 2 21 3 2 3" xfId="36054"/>
    <cellStyle name="표준 5 2 2 2 2 21 3 3" xfId="17038"/>
    <cellStyle name="표준 5 2 2 2 2 21 3 3 2" xfId="42390"/>
    <cellStyle name="표준 5 2 2 2 2 21 3 4" xfId="29718"/>
    <cellStyle name="표준 5 2 2 2 2 21 4" xfId="7579"/>
    <cellStyle name="표준 5 2 2 2 2 21 4 2" xfId="20253"/>
    <cellStyle name="표준 5 2 2 2 2 21 4 2 2" xfId="45605"/>
    <cellStyle name="표준 5 2 2 2 2 21 4 3" xfId="32933"/>
    <cellStyle name="표준 5 2 2 2 2 21 5" xfId="13917"/>
    <cellStyle name="표준 5 2 2 2 2 21 5 2" xfId="39269"/>
    <cellStyle name="표준 5 2 2 2 2 21 6" xfId="26597"/>
    <cellStyle name="표준 5 2 2 2 2 22" xfId="1244"/>
    <cellStyle name="표준 5 2 2 2 2 22 2" xfId="1245"/>
    <cellStyle name="표준 5 2 2 2 2 22 2 2" xfId="4365"/>
    <cellStyle name="표준 5 2 2 2 2 22 2 2 2" xfId="10701"/>
    <cellStyle name="표준 5 2 2 2 2 22 2 2 2 2" xfId="23375"/>
    <cellStyle name="표준 5 2 2 2 2 22 2 2 2 2 2" xfId="48727"/>
    <cellStyle name="표준 5 2 2 2 2 22 2 2 2 3" xfId="36055"/>
    <cellStyle name="표준 5 2 2 2 2 22 2 2 3" xfId="17039"/>
    <cellStyle name="표준 5 2 2 2 2 22 2 2 3 2" xfId="42391"/>
    <cellStyle name="표준 5 2 2 2 2 22 2 2 4" xfId="29719"/>
    <cellStyle name="표준 5 2 2 2 2 22 2 3" xfId="7582"/>
    <cellStyle name="표준 5 2 2 2 2 22 2 3 2" xfId="20256"/>
    <cellStyle name="표준 5 2 2 2 2 22 2 3 2 2" xfId="45608"/>
    <cellStyle name="표준 5 2 2 2 2 22 2 3 3" xfId="32936"/>
    <cellStyle name="표준 5 2 2 2 2 22 2 4" xfId="13920"/>
    <cellStyle name="표준 5 2 2 2 2 22 2 4 2" xfId="39272"/>
    <cellStyle name="표준 5 2 2 2 2 22 2 5" xfId="26600"/>
    <cellStyle name="표준 5 2 2 2 2 22 3" xfId="4366"/>
    <cellStyle name="표준 5 2 2 2 2 22 3 2" xfId="10702"/>
    <cellStyle name="표준 5 2 2 2 2 22 3 2 2" xfId="23376"/>
    <cellStyle name="표준 5 2 2 2 2 22 3 2 2 2" xfId="48728"/>
    <cellStyle name="표준 5 2 2 2 2 22 3 2 3" xfId="36056"/>
    <cellStyle name="표준 5 2 2 2 2 22 3 3" xfId="17040"/>
    <cellStyle name="표준 5 2 2 2 2 22 3 3 2" xfId="42392"/>
    <cellStyle name="표준 5 2 2 2 2 22 3 4" xfId="29720"/>
    <cellStyle name="표준 5 2 2 2 2 22 4" xfId="7581"/>
    <cellStyle name="표준 5 2 2 2 2 22 4 2" xfId="20255"/>
    <cellStyle name="표준 5 2 2 2 2 22 4 2 2" xfId="45607"/>
    <cellStyle name="표준 5 2 2 2 2 22 4 3" xfId="32935"/>
    <cellStyle name="표준 5 2 2 2 2 22 5" xfId="13919"/>
    <cellStyle name="표준 5 2 2 2 2 22 5 2" xfId="39271"/>
    <cellStyle name="표준 5 2 2 2 2 22 6" xfId="26599"/>
    <cellStyle name="표준 5 2 2 2 2 23" xfId="1246"/>
    <cellStyle name="표준 5 2 2 2 2 23 2" xfId="1247"/>
    <cellStyle name="표준 5 2 2 2 2 23 2 2" xfId="4367"/>
    <cellStyle name="표준 5 2 2 2 2 23 2 2 2" xfId="10703"/>
    <cellStyle name="표준 5 2 2 2 2 23 2 2 2 2" xfId="23377"/>
    <cellStyle name="표준 5 2 2 2 2 23 2 2 2 2 2" xfId="48729"/>
    <cellStyle name="표준 5 2 2 2 2 23 2 2 2 3" xfId="36057"/>
    <cellStyle name="표준 5 2 2 2 2 23 2 2 3" xfId="17041"/>
    <cellStyle name="표준 5 2 2 2 2 23 2 2 3 2" xfId="42393"/>
    <cellStyle name="표준 5 2 2 2 2 23 2 2 4" xfId="29721"/>
    <cellStyle name="표준 5 2 2 2 2 23 2 3" xfId="7584"/>
    <cellStyle name="표준 5 2 2 2 2 23 2 3 2" xfId="20258"/>
    <cellStyle name="표준 5 2 2 2 2 23 2 3 2 2" xfId="45610"/>
    <cellStyle name="표준 5 2 2 2 2 23 2 3 3" xfId="32938"/>
    <cellStyle name="표준 5 2 2 2 2 23 2 4" xfId="13922"/>
    <cellStyle name="표준 5 2 2 2 2 23 2 4 2" xfId="39274"/>
    <cellStyle name="표준 5 2 2 2 2 23 2 5" xfId="26602"/>
    <cellStyle name="표준 5 2 2 2 2 23 3" xfId="4368"/>
    <cellStyle name="표준 5 2 2 2 2 23 3 2" xfId="10704"/>
    <cellStyle name="표준 5 2 2 2 2 23 3 2 2" xfId="23378"/>
    <cellStyle name="표준 5 2 2 2 2 23 3 2 2 2" xfId="48730"/>
    <cellStyle name="표준 5 2 2 2 2 23 3 2 3" xfId="36058"/>
    <cellStyle name="표준 5 2 2 2 2 23 3 3" xfId="17042"/>
    <cellStyle name="표준 5 2 2 2 2 23 3 3 2" xfId="42394"/>
    <cellStyle name="표준 5 2 2 2 2 23 3 4" xfId="29722"/>
    <cellStyle name="표준 5 2 2 2 2 23 4" xfId="7583"/>
    <cellStyle name="표준 5 2 2 2 2 23 4 2" xfId="20257"/>
    <cellStyle name="표준 5 2 2 2 2 23 4 2 2" xfId="45609"/>
    <cellStyle name="표준 5 2 2 2 2 23 4 3" xfId="32937"/>
    <cellStyle name="표준 5 2 2 2 2 23 5" xfId="13921"/>
    <cellStyle name="표준 5 2 2 2 2 23 5 2" xfId="39273"/>
    <cellStyle name="표준 5 2 2 2 2 23 6" xfId="26601"/>
    <cellStyle name="표준 5 2 2 2 2 24" xfId="1248"/>
    <cellStyle name="표준 5 2 2 2 2 24 2" xfId="1249"/>
    <cellStyle name="표준 5 2 2 2 2 24 2 2" xfId="4369"/>
    <cellStyle name="표준 5 2 2 2 2 24 2 2 2" xfId="10705"/>
    <cellStyle name="표준 5 2 2 2 2 24 2 2 2 2" xfId="23379"/>
    <cellStyle name="표준 5 2 2 2 2 24 2 2 2 2 2" xfId="48731"/>
    <cellStyle name="표준 5 2 2 2 2 24 2 2 2 3" xfId="36059"/>
    <cellStyle name="표준 5 2 2 2 2 24 2 2 3" xfId="17043"/>
    <cellStyle name="표준 5 2 2 2 2 24 2 2 3 2" xfId="42395"/>
    <cellStyle name="표준 5 2 2 2 2 24 2 2 4" xfId="29723"/>
    <cellStyle name="표준 5 2 2 2 2 24 2 3" xfId="7586"/>
    <cellStyle name="표준 5 2 2 2 2 24 2 3 2" xfId="20260"/>
    <cellStyle name="표준 5 2 2 2 2 24 2 3 2 2" xfId="45612"/>
    <cellStyle name="표준 5 2 2 2 2 24 2 3 3" xfId="32940"/>
    <cellStyle name="표준 5 2 2 2 2 24 2 4" xfId="13924"/>
    <cellStyle name="표준 5 2 2 2 2 24 2 4 2" xfId="39276"/>
    <cellStyle name="표준 5 2 2 2 2 24 2 5" xfId="26604"/>
    <cellStyle name="표준 5 2 2 2 2 24 3" xfId="4370"/>
    <cellStyle name="표준 5 2 2 2 2 24 3 2" xfId="10706"/>
    <cellStyle name="표준 5 2 2 2 2 24 3 2 2" xfId="23380"/>
    <cellStyle name="표준 5 2 2 2 2 24 3 2 2 2" xfId="48732"/>
    <cellStyle name="표준 5 2 2 2 2 24 3 2 3" xfId="36060"/>
    <cellStyle name="표준 5 2 2 2 2 24 3 3" xfId="17044"/>
    <cellStyle name="표준 5 2 2 2 2 24 3 3 2" xfId="42396"/>
    <cellStyle name="표준 5 2 2 2 2 24 3 4" xfId="29724"/>
    <cellStyle name="표준 5 2 2 2 2 24 4" xfId="7585"/>
    <cellStyle name="표준 5 2 2 2 2 24 4 2" xfId="20259"/>
    <cellStyle name="표준 5 2 2 2 2 24 4 2 2" xfId="45611"/>
    <cellStyle name="표준 5 2 2 2 2 24 4 3" xfId="32939"/>
    <cellStyle name="표준 5 2 2 2 2 24 5" xfId="13923"/>
    <cellStyle name="표준 5 2 2 2 2 24 5 2" xfId="39275"/>
    <cellStyle name="표준 5 2 2 2 2 24 6" xfId="26603"/>
    <cellStyle name="표준 5 2 2 2 2 25" xfId="1250"/>
    <cellStyle name="표준 5 2 2 2 2 25 2" xfId="1251"/>
    <cellStyle name="표준 5 2 2 2 2 25 2 2" xfId="4371"/>
    <cellStyle name="표준 5 2 2 2 2 25 2 2 2" xfId="10707"/>
    <cellStyle name="표준 5 2 2 2 2 25 2 2 2 2" xfId="23381"/>
    <cellStyle name="표준 5 2 2 2 2 25 2 2 2 2 2" xfId="48733"/>
    <cellStyle name="표준 5 2 2 2 2 25 2 2 2 3" xfId="36061"/>
    <cellStyle name="표준 5 2 2 2 2 25 2 2 3" xfId="17045"/>
    <cellStyle name="표준 5 2 2 2 2 25 2 2 3 2" xfId="42397"/>
    <cellStyle name="표준 5 2 2 2 2 25 2 2 4" xfId="29725"/>
    <cellStyle name="표준 5 2 2 2 2 25 2 3" xfId="7588"/>
    <cellStyle name="표준 5 2 2 2 2 25 2 3 2" xfId="20262"/>
    <cellStyle name="표준 5 2 2 2 2 25 2 3 2 2" xfId="45614"/>
    <cellStyle name="표준 5 2 2 2 2 25 2 3 3" xfId="32942"/>
    <cellStyle name="표준 5 2 2 2 2 25 2 4" xfId="13926"/>
    <cellStyle name="표준 5 2 2 2 2 25 2 4 2" xfId="39278"/>
    <cellStyle name="표준 5 2 2 2 2 25 2 5" xfId="26606"/>
    <cellStyle name="표준 5 2 2 2 2 25 3" xfId="4372"/>
    <cellStyle name="표준 5 2 2 2 2 25 3 2" xfId="10708"/>
    <cellStyle name="표준 5 2 2 2 2 25 3 2 2" xfId="23382"/>
    <cellStyle name="표준 5 2 2 2 2 25 3 2 2 2" xfId="48734"/>
    <cellStyle name="표준 5 2 2 2 2 25 3 2 3" xfId="36062"/>
    <cellStyle name="표준 5 2 2 2 2 25 3 3" xfId="17046"/>
    <cellStyle name="표준 5 2 2 2 2 25 3 3 2" xfId="42398"/>
    <cellStyle name="표준 5 2 2 2 2 25 3 4" xfId="29726"/>
    <cellStyle name="표준 5 2 2 2 2 25 4" xfId="7587"/>
    <cellStyle name="표준 5 2 2 2 2 25 4 2" xfId="20261"/>
    <cellStyle name="표준 5 2 2 2 2 25 4 2 2" xfId="45613"/>
    <cellStyle name="표준 5 2 2 2 2 25 4 3" xfId="32941"/>
    <cellStyle name="표준 5 2 2 2 2 25 5" xfId="13925"/>
    <cellStyle name="표준 5 2 2 2 2 25 5 2" xfId="39277"/>
    <cellStyle name="표준 5 2 2 2 2 25 6" xfId="26605"/>
    <cellStyle name="표준 5 2 2 2 2 26" xfId="1252"/>
    <cellStyle name="표준 5 2 2 2 2 26 2" xfId="1253"/>
    <cellStyle name="표준 5 2 2 2 2 26 2 2" xfId="4373"/>
    <cellStyle name="표준 5 2 2 2 2 26 2 2 2" xfId="10709"/>
    <cellStyle name="표준 5 2 2 2 2 26 2 2 2 2" xfId="23383"/>
    <cellStyle name="표준 5 2 2 2 2 26 2 2 2 2 2" xfId="48735"/>
    <cellStyle name="표준 5 2 2 2 2 26 2 2 2 3" xfId="36063"/>
    <cellStyle name="표준 5 2 2 2 2 26 2 2 3" xfId="17047"/>
    <cellStyle name="표준 5 2 2 2 2 26 2 2 3 2" xfId="42399"/>
    <cellStyle name="표준 5 2 2 2 2 26 2 2 4" xfId="29727"/>
    <cellStyle name="표준 5 2 2 2 2 26 2 3" xfId="7590"/>
    <cellStyle name="표준 5 2 2 2 2 26 2 3 2" xfId="20264"/>
    <cellStyle name="표준 5 2 2 2 2 26 2 3 2 2" xfId="45616"/>
    <cellStyle name="표준 5 2 2 2 2 26 2 3 3" xfId="32944"/>
    <cellStyle name="표준 5 2 2 2 2 26 2 4" xfId="13928"/>
    <cellStyle name="표준 5 2 2 2 2 26 2 4 2" xfId="39280"/>
    <cellStyle name="표준 5 2 2 2 2 26 2 5" xfId="26608"/>
    <cellStyle name="표준 5 2 2 2 2 26 3" xfId="4374"/>
    <cellStyle name="표준 5 2 2 2 2 26 3 2" xfId="10710"/>
    <cellStyle name="표준 5 2 2 2 2 26 3 2 2" xfId="23384"/>
    <cellStyle name="표준 5 2 2 2 2 26 3 2 2 2" xfId="48736"/>
    <cellStyle name="표준 5 2 2 2 2 26 3 2 3" xfId="36064"/>
    <cellStyle name="표준 5 2 2 2 2 26 3 3" xfId="17048"/>
    <cellStyle name="표준 5 2 2 2 2 26 3 3 2" xfId="42400"/>
    <cellStyle name="표준 5 2 2 2 2 26 3 4" xfId="29728"/>
    <cellStyle name="표준 5 2 2 2 2 26 4" xfId="7589"/>
    <cellStyle name="표준 5 2 2 2 2 26 4 2" xfId="20263"/>
    <cellStyle name="표준 5 2 2 2 2 26 4 2 2" xfId="45615"/>
    <cellStyle name="표준 5 2 2 2 2 26 4 3" xfId="32943"/>
    <cellStyle name="표준 5 2 2 2 2 26 5" xfId="13927"/>
    <cellStyle name="표준 5 2 2 2 2 26 5 2" xfId="39279"/>
    <cellStyle name="표준 5 2 2 2 2 26 6" xfId="26607"/>
    <cellStyle name="표준 5 2 2 2 2 27" xfId="1254"/>
    <cellStyle name="표준 5 2 2 2 2 27 2" xfId="1255"/>
    <cellStyle name="표준 5 2 2 2 2 27 2 2" xfId="4375"/>
    <cellStyle name="표준 5 2 2 2 2 27 2 2 2" xfId="10711"/>
    <cellStyle name="표준 5 2 2 2 2 27 2 2 2 2" xfId="23385"/>
    <cellStyle name="표준 5 2 2 2 2 27 2 2 2 2 2" xfId="48737"/>
    <cellStyle name="표준 5 2 2 2 2 27 2 2 2 3" xfId="36065"/>
    <cellStyle name="표준 5 2 2 2 2 27 2 2 3" xfId="17049"/>
    <cellStyle name="표준 5 2 2 2 2 27 2 2 3 2" xfId="42401"/>
    <cellStyle name="표준 5 2 2 2 2 27 2 2 4" xfId="29729"/>
    <cellStyle name="표준 5 2 2 2 2 27 2 3" xfId="7592"/>
    <cellStyle name="표준 5 2 2 2 2 27 2 3 2" xfId="20266"/>
    <cellStyle name="표준 5 2 2 2 2 27 2 3 2 2" xfId="45618"/>
    <cellStyle name="표준 5 2 2 2 2 27 2 3 3" xfId="32946"/>
    <cellStyle name="표준 5 2 2 2 2 27 2 4" xfId="13930"/>
    <cellStyle name="표준 5 2 2 2 2 27 2 4 2" xfId="39282"/>
    <cellStyle name="표준 5 2 2 2 2 27 2 5" xfId="26610"/>
    <cellStyle name="표준 5 2 2 2 2 27 3" xfId="4376"/>
    <cellStyle name="표준 5 2 2 2 2 27 3 2" xfId="10712"/>
    <cellStyle name="표준 5 2 2 2 2 27 3 2 2" xfId="23386"/>
    <cellStyle name="표준 5 2 2 2 2 27 3 2 2 2" xfId="48738"/>
    <cellStyle name="표준 5 2 2 2 2 27 3 2 3" xfId="36066"/>
    <cellStyle name="표준 5 2 2 2 2 27 3 3" xfId="17050"/>
    <cellStyle name="표준 5 2 2 2 2 27 3 3 2" xfId="42402"/>
    <cellStyle name="표준 5 2 2 2 2 27 3 4" xfId="29730"/>
    <cellStyle name="표준 5 2 2 2 2 27 4" xfId="7591"/>
    <cellStyle name="표준 5 2 2 2 2 27 4 2" xfId="20265"/>
    <cellStyle name="표준 5 2 2 2 2 27 4 2 2" xfId="45617"/>
    <cellStyle name="표준 5 2 2 2 2 27 4 3" xfId="32945"/>
    <cellStyle name="표준 5 2 2 2 2 27 5" xfId="13929"/>
    <cellStyle name="표준 5 2 2 2 2 27 5 2" xfId="39281"/>
    <cellStyle name="표준 5 2 2 2 2 27 6" xfId="26609"/>
    <cellStyle name="표준 5 2 2 2 2 28" xfId="1256"/>
    <cellStyle name="표준 5 2 2 2 2 28 2" xfId="1257"/>
    <cellStyle name="표준 5 2 2 2 2 28 2 2" xfId="4377"/>
    <cellStyle name="표준 5 2 2 2 2 28 2 2 2" xfId="10713"/>
    <cellStyle name="표준 5 2 2 2 2 28 2 2 2 2" xfId="23387"/>
    <cellStyle name="표준 5 2 2 2 2 28 2 2 2 2 2" xfId="48739"/>
    <cellStyle name="표준 5 2 2 2 2 28 2 2 2 3" xfId="36067"/>
    <cellStyle name="표준 5 2 2 2 2 28 2 2 3" xfId="17051"/>
    <cellStyle name="표준 5 2 2 2 2 28 2 2 3 2" xfId="42403"/>
    <cellStyle name="표준 5 2 2 2 2 28 2 2 4" xfId="29731"/>
    <cellStyle name="표준 5 2 2 2 2 28 2 3" xfId="7594"/>
    <cellStyle name="표준 5 2 2 2 2 28 2 3 2" xfId="20268"/>
    <cellStyle name="표준 5 2 2 2 2 28 2 3 2 2" xfId="45620"/>
    <cellStyle name="표준 5 2 2 2 2 28 2 3 3" xfId="32948"/>
    <cellStyle name="표준 5 2 2 2 2 28 2 4" xfId="13932"/>
    <cellStyle name="표준 5 2 2 2 2 28 2 4 2" xfId="39284"/>
    <cellStyle name="표준 5 2 2 2 2 28 2 5" xfId="26612"/>
    <cellStyle name="표준 5 2 2 2 2 28 3" xfId="4378"/>
    <cellStyle name="표준 5 2 2 2 2 28 3 2" xfId="10714"/>
    <cellStyle name="표준 5 2 2 2 2 28 3 2 2" xfId="23388"/>
    <cellStyle name="표준 5 2 2 2 2 28 3 2 2 2" xfId="48740"/>
    <cellStyle name="표준 5 2 2 2 2 28 3 2 3" xfId="36068"/>
    <cellStyle name="표준 5 2 2 2 2 28 3 3" xfId="17052"/>
    <cellStyle name="표준 5 2 2 2 2 28 3 3 2" xfId="42404"/>
    <cellStyle name="표준 5 2 2 2 2 28 3 4" xfId="29732"/>
    <cellStyle name="표준 5 2 2 2 2 28 4" xfId="7593"/>
    <cellStyle name="표준 5 2 2 2 2 28 4 2" xfId="20267"/>
    <cellStyle name="표준 5 2 2 2 2 28 4 2 2" xfId="45619"/>
    <cellStyle name="표준 5 2 2 2 2 28 4 3" xfId="32947"/>
    <cellStyle name="표준 5 2 2 2 2 28 5" xfId="13931"/>
    <cellStyle name="표준 5 2 2 2 2 28 5 2" xfId="39283"/>
    <cellStyle name="표준 5 2 2 2 2 28 6" xfId="26611"/>
    <cellStyle name="표준 5 2 2 2 2 29" xfId="1258"/>
    <cellStyle name="표준 5 2 2 2 2 29 2" xfId="1259"/>
    <cellStyle name="표준 5 2 2 2 2 29 2 2" xfId="4379"/>
    <cellStyle name="표준 5 2 2 2 2 29 2 2 2" xfId="10715"/>
    <cellStyle name="표준 5 2 2 2 2 29 2 2 2 2" xfId="23389"/>
    <cellStyle name="표준 5 2 2 2 2 29 2 2 2 2 2" xfId="48741"/>
    <cellStyle name="표준 5 2 2 2 2 29 2 2 2 3" xfId="36069"/>
    <cellStyle name="표준 5 2 2 2 2 29 2 2 3" xfId="17053"/>
    <cellStyle name="표준 5 2 2 2 2 29 2 2 3 2" xfId="42405"/>
    <cellStyle name="표준 5 2 2 2 2 29 2 2 4" xfId="29733"/>
    <cellStyle name="표준 5 2 2 2 2 29 2 3" xfId="7596"/>
    <cellStyle name="표준 5 2 2 2 2 29 2 3 2" xfId="20270"/>
    <cellStyle name="표준 5 2 2 2 2 29 2 3 2 2" xfId="45622"/>
    <cellStyle name="표준 5 2 2 2 2 29 2 3 3" xfId="32950"/>
    <cellStyle name="표준 5 2 2 2 2 29 2 4" xfId="13934"/>
    <cellStyle name="표준 5 2 2 2 2 29 2 4 2" xfId="39286"/>
    <cellStyle name="표준 5 2 2 2 2 29 2 5" xfId="26614"/>
    <cellStyle name="표준 5 2 2 2 2 29 3" xfId="4380"/>
    <cellStyle name="표준 5 2 2 2 2 29 3 2" xfId="10716"/>
    <cellStyle name="표준 5 2 2 2 2 29 3 2 2" xfId="23390"/>
    <cellStyle name="표준 5 2 2 2 2 29 3 2 2 2" xfId="48742"/>
    <cellStyle name="표준 5 2 2 2 2 29 3 2 3" xfId="36070"/>
    <cellStyle name="표준 5 2 2 2 2 29 3 3" xfId="17054"/>
    <cellStyle name="표준 5 2 2 2 2 29 3 3 2" xfId="42406"/>
    <cellStyle name="표준 5 2 2 2 2 29 3 4" xfId="29734"/>
    <cellStyle name="표준 5 2 2 2 2 29 4" xfId="7595"/>
    <cellStyle name="표준 5 2 2 2 2 29 4 2" xfId="20269"/>
    <cellStyle name="표준 5 2 2 2 2 29 4 2 2" xfId="45621"/>
    <cellStyle name="표준 5 2 2 2 2 29 4 3" xfId="32949"/>
    <cellStyle name="표준 5 2 2 2 2 29 5" xfId="13933"/>
    <cellStyle name="표준 5 2 2 2 2 29 5 2" xfId="39285"/>
    <cellStyle name="표준 5 2 2 2 2 29 6" xfId="26613"/>
    <cellStyle name="표준 5 2 2 2 2 3" xfId="1260"/>
    <cellStyle name="표준 5 2 2 2 2 3 2" xfId="1261"/>
    <cellStyle name="표준 5 2 2 2 2 3 2 2" xfId="4381"/>
    <cellStyle name="표준 5 2 2 2 2 3 2 2 2" xfId="10717"/>
    <cellStyle name="표준 5 2 2 2 2 3 2 2 2 2" xfId="23391"/>
    <cellStyle name="표준 5 2 2 2 2 3 2 2 2 2 2" xfId="48743"/>
    <cellStyle name="표준 5 2 2 2 2 3 2 2 2 3" xfId="36071"/>
    <cellStyle name="표준 5 2 2 2 2 3 2 2 3" xfId="17055"/>
    <cellStyle name="표준 5 2 2 2 2 3 2 2 3 2" xfId="42407"/>
    <cellStyle name="표준 5 2 2 2 2 3 2 2 4" xfId="29735"/>
    <cellStyle name="표준 5 2 2 2 2 3 2 3" xfId="7598"/>
    <cellStyle name="표준 5 2 2 2 2 3 2 3 2" xfId="20272"/>
    <cellStyle name="표준 5 2 2 2 2 3 2 3 2 2" xfId="45624"/>
    <cellStyle name="표준 5 2 2 2 2 3 2 3 3" xfId="32952"/>
    <cellStyle name="표준 5 2 2 2 2 3 2 4" xfId="13936"/>
    <cellStyle name="표준 5 2 2 2 2 3 2 4 2" xfId="39288"/>
    <cellStyle name="표준 5 2 2 2 2 3 2 5" xfId="26616"/>
    <cellStyle name="표준 5 2 2 2 2 3 3" xfId="4382"/>
    <cellStyle name="표준 5 2 2 2 2 3 3 2" xfId="10718"/>
    <cellStyle name="표준 5 2 2 2 2 3 3 2 2" xfId="23392"/>
    <cellStyle name="표준 5 2 2 2 2 3 3 2 2 2" xfId="48744"/>
    <cellStyle name="표준 5 2 2 2 2 3 3 2 3" xfId="36072"/>
    <cellStyle name="표준 5 2 2 2 2 3 3 3" xfId="17056"/>
    <cellStyle name="표준 5 2 2 2 2 3 3 3 2" xfId="42408"/>
    <cellStyle name="표준 5 2 2 2 2 3 3 4" xfId="29736"/>
    <cellStyle name="표준 5 2 2 2 2 3 4" xfId="7597"/>
    <cellStyle name="표준 5 2 2 2 2 3 4 2" xfId="20271"/>
    <cellStyle name="표준 5 2 2 2 2 3 4 2 2" xfId="45623"/>
    <cellStyle name="표준 5 2 2 2 2 3 4 3" xfId="32951"/>
    <cellStyle name="표준 5 2 2 2 2 3 5" xfId="13935"/>
    <cellStyle name="표준 5 2 2 2 2 3 5 2" xfId="39287"/>
    <cellStyle name="표준 5 2 2 2 2 3 6" xfId="26615"/>
    <cellStyle name="표준 5 2 2 2 2 30" xfId="1262"/>
    <cellStyle name="표준 5 2 2 2 2 30 2" xfId="1263"/>
    <cellStyle name="표준 5 2 2 2 2 30 2 2" xfId="4383"/>
    <cellStyle name="표준 5 2 2 2 2 30 2 2 2" xfId="10719"/>
    <cellStyle name="표준 5 2 2 2 2 30 2 2 2 2" xfId="23393"/>
    <cellStyle name="표준 5 2 2 2 2 30 2 2 2 2 2" xfId="48745"/>
    <cellStyle name="표준 5 2 2 2 2 30 2 2 2 3" xfId="36073"/>
    <cellStyle name="표준 5 2 2 2 2 30 2 2 3" xfId="17057"/>
    <cellStyle name="표준 5 2 2 2 2 30 2 2 3 2" xfId="42409"/>
    <cellStyle name="표준 5 2 2 2 2 30 2 2 4" xfId="29737"/>
    <cellStyle name="표준 5 2 2 2 2 30 2 3" xfId="7600"/>
    <cellStyle name="표준 5 2 2 2 2 30 2 3 2" xfId="20274"/>
    <cellStyle name="표준 5 2 2 2 2 30 2 3 2 2" xfId="45626"/>
    <cellStyle name="표준 5 2 2 2 2 30 2 3 3" xfId="32954"/>
    <cellStyle name="표준 5 2 2 2 2 30 2 4" xfId="13938"/>
    <cellStyle name="표준 5 2 2 2 2 30 2 4 2" xfId="39290"/>
    <cellStyle name="표준 5 2 2 2 2 30 2 5" xfId="26618"/>
    <cellStyle name="표준 5 2 2 2 2 30 3" xfId="4384"/>
    <cellStyle name="표준 5 2 2 2 2 30 3 2" xfId="10720"/>
    <cellStyle name="표준 5 2 2 2 2 30 3 2 2" xfId="23394"/>
    <cellStyle name="표준 5 2 2 2 2 30 3 2 2 2" xfId="48746"/>
    <cellStyle name="표준 5 2 2 2 2 30 3 2 3" xfId="36074"/>
    <cellStyle name="표준 5 2 2 2 2 30 3 3" xfId="17058"/>
    <cellStyle name="표준 5 2 2 2 2 30 3 3 2" xfId="42410"/>
    <cellStyle name="표준 5 2 2 2 2 30 3 4" xfId="29738"/>
    <cellStyle name="표준 5 2 2 2 2 30 4" xfId="7599"/>
    <cellStyle name="표준 5 2 2 2 2 30 4 2" xfId="20273"/>
    <cellStyle name="표준 5 2 2 2 2 30 4 2 2" xfId="45625"/>
    <cellStyle name="표준 5 2 2 2 2 30 4 3" xfId="32953"/>
    <cellStyle name="표준 5 2 2 2 2 30 5" xfId="13937"/>
    <cellStyle name="표준 5 2 2 2 2 30 5 2" xfId="39289"/>
    <cellStyle name="표준 5 2 2 2 2 30 6" xfId="26617"/>
    <cellStyle name="표준 5 2 2 2 2 31" xfId="1264"/>
    <cellStyle name="표준 5 2 2 2 2 31 2" xfId="1265"/>
    <cellStyle name="표준 5 2 2 2 2 31 2 2" xfId="4385"/>
    <cellStyle name="표준 5 2 2 2 2 31 2 2 2" xfId="10721"/>
    <cellStyle name="표준 5 2 2 2 2 31 2 2 2 2" xfId="23395"/>
    <cellStyle name="표준 5 2 2 2 2 31 2 2 2 2 2" xfId="48747"/>
    <cellStyle name="표준 5 2 2 2 2 31 2 2 2 3" xfId="36075"/>
    <cellStyle name="표준 5 2 2 2 2 31 2 2 3" xfId="17059"/>
    <cellStyle name="표준 5 2 2 2 2 31 2 2 3 2" xfId="42411"/>
    <cellStyle name="표준 5 2 2 2 2 31 2 2 4" xfId="29739"/>
    <cellStyle name="표준 5 2 2 2 2 31 2 3" xfId="7602"/>
    <cellStyle name="표준 5 2 2 2 2 31 2 3 2" xfId="20276"/>
    <cellStyle name="표준 5 2 2 2 2 31 2 3 2 2" xfId="45628"/>
    <cellStyle name="표준 5 2 2 2 2 31 2 3 3" xfId="32956"/>
    <cellStyle name="표준 5 2 2 2 2 31 2 4" xfId="13940"/>
    <cellStyle name="표준 5 2 2 2 2 31 2 4 2" xfId="39292"/>
    <cellStyle name="표준 5 2 2 2 2 31 2 5" xfId="26620"/>
    <cellStyle name="표준 5 2 2 2 2 31 3" xfId="4386"/>
    <cellStyle name="표준 5 2 2 2 2 31 3 2" xfId="10722"/>
    <cellStyle name="표준 5 2 2 2 2 31 3 2 2" xfId="23396"/>
    <cellStyle name="표준 5 2 2 2 2 31 3 2 2 2" xfId="48748"/>
    <cellStyle name="표준 5 2 2 2 2 31 3 2 3" xfId="36076"/>
    <cellStyle name="표준 5 2 2 2 2 31 3 3" xfId="17060"/>
    <cellStyle name="표준 5 2 2 2 2 31 3 3 2" xfId="42412"/>
    <cellStyle name="표준 5 2 2 2 2 31 3 4" xfId="29740"/>
    <cellStyle name="표준 5 2 2 2 2 31 4" xfId="7601"/>
    <cellStyle name="표준 5 2 2 2 2 31 4 2" xfId="20275"/>
    <cellStyle name="표준 5 2 2 2 2 31 4 2 2" xfId="45627"/>
    <cellStyle name="표준 5 2 2 2 2 31 4 3" xfId="32955"/>
    <cellStyle name="표준 5 2 2 2 2 31 5" xfId="13939"/>
    <cellStyle name="표준 5 2 2 2 2 31 5 2" xfId="39291"/>
    <cellStyle name="표준 5 2 2 2 2 31 6" xfId="26619"/>
    <cellStyle name="표준 5 2 2 2 2 32" xfId="1266"/>
    <cellStyle name="표준 5 2 2 2 2 32 2" xfId="1267"/>
    <cellStyle name="표준 5 2 2 2 2 32 2 2" xfId="4387"/>
    <cellStyle name="표준 5 2 2 2 2 32 2 2 2" xfId="10723"/>
    <cellStyle name="표준 5 2 2 2 2 32 2 2 2 2" xfId="23397"/>
    <cellStyle name="표준 5 2 2 2 2 32 2 2 2 2 2" xfId="48749"/>
    <cellStyle name="표준 5 2 2 2 2 32 2 2 2 3" xfId="36077"/>
    <cellStyle name="표준 5 2 2 2 2 32 2 2 3" xfId="17061"/>
    <cellStyle name="표준 5 2 2 2 2 32 2 2 3 2" xfId="42413"/>
    <cellStyle name="표준 5 2 2 2 2 32 2 2 4" xfId="29741"/>
    <cellStyle name="표준 5 2 2 2 2 32 2 3" xfId="7604"/>
    <cellStyle name="표준 5 2 2 2 2 32 2 3 2" xfId="20278"/>
    <cellStyle name="표준 5 2 2 2 2 32 2 3 2 2" xfId="45630"/>
    <cellStyle name="표준 5 2 2 2 2 32 2 3 3" xfId="32958"/>
    <cellStyle name="표준 5 2 2 2 2 32 2 4" xfId="13942"/>
    <cellStyle name="표준 5 2 2 2 2 32 2 4 2" xfId="39294"/>
    <cellStyle name="표준 5 2 2 2 2 32 2 5" xfId="26622"/>
    <cellStyle name="표준 5 2 2 2 2 32 3" xfId="4388"/>
    <cellStyle name="표준 5 2 2 2 2 32 3 2" xfId="10724"/>
    <cellStyle name="표준 5 2 2 2 2 32 3 2 2" xfId="23398"/>
    <cellStyle name="표준 5 2 2 2 2 32 3 2 2 2" xfId="48750"/>
    <cellStyle name="표준 5 2 2 2 2 32 3 2 3" xfId="36078"/>
    <cellStyle name="표준 5 2 2 2 2 32 3 3" xfId="17062"/>
    <cellStyle name="표준 5 2 2 2 2 32 3 3 2" xfId="42414"/>
    <cellStyle name="표준 5 2 2 2 2 32 3 4" xfId="29742"/>
    <cellStyle name="표준 5 2 2 2 2 32 4" xfId="7603"/>
    <cellStyle name="표준 5 2 2 2 2 32 4 2" xfId="20277"/>
    <cellStyle name="표준 5 2 2 2 2 32 4 2 2" xfId="45629"/>
    <cellStyle name="표준 5 2 2 2 2 32 4 3" xfId="32957"/>
    <cellStyle name="표준 5 2 2 2 2 32 5" xfId="13941"/>
    <cellStyle name="표준 5 2 2 2 2 32 5 2" xfId="39293"/>
    <cellStyle name="표준 5 2 2 2 2 32 6" xfId="26621"/>
    <cellStyle name="표준 5 2 2 2 2 33" xfId="1268"/>
    <cellStyle name="표준 5 2 2 2 2 33 2" xfId="1269"/>
    <cellStyle name="표준 5 2 2 2 2 33 2 2" xfId="4389"/>
    <cellStyle name="표준 5 2 2 2 2 33 2 2 2" xfId="10725"/>
    <cellStyle name="표준 5 2 2 2 2 33 2 2 2 2" xfId="23399"/>
    <cellStyle name="표준 5 2 2 2 2 33 2 2 2 2 2" xfId="48751"/>
    <cellStyle name="표준 5 2 2 2 2 33 2 2 2 3" xfId="36079"/>
    <cellStyle name="표준 5 2 2 2 2 33 2 2 3" xfId="17063"/>
    <cellStyle name="표준 5 2 2 2 2 33 2 2 3 2" xfId="42415"/>
    <cellStyle name="표준 5 2 2 2 2 33 2 2 4" xfId="29743"/>
    <cellStyle name="표준 5 2 2 2 2 33 2 3" xfId="7606"/>
    <cellStyle name="표준 5 2 2 2 2 33 2 3 2" xfId="20280"/>
    <cellStyle name="표준 5 2 2 2 2 33 2 3 2 2" xfId="45632"/>
    <cellStyle name="표준 5 2 2 2 2 33 2 3 3" xfId="32960"/>
    <cellStyle name="표준 5 2 2 2 2 33 2 4" xfId="13944"/>
    <cellStyle name="표준 5 2 2 2 2 33 2 4 2" xfId="39296"/>
    <cellStyle name="표준 5 2 2 2 2 33 2 5" xfId="26624"/>
    <cellStyle name="표준 5 2 2 2 2 33 3" xfId="4390"/>
    <cellStyle name="표준 5 2 2 2 2 33 3 2" xfId="10726"/>
    <cellStyle name="표준 5 2 2 2 2 33 3 2 2" xfId="23400"/>
    <cellStyle name="표준 5 2 2 2 2 33 3 2 2 2" xfId="48752"/>
    <cellStyle name="표준 5 2 2 2 2 33 3 2 3" xfId="36080"/>
    <cellStyle name="표준 5 2 2 2 2 33 3 3" xfId="17064"/>
    <cellStyle name="표준 5 2 2 2 2 33 3 3 2" xfId="42416"/>
    <cellStyle name="표준 5 2 2 2 2 33 3 4" xfId="29744"/>
    <cellStyle name="표준 5 2 2 2 2 33 4" xfId="7605"/>
    <cellStyle name="표준 5 2 2 2 2 33 4 2" xfId="20279"/>
    <cellStyle name="표준 5 2 2 2 2 33 4 2 2" xfId="45631"/>
    <cellStyle name="표준 5 2 2 2 2 33 4 3" xfId="32959"/>
    <cellStyle name="표준 5 2 2 2 2 33 5" xfId="13943"/>
    <cellStyle name="표준 5 2 2 2 2 33 5 2" xfId="39295"/>
    <cellStyle name="표준 5 2 2 2 2 33 6" xfId="26623"/>
    <cellStyle name="표준 5 2 2 2 2 34" xfId="1270"/>
    <cellStyle name="표준 5 2 2 2 2 34 2" xfId="4391"/>
    <cellStyle name="표준 5 2 2 2 2 34 2 2" xfId="10727"/>
    <cellStyle name="표준 5 2 2 2 2 34 2 2 2" xfId="23401"/>
    <cellStyle name="표준 5 2 2 2 2 34 2 2 2 2" xfId="48753"/>
    <cellStyle name="표준 5 2 2 2 2 34 2 2 3" xfId="36081"/>
    <cellStyle name="표준 5 2 2 2 2 34 2 3" xfId="17065"/>
    <cellStyle name="표준 5 2 2 2 2 34 2 3 2" xfId="42417"/>
    <cellStyle name="표준 5 2 2 2 2 34 2 4" xfId="29745"/>
    <cellStyle name="표준 5 2 2 2 2 34 3" xfId="7607"/>
    <cellStyle name="표준 5 2 2 2 2 34 3 2" xfId="20281"/>
    <cellStyle name="표준 5 2 2 2 2 34 3 2 2" xfId="45633"/>
    <cellStyle name="표준 5 2 2 2 2 34 3 3" xfId="32961"/>
    <cellStyle name="표준 5 2 2 2 2 34 4" xfId="13945"/>
    <cellStyle name="표준 5 2 2 2 2 34 4 2" xfId="39297"/>
    <cellStyle name="표준 5 2 2 2 2 34 5" xfId="26625"/>
    <cellStyle name="표준 5 2 2 2 2 35" xfId="4392"/>
    <cellStyle name="표준 5 2 2 2 2 35 2" xfId="10728"/>
    <cellStyle name="표준 5 2 2 2 2 35 2 2" xfId="23402"/>
    <cellStyle name="표준 5 2 2 2 2 35 2 2 2" xfId="48754"/>
    <cellStyle name="표준 5 2 2 2 2 35 2 3" xfId="36082"/>
    <cellStyle name="표준 5 2 2 2 2 35 3" xfId="17066"/>
    <cellStyle name="표준 5 2 2 2 2 35 3 2" xfId="42418"/>
    <cellStyle name="표준 5 2 2 2 2 35 4" xfId="29746"/>
    <cellStyle name="표준 5 2 2 2 2 36" xfId="6411"/>
    <cellStyle name="표준 5 2 2 2 2 36 2" xfId="19085"/>
    <cellStyle name="표준 5 2 2 2 2 36 2 2" xfId="44437"/>
    <cellStyle name="표준 5 2 2 2 2 36 3" xfId="31765"/>
    <cellStyle name="표준 5 2 2 2 2 37" xfId="12749"/>
    <cellStyle name="표준 5 2 2 2 2 37 2" xfId="38101"/>
    <cellStyle name="표준 5 2 2 2 2 38" xfId="25429"/>
    <cellStyle name="표준 5 2 2 2 2 4" xfId="1271"/>
    <cellStyle name="표준 5 2 2 2 2 4 2" xfId="1272"/>
    <cellStyle name="표준 5 2 2 2 2 4 2 2" xfId="4393"/>
    <cellStyle name="표준 5 2 2 2 2 4 2 2 2" xfId="10729"/>
    <cellStyle name="표준 5 2 2 2 2 4 2 2 2 2" xfId="23403"/>
    <cellStyle name="표준 5 2 2 2 2 4 2 2 2 2 2" xfId="48755"/>
    <cellStyle name="표준 5 2 2 2 2 4 2 2 2 3" xfId="36083"/>
    <cellStyle name="표준 5 2 2 2 2 4 2 2 3" xfId="17067"/>
    <cellStyle name="표준 5 2 2 2 2 4 2 2 3 2" xfId="42419"/>
    <cellStyle name="표준 5 2 2 2 2 4 2 2 4" xfId="29747"/>
    <cellStyle name="표준 5 2 2 2 2 4 2 3" xfId="7609"/>
    <cellStyle name="표준 5 2 2 2 2 4 2 3 2" xfId="20283"/>
    <cellStyle name="표준 5 2 2 2 2 4 2 3 2 2" xfId="45635"/>
    <cellStyle name="표준 5 2 2 2 2 4 2 3 3" xfId="32963"/>
    <cellStyle name="표준 5 2 2 2 2 4 2 4" xfId="13947"/>
    <cellStyle name="표준 5 2 2 2 2 4 2 4 2" xfId="39299"/>
    <cellStyle name="표준 5 2 2 2 2 4 2 5" xfId="26627"/>
    <cellStyle name="표준 5 2 2 2 2 4 3" xfId="4394"/>
    <cellStyle name="표준 5 2 2 2 2 4 3 2" xfId="10730"/>
    <cellStyle name="표준 5 2 2 2 2 4 3 2 2" xfId="23404"/>
    <cellStyle name="표준 5 2 2 2 2 4 3 2 2 2" xfId="48756"/>
    <cellStyle name="표준 5 2 2 2 2 4 3 2 3" xfId="36084"/>
    <cellStyle name="표준 5 2 2 2 2 4 3 3" xfId="17068"/>
    <cellStyle name="표준 5 2 2 2 2 4 3 3 2" xfId="42420"/>
    <cellStyle name="표준 5 2 2 2 2 4 3 4" xfId="29748"/>
    <cellStyle name="표준 5 2 2 2 2 4 4" xfId="7608"/>
    <cellStyle name="표준 5 2 2 2 2 4 4 2" xfId="20282"/>
    <cellStyle name="표준 5 2 2 2 2 4 4 2 2" xfId="45634"/>
    <cellStyle name="표준 5 2 2 2 2 4 4 3" xfId="32962"/>
    <cellStyle name="표준 5 2 2 2 2 4 5" xfId="13946"/>
    <cellStyle name="표준 5 2 2 2 2 4 5 2" xfId="39298"/>
    <cellStyle name="표준 5 2 2 2 2 4 6" xfId="26626"/>
    <cellStyle name="표준 5 2 2 2 2 5" xfId="1273"/>
    <cellStyle name="표준 5 2 2 2 2 5 2" xfId="1274"/>
    <cellStyle name="표준 5 2 2 2 2 5 2 2" xfId="4395"/>
    <cellStyle name="표준 5 2 2 2 2 5 2 2 2" xfId="10731"/>
    <cellStyle name="표준 5 2 2 2 2 5 2 2 2 2" xfId="23405"/>
    <cellStyle name="표준 5 2 2 2 2 5 2 2 2 2 2" xfId="48757"/>
    <cellStyle name="표준 5 2 2 2 2 5 2 2 2 3" xfId="36085"/>
    <cellStyle name="표준 5 2 2 2 2 5 2 2 3" xfId="17069"/>
    <cellStyle name="표준 5 2 2 2 2 5 2 2 3 2" xfId="42421"/>
    <cellStyle name="표준 5 2 2 2 2 5 2 2 4" xfId="29749"/>
    <cellStyle name="표준 5 2 2 2 2 5 2 3" xfId="7611"/>
    <cellStyle name="표준 5 2 2 2 2 5 2 3 2" xfId="20285"/>
    <cellStyle name="표준 5 2 2 2 2 5 2 3 2 2" xfId="45637"/>
    <cellStyle name="표준 5 2 2 2 2 5 2 3 3" xfId="32965"/>
    <cellStyle name="표준 5 2 2 2 2 5 2 4" xfId="13949"/>
    <cellStyle name="표준 5 2 2 2 2 5 2 4 2" xfId="39301"/>
    <cellStyle name="표준 5 2 2 2 2 5 2 5" xfId="26629"/>
    <cellStyle name="표준 5 2 2 2 2 5 3" xfId="4396"/>
    <cellStyle name="표준 5 2 2 2 2 5 3 2" xfId="10732"/>
    <cellStyle name="표준 5 2 2 2 2 5 3 2 2" xfId="23406"/>
    <cellStyle name="표준 5 2 2 2 2 5 3 2 2 2" xfId="48758"/>
    <cellStyle name="표준 5 2 2 2 2 5 3 2 3" xfId="36086"/>
    <cellStyle name="표준 5 2 2 2 2 5 3 3" xfId="17070"/>
    <cellStyle name="표준 5 2 2 2 2 5 3 3 2" xfId="42422"/>
    <cellStyle name="표준 5 2 2 2 2 5 3 4" xfId="29750"/>
    <cellStyle name="표준 5 2 2 2 2 5 4" xfId="7610"/>
    <cellStyle name="표준 5 2 2 2 2 5 4 2" xfId="20284"/>
    <cellStyle name="표준 5 2 2 2 2 5 4 2 2" xfId="45636"/>
    <cellStyle name="표준 5 2 2 2 2 5 4 3" xfId="32964"/>
    <cellStyle name="표준 5 2 2 2 2 5 5" xfId="13948"/>
    <cellStyle name="표준 5 2 2 2 2 5 5 2" xfId="39300"/>
    <cellStyle name="표준 5 2 2 2 2 5 6" xfId="26628"/>
    <cellStyle name="표준 5 2 2 2 2 6" xfId="1275"/>
    <cellStyle name="표준 5 2 2 2 2 6 2" xfId="1276"/>
    <cellStyle name="표준 5 2 2 2 2 6 2 2" xfId="4397"/>
    <cellStyle name="표준 5 2 2 2 2 6 2 2 2" xfId="10733"/>
    <cellStyle name="표준 5 2 2 2 2 6 2 2 2 2" xfId="23407"/>
    <cellStyle name="표준 5 2 2 2 2 6 2 2 2 2 2" xfId="48759"/>
    <cellStyle name="표준 5 2 2 2 2 6 2 2 2 3" xfId="36087"/>
    <cellStyle name="표준 5 2 2 2 2 6 2 2 3" xfId="17071"/>
    <cellStyle name="표준 5 2 2 2 2 6 2 2 3 2" xfId="42423"/>
    <cellStyle name="표준 5 2 2 2 2 6 2 2 4" xfId="29751"/>
    <cellStyle name="표준 5 2 2 2 2 6 2 3" xfId="7613"/>
    <cellStyle name="표준 5 2 2 2 2 6 2 3 2" xfId="20287"/>
    <cellStyle name="표준 5 2 2 2 2 6 2 3 2 2" xfId="45639"/>
    <cellStyle name="표준 5 2 2 2 2 6 2 3 3" xfId="32967"/>
    <cellStyle name="표준 5 2 2 2 2 6 2 4" xfId="13951"/>
    <cellStyle name="표준 5 2 2 2 2 6 2 4 2" xfId="39303"/>
    <cellStyle name="표준 5 2 2 2 2 6 2 5" xfId="26631"/>
    <cellStyle name="표준 5 2 2 2 2 6 3" xfId="4398"/>
    <cellStyle name="표준 5 2 2 2 2 6 3 2" xfId="10734"/>
    <cellStyle name="표준 5 2 2 2 2 6 3 2 2" xfId="23408"/>
    <cellStyle name="표준 5 2 2 2 2 6 3 2 2 2" xfId="48760"/>
    <cellStyle name="표준 5 2 2 2 2 6 3 2 3" xfId="36088"/>
    <cellStyle name="표준 5 2 2 2 2 6 3 3" xfId="17072"/>
    <cellStyle name="표준 5 2 2 2 2 6 3 3 2" xfId="42424"/>
    <cellStyle name="표준 5 2 2 2 2 6 3 4" xfId="29752"/>
    <cellStyle name="표준 5 2 2 2 2 6 4" xfId="7612"/>
    <cellStyle name="표준 5 2 2 2 2 6 4 2" xfId="20286"/>
    <cellStyle name="표준 5 2 2 2 2 6 4 2 2" xfId="45638"/>
    <cellStyle name="표준 5 2 2 2 2 6 4 3" xfId="32966"/>
    <cellStyle name="표준 5 2 2 2 2 6 5" xfId="13950"/>
    <cellStyle name="표준 5 2 2 2 2 6 5 2" xfId="39302"/>
    <cellStyle name="표준 5 2 2 2 2 6 6" xfId="26630"/>
    <cellStyle name="표준 5 2 2 2 2 7" xfId="1277"/>
    <cellStyle name="표준 5 2 2 2 2 7 2" xfId="1278"/>
    <cellStyle name="표준 5 2 2 2 2 7 2 2" xfId="4399"/>
    <cellStyle name="표준 5 2 2 2 2 7 2 2 2" xfId="10735"/>
    <cellStyle name="표준 5 2 2 2 2 7 2 2 2 2" xfId="23409"/>
    <cellStyle name="표준 5 2 2 2 2 7 2 2 2 2 2" xfId="48761"/>
    <cellStyle name="표준 5 2 2 2 2 7 2 2 2 3" xfId="36089"/>
    <cellStyle name="표준 5 2 2 2 2 7 2 2 3" xfId="17073"/>
    <cellStyle name="표준 5 2 2 2 2 7 2 2 3 2" xfId="42425"/>
    <cellStyle name="표준 5 2 2 2 2 7 2 2 4" xfId="29753"/>
    <cellStyle name="표준 5 2 2 2 2 7 2 3" xfId="7615"/>
    <cellStyle name="표준 5 2 2 2 2 7 2 3 2" xfId="20289"/>
    <cellStyle name="표준 5 2 2 2 2 7 2 3 2 2" xfId="45641"/>
    <cellStyle name="표준 5 2 2 2 2 7 2 3 3" xfId="32969"/>
    <cellStyle name="표준 5 2 2 2 2 7 2 4" xfId="13953"/>
    <cellStyle name="표준 5 2 2 2 2 7 2 4 2" xfId="39305"/>
    <cellStyle name="표준 5 2 2 2 2 7 2 5" xfId="26633"/>
    <cellStyle name="표준 5 2 2 2 2 7 3" xfId="4400"/>
    <cellStyle name="표준 5 2 2 2 2 7 3 2" xfId="10736"/>
    <cellStyle name="표준 5 2 2 2 2 7 3 2 2" xfId="23410"/>
    <cellStyle name="표준 5 2 2 2 2 7 3 2 2 2" xfId="48762"/>
    <cellStyle name="표준 5 2 2 2 2 7 3 2 3" xfId="36090"/>
    <cellStyle name="표준 5 2 2 2 2 7 3 3" xfId="17074"/>
    <cellStyle name="표준 5 2 2 2 2 7 3 3 2" xfId="42426"/>
    <cellStyle name="표준 5 2 2 2 2 7 3 4" xfId="29754"/>
    <cellStyle name="표준 5 2 2 2 2 7 4" xfId="7614"/>
    <cellStyle name="표준 5 2 2 2 2 7 4 2" xfId="20288"/>
    <cellStyle name="표준 5 2 2 2 2 7 4 2 2" xfId="45640"/>
    <cellStyle name="표준 5 2 2 2 2 7 4 3" xfId="32968"/>
    <cellStyle name="표준 5 2 2 2 2 7 5" xfId="13952"/>
    <cellStyle name="표준 5 2 2 2 2 7 5 2" xfId="39304"/>
    <cellStyle name="표준 5 2 2 2 2 7 6" xfId="26632"/>
    <cellStyle name="표준 5 2 2 2 2 8" xfId="1279"/>
    <cellStyle name="표준 5 2 2 2 2 8 2" xfId="1280"/>
    <cellStyle name="표준 5 2 2 2 2 8 2 2" xfId="4401"/>
    <cellStyle name="표준 5 2 2 2 2 8 2 2 2" xfId="10737"/>
    <cellStyle name="표준 5 2 2 2 2 8 2 2 2 2" xfId="23411"/>
    <cellStyle name="표준 5 2 2 2 2 8 2 2 2 2 2" xfId="48763"/>
    <cellStyle name="표준 5 2 2 2 2 8 2 2 2 3" xfId="36091"/>
    <cellStyle name="표준 5 2 2 2 2 8 2 2 3" xfId="17075"/>
    <cellStyle name="표준 5 2 2 2 2 8 2 2 3 2" xfId="42427"/>
    <cellStyle name="표준 5 2 2 2 2 8 2 2 4" xfId="29755"/>
    <cellStyle name="표준 5 2 2 2 2 8 2 3" xfId="7617"/>
    <cellStyle name="표준 5 2 2 2 2 8 2 3 2" xfId="20291"/>
    <cellStyle name="표준 5 2 2 2 2 8 2 3 2 2" xfId="45643"/>
    <cellStyle name="표준 5 2 2 2 2 8 2 3 3" xfId="32971"/>
    <cellStyle name="표준 5 2 2 2 2 8 2 4" xfId="13955"/>
    <cellStyle name="표준 5 2 2 2 2 8 2 4 2" xfId="39307"/>
    <cellStyle name="표준 5 2 2 2 2 8 2 5" xfId="26635"/>
    <cellStyle name="표준 5 2 2 2 2 8 3" xfId="4402"/>
    <cellStyle name="표준 5 2 2 2 2 8 3 2" xfId="10738"/>
    <cellStyle name="표준 5 2 2 2 2 8 3 2 2" xfId="23412"/>
    <cellStyle name="표준 5 2 2 2 2 8 3 2 2 2" xfId="48764"/>
    <cellStyle name="표준 5 2 2 2 2 8 3 2 3" xfId="36092"/>
    <cellStyle name="표준 5 2 2 2 2 8 3 3" xfId="17076"/>
    <cellStyle name="표준 5 2 2 2 2 8 3 3 2" xfId="42428"/>
    <cellStyle name="표준 5 2 2 2 2 8 3 4" xfId="29756"/>
    <cellStyle name="표준 5 2 2 2 2 8 4" xfId="7616"/>
    <cellStyle name="표준 5 2 2 2 2 8 4 2" xfId="20290"/>
    <cellStyle name="표준 5 2 2 2 2 8 4 2 2" xfId="45642"/>
    <cellStyle name="표준 5 2 2 2 2 8 4 3" xfId="32970"/>
    <cellStyle name="표준 5 2 2 2 2 8 5" xfId="13954"/>
    <cellStyle name="표준 5 2 2 2 2 8 5 2" xfId="39306"/>
    <cellStyle name="표준 5 2 2 2 2 8 6" xfId="26634"/>
    <cellStyle name="표준 5 2 2 2 2 9" xfId="1281"/>
    <cellStyle name="표준 5 2 2 2 2 9 2" xfId="1282"/>
    <cellStyle name="표준 5 2 2 2 2 9 2 2" xfId="4403"/>
    <cellStyle name="표준 5 2 2 2 2 9 2 2 2" xfId="10739"/>
    <cellStyle name="표준 5 2 2 2 2 9 2 2 2 2" xfId="23413"/>
    <cellStyle name="표준 5 2 2 2 2 9 2 2 2 2 2" xfId="48765"/>
    <cellStyle name="표준 5 2 2 2 2 9 2 2 2 3" xfId="36093"/>
    <cellStyle name="표준 5 2 2 2 2 9 2 2 3" xfId="17077"/>
    <cellStyle name="표준 5 2 2 2 2 9 2 2 3 2" xfId="42429"/>
    <cellStyle name="표준 5 2 2 2 2 9 2 2 4" xfId="29757"/>
    <cellStyle name="표준 5 2 2 2 2 9 2 3" xfId="7619"/>
    <cellStyle name="표준 5 2 2 2 2 9 2 3 2" xfId="20293"/>
    <cellStyle name="표준 5 2 2 2 2 9 2 3 2 2" xfId="45645"/>
    <cellStyle name="표준 5 2 2 2 2 9 2 3 3" xfId="32973"/>
    <cellStyle name="표준 5 2 2 2 2 9 2 4" xfId="13957"/>
    <cellStyle name="표준 5 2 2 2 2 9 2 4 2" xfId="39309"/>
    <cellStyle name="표준 5 2 2 2 2 9 2 5" xfId="26637"/>
    <cellStyle name="표준 5 2 2 2 2 9 3" xfId="4404"/>
    <cellStyle name="표준 5 2 2 2 2 9 3 2" xfId="10740"/>
    <cellStyle name="표준 5 2 2 2 2 9 3 2 2" xfId="23414"/>
    <cellStyle name="표준 5 2 2 2 2 9 3 2 2 2" xfId="48766"/>
    <cellStyle name="표준 5 2 2 2 2 9 3 2 3" xfId="36094"/>
    <cellStyle name="표준 5 2 2 2 2 9 3 3" xfId="17078"/>
    <cellStyle name="표준 5 2 2 2 2 9 3 3 2" xfId="42430"/>
    <cellStyle name="표준 5 2 2 2 2 9 3 4" xfId="29758"/>
    <cellStyle name="표준 5 2 2 2 2 9 4" xfId="7618"/>
    <cellStyle name="표준 5 2 2 2 2 9 4 2" xfId="20292"/>
    <cellStyle name="표준 5 2 2 2 2 9 4 2 2" xfId="45644"/>
    <cellStyle name="표준 5 2 2 2 2 9 4 3" xfId="32972"/>
    <cellStyle name="표준 5 2 2 2 2 9 5" xfId="13956"/>
    <cellStyle name="표준 5 2 2 2 2 9 5 2" xfId="39308"/>
    <cellStyle name="표준 5 2 2 2 2 9 6" xfId="26636"/>
    <cellStyle name="표준 5 2 2 2 20" xfId="1283"/>
    <cellStyle name="표준 5 2 2 2 20 2" xfId="1284"/>
    <cellStyle name="표준 5 2 2 2 20 2 2" xfId="4405"/>
    <cellStyle name="표준 5 2 2 2 20 2 2 2" xfId="10741"/>
    <cellStyle name="표준 5 2 2 2 20 2 2 2 2" xfId="23415"/>
    <cellStyle name="표준 5 2 2 2 20 2 2 2 2 2" xfId="48767"/>
    <cellStyle name="표준 5 2 2 2 20 2 2 2 3" xfId="36095"/>
    <cellStyle name="표준 5 2 2 2 20 2 2 3" xfId="17079"/>
    <cellStyle name="표준 5 2 2 2 20 2 2 3 2" xfId="42431"/>
    <cellStyle name="표준 5 2 2 2 20 2 2 4" xfId="29759"/>
    <cellStyle name="표준 5 2 2 2 20 2 3" xfId="7621"/>
    <cellStyle name="표준 5 2 2 2 20 2 3 2" xfId="20295"/>
    <cellStyle name="표준 5 2 2 2 20 2 3 2 2" xfId="45647"/>
    <cellStyle name="표준 5 2 2 2 20 2 3 3" xfId="32975"/>
    <cellStyle name="표준 5 2 2 2 20 2 4" xfId="13959"/>
    <cellStyle name="표준 5 2 2 2 20 2 4 2" xfId="39311"/>
    <cellStyle name="표준 5 2 2 2 20 2 5" xfId="26639"/>
    <cellStyle name="표준 5 2 2 2 20 3" xfId="4406"/>
    <cellStyle name="표준 5 2 2 2 20 3 2" xfId="10742"/>
    <cellStyle name="표준 5 2 2 2 20 3 2 2" xfId="23416"/>
    <cellStyle name="표준 5 2 2 2 20 3 2 2 2" xfId="48768"/>
    <cellStyle name="표준 5 2 2 2 20 3 2 3" xfId="36096"/>
    <cellStyle name="표준 5 2 2 2 20 3 3" xfId="17080"/>
    <cellStyle name="표준 5 2 2 2 20 3 3 2" xfId="42432"/>
    <cellStyle name="표준 5 2 2 2 20 3 4" xfId="29760"/>
    <cellStyle name="표준 5 2 2 2 20 4" xfId="7620"/>
    <cellStyle name="표준 5 2 2 2 20 4 2" xfId="20294"/>
    <cellStyle name="표준 5 2 2 2 20 4 2 2" xfId="45646"/>
    <cellStyle name="표준 5 2 2 2 20 4 3" xfId="32974"/>
    <cellStyle name="표준 5 2 2 2 20 5" xfId="13958"/>
    <cellStyle name="표준 5 2 2 2 20 5 2" xfId="39310"/>
    <cellStyle name="표준 5 2 2 2 20 6" xfId="26638"/>
    <cellStyle name="표준 5 2 2 2 21" xfId="1285"/>
    <cellStyle name="표준 5 2 2 2 21 2" xfId="1286"/>
    <cellStyle name="표준 5 2 2 2 21 2 2" xfId="4407"/>
    <cellStyle name="표준 5 2 2 2 21 2 2 2" xfId="10743"/>
    <cellStyle name="표준 5 2 2 2 21 2 2 2 2" xfId="23417"/>
    <cellStyle name="표준 5 2 2 2 21 2 2 2 2 2" xfId="48769"/>
    <cellStyle name="표준 5 2 2 2 21 2 2 2 3" xfId="36097"/>
    <cellStyle name="표준 5 2 2 2 21 2 2 3" xfId="17081"/>
    <cellStyle name="표준 5 2 2 2 21 2 2 3 2" xfId="42433"/>
    <cellStyle name="표준 5 2 2 2 21 2 2 4" xfId="29761"/>
    <cellStyle name="표준 5 2 2 2 21 2 3" xfId="7623"/>
    <cellStyle name="표준 5 2 2 2 21 2 3 2" xfId="20297"/>
    <cellStyle name="표준 5 2 2 2 21 2 3 2 2" xfId="45649"/>
    <cellStyle name="표준 5 2 2 2 21 2 3 3" xfId="32977"/>
    <cellStyle name="표준 5 2 2 2 21 2 4" xfId="13961"/>
    <cellStyle name="표준 5 2 2 2 21 2 4 2" xfId="39313"/>
    <cellStyle name="표준 5 2 2 2 21 2 5" xfId="26641"/>
    <cellStyle name="표준 5 2 2 2 21 3" xfId="4408"/>
    <cellStyle name="표준 5 2 2 2 21 3 2" xfId="10744"/>
    <cellStyle name="표준 5 2 2 2 21 3 2 2" xfId="23418"/>
    <cellStyle name="표준 5 2 2 2 21 3 2 2 2" xfId="48770"/>
    <cellStyle name="표준 5 2 2 2 21 3 2 3" xfId="36098"/>
    <cellStyle name="표준 5 2 2 2 21 3 3" xfId="17082"/>
    <cellStyle name="표준 5 2 2 2 21 3 3 2" xfId="42434"/>
    <cellStyle name="표준 5 2 2 2 21 3 4" xfId="29762"/>
    <cellStyle name="표준 5 2 2 2 21 4" xfId="7622"/>
    <cellStyle name="표준 5 2 2 2 21 4 2" xfId="20296"/>
    <cellStyle name="표준 5 2 2 2 21 4 2 2" xfId="45648"/>
    <cellStyle name="표준 5 2 2 2 21 4 3" xfId="32976"/>
    <cellStyle name="표준 5 2 2 2 21 5" xfId="13960"/>
    <cellStyle name="표준 5 2 2 2 21 5 2" xfId="39312"/>
    <cellStyle name="표준 5 2 2 2 21 6" xfId="26640"/>
    <cellStyle name="표준 5 2 2 2 22" xfId="1287"/>
    <cellStyle name="표준 5 2 2 2 22 2" xfId="1288"/>
    <cellStyle name="표준 5 2 2 2 22 2 2" xfId="4409"/>
    <cellStyle name="표준 5 2 2 2 22 2 2 2" xfId="10745"/>
    <cellStyle name="표준 5 2 2 2 22 2 2 2 2" xfId="23419"/>
    <cellStyle name="표준 5 2 2 2 22 2 2 2 2 2" xfId="48771"/>
    <cellStyle name="표준 5 2 2 2 22 2 2 2 3" xfId="36099"/>
    <cellStyle name="표준 5 2 2 2 22 2 2 3" xfId="17083"/>
    <cellStyle name="표준 5 2 2 2 22 2 2 3 2" xfId="42435"/>
    <cellStyle name="표준 5 2 2 2 22 2 2 4" xfId="29763"/>
    <cellStyle name="표준 5 2 2 2 22 2 3" xfId="7625"/>
    <cellStyle name="표준 5 2 2 2 22 2 3 2" xfId="20299"/>
    <cellStyle name="표준 5 2 2 2 22 2 3 2 2" xfId="45651"/>
    <cellStyle name="표준 5 2 2 2 22 2 3 3" xfId="32979"/>
    <cellStyle name="표준 5 2 2 2 22 2 4" xfId="13963"/>
    <cellStyle name="표준 5 2 2 2 22 2 4 2" xfId="39315"/>
    <cellStyle name="표준 5 2 2 2 22 2 5" xfId="26643"/>
    <cellStyle name="표준 5 2 2 2 22 3" xfId="4410"/>
    <cellStyle name="표준 5 2 2 2 22 3 2" xfId="10746"/>
    <cellStyle name="표준 5 2 2 2 22 3 2 2" xfId="23420"/>
    <cellStyle name="표준 5 2 2 2 22 3 2 2 2" xfId="48772"/>
    <cellStyle name="표준 5 2 2 2 22 3 2 3" xfId="36100"/>
    <cellStyle name="표준 5 2 2 2 22 3 3" xfId="17084"/>
    <cellStyle name="표준 5 2 2 2 22 3 3 2" xfId="42436"/>
    <cellStyle name="표준 5 2 2 2 22 3 4" xfId="29764"/>
    <cellStyle name="표준 5 2 2 2 22 4" xfId="7624"/>
    <cellStyle name="표준 5 2 2 2 22 4 2" xfId="20298"/>
    <cellStyle name="표준 5 2 2 2 22 4 2 2" xfId="45650"/>
    <cellStyle name="표준 5 2 2 2 22 4 3" xfId="32978"/>
    <cellStyle name="표준 5 2 2 2 22 5" xfId="13962"/>
    <cellStyle name="표준 5 2 2 2 22 5 2" xfId="39314"/>
    <cellStyle name="표준 5 2 2 2 22 6" xfId="26642"/>
    <cellStyle name="표준 5 2 2 2 23" xfId="1289"/>
    <cellStyle name="표준 5 2 2 2 23 2" xfId="1290"/>
    <cellStyle name="표준 5 2 2 2 23 2 2" xfId="4411"/>
    <cellStyle name="표준 5 2 2 2 23 2 2 2" xfId="10747"/>
    <cellStyle name="표준 5 2 2 2 23 2 2 2 2" xfId="23421"/>
    <cellStyle name="표준 5 2 2 2 23 2 2 2 2 2" xfId="48773"/>
    <cellStyle name="표준 5 2 2 2 23 2 2 2 3" xfId="36101"/>
    <cellStyle name="표준 5 2 2 2 23 2 2 3" xfId="17085"/>
    <cellStyle name="표준 5 2 2 2 23 2 2 3 2" xfId="42437"/>
    <cellStyle name="표준 5 2 2 2 23 2 2 4" xfId="29765"/>
    <cellStyle name="표준 5 2 2 2 23 2 3" xfId="7627"/>
    <cellStyle name="표준 5 2 2 2 23 2 3 2" xfId="20301"/>
    <cellStyle name="표준 5 2 2 2 23 2 3 2 2" xfId="45653"/>
    <cellStyle name="표준 5 2 2 2 23 2 3 3" xfId="32981"/>
    <cellStyle name="표준 5 2 2 2 23 2 4" xfId="13965"/>
    <cellStyle name="표준 5 2 2 2 23 2 4 2" xfId="39317"/>
    <cellStyle name="표준 5 2 2 2 23 2 5" xfId="26645"/>
    <cellStyle name="표준 5 2 2 2 23 3" xfId="4412"/>
    <cellStyle name="표준 5 2 2 2 23 3 2" xfId="10748"/>
    <cellStyle name="표준 5 2 2 2 23 3 2 2" xfId="23422"/>
    <cellStyle name="표준 5 2 2 2 23 3 2 2 2" xfId="48774"/>
    <cellStyle name="표준 5 2 2 2 23 3 2 3" xfId="36102"/>
    <cellStyle name="표준 5 2 2 2 23 3 3" xfId="17086"/>
    <cellStyle name="표준 5 2 2 2 23 3 3 2" xfId="42438"/>
    <cellStyle name="표준 5 2 2 2 23 3 4" xfId="29766"/>
    <cellStyle name="표준 5 2 2 2 23 4" xfId="7626"/>
    <cellStyle name="표준 5 2 2 2 23 4 2" xfId="20300"/>
    <cellStyle name="표준 5 2 2 2 23 4 2 2" xfId="45652"/>
    <cellStyle name="표준 5 2 2 2 23 4 3" xfId="32980"/>
    <cellStyle name="표준 5 2 2 2 23 5" xfId="13964"/>
    <cellStyle name="표준 5 2 2 2 23 5 2" xfId="39316"/>
    <cellStyle name="표준 5 2 2 2 23 6" xfId="26644"/>
    <cellStyle name="표준 5 2 2 2 24" xfId="1291"/>
    <cellStyle name="표준 5 2 2 2 24 2" xfId="1292"/>
    <cellStyle name="표준 5 2 2 2 24 2 2" xfId="4413"/>
    <cellStyle name="표준 5 2 2 2 24 2 2 2" xfId="10749"/>
    <cellStyle name="표준 5 2 2 2 24 2 2 2 2" xfId="23423"/>
    <cellStyle name="표준 5 2 2 2 24 2 2 2 2 2" xfId="48775"/>
    <cellStyle name="표준 5 2 2 2 24 2 2 2 3" xfId="36103"/>
    <cellStyle name="표준 5 2 2 2 24 2 2 3" xfId="17087"/>
    <cellStyle name="표준 5 2 2 2 24 2 2 3 2" xfId="42439"/>
    <cellStyle name="표준 5 2 2 2 24 2 2 4" xfId="29767"/>
    <cellStyle name="표준 5 2 2 2 24 2 3" xfId="7629"/>
    <cellStyle name="표준 5 2 2 2 24 2 3 2" xfId="20303"/>
    <cellStyle name="표준 5 2 2 2 24 2 3 2 2" xfId="45655"/>
    <cellStyle name="표준 5 2 2 2 24 2 3 3" xfId="32983"/>
    <cellStyle name="표준 5 2 2 2 24 2 4" xfId="13967"/>
    <cellStyle name="표준 5 2 2 2 24 2 4 2" xfId="39319"/>
    <cellStyle name="표준 5 2 2 2 24 2 5" xfId="26647"/>
    <cellStyle name="표준 5 2 2 2 24 3" xfId="4414"/>
    <cellStyle name="표준 5 2 2 2 24 3 2" xfId="10750"/>
    <cellStyle name="표준 5 2 2 2 24 3 2 2" xfId="23424"/>
    <cellStyle name="표준 5 2 2 2 24 3 2 2 2" xfId="48776"/>
    <cellStyle name="표준 5 2 2 2 24 3 2 3" xfId="36104"/>
    <cellStyle name="표준 5 2 2 2 24 3 3" xfId="17088"/>
    <cellStyle name="표준 5 2 2 2 24 3 3 2" xfId="42440"/>
    <cellStyle name="표준 5 2 2 2 24 3 4" xfId="29768"/>
    <cellStyle name="표준 5 2 2 2 24 4" xfId="7628"/>
    <cellStyle name="표준 5 2 2 2 24 4 2" xfId="20302"/>
    <cellStyle name="표준 5 2 2 2 24 4 2 2" xfId="45654"/>
    <cellStyle name="표준 5 2 2 2 24 4 3" xfId="32982"/>
    <cellStyle name="표준 5 2 2 2 24 5" xfId="13966"/>
    <cellStyle name="표준 5 2 2 2 24 5 2" xfId="39318"/>
    <cellStyle name="표준 5 2 2 2 24 6" xfId="26646"/>
    <cellStyle name="표준 5 2 2 2 25" xfId="1293"/>
    <cellStyle name="표준 5 2 2 2 25 2" xfId="1294"/>
    <cellStyle name="표준 5 2 2 2 25 2 2" xfId="4415"/>
    <cellStyle name="표준 5 2 2 2 25 2 2 2" xfId="10751"/>
    <cellStyle name="표준 5 2 2 2 25 2 2 2 2" xfId="23425"/>
    <cellStyle name="표준 5 2 2 2 25 2 2 2 2 2" xfId="48777"/>
    <cellStyle name="표준 5 2 2 2 25 2 2 2 3" xfId="36105"/>
    <cellStyle name="표준 5 2 2 2 25 2 2 3" xfId="17089"/>
    <cellStyle name="표준 5 2 2 2 25 2 2 3 2" xfId="42441"/>
    <cellStyle name="표준 5 2 2 2 25 2 2 4" xfId="29769"/>
    <cellStyle name="표준 5 2 2 2 25 2 3" xfId="7631"/>
    <cellStyle name="표준 5 2 2 2 25 2 3 2" xfId="20305"/>
    <cellStyle name="표준 5 2 2 2 25 2 3 2 2" xfId="45657"/>
    <cellStyle name="표준 5 2 2 2 25 2 3 3" xfId="32985"/>
    <cellStyle name="표준 5 2 2 2 25 2 4" xfId="13969"/>
    <cellStyle name="표준 5 2 2 2 25 2 4 2" xfId="39321"/>
    <cellStyle name="표준 5 2 2 2 25 2 5" xfId="26649"/>
    <cellStyle name="표준 5 2 2 2 25 3" xfId="4416"/>
    <cellStyle name="표준 5 2 2 2 25 3 2" xfId="10752"/>
    <cellStyle name="표준 5 2 2 2 25 3 2 2" xfId="23426"/>
    <cellStyle name="표준 5 2 2 2 25 3 2 2 2" xfId="48778"/>
    <cellStyle name="표준 5 2 2 2 25 3 2 3" xfId="36106"/>
    <cellStyle name="표준 5 2 2 2 25 3 3" xfId="17090"/>
    <cellStyle name="표준 5 2 2 2 25 3 3 2" xfId="42442"/>
    <cellStyle name="표준 5 2 2 2 25 3 4" xfId="29770"/>
    <cellStyle name="표준 5 2 2 2 25 4" xfId="7630"/>
    <cellStyle name="표준 5 2 2 2 25 4 2" xfId="20304"/>
    <cellStyle name="표준 5 2 2 2 25 4 2 2" xfId="45656"/>
    <cellStyle name="표준 5 2 2 2 25 4 3" xfId="32984"/>
    <cellStyle name="표준 5 2 2 2 25 5" xfId="13968"/>
    <cellStyle name="표준 5 2 2 2 25 5 2" xfId="39320"/>
    <cellStyle name="표준 5 2 2 2 25 6" xfId="26648"/>
    <cellStyle name="표준 5 2 2 2 26" xfId="1295"/>
    <cellStyle name="표준 5 2 2 2 26 2" xfId="1296"/>
    <cellStyle name="표준 5 2 2 2 26 2 2" xfId="4417"/>
    <cellStyle name="표준 5 2 2 2 26 2 2 2" xfId="10753"/>
    <cellStyle name="표준 5 2 2 2 26 2 2 2 2" xfId="23427"/>
    <cellStyle name="표준 5 2 2 2 26 2 2 2 2 2" xfId="48779"/>
    <cellStyle name="표준 5 2 2 2 26 2 2 2 3" xfId="36107"/>
    <cellStyle name="표준 5 2 2 2 26 2 2 3" xfId="17091"/>
    <cellStyle name="표준 5 2 2 2 26 2 2 3 2" xfId="42443"/>
    <cellStyle name="표준 5 2 2 2 26 2 2 4" xfId="29771"/>
    <cellStyle name="표준 5 2 2 2 26 2 3" xfId="7633"/>
    <cellStyle name="표준 5 2 2 2 26 2 3 2" xfId="20307"/>
    <cellStyle name="표준 5 2 2 2 26 2 3 2 2" xfId="45659"/>
    <cellStyle name="표준 5 2 2 2 26 2 3 3" xfId="32987"/>
    <cellStyle name="표준 5 2 2 2 26 2 4" xfId="13971"/>
    <cellStyle name="표준 5 2 2 2 26 2 4 2" xfId="39323"/>
    <cellStyle name="표준 5 2 2 2 26 2 5" xfId="26651"/>
    <cellStyle name="표준 5 2 2 2 26 3" xfId="4418"/>
    <cellStyle name="표준 5 2 2 2 26 3 2" xfId="10754"/>
    <cellStyle name="표준 5 2 2 2 26 3 2 2" xfId="23428"/>
    <cellStyle name="표준 5 2 2 2 26 3 2 2 2" xfId="48780"/>
    <cellStyle name="표준 5 2 2 2 26 3 2 3" xfId="36108"/>
    <cellStyle name="표준 5 2 2 2 26 3 3" xfId="17092"/>
    <cellStyle name="표준 5 2 2 2 26 3 3 2" xfId="42444"/>
    <cellStyle name="표준 5 2 2 2 26 3 4" xfId="29772"/>
    <cellStyle name="표준 5 2 2 2 26 4" xfId="7632"/>
    <cellStyle name="표준 5 2 2 2 26 4 2" xfId="20306"/>
    <cellStyle name="표준 5 2 2 2 26 4 2 2" xfId="45658"/>
    <cellStyle name="표준 5 2 2 2 26 4 3" xfId="32986"/>
    <cellStyle name="표준 5 2 2 2 26 5" xfId="13970"/>
    <cellStyle name="표준 5 2 2 2 26 5 2" xfId="39322"/>
    <cellStyle name="표준 5 2 2 2 26 6" xfId="26650"/>
    <cellStyle name="표준 5 2 2 2 27" xfId="1297"/>
    <cellStyle name="표준 5 2 2 2 27 2" xfId="1298"/>
    <cellStyle name="표준 5 2 2 2 27 2 2" xfId="4419"/>
    <cellStyle name="표준 5 2 2 2 27 2 2 2" xfId="10755"/>
    <cellStyle name="표준 5 2 2 2 27 2 2 2 2" xfId="23429"/>
    <cellStyle name="표준 5 2 2 2 27 2 2 2 2 2" xfId="48781"/>
    <cellStyle name="표준 5 2 2 2 27 2 2 2 3" xfId="36109"/>
    <cellStyle name="표준 5 2 2 2 27 2 2 3" xfId="17093"/>
    <cellStyle name="표준 5 2 2 2 27 2 2 3 2" xfId="42445"/>
    <cellStyle name="표준 5 2 2 2 27 2 2 4" xfId="29773"/>
    <cellStyle name="표준 5 2 2 2 27 2 3" xfId="7635"/>
    <cellStyle name="표준 5 2 2 2 27 2 3 2" xfId="20309"/>
    <cellStyle name="표준 5 2 2 2 27 2 3 2 2" xfId="45661"/>
    <cellStyle name="표준 5 2 2 2 27 2 3 3" xfId="32989"/>
    <cellStyle name="표준 5 2 2 2 27 2 4" xfId="13973"/>
    <cellStyle name="표준 5 2 2 2 27 2 4 2" xfId="39325"/>
    <cellStyle name="표준 5 2 2 2 27 2 5" xfId="26653"/>
    <cellStyle name="표준 5 2 2 2 27 3" xfId="4420"/>
    <cellStyle name="표준 5 2 2 2 27 3 2" xfId="10756"/>
    <cellStyle name="표준 5 2 2 2 27 3 2 2" xfId="23430"/>
    <cellStyle name="표준 5 2 2 2 27 3 2 2 2" xfId="48782"/>
    <cellStyle name="표준 5 2 2 2 27 3 2 3" xfId="36110"/>
    <cellStyle name="표준 5 2 2 2 27 3 3" xfId="17094"/>
    <cellStyle name="표준 5 2 2 2 27 3 3 2" xfId="42446"/>
    <cellStyle name="표준 5 2 2 2 27 3 4" xfId="29774"/>
    <cellStyle name="표준 5 2 2 2 27 4" xfId="7634"/>
    <cellStyle name="표준 5 2 2 2 27 4 2" xfId="20308"/>
    <cellStyle name="표준 5 2 2 2 27 4 2 2" xfId="45660"/>
    <cellStyle name="표준 5 2 2 2 27 4 3" xfId="32988"/>
    <cellStyle name="표준 5 2 2 2 27 5" xfId="13972"/>
    <cellStyle name="표준 5 2 2 2 27 5 2" xfId="39324"/>
    <cellStyle name="표준 5 2 2 2 27 6" xfId="26652"/>
    <cellStyle name="표준 5 2 2 2 28" xfId="1299"/>
    <cellStyle name="표준 5 2 2 2 28 2" xfId="1300"/>
    <cellStyle name="표준 5 2 2 2 28 2 2" xfId="4421"/>
    <cellStyle name="표준 5 2 2 2 28 2 2 2" xfId="10757"/>
    <cellStyle name="표준 5 2 2 2 28 2 2 2 2" xfId="23431"/>
    <cellStyle name="표준 5 2 2 2 28 2 2 2 2 2" xfId="48783"/>
    <cellStyle name="표준 5 2 2 2 28 2 2 2 3" xfId="36111"/>
    <cellStyle name="표준 5 2 2 2 28 2 2 3" xfId="17095"/>
    <cellStyle name="표준 5 2 2 2 28 2 2 3 2" xfId="42447"/>
    <cellStyle name="표준 5 2 2 2 28 2 2 4" xfId="29775"/>
    <cellStyle name="표준 5 2 2 2 28 2 3" xfId="7637"/>
    <cellStyle name="표준 5 2 2 2 28 2 3 2" xfId="20311"/>
    <cellStyle name="표준 5 2 2 2 28 2 3 2 2" xfId="45663"/>
    <cellStyle name="표준 5 2 2 2 28 2 3 3" xfId="32991"/>
    <cellStyle name="표준 5 2 2 2 28 2 4" xfId="13975"/>
    <cellStyle name="표준 5 2 2 2 28 2 4 2" xfId="39327"/>
    <cellStyle name="표준 5 2 2 2 28 2 5" xfId="26655"/>
    <cellStyle name="표준 5 2 2 2 28 3" xfId="4422"/>
    <cellStyle name="표준 5 2 2 2 28 3 2" xfId="10758"/>
    <cellStyle name="표준 5 2 2 2 28 3 2 2" xfId="23432"/>
    <cellStyle name="표준 5 2 2 2 28 3 2 2 2" xfId="48784"/>
    <cellStyle name="표준 5 2 2 2 28 3 2 3" xfId="36112"/>
    <cellStyle name="표준 5 2 2 2 28 3 3" xfId="17096"/>
    <cellStyle name="표준 5 2 2 2 28 3 3 2" xfId="42448"/>
    <cellStyle name="표준 5 2 2 2 28 3 4" xfId="29776"/>
    <cellStyle name="표준 5 2 2 2 28 4" xfId="7636"/>
    <cellStyle name="표준 5 2 2 2 28 4 2" xfId="20310"/>
    <cellStyle name="표준 5 2 2 2 28 4 2 2" xfId="45662"/>
    <cellStyle name="표준 5 2 2 2 28 4 3" xfId="32990"/>
    <cellStyle name="표준 5 2 2 2 28 5" xfId="13974"/>
    <cellStyle name="표준 5 2 2 2 28 5 2" xfId="39326"/>
    <cellStyle name="표준 5 2 2 2 28 6" xfId="26654"/>
    <cellStyle name="표준 5 2 2 2 29" xfId="1301"/>
    <cellStyle name="표준 5 2 2 2 29 2" xfId="1302"/>
    <cellStyle name="표준 5 2 2 2 29 2 2" xfId="4423"/>
    <cellStyle name="표준 5 2 2 2 29 2 2 2" xfId="10759"/>
    <cellStyle name="표준 5 2 2 2 29 2 2 2 2" xfId="23433"/>
    <cellStyle name="표준 5 2 2 2 29 2 2 2 2 2" xfId="48785"/>
    <cellStyle name="표준 5 2 2 2 29 2 2 2 3" xfId="36113"/>
    <cellStyle name="표준 5 2 2 2 29 2 2 3" xfId="17097"/>
    <cellStyle name="표준 5 2 2 2 29 2 2 3 2" xfId="42449"/>
    <cellStyle name="표준 5 2 2 2 29 2 2 4" xfId="29777"/>
    <cellStyle name="표준 5 2 2 2 29 2 3" xfId="7639"/>
    <cellStyle name="표준 5 2 2 2 29 2 3 2" xfId="20313"/>
    <cellStyle name="표준 5 2 2 2 29 2 3 2 2" xfId="45665"/>
    <cellStyle name="표준 5 2 2 2 29 2 3 3" xfId="32993"/>
    <cellStyle name="표준 5 2 2 2 29 2 4" xfId="13977"/>
    <cellStyle name="표준 5 2 2 2 29 2 4 2" xfId="39329"/>
    <cellStyle name="표준 5 2 2 2 29 2 5" xfId="26657"/>
    <cellStyle name="표준 5 2 2 2 29 3" xfId="4424"/>
    <cellStyle name="표준 5 2 2 2 29 3 2" xfId="10760"/>
    <cellStyle name="표준 5 2 2 2 29 3 2 2" xfId="23434"/>
    <cellStyle name="표준 5 2 2 2 29 3 2 2 2" xfId="48786"/>
    <cellStyle name="표준 5 2 2 2 29 3 2 3" xfId="36114"/>
    <cellStyle name="표준 5 2 2 2 29 3 3" xfId="17098"/>
    <cellStyle name="표준 5 2 2 2 29 3 3 2" xfId="42450"/>
    <cellStyle name="표준 5 2 2 2 29 3 4" xfId="29778"/>
    <cellStyle name="표준 5 2 2 2 29 4" xfId="7638"/>
    <cellStyle name="표준 5 2 2 2 29 4 2" xfId="20312"/>
    <cellStyle name="표준 5 2 2 2 29 4 2 2" xfId="45664"/>
    <cellStyle name="표준 5 2 2 2 29 4 3" xfId="32992"/>
    <cellStyle name="표준 5 2 2 2 29 5" xfId="13976"/>
    <cellStyle name="표준 5 2 2 2 29 5 2" xfId="39328"/>
    <cellStyle name="표준 5 2 2 2 29 6" xfId="26656"/>
    <cellStyle name="표준 5 2 2 2 3" xfId="74"/>
    <cellStyle name="표준 5 2 2 2 3 2" xfId="1303"/>
    <cellStyle name="표준 5 2 2 2 3 2 2" xfId="4425"/>
    <cellStyle name="표준 5 2 2 2 3 2 2 2" xfId="10761"/>
    <cellStyle name="표준 5 2 2 2 3 2 2 2 2" xfId="23435"/>
    <cellStyle name="표준 5 2 2 2 3 2 2 2 2 2" xfId="48787"/>
    <cellStyle name="표준 5 2 2 2 3 2 2 2 3" xfId="36115"/>
    <cellStyle name="표준 5 2 2 2 3 2 2 3" xfId="17099"/>
    <cellStyle name="표준 5 2 2 2 3 2 2 3 2" xfId="42451"/>
    <cellStyle name="표준 5 2 2 2 3 2 2 4" xfId="29779"/>
    <cellStyle name="표준 5 2 2 2 3 2 3" xfId="7640"/>
    <cellStyle name="표준 5 2 2 2 3 2 3 2" xfId="20314"/>
    <cellStyle name="표준 5 2 2 2 3 2 3 2 2" xfId="45666"/>
    <cellStyle name="표준 5 2 2 2 3 2 3 3" xfId="32994"/>
    <cellStyle name="표준 5 2 2 2 3 2 4" xfId="13978"/>
    <cellStyle name="표준 5 2 2 2 3 2 4 2" xfId="39330"/>
    <cellStyle name="표준 5 2 2 2 3 2 5" xfId="26658"/>
    <cellStyle name="표준 5 2 2 2 3 3" xfId="4426"/>
    <cellStyle name="표준 5 2 2 2 3 3 2" xfId="10762"/>
    <cellStyle name="표준 5 2 2 2 3 3 2 2" xfId="23436"/>
    <cellStyle name="표준 5 2 2 2 3 3 2 2 2" xfId="48788"/>
    <cellStyle name="표준 5 2 2 2 3 3 2 3" xfId="36116"/>
    <cellStyle name="표준 5 2 2 2 3 3 3" xfId="17100"/>
    <cellStyle name="표준 5 2 2 2 3 3 3 2" xfId="42452"/>
    <cellStyle name="표준 5 2 2 2 3 3 4" xfId="29780"/>
    <cellStyle name="표준 5 2 2 2 3 4" xfId="6412"/>
    <cellStyle name="표준 5 2 2 2 3 4 2" xfId="19086"/>
    <cellStyle name="표준 5 2 2 2 3 4 2 2" xfId="44438"/>
    <cellStyle name="표준 5 2 2 2 3 4 3" xfId="31766"/>
    <cellStyle name="표준 5 2 2 2 3 5" xfId="12750"/>
    <cellStyle name="표준 5 2 2 2 3 5 2" xfId="38102"/>
    <cellStyle name="표준 5 2 2 2 3 6" xfId="25430"/>
    <cellStyle name="표준 5 2 2 2 30" xfId="1304"/>
    <cellStyle name="표준 5 2 2 2 30 2" xfId="1305"/>
    <cellStyle name="표준 5 2 2 2 30 2 2" xfId="4427"/>
    <cellStyle name="표준 5 2 2 2 30 2 2 2" xfId="10763"/>
    <cellStyle name="표준 5 2 2 2 30 2 2 2 2" xfId="23437"/>
    <cellStyle name="표준 5 2 2 2 30 2 2 2 2 2" xfId="48789"/>
    <cellStyle name="표준 5 2 2 2 30 2 2 2 3" xfId="36117"/>
    <cellStyle name="표준 5 2 2 2 30 2 2 3" xfId="17101"/>
    <cellStyle name="표준 5 2 2 2 30 2 2 3 2" xfId="42453"/>
    <cellStyle name="표준 5 2 2 2 30 2 2 4" xfId="29781"/>
    <cellStyle name="표준 5 2 2 2 30 2 3" xfId="7642"/>
    <cellStyle name="표준 5 2 2 2 30 2 3 2" xfId="20316"/>
    <cellStyle name="표준 5 2 2 2 30 2 3 2 2" xfId="45668"/>
    <cellStyle name="표준 5 2 2 2 30 2 3 3" xfId="32996"/>
    <cellStyle name="표준 5 2 2 2 30 2 4" xfId="13980"/>
    <cellStyle name="표준 5 2 2 2 30 2 4 2" xfId="39332"/>
    <cellStyle name="표준 5 2 2 2 30 2 5" xfId="26660"/>
    <cellStyle name="표준 5 2 2 2 30 3" xfId="4428"/>
    <cellStyle name="표준 5 2 2 2 30 3 2" xfId="10764"/>
    <cellStyle name="표준 5 2 2 2 30 3 2 2" xfId="23438"/>
    <cellStyle name="표준 5 2 2 2 30 3 2 2 2" xfId="48790"/>
    <cellStyle name="표준 5 2 2 2 30 3 2 3" xfId="36118"/>
    <cellStyle name="표준 5 2 2 2 30 3 3" xfId="17102"/>
    <cellStyle name="표준 5 2 2 2 30 3 3 2" xfId="42454"/>
    <cellStyle name="표준 5 2 2 2 30 3 4" xfId="29782"/>
    <cellStyle name="표준 5 2 2 2 30 4" xfId="7641"/>
    <cellStyle name="표준 5 2 2 2 30 4 2" xfId="20315"/>
    <cellStyle name="표준 5 2 2 2 30 4 2 2" xfId="45667"/>
    <cellStyle name="표준 5 2 2 2 30 4 3" xfId="32995"/>
    <cellStyle name="표준 5 2 2 2 30 5" xfId="13979"/>
    <cellStyle name="표준 5 2 2 2 30 5 2" xfId="39331"/>
    <cellStyle name="표준 5 2 2 2 30 6" xfId="26659"/>
    <cellStyle name="표준 5 2 2 2 31" xfId="1306"/>
    <cellStyle name="표준 5 2 2 2 31 2" xfId="1307"/>
    <cellStyle name="표준 5 2 2 2 31 2 2" xfId="4429"/>
    <cellStyle name="표준 5 2 2 2 31 2 2 2" xfId="10765"/>
    <cellStyle name="표준 5 2 2 2 31 2 2 2 2" xfId="23439"/>
    <cellStyle name="표준 5 2 2 2 31 2 2 2 2 2" xfId="48791"/>
    <cellStyle name="표준 5 2 2 2 31 2 2 2 3" xfId="36119"/>
    <cellStyle name="표준 5 2 2 2 31 2 2 3" xfId="17103"/>
    <cellStyle name="표준 5 2 2 2 31 2 2 3 2" xfId="42455"/>
    <cellStyle name="표준 5 2 2 2 31 2 2 4" xfId="29783"/>
    <cellStyle name="표준 5 2 2 2 31 2 3" xfId="7644"/>
    <cellStyle name="표준 5 2 2 2 31 2 3 2" xfId="20318"/>
    <cellStyle name="표준 5 2 2 2 31 2 3 2 2" xfId="45670"/>
    <cellStyle name="표준 5 2 2 2 31 2 3 3" xfId="32998"/>
    <cellStyle name="표준 5 2 2 2 31 2 4" xfId="13982"/>
    <cellStyle name="표준 5 2 2 2 31 2 4 2" xfId="39334"/>
    <cellStyle name="표준 5 2 2 2 31 2 5" xfId="26662"/>
    <cellStyle name="표준 5 2 2 2 31 3" xfId="4430"/>
    <cellStyle name="표준 5 2 2 2 31 3 2" xfId="10766"/>
    <cellStyle name="표준 5 2 2 2 31 3 2 2" xfId="23440"/>
    <cellStyle name="표준 5 2 2 2 31 3 2 2 2" xfId="48792"/>
    <cellStyle name="표준 5 2 2 2 31 3 2 3" xfId="36120"/>
    <cellStyle name="표준 5 2 2 2 31 3 3" xfId="17104"/>
    <cellStyle name="표준 5 2 2 2 31 3 3 2" xfId="42456"/>
    <cellStyle name="표준 5 2 2 2 31 3 4" xfId="29784"/>
    <cellStyle name="표준 5 2 2 2 31 4" xfId="7643"/>
    <cellStyle name="표준 5 2 2 2 31 4 2" xfId="20317"/>
    <cellStyle name="표준 5 2 2 2 31 4 2 2" xfId="45669"/>
    <cellStyle name="표준 5 2 2 2 31 4 3" xfId="32997"/>
    <cellStyle name="표준 5 2 2 2 31 5" xfId="13981"/>
    <cellStyle name="표준 5 2 2 2 31 5 2" xfId="39333"/>
    <cellStyle name="표준 5 2 2 2 31 6" xfId="26661"/>
    <cellStyle name="표준 5 2 2 2 32" xfId="1308"/>
    <cellStyle name="표준 5 2 2 2 32 2" xfId="1309"/>
    <cellStyle name="표준 5 2 2 2 32 2 2" xfId="4431"/>
    <cellStyle name="표준 5 2 2 2 32 2 2 2" xfId="10767"/>
    <cellStyle name="표준 5 2 2 2 32 2 2 2 2" xfId="23441"/>
    <cellStyle name="표준 5 2 2 2 32 2 2 2 2 2" xfId="48793"/>
    <cellStyle name="표준 5 2 2 2 32 2 2 2 3" xfId="36121"/>
    <cellStyle name="표준 5 2 2 2 32 2 2 3" xfId="17105"/>
    <cellStyle name="표준 5 2 2 2 32 2 2 3 2" xfId="42457"/>
    <cellStyle name="표준 5 2 2 2 32 2 2 4" xfId="29785"/>
    <cellStyle name="표준 5 2 2 2 32 2 3" xfId="7646"/>
    <cellStyle name="표준 5 2 2 2 32 2 3 2" xfId="20320"/>
    <cellStyle name="표준 5 2 2 2 32 2 3 2 2" xfId="45672"/>
    <cellStyle name="표준 5 2 2 2 32 2 3 3" xfId="33000"/>
    <cellStyle name="표준 5 2 2 2 32 2 4" xfId="13984"/>
    <cellStyle name="표준 5 2 2 2 32 2 4 2" xfId="39336"/>
    <cellStyle name="표준 5 2 2 2 32 2 5" xfId="26664"/>
    <cellStyle name="표준 5 2 2 2 32 3" xfId="4432"/>
    <cellStyle name="표준 5 2 2 2 32 3 2" xfId="10768"/>
    <cellStyle name="표준 5 2 2 2 32 3 2 2" xfId="23442"/>
    <cellStyle name="표준 5 2 2 2 32 3 2 2 2" xfId="48794"/>
    <cellStyle name="표준 5 2 2 2 32 3 2 3" xfId="36122"/>
    <cellStyle name="표준 5 2 2 2 32 3 3" xfId="17106"/>
    <cellStyle name="표준 5 2 2 2 32 3 3 2" xfId="42458"/>
    <cellStyle name="표준 5 2 2 2 32 3 4" xfId="29786"/>
    <cellStyle name="표준 5 2 2 2 32 4" xfId="7645"/>
    <cellStyle name="표준 5 2 2 2 32 4 2" xfId="20319"/>
    <cellStyle name="표준 5 2 2 2 32 4 2 2" xfId="45671"/>
    <cellStyle name="표준 5 2 2 2 32 4 3" xfId="32999"/>
    <cellStyle name="표준 5 2 2 2 32 5" xfId="13983"/>
    <cellStyle name="표준 5 2 2 2 32 5 2" xfId="39335"/>
    <cellStyle name="표준 5 2 2 2 32 6" xfId="26663"/>
    <cellStyle name="표준 5 2 2 2 33" xfId="1310"/>
    <cellStyle name="표준 5 2 2 2 33 2" xfId="1311"/>
    <cellStyle name="표준 5 2 2 2 33 2 2" xfId="4433"/>
    <cellStyle name="표준 5 2 2 2 33 2 2 2" xfId="10769"/>
    <cellStyle name="표준 5 2 2 2 33 2 2 2 2" xfId="23443"/>
    <cellStyle name="표준 5 2 2 2 33 2 2 2 2 2" xfId="48795"/>
    <cellStyle name="표준 5 2 2 2 33 2 2 2 3" xfId="36123"/>
    <cellStyle name="표준 5 2 2 2 33 2 2 3" xfId="17107"/>
    <cellStyle name="표준 5 2 2 2 33 2 2 3 2" xfId="42459"/>
    <cellStyle name="표준 5 2 2 2 33 2 2 4" xfId="29787"/>
    <cellStyle name="표준 5 2 2 2 33 2 3" xfId="7648"/>
    <cellStyle name="표준 5 2 2 2 33 2 3 2" xfId="20322"/>
    <cellStyle name="표준 5 2 2 2 33 2 3 2 2" xfId="45674"/>
    <cellStyle name="표준 5 2 2 2 33 2 3 3" xfId="33002"/>
    <cellStyle name="표준 5 2 2 2 33 2 4" xfId="13986"/>
    <cellStyle name="표준 5 2 2 2 33 2 4 2" xfId="39338"/>
    <cellStyle name="표준 5 2 2 2 33 2 5" xfId="26666"/>
    <cellStyle name="표준 5 2 2 2 33 3" xfId="4434"/>
    <cellStyle name="표준 5 2 2 2 33 3 2" xfId="10770"/>
    <cellStyle name="표준 5 2 2 2 33 3 2 2" xfId="23444"/>
    <cellStyle name="표준 5 2 2 2 33 3 2 2 2" xfId="48796"/>
    <cellStyle name="표준 5 2 2 2 33 3 2 3" xfId="36124"/>
    <cellStyle name="표준 5 2 2 2 33 3 3" xfId="17108"/>
    <cellStyle name="표준 5 2 2 2 33 3 3 2" xfId="42460"/>
    <cellStyle name="표준 5 2 2 2 33 3 4" xfId="29788"/>
    <cellStyle name="표준 5 2 2 2 33 4" xfId="7647"/>
    <cellStyle name="표준 5 2 2 2 33 4 2" xfId="20321"/>
    <cellStyle name="표준 5 2 2 2 33 4 2 2" xfId="45673"/>
    <cellStyle name="표준 5 2 2 2 33 4 3" xfId="33001"/>
    <cellStyle name="표준 5 2 2 2 33 5" xfId="13985"/>
    <cellStyle name="표준 5 2 2 2 33 5 2" xfId="39337"/>
    <cellStyle name="표준 5 2 2 2 33 6" xfId="26665"/>
    <cellStyle name="표준 5 2 2 2 34" xfId="1312"/>
    <cellStyle name="표준 5 2 2 2 34 2" xfId="1313"/>
    <cellStyle name="표준 5 2 2 2 34 2 2" xfId="4435"/>
    <cellStyle name="표준 5 2 2 2 34 2 2 2" xfId="10771"/>
    <cellStyle name="표준 5 2 2 2 34 2 2 2 2" xfId="23445"/>
    <cellStyle name="표준 5 2 2 2 34 2 2 2 2 2" xfId="48797"/>
    <cellStyle name="표준 5 2 2 2 34 2 2 2 3" xfId="36125"/>
    <cellStyle name="표준 5 2 2 2 34 2 2 3" xfId="17109"/>
    <cellStyle name="표준 5 2 2 2 34 2 2 3 2" xfId="42461"/>
    <cellStyle name="표준 5 2 2 2 34 2 2 4" xfId="29789"/>
    <cellStyle name="표준 5 2 2 2 34 2 3" xfId="7650"/>
    <cellStyle name="표준 5 2 2 2 34 2 3 2" xfId="20324"/>
    <cellStyle name="표준 5 2 2 2 34 2 3 2 2" xfId="45676"/>
    <cellStyle name="표준 5 2 2 2 34 2 3 3" xfId="33004"/>
    <cellStyle name="표준 5 2 2 2 34 2 4" xfId="13988"/>
    <cellStyle name="표준 5 2 2 2 34 2 4 2" xfId="39340"/>
    <cellStyle name="표준 5 2 2 2 34 2 5" xfId="26668"/>
    <cellStyle name="표준 5 2 2 2 34 3" xfId="4436"/>
    <cellStyle name="표준 5 2 2 2 34 3 2" xfId="10772"/>
    <cellStyle name="표준 5 2 2 2 34 3 2 2" xfId="23446"/>
    <cellStyle name="표준 5 2 2 2 34 3 2 2 2" xfId="48798"/>
    <cellStyle name="표준 5 2 2 2 34 3 2 3" xfId="36126"/>
    <cellStyle name="표준 5 2 2 2 34 3 3" xfId="17110"/>
    <cellStyle name="표준 5 2 2 2 34 3 3 2" xfId="42462"/>
    <cellStyle name="표준 5 2 2 2 34 3 4" xfId="29790"/>
    <cellStyle name="표준 5 2 2 2 34 4" xfId="7649"/>
    <cellStyle name="표준 5 2 2 2 34 4 2" xfId="20323"/>
    <cellStyle name="표준 5 2 2 2 34 4 2 2" xfId="45675"/>
    <cellStyle name="표준 5 2 2 2 34 4 3" xfId="33003"/>
    <cellStyle name="표준 5 2 2 2 34 5" xfId="13987"/>
    <cellStyle name="표준 5 2 2 2 34 5 2" xfId="39339"/>
    <cellStyle name="표준 5 2 2 2 34 6" xfId="26667"/>
    <cellStyle name="표준 5 2 2 2 35" xfId="1314"/>
    <cellStyle name="표준 5 2 2 2 35 2" xfId="4437"/>
    <cellStyle name="표준 5 2 2 2 35 2 2" xfId="10773"/>
    <cellStyle name="표준 5 2 2 2 35 2 2 2" xfId="23447"/>
    <cellStyle name="표준 5 2 2 2 35 2 2 2 2" xfId="48799"/>
    <cellStyle name="표준 5 2 2 2 35 2 2 3" xfId="36127"/>
    <cellStyle name="표준 5 2 2 2 35 2 3" xfId="17111"/>
    <cellStyle name="표준 5 2 2 2 35 2 3 2" xfId="42463"/>
    <cellStyle name="표준 5 2 2 2 35 2 4" xfId="29791"/>
    <cellStyle name="표준 5 2 2 2 35 3" xfId="7651"/>
    <cellStyle name="표준 5 2 2 2 35 3 2" xfId="20325"/>
    <cellStyle name="표준 5 2 2 2 35 3 2 2" xfId="45677"/>
    <cellStyle name="표준 5 2 2 2 35 3 3" xfId="33005"/>
    <cellStyle name="표준 5 2 2 2 35 4" xfId="13989"/>
    <cellStyle name="표준 5 2 2 2 35 4 2" xfId="39341"/>
    <cellStyle name="표준 5 2 2 2 35 5" xfId="26669"/>
    <cellStyle name="표준 5 2 2 2 36" xfId="4438"/>
    <cellStyle name="표준 5 2 2 2 36 2" xfId="10774"/>
    <cellStyle name="표준 5 2 2 2 36 2 2" xfId="23448"/>
    <cellStyle name="표준 5 2 2 2 36 2 2 2" xfId="48800"/>
    <cellStyle name="표준 5 2 2 2 36 2 3" xfId="36128"/>
    <cellStyle name="표준 5 2 2 2 36 3" xfId="17112"/>
    <cellStyle name="표준 5 2 2 2 36 3 2" xfId="42464"/>
    <cellStyle name="표준 5 2 2 2 36 4" xfId="29792"/>
    <cellStyle name="표준 5 2 2 2 37" xfId="6393"/>
    <cellStyle name="표준 5 2 2 2 37 2" xfId="19067"/>
    <cellStyle name="표준 5 2 2 2 37 2 2" xfId="44419"/>
    <cellStyle name="표준 5 2 2 2 37 3" xfId="31747"/>
    <cellStyle name="표준 5 2 2 2 38" xfId="12731"/>
    <cellStyle name="표준 5 2 2 2 38 2" xfId="38083"/>
    <cellStyle name="표준 5 2 2 2 39" xfId="25411"/>
    <cellStyle name="표준 5 2 2 2 4" xfId="1315"/>
    <cellStyle name="표준 5 2 2 2 4 2" xfId="1316"/>
    <cellStyle name="표준 5 2 2 2 4 2 2" xfId="4439"/>
    <cellStyle name="표준 5 2 2 2 4 2 2 2" xfId="10775"/>
    <cellStyle name="표준 5 2 2 2 4 2 2 2 2" xfId="23449"/>
    <cellStyle name="표준 5 2 2 2 4 2 2 2 2 2" xfId="48801"/>
    <cellStyle name="표준 5 2 2 2 4 2 2 2 3" xfId="36129"/>
    <cellStyle name="표준 5 2 2 2 4 2 2 3" xfId="17113"/>
    <cellStyle name="표준 5 2 2 2 4 2 2 3 2" xfId="42465"/>
    <cellStyle name="표준 5 2 2 2 4 2 2 4" xfId="29793"/>
    <cellStyle name="표준 5 2 2 2 4 2 3" xfId="7653"/>
    <cellStyle name="표준 5 2 2 2 4 2 3 2" xfId="20327"/>
    <cellStyle name="표준 5 2 2 2 4 2 3 2 2" xfId="45679"/>
    <cellStyle name="표준 5 2 2 2 4 2 3 3" xfId="33007"/>
    <cellStyle name="표준 5 2 2 2 4 2 4" xfId="13991"/>
    <cellStyle name="표준 5 2 2 2 4 2 4 2" xfId="39343"/>
    <cellStyle name="표준 5 2 2 2 4 2 5" xfId="26671"/>
    <cellStyle name="표준 5 2 2 2 4 3" xfId="4440"/>
    <cellStyle name="표준 5 2 2 2 4 3 2" xfId="10776"/>
    <cellStyle name="표준 5 2 2 2 4 3 2 2" xfId="23450"/>
    <cellStyle name="표준 5 2 2 2 4 3 2 2 2" xfId="48802"/>
    <cellStyle name="표준 5 2 2 2 4 3 2 3" xfId="36130"/>
    <cellStyle name="표준 5 2 2 2 4 3 3" xfId="17114"/>
    <cellStyle name="표준 5 2 2 2 4 3 3 2" xfId="42466"/>
    <cellStyle name="표준 5 2 2 2 4 3 4" xfId="29794"/>
    <cellStyle name="표준 5 2 2 2 4 4" xfId="7652"/>
    <cellStyle name="표준 5 2 2 2 4 4 2" xfId="20326"/>
    <cellStyle name="표준 5 2 2 2 4 4 2 2" xfId="45678"/>
    <cellStyle name="표준 5 2 2 2 4 4 3" xfId="33006"/>
    <cellStyle name="표준 5 2 2 2 4 5" xfId="13990"/>
    <cellStyle name="표준 5 2 2 2 4 5 2" xfId="39342"/>
    <cellStyle name="표준 5 2 2 2 4 6" xfId="26670"/>
    <cellStyle name="표준 5 2 2 2 5" xfId="1317"/>
    <cellStyle name="표준 5 2 2 2 5 2" xfId="1318"/>
    <cellStyle name="표준 5 2 2 2 5 2 2" xfId="4441"/>
    <cellStyle name="표준 5 2 2 2 5 2 2 2" xfId="10777"/>
    <cellStyle name="표준 5 2 2 2 5 2 2 2 2" xfId="23451"/>
    <cellStyle name="표준 5 2 2 2 5 2 2 2 2 2" xfId="48803"/>
    <cellStyle name="표준 5 2 2 2 5 2 2 2 3" xfId="36131"/>
    <cellStyle name="표준 5 2 2 2 5 2 2 3" xfId="17115"/>
    <cellStyle name="표준 5 2 2 2 5 2 2 3 2" xfId="42467"/>
    <cellStyle name="표준 5 2 2 2 5 2 2 4" xfId="29795"/>
    <cellStyle name="표준 5 2 2 2 5 2 3" xfId="7655"/>
    <cellStyle name="표준 5 2 2 2 5 2 3 2" xfId="20329"/>
    <cellStyle name="표준 5 2 2 2 5 2 3 2 2" xfId="45681"/>
    <cellStyle name="표준 5 2 2 2 5 2 3 3" xfId="33009"/>
    <cellStyle name="표준 5 2 2 2 5 2 4" xfId="13993"/>
    <cellStyle name="표준 5 2 2 2 5 2 4 2" xfId="39345"/>
    <cellStyle name="표준 5 2 2 2 5 2 5" xfId="26673"/>
    <cellStyle name="표준 5 2 2 2 5 3" xfId="4442"/>
    <cellStyle name="표준 5 2 2 2 5 3 2" xfId="10778"/>
    <cellStyle name="표준 5 2 2 2 5 3 2 2" xfId="23452"/>
    <cellStyle name="표준 5 2 2 2 5 3 2 2 2" xfId="48804"/>
    <cellStyle name="표준 5 2 2 2 5 3 2 3" xfId="36132"/>
    <cellStyle name="표준 5 2 2 2 5 3 3" xfId="17116"/>
    <cellStyle name="표준 5 2 2 2 5 3 3 2" xfId="42468"/>
    <cellStyle name="표준 5 2 2 2 5 3 4" xfId="29796"/>
    <cellStyle name="표준 5 2 2 2 5 4" xfId="7654"/>
    <cellStyle name="표준 5 2 2 2 5 4 2" xfId="20328"/>
    <cellStyle name="표준 5 2 2 2 5 4 2 2" xfId="45680"/>
    <cellStyle name="표준 5 2 2 2 5 4 3" xfId="33008"/>
    <cellStyle name="표준 5 2 2 2 5 5" xfId="13992"/>
    <cellStyle name="표준 5 2 2 2 5 5 2" xfId="39344"/>
    <cellStyle name="표준 5 2 2 2 5 6" xfId="26672"/>
    <cellStyle name="표준 5 2 2 2 6" xfId="1319"/>
    <cellStyle name="표준 5 2 2 2 6 2" xfId="1320"/>
    <cellStyle name="표준 5 2 2 2 6 2 2" xfId="4443"/>
    <cellStyle name="표준 5 2 2 2 6 2 2 2" xfId="10779"/>
    <cellStyle name="표준 5 2 2 2 6 2 2 2 2" xfId="23453"/>
    <cellStyle name="표준 5 2 2 2 6 2 2 2 2 2" xfId="48805"/>
    <cellStyle name="표준 5 2 2 2 6 2 2 2 3" xfId="36133"/>
    <cellStyle name="표준 5 2 2 2 6 2 2 3" xfId="17117"/>
    <cellStyle name="표준 5 2 2 2 6 2 2 3 2" xfId="42469"/>
    <cellStyle name="표준 5 2 2 2 6 2 2 4" xfId="29797"/>
    <cellStyle name="표준 5 2 2 2 6 2 3" xfId="7657"/>
    <cellStyle name="표준 5 2 2 2 6 2 3 2" xfId="20331"/>
    <cellStyle name="표준 5 2 2 2 6 2 3 2 2" xfId="45683"/>
    <cellStyle name="표준 5 2 2 2 6 2 3 3" xfId="33011"/>
    <cellStyle name="표준 5 2 2 2 6 2 4" xfId="13995"/>
    <cellStyle name="표준 5 2 2 2 6 2 4 2" xfId="39347"/>
    <cellStyle name="표준 5 2 2 2 6 2 5" xfId="26675"/>
    <cellStyle name="표준 5 2 2 2 6 3" xfId="4444"/>
    <cellStyle name="표준 5 2 2 2 6 3 2" xfId="10780"/>
    <cellStyle name="표준 5 2 2 2 6 3 2 2" xfId="23454"/>
    <cellStyle name="표준 5 2 2 2 6 3 2 2 2" xfId="48806"/>
    <cellStyle name="표준 5 2 2 2 6 3 2 3" xfId="36134"/>
    <cellStyle name="표준 5 2 2 2 6 3 3" xfId="17118"/>
    <cellStyle name="표준 5 2 2 2 6 3 3 2" xfId="42470"/>
    <cellStyle name="표준 5 2 2 2 6 3 4" xfId="29798"/>
    <cellStyle name="표준 5 2 2 2 6 4" xfId="7656"/>
    <cellStyle name="표준 5 2 2 2 6 4 2" xfId="20330"/>
    <cellStyle name="표준 5 2 2 2 6 4 2 2" xfId="45682"/>
    <cellStyle name="표준 5 2 2 2 6 4 3" xfId="33010"/>
    <cellStyle name="표준 5 2 2 2 6 5" xfId="13994"/>
    <cellStyle name="표준 5 2 2 2 6 5 2" xfId="39346"/>
    <cellStyle name="표준 5 2 2 2 6 6" xfId="26674"/>
    <cellStyle name="표준 5 2 2 2 7" xfId="1321"/>
    <cellStyle name="표준 5 2 2 2 7 2" xfId="1322"/>
    <cellStyle name="표준 5 2 2 2 7 2 2" xfId="4445"/>
    <cellStyle name="표준 5 2 2 2 7 2 2 2" xfId="10781"/>
    <cellStyle name="표준 5 2 2 2 7 2 2 2 2" xfId="23455"/>
    <cellStyle name="표준 5 2 2 2 7 2 2 2 2 2" xfId="48807"/>
    <cellStyle name="표준 5 2 2 2 7 2 2 2 3" xfId="36135"/>
    <cellStyle name="표준 5 2 2 2 7 2 2 3" xfId="17119"/>
    <cellStyle name="표준 5 2 2 2 7 2 2 3 2" xfId="42471"/>
    <cellStyle name="표준 5 2 2 2 7 2 2 4" xfId="29799"/>
    <cellStyle name="표준 5 2 2 2 7 2 3" xfId="7659"/>
    <cellStyle name="표준 5 2 2 2 7 2 3 2" xfId="20333"/>
    <cellStyle name="표준 5 2 2 2 7 2 3 2 2" xfId="45685"/>
    <cellStyle name="표준 5 2 2 2 7 2 3 3" xfId="33013"/>
    <cellStyle name="표준 5 2 2 2 7 2 4" xfId="13997"/>
    <cellStyle name="표준 5 2 2 2 7 2 4 2" xfId="39349"/>
    <cellStyle name="표준 5 2 2 2 7 2 5" xfId="26677"/>
    <cellStyle name="표준 5 2 2 2 7 3" xfId="4446"/>
    <cellStyle name="표준 5 2 2 2 7 3 2" xfId="10782"/>
    <cellStyle name="표준 5 2 2 2 7 3 2 2" xfId="23456"/>
    <cellStyle name="표준 5 2 2 2 7 3 2 2 2" xfId="48808"/>
    <cellStyle name="표준 5 2 2 2 7 3 2 3" xfId="36136"/>
    <cellStyle name="표준 5 2 2 2 7 3 3" xfId="17120"/>
    <cellStyle name="표준 5 2 2 2 7 3 3 2" xfId="42472"/>
    <cellStyle name="표준 5 2 2 2 7 3 4" xfId="29800"/>
    <cellStyle name="표준 5 2 2 2 7 4" xfId="7658"/>
    <cellStyle name="표준 5 2 2 2 7 4 2" xfId="20332"/>
    <cellStyle name="표준 5 2 2 2 7 4 2 2" xfId="45684"/>
    <cellStyle name="표준 5 2 2 2 7 4 3" xfId="33012"/>
    <cellStyle name="표준 5 2 2 2 7 5" xfId="13996"/>
    <cellStyle name="표준 5 2 2 2 7 5 2" xfId="39348"/>
    <cellStyle name="표준 5 2 2 2 7 6" xfId="26676"/>
    <cellStyle name="표준 5 2 2 2 8" xfId="1323"/>
    <cellStyle name="표준 5 2 2 2 8 2" xfId="1324"/>
    <cellStyle name="표준 5 2 2 2 8 2 2" xfId="4447"/>
    <cellStyle name="표준 5 2 2 2 8 2 2 2" xfId="10783"/>
    <cellStyle name="표준 5 2 2 2 8 2 2 2 2" xfId="23457"/>
    <cellStyle name="표준 5 2 2 2 8 2 2 2 2 2" xfId="48809"/>
    <cellStyle name="표준 5 2 2 2 8 2 2 2 3" xfId="36137"/>
    <cellStyle name="표준 5 2 2 2 8 2 2 3" xfId="17121"/>
    <cellStyle name="표준 5 2 2 2 8 2 2 3 2" xfId="42473"/>
    <cellStyle name="표준 5 2 2 2 8 2 2 4" xfId="29801"/>
    <cellStyle name="표준 5 2 2 2 8 2 3" xfId="7661"/>
    <cellStyle name="표준 5 2 2 2 8 2 3 2" xfId="20335"/>
    <cellStyle name="표준 5 2 2 2 8 2 3 2 2" xfId="45687"/>
    <cellStyle name="표준 5 2 2 2 8 2 3 3" xfId="33015"/>
    <cellStyle name="표준 5 2 2 2 8 2 4" xfId="13999"/>
    <cellStyle name="표준 5 2 2 2 8 2 4 2" xfId="39351"/>
    <cellStyle name="표준 5 2 2 2 8 2 5" xfId="26679"/>
    <cellStyle name="표준 5 2 2 2 8 3" xfId="4448"/>
    <cellStyle name="표준 5 2 2 2 8 3 2" xfId="10784"/>
    <cellStyle name="표준 5 2 2 2 8 3 2 2" xfId="23458"/>
    <cellStyle name="표준 5 2 2 2 8 3 2 2 2" xfId="48810"/>
    <cellStyle name="표준 5 2 2 2 8 3 2 3" xfId="36138"/>
    <cellStyle name="표준 5 2 2 2 8 3 3" xfId="17122"/>
    <cellStyle name="표준 5 2 2 2 8 3 3 2" xfId="42474"/>
    <cellStyle name="표준 5 2 2 2 8 3 4" xfId="29802"/>
    <cellStyle name="표준 5 2 2 2 8 4" xfId="7660"/>
    <cellStyle name="표준 5 2 2 2 8 4 2" xfId="20334"/>
    <cellStyle name="표준 5 2 2 2 8 4 2 2" xfId="45686"/>
    <cellStyle name="표준 5 2 2 2 8 4 3" xfId="33014"/>
    <cellStyle name="표준 5 2 2 2 8 5" xfId="13998"/>
    <cellStyle name="표준 5 2 2 2 8 5 2" xfId="39350"/>
    <cellStyle name="표준 5 2 2 2 8 6" xfId="26678"/>
    <cellStyle name="표준 5 2 2 2 9" xfId="1325"/>
    <cellStyle name="표준 5 2 2 2 9 2" xfId="1326"/>
    <cellStyle name="표준 5 2 2 2 9 2 2" xfId="4449"/>
    <cellStyle name="표준 5 2 2 2 9 2 2 2" xfId="10785"/>
    <cellStyle name="표준 5 2 2 2 9 2 2 2 2" xfId="23459"/>
    <cellStyle name="표준 5 2 2 2 9 2 2 2 2 2" xfId="48811"/>
    <cellStyle name="표준 5 2 2 2 9 2 2 2 3" xfId="36139"/>
    <cellStyle name="표준 5 2 2 2 9 2 2 3" xfId="17123"/>
    <cellStyle name="표준 5 2 2 2 9 2 2 3 2" xfId="42475"/>
    <cellStyle name="표준 5 2 2 2 9 2 2 4" xfId="29803"/>
    <cellStyle name="표준 5 2 2 2 9 2 3" xfId="7663"/>
    <cellStyle name="표준 5 2 2 2 9 2 3 2" xfId="20337"/>
    <cellStyle name="표준 5 2 2 2 9 2 3 2 2" xfId="45689"/>
    <cellStyle name="표준 5 2 2 2 9 2 3 3" xfId="33017"/>
    <cellStyle name="표준 5 2 2 2 9 2 4" xfId="14001"/>
    <cellStyle name="표준 5 2 2 2 9 2 4 2" xfId="39353"/>
    <cellStyle name="표준 5 2 2 2 9 2 5" xfId="26681"/>
    <cellStyle name="표준 5 2 2 2 9 3" xfId="4450"/>
    <cellStyle name="표준 5 2 2 2 9 3 2" xfId="10786"/>
    <cellStyle name="표준 5 2 2 2 9 3 2 2" xfId="23460"/>
    <cellStyle name="표준 5 2 2 2 9 3 2 2 2" xfId="48812"/>
    <cellStyle name="표준 5 2 2 2 9 3 2 3" xfId="36140"/>
    <cellStyle name="표준 5 2 2 2 9 3 3" xfId="17124"/>
    <cellStyle name="표준 5 2 2 2 9 3 3 2" xfId="42476"/>
    <cellStyle name="표준 5 2 2 2 9 3 4" xfId="29804"/>
    <cellStyle name="표준 5 2 2 2 9 4" xfId="7662"/>
    <cellStyle name="표준 5 2 2 2 9 4 2" xfId="20336"/>
    <cellStyle name="표준 5 2 2 2 9 4 2 2" xfId="45688"/>
    <cellStyle name="표준 5 2 2 2 9 4 3" xfId="33016"/>
    <cellStyle name="표준 5 2 2 2 9 5" xfId="14000"/>
    <cellStyle name="표준 5 2 2 2 9 5 2" xfId="39352"/>
    <cellStyle name="표준 5 2 2 2 9 6" xfId="26680"/>
    <cellStyle name="표준 5 2 2 20" xfId="1327"/>
    <cellStyle name="표준 5 2 2 20 2" xfId="1328"/>
    <cellStyle name="표준 5 2 2 20 2 2" xfId="4451"/>
    <cellStyle name="표준 5 2 2 20 2 2 2" xfId="10787"/>
    <cellStyle name="표준 5 2 2 20 2 2 2 2" xfId="23461"/>
    <cellStyle name="표준 5 2 2 20 2 2 2 2 2" xfId="48813"/>
    <cellStyle name="표준 5 2 2 20 2 2 2 3" xfId="36141"/>
    <cellStyle name="표준 5 2 2 20 2 2 3" xfId="17125"/>
    <cellStyle name="표준 5 2 2 20 2 2 3 2" xfId="42477"/>
    <cellStyle name="표준 5 2 2 20 2 2 4" xfId="29805"/>
    <cellStyle name="표준 5 2 2 20 2 3" xfId="7665"/>
    <cellStyle name="표준 5 2 2 20 2 3 2" xfId="20339"/>
    <cellStyle name="표준 5 2 2 20 2 3 2 2" xfId="45691"/>
    <cellStyle name="표준 5 2 2 20 2 3 3" xfId="33019"/>
    <cellStyle name="표준 5 2 2 20 2 4" xfId="14003"/>
    <cellStyle name="표준 5 2 2 20 2 4 2" xfId="39355"/>
    <cellStyle name="표준 5 2 2 20 2 5" xfId="26683"/>
    <cellStyle name="표준 5 2 2 20 3" xfId="4452"/>
    <cellStyle name="표준 5 2 2 20 3 2" xfId="10788"/>
    <cellStyle name="표준 5 2 2 20 3 2 2" xfId="23462"/>
    <cellStyle name="표준 5 2 2 20 3 2 2 2" xfId="48814"/>
    <cellStyle name="표준 5 2 2 20 3 2 3" xfId="36142"/>
    <cellStyle name="표준 5 2 2 20 3 3" xfId="17126"/>
    <cellStyle name="표준 5 2 2 20 3 3 2" xfId="42478"/>
    <cellStyle name="표준 5 2 2 20 3 4" xfId="29806"/>
    <cellStyle name="표준 5 2 2 20 4" xfId="7664"/>
    <cellStyle name="표준 5 2 2 20 4 2" xfId="20338"/>
    <cellStyle name="표준 5 2 2 20 4 2 2" xfId="45690"/>
    <cellStyle name="표준 5 2 2 20 4 3" xfId="33018"/>
    <cellStyle name="표준 5 2 2 20 5" xfId="14002"/>
    <cellStyle name="표준 5 2 2 20 5 2" xfId="39354"/>
    <cellStyle name="표준 5 2 2 20 6" xfId="26682"/>
    <cellStyle name="표준 5 2 2 21" xfId="1329"/>
    <cellStyle name="표준 5 2 2 21 2" xfId="1330"/>
    <cellStyle name="표준 5 2 2 21 2 2" xfId="4453"/>
    <cellStyle name="표준 5 2 2 21 2 2 2" xfId="10789"/>
    <cellStyle name="표준 5 2 2 21 2 2 2 2" xfId="23463"/>
    <cellStyle name="표준 5 2 2 21 2 2 2 2 2" xfId="48815"/>
    <cellStyle name="표준 5 2 2 21 2 2 2 3" xfId="36143"/>
    <cellStyle name="표준 5 2 2 21 2 2 3" xfId="17127"/>
    <cellStyle name="표준 5 2 2 21 2 2 3 2" xfId="42479"/>
    <cellStyle name="표준 5 2 2 21 2 2 4" xfId="29807"/>
    <cellStyle name="표준 5 2 2 21 2 3" xfId="7667"/>
    <cellStyle name="표준 5 2 2 21 2 3 2" xfId="20341"/>
    <cellStyle name="표준 5 2 2 21 2 3 2 2" xfId="45693"/>
    <cellStyle name="표준 5 2 2 21 2 3 3" xfId="33021"/>
    <cellStyle name="표준 5 2 2 21 2 4" xfId="14005"/>
    <cellStyle name="표준 5 2 2 21 2 4 2" xfId="39357"/>
    <cellStyle name="표준 5 2 2 21 2 5" xfId="26685"/>
    <cellStyle name="표준 5 2 2 21 3" xfId="4454"/>
    <cellStyle name="표준 5 2 2 21 3 2" xfId="10790"/>
    <cellStyle name="표준 5 2 2 21 3 2 2" xfId="23464"/>
    <cellStyle name="표준 5 2 2 21 3 2 2 2" xfId="48816"/>
    <cellStyle name="표준 5 2 2 21 3 2 3" xfId="36144"/>
    <cellStyle name="표준 5 2 2 21 3 3" xfId="17128"/>
    <cellStyle name="표준 5 2 2 21 3 3 2" xfId="42480"/>
    <cellStyle name="표준 5 2 2 21 3 4" xfId="29808"/>
    <cellStyle name="표준 5 2 2 21 4" xfId="7666"/>
    <cellStyle name="표준 5 2 2 21 4 2" xfId="20340"/>
    <cellStyle name="표준 5 2 2 21 4 2 2" xfId="45692"/>
    <cellStyle name="표준 5 2 2 21 4 3" xfId="33020"/>
    <cellStyle name="표준 5 2 2 21 5" xfId="14004"/>
    <cellStyle name="표준 5 2 2 21 5 2" xfId="39356"/>
    <cellStyle name="표준 5 2 2 21 6" xfId="26684"/>
    <cellStyle name="표준 5 2 2 22" xfId="1331"/>
    <cellStyle name="표준 5 2 2 22 2" xfId="1332"/>
    <cellStyle name="표준 5 2 2 22 2 2" xfId="4455"/>
    <cellStyle name="표준 5 2 2 22 2 2 2" xfId="10791"/>
    <cellStyle name="표준 5 2 2 22 2 2 2 2" xfId="23465"/>
    <cellStyle name="표준 5 2 2 22 2 2 2 2 2" xfId="48817"/>
    <cellStyle name="표준 5 2 2 22 2 2 2 3" xfId="36145"/>
    <cellStyle name="표준 5 2 2 22 2 2 3" xfId="17129"/>
    <cellStyle name="표준 5 2 2 22 2 2 3 2" xfId="42481"/>
    <cellStyle name="표준 5 2 2 22 2 2 4" xfId="29809"/>
    <cellStyle name="표준 5 2 2 22 2 3" xfId="7669"/>
    <cellStyle name="표준 5 2 2 22 2 3 2" xfId="20343"/>
    <cellStyle name="표준 5 2 2 22 2 3 2 2" xfId="45695"/>
    <cellStyle name="표준 5 2 2 22 2 3 3" xfId="33023"/>
    <cellStyle name="표준 5 2 2 22 2 4" xfId="14007"/>
    <cellStyle name="표준 5 2 2 22 2 4 2" xfId="39359"/>
    <cellStyle name="표준 5 2 2 22 2 5" xfId="26687"/>
    <cellStyle name="표준 5 2 2 22 3" xfId="4456"/>
    <cellStyle name="표준 5 2 2 22 3 2" xfId="10792"/>
    <cellStyle name="표준 5 2 2 22 3 2 2" xfId="23466"/>
    <cellStyle name="표준 5 2 2 22 3 2 2 2" xfId="48818"/>
    <cellStyle name="표준 5 2 2 22 3 2 3" xfId="36146"/>
    <cellStyle name="표준 5 2 2 22 3 3" xfId="17130"/>
    <cellStyle name="표준 5 2 2 22 3 3 2" xfId="42482"/>
    <cellStyle name="표준 5 2 2 22 3 4" xfId="29810"/>
    <cellStyle name="표준 5 2 2 22 4" xfId="7668"/>
    <cellStyle name="표준 5 2 2 22 4 2" xfId="20342"/>
    <cellStyle name="표준 5 2 2 22 4 2 2" xfId="45694"/>
    <cellStyle name="표준 5 2 2 22 4 3" xfId="33022"/>
    <cellStyle name="표준 5 2 2 22 5" xfId="14006"/>
    <cellStyle name="표준 5 2 2 22 5 2" xfId="39358"/>
    <cellStyle name="표준 5 2 2 22 6" xfId="26686"/>
    <cellStyle name="표준 5 2 2 23" xfId="1333"/>
    <cellStyle name="표준 5 2 2 23 2" xfId="1334"/>
    <cellStyle name="표준 5 2 2 23 2 2" xfId="4457"/>
    <cellStyle name="표준 5 2 2 23 2 2 2" xfId="10793"/>
    <cellStyle name="표준 5 2 2 23 2 2 2 2" xfId="23467"/>
    <cellStyle name="표준 5 2 2 23 2 2 2 2 2" xfId="48819"/>
    <cellStyle name="표준 5 2 2 23 2 2 2 3" xfId="36147"/>
    <cellStyle name="표준 5 2 2 23 2 2 3" xfId="17131"/>
    <cellStyle name="표준 5 2 2 23 2 2 3 2" xfId="42483"/>
    <cellStyle name="표준 5 2 2 23 2 2 4" xfId="29811"/>
    <cellStyle name="표준 5 2 2 23 2 3" xfId="7671"/>
    <cellStyle name="표준 5 2 2 23 2 3 2" xfId="20345"/>
    <cellStyle name="표준 5 2 2 23 2 3 2 2" xfId="45697"/>
    <cellStyle name="표준 5 2 2 23 2 3 3" xfId="33025"/>
    <cellStyle name="표준 5 2 2 23 2 4" xfId="14009"/>
    <cellStyle name="표준 5 2 2 23 2 4 2" xfId="39361"/>
    <cellStyle name="표준 5 2 2 23 2 5" xfId="26689"/>
    <cellStyle name="표준 5 2 2 23 3" xfId="4458"/>
    <cellStyle name="표준 5 2 2 23 3 2" xfId="10794"/>
    <cellStyle name="표준 5 2 2 23 3 2 2" xfId="23468"/>
    <cellStyle name="표준 5 2 2 23 3 2 2 2" xfId="48820"/>
    <cellStyle name="표준 5 2 2 23 3 2 3" xfId="36148"/>
    <cellStyle name="표준 5 2 2 23 3 3" xfId="17132"/>
    <cellStyle name="표준 5 2 2 23 3 3 2" xfId="42484"/>
    <cellStyle name="표준 5 2 2 23 3 4" xfId="29812"/>
    <cellStyle name="표준 5 2 2 23 4" xfId="7670"/>
    <cellStyle name="표준 5 2 2 23 4 2" xfId="20344"/>
    <cellStyle name="표준 5 2 2 23 4 2 2" xfId="45696"/>
    <cellStyle name="표준 5 2 2 23 4 3" xfId="33024"/>
    <cellStyle name="표준 5 2 2 23 5" xfId="14008"/>
    <cellStyle name="표준 5 2 2 23 5 2" xfId="39360"/>
    <cellStyle name="표준 5 2 2 23 6" xfId="26688"/>
    <cellStyle name="표준 5 2 2 24" xfId="1335"/>
    <cellStyle name="표준 5 2 2 24 2" xfId="1336"/>
    <cellStyle name="표준 5 2 2 24 2 2" xfId="4459"/>
    <cellStyle name="표준 5 2 2 24 2 2 2" xfId="10795"/>
    <cellStyle name="표준 5 2 2 24 2 2 2 2" xfId="23469"/>
    <cellStyle name="표준 5 2 2 24 2 2 2 2 2" xfId="48821"/>
    <cellStyle name="표준 5 2 2 24 2 2 2 3" xfId="36149"/>
    <cellStyle name="표준 5 2 2 24 2 2 3" xfId="17133"/>
    <cellStyle name="표준 5 2 2 24 2 2 3 2" xfId="42485"/>
    <cellStyle name="표준 5 2 2 24 2 2 4" xfId="29813"/>
    <cellStyle name="표준 5 2 2 24 2 3" xfId="7673"/>
    <cellStyle name="표준 5 2 2 24 2 3 2" xfId="20347"/>
    <cellStyle name="표준 5 2 2 24 2 3 2 2" xfId="45699"/>
    <cellStyle name="표준 5 2 2 24 2 3 3" xfId="33027"/>
    <cellStyle name="표준 5 2 2 24 2 4" xfId="14011"/>
    <cellStyle name="표준 5 2 2 24 2 4 2" xfId="39363"/>
    <cellStyle name="표준 5 2 2 24 2 5" xfId="26691"/>
    <cellStyle name="표준 5 2 2 24 3" xfId="4460"/>
    <cellStyle name="표준 5 2 2 24 3 2" xfId="10796"/>
    <cellStyle name="표준 5 2 2 24 3 2 2" xfId="23470"/>
    <cellStyle name="표준 5 2 2 24 3 2 2 2" xfId="48822"/>
    <cellStyle name="표준 5 2 2 24 3 2 3" xfId="36150"/>
    <cellStyle name="표준 5 2 2 24 3 3" xfId="17134"/>
    <cellStyle name="표준 5 2 2 24 3 3 2" xfId="42486"/>
    <cellStyle name="표준 5 2 2 24 3 4" xfId="29814"/>
    <cellStyle name="표준 5 2 2 24 4" xfId="7672"/>
    <cellStyle name="표준 5 2 2 24 4 2" xfId="20346"/>
    <cellStyle name="표준 5 2 2 24 4 2 2" xfId="45698"/>
    <cellStyle name="표준 5 2 2 24 4 3" xfId="33026"/>
    <cellStyle name="표준 5 2 2 24 5" xfId="14010"/>
    <cellStyle name="표준 5 2 2 24 5 2" xfId="39362"/>
    <cellStyle name="표준 5 2 2 24 6" xfId="26690"/>
    <cellStyle name="표준 5 2 2 25" xfId="1337"/>
    <cellStyle name="표준 5 2 2 25 2" xfId="1338"/>
    <cellStyle name="표준 5 2 2 25 2 2" xfId="4461"/>
    <cellStyle name="표준 5 2 2 25 2 2 2" xfId="10797"/>
    <cellStyle name="표준 5 2 2 25 2 2 2 2" xfId="23471"/>
    <cellStyle name="표준 5 2 2 25 2 2 2 2 2" xfId="48823"/>
    <cellStyle name="표준 5 2 2 25 2 2 2 3" xfId="36151"/>
    <cellStyle name="표준 5 2 2 25 2 2 3" xfId="17135"/>
    <cellStyle name="표준 5 2 2 25 2 2 3 2" xfId="42487"/>
    <cellStyle name="표준 5 2 2 25 2 2 4" xfId="29815"/>
    <cellStyle name="표준 5 2 2 25 2 3" xfId="7675"/>
    <cellStyle name="표준 5 2 2 25 2 3 2" xfId="20349"/>
    <cellStyle name="표준 5 2 2 25 2 3 2 2" xfId="45701"/>
    <cellStyle name="표준 5 2 2 25 2 3 3" xfId="33029"/>
    <cellStyle name="표준 5 2 2 25 2 4" xfId="14013"/>
    <cellStyle name="표준 5 2 2 25 2 4 2" xfId="39365"/>
    <cellStyle name="표준 5 2 2 25 2 5" xfId="26693"/>
    <cellStyle name="표준 5 2 2 25 3" xfId="4462"/>
    <cellStyle name="표준 5 2 2 25 3 2" xfId="10798"/>
    <cellStyle name="표준 5 2 2 25 3 2 2" xfId="23472"/>
    <cellStyle name="표준 5 2 2 25 3 2 2 2" xfId="48824"/>
    <cellStyle name="표준 5 2 2 25 3 2 3" xfId="36152"/>
    <cellStyle name="표준 5 2 2 25 3 3" xfId="17136"/>
    <cellStyle name="표준 5 2 2 25 3 3 2" xfId="42488"/>
    <cellStyle name="표준 5 2 2 25 3 4" xfId="29816"/>
    <cellStyle name="표준 5 2 2 25 4" xfId="7674"/>
    <cellStyle name="표준 5 2 2 25 4 2" xfId="20348"/>
    <cellStyle name="표준 5 2 2 25 4 2 2" xfId="45700"/>
    <cellStyle name="표준 5 2 2 25 4 3" xfId="33028"/>
    <cellStyle name="표준 5 2 2 25 5" xfId="14012"/>
    <cellStyle name="표준 5 2 2 25 5 2" xfId="39364"/>
    <cellStyle name="표준 5 2 2 25 6" xfId="26692"/>
    <cellStyle name="표준 5 2 2 26" xfId="1339"/>
    <cellStyle name="표준 5 2 2 26 2" xfId="1340"/>
    <cellStyle name="표준 5 2 2 26 2 2" xfId="4463"/>
    <cellStyle name="표준 5 2 2 26 2 2 2" xfId="10799"/>
    <cellStyle name="표준 5 2 2 26 2 2 2 2" xfId="23473"/>
    <cellStyle name="표준 5 2 2 26 2 2 2 2 2" xfId="48825"/>
    <cellStyle name="표준 5 2 2 26 2 2 2 3" xfId="36153"/>
    <cellStyle name="표준 5 2 2 26 2 2 3" xfId="17137"/>
    <cellStyle name="표준 5 2 2 26 2 2 3 2" xfId="42489"/>
    <cellStyle name="표준 5 2 2 26 2 2 4" xfId="29817"/>
    <cellStyle name="표준 5 2 2 26 2 3" xfId="7677"/>
    <cellStyle name="표준 5 2 2 26 2 3 2" xfId="20351"/>
    <cellStyle name="표준 5 2 2 26 2 3 2 2" xfId="45703"/>
    <cellStyle name="표준 5 2 2 26 2 3 3" xfId="33031"/>
    <cellStyle name="표준 5 2 2 26 2 4" xfId="14015"/>
    <cellStyle name="표준 5 2 2 26 2 4 2" xfId="39367"/>
    <cellStyle name="표준 5 2 2 26 2 5" xfId="26695"/>
    <cellStyle name="표준 5 2 2 26 3" xfId="4464"/>
    <cellStyle name="표준 5 2 2 26 3 2" xfId="10800"/>
    <cellStyle name="표준 5 2 2 26 3 2 2" xfId="23474"/>
    <cellStyle name="표준 5 2 2 26 3 2 2 2" xfId="48826"/>
    <cellStyle name="표준 5 2 2 26 3 2 3" xfId="36154"/>
    <cellStyle name="표준 5 2 2 26 3 3" xfId="17138"/>
    <cellStyle name="표준 5 2 2 26 3 3 2" xfId="42490"/>
    <cellStyle name="표준 5 2 2 26 3 4" xfId="29818"/>
    <cellStyle name="표준 5 2 2 26 4" xfId="7676"/>
    <cellStyle name="표준 5 2 2 26 4 2" xfId="20350"/>
    <cellStyle name="표준 5 2 2 26 4 2 2" xfId="45702"/>
    <cellStyle name="표준 5 2 2 26 4 3" xfId="33030"/>
    <cellStyle name="표준 5 2 2 26 5" xfId="14014"/>
    <cellStyle name="표준 5 2 2 26 5 2" xfId="39366"/>
    <cellStyle name="표준 5 2 2 26 6" xfId="26694"/>
    <cellStyle name="표준 5 2 2 27" xfId="1341"/>
    <cellStyle name="표준 5 2 2 27 2" xfId="1342"/>
    <cellStyle name="표준 5 2 2 27 2 2" xfId="4465"/>
    <cellStyle name="표준 5 2 2 27 2 2 2" xfId="10801"/>
    <cellStyle name="표준 5 2 2 27 2 2 2 2" xfId="23475"/>
    <cellStyle name="표준 5 2 2 27 2 2 2 2 2" xfId="48827"/>
    <cellStyle name="표준 5 2 2 27 2 2 2 3" xfId="36155"/>
    <cellStyle name="표준 5 2 2 27 2 2 3" xfId="17139"/>
    <cellStyle name="표준 5 2 2 27 2 2 3 2" xfId="42491"/>
    <cellStyle name="표준 5 2 2 27 2 2 4" xfId="29819"/>
    <cellStyle name="표준 5 2 2 27 2 3" xfId="7679"/>
    <cellStyle name="표준 5 2 2 27 2 3 2" xfId="20353"/>
    <cellStyle name="표준 5 2 2 27 2 3 2 2" xfId="45705"/>
    <cellStyle name="표준 5 2 2 27 2 3 3" xfId="33033"/>
    <cellStyle name="표준 5 2 2 27 2 4" xfId="14017"/>
    <cellStyle name="표준 5 2 2 27 2 4 2" xfId="39369"/>
    <cellStyle name="표준 5 2 2 27 2 5" xfId="26697"/>
    <cellStyle name="표준 5 2 2 27 3" xfId="4466"/>
    <cellStyle name="표준 5 2 2 27 3 2" xfId="10802"/>
    <cellStyle name="표준 5 2 2 27 3 2 2" xfId="23476"/>
    <cellStyle name="표준 5 2 2 27 3 2 2 2" xfId="48828"/>
    <cellStyle name="표준 5 2 2 27 3 2 3" xfId="36156"/>
    <cellStyle name="표준 5 2 2 27 3 3" xfId="17140"/>
    <cellStyle name="표준 5 2 2 27 3 3 2" xfId="42492"/>
    <cellStyle name="표준 5 2 2 27 3 4" xfId="29820"/>
    <cellStyle name="표준 5 2 2 27 4" xfId="7678"/>
    <cellStyle name="표준 5 2 2 27 4 2" xfId="20352"/>
    <cellStyle name="표준 5 2 2 27 4 2 2" xfId="45704"/>
    <cellStyle name="표준 5 2 2 27 4 3" xfId="33032"/>
    <cellStyle name="표준 5 2 2 27 5" xfId="14016"/>
    <cellStyle name="표준 5 2 2 27 5 2" xfId="39368"/>
    <cellStyle name="표준 5 2 2 27 6" xfId="26696"/>
    <cellStyle name="표준 5 2 2 28" xfId="1343"/>
    <cellStyle name="표준 5 2 2 28 2" xfId="1344"/>
    <cellStyle name="표준 5 2 2 28 2 2" xfId="4467"/>
    <cellStyle name="표준 5 2 2 28 2 2 2" xfId="10803"/>
    <cellStyle name="표준 5 2 2 28 2 2 2 2" xfId="23477"/>
    <cellStyle name="표준 5 2 2 28 2 2 2 2 2" xfId="48829"/>
    <cellStyle name="표준 5 2 2 28 2 2 2 3" xfId="36157"/>
    <cellStyle name="표준 5 2 2 28 2 2 3" xfId="17141"/>
    <cellStyle name="표준 5 2 2 28 2 2 3 2" xfId="42493"/>
    <cellStyle name="표준 5 2 2 28 2 2 4" xfId="29821"/>
    <cellStyle name="표준 5 2 2 28 2 3" xfId="7681"/>
    <cellStyle name="표준 5 2 2 28 2 3 2" xfId="20355"/>
    <cellStyle name="표준 5 2 2 28 2 3 2 2" xfId="45707"/>
    <cellStyle name="표준 5 2 2 28 2 3 3" xfId="33035"/>
    <cellStyle name="표준 5 2 2 28 2 4" xfId="14019"/>
    <cellStyle name="표준 5 2 2 28 2 4 2" xfId="39371"/>
    <cellStyle name="표준 5 2 2 28 2 5" xfId="26699"/>
    <cellStyle name="표준 5 2 2 28 3" xfId="4468"/>
    <cellStyle name="표준 5 2 2 28 3 2" xfId="10804"/>
    <cellStyle name="표준 5 2 2 28 3 2 2" xfId="23478"/>
    <cellStyle name="표준 5 2 2 28 3 2 2 2" xfId="48830"/>
    <cellStyle name="표준 5 2 2 28 3 2 3" xfId="36158"/>
    <cellStyle name="표준 5 2 2 28 3 3" xfId="17142"/>
    <cellStyle name="표준 5 2 2 28 3 3 2" xfId="42494"/>
    <cellStyle name="표준 5 2 2 28 3 4" xfId="29822"/>
    <cellStyle name="표준 5 2 2 28 4" xfId="7680"/>
    <cellStyle name="표준 5 2 2 28 4 2" xfId="20354"/>
    <cellStyle name="표준 5 2 2 28 4 2 2" xfId="45706"/>
    <cellStyle name="표준 5 2 2 28 4 3" xfId="33034"/>
    <cellStyle name="표준 5 2 2 28 5" xfId="14018"/>
    <cellStyle name="표준 5 2 2 28 5 2" xfId="39370"/>
    <cellStyle name="표준 5 2 2 28 6" xfId="26698"/>
    <cellStyle name="표준 5 2 2 29" xfId="1345"/>
    <cellStyle name="표준 5 2 2 29 2" xfId="1346"/>
    <cellStyle name="표준 5 2 2 29 2 2" xfId="4469"/>
    <cellStyle name="표준 5 2 2 29 2 2 2" xfId="10805"/>
    <cellStyle name="표준 5 2 2 29 2 2 2 2" xfId="23479"/>
    <cellStyle name="표준 5 2 2 29 2 2 2 2 2" xfId="48831"/>
    <cellStyle name="표준 5 2 2 29 2 2 2 3" xfId="36159"/>
    <cellStyle name="표준 5 2 2 29 2 2 3" xfId="17143"/>
    <cellStyle name="표준 5 2 2 29 2 2 3 2" xfId="42495"/>
    <cellStyle name="표준 5 2 2 29 2 2 4" xfId="29823"/>
    <cellStyle name="표준 5 2 2 29 2 3" xfId="7683"/>
    <cellStyle name="표준 5 2 2 29 2 3 2" xfId="20357"/>
    <cellStyle name="표준 5 2 2 29 2 3 2 2" xfId="45709"/>
    <cellStyle name="표준 5 2 2 29 2 3 3" xfId="33037"/>
    <cellStyle name="표준 5 2 2 29 2 4" xfId="14021"/>
    <cellStyle name="표준 5 2 2 29 2 4 2" xfId="39373"/>
    <cellStyle name="표준 5 2 2 29 2 5" xfId="26701"/>
    <cellStyle name="표준 5 2 2 29 3" xfId="4470"/>
    <cellStyle name="표준 5 2 2 29 3 2" xfId="10806"/>
    <cellStyle name="표준 5 2 2 29 3 2 2" xfId="23480"/>
    <cellStyle name="표준 5 2 2 29 3 2 2 2" xfId="48832"/>
    <cellStyle name="표준 5 2 2 29 3 2 3" xfId="36160"/>
    <cellStyle name="표준 5 2 2 29 3 3" xfId="17144"/>
    <cellStyle name="표준 5 2 2 29 3 3 2" xfId="42496"/>
    <cellStyle name="표준 5 2 2 29 3 4" xfId="29824"/>
    <cellStyle name="표준 5 2 2 29 4" xfId="7682"/>
    <cellStyle name="표준 5 2 2 29 4 2" xfId="20356"/>
    <cellStyle name="표준 5 2 2 29 4 2 2" xfId="45708"/>
    <cellStyle name="표준 5 2 2 29 4 3" xfId="33036"/>
    <cellStyle name="표준 5 2 2 29 5" xfId="14020"/>
    <cellStyle name="표준 5 2 2 29 5 2" xfId="39372"/>
    <cellStyle name="표준 5 2 2 29 6" xfId="26700"/>
    <cellStyle name="표준 5 2 2 3" xfId="75"/>
    <cellStyle name="표준 5 2 2 3 10" xfId="1347"/>
    <cellStyle name="표준 5 2 2 3 10 2" xfId="1348"/>
    <cellStyle name="표준 5 2 2 3 10 2 2" xfId="4471"/>
    <cellStyle name="표준 5 2 2 3 10 2 2 2" xfId="10807"/>
    <cellStyle name="표준 5 2 2 3 10 2 2 2 2" xfId="23481"/>
    <cellStyle name="표준 5 2 2 3 10 2 2 2 2 2" xfId="48833"/>
    <cellStyle name="표준 5 2 2 3 10 2 2 2 3" xfId="36161"/>
    <cellStyle name="표준 5 2 2 3 10 2 2 3" xfId="17145"/>
    <cellStyle name="표준 5 2 2 3 10 2 2 3 2" xfId="42497"/>
    <cellStyle name="표준 5 2 2 3 10 2 2 4" xfId="29825"/>
    <cellStyle name="표준 5 2 2 3 10 2 3" xfId="7685"/>
    <cellStyle name="표준 5 2 2 3 10 2 3 2" xfId="20359"/>
    <cellStyle name="표준 5 2 2 3 10 2 3 2 2" xfId="45711"/>
    <cellStyle name="표준 5 2 2 3 10 2 3 3" xfId="33039"/>
    <cellStyle name="표준 5 2 2 3 10 2 4" xfId="14023"/>
    <cellStyle name="표준 5 2 2 3 10 2 4 2" xfId="39375"/>
    <cellStyle name="표준 5 2 2 3 10 2 5" xfId="26703"/>
    <cellStyle name="표준 5 2 2 3 10 3" xfId="4472"/>
    <cellStyle name="표준 5 2 2 3 10 3 2" xfId="10808"/>
    <cellStyle name="표준 5 2 2 3 10 3 2 2" xfId="23482"/>
    <cellStyle name="표준 5 2 2 3 10 3 2 2 2" xfId="48834"/>
    <cellStyle name="표준 5 2 2 3 10 3 2 3" xfId="36162"/>
    <cellStyle name="표준 5 2 2 3 10 3 3" xfId="17146"/>
    <cellStyle name="표준 5 2 2 3 10 3 3 2" xfId="42498"/>
    <cellStyle name="표준 5 2 2 3 10 3 4" xfId="29826"/>
    <cellStyle name="표준 5 2 2 3 10 4" xfId="7684"/>
    <cellStyle name="표준 5 2 2 3 10 4 2" xfId="20358"/>
    <cellStyle name="표준 5 2 2 3 10 4 2 2" xfId="45710"/>
    <cellStyle name="표준 5 2 2 3 10 4 3" xfId="33038"/>
    <cellStyle name="표준 5 2 2 3 10 5" xfId="14022"/>
    <cellStyle name="표준 5 2 2 3 10 5 2" xfId="39374"/>
    <cellStyle name="표준 5 2 2 3 10 6" xfId="26702"/>
    <cellStyle name="표준 5 2 2 3 11" xfId="1349"/>
    <cellStyle name="표준 5 2 2 3 11 2" xfId="1350"/>
    <cellStyle name="표준 5 2 2 3 11 2 2" xfId="4473"/>
    <cellStyle name="표준 5 2 2 3 11 2 2 2" xfId="10809"/>
    <cellStyle name="표준 5 2 2 3 11 2 2 2 2" xfId="23483"/>
    <cellStyle name="표준 5 2 2 3 11 2 2 2 2 2" xfId="48835"/>
    <cellStyle name="표준 5 2 2 3 11 2 2 2 3" xfId="36163"/>
    <cellStyle name="표준 5 2 2 3 11 2 2 3" xfId="17147"/>
    <cellStyle name="표준 5 2 2 3 11 2 2 3 2" xfId="42499"/>
    <cellStyle name="표준 5 2 2 3 11 2 2 4" xfId="29827"/>
    <cellStyle name="표준 5 2 2 3 11 2 3" xfId="7687"/>
    <cellStyle name="표준 5 2 2 3 11 2 3 2" xfId="20361"/>
    <cellStyle name="표준 5 2 2 3 11 2 3 2 2" xfId="45713"/>
    <cellStyle name="표준 5 2 2 3 11 2 3 3" xfId="33041"/>
    <cellStyle name="표준 5 2 2 3 11 2 4" xfId="14025"/>
    <cellStyle name="표준 5 2 2 3 11 2 4 2" xfId="39377"/>
    <cellStyle name="표준 5 2 2 3 11 2 5" xfId="26705"/>
    <cellStyle name="표준 5 2 2 3 11 3" xfId="4474"/>
    <cellStyle name="표준 5 2 2 3 11 3 2" xfId="10810"/>
    <cellStyle name="표준 5 2 2 3 11 3 2 2" xfId="23484"/>
    <cellStyle name="표준 5 2 2 3 11 3 2 2 2" xfId="48836"/>
    <cellStyle name="표준 5 2 2 3 11 3 2 3" xfId="36164"/>
    <cellStyle name="표준 5 2 2 3 11 3 3" xfId="17148"/>
    <cellStyle name="표준 5 2 2 3 11 3 3 2" xfId="42500"/>
    <cellStyle name="표준 5 2 2 3 11 3 4" xfId="29828"/>
    <cellStyle name="표준 5 2 2 3 11 4" xfId="7686"/>
    <cellStyle name="표준 5 2 2 3 11 4 2" xfId="20360"/>
    <cellStyle name="표준 5 2 2 3 11 4 2 2" xfId="45712"/>
    <cellStyle name="표준 5 2 2 3 11 4 3" xfId="33040"/>
    <cellStyle name="표준 5 2 2 3 11 5" xfId="14024"/>
    <cellStyle name="표준 5 2 2 3 11 5 2" xfId="39376"/>
    <cellStyle name="표준 5 2 2 3 11 6" xfId="26704"/>
    <cellStyle name="표준 5 2 2 3 12" xfId="1351"/>
    <cellStyle name="표준 5 2 2 3 12 2" xfId="1352"/>
    <cellStyle name="표준 5 2 2 3 12 2 2" xfId="4475"/>
    <cellStyle name="표준 5 2 2 3 12 2 2 2" xfId="10811"/>
    <cellStyle name="표준 5 2 2 3 12 2 2 2 2" xfId="23485"/>
    <cellStyle name="표준 5 2 2 3 12 2 2 2 2 2" xfId="48837"/>
    <cellStyle name="표준 5 2 2 3 12 2 2 2 3" xfId="36165"/>
    <cellStyle name="표준 5 2 2 3 12 2 2 3" xfId="17149"/>
    <cellStyle name="표준 5 2 2 3 12 2 2 3 2" xfId="42501"/>
    <cellStyle name="표준 5 2 2 3 12 2 2 4" xfId="29829"/>
    <cellStyle name="표준 5 2 2 3 12 2 3" xfId="7689"/>
    <cellStyle name="표준 5 2 2 3 12 2 3 2" xfId="20363"/>
    <cellStyle name="표준 5 2 2 3 12 2 3 2 2" xfId="45715"/>
    <cellStyle name="표준 5 2 2 3 12 2 3 3" xfId="33043"/>
    <cellStyle name="표준 5 2 2 3 12 2 4" xfId="14027"/>
    <cellStyle name="표준 5 2 2 3 12 2 4 2" xfId="39379"/>
    <cellStyle name="표준 5 2 2 3 12 2 5" xfId="26707"/>
    <cellStyle name="표준 5 2 2 3 12 3" xfId="4476"/>
    <cellStyle name="표준 5 2 2 3 12 3 2" xfId="10812"/>
    <cellStyle name="표준 5 2 2 3 12 3 2 2" xfId="23486"/>
    <cellStyle name="표준 5 2 2 3 12 3 2 2 2" xfId="48838"/>
    <cellStyle name="표준 5 2 2 3 12 3 2 3" xfId="36166"/>
    <cellStyle name="표준 5 2 2 3 12 3 3" xfId="17150"/>
    <cellStyle name="표준 5 2 2 3 12 3 3 2" xfId="42502"/>
    <cellStyle name="표준 5 2 2 3 12 3 4" xfId="29830"/>
    <cellStyle name="표준 5 2 2 3 12 4" xfId="7688"/>
    <cellStyle name="표준 5 2 2 3 12 4 2" xfId="20362"/>
    <cellStyle name="표준 5 2 2 3 12 4 2 2" xfId="45714"/>
    <cellStyle name="표준 5 2 2 3 12 4 3" xfId="33042"/>
    <cellStyle name="표준 5 2 2 3 12 5" xfId="14026"/>
    <cellStyle name="표준 5 2 2 3 12 5 2" xfId="39378"/>
    <cellStyle name="표준 5 2 2 3 12 6" xfId="26706"/>
    <cellStyle name="표준 5 2 2 3 13" xfId="1353"/>
    <cellStyle name="표준 5 2 2 3 13 2" xfId="1354"/>
    <cellStyle name="표준 5 2 2 3 13 2 2" xfId="4477"/>
    <cellStyle name="표준 5 2 2 3 13 2 2 2" xfId="10813"/>
    <cellStyle name="표준 5 2 2 3 13 2 2 2 2" xfId="23487"/>
    <cellStyle name="표준 5 2 2 3 13 2 2 2 2 2" xfId="48839"/>
    <cellStyle name="표준 5 2 2 3 13 2 2 2 3" xfId="36167"/>
    <cellStyle name="표준 5 2 2 3 13 2 2 3" xfId="17151"/>
    <cellStyle name="표준 5 2 2 3 13 2 2 3 2" xfId="42503"/>
    <cellStyle name="표준 5 2 2 3 13 2 2 4" xfId="29831"/>
    <cellStyle name="표준 5 2 2 3 13 2 3" xfId="7691"/>
    <cellStyle name="표준 5 2 2 3 13 2 3 2" xfId="20365"/>
    <cellStyle name="표준 5 2 2 3 13 2 3 2 2" xfId="45717"/>
    <cellStyle name="표준 5 2 2 3 13 2 3 3" xfId="33045"/>
    <cellStyle name="표준 5 2 2 3 13 2 4" xfId="14029"/>
    <cellStyle name="표준 5 2 2 3 13 2 4 2" xfId="39381"/>
    <cellStyle name="표준 5 2 2 3 13 2 5" xfId="26709"/>
    <cellStyle name="표준 5 2 2 3 13 3" xfId="4478"/>
    <cellStyle name="표준 5 2 2 3 13 3 2" xfId="10814"/>
    <cellStyle name="표준 5 2 2 3 13 3 2 2" xfId="23488"/>
    <cellStyle name="표준 5 2 2 3 13 3 2 2 2" xfId="48840"/>
    <cellStyle name="표준 5 2 2 3 13 3 2 3" xfId="36168"/>
    <cellStyle name="표준 5 2 2 3 13 3 3" xfId="17152"/>
    <cellStyle name="표준 5 2 2 3 13 3 3 2" xfId="42504"/>
    <cellStyle name="표준 5 2 2 3 13 3 4" xfId="29832"/>
    <cellStyle name="표준 5 2 2 3 13 4" xfId="7690"/>
    <cellStyle name="표준 5 2 2 3 13 4 2" xfId="20364"/>
    <cellStyle name="표준 5 2 2 3 13 4 2 2" xfId="45716"/>
    <cellStyle name="표준 5 2 2 3 13 4 3" xfId="33044"/>
    <cellStyle name="표준 5 2 2 3 13 5" xfId="14028"/>
    <cellStyle name="표준 5 2 2 3 13 5 2" xfId="39380"/>
    <cellStyle name="표준 5 2 2 3 13 6" xfId="26708"/>
    <cellStyle name="표준 5 2 2 3 14" xfId="1355"/>
    <cellStyle name="표준 5 2 2 3 14 2" xfId="1356"/>
    <cellStyle name="표준 5 2 2 3 14 2 2" xfId="4479"/>
    <cellStyle name="표준 5 2 2 3 14 2 2 2" xfId="10815"/>
    <cellStyle name="표준 5 2 2 3 14 2 2 2 2" xfId="23489"/>
    <cellStyle name="표준 5 2 2 3 14 2 2 2 2 2" xfId="48841"/>
    <cellStyle name="표준 5 2 2 3 14 2 2 2 3" xfId="36169"/>
    <cellStyle name="표준 5 2 2 3 14 2 2 3" xfId="17153"/>
    <cellStyle name="표준 5 2 2 3 14 2 2 3 2" xfId="42505"/>
    <cellStyle name="표준 5 2 2 3 14 2 2 4" xfId="29833"/>
    <cellStyle name="표준 5 2 2 3 14 2 3" xfId="7693"/>
    <cellStyle name="표준 5 2 2 3 14 2 3 2" xfId="20367"/>
    <cellStyle name="표준 5 2 2 3 14 2 3 2 2" xfId="45719"/>
    <cellStyle name="표준 5 2 2 3 14 2 3 3" xfId="33047"/>
    <cellStyle name="표준 5 2 2 3 14 2 4" xfId="14031"/>
    <cellStyle name="표준 5 2 2 3 14 2 4 2" xfId="39383"/>
    <cellStyle name="표준 5 2 2 3 14 2 5" xfId="26711"/>
    <cellStyle name="표준 5 2 2 3 14 3" xfId="4480"/>
    <cellStyle name="표준 5 2 2 3 14 3 2" xfId="10816"/>
    <cellStyle name="표준 5 2 2 3 14 3 2 2" xfId="23490"/>
    <cellStyle name="표준 5 2 2 3 14 3 2 2 2" xfId="48842"/>
    <cellStyle name="표준 5 2 2 3 14 3 2 3" xfId="36170"/>
    <cellStyle name="표준 5 2 2 3 14 3 3" xfId="17154"/>
    <cellStyle name="표준 5 2 2 3 14 3 3 2" xfId="42506"/>
    <cellStyle name="표준 5 2 2 3 14 3 4" xfId="29834"/>
    <cellStyle name="표준 5 2 2 3 14 4" xfId="7692"/>
    <cellStyle name="표준 5 2 2 3 14 4 2" xfId="20366"/>
    <cellStyle name="표준 5 2 2 3 14 4 2 2" xfId="45718"/>
    <cellStyle name="표준 5 2 2 3 14 4 3" xfId="33046"/>
    <cellStyle name="표준 5 2 2 3 14 5" xfId="14030"/>
    <cellStyle name="표준 5 2 2 3 14 5 2" xfId="39382"/>
    <cellStyle name="표준 5 2 2 3 14 6" xfId="26710"/>
    <cellStyle name="표준 5 2 2 3 15" xfId="1357"/>
    <cellStyle name="표준 5 2 2 3 15 2" xfId="1358"/>
    <cellStyle name="표준 5 2 2 3 15 2 2" xfId="4481"/>
    <cellStyle name="표준 5 2 2 3 15 2 2 2" xfId="10817"/>
    <cellStyle name="표준 5 2 2 3 15 2 2 2 2" xfId="23491"/>
    <cellStyle name="표준 5 2 2 3 15 2 2 2 2 2" xfId="48843"/>
    <cellStyle name="표준 5 2 2 3 15 2 2 2 3" xfId="36171"/>
    <cellStyle name="표준 5 2 2 3 15 2 2 3" xfId="17155"/>
    <cellStyle name="표준 5 2 2 3 15 2 2 3 2" xfId="42507"/>
    <cellStyle name="표준 5 2 2 3 15 2 2 4" xfId="29835"/>
    <cellStyle name="표준 5 2 2 3 15 2 3" xfId="7695"/>
    <cellStyle name="표준 5 2 2 3 15 2 3 2" xfId="20369"/>
    <cellStyle name="표준 5 2 2 3 15 2 3 2 2" xfId="45721"/>
    <cellStyle name="표준 5 2 2 3 15 2 3 3" xfId="33049"/>
    <cellStyle name="표준 5 2 2 3 15 2 4" xfId="14033"/>
    <cellStyle name="표준 5 2 2 3 15 2 4 2" xfId="39385"/>
    <cellStyle name="표준 5 2 2 3 15 2 5" xfId="26713"/>
    <cellStyle name="표준 5 2 2 3 15 3" xfId="4482"/>
    <cellStyle name="표준 5 2 2 3 15 3 2" xfId="10818"/>
    <cellStyle name="표준 5 2 2 3 15 3 2 2" xfId="23492"/>
    <cellStyle name="표준 5 2 2 3 15 3 2 2 2" xfId="48844"/>
    <cellStyle name="표준 5 2 2 3 15 3 2 3" xfId="36172"/>
    <cellStyle name="표준 5 2 2 3 15 3 3" xfId="17156"/>
    <cellStyle name="표준 5 2 2 3 15 3 3 2" xfId="42508"/>
    <cellStyle name="표준 5 2 2 3 15 3 4" xfId="29836"/>
    <cellStyle name="표준 5 2 2 3 15 4" xfId="7694"/>
    <cellStyle name="표준 5 2 2 3 15 4 2" xfId="20368"/>
    <cellStyle name="표준 5 2 2 3 15 4 2 2" xfId="45720"/>
    <cellStyle name="표준 5 2 2 3 15 4 3" xfId="33048"/>
    <cellStyle name="표준 5 2 2 3 15 5" xfId="14032"/>
    <cellStyle name="표준 5 2 2 3 15 5 2" xfId="39384"/>
    <cellStyle name="표준 5 2 2 3 15 6" xfId="26712"/>
    <cellStyle name="표준 5 2 2 3 16" xfId="1359"/>
    <cellStyle name="표준 5 2 2 3 16 2" xfId="1360"/>
    <cellStyle name="표준 5 2 2 3 16 2 2" xfId="4483"/>
    <cellStyle name="표준 5 2 2 3 16 2 2 2" xfId="10819"/>
    <cellStyle name="표준 5 2 2 3 16 2 2 2 2" xfId="23493"/>
    <cellStyle name="표준 5 2 2 3 16 2 2 2 2 2" xfId="48845"/>
    <cellStyle name="표준 5 2 2 3 16 2 2 2 3" xfId="36173"/>
    <cellStyle name="표준 5 2 2 3 16 2 2 3" xfId="17157"/>
    <cellStyle name="표준 5 2 2 3 16 2 2 3 2" xfId="42509"/>
    <cellStyle name="표준 5 2 2 3 16 2 2 4" xfId="29837"/>
    <cellStyle name="표준 5 2 2 3 16 2 3" xfId="7697"/>
    <cellStyle name="표준 5 2 2 3 16 2 3 2" xfId="20371"/>
    <cellStyle name="표준 5 2 2 3 16 2 3 2 2" xfId="45723"/>
    <cellStyle name="표준 5 2 2 3 16 2 3 3" xfId="33051"/>
    <cellStyle name="표준 5 2 2 3 16 2 4" xfId="14035"/>
    <cellStyle name="표준 5 2 2 3 16 2 4 2" xfId="39387"/>
    <cellStyle name="표준 5 2 2 3 16 2 5" xfId="26715"/>
    <cellStyle name="표준 5 2 2 3 16 3" xfId="4484"/>
    <cellStyle name="표준 5 2 2 3 16 3 2" xfId="10820"/>
    <cellStyle name="표준 5 2 2 3 16 3 2 2" xfId="23494"/>
    <cellStyle name="표준 5 2 2 3 16 3 2 2 2" xfId="48846"/>
    <cellStyle name="표준 5 2 2 3 16 3 2 3" xfId="36174"/>
    <cellStyle name="표준 5 2 2 3 16 3 3" xfId="17158"/>
    <cellStyle name="표준 5 2 2 3 16 3 3 2" xfId="42510"/>
    <cellStyle name="표준 5 2 2 3 16 3 4" xfId="29838"/>
    <cellStyle name="표준 5 2 2 3 16 4" xfId="7696"/>
    <cellStyle name="표준 5 2 2 3 16 4 2" xfId="20370"/>
    <cellStyle name="표준 5 2 2 3 16 4 2 2" xfId="45722"/>
    <cellStyle name="표준 5 2 2 3 16 4 3" xfId="33050"/>
    <cellStyle name="표준 5 2 2 3 16 5" xfId="14034"/>
    <cellStyle name="표준 5 2 2 3 16 5 2" xfId="39386"/>
    <cellStyle name="표준 5 2 2 3 16 6" xfId="26714"/>
    <cellStyle name="표준 5 2 2 3 17" xfId="1361"/>
    <cellStyle name="표준 5 2 2 3 17 2" xfId="1362"/>
    <cellStyle name="표준 5 2 2 3 17 2 2" xfId="4485"/>
    <cellStyle name="표준 5 2 2 3 17 2 2 2" xfId="10821"/>
    <cellStyle name="표준 5 2 2 3 17 2 2 2 2" xfId="23495"/>
    <cellStyle name="표준 5 2 2 3 17 2 2 2 2 2" xfId="48847"/>
    <cellStyle name="표준 5 2 2 3 17 2 2 2 3" xfId="36175"/>
    <cellStyle name="표준 5 2 2 3 17 2 2 3" xfId="17159"/>
    <cellStyle name="표준 5 2 2 3 17 2 2 3 2" xfId="42511"/>
    <cellStyle name="표준 5 2 2 3 17 2 2 4" xfId="29839"/>
    <cellStyle name="표준 5 2 2 3 17 2 3" xfId="7699"/>
    <cellStyle name="표준 5 2 2 3 17 2 3 2" xfId="20373"/>
    <cellStyle name="표준 5 2 2 3 17 2 3 2 2" xfId="45725"/>
    <cellStyle name="표준 5 2 2 3 17 2 3 3" xfId="33053"/>
    <cellStyle name="표준 5 2 2 3 17 2 4" xfId="14037"/>
    <cellStyle name="표준 5 2 2 3 17 2 4 2" xfId="39389"/>
    <cellStyle name="표준 5 2 2 3 17 2 5" xfId="26717"/>
    <cellStyle name="표준 5 2 2 3 17 3" xfId="4486"/>
    <cellStyle name="표준 5 2 2 3 17 3 2" xfId="10822"/>
    <cellStyle name="표준 5 2 2 3 17 3 2 2" xfId="23496"/>
    <cellStyle name="표준 5 2 2 3 17 3 2 2 2" xfId="48848"/>
    <cellStyle name="표준 5 2 2 3 17 3 2 3" xfId="36176"/>
    <cellStyle name="표준 5 2 2 3 17 3 3" xfId="17160"/>
    <cellStyle name="표준 5 2 2 3 17 3 3 2" xfId="42512"/>
    <cellStyle name="표준 5 2 2 3 17 3 4" xfId="29840"/>
    <cellStyle name="표준 5 2 2 3 17 4" xfId="7698"/>
    <cellStyle name="표준 5 2 2 3 17 4 2" xfId="20372"/>
    <cellStyle name="표준 5 2 2 3 17 4 2 2" xfId="45724"/>
    <cellStyle name="표준 5 2 2 3 17 4 3" xfId="33052"/>
    <cellStyle name="표준 5 2 2 3 17 5" xfId="14036"/>
    <cellStyle name="표준 5 2 2 3 17 5 2" xfId="39388"/>
    <cellStyle name="표준 5 2 2 3 17 6" xfId="26716"/>
    <cellStyle name="표준 5 2 2 3 18" xfId="1363"/>
    <cellStyle name="표준 5 2 2 3 18 2" xfId="1364"/>
    <cellStyle name="표준 5 2 2 3 18 2 2" xfId="4487"/>
    <cellStyle name="표준 5 2 2 3 18 2 2 2" xfId="10823"/>
    <cellStyle name="표준 5 2 2 3 18 2 2 2 2" xfId="23497"/>
    <cellStyle name="표준 5 2 2 3 18 2 2 2 2 2" xfId="48849"/>
    <cellStyle name="표준 5 2 2 3 18 2 2 2 3" xfId="36177"/>
    <cellStyle name="표준 5 2 2 3 18 2 2 3" xfId="17161"/>
    <cellStyle name="표준 5 2 2 3 18 2 2 3 2" xfId="42513"/>
    <cellStyle name="표준 5 2 2 3 18 2 2 4" xfId="29841"/>
    <cellStyle name="표준 5 2 2 3 18 2 3" xfId="7701"/>
    <cellStyle name="표준 5 2 2 3 18 2 3 2" xfId="20375"/>
    <cellStyle name="표준 5 2 2 3 18 2 3 2 2" xfId="45727"/>
    <cellStyle name="표준 5 2 2 3 18 2 3 3" xfId="33055"/>
    <cellStyle name="표준 5 2 2 3 18 2 4" xfId="14039"/>
    <cellStyle name="표준 5 2 2 3 18 2 4 2" xfId="39391"/>
    <cellStyle name="표준 5 2 2 3 18 2 5" xfId="26719"/>
    <cellStyle name="표준 5 2 2 3 18 3" xfId="4488"/>
    <cellStyle name="표준 5 2 2 3 18 3 2" xfId="10824"/>
    <cellStyle name="표준 5 2 2 3 18 3 2 2" xfId="23498"/>
    <cellStyle name="표준 5 2 2 3 18 3 2 2 2" xfId="48850"/>
    <cellStyle name="표준 5 2 2 3 18 3 2 3" xfId="36178"/>
    <cellStyle name="표준 5 2 2 3 18 3 3" xfId="17162"/>
    <cellStyle name="표준 5 2 2 3 18 3 3 2" xfId="42514"/>
    <cellStyle name="표준 5 2 2 3 18 3 4" xfId="29842"/>
    <cellStyle name="표준 5 2 2 3 18 4" xfId="7700"/>
    <cellStyle name="표준 5 2 2 3 18 4 2" xfId="20374"/>
    <cellStyle name="표준 5 2 2 3 18 4 2 2" xfId="45726"/>
    <cellStyle name="표준 5 2 2 3 18 4 3" xfId="33054"/>
    <cellStyle name="표준 5 2 2 3 18 5" xfId="14038"/>
    <cellStyle name="표준 5 2 2 3 18 5 2" xfId="39390"/>
    <cellStyle name="표준 5 2 2 3 18 6" xfId="26718"/>
    <cellStyle name="표준 5 2 2 3 19" xfId="1365"/>
    <cellStyle name="표준 5 2 2 3 19 2" xfId="1366"/>
    <cellStyle name="표준 5 2 2 3 19 2 2" xfId="4489"/>
    <cellStyle name="표준 5 2 2 3 19 2 2 2" xfId="10825"/>
    <cellStyle name="표준 5 2 2 3 19 2 2 2 2" xfId="23499"/>
    <cellStyle name="표준 5 2 2 3 19 2 2 2 2 2" xfId="48851"/>
    <cellStyle name="표준 5 2 2 3 19 2 2 2 3" xfId="36179"/>
    <cellStyle name="표준 5 2 2 3 19 2 2 3" xfId="17163"/>
    <cellStyle name="표준 5 2 2 3 19 2 2 3 2" xfId="42515"/>
    <cellStyle name="표준 5 2 2 3 19 2 2 4" xfId="29843"/>
    <cellStyle name="표준 5 2 2 3 19 2 3" xfId="7703"/>
    <cellStyle name="표준 5 2 2 3 19 2 3 2" xfId="20377"/>
    <cellStyle name="표준 5 2 2 3 19 2 3 2 2" xfId="45729"/>
    <cellStyle name="표준 5 2 2 3 19 2 3 3" xfId="33057"/>
    <cellStyle name="표준 5 2 2 3 19 2 4" xfId="14041"/>
    <cellStyle name="표준 5 2 2 3 19 2 4 2" xfId="39393"/>
    <cellStyle name="표준 5 2 2 3 19 2 5" xfId="26721"/>
    <cellStyle name="표준 5 2 2 3 19 3" xfId="4490"/>
    <cellStyle name="표준 5 2 2 3 19 3 2" xfId="10826"/>
    <cellStyle name="표준 5 2 2 3 19 3 2 2" xfId="23500"/>
    <cellStyle name="표준 5 2 2 3 19 3 2 2 2" xfId="48852"/>
    <cellStyle name="표준 5 2 2 3 19 3 2 3" xfId="36180"/>
    <cellStyle name="표준 5 2 2 3 19 3 3" xfId="17164"/>
    <cellStyle name="표준 5 2 2 3 19 3 3 2" xfId="42516"/>
    <cellStyle name="표준 5 2 2 3 19 3 4" xfId="29844"/>
    <cellStyle name="표준 5 2 2 3 19 4" xfId="7702"/>
    <cellStyle name="표준 5 2 2 3 19 4 2" xfId="20376"/>
    <cellStyle name="표준 5 2 2 3 19 4 2 2" xfId="45728"/>
    <cellStyle name="표준 5 2 2 3 19 4 3" xfId="33056"/>
    <cellStyle name="표준 5 2 2 3 19 5" xfId="14040"/>
    <cellStyle name="표준 5 2 2 3 19 5 2" xfId="39392"/>
    <cellStyle name="표준 5 2 2 3 19 6" xfId="26720"/>
    <cellStyle name="표준 5 2 2 3 2" xfId="1367"/>
    <cellStyle name="표준 5 2 2 3 2 2" xfId="1368"/>
    <cellStyle name="표준 5 2 2 3 2 2 2" xfId="4491"/>
    <cellStyle name="표준 5 2 2 3 2 2 2 2" xfId="10827"/>
    <cellStyle name="표준 5 2 2 3 2 2 2 2 2" xfId="23501"/>
    <cellStyle name="표준 5 2 2 3 2 2 2 2 2 2" xfId="48853"/>
    <cellStyle name="표준 5 2 2 3 2 2 2 2 3" xfId="36181"/>
    <cellStyle name="표준 5 2 2 3 2 2 2 3" xfId="17165"/>
    <cellStyle name="표준 5 2 2 3 2 2 2 3 2" xfId="42517"/>
    <cellStyle name="표준 5 2 2 3 2 2 2 4" xfId="29845"/>
    <cellStyle name="표준 5 2 2 3 2 2 3" xfId="7705"/>
    <cellStyle name="표준 5 2 2 3 2 2 3 2" xfId="20379"/>
    <cellStyle name="표준 5 2 2 3 2 2 3 2 2" xfId="45731"/>
    <cellStyle name="표준 5 2 2 3 2 2 3 3" xfId="33059"/>
    <cellStyle name="표준 5 2 2 3 2 2 4" xfId="14043"/>
    <cellStyle name="표준 5 2 2 3 2 2 4 2" xfId="39395"/>
    <cellStyle name="표준 5 2 2 3 2 2 5" xfId="26723"/>
    <cellStyle name="표준 5 2 2 3 2 3" xfId="4492"/>
    <cellStyle name="표준 5 2 2 3 2 3 2" xfId="10828"/>
    <cellStyle name="표준 5 2 2 3 2 3 2 2" xfId="23502"/>
    <cellStyle name="표준 5 2 2 3 2 3 2 2 2" xfId="48854"/>
    <cellStyle name="표준 5 2 2 3 2 3 2 3" xfId="36182"/>
    <cellStyle name="표준 5 2 2 3 2 3 3" xfId="17166"/>
    <cellStyle name="표준 5 2 2 3 2 3 3 2" xfId="42518"/>
    <cellStyle name="표준 5 2 2 3 2 3 4" xfId="29846"/>
    <cellStyle name="표준 5 2 2 3 2 4" xfId="7704"/>
    <cellStyle name="표준 5 2 2 3 2 4 2" xfId="20378"/>
    <cellStyle name="표준 5 2 2 3 2 4 2 2" xfId="45730"/>
    <cellStyle name="표준 5 2 2 3 2 4 3" xfId="33058"/>
    <cellStyle name="표준 5 2 2 3 2 5" xfId="14042"/>
    <cellStyle name="표준 5 2 2 3 2 5 2" xfId="39394"/>
    <cellStyle name="표준 5 2 2 3 2 6" xfId="26722"/>
    <cellStyle name="표준 5 2 2 3 20" xfId="1369"/>
    <cellStyle name="표준 5 2 2 3 20 2" xfId="1370"/>
    <cellStyle name="표준 5 2 2 3 20 2 2" xfId="4493"/>
    <cellStyle name="표준 5 2 2 3 20 2 2 2" xfId="10829"/>
    <cellStyle name="표준 5 2 2 3 20 2 2 2 2" xfId="23503"/>
    <cellStyle name="표준 5 2 2 3 20 2 2 2 2 2" xfId="48855"/>
    <cellStyle name="표준 5 2 2 3 20 2 2 2 3" xfId="36183"/>
    <cellStyle name="표준 5 2 2 3 20 2 2 3" xfId="17167"/>
    <cellStyle name="표준 5 2 2 3 20 2 2 3 2" xfId="42519"/>
    <cellStyle name="표준 5 2 2 3 20 2 2 4" xfId="29847"/>
    <cellStyle name="표준 5 2 2 3 20 2 3" xfId="7707"/>
    <cellStyle name="표준 5 2 2 3 20 2 3 2" xfId="20381"/>
    <cellStyle name="표준 5 2 2 3 20 2 3 2 2" xfId="45733"/>
    <cellStyle name="표준 5 2 2 3 20 2 3 3" xfId="33061"/>
    <cellStyle name="표준 5 2 2 3 20 2 4" xfId="14045"/>
    <cellStyle name="표준 5 2 2 3 20 2 4 2" xfId="39397"/>
    <cellStyle name="표준 5 2 2 3 20 2 5" xfId="26725"/>
    <cellStyle name="표준 5 2 2 3 20 3" xfId="4494"/>
    <cellStyle name="표준 5 2 2 3 20 3 2" xfId="10830"/>
    <cellStyle name="표준 5 2 2 3 20 3 2 2" xfId="23504"/>
    <cellStyle name="표준 5 2 2 3 20 3 2 2 2" xfId="48856"/>
    <cellStyle name="표준 5 2 2 3 20 3 2 3" xfId="36184"/>
    <cellStyle name="표준 5 2 2 3 20 3 3" xfId="17168"/>
    <cellStyle name="표준 5 2 2 3 20 3 3 2" xfId="42520"/>
    <cellStyle name="표준 5 2 2 3 20 3 4" xfId="29848"/>
    <cellStyle name="표준 5 2 2 3 20 4" xfId="7706"/>
    <cellStyle name="표준 5 2 2 3 20 4 2" xfId="20380"/>
    <cellStyle name="표준 5 2 2 3 20 4 2 2" xfId="45732"/>
    <cellStyle name="표준 5 2 2 3 20 4 3" xfId="33060"/>
    <cellStyle name="표준 5 2 2 3 20 5" xfId="14044"/>
    <cellStyle name="표준 5 2 2 3 20 5 2" xfId="39396"/>
    <cellStyle name="표준 5 2 2 3 20 6" xfId="26724"/>
    <cellStyle name="표준 5 2 2 3 21" xfId="1371"/>
    <cellStyle name="표준 5 2 2 3 21 2" xfId="1372"/>
    <cellStyle name="표준 5 2 2 3 21 2 2" xfId="4495"/>
    <cellStyle name="표준 5 2 2 3 21 2 2 2" xfId="10831"/>
    <cellStyle name="표준 5 2 2 3 21 2 2 2 2" xfId="23505"/>
    <cellStyle name="표준 5 2 2 3 21 2 2 2 2 2" xfId="48857"/>
    <cellStyle name="표준 5 2 2 3 21 2 2 2 3" xfId="36185"/>
    <cellStyle name="표준 5 2 2 3 21 2 2 3" xfId="17169"/>
    <cellStyle name="표준 5 2 2 3 21 2 2 3 2" xfId="42521"/>
    <cellStyle name="표준 5 2 2 3 21 2 2 4" xfId="29849"/>
    <cellStyle name="표준 5 2 2 3 21 2 3" xfId="7709"/>
    <cellStyle name="표준 5 2 2 3 21 2 3 2" xfId="20383"/>
    <cellStyle name="표준 5 2 2 3 21 2 3 2 2" xfId="45735"/>
    <cellStyle name="표준 5 2 2 3 21 2 3 3" xfId="33063"/>
    <cellStyle name="표준 5 2 2 3 21 2 4" xfId="14047"/>
    <cellStyle name="표준 5 2 2 3 21 2 4 2" xfId="39399"/>
    <cellStyle name="표준 5 2 2 3 21 2 5" xfId="26727"/>
    <cellStyle name="표준 5 2 2 3 21 3" xfId="4496"/>
    <cellStyle name="표준 5 2 2 3 21 3 2" xfId="10832"/>
    <cellStyle name="표준 5 2 2 3 21 3 2 2" xfId="23506"/>
    <cellStyle name="표준 5 2 2 3 21 3 2 2 2" xfId="48858"/>
    <cellStyle name="표준 5 2 2 3 21 3 2 3" xfId="36186"/>
    <cellStyle name="표준 5 2 2 3 21 3 3" xfId="17170"/>
    <cellStyle name="표준 5 2 2 3 21 3 3 2" xfId="42522"/>
    <cellStyle name="표준 5 2 2 3 21 3 4" xfId="29850"/>
    <cellStyle name="표준 5 2 2 3 21 4" xfId="7708"/>
    <cellStyle name="표준 5 2 2 3 21 4 2" xfId="20382"/>
    <cellStyle name="표준 5 2 2 3 21 4 2 2" xfId="45734"/>
    <cellStyle name="표준 5 2 2 3 21 4 3" xfId="33062"/>
    <cellStyle name="표준 5 2 2 3 21 5" xfId="14046"/>
    <cellStyle name="표준 5 2 2 3 21 5 2" xfId="39398"/>
    <cellStyle name="표준 5 2 2 3 21 6" xfId="26726"/>
    <cellStyle name="표준 5 2 2 3 22" xfId="1373"/>
    <cellStyle name="표준 5 2 2 3 22 2" xfId="1374"/>
    <cellStyle name="표준 5 2 2 3 22 2 2" xfId="4497"/>
    <cellStyle name="표준 5 2 2 3 22 2 2 2" xfId="10833"/>
    <cellStyle name="표준 5 2 2 3 22 2 2 2 2" xfId="23507"/>
    <cellStyle name="표준 5 2 2 3 22 2 2 2 2 2" xfId="48859"/>
    <cellStyle name="표준 5 2 2 3 22 2 2 2 3" xfId="36187"/>
    <cellStyle name="표준 5 2 2 3 22 2 2 3" xfId="17171"/>
    <cellStyle name="표준 5 2 2 3 22 2 2 3 2" xfId="42523"/>
    <cellStyle name="표준 5 2 2 3 22 2 2 4" xfId="29851"/>
    <cellStyle name="표준 5 2 2 3 22 2 3" xfId="7711"/>
    <cellStyle name="표준 5 2 2 3 22 2 3 2" xfId="20385"/>
    <cellStyle name="표준 5 2 2 3 22 2 3 2 2" xfId="45737"/>
    <cellStyle name="표준 5 2 2 3 22 2 3 3" xfId="33065"/>
    <cellStyle name="표준 5 2 2 3 22 2 4" xfId="14049"/>
    <cellStyle name="표준 5 2 2 3 22 2 4 2" xfId="39401"/>
    <cellStyle name="표준 5 2 2 3 22 2 5" xfId="26729"/>
    <cellStyle name="표준 5 2 2 3 22 3" xfId="4498"/>
    <cellStyle name="표준 5 2 2 3 22 3 2" xfId="10834"/>
    <cellStyle name="표준 5 2 2 3 22 3 2 2" xfId="23508"/>
    <cellStyle name="표준 5 2 2 3 22 3 2 2 2" xfId="48860"/>
    <cellStyle name="표준 5 2 2 3 22 3 2 3" xfId="36188"/>
    <cellStyle name="표준 5 2 2 3 22 3 3" xfId="17172"/>
    <cellStyle name="표준 5 2 2 3 22 3 3 2" xfId="42524"/>
    <cellStyle name="표준 5 2 2 3 22 3 4" xfId="29852"/>
    <cellStyle name="표준 5 2 2 3 22 4" xfId="7710"/>
    <cellStyle name="표준 5 2 2 3 22 4 2" xfId="20384"/>
    <cellStyle name="표준 5 2 2 3 22 4 2 2" xfId="45736"/>
    <cellStyle name="표준 5 2 2 3 22 4 3" xfId="33064"/>
    <cellStyle name="표준 5 2 2 3 22 5" xfId="14048"/>
    <cellStyle name="표준 5 2 2 3 22 5 2" xfId="39400"/>
    <cellStyle name="표준 5 2 2 3 22 6" xfId="26728"/>
    <cellStyle name="표준 5 2 2 3 23" xfId="1375"/>
    <cellStyle name="표준 5 2 2 3 23 2" xfId="1376"/>
    <cellStyle name="표준 5 2 2 3 23 2 2" xfId="4499"/>
    <cellStyle name="표준 5 2 2 3 23 2 2 2" xfId="10835"/>
    <cellStyle name="표준 5 2 2 3 23 2 2 2 2" xfId="23509"/>
    <cellStyle name="표준 5 2 2 3 23 2 2 2 2 2" xfId="48861"/>
    <cellStyle name="표준 5 2 2 3 23 2 2 2 3" xfId="36189"/>
    <cellStyle name="표준 5 2 2 3 23 2 2 3" xfId="17173"/>
    <cellStyle name="표준 5 2 2 3 23 2 2 3 2" xfId="42525"/>
    <cellStyle name="표준 5 2 2 3 23 2 2 4" xfId="29853"/>
    <cellStyle name="표준 5 2 2 3 23 2 3" xfId="7713"/>
    <cellStyle name="표준 5 2 2 3 23 2 3 2" xfId="20387"/>
    <cellStyle name="표준 5 2 2 3 23 2 3 2 2" xfId="45739"/>
    <cellStyle name="표준 5 2 2 3 23 2 3 3" xfId="33067"/>
    <cellStyle name="표준 5 2 2 3 23 2 4" xfId="14051"/>
    <cellStyle name="표준 5 2 2 3 23 2 4 2" xfId="39403"/>
    <cellStyle name="표준 5 2 2 3 23 2 5" xfId="26731"/>
    <cellStyle name="표준 5 2 2 3 23 3" xfId="4500"/>
    <cellStyle name="표준 5 2 2 3 23 3 2" xfId="10836"/>
    <cellStyle name="표준 5 2 2 3 23 3 2 2" xfId="23510"/>
    <cellStyle name="표준 5 2 2 3 23 3 2 2 2" xfId="48862"/>
    <cellStyle name="표준 5 2 2 3 23 3 2 3" xfId="36190"/>
    <cellStyle name="표준 5 2 2 3 23 3 3" xfId="17174"/>
    <cellStyle name="표준 5 2 2 3 23 3 3 2" xfId="42526"/>
    <cellStyle name="표준 5 2 2 3 23 3 4" xfId="29854"/>
    <cellStyle name="표준 5 2 2 3 23 4" xfId="7712"/>
    <cellStyle name="표준 5 2 2 3 23 4 2" xfId="20386"/>
    <cellStyle name="표준 5 2 2 3 23 4 2 2" xfId="45738"/>
    <cellStyle name="표준 5 2 2 3 23 4 3" xfId="33066"/>
    <cellStyle name="표준 5 2 2 3 23 5" xfId="14050"/>
    <cellStyle name="표준 5 2 2 3 23 5 2" xfId="39402"/>
    <cellStyle name="표준 5 2 2 3 23 6" xfId="26730"/>
    <cellStyle name="표준 5 2 2 3 24" xfId="1377"/>
    <cellStyle name="표준 5 2 2 3 24 2" xfId="1378"/>
    <cellStyle name="표준 5 2 2 3 24 2 2" xfId="4501"/>
    <cellStyle name="표준 5 2 2 3 24 2 2 2" xfId="10837"/>
    <cellStyle name="표준 5 2 2 3 24 2 2 2 2" xfId="23511"/>
    <cellStyle name="표준 5 2 2 3 24 2 2 2 2 2" xfId="48863"/>
    <cellStyle name="표준 5 2 2 3 24 2 2 2 3" xfId="36191"/>
    <cellStyle name="표준 5 2 2 3 24 2 2 3" xfId="17175"/>
    <cellStyle name="표준 5 2 2 3 24 2 2 3 2" xfId="42527"/>
    <cellStyle name="표준 5 2 2 3 24 2 2 4" xfId="29855"/>
    <cellStyle name="표준 5 2 2 3 24 2 3" xfId="7715"/>
    <cellStyle name="표준 5 2 2 3 24 2 3 2" xfId="20389"/>
    <cellStyle name="표준 5 2 2 3 24 2 3 2 2" xfId="45741"/>
    <cellStyle name="표준 5 2 2 3 24 2 3 3" xfId="33069"/>
    <cellStyle name="표준 5 2 2 3 24 2 4" xfId="14053"/>
    <cellStyle name="표준 5 2 2 3 24 2 4 2" xfId="39405"/>
    <cellStyle name="표준 5 2 2 3 24 2 5" xfId="26733"/>
    <cellStyle name="표준 5 2 2 3 24 3" xfId="4502"/>
    <cellStyle name="표준 5 2 2 3 24 3 2" xfId="10838"/>
    <cellStyle name="표준 5 2 2 3 24 3 2 2" xfId="23512"/>
    <cellStyle name="표준 5 2 2 3 24 3 2 2 2" xfId="48864"/>
    <cellStyle name="표준 5 2 2 3 24 3 2 3" xfId="36192"/>
    <cellStyle name="표준 5 2 2 3 24 3 3" xfId="17176"/>
    <cellStyle name="표준 5 2 2 3 24 3 3 2" xfId="42528"/>
    <cellStyle name="표준 5 2 2 3 24 3 4" xfId="29856"/>
    <cellStyle name="표준 5 2 2 3 24 4" xfId="7714"/>
    <cellStyle name="표준 5 2 2 3 24 4 2" xfId="20388"/>
    <cellStyle name="표준 5 2 2 3 24 4 2 2" xfId="45740"/>
    <cellStyle name="표준 5 2 2 3 24 4 3" xfId="33068"/>
    <cellStyle name="표준 5 2 2 3 24 5" xfId="14052"/>
    <cellStyle name="표준 5 2 2 3 24 5 2" xfId="39404"/>
    <cellStyle name="표준 5 2 2 3 24 6" xfId="26732"/>
    <cellStyle name="표준 5 2 2 3 25" xfId="1379"/>
    <cellStyle name="표준 5 2 2 3 25 2" xfId="1380"/>
    <cellStyle name="표준 5 2 2 3 25 2 2" xfId="4503"/>
    <cellStyle name="표준 5 2 2 3 25 2 2 2" xfId="10839"/>
    <cellStyle name="표준 5 2 2 3 25 2 2 2 2" xfId="23513"/>
    <cellStyle name="표준 5 2 2 3 25 2 2 2 2 2" xfId="48865"/>
    <cellStyle name="표준 5 2 2 3 25 2 2 2 3" xfId="36193"/>
    <cellStyle name="표준 5 2 2 3 25 2 2 3" xfId="17177"/>
    <cellStyle name="표준 5 2 2 3 25 2 2 3 2" xfId="42529"/>
    <cellStyle name="표준 5 2 2 3 25 2 2 4" xfId="29857"/>
    <cellStyle name="표준 5 2 2 3 25 2 3" xfId="7717"/>
    <cellStyle name="표준 5 2 2 3 25 2 3 2" xfId="20391"/>
    <cellStyle name="표준 5 2 2 3 25 2 3 2 2" xfId="45743"/>
    <cellStyle name="표준 5 2 2 3 25 2 3 3" xfId="33071"/>
    <cellStyle name="표준 5 2 2 3 25 2 4" xfId="14055"/>
    <cellStyle name="표준 5 2 2 3 25 2 4 2" xfId="39407"/>
    <cellStyle name="표준 5 2 2 3 25 2 5" xfId="26735"/>
    <cellStyle name="표준 5 2 2 3 25 3" xfId="4504"/>
    <cellStyle name="표준 5 2 2 3 25 3 2" xfId="10840"/>
    <cellStyle name="표준 5 2 2 3 25 3 2 2" xfId="23514"/>
    <cellStyle name="표준 5 2 2 3 25 3 2 2 2" xfId="48866"/>
    <cellStyle name="표준 5 2 2 3 25 3 2 3" xfId="36194"/>
    <cellStyle name="표준 5 2 2 3 25 3 3" xfId="17178"/>
    <cellStyle name="표준 5 2 2 3 25 3 3 2" xfId="42530"/>
    <cellStyle name="표준 5 2 2 3 25 3 4" xfId="29858"/>
    <cellStyle name="표준 5 2 2 3 25 4" xfId="7716"/>
    <cellStyle name="표준 5 2 2 3 25 4 2" xfId="20390"/>
    <cellStyle name="표준 5 2 2 3 25 4 2 2" xfId="45742"/>
    <cellStyle name="표준 5 2 2 3 25 4 3" xfId="33070"/>
    <cellStyle name="표준 5 2 2 3 25 5" xfId="14054"/>
    <cellStyle name="표준 5 2 2 3 25 5 2" xfId="39406"/>
    <cellStyle name="표준 5 2 2 3 25 6" xfId="26734"/>
    <cellStyle name="표준 5 2 2 3 26" xfId="1381"/>
    <cellStyle name="표준 5 2 2 3 26 2" xfId="1382"/>
    <cellStyle name="표준 5 2 2 3 26 2 2" xfId="4505"/>
    <cellStyle name="표준 5 2 2 3 26 2 2 2" xfId="10841"/>
    <cellStyle name="표준 5 2 2 3 26 2 2 2 2" xfId="23515"/>
    <cellStyle name="표준 5 2 2 3 26 2 2 2 2 2" xfId="48867"/>
    <cellStyle name="표준 5 2 2 3 26 2 2 2 3" xfId="36195"/>
    <cellStyle name="표준 5 2 2 3 26 2 2 3" xfId="17179"/>
    <cellStyle name="표준 5 2 2 3 26 2 2 3 2" xfId="42531"/>
    <cellStyle name="표준 5 2 2 3 26 2 2 4" xfId="29859"/>
    <cellStyle name="표준 5 2 2 3 26 2 3" xfId="7719"/>
    <cellStyle name="표준 5 2 2 3 26 2 3 2" xfId="20393"/>
    <cellStyle name="표준 5 2 2 3 26 2 3 2 2" xfId="45745"/>
    <cellStyle name="표준 5 2 2 3 26 2 3 3" xfId="33073"/>
    <cellStyle name="표준 5 2 2 3 26 2 4" xfId="14057"/>
    <cellStyle name="표준 5 2 2 3 26 2 4 2" xfId="39409"/>
    <cellStyle name="표준 5 2 2 3 26 2 5" xfId="26737"/>
    <cellStyle name="표준 5 2 2 3 26 3" xfId="4506"/>
    <cellStyle name="표준 5 2 2 3 26 3 2" xfId="10842"/>
    <cellStyle name="표준 5 2 2 3 26 3 2 2" xfId="23516"/>
    <cellStyle name="표준 5 2 2 3 26 3 2 2 2" xfId="48868"/>
    <cellStyle name="표준 5 2 2 3 26 3 2 3" xfId="36196"/>
    <cellStyle name="표준 5 2 2 3 26 3 3" xfId="17180"/>
    <cellStyle name="표준 5 2 2 3 26 3 3 2" xfId="42532"/>
    <cellStyle name="표준 5 2 2 3 26 3 4" xfId="29860"/>
    <cellStyle name="표준 5 2 2 3 26 4" xfId="7718"/>
    <cellStyle name="표준 5 2 2 3 26 4 2" xfId="20392"/>
    <cellStyle name="표준 5 2 2 3 26 4 2 2" xfId="45744"/>
    <cellStyle name="표준 5 2 2 3 26 4 3" xfId="33072"/>
    <cellStyle name="표준 5 2 2 3 26 5" xfId="14056"/>
    <cellStyle name="표준 5 2 2 3 26 5 2" xfId="39408"/>
    <cellStyle name="표준 5 2 2 3 26 6" xfId="26736"/>
    <cellStyle name="표준 5 2 2 3 27" xfId="1383"/>
    <cellStyle name="표준 5 2 2 3 27 2" xfId="1384"/>
    <cellStyle name="표준 5 2 2 3 27 2 2" xfId="4507"/>
    <cellStyle name="표준 5 2 2 3 27 2 2 2" xfId="10843"/>
    <cellStyle name="표준 5 2 2 3 27 2 2 2 2" xfId="23517"/>
    <cellStyle name="표준 5 2 2 3 27 2 2 2 2 2" xfId="48869"/>
    <cellStyle name="표준 5 2 2 3 27 2 2 2 3" xfId="36197"/>
    <cellStyle name="표준 5 2 2 3 27 2 2 3" xfId="17181"/>
    <cellStyle name="표준 5 2 2 3 27 2 2 3 2" xfId="42533"/>
    <cellStyle name="표준 5 2 2 3 27 2 2 4" xfId="29861"/>
    <cellStyle name="표준 5 2 2 3 27 2 3" xfId="7721"/>
    <cellStyle name="표준 5 2 2 3 27 2 3 2" xfId="20395"/>
    <cellStyle name="표준 5 2 2 3 27 2 3 2 2" xfId="45747"/>
    <cellStyle name="표준 5 2 2 3 27 2 3 3" xfId="33075"/>
    <cellStyle name="표준 5 2 2 3 27 2 4" xfId="14059"/>
    <cellStyle name="표준 5 2 2 3 27 2 4 2" xfId="39411"/>
    <cellStyle name="표준 5 2 2 3 27 2 5" xfId="26739"/>
    <cellStyle name="표준 5 2 2 3 27 3" xfId="4508"/>
    <cellStyle name="표준 5 2 2 3 27 3 2" xfId="10844"/>
    <cellStyle name="표준 5 2 2 3 27 3 2 2" xfId="23518"/>
    <cellStyle name="표준 5 2 2 3 27 3 2 2 2" xfId="48870"/>
    <cellStyle name="표준 5 2 2 3 27 3 2 3" xfId="36198"/>
    <cellStyle name="표준 5 2 2 3 27 3 3" xfId="17182"/>
    <cellStyle name="표준 5 2 2 3 27 3 3 2" xfId="42534"/>
    <cellStyle name="표준 5 2 2 3 27 3 4" xfId="29862"/>
    <cellStyle name="표준 5 2 2 3 27 4" xfId="7720"/>
    <cellStyle name="표준 5 2 2 3 27 4 2" xfId="20394"/>
    <cellStyle name="표준 5 2 2 3 27 4 2 2" xfId="45746"/>
    <cellStyle name="표준 5 2 2 3 27 4 3" xfId="33074"/>
    <cellStyle name="표준 5 2 2 3 27 5" xfId="14058"/>
    <cellStyle name="표준 5 2 2 3 27 5 2" xfId="39410"/>
    <cellStyle name="표준 5 2 2 3 27 6" xfId="26738"/>
    <cellStyle name="표준 5 2 2 3 28" xfId="1385"/>
    <cellStyle name="표준 5 2 2 3 28 2" xfId="1386"/>
    <cellStyle name="표준 5 2 2 3 28 2 2" xfId="4509"/>
    <cellStyle name="표준 5 2 2 3 28 2 2 2" xfId="10845"/>
    <cellStyle name="표준 5 2 2 3 28 2 2 2 2" xfId="23519"/>
    <cellStyle name="표준 5 2 2 3 28 2 2 2 2 2" xfId="48871"/>
    <cellStyle name="표준 5 2 2 3 28 2 2 2 3" xfId="36199"/>
    <cellStyle name="표준 5 2 2 3 28 2 2 3" xfId="17183"/>
    <cellStyle name="표준 5 2 2 3 28 2 2 3 2" xfId="42535"/>
    <cellStyle name="표준 5 2 2 3 28 2 2 4" xfId="29863"/>
    <cellStyle name="표준 5 2 2 3 28 2 3" xfId="7723"/>
    <cellStyle name="표준 5 2 2 3 28 2 3 2" xfId="20397"/>
    <cellStyle name="표준 5 2 2 3 28 2 3 2 2" xfId="45749"/>
    <cellStyle name="표준 5 2 2 3 28 2 3 3" xfId="33077"/>
    <cellStyle name="표준 5 2 2 3 28 2 4" xfId="14061"/>
    <cellStyle name="표준 5 2 2 3 28 2 4 2" xfId="39413"/>
    <cellStyle name="표준 5 2 2 3 28 2 5" xfId="26741"/>
    <cellStyle name="표준 5 2 2 3 28 3" xfId="4510"/>
    <cellStyle name="표준 5 2 2 3 28 3 2" xfId="10846"/>
    <cellStyle name="표준 5 2 2 3 28 3 2 2" xfId="23520"/>
    <cellStyle name="표준 5 2 2 3 28 3 2 2 2" xfId="48872"/>
    <cellStyle name="표준 5 2 2 3 28 3 2 3" xfId="36200"/>
    <cellStyle name="표준 5 2 2 3 28 3 3" xfId="17184"/>
    <cellStyle name="표준 5 2 2 3 28 3 3 2" xfId="42536"/>
    <cellStyle name="표준 5 2 2 3 28 3 4" xfId="29864"/>
    <cellStyle name="표준 5 2 2 3 28 4" xfId="7722"/>
    <cellStyle name="표준 5 2 2 3 28 4 2" xfId="20396"/>
    <cellStyle name="표준 5 2 2 3 28 4 2 2" xfId="45748"/>
    <cellStyle name="표준 5 2 2 3 28 4 3" xfId="33076"/>
    <cellStyle name="표준 5 2 2 3 28 5" xfId="14060"/>
    <cellStyle name="표준 5 2 2 3 28 5 2" xfId="39412"/>
    <cellStyle name="표준 5 2 2 3 28 6" xfId="26740"/>
    <cellStyle name="표준 5 2 2 3 29" xfId="1387"/>
    <cellStyle name="표준 5 2 2 3 29 2" xfId="1388"/>
    <cellStyle name="표준 5 2 2 3 29 2 2" xfId="4511"/>
    <cellStyle name="표준 5 2 2 3 29 2 2 2" xfId="10847"/>
    <cellStyle name="표준 5 2 2 3 29 2 2 2 2" xfId="23521"/>
    <cellStyle name="표준 5 2 2 3 29 2 2 2 2 2" xfId="48873"/>
    <cellStyle name="표준 5 2 2 3 29 2 2 2 3" xfId="36201"/>
    <cellStyle name="표준 5 2 2 3 29 2 2 3" xfId="17185"/>
    <cellStyle name="표준 5 2 2 3 29 2 2 3 2" xfId="42537"/>
    <cellStyle name="표준 5 2 2 3 29 2 2 4" xfId="29865"/>
    <cellStyle name="표준 5 2 2 3 29 2 3" xfId="7725"/>
    <cellStyle name="표준 5 2 2 3 29 2 3 2" xfId="20399"/>
    <cellStyle name="표준 5 2 2 3 29 2 3 2 2" xfId="45751"/>
    <cellStyle name="표준 5 2 2 3 29 2 3 3" xfId="33079"/>
    <cellStyle name="표준 5 2 2 3 29 2 4" xfId="14063"/>
    <cellStyle name="표준 5 2 2 3 29 2 4 2" xfId="39415"/>
    <cellStyle name="표준 5 2 2 3 29 2 5" xfId="26743"/>
    <cellStyle name="표준 5 2 2 3 29 3" xfId="4512"/>
    <cellStyle name="표준 5 2 2 3 29 3 2" xfId="10848"/>
    <cellStyle name="표준 5 2 2 3 29 3 2 2" xfId="23522"/>
    <cellStyle name="표준 5 2 2 3 29 3 2 2 2" xfId="48874"/>
    <cellStyle name="표준 5 2 2 3 29 3 2 3" xfId="36202"/>
    <cellStyle name="표준 5 2 2 3 29 3 3" xfId="17186"/>
    <cellStyle name="표준 5 2 2 3 29 3 3 2" xfId="42538"/>
    <cellStyle name="표준 5 2 2 3 29 3 4" xfId="29866"/>
    <cellStyle name="표준 5 2 2 3 29 4" xfId="7724"/>
    <cellStyle name="표준 5 2 2 3 29 4 2" xfId="20398"/>
    <cellStyle name="표준 5 2 2 3 29 4 2 2" xfId="45750"/>
    <cellStyle name="표준 5 2 2 3 29 4 3" xfId="33078"/>
    <cellStyle name="표준 5 2 2 3 29 5" xfId="14062"/>
    <cellStyle name="표준 5 2 2 3 29 5 2" xfId="39414"/>
    <cellStyle name="표준 5 2 2 3 29 6" xfId="26742"/>
    <cellStyle name="표준 5 2 2 3 3" xfId="1389"/>
    <cellStyle name="표준 5 2 2 3 3 2" xfId="1390"/>
    <cellStyle name="표준 5 2 2 3 3 2 2" xfId="4513"/>
    <cellStyle name="표준 5 2 2 3 3 2 2 2" xfId="10849"/>
    <cellStyle name="표준 5 2 2 3 3 2 2 2 2" xfId="23523"/>
    <cellStyle name="표준 5 2 2 3 3 2 2 2 2 2" xfId="48875"/>
    <cellStyle name="표준 5 2 2 3 3 2 2 2 3" xfId="36203"/>
    <cellStyle name="표준 5 2 2 3 3 2 2 3" xfId="17187"/>
    <cellStyle name="표준 5 2 2 3 3 2 2 3 2" xfId="42539"/>
    <cellStyle name="표준 5 2 2 3 3 2 2 4" xfId="29867"/>
    <cellStyle name="표준 5 2 2 3 3 2 3" xfId="7727"/>
    <cellStyle name="표준 5 2 2 3 3 2 3 2" xfId="20401"/>
    <cellStyle name="표준 5 2 2 3 3 2 3 2 2" xfId="45753"/>
    <cellStyle name="표준 5 2 2 3 3 2 3 3" xfId="33081"/>
    <cellStyle name="표준 5 2 2 3 3 2 4" xfId="14065"/>
    <cellStyle name="표준 5 2 2 3 3 2 4 2" xfId="39417"/>
    <cellStyle name="표준 5 2 2 3 3 2 5" xfId="26745"/>
    <cellStyle name="표준 5 2 2 3 3 3" xfId="4514"/>
    <cellStyle name="표준 5 2 2 3 3 3 2" xfId="10850"/>
    <cellStyle name="표준 5 2 2 3 3 3 2 2" xfId="23524"/>
    <cellStyle name="표준 5 2 2 3 3 3 2 2 2" xfId="48876"/>
    <cellStyle name="표준 5 2 2 3 3 3 2 3" xfId="36204"/>
    <cellStyle name="표준 5 2 2 3 3 3 3" xfId="17188"/>
    <cellStyle name="표준 5 2 2 3 3 3 3 2" xfId="42540"/>
    <cellStyle name="표준 5 2 2 3 3 3 4" xfId="29868"/>
    <cellStyle name="표준 5 2 2 3 3 4" xfId="7726"/>
    <cellStyle name="표준 5 2 2 3 3 4 2" xfId="20400"/>
    <cellStyle name="표준 5 2 2 3 3 4 2 2" xfId="45752"/>
    <cellStyle name="표준 5 2 2 3 3 4 3" xfId="33080"/>
    <cellStyle name="표준 5 2 2 3 3 5" xfId="14064"/>
    <cellStyle name="표준 5 2 2 3 3 5 2" xfId="39416"/>
    <cellStyle name="표준 5 2 2 3 3 6" xfId="26744"/>
    <cellStyle name="표준 5 2 2 3 30" xfId="1391"/>
    <cellStyle name="표준 5 2 2 3 30 2" xfId="1392"/>
    <cellStyle name="표준 5 2 2 3 30 2 2" xfId="4515"/>
    <cellStyle name="표준 5 2 2 3 30 2 2 2" xfId="10851"/>
    <cellStyle name="표준 5 2 2 3 30 2 2 2 2" xfId="23525"/>
    <cellStyle name="표준 5 2 2 3 30 2 2 2 2 2" xfId="48877"/>
    <cellStyle name="표준 5 2 2 3 30 2 2 2 3" xfId="36205"/>
    <cellStyle name="표준 5 2 2 3 30 2 2 3" xfId="17189"/>
    <cellStyle name="표준 5 2 2 3 30 2 2 3 2" xfId="42541"/>
    <cellStyle name="표준 5 2 2 3 30 2 2 4" xfId="29869"/>
    <cellStyle name="표준 5 2 2 3 30 2 3" xfId="7729"/>
    <cellStyle name="표준 5 2 2 3 30 2 3 2" xfId="20403"/>
    <cellStyle name="표준 5 2 2 3 30 2 3 2 2" xfId="45755"/>
    <cellStyle name="표준 5 2 2 3 30 2 3 3" xfId="33083"/>
    <cellStyle name="표준 5 2 2 3 30 2 4" xfId="14067"/>
    <cellStyle name="표준 5 2 2 3 30 2 4 2" xfId="39419"/>
    <cellStyle name="표준 5 2 2 3 30 2 5" xfId="26747"/>
    <cellStyle name="표준 5 2 2 3 30 3" xfId="4516"/>
    <cellStyle name="표준 5 2 2 3 30 3 2" xfId="10852"/>
    <cellStyle name="표준 5 2 2 3 30 3 2 2" xfId="23526"/>
    <cellStyle name="표준 5 2 2 3 30 3 2 2 2" xfId="48878"/>
    <cellStyle name="표준 5 2 2 3 30 3 2 3" xfId="36206"/>
    <cellStyle name="표준 5 2 2 3 30 3 3" xfId="17190"/>
    <cellStyle name="표준 5 2 2 3 30 3 3 2" xfId="42542"/>
    <cellStyle name="표준 5 2 2 3 30 3 4" xfId="29870"/>
    <cellStyle name="표준 5 2 2 3 30 4" xfId="7728"/>
    <cellStyle name="표준 5 2 2 3 30 4 2" xfId="20402"/>
    <cellStyle name="표준 5 2 2 3 30 4 2 2" xfId="45754"/>
    <cellStyle name="표준 5 2 2 3 30 4 3" xfId="33082"/>
    <cellStyle name="표준 5 2 2 3 30 5" xfId="14066"/>
    <cellStyle name="표준 5 2 2 3 30 5 2" xfId="39418"/>
    <cellStyle name="표준 5 2 2 3 30 6" xfId="26746"/>
    <cellStyle name="표준 5 2 2 3 31" xfId="1393"/>
    <cellStyle name="표준 5 2 2 3 31 2" xfId="1394"/>
    <cellStyle name="표준 5 2 2 3 31 2 2" xfId="4517"/>
    <cellStyle name="표준 5 2 2 3 31 2 2 2" xfId="10853"/>
    <cellStyle name="표준 5 2 2 3 31 2 2 2 2" xfId="23527"/>
    <cellStyle name="표준 5 2 2 3 31 2 2 2 2 2" xfId="48879"/>
    <cellStyle name="표준 5 2 2 3 31 2 2 2 3" xfId="36207"/>
    <cellStyle name="표준 5 2 2 3 31 2 2 3" xfId="17191"/>
    <cellStyle name="표준 5 2 2 3 31 2 2 3 2" xfId="42543"/>
    <cellStyle name="표준 5 2 2 3 31 2 2 4" xfId="29871"/>
    <cellStyle name="표준 5 2 2 3 31 2 3" xfId="7731"/>
    <cellStyle name="표준 5 2 2 3 31 2 3 2" xfId="20405"/>
    <cellStyle name="표준 5 2 2 3 31 2 3 2 2" xfId="45757"/>
    <cellStyle name="표준 5 2 2 3 31 2 3 3" xfId="33085"/>
    <cellStyle name="표준 5 2 2 3 31 2 4" xfId="14069"/>
    <cellStyle name="표준 5 2 2 3 31 2 4 2" xfId="39421"/>
    <cellStyle name="표준 5 2 2 3 31 2 5" xfId="26749"/>
    <cellStyle name="표준 5 2 2 3 31 3" xfId="4518"/>
    <cellStyle name="표준 5 2 2 3 31 3 2" xfId="10854"/>
    <cellStyle name="표준 5 2 2 3 31 3 2 2" xfId="23528"/>
    <cellStyle name="표준 5 2 2 3 31 3 2 2 2" xfId="48880"/>
    <cellStyle name="표준 5 2 2 3 31 3 2 3" xfId="36208"/>
    <cellStyle name="표준 5 2 2 3 31 3 3" xfId="17192"/>
    <cellStyle name="표준 5 2 2 3 31 3 3 2" xfId="42544"/>
    <cellStyle name="표준 5 2 2 3 31 3 4" xfId="29872"/>
    <cellStyle name="표준 5 2 2 3 31 4" xfId="7730"/>
    <cellStyle name="표준 5 2 2 3 31 4 2" xfId="20404"/>
    <cellStyle name="표준 5 2 2 3 31 4 2 2" xfId="45756"/>
    <cellStyle name="표준 5 2 2 3 31 4 3" xfId="33084"/>
    <cellStyle name="표준 5 2 2 3 31 5" xfId="14068"/>
    <cellStyle name="표준 5 2 2 3 31 5 2" xfId="39420"/>
    <cellStyle name="표준 5 2 2 3 31 6" xfId="26748"/>
    <cellStyle name="표준 5 2 2 3 32" xfId="1395"/>
    <cellStyle name="표준 5 2 2 3 32 2" xfId="1396"/>
    <cellStyle name="표준 5 2 2 3 32 2 2" xfId="4519"/>
    <cellStyle name="표준 5 2 2 3 32 2 2 2" xfId="10855"/>
    <cellStyle name="표준 5 2 2 3 32 2 2 2 2" xfId="23529"/>
    <cellStyle name="표준 5 2 2 3 32 2 2 2 2 2" xfId="48881"/>
    <cellStyle name="표준 5 2 2 3 32 2 2 2 3" xfId="36209"/>
    <cellStyle name="표준 5 2 2 3 32 2 2 3" xfId="17193"/>
    <cellStyle name="표준 5 2 2 3 32 2 2 3 2" xfId="42545"/>
    <cellStyle name="표준 5 2 2 3 32 2 2 4" xfId="29873"/>
    <cellStyle name="표준 5 2 2 3 32 2 3" xfId="7733"/>
    <cellStyle name="표준 5 2 2 3 32 2 3 2" xfId="20407"/>
    <cellStyle name="표준 5 2 2 3 32 2 3 2 2" xfId="45759"/>
    <cellStyle name="표준 5 2 2 3 32 2 3 3" xfId="33087"/>
    <cellStyle name="표준 5 2 2 3 32 2 4" xfId="14071"/>
    <cellStyle name="표준 5 2 2 3 32 2 4 2" xfId="39423"/>
    <cellStyle name="표준 5 2 2 3 32 2 5" xfId="26751"/>
    <cellStyle name="표준 5 2 2 3 32 3" xfId="4520"/>
    <cellStyle name="표준 5 2 2 3 32 3 2" xfId="10856"/>
    <cellStyle name="표준 5 2 2 3 32 3 2 2" xfId="23530"/>
    <cellStyle name="표준 5 2 2 3 32 3 2 2 2" xfId="48882"/>
    <cellStyle name="표준 5 2 2 3 32 3 2 3" xfId="36210"/>
    <cellStyle name="표준 5 2 2 3 32 3 3" xfId="17194"/>
    <cellStyle name="표준 5 2 2 3 32 3 3 2" xfId="42546"/>
    <cellStyle name="표준 5 2 2 3 32 3 4" xfId="29874"/>
    <cellStyle name="표준 5 2 2 3 32 4" xfId="7732"/>
    <cellStyle name="표준 5 2 2 3 32 4 2" xfId="20406"/>
    <cellStyle name="표준 5 2 2 3 32 4 2 2" xfId="45758"/>
    <cellStyle name="표준 5 2 2 3 32 4 3" xfId="33086"/>
    <cellStyle name="표준 5 2 2 3 32 5" xfId="14070"/>
    <cellStyle name="표준 5 2 2 3 32 5 2" xfId="39422"/>
    <cellStyle name="표준 5 2 2 3 32 6" xfId="26750"/>
    <cellStyle name="표준 5 2 2 3 33" xfId="1397"/>
    <cellStyle name="표준 5 2 2 3 33 2" xfId="1398"/>
    <cellStyle name="표준 5 2 2 3 33 2 2" xfId="4521"/>
    <cellStyle name="표준 5 2 2 3 33 2 2 2" xfId="10857"/>
    <cellStyle name="표준 5 2 2 3 33 2 2 2 2" xfId="23531"/>
    <cellStyle name="표준 5 2 2 3 33 2 2 2 2 2" xfId="48883"/>
    <cellStyle name="표준 5 2 2 3 33 2 2 2 3" xfId="36211"/>
    <cellStyle name="표준 5 2 2 3 33 2 2 3" xfId="17195"/>
    <cellStyle name="표준 5 2 2 3 33 2 2 3 2" xfId="42547"/>
    <cellStyle name="표준 5 2 2 3 33 2 2 4" xfId="29875"/>
    <cellStyle name="표준 5 2 2 3 33 2 3" xfId="7735"/>
    <cellStyle name="표준 5 2 2 3 33 2 3 2" xfId="20409"/>
    <cellStyle name="표준 5 2 2 3 33 2 3 2 2" xfId="45761"/>
    <cellStyle name="표준 5 2 2 3 33 2 3 3" xfId="33089"/>
    <cellStyle name="표준 5 2 2 3 33 2 4" xfId="14073"/>
    <cellStyle name="표준 5 2 2 3 33 2 4 2" xfId="39425"/>
    <cellStyle name="표준 5 2 2 3 33 2 5" xfId="26753"/>
    <cellStyle name="표준 5 2 2 3 33 3" xfId="4522"/>
    <cellStyle name="표준 5 2 2 3 33 3 2" xfId="10858"/>
    <cellStyle name="표준 5 2 2 3 33 3 2 2" xfId="23532"/>
    <cellStyle name="표준 5 2 2 3 33 3 2 2 2" xfId="48884"/>
    <cellStyle name="표준 5 2 2 3 33 3 2 3" xfId="36212"/>
    <cellStyle name="표준 5 2 2 3 33 3 3" xfId="17196"/>
    <cellStyle name="표준 5 2 2 3 33 3 3 2" xfId="42548"/>
    <cellStyle name="표준 5 2 2 3 33 3 4" xfId="29876"/>
    <cellStyle name="표준 5 2 2 3 33 4" xfId="7734"/>
    <cellStyle name="표준 5 2 2 3 33 4 2" xfId="20408"/>
    <cellStyle name="표준 5 2 2 3 33 4 2 2" xfId="45760"/>
    <cellStyle name="표준 5 2 2 3 33 4 3" xfId="33088"/>
    <cellStyle name="표준 5 2 2 3 33 5" xfId="14072"/>
    <cellStyle name="표준 5 2 2 3 33 5 2" xfId="39424"/>
    <cellStyle name="표준 5 2 2 3 33 6" xfId="26752"/>
    <cellStyle name="표준 5 2 2 3 34" xfId="1399"/>
    <cellStyle name="표준 5 2 2 3 34 2" xfId="4523"/>
    <cellStyle name="표준 5 2 2 3 34 2 2" xfId="10859"/>
    <cellStyle name="표준 5 2 2 3 34 2 2 2" xfId="23533"/>
    <cellStyle name="표준 5 2 2 3 34 2 2 2 2" xfId="48885"/>
    <cellStyle name="표준 5 2 2 3 34 2 2 3" xfId="36213"/>
    <cellStyle name="표준 5 2 2 3 34 2 3" xfId="17197"/>
    <cellStyle name="표준 5 2 2 3 34 2 3 2" xfId="42549"/>
    <cellStyle name="표준 5 2 2 3 34 2 4" xfId="29877"/>
    <cellStyle name="표준 5 2 2 3 34 3" xfId="7736"/>
    <cellStyle name="표준 5 2 2 3 34 3 2" xfId="20410"/>
    <cellStyle name="표준 5 2 2 3 34 3 2 2" xfId="45762"/>
    <cellStyle name="표준 5 2 2 3 34 3 3" xfId="33090"/>
    <cellStyle name="표준 5 2 2 3 34 4" xfId="14074"/>
    <cellStyle name="표준 5 2 2 3 34 4 2" xfId="39426"/>
    <cellStyle name="표준 5 2 2 3 34 5" xfId="26754"/>
    <cellStyle name="표준 5 2 2 3 35" xfId="4524"/>
    <cellStyle name="표준 5 2 2 3 35 2" xfId="10860"/>
    <cellStyle name="표준 5 2 2 3 35 2 2" xfId="23534"/>
    <cellStyle name="표준 5 2 2 3 35 2 2 2" xfId="48886"/>
    <cellStyle name="표준 5 2 2 3 35 2 3" xfId="36214"/>
    <cellStyle name="표준 5 2 2 3 35 3" xfId="17198"/>
    <cellStyle name="표준 5 2 2 3 35 3 2" xfId="42550"/>
    <cellStyle name="표준 5 2 2 3 35 4" xfId="29878"/>
    <cellStyle name="표준 5 2 2 3 36" xfId="6413"/>
    <cellStyle name="표준 5 2 2 3 36 2" xfId="19087"/>
    <cellStyle name="표준 5 2 2 3 36 2 2" xfId="44439"/>
    <cellStyle name="표준 5 2 2 3 36 3" xfId="31767"/>
    <cellStyle name="표준 5 2 2 3 37" xfId="12751"/>
    <cellStyle name="표준 5 2 2 3 37 2" xfId="38103"/>
    <cellStyle name="표준 5 2 2 3 38" xfId="25431"/>
    <cellStyle name="표준 5 2 2 3 4" xfId="1400"/>
    <cellStyle name="표준 5 2 2 3 4 2" xfId="1401"/>
    <cellStyle name="표준 5 2 2 3 4 2 2" xfId="4525"/>
    <cellStyle name="표준 5 2 2 3 4 2 2 2" xfId="10861"/>
    <cellStyle name="표준 5 2 2 3 4 2 2 2 2" xfId="23535"/>
    <cellStyle name="표준 5 2 2 3 4 2 2 2 2 2" xfId="48887"/>
    <cellStyle name="표준 5 2 2 3 4 2 2 2 3" xfId="36215"/>
    <cellStyle name="표준 5 2 2 3 4 2 2 3" xfId="17199"/>
    <cellStyle name="표준 5 2 2 3 4 2 2 3 2" xfId="42551"/>
    <cellStyle name="표준 5 2 2 3 4 2 2 4" xfId="29879"/>
    <cellStyle name="표준 5 2 2 3 4 2 3" xfId="7738"/>
    <cellStyle name="표준 5 2 2 3 4 2 3 2" xfId="20412"/>
    <cellStyle name="표준 5 2 2 3 4 2 3 2 2" xfId="45764"/>
    <cellStyle name="표준 5 2 2 3 4 2 3 3" xfId="33092"/>
    <cellStyle name="표준 5 2 2 3 4 2 4" xfId="14076"/>
    <cellStyle name="표준 5 2 2 3 4 2 4 2" xfId="39428"/>
    <cellStyle name="표준 5 2 2 3 4 2 5" xfId="26756"/>
    <cellStyle name="표준 5 2 2 3 4 3" xfId="4526"/>
    <cellStyle name="표준 5 2 2 3 4 3 2" xfId="10862"/>
    <cellStyle name="표준 5 2 2 3 4 3 2 2" xfId="23536"/>
    <cellStyle name="표준 5 2 2 3 4 3 2 2 2" xfId="48888"/>
    <cellStyle name="표준 5 2 2 3 4 3 2 3" xfId="36216"/>
    <cellStyle name="표준 5 2 2 3 4 3 3" xfId="17200"/>
    <cellStyle name="표준 5 2 2 3 4 3 3 2" xfId="42552"/>
    <cellStyle name="표준 5 2 2 3 4 3 4" xfId="29880"/>
    <cellStyle name="표준 5 2 2 3 4 4" xfId="7737"/>
    <cellStyle name="표준 5 2 2 3 4 4 2" xfId="20411"/>
    <cellStyle name="표준 5 2 2 3 4 4 2 2" xfId="45763"/>
    <cellStyle name="표준 5 2 2 3 4 4 3" xfId="33091"/>
    <cellStyle name="표준 5 2 2 3 4 5" xfId="14075"/>
    <cellStyle name="표준 5 2 2 3 4 5 2" xfId="39427"/>
    <cellStyle name="표준 5 2 2 3 4 6" xfId="26755"/>
    <cellStyle name="표준 5 2 2 3 5" xfId="1402"/>
    <cellStyle name="표준 5 2 2 3 5 2" xfId="1403"/>
    <cellStyle name="표준 5 2 2 3 5 2 2" xfId="4527"/>
    <cellStyle name="표준 5 2 2 3 5 2 2 2" xfId="10863"/>
    <cellStyle name="표준 5 2 2 3 5 2 2 2 2" xfId="23537"/>
    <cellStyle name="표준 5 2 2 3 5 2 2 2 2 2" xfId="48889"/>
    <cellStyle name="표준 5 2 2 3 5 2 2 2 3" xfId="36217"/>
    <cellStyle name="표준 5 2 2 3 5 2 2 3" xfId="17201"/>
    <cellStyle name="표준 5 2 2 3 5 2 2 3 2" xfId="42553"/>
    <cellStyle name="표준 5 2 2 3 5 2 2 4" xfId="29881"/>
    <cellStyle name="표준 5 2 2 3 5 2 3" xfId="7740"/>
    <cellStyle name="표준 5 2 2 3 5 2 3 2" xfId="20414"/>
    <cellStyle name="표준 5 2 2 3 5 2 3 2 2" xfId="45766"/>
    <cellStyle name="표준 5 2 2 3 5 2 3 3" xfId="33094"/>
    <cellStyle name="표준 5 2 2 3 5 2 4" xfId="14078"/>
    <cellStyle name="표준 5 2 2 3 5 2 4 2" xfId="39430"/>
    <cellStyle name="표준 5 2 2 3 5 2 5" xfId="26758"/>
    <cellStyle name="표준 5 2 2 3 5 3" xfId="4528"/>
    <cellStyle name="표준 5 2 2 3 5 3 2" xfId="10864"/>
    <cellStyle name="표준 5 2 2 3 5 3 2 2" xfId="23538"/>
    <cellStyle name="표준 5 2 2 3 5 3 2 2 2" xfId="48890"/>
    <cellStyle name="표준 5 2 2 3 5 3 2 3" xfId="36218"/>
    <cellStyle name="표준 5 2 2 3 5 3 3" xfId="17202"/>
    <cellStyle name="표준 5 2 2 3 5 3 3 2" xfId="42554"/>
    <cellStyle name="표준 5 2 2 3 5 3 4" xfId="29882"/>
    <cellStyle name="표준 5 2 2 3 5 4" xfId="7739"/>
    <cellStyle name="표준 5 2 2 3 5 4 2" xfId="20413"/>
    <cellStyle name="표준 5 2 2 3 5 4 2 2" xfId="45765"/>
    <cellStyle name="표준 5 2 2 3 5 4 3" xfId="33093"/>
    <cellStyle name="표준 5 2 2 3 5 5" xfId="14077"/>
    <cellStyle name="표준 5 2 2 3 5 5 2" xfId="39429"/>
    <cellStyle name="표준 5 2 2 3 5 6" xfId="26757"/>
    <cellStyle name="표준 5 2 2 3 6" xfId="1404"/>
    <cellStyle name="표준 5 2 2 3 6 2" xfId="1405"/>
    <cellStyle name="표준 5 2 2 3 6 2 2" xfId="4529"/>
    <cellStyle name="표준 5 2 2 3 6 2 2 2" xfId="10865"/>
    <cellStyle name="표준 5 2 2 3 6 2 2 2 2" xfId="23539"/>
    <cellStyle name="표준 5 2 2 3 6 2 2 2 2 2" xfId="48891"/>
    <cellStyle name="표준 5 2 2 3 6 2 2 2 3" xfId="36219"/>
    <cellStyle name="표준 5 2 2 3 6 2 2 3" xfId="17203"/>
    <cellStyle name="표준 5 2 2 3 6 2 2 3 2" xfId="42555"/>
    <cellStyle name="표준 5 2 2 3 6 2 2 4" xfId="29883"/>
    <cellStyle name="표준 5 2 2 3 6 2 3" xfId="7742"/>
    <cellStyle name="표준 5 2 2 3 6 2 3 2" xfId="20416"/>
    <cellStyle name="표준 5 2 2 3 6 2 3 2 2" xfId="45768"/>
    <cellStyle name="표준 5 2 2 3 6 2 3 3" xfId="33096"/>
    <cellStyle name="표준 5 2 2 3 6 2 4" xfId="14080"/>
    <cellStyle name="표준 5 2 2 3 6 2 4 2" xfId="39432"/>
    <cellStyle name="표준 5 2 2 3 6 2 5" xfId="26760"/>
    <cellStyle name="표준 5 2 2 3 6 3" xfId="4530"/>
    <cellStyle name="표준 5 2 2 3 6 3 2" xfId="10866"/>
    <cellStyle name="표준 5 2 2 3 6 3 2 2" xfId="23540"/>
    <cellStyle name="표준 5 2 2 3 6 3 2 2 2" xfId="48892"/>
    <cellStyle name="표준 5 2 2 3 6 3 2 3" xfId="36220"/>
    <cellStyle name="표준 5 2 2 3 6 3 3" xfId="17204"/>
    <cellStyle name="표준 5 2 2 3 6 3 3 2" xfId="42556"/>
    <cellStyle name="표준 5 2 2 3 6 3 4" xfId="29884"/>
    <cellStyle name="표준 5 2 2 3 6 4" xfId="7741"/>
    <cellStyle name="표준 5 2 2 3 6 4 2" xfId="20415"/>
    <cellStyle name="표준 5 2 2 3 6 4 2 2" xfId="45767"/>
    <cellStyle name="표준 5 2 2 3 6 4 3" xfId="33095"/>
    <cellStyle name="표준 5 2 2 3 6 5" xfId="14079"/>
    <cellStyle name="표준 5 2 2 3 6 5 2" xfId="39431"/>
    <cellStyle name="표준 5 2 2 3 6 6" xfId="26759"/>
    <cellStyle name="표준 5 2 2 3 7" xfId="1406"/>
    <cellStyle name="표준 5 2 2 3 7 2" xfId="1407"/>
    <cellStyle name="표준 5 2 2 3 7 2 2" xfId="4531"/>
    <cellStyle name="표준 5 2 2 3 7 2 2 2" xfId="10867"/>
    <cellStyle name="표준 5 2 2 3 7 2 2 2 2" xfId="23541"/>
    <cellStyle name="표준 5 2 2 3 7 2 2 2 2 2" xfId="48893"/>
    <cellStyle name="표준 5 2 2 3 7 2 2 2 3" xfId="36221"/>
    <cellStyle name="표준 5 2 2 3 7 2 2 3" xfId="17205"/>
    <cellStyle name="표준 5 2 2 3 7 2 2 3 2" xfId="42557"/>
    <cellStyle name="표준 5 2 2 3 7 2 2 4" xfId="29885"/>
    <cellStyle name="표준 5 2 2 3 7 2 3" xfId="7744"/>
    <cellStyle name="표준 5 2 2 3 7 2 3 2" xfId="20418"/>
    <cellStyle name="표준 5 2 2 3 7 2 3 2 2" xfId="45770"/>
    <cellStyle name="표준 5 2 2 3 7 2 3 3" xfId="33098"/>
    <cellStyle name="표준 5 2 2 3 7 2 4" xfId="14082"/>
    <cellStyle name="표준 5 2 2 3 7 2 4 2" xfId="39434"/>
    <cellStyle name="표준 5 2 2 3 7 2 5" xfId="26762"/>
    <cellStyle name="표준 5 2 2 3 7 3" xfId="4532"/>
    <cellStyle name="표준 5 2 2 3 7 3 2" xfId="10868"/>
    <cellStyle name="표준 5 2 2 3 7 3 2 2" xfId="23542"/>
    <cellStyle name="표준 5 2 2 3 7 3 2 2 2" xfId="48894"/>
    <cellStyle name="표준 5 2 2 3 7 3 2 3" xfId="36222"/>
    <cellStyle name="표준 5 2 2 3 7 3 3" xfId="17206"/>
    <cellStyle name="표준 5 2 2 3 7 3 3 2" xfId="42558"/>
    <cellStyle name="표준 5 2 2 3 7 3 4" xfId="29886"/>
    <cellStyle name="표준 5 2 2 3 7 4" xfId="7743"/>
    <cellStyle name="표준 5 2 2 3 7 4 2" xfId="20417"/>
    <cellStyle name="표준 5 2 2 3 7 4 2 2" xfId="45769"/>
    <cellStyle name="표준 5 2 2 3 7 4 3" xfId="33097"/>
    <cellStyle name="표준 5 2 2 3 7 5" xfId="14081"/>
    <cellStyle name="표준 5 2 2 3 7 5 2" xfId="39433"/>
    <cellStyle name="표준 5 2 2 3 7 6" xfId="26761"/>
    <cellStyle name="표준 5 2 2 3 8" xfId="1408"/>
    <cellStyle name="표준 5 2 2 3 8 2" xfId="1409"/>
    <cellStyle name="표준 5 2 2 3 8 2 2" xfId="4533"/>
    <cellStyle name="표준 5 2 2 3 8 2 2 2" xfId="10869"/>
    <cellStyle name="표준 5 2 2 3 8 2 2 2 2" xfId="23543"/>
    <cellStyle name="표준 5 2 2 3 8 2 2 2 2 2" xfId="48895"/>
    <cellStyle name="표준 5 2 2 3 8 2 2 2 3" xfId="36223"/>
    <cellStyle name="표준 5 2 2 3 8 2 2 3" xfId="17207"/>
    <cellStyle name="표준 5 2 2 3 8 2 2 3 2" xfId="42559"/>
    <cellStyle name="표준 5 2 2 3 8 2 2 4" xfId="29887"/>
    <cellStyle name="표준 5 2 2 3 8 2 3" xfId="7746"/>
    <cellStyle name="표준 5 2 2 3 8 2 3 2" xfId="20420"/>
    <cellStyle name="표준 5 2 2 3 8 2 3 2 2" xfId="45772"/>
    <cellStyle name="표준 5 2 2 3 8 2 3 3" xfId="33100"/>
    <cellStyle name="표준 5 2 2 3 8 2 4" xfId="14084"/>
    <cellStyle name="표준 5 2 2 3 8 2 4 2" xfId="39436"/>
    <cellStyle name="표준 5 2 2 3 8 2 5" xfId="26764"/>
    <cellStyle name="표준 5 2 2 3 8 3" xfId="4534"/>
    <cellStyle name="표준 5 2 2 3 8 3 2" xfId="10870"/>
    <cellStyle name="표준 5 2 2 3 8 3 2 2" xfId="23544"/>
    <cellStyle name="표준 5 2 2 3 8 3 2 2 2" xfId="48896"/>
    <cellStyle name="표준 5 2 2 3 8 3 2 3" xfId="36224"/>
    <cellStyle name="표준 5 2 2 3 8 3 3" xfId="17208"/>
    <cellStyle name="표준 5 2 2 3 8 3 3 2" xfId="42560"/>
    <cellStyle name="표준 5 2 2 3 8 3 4" xfId="29888"/>
    <cellStyle name="표준 5 2 2 3 8 4" xfId="7745"/>
    <cellStyle name="표준 5 2 2 3 8 4 2" xfId="20419"/>
    <cellStyle name="표준 5 2 2 3 8 4 2 2" xfId="45771"/>
    <cellStyle name="표준 5 2 2 3 8 4 3" xfId="33099"/>
    <cellStyle name="표준 5 2 2 3 8 5" xfId="14083"/>
    <cellStyle name="표준 5 2 2 3 8 5 2" xfId="39435"/>
    <cellStyle name="표준 5 2 2 3 8 6" xfId="26763"/>
    <cellStyle name="표준 5 2 2 3 9" xfId="1410"/>
    <cellStyle name="표준 5 2 2 3 9 2" xfId="1411"/>
    <cellStyle name="표준 5 2 2 3 9 2 2" xfId="4535"/>
    <cellStyle name="표준 5 2 2 3 9 2 2 2" xfId="10871"/>
    <cellStyle name="표준 5 2 2 3 9 2 2 2 2" xfId="23545"/>
    <cellStyle name="표준 5 2 2 3 9 2 2 2 2 2" xfId="48897"/>
    <cellStyle name="표준 5 2 2 3 9 2 2 2 3" xfId="36225"/>
    <cellStyle name="표준 5 2 2 3 9 2 2 3" xfId="17209"/>
    <cellStyle name="표준 5 2 2 3 9 2 2 3 2" xfId="42561"/>
    <cellStyle name="표준 5 2 2 3 9 2 2 4" xfId="29889"/>
    <cellStyle name="표준 5 2 2 3 9 2 3" xfId="7748"/>
    <cellStyle name="표준 5 2 2 3 9 2 3 2" xfId="20422"/>
    <cellStyle name="표준 5 2 2 3 9 2 3 2 2" xfId="45774"/>
    <cellStyle name="표준 5 2 2 3 9 2 3 3" xfId="33102"/>
    <cellStyle name="표준 5 2 2 3 9 2 4" xfId="14086"/>
    <cellStyle name="표준 5 2 2 3 9 2 4 2" xfId="39438"/>
    <cellStyle name="표준 5 2 2 3 9 2 5" xfId="26766"/>
    <cellStyle name="표준 5 2 2 3 9 3" xfId="4536"/>
    <cellStyle name="표준 5 2 2 3 9 3 2" xfId="10872"/>
    <cellStyle name="표준 5 2 2 3 9 3 2 2" xfId="23546"/>
    <cellStyle name="표준 5 2 2 3 9 3 2 2 2" xfId="48898"/>
    <cellStyle name="표준 5 2 2 3 9 3 2 3" xfId="36226"/>
    <cellStyle name="표준 5 2 2 3 9 3 3" xfId="17210"/>
    <cellStyle name="표준 5 2 2 3 9 3 3 2" xfId="42562"/>
    <cellStyle name="표준 5 2 2 3 9 3 4" xfId="29890"/>
    <cellStyle name="표준 5 2 2 3 9 4" xfId="7747"/>
    <cellStyle name="표준 5 2 2 3 9 4 2" xfId="20421"/>
    <cellStyle name="표준 5 2 2 3 9 4 2 2" xfId="45773"/>
    <cellStyle name="표준 5 2 2 3 9 4 3" xfId="33101"/>
    <cellStyle name="표준 5 2 2 3 9 5" xfId="14085"/>
    <cellStyle name="표준 5 2 2 3 9 5 2" xfId="39437"/>
    <cellStyle name="표준 5 2 2 3 9 6" xfId="26765"/>
    <cellStyle name="표준 5 2 2 30" xfId="1412"/>
    <cellStyle name="표준 5 2 2 30 2" xfId="1413"/>
    <cellStyle name="표준 5 2 2 30 2 2" xfId="4537"/>
    <cellStyle name="표준 5 2 2 30 2 2 2" xfId="10873"/>
    <cellStyle name="표준 5 2 2 30 2 2 2 2" xfId="23547"/>
    <cellStyle name="표준 5 2 2 30 2 2 2 2 2" xfId="48899"/>
    <cellStyle name="표준 5 2 2 30 2 2 2 3" xfId="36227"/>
    <cellStyle name="표준 5 2 2 30 2 2 3" xfId="17211"/>
    <cellStyle name="표준 5 2 2 30 2 2 3 2" xfId="42563"/>
    <cellStyle name="표준 5 2 2 30 2 2 4" xfId="29891"/>
    <cellStyle name="표준 5 2 2 30 2 3" xfId="7750"/>
    <cellStyle name="표준 5 2 2 30 2 3 2" xfId="20424"/>
    <cellStyle name="표준 5 2 2 30 2 3 2 2" xfId="45776"/>
    <cellStyle name="표준 5 2 2 30 2 3 3" xfId="33104"/>
    <cellStyle name="표준 5 2 2 30 2 4" xfId="14088"/>
    <cellStyle name="표준 5 2 2 30 2 4 2" xfId="39440"/>
    <cellStyle name="표준 5 2 2 30 2 5" xfId="26768"/>
    <cellStyle name="표준 5 2 2 30 3" xfId="4538"/>
    <cellStyle name="표준 5 2 2 30 3 2" xfId="10874"/>
    <cellStyle name="표준 5 2 2 30 3 2 2" xfId="23548"/>
    <cellStyle name="표준 5 2 2 30 3 2 2 2" xfId="48900"/>
    <cellStyle name="표준 5 2 2 30 3 2 3" xfId="36228"/>
    <cellStyle name="표준 5 2 2 30 3 3" xfId="17212"/>
    <cellStyle name="표준 5 2 2 30 3 3 2" xfId="42564"/>
    <cellStyle name="표준 5 2 2 30 3 4" xfId="29892"/>
    <cellStyle name="표준 5 2 2 30 4" xfId="7749"/>
    <cellStyle name="표준 5 2 2 30 4 2" xfId="20423"/>
    <cellStyle name="표준 5 2 2 30 4 2 2" xfId="45775"/>
    <cellStyle name="표준 5 2 2 30 4 3" xfId="33103"/>
    <cellStyle name="표준 5 2 2 30 5" xfId="14087"/>
    <cellStyle name="표준 5 2 2 30 5 2" xfId="39439"/>
    <cellStyle name="표준 5 2 2 30 6" xfId="26767"/>
    <cellStyle name="표준 5 2 2 31" xfId="1414"/>
    <cellStyle name="표준 5 2 2 31 2" xfId="1415"/>
    <cellStyle name="표준 5 2 2 31 2 2" xfId="4539"/>
    <cellStyle name="표준 5 2 2 31 2 2 2" xfId="10875"/>
    <cellStyle name="표준 5 2 2 31 2 2 2 2" xfId="23549"/>
    <cellStyle name="표준 5 2 2 31 2 2 2 2 2" xfId="48901"/>
    <cellStyle name="표준 5 2 2 31 2 2 2 3" xfId="36229"/>
    <cellStyle name="표준 5 2 2 31 2 2 3" xfId="17213"/>
    <cellStyle name="표준 5 2 2 31 2 2 3 2" xfId="42565"/>
    <cellStyle name="표준 5 2 2 31 2 2 4" xfId="29893"/>
    <cellStyle name="표준 5 2 2 31 2 3" xfId="7752"/>
    <cellStyle name="표준 5 2 2 31 2 3 2" xfId="20426"/>
    <cellStyle name="표준 5 2 2 31 2 3 2 2" xfId="45778"/>
    <cellStyle name="표준 5 2 2 31 2 3 3" xfId="33106"/>
    <cellStyle name="표준 5 2 2 31 2 4" xfId="14090"/>
    <cellStyle name="표준 5 2 2 31 2 4 2" xfId="39442"/>
    <cellStyle name="표준 5 2 2 31 2 5" xfId="26770"/>
    <cellStyle name="표준 5 2 2 31 3" xfId="4540"/>
    <cellStyle name="표준 5 2 2 31 3 2" xfId="10876"/>
    <cellStyle name="표준 5 2 2 31 3 2 2" xfId="23550"/>
    <cellStyle name="표준 5 2 2 31 3 2 2 2" xfId="48902"/>
    <cellStyle name="표준 5 2 2 31 3 2 3" xfId="36230"/>
    <cellStyle name="표준 5 2 2 31 3 3" xfId="17214"/>
    <cellStyle name="표준 5 2 2 31 3 3 2" xfId="42566"/>
    <cellStyle name="표준 5 2 2 31 3 4" xfId="29894"/>
    <cellStyle name="표준 5 2 2 31 4" xfId="7751"/>
    <cellStyle name="표준 5 2 2 31 4 2" xfId="20425"/>
    <cellStyle name="표준 5 2 2 31 4 2 2" xfId="45777"/>
    <cellStyle name="표준 5 2 2 31 4 3" xfId="33105"/>
    <cellStyle name="표준 5 2 2 31 5" xfId="14089"/>
    <cellStyle name="표준 5 2 2 31 5 2" xfId="39441"/>
    <cellStyle name="표준 5 2 2 31 6" xfId="26769"/>
    <cellStyle name="표준 5 2 2 32" xfId="1416"/>
    <cellStyle name="표준 5 2 2 32 2" xfId="1417"/>
    <cellStyle name="표준 5 2 2 32 2 2" xfId="4541"/>
    <cellStyle name="표준 5 2 2 32 2 2 2" xfId="10877"/>
    <cellStyle name="표준 5 2 2 32 2 2 2 2" xfId="23551"/>
    <cellStyle name="표준 5 2 2 32 2 2 2 2 2" xfId="48903"/>
    <cellStyle name="표준 5 2 2 32 2 2 2 3" xfId="36231"/>
    <cellStyle name="표준 5 2 2 32 2 2 3" xfId="17215"/>
    <cellStyle name="표준 5 2 2 32 2 2 3 2" xfId="42567"/>
    <cellStyle name="표준 5 2 2 32 2 2 4" xfId="29895"/>
    <cellStyle name="표준 5 2 2 32 2 3" xfId="7754"/>
    <cellStyle name="표준 5 2 2 32 2 3 2" xfId="20428"/>
    <cellStyle name="표준 5 2 2 32 2 3 2 2" xfId="45780"/>
    <cellStyle name="표준 5 2 2 32 2 3 3" xfId="33108"/>
    <cellStyle name="표준 5 2 2 32 2 4" xfId="14092"/>
    <cellStyle name="표준 5 2 2 32 2 4 2" xfId="39444"/>
    <cellStyle name="표준 5 2 2 32 2 5" xfId="26772"/>
    <cellStyle name="표준 5 2 2 32 3" xfId="4542"/>
    <cellStyle name="표준 5 2 2 32 3 2" xfId="10878"/>
    <cellStyle name="표준 5 2 2 32 3 2 2" xfId="23552"/>
    <cellStyle name="표준 5 2 2 32 3 2 2 2" xfId="48904"/>
    <cellStyle name="표준 5 2 2 32 3 2 3" xfId="36232"/>
    <cellStyle name="표준 5 2 2 32 3 3" xfId="17216"/>
    <cellStyle name="표준 5 2 2 32 3 3 2" xfId="42568"/>
    <cellStyle name="표준 5 2 2 32 3 4" xfId="29896"/>
    <cellStyle name="표준 5 2 2 32 4" xfId="7753"/>
    <cellStyle name="표준 5 2 2 32 4 2" xfId="20427"/>
    <cellStyle name="표준 5 2 2 32 4 2 2" xfId="45779"/>
    <cellStyle name="표준 5 2 2 32 4 3" xfId="33107"/>
    <cellStyle name="표준 5 2 2 32 5" xfId="14091"/>
    <cellStyle name="표준 5 2 2 32 5 2" xfId="39443"/>
    <cellStyle name="표준 5 2 2 32 6" xfId="26771"/>
    <cellStyle name="표준 5 2 2 33" xfId="1418"/>
    <cellStyle name="표준 5 2 2 33 2" xfId="1419"/>
    <cellStyle name="표준 5 2 2 33 2 2" xfId="4543"/>
    <cellStyle name="표준 5 2 2 33 2 2 2" xfId="10879"/>
    <cellStyle name="표준 5 2 2 33 2 2 2 2" xfId="23553"/>
    <cellStyle name="표준 5 2 2 33 2 2 2 2 2" xfId="48905"/>
    <cellStyle name="표준 5 2 2 33 2 2 2 3" xfId="36233"/>
    <cellStyle name="표준 5 2 2 33 2 2 3" xfId="17217"/>
    <cellStyle name="표준 5 2 2 33 2 2 3 2" xfId="42569"/>
    <cellStyle name="표준 5 2 2 33 2 2 4" xfId="29897"/>
    <cellStyle name="표준 5 2 2 33 2 3" xfId="7756"/>
    <cellStyle name="표준 5 2 2 33 2 3 2" xfId="20430"/>
    <cellStyle name="표준 5 2 2 33 2 3 2 2" xfId="45782"/>
    <cellStyle name="표준 5 2 2 33 2 3 3" xfId="33110"/>
    <cellStyle name="표준 5 2 2 33 2 4" xfId="14094"/>
    <cellStyle name="표준 5 2 2 33 2 4 2" xfId="39446"/>
    <cellStyle name="표준 5 2 2 33 2 5" xfId="26774"/>
    <cellStyle name="표준 5 2 2 33 3" xfId="4544"/>
    <cellStyle name="표준 5 2 2 33 3 2" xfId="10880"/>
    <cellStyle name="표준 5 2 2 33 3 2 2" xfId="23554"/>
    <cellStyle name="표준 5 2 2 33 3 2 2 2" xfId="48906"/>
    <cellStyle name="표준 5 2 2 33 3 2 3" xfId="36234"/>
    <cellStyle name="표준 5 2 2 33 3 3" xfId="17218"/>
    <cellStyle name="표준 5 2 2 33 3 3 2" xfId="42570"/>
    <cellStyle name="표준 5 2 2 33 3 4" xfId="29898"/>
    <cellStyle name="표준 5 2 2 33 4" xfId="7755"/>
    <cellStyle name="표준 5 2 2 33 4 2" xfId="20429"/>
    <cellStyle name="표준 5 2 2 33 4 2 2" xfId="45781"/>
    <cellStyle name="표준 5 2 2 33 4 3" xfId="33109"/>
    <cellStyle name="표준 5 2 2 33 5" xfId="14093"/>
    <cellStyle name="표준 5 2 2 33 5 2" xfId="39445"/>
    <cellStyle name="표준 5 2 2 33 6" xfId="26773"/>
    <cellStyle name="표준 5 2 2 34" xfId="1420"/>
    <cellStyle name="표준 5 2 2 34 2" xfId="1421"/>
    <cellStyle name="표준 5 2 2 34 2 2" xfId="4545"/>
    <cellStyle name="표준 5 2 2 34 2 2 2" xfId="10881"/>
    <cellStyle name="표준 5 2 2 34 2 2 2 2" xfId="23555"/>
    <cellStyle name="표준 5 2 2 34 2 2 2 2 2" xfId="48907"/>
    <cellStyle name="표준 5 2 2 34 2 2 2 3" xfId="36235"/>
    <cellStyle name="표준 5 2 2 34 2 2 3" xfId="17219"/>
    <cellStyle name="표준 5 2 2 34 2 2 3 2" xfId="42571"/>
    <cellStyle name="표준 5 2 2 34 2 2 4" xfId="29899"/>
    <cellStyle name="표준 5 2 2 34 2 3" xfId="7758"/>
    <cellStyle name="표준 5 2 2 34 2 3 2" xfId="20432"/>
    <cellStyle name="표준 5 2 2 34 2 3 2 2" xfId="45784"/>
    <cellStyle name="표준 5 2 2 34 2 3 3" xfId="33112"/>
    <cellStyle name="표준 5 2 2 34 2 4" xfId="14096"/>
    <cellStyle name="표준 5 2 2 34 2 4 2" xfId="39448"/>
    <cellStyle name="표준 5 2 2 34 2 5" xfId="26776"/>
    <cellStyle name="표준 5 2 2 34 3" xfId="4546"/>
    <cellStyle name="표준 5 2 2 34 3 2" xfId="10882"/>
    <cellStyle name="표준 5 2 2 34 3 2 2" xfId="23556"/>
    <cellStyle name="표준 5 2 2 34 3 2 2 2" xfId="48908"/>
    <cellStyle name="표준 5 2 2 34 3 2 3" xfId="36236"/>
    <cellStyle name="표준 5 2 2 34 3 3" xfId="17220"/>
    <cellStyle name="표준 5 2 2 34 3 3 2" xfId="42572"/>
    <cellStyle name="표준 5 2 2 34 3 4" xfId="29900"/>
    <cellStyle name="표준 5 2 2 34 4" xfId="7757"/>
    <cellStyle name="표준 5 2 2 34 4 2" xfId="20431"/>
    <cellStyle name="표준 5 2 2 34 4 2 2" xfId="45783"/>
    <cellStyle name="표준 5 2 2 34 4 3" xfId="33111"/>
    <cellStyle name="표준 5 2 2 34 5" xfId="14095"/>
    <cellStyle name="표준 5 2 2 34 5 2" xfId="39447"/>
    <cellStyle name="표준 5 2 2 34 6" xfId="26775"/>
    <cellStyle name="표준 5 2 2 35" xfId="1422"/>
    <cellStyle name="표준 5 2 2 35 2" xfId="1423"/>
    <cellStyle name="표준 5 2 2 35 2 2" xfId="4547"/>
    <cellStyle name="표준 5 2 2 35 2 2 2" xfId="10883"/>
    <cellStyle name="표준 5 2 2 35 2 2 2 2" xfId="23557"/>
    <cellStyle name="표준 5 2 2 35 2 2 2 2 2" xfId="48909"/>
    <cellStyle name="표준 5 2 2 35 2 2 2 3" xfId="36237"/>
    <cellStyle name="표준 5 2 2 35 2 2 3" xfId="17221"/>
    <cellStyle name="표준 5 2 2 35 2 2 3 2" xfId="42573"/>
    <cellStyle name="표준 5 2 2 35 2 2 4" xfId="29901"/>
    <cellStyle name="표준 5 2 2 35 2 3" xfId="7760"/>
    <cellStyle name="표준 5 2 2 35 2 3 2" xfId="20434"/>
    <cellStyle name="표준 5 2 2 35 2 3 2 2" xfId="45786"/>
    <cellStyle name="표준 5 2 2 35 2 3 3" xfId="33114"/>
    <cellStyle name="표준 5 2 2 35 2 4" xfId="14098"/>
    <cellStyle name="표준 5 2 2 35 2 4 2" xfId="39450"/>
    <cellStyle name="표준 5 2 2 35 2 5" xfId="26778"/>
    <cellStyle name="표준 5 2 2 35 3" xfId="4548"/>
    <cellStyle name="표준 5 2 2 35 3 2" xfId="10884"/>
    <cellStyle name="표준 5 2 2 35 3 2 2" xfId="23558"/>
    <cellStyle name="표준 5 2 2 35 3 2 2 2" xfId="48910"/>
    <cellStyle name="표준 5 2 2 35 3 2 3" xfId="36238"/>
    <cellStyle name="표준 5 2 2 35 3 3" xfId="17222"/>
    <cellStyle name="표준 5 2 2 35 3 3 2" xfId="42574"/>
    <cellStyle name="표준 5 2 2 35 3 4" xfId="29902"/>
    <cellStyle name="표준 5 2 2 35 4" xfId="7759"/>
    <cellStyle name="표준 5 2 2 35 4 2" xfId="20433"/>
    <cellStyle name="표준 5 2 2 35 4 2 2" xfId="45785"/>
    <cellStyle name="표준 5 2 2 35 4 3" xfId="33113"/>
    <cellStyle name="표준 5 2 2 35 5" xfId="14097"/>
    <cellStyle name="표준 5 2 2 35 5 2" xfId="39449"/>
    <cellStyle name="표준 5 2 2 35 6" xfId="26777"/>
    <cellStyle name="표준 5 2 2 36" xfId="1424"/>
    <cellStyle name="표준 5 2 2 36 2" xfId="4549"/>
    <cellStyle name="표준 5 2 2 36 2 2" xfId="10885"/>
    <cellStyle name="표준 5 2 2 36 2 2 2" xfId="23559"/>
    <cellStyle name="표준 5 2 2 36 2 2 2 2" xfId="48911"/>
    <cellStyle name="표준 5 2 2 36 2 2 3" xfId="36239"/>
    <cellStyle name="표준 5 2 2 36 2 3" xfId="17223"/>
    <cellStyle name="표준 5 2 2 36 2 3 2" xfId="42575"/>
    <cellStyle name="표준 5 2 2 36 2 4" xfId="29903"/>
    <cellStyle name="표준 5 2 2 36 3" xfId="7761"/>
    <cellStyle name="표준 5 2 2 36 3 2" xfId="20435"/>
    <cellStyle name="표준 5 2 2 36 3 2 2" xfId="45787"/>
    <cellStyle name="표준 5 2 2 36 3 3" xfId="33115"/>
    <cellStyle name="표준 5 2 2 36 4" xfId="14099"/>
    <cellStyle name="표준 5 2 2 36 4 2" xfId="39451"/>
    <cellStyle name="표준 5 2 2 36 5" xfId="26779"/>
    <cellStyle name="표준 5 2 2 37" xfId="4550"/>
    <cellStyle name="표준 5 2 2 37 2" xfId="10886"/>
    <cellStyle name="표준 5 2 2 37 2 2" xfId="23560"/>
    <cellStyle name="표준 5 2 2 37 2 2 2" xfId="48912"/>
    <cellStyle name="표준 5 2 2 37 2 3" xfId="36240"/>
    <cellStyle name="표준 5 2 2 37 3" xfId="17224"/>
    <cellStyle name="표준 5 2 2 37 3 2" xfId="42576"/>
    <cellStyle name="표준 5 2 2 37 4" xfId="29904"/>
    <cellStyle name="표준 5 2 2 38" xfId="6381"/>
    <cellStyle name="표준 5 2 2 38 2" xfId="19055"/>
    <cellStyle name="표준 5 2 2 38 2 2" xfId="44407"/>
    <cellStyle name="표준 5 2 2 38 3" xfId="31735"/>
    <cellStyle name="표준 5 2 2 39" xfId="12719"/>
    <cellStyle name="표준 5 2 2 39 2" xfId="38071"/>
    <cellStyle name="표준 5 2 2 4" xfId="76"/>
    <cellStyle name="표준 5 2 2 4 2" xfId="1425"/>
    <cellStyle name="표준 5 2 2 4 2 2" xfId="4551"/>
    <cellStyle name="표준 5 2 2 4 2 2 2" xfId="10887"/>
    <cellStyle name="표준 5 2 2 4 2 2 2 2" xfId="23561"/>
    <cellStyle name="표준 5 2 2 4 2 2 2 2 2" xfId="48913"/>
    <cellStyle name="표준 5 2 2 4 2 2 2 3" xfId="36241"/>
    <cellStyle name="표준 5 2 2 4 2 2 3" xfId="17225"/>
    <cellStyle name="표준 5 2 2 4 2 2 3 2" xfId="42577"/>
    <cellStyle name="표준 5 2 2 4 2 2 4" xfId="29905"/>
    <cellStyle name="표준 5 2 2 4 2 3" xfId="7762"/>
    <cellStyle name="표준 5 2 2 4 2 3 2" xfId="20436"/>
    <cellStyle name="표준 5 2 2 4 2 3 2 2" xfId="45788"/>
    <cellStyle name="표준 5 2 2 4 2 3 3" xfId="33116"/>
    <cellStyle name="표준 5 2 2 4 2 4" xfId="14100"/>
    <cellStyle name="표준 5 2 2 4 2 4 2" xfId="39452"/>
    <cellStyle name="표준 5 2 2 4 2 5" xfId="26780"/>
    <cellStyle name="표준 5 2 2 4 3" xfId="4552"/>
    <cellStyle name="표준 5 2 2 4 3 2" xfId="10888"/>
    <cellStyle name="표준 5 2 2 4 3 2 2" xfId="23562"/>
    <cellStyle name="표준 5 2 2 4 3 2 2 2" xfId="48914"/>
    <cellStyle name="표준 5 2 2 4 3 2 3" xfId="36242"/>
    <cellStyle name="표준 5 2 2 4 3 3" xfId="17226"/>
    <cellStyle name="표준 5 2 2 4 3 3 2" xfId="42578"/>
    <cellStyle name="표준 5 2 2 4 3 4" xfId="29906"/>
    <cellStyle name="표준 5 2 2 4 4" xfId="6414"/>
    <cellStyle name="표준 5 2 2 4 4 2" xfId="19088"/>
    <cellStyle name="표준 5 2 2 4 4 2 2" xfId="44440"/>
    <cellStyle name="표준 5 2 2 4 4 3" xfId="31768"/>
    <cellStyle name="표준 5 2 2 4 5" xfId="12752"/>
    <cellStyle name="표준 5 2 2 4 5 2" xfId="38104"/>
    <cellStyle name="표준 5 2 2 4 6" xfId="25432"/>
    <cellStyle name="표준 5 2 2 40" xfId="25399"/>
    <cellStyle name="표준 5 2 2 5" xfId="1426"/>
    <cellStyle name="표준 5 2 2 5 2" xfId="1427"/>
    <cellStyle name="표준 5 2 2 5 2 2" xfId="4553"/>
    <cellStyle name="표준 5 2 2 5 2 2 2" xfId="10889"/>
    <cellStyle name="표준 5 2 2 5 2 2 2 2" xfId="23563"/>
    <cellStyle name="표준 5 2 2 5 2 2 2 2 2" xfId="48915"/>
    <cellStyle name="표준 5 2 2 5 2 2 2 3" xfId="36243"/>
    <cellStyle name="표준 5 2 2 5 2 2 3" xfId="17227"/>
    <cellStyle name="표준 5 2 2 5 2 2 3 2" xfId="42579"/>
    <cellStyle name="표준 5 2 2 5 2 2 4" xfId="29907"/>
    <cellStyle name="표준 5 2 2 5 2 3" xfId="7764"/>
    <cellStyle name="표준 5 2 2 5 2 3 2" xfId="20438"/>
    <cellStyle name="표준 5 2 2 5 2 3 2 2" xfId="45790"/>
    <cellStyle name="표준 5 2 2 5 2 3 3" xfId="33118"/>
    <cellStyle name="표준 5 2 2 5 2 4" xfId="14102"/>
    <cellStyle name="표준 5 2 2 5 2 4 2" xfId="39454"/>
    <cellStyle name="표준 5 2 2 5 2 5" xfId="26782"/>
    <cellStyle name="표준 5 2 2 5 3" xfId="4554"/>
    <cellStyle name="표준 5 2 2 5 3 2" xfId="10890"/>
    <cellStyle name="표준 5 2 2 5 3 2 2" xfId="23564"/>
    <cellStyle name="표준 5 2 2 5 3 2 2 2" xfId="48916"/>
    <cellStyle name="표준 5 2 2 5 3 2 3" xfId="36244"/>
    <cellStyle name="표준 5 2 2 5 3 3" xfId="17228"/>
    <cellStyle name="표준 5 2 2 5 3 3 2" xfId="42580"/>
    <cellStyle name="표준 5 2 2 5 3 4" xfId="29908"/>
    <cellStyle name="표준 5 2 2 5 4" xfId="7763"/>
    <cellStyle name="표준 5 2 2 5 4 2" xfId="20437"/>
    <cellStyle name="표준 5 2 2 5 4 2 2" xfId="45789"/>
    <cellStyle name="표준 5 2 2 5 4 3" xfId="33117"/>
    <cellStyle name="표준 5 2 2 5 5" xfId="14101"/>
    <cellStyle name="표준 5 2 2 5 5 2" xfId="39453"/>
    <cellStyle name="표준 5 2 2 5 6" xfId="26781"/>
    <cellStyle name="표준 5 2 2 6" xfId="1428"/>
    <cellStyle name="표준 5 2 2 6 2" xfId="1429"/>
    <cellStyle name="표준 5 2 2 6 2 2" xfId="4555"/>
    <cellStyle name="표준 5 2 2 6 2 2 2" xfId="10891"/>
    <cellStyle name="표준 5 2 2 6 2 2 2 2" xfId="23565"/>
    <cellStyle name="표준 5 2 2 6 2 2 2 2 2" xfId="48917"/>
    <cellStyle name="표준 5 2 2 6 2 2 2 3" xfId="36245"/>
    <cellStyle name="표준 5 2 2 6 2 2 3" xfId="17229"/>
    <cellStyle name="표준 5 2 2 6 2 2 3 2" xfId="42581"/>
    <cellStyle name="표준 5 2 2 6 2 2 4" xfId="29909"/>
    <cellStyle name="표준 5 2 2 6 2 3" xfId="7766"/>
    <cellStyle name="표준 5 2 2 6 2 3 2" xfId="20440"/>
    <cellStyle name="표준 5 2 2 6 2 3 2 2" xfId="45792"/>
    <cellStyle name="표준 5 2 2 6 2 3 3" xfId="33120"/>
    <cellStyle name="표준 5 2 2 6 2 4" xfId="14104"/>
    <cellStyle name="표준 5 2 2 6 2 4 2" xfId="39456"/>
    <cellStyle name="표준 5 2 2 6 2 5" xfId="26784"/>
    <cellStyle name="표준 5 2 2 6 3" xfId="4556"/>
    <cellStyle name="표준 5 2 2 6 3 2" xfId="10892"/>
    <cellStyle name="표준 5 2 2 6 3 2 2" xfId="23566"/>
    <cellStyle name="표준 5 2 2 6 3 2 2 2" xfId="48918"/>
    <cellStyle name="표준 5 2 2 6 3 2 3" xfId="36246"/>
    <cellStyle name="표준 5 2 2 6 3 3" xfId="17230"/>
    <cellStyle name="표준 5 2 2 6 3 3 2" xfId="42582"/>
    <cellStyle name="표준 5 2 2 6 3 4" xfId="29910"/>
    <cellStyle name="표준 5 2 2 6 4" xfId="7765"/>
    <cellStyle name="표준 5 2 2 6 4 2" xfId="20439"/>
    <cellStyle name="표준 5 2 2 6 4 2 2" xfId="45791"/>
    <cellStyle name="표준 5 2 2 6 4 3" xfId="33119"/>
    <cellStyle name="표준 5 2 2 6 5" xfId="14103"/>
    <cellStyle name="표준 5 2 2 6 5 2" xfId="39455"/>
    <cellStyle name="표준 5 2 2 6 6" xfId="26783"/>
    <cellStyle name="표준 5 2 2 7" xfId="1430"/>
    <cellStyle name="표준 5 2 2 7 2" xfId="1431"/>
    <cellStyle name="표준 5 2 2 7 2 2" xfId="4557"/>
    <cellStyle name="표준 5 2 2 7 2 2 2" xfId="10893"/>
    <cellStyle name="표준 5 2 2 7 2 2 2 2" xfId="23567"/>
    <cellStyle name="표준 5 2 2 7 2 2 2 2 2" xfId="48919"/>
    <cellStyle name="표준 5 2 2 7 2 2 2 3" xfId="36247"/>
    <cellStyle name="표준 5 2 2 7 2 2 3" xfId="17231"/>
    <cellStyle name="표준 5 2 2 7 2 2 3 2" xfId="42583"/>
    <cellStyle name="표준 5 2 2 7 2 2 4" xfId="29911"/>
    <cellStyle name="표준 5 2 2 7 2 3" xfId="7768"/>
    <cellStyle name="표준 5 2 2 7 2 3 2" xfId="20442"/>
    <cellStyle name="표준 5 2 2 7 2 3 2 2" xfId="45794"/>
    <cellStyle name="표준 5 2 2 7 2 3 3" xfId="33122"/>
    <cellStyle name="표준 5 2 2 7 2 4" xfId="14106"/>
    <cellStyle name="표준 5 2 2 7 2 4 2" xfId="39458"/>
    <cellStyle name="표준 5 2 2 7 2 5" xfId="26786"/>
    <cellStyle name="표준 5 2 2 7 3" xfId="4558"/>
    <cellStyle name="표준 5 2 2 7 3 2" xfId="10894"/>
    <cellStyle name="표준 5 2 2 7 3 2 2" xfId="23568"/>
    <cellStyle name="표준 5 2 2 7 3 2 2 2" xfId="48920"/>
    <cellStyle name="표준 5 2 2 7 3 2 3" xfId="36248"/>
    <cellStyle name="표준 5 2 2 7 3 3" xfId="17232"/>
    <cellStyle name="표준 5 2 2 7 3 3 2" xfId="42584"/>
    <cellStyle name="표준 5 2 2 7 3 4" xfId="29912"/>
    <cellStyle name="표준 5 2 2 7 4" xfId="7767"/>
    <cellStyle name="표준 5 2 2 7 4 2" xfId="20441"/>
    <cellStyle name="표준 5 2 2 7 4 2 2" xfId="45793"/>
    <cellStyle name="표준 5 2 2 7 4 3" xfId="33121"/>
    <cellStyle name="표준 5 2 2 7 5" xfId="14105"/>
    <cellStyle name="표준 5 2 2 7 5 2" xfId="39457"/>
    <cellStyle name="표준 5 2 2 7 6" xfId="26785"/>
    <cellStyle name="표준 5 2 2 8" xfId="1432"/>
    <cellStyle name="표준 5 2 2 8 2" xfId="1433"/>
    <cellStyle name="표준 5 2 2 8 2 2" xfId="4559"/>
    <cellStyle name="표준 5 2 2 8 2 2 2" xfId="10895"/>
    <cellStyle name="표준 5 2 2 8 2 2 2 2" xfId="23569"/>
    <cellStyle name="표준 5 2 2 8 2 2 2 2 2" xfId="48921"/>
    <cellStyle name="표준 5 2 2 8 2 2 2 3" xfId="36249"/>
    <cellStyle name="표준 5 2 2 8 2 2 3" xfId="17233"/>
    <cellStyle name="표준 5 2 2 8 2 2 3 2" xfId="42585"/>
    <cellStyle name="표준 5 2 2 8 2 2 4" xfId="29913"/>
    <cellStyle name="표준 5 2 2 8 2 3" xfId="7770"/>
    <cellStyle name="표준 5 2 2 8 2 3 2" xfId="20444"/>
    <cellStyle name="표준 5 2 2 8 2 3 2 2" xfId="45796"/>
    <cellStyle name="표준 5 2 2 8 2 3 3" xfId="33124"/>
    <cellStyle name="표준 5 2 2 8 2 4" xfId="14108"/>
    <cellStyle name="표준 5 2 2 8 2 4 2" xfId="39460"/>
    <cellStyle name="표준 5 2 2 8 2 5" xfId="26788"/>
    <cellStyle name="표준 5 2 2 8 3" xfId="4560"/>
    <cellStyle name="표준 5 2 2 8 3 2" xfId="10896"/>
    <cellStyle name="표준 5 2 2 8 3 2 2" xfId="23570"/>
    <cellStyle name="표준 5 2 2 8 3 2 2 2" xfId="48922"/>
    <cellStyle name="표준 5 2 2 8 3 2 3" xfId="36250"/>
    <cellStyle name="표준 5 2 2 8 3 3" xfId="17234"/>
    <cellStyle name="표준 5 2 2 8 3 3 2" xfId="42586"/>
    <cellStyle name="표준 5 2 2 8 3 4" xfId="29914"/>
    <cellStyle name="표준 5 2 2 8 4" xfId="7769"/>
    <cellStyle name="표준 5 2 2 8 4 2" xfId="20443"/>
    <cellStyle name="표준 5 2 2 8 4 2 2" xfId="45795"/>
    <cellStyle name="표준 5 2 2 8 4 3" xfId="33123"/>
    <cellStyle name="표준 5 2 2 8 5" xfId="14107"/>
    <cellStyle name="표준 5 2 2 8 5 2" xfId="39459"/>
    <cellStyle name="표준 5 2 2 8 6" xfId="26787"/>
    <cellStyle name="표준 5 2 2 9" xfId="1434"/>
    <cellStyle name="표준 5 2 2 9 2" xfId="1435"/>
    <cellStyle name="표준 5 2 2 9 2 2" xfId="4561"/>
    <cellStyle name="표준 5 2 2 9 2 2 2" xfId="10897"/>
    <cellStyle name="표준 5 2 2 9 2 2 2 2" xfId="23571"/>
    <cellStyle name="표준 5 2 2 9 2 2 2 2 2" xfId="48923"/>
    <cellStyle name="표준 5 2 2 9 2 2 2 3" xfId="36251"/>
    <cellStyle name="표준 5 2 2 9 2 2 3" xfId="17235"/>
    <cellStyle name="표준 5 2 2 9 2 2 3 2" xfId="42587"/>
    <cellStyle name="표준 5 2 2 9 2 2 4" xfId="29915"/>
    <cellStyle name="표준 5 2 2 9 2 3" xfId="7772"/>
    <cellStyle name="표준 5 2 2 9 2 3 2" xfId="20446"/>
    <cellStyle name="표준 5 2 2 9 2 3 2 2" xfId="45798"/>
    <cellStyle name="표준 5 2 2 9 2 3 3" xfId="33126"/>
    <cellStyle name="표준 5 2 2 9 2 4" xfId="14110"/>
    <cellStyle name="표준 5 2 2 9 2 4 2" xfId="39462"/>
    <cellStyle name="표준 5 2 2 9 2 5" xfId="26790"/>
    <cellStyle name="표준 5 2 2 9 3" xfId="4562"/>
    <cellStyle name="표준 5 2 2 9 3 2" xfId="10898"/>
    <cellStyle name="표준 5 2 2 9 3 2 2" xfId="23572"/>
    <cellStyle name="표준 5 2 2 9 3 2 2 2" xfId="48924"/>
    <cellStyle name="표준 5 2 2 9 3 2 3" xfId="36252"/>
    <cellStyle name="표준 5 2 2 9 3 3" xfId="17236"/>
    <cellStyle name="표준 5 2 2 9 3 3 2" xfId="42588"/>
    <cellStyle name="표준 5 2 2 9 3 4" xfId="29916"/>
    <cellStyle name="표준 5 2 2 9 4" xfId="7771"/>
    <cellStyle name="표준 5 2 2 9 4 2" xfId="20445"/>
    <cellStyle name="표준 5 2 2 9 4 2 2" xfId="45797"/>
    <cellStyle name="표준 5 2 2 9 4 3" xfId="33125"/>
    <cellStyle name="표준 5 2 2 9 5" xfId="14109"/>
    <cellStyle name="표준 5 2 2 9 5 2" xfId="39461"/>
    <cellStyle name="표준 5 2 2 9 6" xfId="26789"/>
    <cellStyle name="표준 5 2 20" xfId="1436"/>
    <cellStyle name="표준 5 2 20 2" xfId="1437"/>
    <cellStyle name="표준 5 2 20 2 2" xfId="4563"/>
    <cellStyle name="표준 5 2 20 2 2 2" xfId="10899"/>
    <cellStyle name="표준 5 2 20 2 2 2 2" xfId="23573"/>
    <cellStyle name="표준 5 2 20 2 2 2 2 2" xfId="48925"/>
    <cellStyle name="표준 5 2 20 2 2 2 3" xfId="36253"/>
    <cellStyle name="표준 5 2 20 2 2 3" xfId="17237"/>
    <cellStyle name="표준 5 2 20 2 2 3 2" xfId="42589"/>
    <cellStyle name="표준 5 2 20 2 2 4" xfId="29917"/>
    <cellStyle name="표준 5 2 20 2 3" xfId="7774"/>
    <cellStyle name="표준 5 2 20 2 3 2" xfId="20448"/>
    <cellStyle name="표준 5 2 20 2 3 2 2" xfId="45800"/>
    <cellStyle name="표준 5 2 20 2 3 3" xfId="33128"/>
    <cellStyle name="표준 5 2 20 2 4" xfId="14112"/>
    <cellStyle name="표준 5 2 20 2 4 2" xfId="39464"/>
    <cellStyle name="표준 5 2 20 2 5" xfId="26792"/>
    <cellStyle name="표준 5 2 20 3" xfId="4564"/>
    <cellStyle name="표준 5 2 20 3 2" xfId="10900"/>
    <cellStyle name="표준 5 2 20 3 2 2" xfId="23574"/>
    <cellStyle name="표준 5 2 20 3 2 2 2" xfId="48926"/>
    <cellStyle name="표준 5 2 20 3 2 3" xfId="36254"/>
    <cellStyle name="표준 5 2 20 3 3" xfId="17238"/>
    <cellStyle name="표준 5 2 20 3 3 2" xfId="42590"/>
    <cellStyle name="표준 5 2 20 3 4" xfId="29918"/>
    <cellStyle name="표준 5 2 20 4" xfId="7773"/>
    <cellStyle name="표준 5 2 20 4 2" xfId="20447"/>
    <cellStyle name="표준 5 2 20 4 2 2" xfId="45799"/>
    <cellStyle name="표준 5 2 20 4 3" xfId="33127"/>
    <cellStyle name="표준 5 2 20 5" xfId="14111"/>
    <cellStyle name="표준 5 2 20 5 2" xfId="39463"/>
    <cellStyle name="표준 5 2 20 6" xfId="26791"/>
    <cellStyle name="표준 5 2 21" xfId="1438"/>
    <cellStyle name="표준 5 2 21 2" xfId="1439"/>
    <cellStyle name="표준 5 2 21 2 2" xfId="4565"/>
    <cellStyle name="표준 5 2 21 2 2 2" xfId="10901"/>
    <cellStyle name="표준 5 2 21 2 2 2 2" xfId="23575"/>
    <cellStyle name="표준 5 2 21 2 2 2 2 2" xfId="48927"/>
    <cellStyle name="표준 5 2 21 2 2 2 3" xfId="36255"/>
    <cellStyle name="표준 5 2 21 2 2 3" xfId="17239"/>
    <cellStyle name="표준 5 2 21 2 2 3 2" xfId="42591"/>
    <cellStyle name="표준 5 2 21 2 2 4" xfId="29919"/>
    <cellStyle name="표준 5 2 21 2 3" xfId="7776"/>
    <cellStyle name="표준 5 2 21 2 3 2" xfId="20450"/>
    <cellStyle name="표준 5 2 21 2 3 2 2" xfId="45802"/>
    <cellStyle name="표준 5 2 21 2 3 3" xfId="33130"/>
    <cellStyle name="표준 5 2 21 2 4" xfId="14114"/>
    <cellStyle name="표준 5 2 21 2 4 2" xfId="39466"/>
    <cellStyle name="표준 5 2 21 2 5" xfId="26794"/>
    <cellStyle name="표준 5 2 21 3" xfId="4566"/>
    <cellStyle name="표준 5 2 21 3 2" xfId="10902"/>
    <cellStyle name="표준 5 2 21 3 2 2" xfId="23576"/>
    <cellStyle name="표준 5 2 21 3 2 2 2" xfId="48928"/>
    <cellStyle name="표준 5 2 21 3 2 3" xfId="36256"/>
    <cellStyle name="표준 5 2 21 3 3" xfId="17240"/>
    <cellStyle name="표준 5 2 21 3 3 2" xfId="42592"/>
    <cellStyle name="표준 5 2 21 3 4" xfId="29920"/>
    <cellStyle name="표준 5 2 21 4" xfId="7775"/>
    <cellStyle name="표준 5 2 21 4 2" xfId="20449"/>
    <cellStyle name="표준 5 2 21 4 2 2" xfId="45801"/>
    <cellStyle name="표준 5 2 21 4 3" xfId="33129"/>
    <cellStyle name="표준 5 2 21 5" xfId="14113"/>
    <cellStyle name="표준 5 2 21 5 2" xfId="39465"/>
    <cellStyle name="표준 5 2 21 6" xfId="26793"/>
    <cellStyle name="표준 5 2 22" xfId="1440"/>
    <cellStyle name="표준 5 2 22 2" xfId="1441"/>
    <cellStyle name="표준 5 2 22 2 2" xfId="4567"/>
    <cellStyle name="표준 5 2 22 2 2 2" xfId="10903"/>
    <cellStyle name="표준 5 2 22 2 2 2 2" xfId="23577"/>
    <cellStyle name="표준 5 2 22 2 2 2 2 2" xfId="48929"/>
    <cellStyle name="표준 5 2 22 2 2 2 3" xfId="36257"/>
    <cellStyle name="표준 5 2 22 2 2 3" xfId="17241"/>
    <cellStyle name="표준 5 2 22 2 2 3 2" xfId="42593"/>
    <cellStyle name="표준 5 2 22 2 2 4" xfId="29921"/>
    <cellStyle name="표준 5 2 22 2 3" xfId="7778"/>
    <cellStyle name="표준 5 2 22 2 3 2" xfId="20452"/>
    <cellStyle name="표준 5 2 22 2 3 2 2" xfId="45804"/>
    <cellStyle name="표준 5 2 22 2 3 3" xfId="33132"/>
    <cellStyle name="표준 5 2 22 2 4" xfId="14116"/>
    <cellStyle name="표준 5 2 22 2 4 2" xfId="39468"/>
    <cellStyle name="표준 5 2 22 2 5" xfId="26796"/>
    <cellStyle name="표준 5 2 22 3" xfId="4568"/>
    <cellStyle name="표준 5 2 22 3 2" xfId="10904"/>
    <cellStyle name="표준 5 2 22 3 2 2" xfId="23578"/>
    <cellStyle name="표준 5 2 22 3 2 2 2" xfId="48930"/>
    <cellStyle name="표준 5 2 22 3 2 3" xfId="36258"/>
    <cellStyle name="표준 5 2 22 3 3" xfId="17242"/>
    <cellStyle name="표준 5 2 22 3 3 2" xfId="42594"/>
    <cellStyle name="표준 5 2 22 3 4" xfId="29922"/>
    <cellStyle name="표준 5 2 22 4" xfId="7777"/>
    <cellStyle name="표준 5 2 22 4 2" xfId="20451"/>
    <cellStyle name="표준 5 2 22 4 2 2" xfId="45803"/>
    <cellStyle name="표준 5 2 22 4 3" xfId="33131"/>
    <cellStyle name="표준 5 2 22 5" xfId="14115"/>
    <cellStyle name="표준 5 2 22 5 2" xfId="39467"/>
    <cellStyle name="표준 5 2 22 6" xfId="26795"/>
    <cellStyle name="표준 5 2 23" xfId="1442"/>
    <cellStyle name="표준 5 2 23 2" xfId="1443"/>
    <cellStyle name="표준 5 2 23 2 2" xfId="4569"/>
    <cellStyle name="표준 5 2 23 2 2 2" xfId="10905"/>
    <cellStyle name="표준 5 2 23 2 2 2 2" xfId="23579"/>
    <cellStyle name="표준 5 2 23 2 2 2 2 2" xfId="48931"/>
    <cellStyle name="표준 5 2 23 2 2 2 3" xfId="36259"/>
    <cellStyle name="표준 5 2 23 2 2 3" xfId="17243"/>
    <cellStyle name="표준 5 2 23 2 2 3 2" xfId="42595"/>
    <cellStyle name="표준 5 2 23 2 2 4" xfId="29923"/>
    <cellStyle name="표준 5 2 23 2 3" xfId="7780"/>
    <cellStyle name="표준 5 2 23 2 3 2" xfId="20454"/>
    <cellStyle name="표준 5 2 23 2 3 2 2" xfId="45806"/>
    <cellStyle name="표준 5 2 23 2 3 3" xfId="33134"/>
    <cellStyle name="표준 5 2 23 2 4" xfId="14118"/>
    <cellStyle name="표준 5 2 23 2 4 2" xfId="39470"/>
    <cellStyle name="표준 5 2 23 2 5" xfId="26798"/>
    <cellStyle name="표준 5 2 23 3" xfId="4570"/>
    <cellStyle name="표준 5 2 23 3 2" xfId="10906"/>
    <cellStyle name="표준 5 2 23 3 2 2" xfId="23580"/>
    <cellStyle name="표준 5 2 23 3 2 2 2" xfId="48932"/>
    <cellStyle name="표준 5 2 23 3 2 3" xfId="36260"/>
    <cellStyle name="표준 5 2 23 3 3" xfId="17244"/>
    <cellStyle name="표준 5 2 23 3 3 2" xfId="42596"/>
    <cellStyle name="표준 5 2 23 3 4" xfId="29924"/>
    <cellStyle name="표준 5 2 23 4" xfId="7779"/>
    <cellStyle name="표준 5 2 23 4 2" xfId="20453"/>
    <cellStyle name="표준 5 2 23 4 2 2" xfId="45805"/>
    <cellStyle name="표준 5 2 23 4 3" xfId="33133"/>
    <cellStyle name="표준 5 2 23 5" xfId="14117"/>
    <cellStyle name="표준 5 2 23 5 2" xfId="39469"/>
    <cellStyle name="표준 5 2 23 6" xfId="26797"/>
    <cellStyle name="표준 5 2 24" xfId="1444"/>
    <cellStyle name="표준 5 2 24 2" xfId="1445"/>
    <cellStyle name="표준 5 2 24 2 2" xfId="4571"/>
    <cellStyle name="표준 5 2 24 2 2 2" xfId="10907"/>
    <cellStyle name="표준 5 2 24 2 2 2 2" xfId="23581"/>
    <cellStyle name="표준 5 2 24 2 2 2 2 2" xfId="48933"/>
    <cellStyle name="표준 5 2 24 2 2 2 3" xfId="36261"/>
    <cellStyle name="표준 5 2 24 2 2 3" xfId="17245"/>
    <cellStyle name="표준 5 2 24 2 2 3 2" xfId="42597"/>
    <cellStyle name="표준 5 2 24 2 2 4" xfId="29925"/>
    <cellStyle name="표준 5 2 24 2 3" xfId="7782"/>
    <cellStyle name="표준 5 2 24 2 3 2" xfId="20456"/>
    <cellStyle name="표준 5 2 24 2 3 2 2" xfId="45808"/>
    <cellStyle name="표준 5 2 24 2 3 3" xfId="33136"/>
    <cellStyle name="표준 5 2 24 2 4" xfId="14120"/>
    <cellStyle name="표준 5 2 24 2 4 2" xfId="39472"/>
    <cellStyle name="표준 5 2 24 2 5" xfId="26800"/>
    <cellStyle name="표준 5 2 24 3" xfId="4572"/>
    <cellStyle name="표준 5 2 24 3 2" xfId="10908"/>
    <cellStyle name="표준 5 2 24 3 2 2" xfId="23582"/>
    <cellStyle name="표준 5 2 24 3 2 2 2" xfId="48934"/>
    <cellStyle name="표준 5 2 24 3 2 3" xfId="36262"/>
    <cellStyle name="표준 5 2 24 3 3" xfId="17246"/>
    <cellStyle name="표준 5 2 24 3 3 2" xfId="42598"/>
    <cellStyle name="표준 5 2 24 3 4" xfId="29926"/>
    <cellStyle name="표준 5 2 24 4" xfId="7781"/>
    <cellStyle name="표준 5 2 24 4 2" xfId="20455"/>
    <cellStyle name="표준 5 2 24 4 2 2" xfId="45807"/>
    <cellStyle name="표준 5 2 24 4 3" xfId="33135"/>
    <cellStyle name="표준 5 2 24 5" xfId="14119"/>
    <cellStyle name="표준 5 2 24 5 2" xfId="39471"/>
    <cellStyle name="표준 5 2 24 6" xfId="26799"/>
    <cellStyle name="표준 5 2 25" xfId="1446"/>
    <cellStyle name="표준 5 2 25 2" xfId="1447"/>
    <cellStyle name="표준 5 2 25 2 2" xfId="4573"/>
    <cellStyle name="표준 5 2 25 2 2 2" xfId="10909"/>
    <cellStyle name="표준 5 2 25 2 2 2 2" xfId="23583"/>
    <cellStyle name="표준 5 2 25 2 2 2 2 2" xfId="48935"/>
    <cellStyle name="표준 5 2 25 2 2 2 3" xfId="36263"/>
    <cellStyle name="표준 5 2 25 2 2 3" xfId="17247"/>
    <cellStyle name="표준 5 2 25 2 2 3 2" xfId="42599"/>
    <cellStyle name="표준 5 2 25 2 2 4" xfId="29927"/>
    <cellStyle name="표준 5 2 25 2 3" xfId="7784"/>
    <cellStyle name="표준 5 2 25 2 3 2" xfId="20458"/>
    <cellStyle name="표준 5 2 25 2 3 2 2" xfId="45810"/>
    <cellStyle name="표준 5 2 25 2 3 3" xfId="33138"/>
    <cellStyle name="표준 5 2 25 2 4" xfId="14122"/>
    <cellStyle name="표준 5 2 25 2 4 2" xfId="39474"/>
    <cellStyle name="표준 5 2 25 2 5" xfId="26802"/>
    <cellStyle name="표준 5 2 25 3" xfId="4574"/>
    <cellStyle name="표준 5 2 25 3 2" xfId="10910"/>
    <cellStyle name="표준 5 2 25 3 2 2" xfId="23584"/>
    <cellStyle name="표준 5 2 25 3 2 2 2" xfId="48936"/>
    <cellStyle name="표준 5 2 25 3 2 3" xfId="36264"/>
    <cellStyle name="표준 5 2 25 3 3" xfId="17248"/>
    <cellStyle name="표준 5 2 25 3 3 2" xfId="42600"/>
    <cellStyle name="표준 5 2 25 3 4" xfId="29928"/>
    <cellStyle name="표준 5 2 25 4" xfId="7783"/>
    <cellStyle name="표준 5 2 25 4 2" xfId="20457"/>
    <cellStyle name="표준 5 2 25 4 2 2" xfId="45809"/>
    <cellStyle name="표준 5 2 25 4 3" xfId="33137"/>
    <cellStyle name="표준 5 2 25 5" xfId="14121"/>
    <cellStyle name="표준 5 2 25 5 2" xfId="39473"/>
    <cellStyle name="표준 5 2 25 6" xfId="26801"/>
    <cellStyle name="표준 5 2 26" xfId="1448"/>
    <cellStyle name="표준 5 2 26 2" xfId="1449"/>
    <cellStyle name="표준 5 2 26 2 2" xfId="4575"/>
    <cellStyle name="표준 5 2 26 2 2 2" xfId="10911"/>
    <cellStyle name="표준 5 2 26 2 2 2 2" xfId="23585"/>
    <cellStyle name="표준 5 2 26 2 2 2 2 2" xfId="48937"/>
    <cellStyle name="표준 5 2 26 2 2 2 3" xfId="36265"/>
    <cellStyle name="표준 5 2 26 2 2 3" xfId="17249"/>
    <cellStyle name="표준 5 2 26 2 2 3 2" xfId="42601"/>
    <cellStyle name="표준 5 2 26 2 2 4" xfId="29929"/>
    <cellStyle name="표준 5 2 26 2 3" xfId="7786"/>
    <cellStyle name="표준 5 2 26 2 3 2" xfId="20460"/>
    <cellStyle name="표준 5 2 26 2 3 2 2" xfId="45812"/>
    <cellStyle name="표준 5 2 26 2 3 3" xfId="33140"/>
    <cellStyle name="표준 5 2 26 2 4" xfId="14124"/>
    <cellStyle name="표준 5 2 26 2 4 2" xfId="39476"/>
    <cellStyle name="표준 5 2 26 2 5" xfId="26804"/>
    <cellStyle name="표준 5 2 26 3" xfId="4576"/>
    <cellStyle name="표준 5 2 26 3 2" xfId="10912"/>
    <cellStyle name="표준 5 2 26 3 2 2" xfId="23586"/>
    <cellStyle name="표준 5 2 26 3 2 2 2" xfId="48938"/>
    <cellStyle name="표준 5 2 26 3 2 3" xfId="36266"/>
    <cellStyle name="표준 5 2 26 3 3" xfId="17250"/>
    <cellStyle name="표준 5 2 26 3 3 2" xfId="42602"/>
    <cellStyle name="표준 5 2 26 3 4" xfId="29930"/>
    <cellStyle name="표준 5 2 26 4" xfId="7785"/>
    <cellStyle name="표준 5 2 26 4 2" xfId="20459"/>
    <cellStyle name="표준 5 2 26 4 2 2" xfId="45811"/>
    <cellStyle name="표준 5 2 26 4 3" xfId="33139"/>
    <cellStyle name="표준 5 2 26 5" xfId="14123"/>
    <cellStyle name="표준 5 2 26 5 2" xfId="39475"/>
    <cellStyle name="표준 5 2 26 6" xfId="26803"/>
    <cellStyle name="표준 5 2 27" xfId="1450"/>
    <cellStyle name="표준 5 2 27 2" xfId="1451"/>
    <cellStyle name="표준 5 2 27 2 2" xfId="4577"/>
    <cellStyle name="표준 5 2 27 2 2 2" xfId="10913"/>
    <cellStyle name="표준 5 2 27 2 2 2 2" xfId="23587"/>
    <cellStyle name="표준 5 2 27 2 2 2 2 2" xfId="48939"/>
    <cellStyle name="표준 5 2 27 2 2 2 3" xfId="36267"/>
    <cellStyle name="표준 5 2 27 2 2 3" xfId="17251"/>
    <cellStyle name="표준 5 2 27 2 2 3 2" xfId="42603"/>
    <cellStyle name="표준 5 2 27 2 2 4" xfId="29931"/>
    <cellStyle name="표준 5 2 27 2 3" xfId="7788"/>
    <cellStyle name="표준 5 2 27 2 3 2" xfId="20462"/>
    <cellStyle name="표준 5 2 27 2 3 2 2" xfId="45814"/>
    <cellStyle name="표준 5 2 27 2 3 3" xfId="33142"/>
    <cellStyle name="표준 5 2 27 2 4" xfId="14126"/>
    <cellStyle name="표준 5 2 27 2 4 2" xfId="39478"/>
    <cellStyle name="표준 5 2 27 2 5" xfId="26806"/>
    <cellStyle name="표준 5 2 27 3" xfId="4578"/>
    <cellStyle name="표준 5 2 27 3 2" xfId="10914"/>
    <cellStyle name="표준 5 2 27 3 2 2" xfId="23588"/>
    <cellStyle name="표준 5 2 27 3 2 2 2" xfId="48940"/>
    <cellStyle name="표준 5 2 27 3 2 3" xfId="36268"/>
    <cellStyle name="표준 5 2 27 3 3" xfId="17252"/>
    <cellStyle name="표준 5 2 27 3 3 2" xfId="42604"/>
    <cellStyle name="표준 5 2 27 3 4" xfId="29932"/>
    <cellStyle name="표준 5 2 27 4" xfId="7787"/>
    <cellStyle name="표준 5 2 27 4 2" xfId="20461"/>
    <cellStyle name="표준 5 2 27 4 2 2" xfId="45813"/>
    <cellStyle name="표준 5 2 27 4 3" xfId="33141"/>
    <cellStyle name="표준 5 2 27 5" xfId="14125"/>
    <cellStyle name="표준 5 2 27 5 2" xfId="39477"/>
    <cellStyle name="표준 5 2 27 6" xfId="26805"/>
    <cellStyle name="표준 5 2 28" xfId="1452"/>
    <cellStyle name="표준 5 2 28 2" xfId="1453"/>
    <cellStyle name="표준 5 2 28 2 2" xfId="4579"/>
    <cellStyle name="표준 5 2 28 2 2 2" xfId="10915"/>
    <cellStyle name="표준 5 2 28 2 2 2 2" xfId="23589"/>
    <cellStyle name="표준 5 2 28 2 2 2 2 2" xfId="48941"/>
    <cellStyle name="표준 5 2 28 2 2 2 3" xfId="36269"/>
    <cellStyle name="표준 5 2 28 2 2 3" xfId="17253"/>
    <cellStyle name="표준 5 2 28 2 2 3 2" xfId="42605"/>
    <cellStyle name="표준 5 2 28 2 2 4" xfId="29933"/>
    <cellStyle name="표준 5 2 28 2 3" xfId="7790"/>
    <cellStyle name="표준 5 2 28 2 3 2" xfId="20464"/>
    <cellStyle name="표준 5 2 28 2 3 2 2" xfId="45816"/>
    <cellStyle name="표준 5 2 28 2 3 3" xfId="33144"/>
    <cellStyle name="표준 5 2 28 2 4" xfId="14128"/>
    <cellStyle name="표준 5 2 28 2 4 2" xfId="39480"/>
    <cellStyle name="표준 5 2 28 2 5" xfId="26808"/>
    <cellStyle name="표준 5 2 28 3" xfId="4580"/>
    <cellStyle name="표준 5 2 28 3 2" xfId="10916"/>
    <cellStyle name="표준 5 2 28 3 2 2" xfId="23590"/>
    <cellStyle name="표준 5 2 28 3 2 2 2" xfId="48942"/>
    <cellStyle name="표준 5 2 28 3 2 3" xfId="36270"/>
    <cellStyle name="표준 5 2 28 3 3" xfId="17254"/>
    <cellStyle name="표준 5 2 28 3 3 2" xfId="42606"/>
    <cellStyle name="표준 5 2 28 3 4" xfId="29934"/>
    <cellStyle name="표준 5 2 28 4" xfId="7789"/>
    <cellStyle name="표준 5 2 28 4 2" xfId="20463"/>
    <cellStyle name="표준 5 2 28 4 2 2" xfId="45815"/>
    <cellStyle name="표준 5 2 28 4 3" xfId="33143"/>
    <cellStyle name="표준 5 2 28 5" xfId="14127"/>
    <cellStyle name="표준 5 2 28 5 2" xfId="39479"/>
    <cellStyle name="표준 5 2 28 6" xfId="26807"/>
    <cellStyle name="표준 5 2 29" xfId="1454"/>
    <cellStyle name="표준 5 2 29 2" xfId="1455"/>
    <cellStyle name="표준 5 2 29 2 2" xfId="4581"/>
    <cellStyle name="표준 5 2 29 2 2 2" xfId="10917"/>
    <cellStyle name="표준 5 2 29 2 2 2 2" xfId="23591"/>
    <cellStyle name="표준 5 2 29 2 2 2 2 2" xfId="48943"/>
    <cellStyle name="표준 5 2 29 2 2 2 3" xfId="36271"/>
    <cellStyle name="표준 5 2 29 2 2 3" xfId="17255"/>
    <cellStyle name="표준 5 2 29 2 2 3 2" xfId="42607"/>
    <cellStyle name="표준 5 2 29 2 2 4" xfId="29935"/>
    <cellStyle name="표준 5 2 29 2 3" xfId="7792"/>
    <cellStyle name="표준 5 2 29 2 3 2" xfId="20466"/>
    <cellStyle name="표준 5 2 29 2 3 2 2" xfId="45818"/>
    <cellStyle name="표준 5 2 29 2 3 3" xfId="33146"/>
    <cellStyle name="표준 5 2 29 2 4" xfId="14130"/>
    <cellStyle name="표준 5 2 29 2 4 2" xfId="39482"/>
    <cellStyle name="표준 5 2 29 2 5" xfId="26810"/>
    <cellStyle name="표준 5 2 29 3" xfId="4582"/>
    <cellStyle name="표준 5 2 29 3 2" xfId="10918"/>
    <cellStyle name="표준 5 2 29 3 2 2" xfId="23592"/>
    <cellStyle name="표준 5 2 29 3 2 2 2" xfId="48944"/>
    <cellStyle name="표준 5 2 29 3 2 3" xfId="36272"/>
    <cellStyle name="표준 5 2 29 3 3" xfId="17256"/>
    <cellStyle name="표준 5 2 29 3 3 2" xfId="42608"/>
    <cellStyle name="표준 5 2 29 3 4" xfId="29936"/>
    <cellStyle name="표준 5 2 29 4" xfId="7791"/>
    <cellStyle name="표준 5 2 29 4 2" xfId="20465"/>
    <cellStyle name="표준 5 2 29 4 2 2" xfId="45817"/>
    <cellStyle name="표준 5 2 29 4 3" xfId="33145"/>
    <cellStyle name="표준 5 2 29 5" xfId="14129"/>
    <cellStyle name="표준 5 2 29 5 2" xfId="39481"/>
    <cellStyle name="표준 5 2 29 6" xfId="26809"/>
    <cellStyle name="표준 5 2 3" xfId="27"/>
    <cellStyle name="표준 5 2 3 10" xfId="1456"/>
    <cellStyle name="표준 5 2 3 10 2" xfId="1457"/>
    <cellStyle name="표준 5 2 3 10 2 2" xfId="4583"/>
    <cellStyle name="표준 5 2 3 10 2 2 2" xfId="10919"/>
    <cellStyle name="표준 5 2 3 10 2 2 2 2" xfId="23593"/>
    <cellStyle name="표준 5 2 3 10 2 2 2 2 2" xfId="48945"/>
    <cellStyle name="표준 5 2 3 10 2 2 2 3" xfId="36273"/>
    <cellStyle name="표준 5 2 3 10 2 2 3" xfId="17257"/>
    <cellStyle name="표준 5 2 3 10 2 2 3 2" xfId="42609"/>
    <cellStyle name="표준 5 2 3 10 2 2 4" xfId="29937"/>
    <cellStyle name="표준 5 2 3 10 2 3" xfId="7794"/>
    <cellStyle name="표준 5 2 3 10 2 3 2" xfId="20468"/>
    <cellStyle name="표준 5 2 3 10 2 3 2 2" xfId="45820"/>
    <cellStyle name="표준 5 2 3 10 2 3 3" xfId="33148"/>
    <cellStyle name="표준 5 2 3 10 2 4" xfId="14132"/>
    <cellStyle name="표준 5 2 3 10 2 4 2" xfId="39484"/>
    <cellStyle name="표준 5 2 3 10 2 5" xfId="26812"/>
    <cellStyle name="표준 5 2 3 10 3" xfId="4584"/>
    <cellStyle name="표준 5 2 3 10 3 2" xfId="10920"/>
    <cellStyle name="표준 5 2 3 10 3 2 2" xfId="23594"/>
    <cellStyle name="표준 5 2 3 10 3 2 2 2" xfId="48946"/>
    <cellStyle name="표준 5 2 3 10 3 2 3" xfId="36274"/>
    <cellStyle name="표준 5 2 3 10 3 3" xfId="17258"/>
    <cellStyle name="표준 5 2 3 10 3 3 2" xfId="42610"/>
    <cellStyle name="표준 5 2 3 10 3 4" xfId="29938"/>
    <cellStyle name="표준 5 2 3 10 4" xfId="7793"/>
    <cellStyle name="표준 5 2 3 10 4 2" xfId="20467"/>
    <cellStyle name="표준 5 2 3 10 4 2 2" xfId="45819"/>
    <cellStyle name="표준 5 2 3 10 4 3" xfId="33147"/>
    <cellStyle name="표준 5 2 3 10 5" xfId="14131"/>
    <cellStyle name="표준 5 2 3 10 5 2" xfId="39483"/>
    <cellStyle name="표준 5 2 3 10 6" xfId="26811"/>
    <cellStyle name="표준 5 2 3 11" xfId="1458"/>
    <cellStyle name="표준 5 2 3 11 2" xfId="1459"/>
    <cellStyle name="표준 5 2 3 11 2 2" xfId="4585"/>
    <cellStyle name="표준 5 2 3 11 2 2 2" xfId="10921"/>
    <cellStyle name="표준 5 2 3 11 2 2 2 2" xfId="23595"/>
    <cellStyle name="표준 5 2 3 11 2 2 2 2 2" xfId="48947"/>
    <cellStyle name="표준 5 2 3 11 2 2 2 3" xfId="36275"/>
    <cellStyle name="표준 5 2 3 11 2 2 3" xfId="17259"/>
    <cellStyle name="표준 5 2 3 11 2 2 3 2" xfId="42611"/>
    <cellStyle name="표준 5 2 3 11 2 2 4" xfId="29939"/>
    <cellStyle name="표준 5 2 3 11 2 3" xfId="7796"/>
    <cellStyle name="표준 5 2 3 11 2 3 2" xfId="20470"/>
    <cellStyle name="표준 5 2 3 11 2 3 2 2" xfId="45822"/>
    <cellStyle name="표준 5 2 3 11 2 3 3" xfId="33150"/>
    <cellStyle name="표준 5 2 3 11 2 4" xfId="14134"/>
    <cellStyle name="표준 5 2 3 11 2 4 2" xfId="39486"/>
    <cellStyle name="표준 5 2 3 11 2 5" xfId="26814"/>
    <cellStyle name="표준 5 2 3 11 3" xfId="4586"/>
    <cellStyle name="표준 5 2 3 11 3 2" xfId="10922"/>
    <cellStyle name="표준 5 2 3 11 3 2 2" xfId="23596"/>
    <cellStyle name="표준 5 2 3 11 3 2 2 2" xfId="48948"/>
    <cellStyle name="표준 5 2 3 11 3 2 3" xfId="36276"/>
    <cellStyle name="표준 5 2 3 11 3 3" xfId="17260"/>
    <cellStyle name="표준 5 2 3 11 3 3 2" xfId="42612"/>
    <cellStyle name="표준 5 2 3 11 3 4" xfId="29940"/>
    <cellStyle name="표준 5 2 3 11 4" xfId="7795"/>
    <cellStyle name="표준 5 2 3 11 4 2" xfId="20469"/>
    <cellStyle name="표준 5 2 3 11 4 2 2" xfId="45821"/>
    <cellStyle name="표준 5 2 3 11 4 3" xfId="33149"/>
    <cellStyle name="표준 5 2 3 11 5" xfId="14133"/>
    <cellStyle name="표준 5 2 3 11 5 2" xfId="39485"/>
    <cellStyle name="표준 5 2 3 11 6" xfId="26813"/>
    <cellStyle name="표준 5 2 3 12" xfId="1460"/>
    <cellStyle name="표준 5 2 3 12 2" xfId="1461"/>
    <cellStyle name="표준 5 2 3 12 2 2" xfId="4587"/>
    <cellStyle name="표준 5 2 3 12 2 2 2" xfId="10923"/>
    <cellStyle name="표준 5 2 3 12 2 2 2 2" xfId="23597"/>
    <cellStyle name="표준 5 2 3 12 2 2 2 2 2" xfId="48949"/>
    <cellStyle name="표준 5 2 3 12 2 2 2 3" xfId="36277"/>
    <cellStyle name="표준 5 2 3 12 2 2 3" xfId="17261"/>
    <cellStyle name="표준 5 2 3 12 2 2 3 2" xfId="42613"/>
    <cellStyle name="표준 5 2 3 12 2 2 4" xfId="29941"/>
    <cellStyle name="표준 5 2 3 12 2 3" xfId="7798"/>
    <cellStyle name="표준 5 2 3 12 2 3 2" xfId="20472"/>
    <cellStyle name="표준 5 2 3 12 2 3 2 2" xfId="45824"/>
    <cellStyle name="표준 5 2 3 12 2 3 3" xfId="33152"/>
    <cellStyle name="표준 5 2 3 12 2 4" xfId="14136"/>
    <cellStyle name="표준 5 2 3 12 2 4 2" xfId="39488"/>
    <cellStyle name="표준 5 2 3 12 2 5" xfId="26816"/>
    <cellStyle name="표준 5 2 3 12 3" xfId="4588"/>
    <cellStyle name="표준 5 2 3 12 3 2" xfId="10924"/>
    <cellStyle name="표준 5 2 3 12 3 2 2" xfId="23598"/>
    <cellStyle name="표준 5 2 3 12 3 2 2 2" xfId="48950"/>
    <cellStyle name="표준 5 2 3 12 3 2 3" xfId="36278"/>
    <cellStyle name="표준 5 2 3 12 3 3" xfId="17262"/>
    <cellStyle name="표준 5 2 3 12 3 3 2" xfId="42614"/>
    <cellStyle name="표준 5 2 3 12 3 4" xfId="29942"/>
    <cellStyle name="표준 5 2 3 12 4" xfId="7797"/>
    <cellStyle name="표준 5 2 3 12 4 2" xfId="20471"/>
    <cellStyle name="표준 5 2 3 12 4 2 2" xfId="45823"/>
    <cellStyle name="표준 5 2 3 12 4 3" xfId="33151"/>
    <cellStyle name="표준 5 2 3 12 5" xfId="14135"/>
    <cellStyle name="표준 5 2 3 12 5 2" xfId="39487"/>
    <cellStyle name="표준 5 2 3 12 6" xfId="26815"/>
    <cellStyle name="표준 5 2 3 13" xfId="1462"/>
    <cellStyle name="표준 5 2 3 13 2" xfId="1463"/>
    <cellStyle name="표준 5 2 3 13 2 2" xfId="4589"/>
    <cellStyle name="표준 5 2 3 13 2 2 2" xfId="10925"/>
    <cellStyle name="표준 5 2 3 13 2 2 2 2" xfId="23599"/>
    <cellStyle name="표준 5 2 3 13 2 2 2 2 2" xfId="48951"/>
    <cellStyle name="표준 5 2 3 13 2 2 2 3" xfId="36279"/>
    <cellStyle name="표준 5 2 3 13 2 2 3" xfId="17263"/>
    <cellStyle name="표준 5 2 3 13 2 2 3 2" xfId="42615"/>
    <cellStyle name="표준 5 2 3 13 2 2 4" xfId="29943"/>
    <cellStyle name="표준 5 2 3 13 2 3" xfId="7800"/>
    <cellStyle name="표준 5 2 3 13 2 3 2" xfId="20474"/>
    <cellStyle name="표준 5 2 3 13 2 3 2 2" xfId="45826"/>
    <cellStyle name="표준 5 2 3 13 2 3 3" xfId="33154"/>
    <cellStyle name="표준 5 2 3 13 2 4" xfId="14138"/>
    <cellStyle name="표준 5 2 3 13 2 4 2" xfId="39490"/>
    <cellStyle name="표준 5 2 3 13 2 5" xfId="26818"/>
    <cellStyle name="표준 5 2 3 13 3" xfId="4590"/>
    <cellStyle name="표준 5 2 3 13 3 2" xfId="10926"/>
    <cellStyle name="표준 5 2 3 13 3 2 2" xfId="23600"/>
    <cellStyle name="표준 5 2 3 13 3 2 2 2" xfId="48952"/>
    <cellStyle name="표준 5 2 3 13 3 2 3" xfId="36280"/>
    <cellStyle name="표준 5 2 3 13 3 3" xfId="17264"/>
    <cellStyle name="표준 5 2 3 13 3 3 2" xfId="42616"/>
    <cellStyle name="표준 5 2 3 13 3 4" xfId="29944"/>
    <cellStyle name="표준 5 2 3 13 4" xfId="7799"/>
    <cellStyle name="표준 5 2 3 13 4 2" xfId="20473"/>
    <cellStyle name="표준 5 2 3 13 4 2 2" xfId="45825"/>
    <cellStyle name="표준 5 2 3 13 4 3" xfId="33153"/>
    <cellStyle name="표준 5 2 3 13 5" xfId="14137"/>
    <cellStyle name="표준 5 2 3 13 5 2" xfId="39489"/>
    <cellStyle name="표준 5 2 3 13 6" xfId="26817"/>
    <cellStyle name="표준 5 2 3 14" xfId="1464"/>
    <cellStyle name="표준 5 2 3 14 2" xfId="1465"/>
    <cellStyle name="표준 5 2 3 14 2 2" xfId="4591"/>
    <cellStyle name="표준 5 2 3 14 2 2 2" xfId="10927"/>
    <cellStyle name="표준 5 2 3 14 2 2 2 2" xfId="23601"/>
    <cellStyle name="표준 5 2 3 14 2 2 2 2 2" xfId="48953"/>
    <cellStyle name="표준 5 2 3 14 2 2 2 3" xfId="36281"/>
    <cellStyle name="표준 5 2 3 14 2 2 3" xfId="17265"/>
    <cellStyle name="표준 5 2 3 14 2 2 3 2" xfId="42617"/>
    <cellStyle name="표준 5 2 3 14 2 2 4" xfId="29945"/>
    <cellStyle name="표준 5 2 3 14 2 3" xfId="7802"/>
    <cellStyle name="표준 5 2 3 14 2 3 2" xfId="20476"/>
    <cellStyle name="표준 5 2 3 14 2 3 2 2" xfId="45828"/>
    <cellStyle name="표준 5 2 3 14 2 3 3" xfId="33156"/>
    <cellStyle name="표준 5 2 3 14 2 4" xfId="14140"/>
    <cellStyle name="표준 5 2 3 14 2 4 2" xfId="39492"/>
    <cellStyle name="표준 5 2 3 14 2 5" xfId="26820"/>
    <cellStyle name="표준 5 2 3 14 3" xfId="4592"/>
    <cellStyle name="표준 5 2 3 14 3 2" xfId="10928"/>
    <cellStyle name="표준 5 2 3 14 3 2 2" xfId="23602"/>
    <cellStyle name="표준 5 2 3 14 3 2 2 2" xfId="48954"/>
    <cellStyle name="표준 5 2 3 14 3 2 3" xfId="36282"/>
    <cellStyle name="표준 5 2 3 14 3 3" xfId="17266"/>
    <cellStyle name="표준 5 2 3 14 3 3 2" xfId="42618"/>
    <cellStyle name="표준 5 2 3 14 3 4" xfId="29946"/>
    <cellStyle name="표준 5 2 3 14 4" xfId="7801"/>
    <cellStyle name="표준 5 2 3 14 4 2" xfId="20475"/>
    <cellStyle name="표준 5 2 3 14 4 2 2" xfId="45827"/>
    <cellStyle name="표준 5 2 3 14 4 3" xfId="33155"/>
    <cellStyle name="표준 5 2 3 14 5" xfId="14139"/>
    <cellStyle name="표준 5 2 3 14 5 2" xfId="39491"/>
    <cellStyle name="표준 5 2 3 14 6" xfId="26819"/>
    <cellStyle name="표준 5 2 3 15" xfId="1466"/>
    <cellStyle name="표준 5 2 3 15 2" xfId="1467"/>
    <cellStyle name="표준 5 2 3 15 2 2" xfId="4593"/>
    <cellStyle name="표준 5 2 3 15 2 2 2" xfId="10929"/>
    <cellStyle name="표준 5 2 3 15 2 2 2 2" xfId="23603"/>
    <cellStyle name="표준 5 2 3 15 2 2 2 2 2" xfId="48955"/>
    <cellStyle name="표준 5 2 3 15 2 2 2 3" xfId="36283"/>
    <cellStyle name="표준 5 2 3 15 2 2 3" xfId="17267"/>
    <cellStyle name="표준 5 2 3 15 2 2 3 2" xfId="42619"/>
    <cellStyle name="표준 5 2 3 15 2 2 4" xfId="29947"/>
    <cellStyle name="표준 5 2 3 15 2 3" xfId="7804"/>
    <cellStyle name="표준 5 2 3 15 2 3 2" xfId="20478"/>
    <cellStyle name="표준 5 2 3 15 2 3 2 2" xfId="45830"/>
    <cellStyle name="표준 5 2 3 15 2 3 3" xfId="33158"/>
    <cellStyle name="표준 5 2 3 15 2 4" xfId="14142"/>
    <cellStyle name="표준 5 2 3 15 2 4 2" xfId="39494"/>
    <cellStyle name="표준 5 2 3 15 2 5" xfId="26822"/>
    <cellStyle name="표준 5 2 3 15 3" xfId="4594"/>
    <cellStyle name="표준 5 2 3 15 3 2" xfId="10930"/>
    <cellStyle name="표준 5 2 3 15 3 2 2" xfId="23604"/>
    <cellStyle name="표준 5 2 3 15 3 2 2 2" xfId="48956"/>
    <cellStyle name="표준 5 2 3 15 3 2 3" xfId="36284"/>
    <cellStyle name="표준 5 2 3 15 3 3" xfId="17268"/>
    <cellStyle name="표준 5 2 3 15 3 3 2" xfId="42620"/>
    <cellStyle name="표준 5 2 3 15 3 4" xfId="29948"/>
    <cellStyle name="표준 5 2 3 15 4" xfId="7803"/>
    <cellStyle name="표준 5 2 3 15 4 2" xfId="20477"/>
    <cellStyle name="표준 5 2 3 15 4 2 2" xfId="45829"/>
    <cellStyle name="표준 5 2 3 15 4 3" xfId="33157"/>
    <cellStyle name="표준 5 2 3 15 5" xfId="14141"/>
    <cellStyle name="표준 5 2 3 15 5 2" xfId="39493"/>
    <cellStyle name="표준 5 2 3 15 6" xfId="26821"/>
    <cellStyle name="표준 5 2 3 16" xfId="1468"/>
    <cellStyle name="표준 5 2 3 16 2" xfId="1469"/>
    <cellStyle name="표준 5 2 3 16 2 2" xfId="4595"/>
    <cellStyle name="표준 5 2 3 16 2 2 2" xfId="10931"/>
    <cellStyle name="표준 5 2 3 16 2 2 2 2" xfId="23605"/>
    <cellStyle name="표준 5 2 3 16 2 2 2 2 2" xfId="48957"/>
    <cellStyle name="표준 5 2 3 16 2 2 2 3" xfId="36285"/>
    <cellStyle name="표준 5 2 3 16 2 2 3" xfId="17269"/>
    <cellStyle name="표준 5 2 3 16 2 2 3 2" xfId="42621"/>
    <cellStyle name="표준 5 2 3 16 2 2 4" xfId="29949"/>
    <cellStyle name="표준 5 2 3 16 2 3" xfId="7806"/>
    <cellStyle name="표준 5 2 3 16 2 3 2" xfId="20480"/>
    <cellStyle name="표준 5 2 3 16 2 3 2 2" xfId="45832"/>
    <cellStyle name="표준 5 2 3 16 2 3 3" xfId="33160"/>
    <cellStyle name="표준 5 2 3 16 2 4" xfId="14144"/>
    <cellStyle name="표준 5 2 3 16 2 4 2" xfId="39496"/>
    <cellStyle name="표준 5 2 3 16 2 5" xfId="26824"/>
    <cellStyle name="표준 5 2 3 16 3" xfId="4596"/>
    <cellStyle name="표준 5 2 3 16 3 2" xfId="10932"/>
    <cellStyle name="표준 5 2 3 16 3 2 2" xfId="23606"/>
    <cellStyle name="표준 5 2 3 16 3 2 2 2" xfId="48958"/>
    <cellStyle name="표준 5 2 3 16 3 2 3" xfId="36286"/>
    <cellStyle name="표준 5 2 3 16 3 3" xfId="17270"/>
    <cellStyle name="표준 5 2 3 16 3 3 2" xfId="42622"/>
    <cellStyle name="표준 5 2 3 16 3 4" xfId="29950"/>
    <cellStyle name="표준 5 2 3 16 4" xfId="7805"/>
    <cellStyle name="표준 5 2 3 16 4 2" xfId="20479"/>
    <cellStyle name="표준 5 2 3 16 4 2 2" xfId="45831"/>
    <cellStyle name="표준 5 2 3 16 4 3" xfId="33159"/>
    <cellStyle name="표준 5 2 3 16 5" xfId="14143"/>
    <cellStyle name="표준 5 2 3 16 5 2" xfId="39495"/>
    <cellStyle name="표준 5 2 3 16 6" xfId="26823"/>
    <cellStyle name="표준 5 2 3 17" xfId="1470"/>
    <cellStyle name="표준 5 2 3 17 2" xfId="1471"/>
    <cellStyle name="표준 5 2 3 17 2 2" xfId="4597"/>
    <cellStyle name="표준 5 2 3 17 2 2 2" xfId="10933"/>
    <cellStyle name="표준 5 2 3 17 2 2 2 2" xfId="23607"/>
    <cellStyle name="표준 5 2 3 17 2 2 2 2 2" xfId="48959"/>
    <cellStyle name="표준 5 2 3 17 2 2 2 3" xfId="36287"/>
    <cellStyle name="표준 5 2 3 17 2 2 3" xfId="17271"/>
    <cellStyle name="표준 5 2 3 17 2 2 3 2" xfId="42623"/>
    <cellStyle name="표준 5 2 3 17 2 2 4" xfId="29951"/>
    <cellStyle name="표준 5 2 3 17 2 3" xfId="7808"/>
    <cellStyle name="표준 5 2 3 17 2 3 2" xfId="20482"/>
    <cellStyle name="표준 5 2 3 17 2 3 2 2" xfId="45834"/>
    <cellStyle name="표준 5 2 3 17 2 3 3" xfId="33162"/>
    <cellStyle name="표준 5 2 3 17 2 4" xfId="14146"/>
    <cellStyle name="표준 5 2 3 17 2 4 2" xfId="39498"/>
    <cellStyle name="표준 5 2 3 17 2 5" xfId="26826"/>
    <cellStyle name="표준 5 2 3 17 3" xfId="4598"/>
    <cellStyle name="표준 5 2 3 17 3 2" xfId="10934"/>
    <cellStyle name="표준 5 2 3 17 3 2 2" xfId="23608"/>
    <cellStyle name="표준 5 2 3 17 3 2 2 2" xfId="48960"/>
    <cellStyle name="표준 5 2 3 17 3 2 3" xfId="36288"/>
    <cellStyle name="표준 5 2 3 17 3 3" xfId="17272"/>
    <cellStyle name="표준 5 2 3 17 3 3 2" xfId="42624"/>
    <cellStyle name="표준 5 2 3 17 3 4" xfId="29952"/>
    <cellStyle name="표준 5 2 3 17 4" xfId="7807"/>
    <cellStyle name="표준 5 2 3 17 4 2" xfId="20481"/>
    <cellStyle name="표준 5 2 3 17 4 2 2" xfId="45833"/>
    <cellStyle name="표준 5 2 3 17 4 3" xfId="33161"/>
    <cellStyle name="표준 5 2 3 17 5" xfId="14145"/>
    <cellStyle name="표준 5 2 3 17 5 2" xfId="39497"/>
    <cellStyle name="표준 5 2 3 17 6" xfId="26825"/>
    <cellStyle name="표준 5 2 3 18" xfId="1472"/>
    <cellStyle name="표준 5 2 3 18 2" xfId="1473"/>
    <cellStyle name="표준 5 2 3 18 2 2" xfId="4599"/>
    <cellStyle name="표준 5 2 3 18 2 2 2" xfId="10935"/>
    <cellStyle name="표준 5 2 3 18 2 2 2 2" xfId="23609"/>
    <cellStyle name="표준 5 2 3 18 2 2 2 2 2" xfId="48961"/>
    <cellStyle name="표준 5 2 3 18 2 2 2 3" xfId="36289"/>
    <cellStyle name="표준 5 2 3 18 2 2 3" xfId="17273"/>
    <cellStyle name="표준 5 2 3 18 2 2 3 2" xfId="42625"/>
    <cellStyle name="표준 5 2 3 18 2 2 4" xfId="29953"/>
    <cellStyle name="표준 5 2 3 18 2 3" xfId="7810"/>
    <cellStyle name="표준 5 2 3 18 2 3 2" xfId="20484"/>
    <cellStyle name="표준 5 2 3 18 2 3 2 2" xfId="45836"/>
    <cellStyle name="표준 5 2 3 18 2 3 3" xfId="33164"/>
    <cellStyle name="표준 5 2 3 18 2 4" xfId="14148"/>
    <cellStyle name="표준 5 2 3 18 2 4 2" xfId="39500"/>
    <cellStyle name="표준 5 2 3 18 2 5" xfId="26828"/>
    <cellStyle name="표준 5 2 3 18 3" xfId="4600"/>
    <cellStyle name="표준 5 2 3 18 3 2" xfId="10936"/>
    <cellStyle name="표준 5 2 3 18 3 2 2" xfId="23610"/>
    <cellStyle name="표준 5 2 3 18 3 2 2 2" xfId="48962"/>
    <cellStyle name="표준 5 2 3 18 3 2 3" xfId="36290"/>
    <cellStyle name="표준 5 2 3 18 3 3" xfId="17274"/>
    <cellStyle name="표준 5 2 3 18 3 3 2" xfId="42626"/>
    <cellStyle name="표준 5 2 3 18 3 4" xfId="29954"/>
    <cellStyle name="표준 5 2 3 18 4" xfId="7809"/>
    <cellStyle name="표준 5 2 3 18 4 2" xfId="20483"/>
    <cellStyle name="표준 5 2 3 18 4 2 2" xfId="45835"/>
    <cellStyle name="표준 5 2 3 18 4 3" xfId="33163"/>
    <cellStyle name="표준 5 2 3 18 5" xfId="14147"/>
    <cellStyle name="표준 5 2 3 18 5 2" xfId="39499"/>
    <cellStyle name="표준 5 2 3 18 6" xfId="26827"/>
    <cellStyle name="표준 5 2 3 19" xfId="1474"/>
    <cellStyle name="표준 5 2 3 19 2" xfId="1475"/>
    <cellStyle name="표준 5 2 3 19 2 2" xfId="4601"/>
    <cellStyle name="표준 5 2 3 19 2 2 2" xfId="10937"/>
    <cellStyle name="표준 5 2 3 19 2 2 2 2" xfId="23611"/>
    <cellStyle name="표준 5 2 3 19 2 2 2 2 2" xfId="48963"/>
    <cellStyle name="표준 5 2 3 19 2 2 2 3" xfId="36291"/>
    <cellStyle name="표준 5 2 3 19 2 2 3" xfId="17275"/>
    <cellStyle name="표준 5 2 3 19 2 2 3 2" xfId="42627"/>
    <cellStyle name="표준 5 2 3 19 2 2 4" xfId="29955"/>
    <cellStyle name="표준 5 2 3 19 2 3" xfId="7812"/>
    <cellStyle name="표준 5 2 3 19 2 3 2" xfId="20486"/>
    <cellStyle name="표준 5 2 3 19 2 3 2 2" xfId="45838"/>
    <cellStyle name="표준 5 2 3 19 2 3 3" xfId="33166"/>
    <cellStyle name="표준 5 2 3 19 2 4" xfId="14150"/>
    <cellStyle name="표준 5 2 3 19 2 4 2" xfId="39502"/>
    <cellStyle name="표준 5 2 3 19 2 5" xfId="26830"/>
    <cellStyle name="표준 5 2 3 19 3" xfId="4602"/>
    <cellStyle name="표준 5 2 3 19 3 2" xfId="10938"/>
    <cellStyle name="표준 5 2 3 19 3 2 2" xfId="23612"/>
    <cellStyle name="표준 5 2 3 19 3 2 2 2" xfId="48964"/>
    <cellStyle name="표준 5 2 3 19 3 2 3" xfId="36292"/>
    <cellStyle name="표준 5 2 3 19 3 3" xfId="17276"/>
    <cellStyle name="표준 5 2 3 19 3 3 2" xfId="42628"/>
    <cellStyle name="표준 5 2 3 19 3 4" xfId="29956"/>
    <cellStyle name="표준 5 2 3 19 4" xfId="7811"/>
    <cellStyle name="표준 5 2 3 19 4 2" xfId="20485"/>
    <cellStyle name="표준 5 2 3 19 4 2 2" xfId="45837"/>
    <cellStyle name="표준 5 2 3 19 4 3" xfId="33165"/>
    <cellStyle name="표준 5 2 3 19 5" xfId="14149"/>
    <cellStyle name="표준 5 2 3 19 5 2" xfId="39501"/>
    <cellStyle name="표준 5 2 3 19 6" xfId="26829"/>
    <cellStyle name="표준 5 2 3 2" xfId="77"/>
    <cellStyle name="표준 5 2 3 2 10" xfId="1476"/>
    <cellStyle name="표준 5 2 3 2 10 2" xfId="1477"/>
    <cellStyle name="표준 5 2 3 2 10 2 2" xfId="4603"/>
    <cellStyle name="표준 5 2 3 2 10 2 2 2" xfId="10939"/>
    <cellStyle name="표준 5 2 3 2 10 2 2 2 2" xfId="23613"/>
    <cellStyle name="표준 5 2 3 2 10 2 2 2 2 2" xfId="48965"/>
    <cellStyle name="표준 5 2 3 2 10 2 2 2 3" xfId="36293"/>
    <cellStyle name="표준 5 2 3 2 10 2 2 3" xfId="17277"/>
    <cellStyle name="표준 5 2 3 2 10 2 2 3 2" xfId="42629"/>
    <cellStyle name="표준 5 2 3 2 10 2 2 4" xfId="29957"/>
    <cellStyle name="표준 5 2 3 2 10 2 3" xfId="7814"/>
    <cellStyle name="표준 5 2 3 2 10 2 3 2" xfId="20488"/>
    <cellStyle name="표준 5 2 3 2 10 2 3 2 2" xfId="45840"/>
    <cellStyle name="표준 5 2 3 2 10 2 3 3" xfId="33168"/>
    <cellStyle name="표준 5 2 3 2 10 2 4" xfId="14152"/>
    <cellStyle name="표준 5 2 3 2 10 2 4 2" xfId="39504"/>
    <cellStyle name="표준 5 2 3 2 10 2 5" xfId="26832"/>
    <cellStyle name="표준 5 2 3 2 10 3" xfId="4604"/>
    <cellStyle name="표준 5 2 3 2 10 3 2" xfId="10940"/>
    <cellStyle name="표준 5 2 3 2 10 3 2 2" xfId="23614"/>
    <cellStyle name="표준 5 2 3 2 10 3 2 2 2" xfId="48966"/>
    <cellStyle name="표준 5 2 3 2 10 3 2 3" xfId="36294"/>
    <cellStyle name="표준 5 2 3 2 10 3 3" xfId="17278"/>
    <cellStyle name="표준 5 2 3 2 10 3 3 2" xfId="42630"/>
    <cellStyle name="표준 5 2 3 2 10 3 4" xfId="29958"/>
    <cellStyle name="표준 5 2 3 2 10 4" xfId="7813"/>
    <cellStyle name="표준 5 2 3 2 10 4 2" xfId="20487"/>
    <cellStyle name="표준 5 2 3 2 10 4 2 2" xfId="45839"/>
    <cellStyle name="표준 5 2 3 2 10 4 3" xfId="33167"/>
    <cellStyle name="표준 5 2 3 2 10 5" xfId="14151"/>
    <cellStyle name="표준 5 2 3 2 10 5 2" xfId="39503"/>
    <cellStyle name="표준 5 2 3 2 10 6" xfId="26831"/>
    <cellStyle name="표준 5 2 3 2 11" xfId="1478"/>
    <cellStyle name="표준 5 2 3 2 11 2" xfId="1479"/>
    <cellStyle name="표준 5 2 3 2 11 2 2" xfId="4605"/>
    <cellStyle name="표준 5 2 3 2 11 2 2 2" xfId="10941"/>
    <cellStyle name="표준 5 2 3 2 11 2 2 2 2" xfId="23615"/>
    <cellStyle name="표준 5 2 3 2 11 2 2 2 2 2" xfId="48967"/>
    <cellStyle name="표준 5 2 3 2 11 2 2 2 3" xfId="36295"/>
    <cellStyle name="표준 5 2 3 2 11 2 2 3" xfId="17279"/>
    <cellStyle name="표준 5 2 3 2 11 2 2 3 2" xfId="42631"/>
    <cellStyle name="표준 5 2 3 2 11 2 2 4" xfId="29959"/>
    <cellStyle name="표준 5 2 3 2 11 2 3" xfId="7816"/>
    <cellStyle name="표준 5 2 3 2 11 2 3 2" xfId="20490"/>
    <cellStyle name="표준 5 2 3 2 11 2 3 2 2" xfId="45842"/>
    <cellStyle name="표준 5 2 3 2 11 2 3 3" xfId="33170"/>
    <cellStyle name="표준 5 2 3 2 11 2 4" xfId="14154"/>
    <cellStyle name="표준 5 2 3 2 11 2 4 2" xfId="39506"/>
    <cellStyle name="표준 5 2 3 2 11 2 5" xfId="26834"/>
    <cellStyle name="표준 5 2 3 2 11 3" xfId="4606"/>
    <cellStyle name="표준 5 2 3 2 11 3 2" xfId="10942"/>
    <cellStyle name="표준 5 2 3 2 11 3 2 2" xfId="23616"/>
    <cellStyle name="표준 5 2 3 2 11 3 2 2 2" xfId="48968"/>
    <cellStyle name="표준 5 2 3 2 11 3 2 3" xfId="36296"/>
    <cellStyle name="표준 5 2 3 2 11 3 3" xfId="17280"/>
    <cellStyle name="표준 5 2 3 2 11 3 3 2" xfId="42632"/>
    <cellStyle name="표준 5 2 3 2 11 3 4" xfId="29960"/>
    <cellStyle name="표준 5 2 3 2 11 4" xfId="7815"/>
    <cellStyle name="표준 5 2 3 2 11 4 2" xfId="20489"/>
    <cellStyle name="표준 5 2 3 2 11 4 2 2" xfId="45841"/>
    <cellStyle name="표준 5 2 3 2 11 4 3" xfId="33169"/>
    <cellStyle name="표준 5 2 3 2 11 5" xfId="14153"/>
    <cellStyle name="표준 5 2 3 2 11 5 2" xfId="39505"/>
    <cellStyle name="표준 5 2 3 2 11 6" xfId="26833"/>
    <cellStyle name="표준 5 2 3 2 12" xfId="1480"/>
    <cellStyle name="표준 5 2 3 2 12 2" xfId="1481"/>
    <cellStyle name="표준 5 2 3 2 12 2 2" xfId="4607"/>
    <cellStyle name="표준 5 2 3 2 12 2 2 2" xfId="10943"/>
    <cellStyle name="표준 5 2 3 2 12 2 2 2 2" xfId="23617"/>
    <cellStyle name="표준 5 2 3 2 12 2 2 2 2 2" xfId="48969"/>
    <cellStyle name="표준 5 2 3 2 12 2 2 2 3" xfId="36297"/>
    <cellStyle name="표준 5 2 3 2 12 2 2 3" xfId="17281"/>
    <cellStyle name="표준 5 2 3 2 12 2 2 3 2" xfId="42633"/>
    <cellStyle name="표준 5 2 3 2 12 2 2 4" xfId="29961"/>
    <cellStyle name="표준 5 2 3 2 12 2 3" xfId="7818"/>
    <cellStyle name="표준 5 2 3 2 12 2 3 2" xfId="20492"/>
    <cellStyle name="표준 5 2 3 2 12 2 3 2 2" xfId="45844"/>
    <cellStyle name="표준 5 2 3 2 12 2 3 3" xfId="33172"/>
    <cellStyle name="표준 5 2 3 2 12 2 4" xfId="14156"/>
    <cellStyle name="표준 5 2 3 2 12 2 4 2" xfId="39508"/>
    <cellStyle name="표준 5 2 3 2 12 2 5" xfId="26836"/>
    <cellStyle name="표준 5 2 3 2 12 3" xfId="4608"/>
    <cellStyle name="표준 5 2 3 2 12 3 2" xfId="10944"/>
    <cellStyle name="표준 5 2 3 2 12 3 2 2" xfId="23618"/>
    <cellStyle name="표준 5 2 3 2 12 3 2 2 2" xfId="48970"/>
    <cellStyle name="표준 5 2 3 2 12 3 2 3" xfId="36298"/>
    <cellStyle name="표준 5 2 3 2 12 3 3" xfId="17282"/>
    <cellStyle name="표준 5 2 3 2 12 3 3 2" xfId="42634"/>
    <cellStyle name="표준 5 2 3 2 12 3 4" xfId="29962"/>
    <cellStyle name="표준 5 2 3 2 12 4" xfId="7817"/>
    <cellStyle name="표준 5 2 3 2 12 4 2" xfId="20491"/>
    <cellStyle name="표준 5 2 3 2 12 4 2 2" xfId="45843"/>
    <cellStyle name="표준 5 2 3 2 12 4 3" xfId="33171"/>
    <cellStyle name="표준 5 2 3 2 12 5" xfId="14155"/>
    <cellStyle name="표준 5 2 3 2 12 5 2" xfId="39507"/>
    <cellStyle name="표준 5 2 3 2 12 6" xfId="26835"/>
    <cellStyle name="표준 5 2 3 2 13" xfId="1482"/>
    <cellStyle name="표준 5 2 3 2 13 2" xfId="1483"/>
    <cellStyle name="표준 5 2 3 2 13 2 2" xfId="4609"/>
    <cellStyle name="표준 5 2 3 2 13 2 2 2" xfId="10945"/>
    <cellStyle name="표준 5 2 3 2 13 2 2 2 2" xfId="23619"/>
    <cellStyle name="표준 5 2 3 2 13 2 2 2 2 2" xfId="48971"/>
    <cellStyle name="표준 5 2 3 2 13 2 2 2 3" xfId="36299"/>
    <cellStyle name="표준 5 2 3 2 13 2 2 3" xfId="17283"/>
    <cellStyle name="표준 5 2 3 2 13 2 2 3 2" xfId="42635"/>
    <cellStyle name="표준 5 2 3 2 13 2 2 4" xfId="29963"/>
    <cellStyle name="표준 5 2 3 2 13 2 3" xfId="7820"/>
    <cellStyle name="표준 5 2 3 2 13 2 3 2" xfId="20494"/>
    <cellStyle name="표준 5 2 3 2 13 2 3 2 2" xfId="45846"/>
    <cellStyle name="표준 5 2 3 2 13 2 3 3" xfId="33174"/>
    <cellStyle name="표준 5 2 3 2 13 2 4" xfId="14158"/>
    <cellStyle name="표준 5 2 3 2 13 2 4 2" xfId="39510"/>
    <cellStyle name="표준 5 2 3 2 13 2 5" xfId="26838"/>
    <cellStyle name="표준 5 2 3 2 13 3" xfId="4610"/>
    <cellStyle name="표준 5 2 3 2 13 3 2" xfId="10946"/>
    <cellStyle name="표준 5 2 3 2 13 3 2 2" xfId="23620"/>
    <cellStyle name="표준 5 2 3 2 13 3 2 2 2" xfId="48972"/>
    <cellStyle name="표준 5 2 3 2 13 3 2 3" xfId="36300"/>
    <cellStyle name="표준 5 2 3 2 13 3 3" xfId="17284"/>
    <cellStyle name="표준 5 2 3 2 13 3 3 2" xfId="42636"/>
    <cellStyle name="표준 5 2 3 2 13 3 4" xfId="29964"/>
    <cellStyle name="표준 5 2 3 2 13 4" xfId="7819"/>
    <cellStyle name="표준 5 2 3 2 13 4 2" xfId="20493"/>
    <cellStyle name="표준 5 2 3 2 13 4 2 2" xfId="45845"/>
    <cellStyle name="표준 5 2 3 2 13 4 3" xfId="33173"/>
    <cellStyle name="표준 5 2 3 2 13 5" xfId="14157"/>
    <cellStyle name="표준 5 2 3 2 13 5 2" xfId="39509"/>
    <cellStyle name="표준 5 2 3 2 13 6" xfId="26837"/>
    <cellStyle name="표준 5 2 3 2 14" xfId="1484"/>
    <cellStyle name="표준 5 2 3 2 14 2" xfId="1485"/>
    <cellStyle name="표준 5 2 3 2 14 2 2" xfId="4611"/>
    <cellStyle name="표준 5 2 3 2 14 2 2 2" xfId="10947"/>
    <cellStyle name="표준 5 2 3 2 14 2 2 2 2" xfId="23621"/>
    <cellStyle name="표준 5 2 3 2 14 2 2 2 2 2" xfId="48973"/>
    <cellStyle name="표준 5 2 3 2 14 2 2 2 3" xfId="36301"/>
    <cellStyle name="표준 5 2 3 2 14 2 2 3" xfId="17285"/>
    <cellStyle name="표준 5 2 3 2 14 2 2 3 2" xfId="42637"/>
    <cellStyle name="표준 5 2 3 2 14 2 2 4" xfId="29965"/>
    <cellStyle name="표준 5 2 3 2 14 2 3" xfId="7822"/>
    <cellStyle name="표준 5 2 3 2 14 2 3 2" xfId="20496"/>
    <cellStyle name="표준 5 2 3 2 14 2 3 2 2" xfId="45848"/>
    <cellStyle name="표준 5 2 3 2 14 2 3 3" xfId="33176"/>
    <cellStyle name="표준 5 2 3 2 14 2 4" xfId="14160"/>
    <cellStyle name="표준 5 2 3 2 14 2 4 2" xfId="39512"/>
    <cellStyle name="표준 5 2 3 2 14 2 5" xfId="26840"/>
    <cellStyle name="표준 5 2 3 2 14 3" xfId="4612"/>
    <cellStyle name="표준 5 2 3 2 14 3 2" xfId="10948"/>
    <cellStyle name="표준 5 2 3 2 14 3 2 2" xfId="23622"/>
    <cellStyle name="표준 5 2 3 2 14 3 2 2 2" xfId="48974"/>
    <cellStyle name="표준 5 2 3 2 14 3 2 3" xfId="36302"/>
    <cellStyle name="표준 5 2 3 2 14 3 3" xfId="17286"/>
    <cellStyle name="표준 5 2 3 2 14 3 3 2" xfId="42638"/>
    <cellStyle name="표준 5 2 3 2 14 3 4" xfId="29966"/>
    <cellStyle name="표준 5 2 3 2 14 4" xfId="7821"/>
    <cellStyle name="표준 5 2 3 2 14 4 2" xfId="20495"/>
    <cellStyle name="표준 5 2 3 2 14 4 2 2" xfId="45847"/>
    <cellStyle name="표준 5 2 3 2 14 4 3" xfId="33175"/>
    <cellStyle name="표준 5 2 3 2 14 5" xfId="14159"/>
    <cellStyle name="표준 5 2 3 2 14 5 2" xfId="39511"/>
    <cellStyle name="표준 5 2 3 2 14 6" xfId="26839"/>
    <cellStyle name="표준 5 2 3 2 15" xfId="1486"/>
    <cellStyle name="표준 5 2 3 2 15 2" xfId="1487"/>
    <cellStyle name="표준 5 2 3 2 15 2 2" xfId="4613"/>
    <cellStyle name="표준 5 2 3 2 15 2 2 2" xfId="10949"/>
    <cellStyle name="표준 5 2 3 2 15 2 2 2 2" xfId="23623"/>
    <cellStyle name="표준 5 2 3 2 15 2 2 2 2 2" xfId="48975"/>
    <cellStyle name="표준 5 2 3 2 15 2 2 2 3" xfId="36303"/>
    <cellStyle name="표준 5 2 3 2 15 2 2 3" xfId="17287"/>
    <cellStyle name="표준 5 2 3 2 15 2 2 3 2" xfId="42639"/>
    <cellStyle name="표준 5 2 3 2 15 2 2 4" xfId="29967"/>
    <cellStyle name="표준 5 2 3 2 15 2 3" xfId="7824"/>
    <cellStyle name="표준 5 2 3 2 15 2 3 2" xfId="20498"/>
    <cellStyle name="표준 5 2 3 2 15 2 3 2 2" xfId="45850"/>
    <cellStyle name="표준 5 2 3 2 15 2 3 3" xfId="33178"/>
    <cellStyle name="표준 5 2 3 2 15 2 4" xfId="14162"/>
    <cellStyle name="표준 5 2 3 2 15 2 4 2" xfId="39514"/>
    <cellStyle name="표준 5 2 3 2 15 2 5" xfId="26842"/>
    <cellStyle name="표준 5 2 3 2 15 3" xfId="4614"/>
    <cellStyle name="표준 5 2 3 2 15 3 2" xfId="10950"/>
    <cellStyle name="표준 5 2 3 2 15 3 2 2" xfId="23624"/>
    <cellStyle name="표준 5 2 3 2 15 3 2 2 2" xfId="48976"/>
    <cellStyle name="표준 5 2 3 2 15 3 2 3" xfId="36304"/>
    <cellStyle name="표준 5 2 3 2 15 3 3" xfId="17288"/>
    <cellStyle name="표준 5 2 3 2 15 3 3 2" xfId="42640"/>
    <cellStyle name="표준 5 2 3 2 15 3 4" xfId="29968"/>
    <cellStyle name="표준 5 2 3 2 15 4" xfId="7823"/>
    <cellStyle name="표준 5 2 3 2 15 4 2" xfId="20497"/>
    <cellStyle name="표준 5 2 3 2 15 4 2 2" xfId="45849"/>
    <cellStyle name="표준 5 2 3 2 15 4 3" xfId="33177"/>
    <cellStyle name="표준 5 2 3 2 15 5" xfId="14161"/>
    <cellStyle name="표준 5 2 3 2 15 5 2" xfId="39513"/>
    <cellStyle name="표준 5 2 3 2 15 6" xfId="26841"/>
    <cellStyle name="표준 5 2 3 2 16" xfId="1488"/>
    <cellStyle name="표준 5 2 3 2 16 2" xfId="1489"/>
    <cellStyle name="표준 5 2 3 2 16 2 2" xfId="4615"/>
    <cellStyle name="표준 5 2 3 2 16 2 2 2" xfId="10951"/>
    <cellStyle name="표준 5 2 3 2 16 2 2 2 2" xfId="23625"/>
    <cellStyle name="표준 5 2 3 2 16 2 2 2 2 2" xfId="48977"/>
    <cellStyle name="표준 5 2 3 2 16 2 2 2 3" xfId="36305"/>
    <cellStyle name="표준 5 2 3 2 16 2 2 3" xfId="17289"/>
    <cellStyle name="표준 5 2 3 2 16 2 2 3 2" xfId="42641"/>
    <cellStyle name="표준 5 2 3 2 16 2 2 4" xfId="29969"/>
    <cellStyle name="표준 5 2 3 2 16 2 3" xfId="7826"/>
    <cellStyle name="표준 5 2 3 2 16 2 3 2" xfId="20500"/>
    <cellStyle name="표준 5 2 3 2 16 2 3 2 2" xfId="45852"/>
    <cellStyle name="표준 5 2 3 2 16 2 3 3" xfId="33180"/>
    <cellStyle name="표준 5 2 3 2 16 2 4" xfId="14164"/>
    <cellStyle name="표준 5 2 3 2 16 2 4 2" xfId="39516"/>
    <cellStyle name="표준 5 2 3 2 16 2 5" xfId="26844"/>
    <cellStyle name="표준 5 2 3 2 16 3" xfId="4616"/>
    <cellStyle name="표준 5 2 3 2 16 3 2" xfId="10952"/>
    <cellStyle name="표준 5 2 3 2 16 3 2 2" xfId="23626"/>
    <cellStyle name="표준 5 2 3 2 16 3 2 2 2" xfId="48978"/>
    <cellStyle name="표준 5 2 3 2 16 3 2 3" xfId="36306"/>
    <cellStyle name="표준 5 2 3 2 16 3 3" xfId="17290"/>
    <cellStyle name="표준 5 2 3 2 16 3 3 2" xfId="42642"/>
    <cellStyle name="표준 5 2 3 2 16 3 4" xfId="29970"/>
    <cellStyle name="표준 5 2 3 2 16 4" xfId="7825"/>
    <cellStyle name="표준 5 2 3 2 16 4 2" xfId="20499"/>
    <cellStyle name="표준 5 2 3 2 16 4 2 2" xfId="45851"/>
    <cellStyle name="표준 5 2 3 2 16 4 3" xfId="33179"/>
    <cellStyle name="표준 5 2 3 2 16 5" xfId="14163"/>
    <cellStyle name="표준 5 2 3 2 16 5 2" xfId="39515"/>
    <cellStyle name="표준 5 2 3 2 16 6" xfId="26843"/>
    <cellStyle name="표준 5 2 3 2 17" xfId="1490"/>
    <cellStyle name="표준 5 2 3 2 17 2" xfId="1491"/>
    <cellStyle name="표준 5 2 3 2 17 2 2" xfId="4617"/>
    <cellStyle name="표준 5 2 3 2 17 2 2 2" xfId="10953"/>
    <cellStyle name="표준 5 2 3 2 17 2 2 2 2" xfId="23627"/>
    <cellStyle name="표준 5 2 3 2 17 2 2 2 2 2" xfId="48979"/>
    <cellStyle name="표준 5 2 3 2 17 2 2 2 3" xfId="36307"/>
    <cellStyle name="표준 5 2 3 2 17 2 2 3" xfId="17291"/>
    <cellStyle name="표준 5 2 3 2 17 2 2 3 2" xfId="42643"/>
    <cellStyle name="표준 5 2 3 2 17 2 2 4" xfId="29971"/>
    <cellStyle name="표준 5 2 3 2 17 2 3" xfId="7828"/>
    <cellStyle name="표준 5 2 3 2 17 2 3 2" xfId="20502"/>
    <cellStyle name="표준 5 2 3 2 17 2 3 2 2" xfId="45854"/>
    <cellStyle name="표준 5 2 3 2 17 2 3 3" xfId="33182"/>
    <cellStyle name="표준 5 2 3 2 17 2 4" xfId="14166"/>
    <cellStyle name="표준 5 2 3 2 17 2 4 2" xfId="39518"/>
    <cellStyle name="표준 5 2 3 2 17 2 5" xfId="26846"/>
    <cellStyle name="표준 5 2 3 2 17 3" xfId="4618"/>
    <cellStyle name="표준 5 2 3 2 17 3 2" xfId="10954"/>
    <cellStyle name="표준 5 2 3 2 17 3 2 2" xfId="23628"/>
    <cellStyle name="표준 5 2 3 2 17 3 2 2 2" xfId="48980"/>
    <cellStyle name="표준 5 2 3 2 17 3 2 3" xfId="36308"/>
    <cellStyle name="표준 5 2 3 2 17 3 3" xfId="17292"/>
    <cellStyle name="표준 5 2 3 2 17 3 3 2" xfId="42644"/>
    <cellStyle name="표준 5 2 3 2 17 3 4" xfId="29972"/>
    <cellStyle name="표준 5 2 3 2 17 4" xfId="7827"/>
    <cellStyle name="표준 5 2 3 2 17 4 2" xfId="20501"/>
    <cellStyle name="표준 5 2 3 2 17 4 2 2" xfId="45853"/>
    <cellStyle name="표준 5 2 3 2 17 4 3" xfId="33181"/>
    <cellStyle name="표준 5 2 3 2 17 5" xfId="14165"/>
    <cellStyle name="표준 5 2 3 2 17 5 2" xfId="39517"/>
    <cellStyle name="표준 5 2 3 2 17 6" xfId="26845"/>
    <cellStyle name="표준 5 2 3 2 18" xfId="1492"/>
    <cellStyle name="표준 5 2 3 2 18 2" xfId="1493"/>
    <cellStyle name="표준 5 2 3 2 18 2 2" xfId="4619"/>
    <cellStyle name="표준 5 2 3 2 18 2 2 2" xfId="10955"/>
    <cellStyle name="표준 5 2 3 2 18 2 2 2 2" xfId="23629"/>
    <cellStyle name="표준 5 2 3 2 18 2 2 2 2 2" xfId="48981"/>
    <cellStyle name="표준 5 2 3 2 18 2 2 2 3" xfId="36309"/>
    <cellStyle name="표준 5 2 3 2 18 2 2 3" xfId="17293"/>
    <cellStyle name="표준 5 2 3 2 18 2 2 3 2" xfId="42645"/>
    <cellStyle name="표준 5 2 3 2 18 2 2 4" xfId="29973"/>
    <cellStyle name="표준 5 2 3 2 18 2 3" xfId="7830"/>
    <cellStyle name="표준 5 2 3 2 18 2 3 2" xfId="20504"/>
    <cellStyle name="표준 5 2 3 2 18 2 3 2 2" xfId="45856"/>
    <cellStyle name="표준 5 2 3 2 18 2 3 3" xfId="33184"/>
    <cellStyle name="표준 5 2 3 2 18 2 4" xfId="14168"/>
    <cellStyle name="표준 5 2 3 2 18 2 4 2" xfId="39520"/>
    <cellStyle name="표준 5 2 3 2 18 2 5" xfId="26848"/>
    <cellStyle name="표준 5 2 3 2 18 3" xfId="4620"/>
    <cellStyle name="표준 5 2 3 2 18 3 2" xfId="10956"/>
    <cellStyle name="표준 5 2 3 2 18 3 2 2" xfId="23630"/>
    <cellStyle name="표준 5 2 3 2 18 3 2 2 2" xfId="48982"/>
    <cellStyle name="표준 5 2 3 2 18 3 2 3" xfId="36310"/>
    <cellStyle name="표준 5 2 3 2 18 3 3" xfId="17294"/>
    <cellStyle name="표준 5 2 3 2 18 3 3 2" xfId="42646"/>
    <cellStyle name="표준 5 2 3 2 18 3 4" xfId="29974"/>
    <cellStyle name="표준 5 2 3 2 18 4" xfId="7829"/>
    <cellStyle name="표준 5 2 3 2 18 4 2" xfId="20503"/>
    <cellStyle name="표준 5 2 3 2 18 4 2 2" xfId="45855"/>
    <cellStyle name="표준 5 2 3 2 18 4 3" xfId="33183"/>
    <cellStyle name="표준 5 2 3 2 18 5" xfId="14167"/>
    <cellStyle name="표준 5 2 3 2 18 5 2" xfId="39519"/>
    <cellStyle name="표준 5 2 3 2 18 6" xfId="26847"/>
    <cellStyle name="표준 5 2 3 2 19" xfId="1494"/>
    <cellStyle name="표준 5 2 3 2 19 2" xfId="1495"/>
    <cellStyle name="표준 5 2 3 2 19 2 2" xfId="4621"/>
    <cellStyle name="표준 5 2 3 2 19 2 2 2" xfId="10957"/>
    <cellStyle name="표준 5 2 3 2 19 2 2 2 2" xfId="23631"/>
    <cellStyle name="표준 5 2 3 2 19 2 2 2 2 2" xfId="48983"/>
    <cellStyle name="표준 5 2 3 2 19 2 2 2 3" xfId="36311"/>
    <cellStyle name="표준 5 2 3 2 19 2 2 3" xfId="17295"/>
    <cellStyle name="표준 5 2 3 2 19 2 2 3 2" xfId="42647"/>
    <cellStyle name="표준 5 2 3 2 19 2 2 4" xfId="29975"/>
    <cellStyle name="표준 5 2 3 2 19 2 3" xfId="7832"/>
    <cellStyle name="표준 5 2 3 2 19 2 3 2" xfId="20506"/>
    <cellStyle name="표준 5 2 3 2 19 2 3 2 2" xfId="45858"/>
    <cellStyle name="표준 5 2 3 2 19 2 3 3" xfId="33186"/>
    <cellStyle name="표준 5 2 3 2 19 2 4" xfId="14170"/>
    <cellStyle name="표준 5 2 3 2 19 2 4 2" xfId="39522"/>
    <cellStyle name="표준 5 2 3 2 19 2 5" xfId="26850"/>
    <cellStyle name="표준 5 2 3 2 19 3" xfId="4622"/>
    <cellStyle name="표준 5 2 3 2 19 3 2" xfId="10958"/>
    <cellStyle name="표준 5 2 3 2 19 3 2 2" xfId="23632"/>
    <cellStyle name="표준 5 2 3 2 19 3 2 2 2" xfId="48984"/>
    <cellStyle name="표준 5 2 3 2 19 3 2 3" xfId="36312"/>
    <cellStyle name="표준 5 2 3 2 19 3 3" xfId="17296"/>
    <cellStyle name="표준 5 2 3 2 19 3 3 2" xfId="42648"/>
    <cellStyle name="표준 5 2 3 2 19 3 4" xfId="29976"/>
    <cellStyle name="표준 5 2 3 2 19 4" xfId="7831"/>
    <cellStyle name="표준 5 2 3 2 19 4 2" xfId="20505"/>
    <cellStyle name="표준 5 2 3 2 19 4 2 2" xfId="45857"/>
    <cellStyle name="표준 5 2 3 2 19 4 3" xfId="33185"/>
    <cellStyle name="표준 5 2 3 2 19 5" xfId="14169"/>
    <cellStyle name="표준 5 2 3 2 19 5 2" xfId="39521"/>
    <cellStyle name="표준 5 2 3 2 19 6" xfId="26849"/>
    <cellStyle name="표준 5 2 3 2 2" xfId="1496"/>
    <cellStyle name="표준 5 2 3 2 2 2" xfId="1497"/>
    <cellStyle name="표준 5 2 3 2 2 2 2" xfId="4623"/>
    <cellStyle name="표준 5 2 3 2 2 2 2 2" xfId="10959"/>
    <cellStyle name="표준 5 2 3 2 2 2 2 2 2" xfId="23633"/>
    <cellStyle name="표준 5 2 3 2 2 2 2 2 2 2" xfId="48985"/>
    <cellStyle name="표준 5 2 3 2 2 2 2 2 3" xfId="36313"/>
    <cellStyle name="표준 5 2 3 2 2 2 2 3" xfId="17297"/>
    <cellStyle name="표준 5 2 3 2 2 2 2 3 2" xfId="42649"/>
    <cellStyle name="표준 5 2 3 2 2 2 2 4" xfId="29977"/>
    <cellStyle name="표준 5 2 3 2 2 2 3" xfId="7834"/>
    <cellStyle name="표준 5 2 3 2 2 2 3 2" xfId="20508"/>
    <cellStyle name="표준 5 2 3 2 2 2 3 2 2" xfId="45860"/>
    <cellStyle name="표준 5 2 3 2 2 2 3 3" xfId="33188"/>
    <cellStyle name="표준 5 2 3 2 2 2 4" xfId="14172"/>
    <cellStyle name="표준 5 2 3 2 2 2 4 2" xfId="39524"/>
    <cellStyle name="표준 5 2 3 2 2 2 5" xfId="26852"/>
    <cellStyle name="표준 5 2 3 2 2 3" xfId="4624"/>
    <cellStyle name="표준 5 2 3 2 2 3 2" xfId="10960"/>
    <cellStyle name="표준 5 2 3 2 2 3 2 2" xfId="23634"/>
    <cellStyle name="표준 5 2 3 2 2 3 2 2 2" xfId="48986"/>
    <cellStyle name="표준 5 2 3 2 2 3 2 3" xfId="36314"/>
    <cellStyle name="표준 5 2 3 2 2 3 3" xfId="17298"/>
    <cellStyle name="표준 5 2 3 2 2 3 3 2" xfId="42650"/>
    <cellStyle name="표준 5 2 3 2 2 3 4" xfId="29978"/>
    <cellStyle name="표준 5 2 3 2 2 4" xfId="7833"/>
    <cellStyle name="표준 5 2 3 2 2 4 2" xfId="20507"/>
    <cellStyle name="표준 5 2 3 2 2 4 2 2" xfId="45859"/>
    <cellStyle name="표준 5 2 3 2 2 4 3" xfId="33187"/>
    <cellStyle name="표준 5 2 3 2 2 5" xfId="14171"/>
    <cellStyle name="표준 5 2 3 2 2 5 2" xfId="39523"/>
    <cellStyle name="표준 5 2 3 2 2 6" xfId="26851"/>
    <cellStyle name="표준 5 2 3 2 20" xfId="1498"/>
    <cellStyle name="표준 5 2 3 2 20 2" xfId="1499"/>
    <cellStyle name="표준 5 2 3 2 20 2 2" xfId="4625"/>
    <cellStyle name="표준 5 2 3 2 20 2 2 2" xfId="10961"/>
    <cellStyle name="표준 5 2 3 2 20 2 2 2 2" xfId="23635"/>
    <cellStyle name="표준 5 2 3 2 20 2 2 2 2 2" xfId="48987"/>
    <cellStyle name="표준 5 2 3 2 20 2 2 2 3" xfId="36315"/>
    <cellStyle name="표준 5 2 3 2 20 2 2 3" xfId="17299"/>
    <cellStyle name="표준 5 2 3 2 20 2 2 3 2" xfId="42651"/>
    <cellStyle name="표준 5 2 3 2 20 2 2 4" xfId="29979"/>
    <cellStyle name="표준 5 2 3 2 20 2 3" xfId="7836"/>
    <cellStyle name="표준 5 2 3 2 20 2 3 2" xfId="20510"/>
    <cellStyle name="표준 5 2 3 2 20 2 3 2 2" xfId="45862"/>
    <cellStyle name="표준 5 2 3 2 20 2 3 3" xfId="33190"/>
    <cellStyle name="표준 5 2 3 2 20 2 4" xfId="14174"/>
    <cellStyle name="표준 5 2 3 2 20 2 4 2" xfId="39526"/>
    <cellStyle name="표준 5 2 3 2 20 2 5" xfId="26854"/>
    <cellStyle name="표준 5 2 3 2 20 3" xfId="4626"/>
    <cellStyle name="표준 5 2 3 2 20 3 2" xfId="10962"/>
    <cellStyle name="표준 5 2 3 2 20 3 2 2" xfId="23636"/>
    <cellStyle name="표준 5 2 3 2 20 3 2 2 2" xfId="48988"/>
    <cellStyle name="표준 5 2 3 2 20 3 2 3" xfId="36316"/>
    <cellStyle name="표준 5 2 3 2 20 3 3" xfId="17300"/>
    <cellStyle name="표준 5 2 3 2 20 3 3 2" xfId="42652"/>
    <cellStyle name="표준 5 2 3 2 20 3 4" xfId="29980"/>
    <cellStyle name="표준 5 2 3 2 20 4" xfId="7835"/>
    <cellStyle name="표준 5 2 3 2 20 4 2" xfId="20509"/>
    <cellStyle name="표준 5 2 3 2 20 4 2 2" xfId="45861"/>
    <cellStyle name="표준 5 2 3 2 20 4 3" xfId="33189"/>
    <cellStyle name="표준 5 2 3 2 20 5" xfId="14173"/>
    <cellStyle name="표준 5 2 3 2 20 5 2" xfId="39525"/>
    <cellStyle name="표준 5 2 3 2 20 6" xfId="26853"/>
    <cellStyle name="표준 5 2 3 2 21" xfId="1500"/>
    <cellStyle name="표준 5 2 3 2 21 2" xfId="1501"/>
    <cellStyle name="표준 5 2 3 2 21 2 2" xfId="4627"/>
    <cellStyle name="표준 5 2 3 2 21 2 2 2" xfId="10963"/>
    <cellStyle name="표준 5 2 3 2 21 2 2 2 2" xfId="23637"/>
    <cellStyle name="표준 5 2 3 2 21 2 2 2 2 2" xfId="48989"/>
    <cellStyle name="표준 5 2 3 2 21 2 2 2 3" xfId="36317"/>
    <cellStyle name="표준 5 2 3 2 21 2 2 3" xfId="17301"/>
    <cellStyle name="표준 5 2 3 2 21 2 2 3 2" xfId="42653"/>
    <cellStyle name="표준 5 2 3 2 21 2 2 4" xfId="29981"/>
    <cellStyle name="표준 5 2 3 2 21 2 3" xfId="7838"/>
    <cellStyle name="표준 5 2 3 2 21 2 3 2" xfId="20512"/>
    <cellStyle name="표준 5 2 3 2 21 2 3 2 2" xfId="45864"/>
    <cellStyle name="표준 5 2 3 2 21 2 3 3" xfId="33192"/>
    <cellStyle name="표준 5 2 3 2 21 2 4" xfId="14176"/>
    <cellStyle name="표준 5 2 3 2 21 2 4 2" xfId="39528"/>
    <cellStyle name="표준 5 2 3 2 21 2 5" xfId="26856"/>
    <cellStyle name="표준 5 2 3 2 21 3" xfId="4628"/>
    <cellStyle name="표준 5 2 3 2 21 3 2" xfId="10964"/>
    <cellStyle name="표준 5 2 3 2 21 3 2 2" xfId="23638"/>
    <cellStyle name="표준 5 2 3 2 21 3 2 2 2" xfId="48990"/>
    <cellStyle name="표준 5 2 3 2 21 3 2 3" xfId="36318"/>
    <cellStyle name="표준 5 2 3 2 21 3 3" xfId="17302"/>
    <cellStyle name="표준 5 2 3 2 21 3 3 2" xfId="42654"/>
    <cellStyle name="표준 5 2 3 2 21 3 4" xfId="29982"/>
    <cellStyle name="표준 5 2 3 2 21 4" xfId="7837"/>
    <cellStyle name="표준 5 2 3 2 21 4 2" xfId="20511"/>
    <cellStyle name="표준 5 2 3 2 21 4 2 2" xfId="45863"/>
    <cellStyle name="표준 5 2 3 2 21 4 3" xfId="33191"/>
    <cellStyle name="표준 5 2 3 2 21 5" xfId="14175"/>
    <cellStyle name="표준 5 2 3 2 21 5 2" xfId="39527"/>
    <cellStyle name="표준 5 2 3 2 21 6" xfId="26855"/>
    <cellStyle name="표준 5 2 3 2 22" xfId="1502"/>
    <cellStyle name="표준 5 2 3 2 22 2" xfId="1503"/>
    <cellStyle name="표준 5 2 3 2 22 2 2" xfId="4629"/>
    <cellStyle name="표준 5 2 3 2 22 2 2 2" xfId="10965"/>
    <cellStyle name="표준 5 2 3 2 22 2 2 2 2" xfId="23639"/>
    <cellStyle name="표준 5 2 3 2 22 2 2 2 2 2" xfId="48991"/>
    <cellStyle name="표준 5 2 3 2 22 2 2 2 3" xfId="36319"/>
    <cellStyle name="표준 5 2 3 2 22 2 2 3" xfId="17303"/>
    <cellStyle name="표준 5 2 3 2 22 2 2 3 2" xfId="42655"/>
    <cellStyle name="표준 5 2 3 2 22 2 2 4" xfId="29983"/>
    <cellStyle name="표준 5 2 3 2 22 2 3" xfId="7840"/>
    <cellStyle name="표준 5 2 3 2 22 2 3 2" xfId="20514"/>
    <cellStyle name="표준 5 2 3 2 22 2 3 2 2" xfId="45866"/>
    <cellStyle name="표준 5 2 3 2 22 2 3 3" xfId="33194"/>
    <cellStyle name="표준 5 2 3 2 22 2 4" xfId="14178"/>
    <cellStyle name="표준 5 2 3 2 22 2 4 2" xfId="39530"/>
    <cellStyle name="표준 5 2 3 2 22 2 5" xfId="26858"/>
    <cellStyle name="표준 5 2 3 2 22 3" xfId="4630"/>
    <cellStyle name="표준 5 2 3 2 22 3 2" xfId="10966"/>
    <cellStyle name="표준 5 2 3 2 22 3 2 2" xfId="23640"/>
    <cellStyle name="표준 5 2 3 2 22 3 2 2 2" xfId="48992"/>
    <cellStyle name="표준 5 2 3 2 22 3 2 3" xfId="36320"/>
    <cellStyle name="표준 5 2 3 2 22 3 3" xfId="17304"/>
    <cellStyle name="표준 5 2 3 2 22 3 3 2" xfId="42656"/>
    <cellStyle name="표준 5 2 3 2 22 3 4" xfId="29984"/>
    <cellStyle name="표준 5 2 3 2 22 4" xfId="7839"/>
    <cellStyle name="표준 5 2 3 2 22 4 2" xfId="20513"/>
    <cellStyle name="표준 5 2 3 2 22 4 2 2" xfId="45865"/>
    <cellStyle name="표준 5 2 3 2 22 4 3" xfId="33193"/>
    <cellStyle name="표준 5 2 3 2 22 5" xfId="14177"/>
    <cellStyle name="표준 5 2 3 2 22 5 2" xfId="39529"/>
    <cellStyle name="표준 5 2 3 2 22 6" xfId="26857"/>
    <cellStyle name="표준 5 2 3 2 23" xfId="1504"/>
    <cellStyle name="표준 5 2 3 2 23 2" xfId="1505"/>
    <cellStyle name="표준 5 2 3 2 23 2 2" xfId="4631"/>
    <cellStyle name="표준 5 2 3 2 23 2 2 2" xfId="10967"/>
    <cellStyle name="표준 5 2 3 2 23 2 2 2 2" xfId="23641"/>
    <cellStyle name="표준 5 2 3 2 23 2 2 2 2 2" xfId="48993"/>
    <cellStyle name="표준 5 2 3 2 23 2 2 2 3" xfId="36321"/>
    <cellStyle name="표준 5 2 3 2 23 2 2 3" xfId="17305"/>
    <cellStyle name="표준 5 2 3 2 23 2 2 3 2" xfId="42657"/>
    <cellStyle name="표준 5 2 3 2 23 2 2 4" xfId="29985"/>
    <cellStyle name="표준 5 2 3 2 23 2 3" xfId="7842"/>
    <cellStyle name="표준 5 2 3 2 23 2 3 2" xfId="20516"/>
    <cellStyle name="표준 5 2 3 2 23 2 3 2 2" xfId="45868"/>
    <cellStyle name="표준 5 2 3 2 23 2 3 3" xfId="33196"/>
    <cellStyle name="표준 5 2 3 2 23 2 4" xfId="14180"/>
    <cellStyle name="표준 5 2 3 2 23 2 4 2" xfId="39532"/>
    <cellStyle name="표준 5 2 3 2 23 2 5" xfId="26860"/>
    <cellStyle name="표준 5 2 3 2 23 3" xfId="4632"/>
    <cellStyle name="표준 5 2 3 2 23 3 2" xfId="10968"/>
    <cellStyle name="표준 5 2 3 2 23 3 2 2" xfId="23642"/>
    <cellStyle name="표준 5 2 3 2 23 3 2 2 2" xfId="48994"/>
    <cellStyle name="표준 5 2 3 2 23 3 2 3" xfId="36322"/>
    <cellStyle name="표준 5 2 3 2 23 3 3" xfId="17306"/>
    <cellStyle name="표준 5 2 3 2 23 3 3 2" xfId="42658"/>
    <cellStyle name="표준 5 2 3 2 23 3 4" xfId="29986"/>
    <cellStyle name="표준 5 2 3 2 23 4" xfId="7841"/>
    <cellStyle name="표준 5 2 3 2 23 4 2" xfId="20515"/>
    <cellStyle name="표준 5 2 3 2 23 4 2 2" xfId="45867"/>
    <cellStyle name="표준 5 2 3 2 23 4 3" xfId="33195"/>
    <cellStyle name="표준 5 2 3 2 23 5" xfId="14179"/>
    <cellStyle name="표준 5 2 3 2 23 5 2" xfId="39531"/>
    <cellStyle name="표준 5 2 3 2 23 6" xfId="26859"/>
    <cellStyle name="표준 5 2 3 2 24" xfId="1506"/>
    <cellStyle name="표준 5 2 3 2 24 2" xfId="1507"/>
    <cellStyle name="표준 5 2 3 2 24 2 2" xfId="4633"/>
    <cellStyle name="표준 5 2 3 2 24 2 2 2" xfId="10969"/>
    <cellStyle name="표준 5 2 3 2 24 2 2 2 2" xfId="23643"/>
    <cellStyle name="표준 5 2 3 2 24 2 2 2 2 2" xfId="48995"/>
    <cellStyle name="표준 5 2 3 2 24 2 2 2 3" xfId="36323"/>
    <cellStyle name="표준 5 2 3 2 24 2 2 3" xfId="17307"/>
    <cellStyle name="표준 5 2 3 2 24 2 2 3 2" xfId="42659"/>
    <cellStyle name="표준 5 2 3 2 24 2 2 4" xfId="29987"/>
    <cellStyle name="표준 5 2 3 2 24 2 3" xfId="7844"/>
    <cellStyle name="표준 5 2 3 2 24 2 3 2" xfId="20518"/>
    <cellStyle name="표준 5 2 3 2 24 2 3 2 2" xfId="45870"/>
    <cellStyle name="표준 5 2 3 2 24 2 3 3" xfId="33198"/>
    <cellStyle name="표준 5 2 3 2 24 2 4" xfId="14182"/>
    <cellStyle name="표준 5 2 3 2 24 2 4 2" xfId="39534"/>
    <cellStyle name="표준 5 2 3 2 24 2 5" xfId="26862"/>
    <cellStyle name="표준 5 2 3 2 24 3" xfId="4634"/>
    <cellStyle name="표준 5 2 3 2 24 3 2" xfId="10970"/>
    <cellStyle name="표준 5 2 3 2 24 3 2 2" xfId="23644"/>
    <cellStyle name="표준 5 2 3 2 24 3 2 2 2" xfId="48996"/>
    <cellStyle name="표준 5 2 3 2 24 3 2 3" xfId="36324"/>
    <cellStyle name="표준 5 2 3 2 24 3 3" xfId="17308"/>
    <cellStyle name="표준 5 2 3 2 24 3 3 2" xfId="42660"/>
    <cellStyle name="표준 5 2 3 2 24 3 4" xfId="29988"/>
    <cellStyle name="표준 5 2 3 2 24 4" xfId="7843"/>
    <cellStyle name="표준 5 2 3 2 24 4 2" xfId="20517"/>
    <cellStyle name="표준 5 2 3 2 24 4 2 2" xfId="45869"/>
    <cellStyle name="표준 5 2 3 2 24 4 3" xfId="33197"/>
    <cellStyle name="표준 5 2 3 2 24 5" xfId="14181"/>
    <cellStyle name="표준 5 2 3 2 24 5 2" xfId="39533"/>
    <cellStyle name="표준 5 2 3 2 24 6" xfId="26861"/>
    <cellStyle name="표준 5 2 3 2 25" xfId="1508"/>
    <cellStyle name="표준 5 2 3 2 25 2" xfId="1509"/>
    <cellStyle name="표준 5 2 3 2 25 2 2" xfId="4635"/>
    <cellStyle name="표준 5 2 3 2 25 2 2 2" xfId="10971"/>
    <cellStyle name="표준 5 2 3 2 25 2 2 2 2" xfId="23645"/>
    <cellStyle name="표준 5 2 3 2 25 2 2 2 2 2" xfId="48997"/>
    <cellStyle name="표준 5 2 3 2 25 2 2 2 3" xfId="36325"/>
    <cellStyle name="표준 5 2 3 2 25 2 2 3" xfId="17309"/>
    <cellStyle name="표준 5 2 3 2 25 2 2 3 2" xfId="42661"/>
    <cellStyle name="표준 5 2 3 2 25 2 2 4" xfId="29989"/>
    <cellStyle name="표준 5 2 3 2 25 2 3" xfId="7846"/>
    <cellStyle name="표준 5 2 3 2 25 2 3 2" xfId="20520"/>
    <cellStyle name="표준 5 2 3 2 25 2 3 2 2" xfId="45872"/>
    <cellStyle name="표준 5 2 3 2 25 2 3 3" xfId="33200"/>
    <cellStyle name="표준 5 2 3 2 25 2 4" xfId="14184"/>
    <cellStyle name="표준 5 2 3 2 25 2 4 2" xfId="39536"/>
    <cellStyle name="표준 5 2 3 2 25 2 5" xfId="26864"/>
    <cellStyle name="표준 5 2 3 2 25 3" xfId="4636"/>
    <cellStyle name="표준 5 2 3 2 25 3 2" xfId="10972"/>
    <cellStyle name="표준 5 2 3 2 25 3 2 2" xfId="23646"/>
    <cellStyle name="표준 5 2 3 2 25 3 2 2 2" xfId="48998"/>
    <cellStyle name="표준 5 2 3 2 25 3 2 3" xfId="36326"/>
    <cellStyle name="표준 5 2 3 2 25 3 3" xfId="17310"/>
    <cellStyle name="표준 5 2 3 2 25 3 3 2" xfId="42662"/>
    <cellStyle name="표준 5 2 3 2 25 3 4" xfId="29990"/>
    <cellStyle name="표준 5 2 3 2 25 4" xfId="7845"/>
    <cellStyle name="표준 5 2 3 2 25 4 2" xfId="20519"/>
    <cellStyle name="표준 5 2 3 2 25 4 2 2" xfId="45871"/>
    <cellStyle name="표준 5 2 3 2 25 4 3" xfId="33199"/>
    <cellStyle name="표준 5 2 3 2 25 5" xfId="14183"/>
    <cellStyle name="표준 5 2 3 2 25 5 2" xfId="39535"/>
    <cellStyle name="표준 5 2 3 2 25 6" xfId="26863"/>
    <cellStyle name="표준 5 2 3 2 26" xfId="1510"/>
    <cellStyle name="표준 5 2 3 2 26 2" xfId="1511"/>
    <cellStyle name="표준 5 2 3 2 26 2 2" xfId="4637"/>
    <cellStyle name="표준 5 2 3 2 26 2 2 2" xfId="10973"/>
    <cellStyle name="표준 5 2 3 2 26 2 2 2 2" xfId="23647"/>
    <cellStyle name="표준 5 2 3 2 26 2 2 2 2 2" xfId="48999"/>
    <cellStyle name="표준 5 2 3 2 26 2 2 2 3" xfId="36327"/>
    <cellStyle name="표준 5 2 3 2 26 2 2 3" xfId="17311"/>
    <cellStyle name="표준 5 2 3 2 26 2 2 3 2" xfId="42663"/>
    <cellStyle name="표준 5 2 3 2 26 2 2 4" xfId="29991"/>
    <cellStyle name="표준 5 2 3 2 26 2 3" xfId="7848"/>
    <cellStyle name="표준 5 2 3 2 26 2 3 2" xfId="20522"/>
    <cellStyle name="표준 5 2 3 2 26 2 3 2 2" xfId="45874"/>
    <cellStyle name="표준 5 2 3 2 26 2 3 3" xfId="33202"/>
    <cellStyle name="표준 5 2 3 2 26 2 4" xfId="14186"/>
    <cellStyle name="표준 5 2 3 2 26 2 4 2" xfId="39538"/>
    <cellStyle name="표준 5 2 3 2 26 2 5" xfId="26866"/>
    <cellStyle name="표준 5 2 3 2 26 3" xfId="4638"/>
    <cellStyle name="표준 5 2 3 2 26 3 2" xfId="10974"/>
    <cellStyle name="표준 5 2 3 2 26 3 2 2" xfId="23648"/>
    <cellStyle name="표준 5 2 3 2 26 3 2 2 2" xfId="49000"/>
    <cellStyle name="표준 5 2 3 2 26 3 2 3" xfId="36328"/>
    <cellStyle name="표준 5 2 3 2 26 3 3" xfId="17312"/>
    <cellStyle name="표준 5 2 3 2 26 3 3 2" xfId="42664"/>
    <cellStyle name="표준 5 2 3 2 26 3 4" xfId="29992"/>
    <cellStyle name="표준 5 2 3 2 26 4" xfId="7847"/>
    <cellStyle name="표준 5 2 3 2 26 4 2" xfId="20521"/>
    <cellStyle name="표준 5 2 3 2 26 4 2 2" xfId="45873"/>
    <cellStyle name="표준 5 2 3 2 26 4 3" xfId="33201"/>
    <cellStyle name="표준 5 2 3 2 26 5" xfId="14185"/>
    <cellStyle name="표준 5 2 3 2 26 5 2" xfId="39537"/>
    <cellStyle name="표준 5 2 3 2 26 6" xfId="26865"/>
    <cellStyle name="표준 5 2 3 2 27" xfId="1512"/>
    <cellStyle name="표준 5 2 3 2 27 2" xfId="1513"/>
    <cellStyle name="표준 5 2 3 2 27 2 2" xfId="4639"/>
    <cellStyle name="표준 5 2 3 2 27 2 2 2" xfId="10975"/>
    <cellStyle name="표준 5 2 3 2 27 2 2 2 2" xfId="23649"/>
    <cellStyle name="표준 5 2 3 2 27 2 2 2 2 2" xfId="49001"/>
    <cellStyle name="표준 5 2 3 2 27 2 2 2 3" xfId="36329"/>
    <cellStyle name="표준 5 2 3 2 27 2 2 3" xfId="17313"/>
    <cellStyle name="표준 5 2 3 2 27 2 2 3 2" xfId="42665"/>
    <cellStyle name="표준 5 2 3 2 27 2 2 4" xfId="29993"/>
    <cellStyle name="표준 5 2 3 2 27 2 3" xfId="7850"/>
    <cellStyle name="표준 5 2 3 2 27 2 3 2" xfId="20524"/>
    <cellStyle name="표준 5 2 3 2 27 2 3 2 2" xfId="45876"/>
    <cellStyle name="표준 5 2 3 2 27 2 3 3" xfId="33204"/>
    <cellStyle name="표준 5 2 3 2 27 2 4" xfId="14188"/>
    <cellStyle name="표준 5 2 3 2 27 2 4 2" xfId="39540"/>
    <cellStyle name="표준 5 2 3 2 27 2 5" xfId="26868"/>
    <cellStyle name="표준 5 2 3 2 27 3" xfId="4640"/>
    <cellStyle name="표준 5 2 3 2 27 3 2" xfId="10976"/>
    <cellStyle name="표준 5 2 3 2 27 3 2 2" xfId="23650"/>
    <cellStyle name="표준 5 2 3 2 27 3 2 2 2" xfId="49002"/>
    <cellStyle name="표준 5 2 3 2 27 3 2 3" xfId="36330"/>
    <cellStyle name="표준 5 2 3 2 27 3 3" xfId="17314"/>
    <cellStyle name="표준 5 2 3 2 27 3 3 2" xfId="42666"/>
    <cellStyle name="표준 5 2 3 2 27 3 4" xfId="29994"/>
    <cellStyle name="표준 5 2 3 2 27 4" xfId="7849"/>
    <cellStyle name="표준 5 2 3 2 27 4 2" xfId="20523"/>
    <cellStyle name="표준 5 2 3 2 27 4 2 2" xfId="45875"/>
    <cellStyle name="표준 5 2 3 2 27 4 3" xfId="33203"/>
    <cellStyle name="표준 5 2 3 2 27 5" xfId="14187"/>
    <cellStyle name="표준 5 2 3 2 27 5 2" xfId="39539"/>
    <cellStyle name="표준 5 2 3 2 27 6" xfId="26867"/>
    <cellStyle name="표준 5 2 3 2 28" xfId="1514"/>
    <cellStyle name="표준 5 2 3 2 28 2" xfId="1515"/>
    <cellStyle name="표준 5 2 3 2 28 2 2" xfId="4641"/>
    <cellStyle name="표준 5 2 3 2 28 2 2 2" xfId="10977"/>
    <cellStyle name="표준 5 2 3 2 28 2 2 2 2" xfId="23651"/>
    <cellStyle name="표준 5 2 3 2 28 2 2 2 2 2" xfId="49003"/>
    <cellStyle name="표준 5 2 3 2 28 2 2 2 3" xfId="36331"/>
    <cellStyle name="표준 5 2 3 2 28 2 2 3" xfId="17315"/>
    <cellStyle name="표준 5 2 3 2 28 2 2 3 2" xfId="42667"/>
    <cellStyle name="표준 5 2 3 2 28 2 2 4" xfId="29995"/>
    <cellStyle name="표준 5 2 3 2 28 2 3" xfId="7852"/>
    <cellStyle name="표준 5 2 3 2 28 2 3 2" xfId="20526"/>
    <cellStyle name="표준 5 2 3 2 28 2 3 2 2" xfId="45878"/>
    <cellStyle name="표준 5 2 3 2 28 2 3 3" xfId="33206"/>
    <cellStyle name="표준 5 2 3 2 28 2 4" xfId="14190"/>
    <cellStyle name="표준 5 2 3 2 28 2 4 2" xfId="39542"/>
    <cellStyle name="표준 5 2 3 2 28 2 5" xfId="26870"/>
    <cellStyle name="표준 5 2 3 2 28 3" xfId="4642"/>
    <cellStyle name="표준 5 2 3 2 28 3 2" xfId="10978"/>
    <cellStyle name="표준 5 2 3 2 28 3 2 2" xfId="23652"/>
    <cellStyle name="표준 5 2 3 2 28 3 2 2 2" xfId="49004"/>
    <cellStyle name="표준 5 2 3 2 28 3 2 3" xfId="36332"/>
    <cellStyle name="표준 5 2 3 2 28 3 3" xfId="17316"/>
    <cellStyle name="표준 5 2 3 2 28 3 3 2" xfId="42668"/>
    <cellStyle name="표준 5 2 3 2 28 3 4" xfId="29996"/>
    <cellStyle name="표준 5 2 3 2 28 4" xfId="7851"/>
    <cellStyle name="표준 5 2 3 2 28 4 2" xfId="20525"/>
    <cellStyle name="표준 5 2 3 2 28 4 2 2" xfId="45877"/>
    <cellStyle name="표준 5 2 3 2 28 4 3" xfId="33205"/>
    <cellStyle name="표준 5 2 3 2 28 5" xfId="14189"/>
    <cellStyle name="표준 5 2 3 2 28 5 2" xfId="39541"/>
    <cellStyle name="표준 5 2 3 2 28 6" xfId="26869"/>
    <cellStyle name="표준 5 2 3 2 29" xfId="1516"/>
    <cellStyle name="표준 5 2 3 2 29 2" xfId="1517"/>
    <cellStyle name="표준 5 2 3 2 29 2 2" xfId="4643"/>
    <cellStyle name="표준 5 2 3 2 29 2 2 2" xfId="10979"/>
    <cellStyle name="표준 5 2 3 2 29 2 2 2 2" xfId="23653"/>
    <cellStyle name="표준 5 2 3 2 29 2 2 2 2 2" xfId="49005"/>
    <cellStyle name="표준 5 2 3 2 29 2 2 2 3" xfId="36333"/>
    <cellStyle name="표준 5 2 3 2 29 2 2 3" xfId="17317"/>
    <cellStyle name="표준 5 2 3 2 29 2 2 3 2" xfId="42669"/>
    <cellStyle name="표준 5 2 3 2 29 2 2 4" xfId="29997"/>
    <cellStyle name="표준 5 2 3 2 29 2 3" xfId="7854"/>
    <cellStyle name="표준 5 2 3 2 29 2 3 2" xfId="20528"/>
    <cellStyle name="표준 5 2 3 2 29 2 3 2 2" xfId="45880"/>
    <cellStyle name="표준 5 2 3 2 29 2 3 3" xfId="33208"/>
    <cellStyle name="표준 5 2 3 2 29 2 4" xfId="14192"/>
    <cellStyle name="표준 5 2 3 2 29 2 4 2" xfId="39544"/>
    <cellStyle name="표준 5 2 3 2 29 2 5" xfId="26872"/>
    <cellStyle name="표준 5 2 3 2 29 3" xfId="4644"/>
    <cellStyle name="표준 5 2 3 2 29 3 2" xfId="10980"/>
    <cellStyle name="표준 5 2 3 2 29 3 2 2" xfId="23654"/>
    <cellStyle name="표준 5 2 3 2 29 3 2 2 2" xfId="49006"/>
    <cellStyle name="표준 5 2 3 2 29 3 2 3" xfId="36334"/>
    <cellStyle name="표준 5 2 3 2 29 3 3" xfId="17318"/>
    <cellStyle name="표준 5 2 3 2 29 3 3 2" xfId="42670"/>
    <cellStyle name="표준 5 2 3 2 29 3 4" xfId="29998"/>
    <cellStyle name="표준 5 2 3 2 29 4" xfId="7853"/>
    <cellStyle name="표준 5 2 3 2 29 4 2" xfId="20527"/>
    <cellStyle name="표준 5 2 3 2 29 4 2 2" xfId="45879"/>
    <cellStyle name="표준 5 2 3 2 29 4 3" xfId="33207"/>
    <cellStyle name="표준 5 2 3 2 29 5" xfId="14191"/>
    <cellStyle name="표준 5 2 3 2 29 5 2" xfId="39543"/>
    <cellStyle name="표준 5 2 3 2 29 6" xfId="26871"/>
    <cellStyle name="표준 5 2 3 2 3" xfId="1518"/>
    <cellStyle name="표준 5 2 3 2 3 2" xfId="1519"/>
    <cellStyle name="표준 5 2 3 2 3 2 2" xfId="4645"/>
    <cellStyle name="표준 5 2 3 2 3 2 2 2" xfId="10981"/>
    <cellStyle name="표준 5 2 3 2 3 2 2 2 2" xfId="23655"/>
    <cellStyle name="표준 5 2 3 2 3 2 2 2 2 2" xfId="49007"/>
    <cellStyle name="표준 5 2 3 2 3 2 2 2 3" xfId="36335"/>
    <cellStyle name="표준 5 2 3 2 3 2 2 3" xfId="17319"/>
    <cellStyle name="표준 5 2 3 2 3 2 2 3 2" xfId="42671"/>
    <cellStyle name="표준 5 2 3 2 3 2 2 4" xfId="29999"/>
    <cellStyle name="표준 5 2 3 2 3 2 3" xfId="7856"/>
    <cellStyle name="표준 5 2 3 2 3 2 3 2" xfId="20530"/>
    <cellStyle name="표준 5 2 3 2 3 2 3 2 2" xfId="45882"/>
    <cellStyle name="표준 5 2 3 2 3 2 3 3" xfId="33210"/>
    <cellStyle name="표준 5 2 3 2 3 2 4" xfId="14194"/>
    <cellStyle name="표준 5 2 3 2 3 2 4 2" xfId="39546"/>
    <cellStyle name="표준 5 2 3 2 3 2 5" xfId="26874"/>
    <cellStyle name="표준 5 2 3 2 3 3" xfId="4646"/>
    <cellStyle name="표준 5 2 3 2 3 3 2" xfId="10982"/>
    <cellStyle name="표준 5 2 3 2 3 3 2 2" xfId="23656"/>
    <cellStyle name="표준 5 2 3 2 3 3 2 2 2" xfId="49008"/>
    <cellStyle name="표준 5 2 3 2 3 3 2 3" xfId="36336"/>
    <cellStyle name="표준 5 2 3 2 3 3 3" xfId="17320"/>
    <cellStyle name="표준 5 2 3 2 3 3 3 2" xfId="42672"/>
    <cellStyle name="표준 5 2 3 2 3 3 4" xfId="30000"/>
    <cellStyle name="표준 5 2 3 2 3 4" xfId="7855"/>
    <cellStyle name="표준 5 2 3 2 3 4 2" xfId="20529"/>
    <cellStyle name="표준 5 2 3 2 3 4 2 2" xfId="45881"/>
    <cellStyle name="표준 5 2 3 2 3 4 3" xfId="33209"/>
    <cellStyle name="표준 5 2 3 2 3 5" xfId="14193"/>
    <cellStyle name="표준 5 2 3 2 3 5 2" xfId="39545"/>
    <cellStyle name="표준 5 2 3 2 3 6" xfId="26873"/>
    <cellStyle name="표준 5 2 3 2 30" xfId="1520"/>
    <cellStyle name="표준 5 2 3 2 30 2" xfId="1521"/>
    <cellStyle name="표준 5 2 3 2 30 2 2" xfId="4647"/>
    <cellStyle name="표준 5 2 3 2 30 2 2 2" xfId="10983"/>
    <cellStyle name="표준 5 2 3 2 30 2 2 2 2" xfId="23657"/>
    <cellStyle name="표준 5 2 3 2 30 2 2 2 2 2" xfId="49009"/>
    <cellStyle name="표준 5 2 3 2 30 2 2 2 3" xfId="36337"/>
    <cellStyle name="표준 5 2 3 2 30 2 2 3" xfId="17321"/>
    <cellStyle name="표준 5 2 3 2 30 2 2 3 2" xfId="42673"/>
    <cellStyle name="표준 5 2 3 2 30 2 2 4" xfId="30001"/>
    <cellStyle name="표준 5 2 3 2 30 2 3" xfId="7858"/>
    <cellStyle name="표준 5 2 3 2 30 2 3 2" xfId="20532"/>
    <cellStyle name="표준 5 2 3 2 30 2 3 2 2" xfId="45884"/>
    <cellStyle name="표준 5 2 3 2 30 2 3 3" xfId="33212"/>
    <cellStyle name="표준 5 2 3 2 30 2 4" xfId="14196"/>
    <cellStyle name="표준 5 2 3 2 30 2 4 2" xfId="39548"/>
    <cellStyle name="표준 5 2 3 2 30 2 5" xfId="26876"/>
    <cellStyle name="표준 5 2 3 2 30 3" xfId="4648"/>
    <cellStyle name="표준 5 2 3 2 30 3 2" xfId="10984"/>
    <cellStyle name="표준 5 2 3 2 30 3 2 2" xfId="23658"/>
    <cellStyle name="표준 5 2 3 2 30 3 2 2 2" xfId="49010"/>
    <cellStyle name="표준 5 2 3 2 30 3 2 3" xfId="36338"/>
    <cellStyle name="표준 5 2 3 2 30 3 3" xfId="17322"/>
    <cellStyle name="표준 5 2 3 2 30 3 3 2" xfId="42674"/>
    <cellStyle name="표준 5 2 3 2 30 3 4" xfId="30002"/>
    <cellStyle name="표준 5 2 3 2 30 4" xfId="7857"/>
    <cellStyle name="표준 5 2 3 2 30 4 2" xfId="20531"/>
    <cellStyle name="표준 5 2 3 2 30 4 2 2" xfId="45883"/>
    <cellStyle name="표준 5 2 3 2 30 4 3" xfId="33211"/>
    <cellStyle name="표준 5 2 3 2 30 5" xfId="14195"/>
    <cellStyle name="표준 5 2 3 2 30 5 2" xfId="39547"/>
    <cellStyle name="표준 5 2 3 2 30 6" xfId="26875"/>
    <cellStyle name="표준 5 2 3 2 31" xfId="1522"/>
    <cellStyle name="표준 5 2 3 2 31 2" xfId="1523"/>
    <cellStyle name="표준 5 2 3 2 31 2 2" xfId="4649"/>
    <cellStyle name="표준 5 2 3 2 31 2 2 2" xfId="10985"/>
    <cellStyle name="표준 5 2 3 2 31 2 2 2 2" xfId="23659"/>
    <cellStyle name="표준 5 2 3 2 31 2 2 2 2 2" xfId="49011"/>
    <cellStyle name="표준 5 2 3 2 31 2 2 2 3" xfId="36339"/>
    <cellStyle name="표준 5 2 3 2 31 2 2 3" xfId="17323"/>
    <cellStyle name="표준 5 2 3 2 31 2 2 3 2" xfId="42675"/>
    <cellStyle name="표준 5 2 3 2 31 2 2 4" xfId="30003"/>
    <cellStyle name="표준 5 2 3 2 31 2 3" xfId="7860"/>
    <cellStyle name="표준 5 2 3 2 31 2 3 2" xfId="20534"/>
    <cellStyle name="표준 5 2 3 2 31 2 3 2 2" xfId="45886"/>
    <cellStyle name="표준 5 2 3 2 31 2 3 3" xfId="33214"/>
    <cellStyle name="표준 5 2 3 2 31 2 4" xfId="14198"/>
    <cellStyle name="표준 5 2 3 2 31 2 4 2" xfId="39550"/>
    <cellStyle name="표준 5 2 3 2 31 2 5" xfId="26878"/>
    <cellStyle name="표준 5 2 3 2 31 3" xfId="4650"/>
    <cellStyle name="표준 5 2 3 2 31 3 2" xfId="10986"/>
    <cellStyle name="표준 5 2 3 2 31 3 2 2" xfId="23660"/>
    <cellStyle name="표준 5 2 3 2 31 3 2 2 2" xfId="49012"/>
    <cellStyle name="표준 5 2 3 2 31 3 2 3" xfId="36340"/>
    <cellStyle name="표준 5 2 3 2 31 3 3" xfId="17324"/>
    <cellStyle name="표준 5 2 3 2 31 3 3 2" xfId="42676"/>
    <cellStyle name="표준 5 2 3 2 31 3 4" xfId="30004"/>
    <cellStyle name="표준 5 2 3 2 31 4" xfId="7859"/>
    <cellStyle name="표준 5 2 3 2 31 4 2" xfId="20533"/>
    <cellStyle name="표준 5 2 3 2 31 4 2 2" xfId="45885"/>
    <cellStyle name="표준 5 2 3 2 31 4 3" xfId="33213"/>
    <cellStyle name="표준 5 2 3 2 31 5" xfId="14197"/>
    <cellStyle name="표준 5 2 3 2 31 5 2" xfId="39549"/>
    <cellStyle name="표준 5 2 3 2 31 6" xfId="26877"/>
    <cellStyle name="표준 5 2 3 2 32" xfId="1524"/>
    <cellStyle name="표준 5 2 3 2 32 2" xfId="1525"/>
    <cellStyle name="표준 5 2 3 2 32 2 2" xfId="4651"/>
    <cellStyle name="표준 5 2 3 2 32 2 2 2" xfId="10987"/>
    <cellStyle name="표준 5 2 3 2 32 2 2 2 2" xfId="23661"/>
    <cellStyle name="표준 5 2 3 2 32 2 2 2 2 2" xfId="49013"/>
    <cellStyle name="표준 5 2 3 2 32 2 2 2 3" xfId="36341"/>
    <cellStyle name="표준 5 2 3 2 32 2 2 3" xfId="17325"/>
    <cellStyle name="표준 5 2 3 2 32 2 2 3 2" xfId="42677"/>
    <cellStyle name="표준 5 2 3 2 32 2 2 4" xfId="30005"/>
    <cellStyle name="표준 5 2 3 2 32 2 3" xfId="7862"/>
    <cellStyle name="표준 5 2 3 2 32 2 3 2" xfId="20536"/>
    <cellStyle name="표준 5 2 3 2 32 2 3 2 2" xfId="45888"/>
    <cellStyle name="표준 5 2 3 2 32 2 3 3" xfId="33216"/>
    <cellStyle name="표준 5 2 3 2 32 2 4" xfId="14200"/>
    <cellStyle name="표준 5 2 3 2 32 2 4 2" xfId="39552"/>
    <cellStyle name="표준 5 2 3 2 32 2 5" xfId="26880"/>
    <cellStyle name="표준 5 2 3 2 32 3" xfId="4652"/>
    <cellStyle name="표준 5 2 3 2 32 3 2" xfId="10988"/>
    <cellStyle name="표준 5 2 3 2 32 3 2 2" xfId="23662"/>
    <cellStyle name="표준 5 2 3 2 32 3 2 2 2" xfId="49014"/>
    <cellStyle name="표준 5 2 3 2 32 3 2 3" xfId="36342"/>
    <cellStyle name="표준 5 2 3 2 32 3 3" xfId="17326"/>
    <cellStyle name="표준 5 2 3 2 32 3 3 2" xfId="42678"/>
    <cellStyle name="표준 5 2 3 2 32 3 4" xfId="30006"/>
    <cellStyle name="표준 5 2 3 2 32 4" xfId="7861"/>
    <cellStyle name="표준 5 2 3 2 32 4 2" xfId="20535"/>
    <cellStyle name="표준 5 2 3 2 32 4 2 2" xfId="45887"/>
    <cellStyle name="표준 5 2 3 2 32 4 3" xfId="33215"/>
    <cellStyle name="표준 5 2 3 2 32 5" xfId="14199"/>
    <cellStyle name="표준 5 2 3 2 32 5 2" xfId="39551"/>
    <cellStyle name="표준 5 2 3 2 32 6" xfId="26879"/>
    <cellStyle name="표준 5 2 3 2 33" xfId="1526"/>
    <cellStyle name="표준 5 2 3 2 33 2" xfId="1527"/>
    <cellStyle name="표준 5 2 3 2 33 2 2" xfId="4653"/>
    <cellStyle name="표준 5 2 3 2 33 2 2 2" xfId="10989"/>
    <cellStyle name="표준 5 2 3 2 33 2 2 2 2" xfId="23663"/>
    <cellStyle name="표준 5 2 3 2 33 2 2 2 2 2" xfId="49015"/>
    <cellStyle name="표준 5 2 3 2 33 2 2 2 3" xfId="36343"/>
    <cellStyle name="표준 5 2 3 2 33 2 2 3" xfId="17327"/>
    <cellStyle name="표준 5 2 3 2 33 2 2 3 2" xfId="42679"/>
    <cellStyle name="표준 5 2 3 2 33 2 2 4" xfId="30007"/>
    <cellStyle name="표준 5 2 3 2 33 2 3" xfId="7864"/>
    <cellStyle name="표준 5 2 3 2 33 2 3 2" xfId="20538"/>
    <cellStyle name="표준 5 2 3 2 33 2 3 2 2" xfId="45890"/>
    <cellStyle name="표준 5 2 3 2 33 2 3 3" xfId="33218"/>
    <cellStyle name="표준 5 2 3 2 33 2 4" xfId="14202"/>
    <cellStyle name="표준 5 2 3 2 33 2 4 2" xfId="39554"/>
    <cellStyle name="표준 5 2 3 2 33 2 5" xfId="26882"/>
    <cellStyle name="표준 5 2 3 2 33 3" xfId="4654"/>
    <cellStyle name="표준 5 2 3 2 33 3 2" xfId="10990"/>
    <cellStyle name="표준 5 2 3 2 33 3 2 2" xfId="23664"/>
    <cellStyle name="표준 5 2 3 2 33 3 2 2 2" xfId="49016"/>
    <cellStyle name="표준 5 2 3 2 33 3 2 3" xfId="36344"/>
    <cellStyle name="표준 5 2 3 2 33 3 3" xfId="17328"/>
    <cellStyle name="표준 5 2 3 2 33 3 3 2" xfId="42680"/>
    <cellStyle name="표준 5 2 3 2 33 3 4" xfId="30008"/>
    <cellStyle name="표준 5 2 3 2 33 4" xfId="7863"/>
    <cellStyle name="표준 5 2 3 2 33 4 2" xfId="20537"/>
    <cellStyle name="표준 5 2 3 2 33 4 2 2" xfId="45889"/>
    <cellStyle name="표준 5 2 3 2 33 4 3" xfId="33217"/>
    <cellStyle name="표준 5 2 3 2 33 5" xfId="14201"/>
    <cellStyle name="표준 5 2 3 2 33 5 2" xfId="39553"/>
    <cellStyle name="표준 5 2 3 2 33 6" xfId="26881"/>
    <cellStyle name="표준 5 2 3 2 34" xfId="1528"/>
    <cellStyle name="표준 5 2 3 2 34 2" xfId="4655"/>
    <cellStyle name="표준 5 2 3 2 34 2 2" xfId="10991"/>
    <cellStyle name="표준 5 2 3 2 34 2 2 2" xfId="23665"/>
    <cellStyle name="표준 5 2 3 2 34 2 2 2 2" xfId="49017"/>
    <cellStyle name="표준 5 2 3 2 34 2 2 3" xfId="36345"/>
    <cellStyle name="표준 5 2 3 2 34 2 3" xfId="17329"/>
    <cellStyle name="표준 5 2 3 2 34 2 3 2" xfId="42681"/>
    <cellStyle name="표준 5 2 3 2 34 2 4" xfId="30009"/>
    <cellStyle name="표준 5 2 3 2 34 3" xfId="7865"/>
    <cellStyle name="표준 5 2 3 2 34 3 2" xfId="20539"/>
    <cellStyle name="표준 5 2 3 2 34 3 2 2" xfId="45891"/>
    <cellStyle name="표준 5 2 3 2 34 3 3" xfId="33219"/>
    <cellStyle name="표준 5 2 3 2 34 4" xfId="14203"/>
    <cellStyle name="표준 5 2 3 2 34 4 2" xfId="39555"/>
    <cellStyle name="표준 5 2 3 2 34 5" xfId="26883"/>
    <cellStyle name="표준 5 2 3 2 35" xfId="4656"/>
    <cellStyle name="표준 5 2 3 2 35 2" xfId="10992"/>
    <cellStyle name="표준 5 2 3 2 35 2 2" xfId="23666"/>
    <cellStyle name="표준 5 2 3 2 35 2 2 2" xfId="49018"/>
    <cellStyle name="표준 5 2 3 2 35 2 3" xfId="36346"/>
    <cellStyle name="표준 5 2 3 2 35 3" xfId="17330"/>
    <cellStyle name="표준 5 2 3 2 35 3 2" xfId="42682"/>
    <cellStyle name="표준 5 2 3 2 35 4" xfId="30010"/>
    <cellStyle name="표준 5 2 3 2 36" xfId="6415"/>
    <cellStyle name="표준 5 2 3 2 36 2" xfId="19089"/>
    <cellStyle name="표준 5 2 3 2 36 2 2" xfId="44441"/>
    <cellStyle name="표준 5 2 3 2 36 3" xfId="31769"/>
    <cellStyle name="표준 5 2 3 2 37" xfId="12753"/>
    <cellStyle name="표준 5 2 3 2 37 2" xfId="38105"/>
    <cellStyle name="표준 5 2 3 2 38" xfId="25433"/>
    <cellStyle name="표준 5 2 3 2 4" xfId="1529"/>
    <cellStyle name="표준 5 2 3 2 4 2" xfId="1530"/>
    <cellStyle name="표준 5 2 3 2 4 2 2" xfId="4657"/>
    <cellStyle name="표준 5 2 3 2 4 2 2 2" xfId="10993"/>
    <cellStyle name="표준 5 2 3 2 4 2 2 2 2" xfId="23667"/>
    <cellStyle name="표준 5 2 3 2 4 2 2 2 2 2" xfId="49019"/>
    <cellStyle name="표준 5 2 3 2 4 2 2 2 3" xfId="36347"/>
    <cellStyle name="표준 5 2 3 2 4 2 2 3" xfId="17331"/>
    <cellStyle name="표준 5 2 3 2 4 2 2 3 2" xfId="42683"/>
    <cellStyle name="표준 5 2 3 2 4 2 2 4" xfId="30011"/>
    <cellStyle name="표준 5 2 3 2 4 2 3" xfId="7867"/>
    <cellStyle name="표준 5 2 3 2 4 2 3 2" xfId="20541"/>
    <cellStyle name="표준 5 2 3 2 4 2 3 2 2" xfId="45893"/>
    <cellStyle name="표준 5 2 3 2 4 2 3 3" xfId="33221"/>
    <cellStyle name="표준 5 2 3 2 4 2 4" xfId="14205"/>
    <cellStyle name="표준 5 2 3 2 4 2 4 2" xfId="39557"/>
    <cellStyle name="표준 5 2 3 2 4 2 5" xfId="26885"/>
    <cellStyle name="표준 5 2 3 2 4 3" xfId="4658"/>
    <cellStyle name="표준 5 2 3 2 4 3 2" xfId="10994"/>
    <cellStyle name="표준 5 2 3 2 4 3 2 2" xfId="23668"/>
    <cellStyle name="표준 5 2 3 2 4 3 2 2 2" xfId="49020"/>
    <cellStyle name="표준 5 2 3 2 4 3 2 3" xfId="36348"/>
    <cellStyle name="표준 5 2 3 2 4 3 3" xfId="17332"/>
    <cellStyle name="표준 5 2 3 2 4 3 3 2" xfId="42684"/>
    <cellStyle name="표준 5 2 3 2 4 3 4" xfId="30012"/>
    <cellStyle name="표준 5 2 3 2 4 4" xfId="7866"/>
    <cellStyle name="표준 5 2 3 2 4 4 2" xfId="20540"/>
    <cellStyle name="표준 5 2 3 2 4 4 2 2" xfId="45892"/>
    <cellStyle name="표준 5 2 3 2 4 4 3" xfId="33220"/>
    <cellStyle name="표준 5 2 3 2 4 5" xfId="14204"/>
    <cellStyle name="표준 5 2 3 2 4 5 2" xfId="39556"/>
    <cellStyle name="표준 5 2 3 2 4 6" xfId="26884"/>
    <cellStyle name="표준 5 2 3 2 5" xfId="1531"/>
    <cellStyle name="표준 5 2 3 2 5 2" xfId="1532"/>
    <cellStyle name="표준 5 2 3 2 5 2 2" xfId="4659"/>
    <cellStyle name="표준 5 2 3 2 5 2 2 2" xfId="10995"/>
    <cellStyle name="표준 5 2 3 2 5 2 2 2 2" xfId="23669"/>
    <cellStyle name="표준 5 2 3 2 5 2 2 2 2 2" xfId="49021"/>
    <cellStyle name="표준 5 2 3 2 5 2 2 2 3" xfId="36349"/>
    <cellStyle name="표준 5 2 3 2 5 2 2 3" xfId="17333"/>
    <cellStyle name="표준 5 2 3 2 5 2 2 3 2" xfId="42685"/>
    <cellStyle name="표준 5 2 3 2 5 2 2 4" xfId="30013"/>
    <cellStyle name="표준 5 2 3 2 5 2 3" xfId="7869"/>
    <cellStyle name="표준 5 2 3 2 5 2 3 2" xfId="20543"/>
    <cellStyle name="표준 5 2 3 2 5 2 3 2 2" xfId="45895"/>
    <cellStyle name="표준 5 2 3 2 5 2 3 3" xfId="33223"/>
    <cellStyle name="표준 5 2 3 2 5 2 4" xfId="14207"/>
    <cellStyle name="표준 5 2 3 2 5 2 4 2" xfId="39559"/>
    <cellStyle name="표준 5 2 3 2 5 2 5" xfId="26887"/>
    <cellStyle name="표준 5 2 3 2 5 3" xfId="4660"/>
    <cellStyle name="표준 5 2 3 2 5 3 2" xfId="10996"/>
    <cellStyle name="표준 5 2 3 2 5 3 2 2" xfId="23670"/>
    <cellStyle name="표준 5 2 3 2 5 3 2 2 2" xfId="49022"/>
    <cellStyle name="표준 5 2 3 2 5 3 2 3" xfId="36350"/>
    <cellStyle name="표준 5 2 3 2 5 3 3" xfId="17334"/>
    <cellStyle name="표준 5 2 3 2 5 3 3 2" xfId="42686"/>
    <cellStyle name="표준 5 2 3 2 5 3 4" xfId="30014"/>
    <cellStyle name="표준 5 2 3 2 5 4" xfId="7868"/>
    <cellStyle name="표준 5 2 3 2 5 4 2" xfId="20542"/>
    <cellStyle name="표준 5 2 3 2 5 4 2 2" xfId="45894"/>
    <cellStyle name="표준 5 2 3 2 5 4 3" xfId="33222"/>
    <cellStyle name="표준 5 2 3 2 5 5" xfId="14206"/>
    <cellStyle name="표준 5 2 3 2 5 5 2" xfId="39558"/>
    <cellStyle name="표준 5 2 3 2 5 6" xfId="26886"/>
    <cellStyle name="표준 5 2 3 2 6" xfId="1533"/>
    <cellStyle name="표준 5 2 3 2 6 2" xfId="1534"/>
    <cellStyle name="표준 5 2 3 2 6 2 2" xfId="4661"/>
    <cellStyle name="표준 5 2 3 2 6 2 2 2" xfId="10997"/>
    <cellStyle name="표준 5 2 3 2 6 2 2 2 2" xfId="23671"/>
    <cellStyle name="표준 5 2 3 2 6 2 2 2 2 2" xfId="49023"/>
    <cellStyle name="표준 5 2 3 2 6 2 2 2 3" xfId="36351"/>
    <cellStyle name="표준 5 2 3 2 6 2 2 3" xfId="17335"/>
    <cellStyle name="표준 5 2 3 2 6 2 2 3 2" xfId="42687"/>
    <cellStyle name="표준 5 2 3 2 6 2 2 4" xfId="30015"/>
    <cellStyle name="표준 5 2 3 2 6 2 3" xfId="7871"/>
    <cellStyle name="표준 5 2 3 2 6 2 3 2" xfId="20545"/>
    <cellStyle name="표준 5 2 3 2 6 2 3 2 2" xfId="45897"/>
    <cellStyle name="표준 5 2 3 2 6 2 3 3" xfId="33225"/>
    <cellStyle name="표준 5 2 3 2 6 2 4" xfId="14209"/>
    <cellStyle name="표준 5 2 3 2 6 2 4 2" xfId="39561"/>
    <cellStyle name="표준 5 2 3 2 6 2 5" xfId="26889"/>
    <cellStyle name="표준 5 2 3 2 6 3" xfId="4662"/>
    <cellStyle name="표준 5 2 3 2 6 3 2" xfId="10998"/>
    <cellStyle name="표준 5 2 3 2 6 3 2 2" xfId="23672"/>
    <cellStyle name="표준 5 2 3 2 6 3 2 2 2" xfId="49024"/>
    <cellStyle name="표준 5 2 3 2 6 3 2 3" xfId="36352"/>
    <cellStyle name="표준 5 2 3 2 6 3 3" xfId="17336"/>
    <cellStyle name="표준 5 2 3 2 6 3 3 2" xfId="42688"/>
    <cellStyle name="표준 5 2 3 2 6 3 4" xfId="30016"/>
    <cellStyle name="표준 5 2 3 2 6 4" xfId="7870"/>
    <cellStyle name="표준 5 2 3 2 6 4 2" xfId="20544"/>
    <cellStyle name="표준 5 2 3 2 6 4 2 2" xfId="45896"/>
    <cellStyle name="표준 5 2 3 2 6 4 3" xfId="33224"/>
    <cellStyle name="표준 5 2 3 2 6 5" xfId="14208"/>
    <cellStyle name="표준 5 2 3 2 6 5 2" xfId="39560"/>
    <cellStyle name="표준 5 2 3 2 6 6" xfId="26888"/>
    <cellStyle name="표준 5 2 3 2 7" xfId="1535"/>
    <cellStyle name="표준 5 2 3 2 7 2" xfId="1536"/>
    <cellStyle name="표준 5 2 3 2 7 2 2" xfId="4663"/>
    <cellStyle name="표준 5 2 3 2 7 2 2 2" xfId="10999"/>
    <cellStyle name="표준 5 2 3 2 7 2 2 2 2" xfId="23673"/>
    <cellStyle name="표준 5 2 3 2 7 2 2 2 2 2" xfId="49025"/>
    <cellStyle name="표준 5 2 3 2 7 2 2 2 3" xfId="36353"/>
    <cellStyle name="표준 5 2 3 2 7 2 2 3" xfId="17337"/>
    <cellStyle name="표준 5 2 3 2 7 2 2 3 2" xfId="42689"/>
    <cellStyle name="표준 5 2 3 2 7 2 2 4" xfId="30017"/>
    <cellStyle name="표준 5 2 3 2 7 2 3" xfId="7873"/>
    <cellStyle name="표준 5 2 3 2 7 2 3 2" xfId="20547"/>
    <cellStyle name="표준 5 2 3 2 7 2 3 2 2" xfId="45899"/>
    <cellStyle name="표준 5 2 3 2 7 2 3 3" xfId="33227"/>
    <cellStyle name="표준 5 2 3 2 7 2 4" xfId="14211"/>
    <cellStyle name="표준 5 2 3 2 7 2 4 2" xfId="39563"/>
    <cellStyle name="표준 5 2 3 2 7 2 5" xfId="26891"/>
    <cellStyle name="표준 5 2 3 2 7 3" xfId="4664"/>
    <cellStyle name="표준 5 2 3 2 7 3 2" xfId="11000"/>
    <cellStyle name="표준 5 2 3 2 7 3 2 2" xfId="23674"/>
    <cellStyle name="표준 5 2 3 2 7 3 2 2 2" xfId="49026"/>
    <cellStyle name="표준 5 2 3 2 7 3 2 3" xfId="36354"/>
    <cellStyle name="표준 5 2 3 2 7 3 3" xfId="17338"/>
    <cellStyle name="표준 5 2 3 2 7 3 3 2" xfId="42690"/>
    <cellStyle name="표준 5 2 3 2 7 3 4" xfId="30018"/>
    <cellStyle name="표준 5 2 3 2 7 4" xfId="7872"/>
    <cellStyle name="표준 5 2 3 2 7 4 2" xfId="20546"/>
    <cellStyle name="표준 5 2 3 2 7 4 2 2" xfId="45898"/>
    <cellStyle name="표준 5 2 3 2 7 4 3" xfId="33226"/>
    <cellStyle name="표준 5 2 3 2 7 5" xfId="14210"/>
    <cellStyle name="표준 5 2 3 2 7 5 2" xfId="39562"/>
    <cellStyle name="표준 5 2 3 2 7 6" xfId="26890"/>
    <cellStyle name="표준 5 2 3 2 8" xfId="1537"/>
    <cellStyle name="표준 5 2 3 2 8 2" xfId="1538"/>
    <cellStyle name="표준 5 2 3 2 8 2 2" xfId="4665"/>
    <cellStyle name="표준 5 2 3 2 8 2 2 2" xfId="11001"/>
    <cellStyle name="표준 5 2 3 2 8 2 2 2 2" xfId="23675"/>
    <cellStyle name="표준 5 2 3 2 8 2 2 2 2 2" xfId="49027"/>
    <cellStyle name="표준 5 2 3 2 8 2 2 2 3" xfId="36355"/>
    <cellStyle name="표준 5 2 3 2 8 2 2 3" xfId="17339"/>
    <cellStyle name="표준 5 2 3 2 8 2 2 3 2" xfId="42691"/>
    <cellStyle name="표준 5 2 3 2 8 2 2 4" xfId="30019"/>
    <cellStyle name="표준 5 2 3 2 8 2 3" xfId="7875"/>
    <cellStyle name="표준 5 2 3 2 8 2 3 2" xfId="20549"/>
    <cellStyle name="표준 5 2 3 2 8 2 3 2 2" xfId="45901"/>
    <cellStyle name="표준 5 2 3 2 8 2 3 3" xfId="33229"/>
    <cellStyle name="표준 5 2 3 2 8 2 4" xfId="14213"/>
    <cellStyle name="표준 5 2 3 2 8 2 4 2" xfId="39565"/>
    <cellStyle name="표준 5 2 3 2 8 2 5" xfId="26893"/>
    <cellStyle name="표준 5 2 3 2 8 3" xfId="4666"/>
    <cellStyle name="표준 5 2 3 2 8 3 2" xfId="11002"/>
    <cellStyle name="표준 5 2 3 2 8 3 2 2" xfId="23676"/>
    <cellStyle name="표준 5 2 3 2 8 3 2 2 2" xfId="49028"/>
    <cellStyle name="표준 5 2 3 2 8 3 2 3" xfId="36356"/>
    <cellStyle name="표준 5 2 3 2 8 3 3" xfId="17340"/>
    <cellStyle name="표준 5 2 3 2 8 3 3 2" xfId="42692"/>
    <cellStyle name="표준 5 2 3 2 8 3 4" xfId="30020"/>
    <cellStyle name="표준 5 2 3 2 8 4" xfId="7874"/>
    <cellStyle name="표준 5 2 3 2 8 4 2" xfId="20548"/>
    <cellStyle name="표준 5 2 3 2 8 4 2 2" xfId="45900"/>
    <cellStyle name="표준 5 2 3 2 8 4 3" xfId="33228"/>
    <cellStyle name="표준 5 2 3 2 8 5" xfId="14212"/>
    <cellStyle name="표준 5 2 3 2 8 5 2" xfId="39564"/>
    <cellStyle name="표준 5 2 3 2 8 6" xfId="26892"/>
    <cellStyle name="표준 5 2 3 2 9" xfId="1539"/>
    <cellStyle name="표준 5 2 3 2 9 2" xfId="1540"/>
    <cellStyle name="표준 5 2 3 2 9 2 2" xfId="4667"/>
    <cellStyle name="표준 5 2 3 2 9 2 2 2" xfId="11003"/>
    <cellStyle name="표준 5 2 3 2 9 2 2 2 2" xfId="23677"/>
    <cellStyle name="표준 5 2 3 2 9 2 2 2 2 2" xfId="49029"/>
    <cellStyle name="표준 5 2 3 2 9 2 2 2 3" xfId="36357"/>
    <cellStyle name="표준 5 2 3 2 9 2 2 3" xfId="17341"/>
    <cellStyle name="표준 5 2 3 2 9 2 2 3 2" xfId="42693"/>
    <cellStyle name="표준 5 2 3 2 9 2 2 4" xfId="30021"/>
    <cellStyle name="표준 5 2 3 2 9 2 3" xfId="7877"/>
    <cellStyle name="표준 5 2 3 2 9 2 3 2" xfId="20551"/>
    <cellStyle name="표준 5 2 3 2 9 2 3 2 2" xfId="45903"/>
    <cellStyle name="표준 5 2 3 2 9 2 3 3" xfId="33231"/>
    <cellStyle name="표준 5 2 3 2 9 2 4" xfId="14215"/>
    <cellStyle name="표준 5 2 3 2 9 2 4 2" xfId="39567"/>
    <cellStyle name="표준 5 2 3 2 9 2 5" xfId="26895"/>
    <cellStyle name="표준 5 2 3 2 9 3" xfId="4668"/>
    <cellStyle name="표준 5 2 3 2 9 3 2" xfId="11004"/>
    <cellStyle name="표준 5 2 3 2 9 3 2 2" xfId="23678"/>
    <cellStyle name="표준 5 2 3 2 9 3 2 2 2" xfId="49030"/>
    <cellStyle name="표준 5 2 3 2 9 3 2 3" xfId="36358"/>
    <cellStyle name="표준 5 2 3 2 9 3 3" xfId="17342"/>
    <cellStyle name="표준 5 2 3 2 9 3 3 2" xfId="42694"/>
    <cellStyle name="표준 5 2 3 2 9 3 4" xfId="30022"/>
    <cellStyle name="표준 5 2 3 2 9 4" xfId="7876"/>
    <cellStyle name="표준 5 2 3 2 9 4 2" xfId="20550"/>
    <cellStyle name="표준 5 2 3 2 9 4 2 2" xfId="45902"/>
    <cellStyle name="표준 5 2 3 2 9 4 3" xfId="33230"/>
    <cellStyle name="표준 5 2 3 2 9 5" xfId="14214"/>
    <cellStyle name="표준 5 2 3 2 9 5 2" xfId="39566"/>
    <cellStyle name="표준 5 2 3 2 9 6" xfId="26894"/>
    <cellStyle name="표준 5 2 3 20" xfId="1541"/>
    <cellStyle name="표준 5 2 3 20 2" xfId="1542"/>
    <cellStyle name="표준 5 2 3 20 2 2" xfId="4669"/>
    <cellStyle name="표준 5 2 3 20 2 2 2" xfId="11005"/>
    <cellStyle name="표준 5 2 3 20 2 2 2 2" xfId="23679"/>
    <cellStyle name="표준 5 2 3 20 2 2 2 2 2" xfId="49031"/>
    <cellStyle name="표준 5 2 3 20 2 2 2 3" xfId="36359"/>
    <cellStyle name="표준 5 2 3 20 2 2 3" xfId="17343"/>
    <cellStyle name="표준 5 2 3 20 2 2 3 2" xfId="42695"/>
    <cellStyle name="표준 5 2 3 20 2 2 4" xfId="30023"/>
    <cellStyle name="표준 5 2 3 20 2 3" xfId="7879"/>
    <cellStyle name="표준 5 2 3 20 2 3 2" xfId="20553"/>
    <cellStyle name="표준 5 2 3 20 2 3 2 2" xfId="45905"/>
    <cellStyle name="표준 5 2 3 20 2 3 3" xfId="33233"/>
    <cellStyle name="표준 5 2 3 20 2 4" xfId="14217"/>
    <cellStyle name="표준 5 2 3 20 2 4 2" xfId="39569"/>
    <cellStyle name="표준 5 2 3 20 2 5" xfId="26897"/>
    <cellStyle name="표준 5 2 3 20 3" xfId="4670"/>
    <cellStyle name="표준 5 2 3 20 3 2" xfId="11006"/>
    <cellStyle name="표준 5 2 3 20 3 2 2" xfId="23680"/>
    <cellStyle name="표준 5 2 3 20 3 2 2 2" xfId="49032"/>
    <cellStyle name="표준 5 2 3 20 3 2 3" xfId="36360"/>
    <cellStyle name="표준 5 2 3 20 3 3" xfId="17344"/>
    <cellStyle name="표준 5 2 3 20 3 3 2" xfId="42696"/>
    <cellStyle name="표준 5 2 3 20 3 4" xfId="30024"/>
    <cellStyle name="표준 5 2 3 20 4" xfId="7878"/>
    <cellStyle name="표준 5 2 3 20 4 2" xfId="20552"/>
    <cellStyle name="표준 5 2 3 20 4 2 2" xfId="45904"/>
    <cellStyle name="표준 5 2 3 20 4 3" xfId="33232"/>
    <cellStyle name="표준 5 2 3 20 5" xfId="14216"/>
    <cellStyle name="표준 5 2 3 20 5 2" xfId="39568"/>
    <cellStyle name="표준 5 2 3 20 6" xfId="26896"/>
    <cellStyle name="표준 5 2 3 21" xfId="1543"/>
    <cellStyle name="표준 5 2 3 21 2" xfId="1544"/>
    <cellStyle name="표준 5 2 3 21 2 2" xfId="4671"/>
    <cellStyle name="표준 5 2 3 21 2 2 2" xfId="11007"/>
    <cellStyle name="표준 5 2 3 21 2 2 2 2" xfId="23681"/>
    <cellStyle name="표준 5 2 3 21 2 2 2 2 2" xfId="49033"/>
    <cellStyle name="표준 5 2 3 21 2 2 2 3" xfId="36361"/>
    <cellStyle name="표준 5 2 3 21 2 2 3" xfId="17345"/>
    <cellStyle name="표준 5 2 3 21 2 2 3 2" xfId="42697"/>
    <cellStyle name="표준 5 2 3 21 2 2 4" xfId="30025"/>
    <cellStyle name="표준 5 2 3 21 2 3" xfId="7881"/>
    <cellStyle name="표준 5 2 3 21 2 3 2" xfId="20555"/>
    <cellStyle name="표준 5 2 3 21 2 3 2 2" xfId="45907"/>
    <cellStyle name="표준 5 2 3 21 2 3 3" xfId="33235"/>
    <cellStyle name="표준 5 2 3 21 2 4" xfId="14219"/>
    <cellStyle name="표준 5 2 3 21 2 4 2" xfId="39571"/>
    <cellStyle name="표준 5 2 3 21 2 5" xfId="26899"/>
    <cellStyle name="표준 5 2 3 21 3" xfId="4672"/>
    <cellStyle name="표준 5 2 3 21 3 2" xfId="11008"/>
    <cellStyle name="표준 5 2 3 21 3 2 2" xfId="23682"/>
    <cellStyle name="표준 5 2 3 21 3 2 2 2" xfId="49034"/>
    <cellStyle name="표준 5 2 3 21 3 2 3" xfId="36362"/>
    <cellStyle name="표준 5 2 3 21 3 3" xfId="17346"/>
    <cellStyle name="표준 5 2 3 21 3 3 2" xfId="42698"/>
    <cellStyle name="표준 5 2 3 21 3 4" xfId="30026"/>
    <cellStyle name="표준 5 2 3 21 4" xfId="7880"/>
    <cellStyle name="표준 5 2 3 21 4 2" xfId="20554"/>
    <cellStyle name="표준 5 2 3 21 4 2 2" xfId="45906"/>
    <cellStyle name="표준 5 2 3 21 4 3" xfId="33234"/>
    <cellStyle name="표준 5 2 3 21 5" xfId="14218"/>
    <cellStyle name="표준 5 2 3 21 5 2" xfId="39570"/>
    <cellStyle name="표준 5 2 3 21 6" xfId="26898"/>
    <cellStyle name="표준 5 2 3 22" xfId="1545"/>
    <cellStyle name="표준 5 2 3 22 2" xfId="1546"/>
    <cellStyle name="표준 5 2 3 22 2 2" xfId="4673"/>
    <cellStyle name="표준 5 2 3 22 2 2 2" xfId="11009"/>
    <cellStyle name="표준 5 2 3 22 2 2 2 2" xfId="23683"/>
    <cellStyle name="표준 5 2 3 22 2 2 2 2 2" xfId="49035"/>
    <cellStyle name="표준 5 2 3 22 2 2 2 3" xfId="36363"/>
    <cellStyle name="표준 5 2 3 22 2 2 3" xfId="17347"/>
    <cellStyle name="표준 5 2 3 22 2 2 3 2" xfId="42699"/>
    <cellStyle name="표준 5 2 3 22 2 2 4" xfId="30027"/>
    <cellStyle name="표준 5 2 3 22 2 3" xfId="7883"/>
    <cellStyle name="표준 5 2 3 22 2 3 2" xfId="20557"/>
    <cellStyle name="표준 5 2 3 22 2 3 2 2" xfId="45909"/>
    <cellStyle name="표준 5 2 3 22 2 3 3" xfId="33237"/>
    <cellStyle name="표준 5 2 3 22 2 4" xfId="14221"/>
    <cellStyle name="표준 5 2 3 22 2 4 2" xfId="39573"/>
    <cellStyle name="표준 5 2 3 22 2 5" xfId="26901"/>
    <cellStyle name="표준 5 2 3 22 3" xfId="4674"/>
    <cellStyle name="표준 5 2 3 22 3 2" xfId="11010"/>
    <cellStyle name="표준 5 2 3 22 3 2 2" xfId="23684"/>
    <cellStyle name="표준 5 2 3 22 3 2 2 2" xfId="49036"/>
    <cellStyle name="표준 5 2 3 22 3 2 3" xfId="36364"/>
    <cellStyle name="표준 5 2 3 22 3 3" xfId="17348"/>
    <cellStyle name="표준 5 2 3 22 3 3 2" xfId="42700"/>
    <cellStyle name="표준 5 2 3 22 3 4" xfId="30028"/>
    <cellStyle name="표준 5 2 3 22 4" xfId="7882"/>
    <cellStyle name="표준 5 2 3 22 4 2" xfId="20556"/>
    <cellStyle name="표준 5 2 3 22 4 2 2" xfId="45908"/>
    <cellStyle name="표준 5 2 3 22 4 3" xfId="33236"/>
    <cellStyle name="표준 5 2 3 22 5" xfId="14220"/>
    <cellStyle name="표준 5 2 3 22 5 2" xfId="39572"/>
    <cellStyle name="표준 5 2 3 22 6" xfId="26900"/>
    <cellStyle name="표준 5 2 3 23" xfId="1547"/>
    <cellStyle name="표준 5 2 3 23 2" xfId="1548"/>
    <cellStyle name="표준 5 2 3 23 2 2" xfId="4675"/>
    <cellStyle name="표준 5 2 3 23 2 2 2" xfId="11011"/>
    <cellStyle name="표준 5 2 3 23 2 2 2 2" xfId="23685"/>
    <cellStyle name="표준 5 2 3 23 2 2 2 2 2" xfId="49037"/>
    <cellStyle name="표준 5 2 3 23 2 2 2 3" xfId="36365"/>
    <cellStyle name="표준 5 2 3 23 2 2 3" xfId="17349"/>
    <cellStyle name="표준 5 2 3 23 2 2 3 2" xfId="42701"/>
    <cellStyle name="표준 5 2 3 23 2 2 4" xfId="30029"/>
    <cellStyle name="표준 5 2 3 23 2 3" xfId="7885"/>
    <cellStyle name="표준 5 2 3 23 2 3 2" xfId="20559"/>
    <cellStyle name="표준 5 2 3 23 2 3 2 2" xfId="45911"/>
    <cellStyle name="표준 5 2 3 23 2 3 3" xfId="33239"/>
    <cellStyle name="표준 5 2 3 23 2 4" xfId="14223"/>
    <cellStyle name="표준 5 2 3 23 2 4 2" xfId="39575"/>
    <cellStyle name="표준 5 2 3 23 2 5" xfId="26903"/>
    <cellStyle name="표준 5 2 3 23 3" xfId="4676"/>
    <cellStyle name="표준 5 2 3 23 3 2" xfId="11012"/>
    <cellStyle name="표준 5 2 3 23 3 2 2" xfId="23686"/>
    <cellStyle name="표준 5 2 3 23 3 2 2 2" xfId="49038"/>
    <cellStyle name="표준 5 2 3 23 3 2 3" xfId="36366"/>
    <cellStyle name="표준 5 2 3 23 3 3" xfId="17350"/>
    <cellStyle name="표준 5 2 3 23 3 3 2" xfId="42702"/>
    <cellStyle name="표준 5 2 3 23 3 4" xfId="30030"/>
    <cellStyle name="표준 5 2 3 23 4" xfId="7884"/>
    <cellStyle name="표준 5 2 3 23 4 2" xfId="20558"/>
    <cellStyle name="표준 5 2 3 23 4 2 2" xfId="45910"/>
    <cellStyle name="표준 5 2 3 23 4 3" xfId="33238"/>
    <cellStyle name="표준 5 2 3 23 5" xfId="14222"/>
    <cellStyle name="표준 5 2 3 23 5 2" xfId="39574"/>
    <cellStyle name="표준 5 2 3 23 6" xfId="26902"/>
    <cellStyle name="표준 5 2 3 24" xfId="1549"/>
    <cellStyle name="표준 5 2 3 24 2" xfId="1550"/>
    <cellStyle name="표준 5 2 3 24 2 2" xfId="4677"/>
    <cellStyle name="표준 5 2 3 24 2 2 2" xfId="11013"/>
    <cellStyle name="표준 5 2 3 24 2 2 2 2" xfId="23687"/>
    <cellStyle name="표준 5 2 3 24 2 2 2 2 2" xfId="49039"/>
    <cellStyle name="표준 5 2 3 24 2 2 2 3" xfId="36367"/>
    <cellStyle name="표준 5 2 3 24 2 2 3" xfId="17351"/>
    <cellStyle name="표준 5 2 3 24 2 2 3 2" xfId="42703"/>
    <cellStyle name="표준 5 2 3 24 2 2 4" xfId="30031"/>
    <cellStyle name="표준 5 2 3 24 2 3" xfId="7887"/>
    <cellStyle name="표준 5 2 3 24 2 3 2" xfId="20561"/>
    <cellStyle name="표준 5 2 3 24 2 3 2 2" xfId="45913"/>
    <cellStyle name="표준 5 2 3 24 2 3 3" xfId="33241"/>
    <cellStyle name="표준 5 2 3 24 2 4" xfId="14225"/>
    <cellStyle name="표준 5 2 3 24 2 4 2" xfId="39577"/>
    <cellStyle name="표준 5 2 3 24 2 5" xfId="26905"/>
    <cellStyle name="표준 5 2 3 24 3" xfId="4678"/>
    <cellStyle name="표준 5 2 3 24 3 2" xfId="11014"/>
    <cellStyle name="표준 5 2 3 24 3 2 2" xfId="23688"/>
    <cellStyle name="표준 5 2 3 24 3 2 2 2" xfId="49040"/>
    <cellStyle name="표준 5 2 3 24 3 2 3" xfId="36368"/>
    <cellStyle name="표준 5 2 3 24 3 3" xfId="17352"/>
    <cellStyle name="표준 5 2 3 24 3 3 2" xfId="42704"/>
    <cellStyle name="표준 5 2 3 24 3 4" xfId="30032"/>
    <cellStyle name="표준 5 2 3 24 4" xfId="7886"/>
    <cellStyle name="표준 5 2 3 24 4 2" xfId="20560"/>
    <cellStyle name="표준 5 2 3 24 4 2 2" xfId="45912"/>
    <cellStyle name="표준 5 2 3 24 4 3" xfId="33240"/>
    <cellStyle name="표준 5 2 3 24 5" xfId="14224"/>
    <cellStyle name="표준 5 2 3 24 5 2" xfId="39576"/>
    <cellStyle name="표준 5 2 3 24 6" xfId="26904"/>
    <cellStyle name="표준 5 2 3 25" xfId="1551"/>
    <cellStyle name="표준 5 2 3 25 2" xfId="1552"/>
    <cellStyle name="표준 5 2 3 25 2 2" xfId="4679"/>
    <cellStyle name="표준 5 2 3 25 2 2 2" xfId="11015"/>
    <cellStyle name="표준 5 2 3 25 2 2 2 2" xfId="23689"/>
    <cellStyle name="표준 5 2 3 25 2 2 2 2 2" xfId="49041"/>
    <cellStyle name="표준 5 2 3 25 2 2 2 3" xfId="36369"/>
    <cellStyle name="표준 5 2 3 25 2 2 3" xfId="17353"/>
    <cellStyle name="표준 5 2 3 25 2 2 3 2" xfId="42705"/>
    <cellStyle name="표준 5 2 3 25 2 2 4" xfId="30033"/>
    <cellStyle name="표준 5 2 3 25 2 3" xfId="7889"/>
    <cellStyle name="표준 5 2 3 25 2 3 2" xfId="20563"/>
    <cellStyle name="표준 5 2 3 25 2 3 2 2" xfId="45915"/>
    <cellStyle name="표준 5 2 3 25 2 3 3" xfId="33243"/>
    <cellStyle name="표준 5 2 3 25 2 4" xfId="14227"/>
    <cellStyle name="표준 5 2 3 25 2 4 2" xfId="39579"/>
    <cellStyle name="표준 5 2 3 25 2 5" xfId="26907"/>
    <cellStyle name="표준 5 2 3 25 3" xfId="4680"/>
    <cellStyle name="표준 5 2 3 25 3 2" xfId="11016"/>
    <cellStyle name="표준 5 2 3 25 3 2 2" xfId="23690"/>
    <cellStyle name="표준 5 2 3 25 3 2 2 2" xfId="49042"/>
    <cellStyle name="표준 5 2 3 25 3 2 3" xfId="36370"/>
    <cellStyle name="표준 5 2 3 25 3 3" xfId="17354"/>
    <cellStyle name="표준 5 2 3 25 3 3 2" xfId="42706"/>
    <cellStyle name="표준 5 2 3 25 3 4" xfId="30034"/>
    <cellStyle name="표준 5 2 3 25 4" xfId="7888"/>
    <cellStyle name="표준 5 2 3 25 4 2" xfId="20562"/>
    <cellStyle name="표준 5 2 3 25 4 2 2" xfId="45914"/>
    <cellStyle name="표준 5 2 3 25 4 3" xfId="33242"/>
    <cellStyle name="표준 5 2 3 25 5" xfId="14226"/>
    <cellStyle name="표준 5 2 3 25 5 2" xfId="39578"/>
    <cellStyle name="표준 5 2 3 25 6" xfId="26906"/>
    <cellStyle name="표준 5 2 3 26" xfId="1553"/>
    <cellStyle name="표준 5 2 3 26 2" xfId="1554"/>
    <cellStyle name="표준 5 2 3 26 2 2" xfId="4681"/>
    <cellStyle name="표준 5 2 3 26 2 2 2" xfId="11017"/>
    <cellStyle name="표준 5 2 3 26 2 2 2 2" xfId="23691"/>
    <cellStyle name="표준 5 2 3 26 2 2 2 2 2" xfId="49043"/>
    <cellStyle name="표준 5 2 3 26 2 2 2 3" xfId="36371"/>
    <cellStyle name="표준 5 2 3 26 2 2 3" xfId="17355"/>
    <cellStyle name="표준 5 2 3 26 2 2 3 2" xfId="42707"/>
    <cellStyle name="표준 5 2 3 26 2 2 4" xfId="30035"/>
    <cellStyle name="표준 5 2 3 26 2 3" xfId="7891"/>
    <cellStyle name="표준 5 2 3 26 2 3 2" xfId="20565"/>
    <cellStyle name="표준 5 2 3 26 2 3 2 2" xfId="45917"/>
    <cellStyle name="표준 5 2 3 26 2 3 3" xfId="33245"/>
    <cellStyle name="표준 5 2 3 26 2 4" xfId="14229"/>
    <cellStyle name="표준 5 2 3 26 2 4 2" xfId="39581"/>
    <cellStyle name="표준 5 2 3 26 2 5" xfId="26909"/>
    <cellStyle name="표준 5 2 3 26 3" xfId="4682"/>
    <cellStyle name="표준 5 2 3 26 3 2" xfId="11018"/>
    <cellStyle name="표준 5 2 3 26 3 2 2" xfId="23692"/>
    <cellStyle name="표준 5 2 3 26 3 2 2 2" xfId="49044"/>
    <cellStyle name="표준 5 2 3 26 3 2 3" xfId="36372"/>
    <cellStyle name="표준 5 2 3 26 3 3" xfId="17356"/>
    <cellStyle name="표준 5 2 3 26 3 3 2" xfId="42708"/>
    <cellStyle name="표준 5 2 3 26 3 4" xfId="30036"/>
    <cellStyle name="표준 5 2 3 26 4" xfId="7890"/>
    <cellStyle name="표준 5 2 3 26 4 2" xfId="20564"/>
    <cellStyle name="표준 5 2 3 26 4 2 2" xfId="45916"/>
    <cellStyle name="표준 5 2 3 26 4 3" xfId="33244"/>
    <cellStyle name="표준 5 2 3 26 5" xfId="14228"/>
    <cellStyle name="표준 5 2 3 26 5 2" xfId="39580"/>
    <cellStyle name="표준 5 2 3 26 6" xfId="26908"/>
    <cellStyle name="표준 5 2 3 27" xfId="1555"/>
    <cellStyle name="표준 5 2 3 27 2" xfId="1556"/>
    <cellStyle name="표준 5 2 3 27 2 2" xfId="4683"/>
    <cellStyle name="표준 5 2 3 27 2 2 2" xfId="11019"/>
    <cellStyle name="표준 5 2 3 27 2 2 2 2" xfId="23693"/>
    <cellStyle name="표준 5 2 3 27 2 2 2 2 2" xfId="49045"/>
    <cellStyle name="표준 5 2 3 27 2 2 2 3" xfId="36373"/>
    <cellStyle name="표준 5 2 3 27 2 2 3" xfId="17357"/>
    <cellStyle name="표준 5 2 3 27 2 2 3 2" xfId="42709"/>
    <cellStyle name="표준 5 2 3 27 2 2 4" xfId="30037"/>
    <cellStyle name="표준 5 2 3 27 2 3" xfId="7893"/>
    <cellStyle name="표준 5 2 3 27 2 3 2" xfId="20567"/>
    <cellStyle name="표준 5 2 3 27 2 3 2 2" xfId="45919"/>
    <cellStyle name="표준 5 2 3 27 2 3 3" xfId="33247"/>
    <cellStyle name="표준 5 2 3 27 2 4" xfId="14231"/>
    <cellStyle name="표준 5 2 3 27 2 4 2" xfId="39583"/>
    <cellStyle name="표준 5 2 3 27 2 5" xfId="26911"/>
    <cellStyle name="표준 5 2 3 27 3" xfId="4684"/>
    <cellStyle name="표준 5 2 3 27 3 2" xfId="11020"/>
    <cellStyle name="표준 5 2 3 27 3 2 2" xfId="23694"/>
    <cellStyle name="표준 5 2 3 27 3 2 2 2" xfId="49046"/>
    <cellStyle name="표준 5 2 3 27 3 2 3" xfId="36374"/>
    <cellStyle name="표준 5 2 3 27 3 3" xfId="17358"/>
    <cellStyle name="표준 5 2 3 27 3 3 2" xfId="42710"/>
    <cellStyle name="표준 5 2 3 27 3 4" xfId="30038"/>
    <cellStyle name="표준 5 2 3 27 4" xfId="7892"/>
    <cellStyle name="표준 5 2 3 27 4 2" xfId="20566"/>
    <cellStyle name="표준 5 2 3 27 4 2 2" xfId="45918"/>
    <cellStyle name="표준 5 2 3 27 4 3" xfId="33246"/>
    <cellStyle name="표준 5 2 3 27 5" xfId="14230"/>
    <cellStyle name="표준 5 2 3 27 5 2" xfId="39582"/>
    <cellStyle name="표준 5 2 3 27 6" xfId="26910"/>
    <cellStyle name="표준 5 2 3 28" xfId="1557"/>
    <cellStyle name="표준 5 2 3 28 2" xfId="1558"/>
    <cellStyle name="표준 5 2 3 28 2 2" xfId="4685"/>
    <cellStyle name="표준 5 2 3 28 2 2 2" xfId="11021"/>
    <cellStyle name="표준 5 2 3 28 2 2 2 2" xfId="23695"/>
    <cellStyle name="표준 5 2 3 28 2 2 2 2 2" xfId="49047"/>
    <cellStyle name="표준 5 2 3 28 2 2 2 3" xfId="36375"/>
    <cellStyle name="표준 5 2 3 28 2 2 3" xfId="17359"/>
    <cellStyle name="표준 5 2 3 28 2 2 3 2" xfId="42711"/>
    <cellStyle name="표준 5 2 3 28 2 2 4" xfId="30039"/>
    <cellStyle name="표준 5 2 3 28 2 3" xfId="7895"/>
    <cellStyle name="표준 5 2 3 28 2 3 2" xfId="20569"/>
    <cellStyle name="표준 5 2 3 28 2 3 2 2" xfId="45921"/>
    <cellStyle name="표준 5 2 3 28 2 3 3" xfId="33249"/>
    <cellStyle name="표준 5 2 3 28 2 4" xfId="14233"/>
    <cellStyle name="표준 5 2 3 28 2 4 2" xfId="39585"/>
    <cellStyle name="표준 5 2 3 28 2 5" xfId="26913"/>
    <cellStyle name="표준 5 2 3 28 3" xfId="4686"/>
    <cellStyle name="표준 5 2 3 28 3 2" xfId="11022"/>
    <cellStyle name="표준 5 2 3 28 3 2 2" xfId="23696"/>
    <cellStyle name="표준 5 2 3 28 3 2 2 2" xfId="49048"/>
    <cellStyle name="표준 5 2 3 28 3 2 3" xfId="36376"/>
    <cellStyle name="표준 5 2 3 28 3 3" xfId="17360"/>
    <cellStyle name="표준 5 2 3 28 3 3 2" xfId="42712"/>
    <cellStyle name="표준 5 2 3 28 3 4" xfId="30040"/>
    <cellStyle name="표준 5 2 3 28 4" xfId="7894"/>
    <cellStyle name="표준 5 2 3 28 4 2" xfId="20568"/>
    <cellStyle name="표준 5 2 3 28 4 2 2" xfId="45920"/>
    <cellStyle name="표준 5 2 3 28 4 3" xfId="33248"/>
    <cellStyle name="표준 5 2 3 28 5" xfId="14232"/>
    <cellStyle name="표준 5 2 3 28 5 2" xfId="39584"/>
    <cellStyle name="표준 5 2 3 28 6" xfId="26912"/>
    <cellStyle name="표준 5 2 3 29" xfId="1559"/>
    <cellStyle name="표준 5 2 3 29 2" xfId="1560"/>
    <cellStyle name="표준 5 2 3 29 2 2" xfId="4687"/>
    <cellStyle name="표준 5 2 3 29 2 2 2" xfId="11023"/>
    <cellStyle name="표준 5 2 3 29 2 2 2 2" xfId="23697"/>
    <cellStyle name="표준 5 2 3 29 2 2 2 2 2" xfId="49049"/>
    <cellStyle name="표준 5 2 3 29 2 2 2 3" xfId="36377"/>
    <cellStyle name="표준 5 2 3 29 2 2 3" xfId="17361"/>
    <cellStyle name="표준 5 2 3 29 2 2 3 2" xfId="42713"/>
    <cellStyle name="표준 5 2 3 29 2 2 4" xfId="30041"/>
    <cellStyle name="표준 5 2 3 29 2 3" xfId="7897"/>
    <cellStyle name="표준 5 2 3 29 2 3 2" xfId="20571"/>
    <cellStyle name="표준 5 2 3 29 2 3 2 2" xfId="45923"/>
    <cellStyle name="표준 5 2 3 29 2 3 3" xfId="33251"/>
    <cellStyle name="표준 5 2 3 29 2 4" xfId="14235"/>
    <cellStyle name="표준 5 2 3 29 2 4 2" xfId="39587"/>
    <cellStyle name="표준 5 2 3 29 2 5" xfId="26915"/>
    <cellStyle name="표준 5 2 3 29 3" xfId="4688"/>
    <cellStyle name="표준 5 2 3 29 3 2" xfId="11024"/>
    <cellStyle name="표준 5 2 3 29 3 2 2" xfId="23698"/>
    <cellStyle name="표준 5 2 3 29 3 2 2 2" xfId="49050"/>
    <cellStyle name="표준 5 2 3 29 3 2 3" xfId="36378"/>
    <cellStyle name="표준 5 2 3 29 3 3" xfId="17362"/>
    <cellStyle name="표준 5 2 3 29 3 3 2" xfId="42714"/>
    <cellStyle name="표준 5 2 3 29 3 4" xfId="30042"/>
    <cellStyle name="표준 5 2 3 29 4" xfId="7896"/>
    <cellStyle name="표준 5 2 3 29 4 2" xfId="20570"/>
    <cellStyle name="표준 5 2 3 29 4 2 2" xfId="45922"/>
    <cellStyle name="표준 5 2 3 29 4 3" xfId="33250"/>
    <cellStyle name="표준 5 2 3 29 5" xfId="14234"/>
    <cellStyle name="표준 5 2 3 29 5 2" xfId="39586"/>
    <cellStyle name="표준 5 2 3 29 6" xfId="26914"/>
    <cellStyle name="표준 5 2 3 3" xfId="78"/>
    <cellStyle name="표준 5 2 3 3 2" xfId="1561"/>
    <cellStyle name="표준 5 2 3 3 2 2" xfId="4689"/>
    <cellStyle name="표준 5 2 3 3 2 2 2" xfId="11025"/>
    <cellStyle name="표준 5 2 3 3 2 2 2 2" xfId="23699"/>
    <cellStyle name="표준 5 2 3 3 2 2 2 2 2" xfId="49051"/>
    <cellStyle name="표준 5 2 3 3 2 2 2 3" xfId="36379"/>
    <cellStyle name="표준 5 2 3 3 2 2 3" xfId="17363"/>
    <cellStyle name="표준 5 2 3 3 2 2 3 2" xfId="42715"/>
    <cellStyle name="표준 5 2 3 3 2 2 4" xfId="30043"/>
    <cellStyle name="표준 5 2 3 3 2 3" xfId="7898"/>
    <cellStyle name="표준 5 2 3 3 2 3 2" xfId="20572"/>
    <cellStyle name="표준 5 2 3 3 2 3 2 2" xfId="45924"/>
    <cellStyle name="표준 5 2 3 3 2 3 3" xfId="33252"/>
    <cellStyle name="표준 5 2 3 3 2 4" xfId="14236"/>
    <cellStyle name="표준 5 2 3 3 2 4 2" xfId="39588"/>
    <cellStyle name="표준 5 2 3 3 2 5" xfId="26916"/>
    <cellStyle name="표준 5 2 3 3 3" xfId="4690"/>
    <cellStyle name="표준 5 2 3 3 3 2" xfId="11026"/>
    <cellStyle name="표준 5 2 3 3 3 2 2" xfId="23700"/>
    <cellStyle name="표준 5 2 3 3 3 2 2 2" xfId="49052"/>
    <cellStyle name="표준 5 2 3 3 3 2 3" xfId="36380"/>
    <cellStyle name="표준 5 2 3 3 3 3" xfId="17364"/>
    <cellStyle name="표준 5 2 3 3 3 3 2" xfId="42716"/>
    <cellStyle name="표준 5 2 3 3 3 4" xfId="30044"/>
    <cellStyle name="표준 5 2 3 3 4" xfId="6416"/>
    <cellStyle name="표준 5 2 3 3 4 2" xfId="19090"/>
    <cellStyle name="표준 5 2 3 3 4 2 2" xfId="44442"/>
    <cellStyle name="표준 5 2 3 3 4 3" xfId="31770"/>
    <cellStyle name="표준 5 2 3 3 5" xfId="12754"/>
    <cellStyle name="표준 5 2 3 3 5 2" xfId="38106"/>
    <cellStyle name="표준 5 2 3 3 6" xfId="25434"/>
    <cellStyle name="표준 5 2 3 30" xfId="1562"/>
    <cellStyle name="표준 5 2 3 30 2" xfId="1563"/>
    <cellStyle name="표준 5 2 3 30 2 2" xfId="4691"/>
    <cellStyle name="표준 5 2 3 30 2 2 2" xfId="11027"/>
    <cellStyle name="표준 5 2 3 30 2 2 2 2" xfId="23701"/>
    <cellStyle name="표준 5 2 3 30 2 2 2 2 2" xfId="49053"/>
    <cellStyle name="표준 5 2 3 30 2 2 2 3" xfId="36381"/>
    <cellStyle name="표준 5 2 3 30 2 2 3" xfId="17365"/>
    <cellStyle name="표준 5 2 3 30 2 2 3 2" xfId="42717"/>
    <cellStyle name="표준 5 2 3 30 2 2 4" xfId="30045"/>
    <cellStyle name="표준 5 2 3 30 2 3" xfId="7900"/>
    <cellStyle name="표준 5 2 3 30 2 3 2" xfId="20574"/>
    <cellStyle name="표준 5 2 3 30 2 3 2 2" xfId="45926"/>
    <cellStyle name="표준 5 2 3 30 2 3 3" xfId="33254"/>
    <cellStyle name="표준 5 2 3 30 2 4" xfId="14238"/>
    <cellStyle name="표준 5 2 3 30 2 4 2" xfId="39590"/>
    <cellStyle name="표준 5 2 3 30 2 5" xfId="26918"/>
    <cellStyle name="표준 5 2 3 30 3" xfId="4692"/>
    <cellStyle name="표준 5 2 3 30 3 2" xfId="11028"/>
    <cellStyle name="표준 5 2 3 30 3 2 2" xfId="23702"/>
    <cellStyle name="표준 5 2 3 30 3 2 2 2" xfId="49054"/>
    <cellStyle name="표준 5 2 3 30 3 2 3" xfId="36382"/>
    <cellStyle name="표준 5 2 3 30 3 3" xfId="17366"/>
    <cellStyle name="표준 5 2 3 30 3 3 2" xfId="42718"/>
    <cellStyle name="표준 5 2 3 30 3 4" xfId="30046"/>
    <cellStyle name="표준 5 2 3 30 4" xfId="7899"/>
    <cellStyle name="표준 5 2 3 30 4 2" xfId="20573"/>
    <cellStyle name="표준 5 2 3 30 4 2 2" xfId="45925"/>
    <cellStyle name="표준 5 2 3 30 4 3" xfId="33253"/>
    <cellStyle name="표준 5 2 3 30 5" xfId="14237"/>
    <cellStyle name="표준 5 2 3 30 5 2" xfId="39589"/>
    <cellStyle name="표준 5 2 3 30 6" xfId="26917"/>
    <cellStyle name="표준 5 2 3 31" xfId="1564"/>
    <cellStyle name="표준 5 2 3 31 2" xfId="1565"/>
    <cellStyle name="표준 5 2 3 31 2 2" xfId="4693"/>
    <cellStyle name="표준 5 2 3 31 2 2 2" xfId="11029"/>
    <cellStyle name="표준 5 2 3 31 2 2 2 2" xfId="23703"/>
    <cellStyle name="표준 5 2 3 31 2 2 2 2 2" xfId="49055"/>
    <cellStyle name="표준 5 2 3 31 2 2 2 3" xfId="36383"/>
    <cellStyle name="표준 5 2 3 31 2 2 3" xfId="17367"/>
    <cellStyle name="표준 5 2 3 31 2 2 3 2" xfId="42719"/>
    <cellStyle name="표준 5 2 3 31 2 2 4" xfId="30047"/>
    <cellStyle name="표준 5 2 3 31 2 3" xfId="7902"/>
    <cellStyle name="표준 5 2 3 31 2 3 2" xfId="20576"/>
    <cellStyle name="표준 5 2 3 31 2 3 2 2" xfId="45928"/>
    <cellStyle name="표준 5 2 3 31 2 3 3" xfId="33256"/>
    <cellStyle name="표준 5 2 3 31 2 4" xfId="14240"/>
    <cellStyle name="표준 5 2 3 31 2 4 2" xfId="39592"/>
    <cellStyle name="표준 5 2 3 31 2 5" xfId="26920"/>
    <cellStyle name="표준 5 2 3 31 3" xfId="4694"/>
    <cellStyle name="표준 5 2 3 31 3 2" xfId="11030"/>
    <cellStyle name="표준 5 2 3 31 3 2 2" xfId="23704"/>
    <cellStyle name="표준 5 2 3 31 3 2 2 2" xfId="49056"/>
    <cellStyle name="표준 5 2 3 31 3 2 3" xfId="36384"/>
    <cellStyle name="표준 5 2 3 31 3 3" xfId="17368"/>
    <cellStyle name="표준 5 2 3 31 3 3 2" xfId="42720"/>
    <cellStyle name="표준 5 2 3 31 3 4" xfId="30048"/>
    <cellStyle name="표준 5 2 3 31 4" xfId="7901"/>
    <cellStyle name="표준 5 2 3 31 4 2" xfId="20575"/>
    <cellStyle name="표준 5 2 3 31 4 2 2" xfId="45927"/>
    <cellStyle name="표준 5 2 3 31 4 3" xfId="33255"/>
    <cellStyle name="표준 5 2 3 31 5" xfId="14239"/>
    <cellStyle name="표준 5 2 3 31 5 2" xfId="39591"/>
    <cellStyle name="표준 5 2 3 31 6" xfId="26919"/>
    <cellStyle name="표준 5 2 3 32" xfId="1566"/>
    <cellStyle name="표준 5 2 3 32 2" xfId="1567"/>
    <cellStyle name="표준 5 2 3 32 2 2" xfId="4695"/>
    <cellStyle name="표준 5 2 3 32 2 2 2" xfId="11031"/>
    <cellStyle name="표준 5 2 3 32 2 2 2 2" xfId="23705"/>
    <cellStyle name="표준 5 2 3 32 2 2 2 2 2" xfId="49057"/>
    <cellStyle name="표준 5 2 3 32 2 2 2 3" xfId="36385"/>
    <cellStyle name="표준 5 2 3 32 2 2 3" xfId="17369"/>
    <cellStyle name="표준 5 2 3 32 2 2 3 2" xfId="42721"/>
    <cellStyle name="표준 5 2 3 32 2 2 4" xfId="30049"/>
    <cellStyle name="표준 5 2 3 32 2 3" xfId="7904"/>
    <cellStyle name="표준 5 2 3 32 2 3 2" xfId="20578"/>
    <cellStyle name="표준 5 2 3 32 2 3 2 2" xfId="45930"/>
    <cellStyle name="표준 5 2 3 32 2 3 3" xfId="33258"/>
    <cellStyle name="표준 5 2 3 32 2 4" xfId="14242"/>
    <cellStyle name="표준 5 2 3 32 2 4 2" xfId="39594"/>
    <cellStyle name="표준 5 2 3 32 2 5" xfId="26922"/>
    <cellStyle name="표준 5 2 3 32 3" xfId="4696"/>
    <cellStyle name="표준 5 2 3 32 3 2" xfId="11032"/>
    <cellStyle name="표준 5 2 3 32 3 2 2" xfId="23706"/>
    <cellStyle name="표준 5 2 3 32 3 2 2 2" xfId="49058"/>
    <cellStyle name="표준 5 2 3 32 3 2 3" xfId="36386"/>
    <cellStyle name="표준 5 2 3 32 3 3" xfId="17370"/>
    <cellStyle name="표준 5 2 3 32 3 3 2" xfId="42722"/>
    <cellStyle name="표준 5 2 3 32 3 4" xfId="30050"/>
    <cellStyle name="표준 5 2 3 32 4" xfId="7903"/>
    <cellStyle name="표준 5 2 3 32 4 2" xfId="20577"/>
    <cellStyle name="표준 5 2 3 32 4 2 2" xfId="45929"/>
    <cellStyle name="표준 5 2 3 32 4 3" xfId="33257"/>
    <cellStyle name="표준 5 2 3 32 5" xfId="14241"/>
    <cellStyle name="표준 5 2 3 32 5 2" xfId="39593"/>
    <cellStyle name="표준 5 2 3 32 6" xfId="26921"/>
    <cellStyle name="표준 5 2 3 33" xfId="1568"/>
    <cellStyle name="표준 5 2 3 33 2" xfId="1569"/>
    <cellStyle name="표준 5 2 3 33 2 2" xfId="4697"/>
    <cellStyle name="표준 5 2 3 33 2 2 2" xfId="11033"/>
    <cellStyle name="표준 5 2 3 33 2 2 2 2" xfId="23707"/>
    <cellStyle name="표준 5 2 3 33 2 2 2 2 2" xfId="49059"/>
    <cellStyle name="표준 5 2 3 33 2 2 2 3" xfId="36387"/>
    <cellStyle name="표준 5 2 3 33 2 2 3" xfId="17371"/>
    <cellStyle name="표준 5 2 3 33 2 2 3 2" xfId="42723"/>
    <cellStyle name="표준 5 2 3 33 2 2 4" xfId="30051"/>
    <cellStyle name="표준 5 2 3 33 2 3" xfId="7906"/>
    <cellStyle name="표준 5 2 3 33 2 3 2" xfId="20580"/>
    <cellStyle name="표준 5 2 3 33 2 3 2 2" xfId="45932"/>
    <cellStyle name="표준 5 2 3 33 2 3 3" xfId="33260"/>
    <cellStyle name="표준 5 2 3 33 2 4" xfId="14244"/>
    <cellStyle name="표준 5 2 3 33 2 4 2" xfId="39596"/>
    <cellStyle name="표준 5 2 3 33 2 5" xfId="26924"/>
    <cellStyle name="표준 5 2 3 33 3" xfId="4698"/>
    <cellStyle name="표준 5 2 3 33 3 2" xfId="11034"/>
    <cellStyle name="표준 5 2 3 33 3 2 2" xfId="23708"/>
    <cellStyle name="표준 5 2 3 33 3 2 2 2" xfId="49060"/>
    <cellStyle name="표준 5 2 3 33 3 2 3" xfId="36388"/>
    <cellStyle name="표준 5 2 3 33 3 3" xfId="17372"/>
    <cellStyle name="표준 5 2 3 33 3 3 2" xfId="42724"/>
    <cellStyle name="표준 5 2 3 33 3 4" xfId="30052"/>
    <cellStyle name="표준 5 2 3 33 4" xfId="7905"/>
    <cellStyle name="표준 5 2 3 33 4 2" xfId="20579"/>
    <cellStyle name="표준 5 2 3 33 4 2 2" xfId="45931"/>
    <cellStyle name="표준 5 2 3 33 4 3" xfId="33259"/>
    <cellStyle name="표준 5 2 3 33 5" xfId="14243"/>
    <cellStyle name="표준 5 2 3 33 5 2" xfId="39595"/>
    <cellStyle name="표준 5 2 3 33 6" xfId="26923"/>
    <cellStyle name="표준 5 2 3 34" xfId="1570"/>
    <cellStyle name="표준 5 2 3 34 2" xfId="1571"/>
    <cellStyle name="표준 5 2 3 34 2 2" xfId="4699"/>
    <cellStyle name="표준 5 2 3 34 2 2 2" xfId="11035"/>
    <cellStyle name="표준 5 2 3 34 2 2 2 2" xfId="23709"/>
    <cellStyle name="표준 5 2 3 34 2 2 2 2 2" xfId="49061"/>
    <cellStyle name="표준 5 2 3 34 2 2 2 3" xfId="36389"/>
    <cellStyle name="표준 5 2 3 34 2 2 3" xfId="17373"/>
    <cellStyle name="표준 5 2 3 34 2 2 3 2" xfId="42725"/>
    <cellStyle name="표준 5 2 3 34 2 2 4" xfId="30053"/>
    <cellStyle name="표준 5 2 3 34 2 3" xfId="7908"/>
    <cellStyle name="표준 5 2 3 34 2 3 2" xfId="20582"/>
    <cellStyle name="표준 5 2 3 34 2 3 2 2" xfId="45934"/>
    <cellStyle name="표준 5 2 3 34 2 3 3" xfId="33262"/>
    <cellStyle name="표준 5 2 3 34 2 4" xfId="14246"/>
    <cellStyle name="표준 5 2 3 34 2 4 2" xfId="39598"/>
    <cellStyle name="표준 5 2 3 34 2 5" xfId="26926"/>
    <cellStyle name="표준 5 2 3 34 3" xfId="4700"/>
    <cellStyle name="표준 5 2 3 34 3 2" xfId="11036"/>
    <cellStyle name="표준 5 2 3 34 3 2 2" xfId="23710"/>
    <cellStyle name="표준 5 2 3 34 3 2 2 2" xfId="49062"/>
    <cellStyle name="표준 5 2 3 34 3 2 3" xfId="36390"/>
    <cellStyle name="표준 5 2 3 34 3 3" xfId="17374"/>
    <cellStyle name="표준 5 2 3 34 3 3 2" xfId="42726"/>
    <cellStyle name="표준 5 2 3 34 3 4" xfId="30054"/>
    <cellStyle name="표준 5 2 3 34 4" xfId="7907"/>
    <cellStyle name="표준 5 2 3 34 4 2" xfId="20581"/>
    <cellStyle name="표준 5 2 3 34 4 2 2" xfId="45933"/>
    <cellStyle name="표준 5 2 3 34 4 3" xfId="33261"/>
    <cellStyle name="표준 5 2 3 34 5" xfId="14245"/>
    <cellStyle name="표준 5 2 3 34 5 2" xfId="39597"/>
    <cellStyle name="표준 5 2 3 34 6" xfId="26925"/>
    <cellStyle name="표준 5 2 3 35" xfId="1572"/>
    <cellStyle name="표준 5 2 3 35 2" xfId="4701"/>
    <cellStyle name="표준 5 2 3 35 2 2" xfId="11037"/>
    <cellStyle name="표준 5 2 3 35 2 2 2" xfId="23711"/>
    <cellStyle name="표준 5 2 3 35 2 2 2 2" xfId="49063"/>
    <cellStyle name="표준 5 2 3 35 2 2 3" xfId="36391"/>
    <cellStyle name="표준 5 2 3 35 2 3" xfId="17375"/>
    <cellStyle name="표준 5 2 3 35 2 3 2" xfId="42727"/>
    <cellStyle name="표준 5 2 3 35 2 4" xfId="30055"/>
    <cellStyle name="표준 5 2 3 35 3" xfId="7909"/>
    <cellStyle name="표준 5 2 3 35 3 2" xfId="20583"/>
    <cellStyle name="표준 5 2 3 35 3 2 2" xfId="45935"/>
    <cellStyle name="표준 5 2 3 35 3 3" xfId="33263"/>
    <cellStyle name="표준 5 2 3 35 4" xfId="14247"/>
    <cellStyle name="표준 5 2 3 35 4 2" xfId="39599"/>
    <cellStyle name="표준 5 2 3 35 5" xfId="26927"/>
    <cellStyle name="표준 5 2 3 36" xfId="4702"/>
    <cellStyle name="표준 5 2 3 36 2" xfId="11038"/>
    <cellStyle name="표준 5 2 3 36 2 2" xfId="23712"/>
    <cellStyle name="표준 5 2 3 36 2 2 2" xfId="49064"/>
    <cellStyle name="표준 5 2 3 36 2 3" xfId="36392"/>
    <cellStyle name="표준 5 2 3 36 3" xfId="17376"/>
    <cellStyle name="표준 5 2 3 36 3 2" xfId="42728"/>
    <cellStyle name="표준 5 2 3 36 4" xfId="30056"/>
    <cellStyle name="표준 5 2 3 37" xfId="6387"/>
    <cellStyle name="표준 5 2 3 37 2" xfId="19061"/>
    <cellStyle name="표준 5 2 3 37 2 2" xfId="44413"/>
    <cellStyle name="표준 5 2 3 37 3" xfId="31741"/>
    <cellStyle name="표준 5 2 3 38" xfId="12725"/>
    <cellStyle name="표준 5 2 3 38 2" xfId="38077"/>
    <cellStyle name="표준 5 2 3 39" xfId="25405"/>
    <cellStyle name="표준 5 2 3 4" xfId="1573"/>
    <cellStyle name="표준 5 2 3 4 2" xfId="1574"/>
    <cellStyle name="표준 5 2 3 4 2 2" xfId="4703"/>
    <cellStyle name="표준 5 2 3 4 2 2 2" xfId="11039"/>
    <cellStyle name="표준 5 2 3 4 2 2 2 2" xfId="23713"/>
    <cellStyle name="표준 5 2 3 4 2 2 2 2 2" xfId="49065"/>
    <cellStyle name="표준 5 2 3 4 2 2 2 3" xfId="36393"/>
    <cellStyle name="표준 5 2 3 4 2 2 3" xfId="17377"/>
    <cellStyle name="표준 5 2 3 4 2 2 3 2" xfId="42729"/>
    <cellStyle name="표준 5 2 3 4 2 2 4" xfId="30057"/>
    <cellStyle name="표준 5 2 3 4 2 3" xfId="7911"/>
    <cellStyle name="표준 5 2 3 4 2 3 2" xfId="20585"/>
    <cellStyle name="표준 5 2 3 4 2 3 2 2" xfId="45937"/>
    <cellStyle name="표준 5 2 3 4 2 3 3" xfId="33265"/>
    <cellStyle name="표준 5 2 3 4 2 4" xfId="14249"/>
    <cellStyle name="표준 5 2 3 4 2 4 2" xfId="39601"/>
    <cellStyle name="표준 5 2 3 4 2 5" xfId="26929"/>
    <cellStyle name="표준 5 2 3 4 3" xfId="4704"/>
    <cellStyle name="표준 5 2 3 4 3 2" xfId="11040"/>
    <cellStyle name="표준 5 2 3 4 3 2 2" xfId="23714"/>
    <cellStyle name="표준 5 2 3 4 3 2 2 2" xfId="49066"/>
    <cellStyle name="표준 5 2 3 4 3 2 3" xfId="36394"/>
    <cellStyle name="표준 5 2 3 4 3 3" xfId="17378"/>
    <cellStyle name="표준 5 2 3 4 3 3 2" xfId="42730"/>
    <cellStyle name="표준 5 2 3 4 3 4" xfId="30058"/>
    <cellStyle name="표준 5 2 3 4 4" xfId="7910"/>
    <cellStyle name="표준 5 2 3 4 4 2" xfId="20584"/>
    <cellStyle name="표준 5 2 3 4 4 2 2" xfId="45936"/>
    <cellStyle name="표준 5 2 3 4 4 3" xfId="33264"/>
    <cellStyle name="표준 5 2 3 4 5" xfId="14248"/>
    <cellStyle name="표준 5 2 3 4 5 2" xfId="39600"/>
    <cellStyle name="표준 5 2 3 4 6" xfId="26928"/>
    <cellStyle name="표준 5 2 3 5" xfId="1575"/>
    <cellStyle name="표준 5 2 3 5 2" xfId="1576"/>
    <cellStyle name="표준 5 2 3 5 2 2" xfId="4705"/>
    <cellStyle name="표준 5 2 3 5 2 2 2" xfId="11041"/>
    <cellStyle name="표준 5 2 3 5 2 2 2 2" xfId="23715"/>
    <cellStyle name="표준 5 2 3 5 2 2 2 2 2" xfId="49067"/>
    <cellStyle name="표준 5 2 3 5 2 2 2 3" xfId="36395"/>
    <cellStyle name="표준 5 2 3 5 2 2 3" xfId="17379"/>
    <cellStyle name="표준 5 2 3 5 2 2 3 2" xfId="42731"/>
    <cellStyle name="표준 5 2 3 5 2 2 4" xfId="30059"/>
    <cellStyle name="표준 5 2 3 5 2 3" xfId="7913"/>
    <cellStyle name="표준 5 2 3 5 2 3 2" xfId="20587"/>
    <cellStyle name="표준 5 2 3 5 2 3 2 2" xfId="45939"/>
    <cellStyle name="표준 5 2 3 5 2 3 3" xfId="33267"/>
    <cellStyle name="표준 5 2 3 5 2 4" xfId="14251"/>
    <cellStyle name="표준 5 2 3 5 2 4 2" xfId="39603"/>
    <cellStyle name="표준 5 2 3 5 2 5" xfId="26931"/>
    <cellStyle name="표준 5 2 3 5 3" xfId="4706"/>
    <cellStyle name="표준 5 2 3 5 3 2" xfId="11042"/>
    <cellStyle name="표준 5 2 3 5 3 2 2" xfId="23716"/>
    <cellStyle name="표준 5 2 3 5 3 2 2 2" xfId="49068"/>
    <cellStyle name="표준 5 2 3 5 3 2 3" xfId="36396"/>
    <cellStyle name="표준 5 2 3 5 3 3" xfId="17380"/>
    <cellStyle name="표준 5 2 3 5 3 3 2" xfId="42732"/>
    <cellStyle name="표준 5 2 3 5 3 4" xfId="30060"/>
    <cellStyle name="표준 5 2 3 5 4" xfId="7912"/>
    <cellStyle name="표준 5 2 3 5 4 2" xfId="20586"/>
    <cellStyle name="표준 5 2 3 5 4 2 2" xfId="45938"/>
    <cellStyle name="표준 5 2 3 5 4 3" xfId="33266"/>
    <cellStyle name="표준 5 2 3 5 5" xfId="14250"/>
    <cellStyle name="표준 5 2 3 5 5 2" xfId="39602"/>
    <cellStyle name="표준 5 2 3 5 6" xfId="26930"/>
    <cellStyle name="표준 5 2 3 6" xfId="1577"/>
    <cellStyle name="표준 5 2 3 6 2" xfId="1578"/>
    <cellStyle name="표준 5 2 3 6 2 2" xfId="4707"/>
    <cellStyle name="표준 5 2 3 6 2 2 2" xfId="11043"/>
    <cellStyle name="표준 5 2 3 6 2 2 2 2" xfId="23717"/>
    <cellStyle name="표준 5 2 3 6 2 2 2 2 2" xfId="49069"/>
    <cellStyle name="표준 5 2 3 6 2 2 2 3" xfId="36397"/>
    <cellStyle name="표준 5 2 3 6 2 2 3" xfId="17381"/>
    <cellStyle name="표준 5 2 3 6 2 2 3 2" xfId="42733"/>
    <cellStyle name="표준 5 2 3 6 2 2 4" xfId="30061"/>
    <cellStyle name="표준 5 2 3 6 2 3" xfId="7915"/>
    <cellStyle name="표준 5 2 3 6 2 3 2" xfId="20589"/>
    <cellStyle name="표준 5 2 3 6 2 3 2 2" xfId="45941"/>
    <cellStyle name="표준 5 2 3 6 2 3 3" xfId="33269"/>
    <cellStyle name="표준 5 2 3 6 2 4" xfId="14253"/>
    <cellStyle name="표준 5 2 3 6 2 4 2" xfId="39605"/>
    <cellStyle name="표준 5 2 3 6 2 5" xfId="26933"/>
    <cellStyle name="표준 5 2 3 6 3" xfId="4708"/>
    <cellStyle name="표준 5 2 3 6 3 2" xfId="11044"/>
    <cellStyle name="표준 5 2 3 6 3 2 2" xfId="23718"/>
    <cellStyle name="표준 5 2 3 6 3 2 2 2" xfId="49070"/>
    <cellStyle name="표준 5 2 3 6 3 2 3" xfId="36398"/>
    <cellStyle name="표준 5 2 3 6 3 3" xfId="17382"/>
    <cellStyle name="표준 5 2 3 6 3 3 2" xfId="42734"/>
    <cellStyle name="표준 5 2 3 6 3 4" xfId="30062"/>
    <cellStyle name="표준 5 2 3 6 4" xfId="7914"/>
    <cellStyle name="표준 5 2 3 6 4 2" xfId="20588"/>
    <cellStyle name="표준 5 2 3 6 4 2 2" xfId="45940"/>
    <cellStyle name="표준 5 2 3 6 4 3" xfId="33268"/>
    <cellStyle name="표준 5 2 3 6 5" xfId="14252"/>
    <cellStyle name="표준 5 2 3 6 5 2" xfId="39604"/>
    <cellStyle name="표준 5 2 3 6 6" xfId="26932"/>
    <cellStyle name="표준 5 2 3 7" xfId="1579"/>
    <cellStyle name="표준 5 2 3 7 2" xfId="1580"/>
    <cellStyle name="표준 5 2 3 7 2 2" xfId="4709"/>
    <cellStyle name="표준 5 2 3 7 2 2 2" xfId="11045"/>
    <cellStyle name="표준 5 2 3 7 2 2 2 2" xfId="23719"/>
    <cellStyle name="표준 5 2 3 7 2 2 2 2 2" xfId="49071"/>
    <cellStyle name="표준 5 2 3 7 2 2 2 3" xfId="36399"/>
    <cellStyle name="표준 5 2 3 7 2 2 3" xfId="17383"/>
    <cellStyle name="표준 5 2 3 7 2 2 3 2" xfId="42735"/>
    <cellStyle name="표준 5 2 3 7 2 2 4" xfId="30063"/>
    <cellStyle name="표준 5 2 3 7 2 3" xfId="7917"/>
    <cellStyle name="표준 5 2 3 7 2 3 2" xfId="20591"/>
    <cellStyle name="표준 5 2 3 7 2 3 2 2" xfId="45943"/>
    <cellStyle name="표준 5 2 3 7 2 3 3" xfId="33271"/>
    <cellStyle name="표준 5 2 3 7 2 4" xfId="14255"/>
    <cellStyle name="표준 5 2 3 7 2 4 2" xfId="39607"/>
    <cellStyle name="표준 5 2 3 7 2 5" xfId="26935"/>
    <cellStyle name="표준 5 2 3 7 3" xfId="4710"/>
    <cellStyle name="표준 5 2 3 7 3 2" xfId="11046"/>
    <cellStyle name="표준 5 2 3 7 3 2 2" xfId="23720"/>
    <cellStyle name="표준 5 2 3 7 3 2 2 2" xfId="49072"/>
    <cellStyle name="표준 5 2 3 7 3 2 3" xfId="36400"/>
    <cellStyle name="표준 5 2 3 7 3 3" xfId="17384"/>
    <cellStyle name="표준 5 2 3 7 3 3 2" xfId="42736"/>
    <cellStyle name="표준 5 2 3 7 3 4" xfId="30064"/>
    <cellStyle name="표준 5 2 3 7 4" xfId="7916"/>
    <cellStyle name="표준 5 2 3 7 4 2" xfId="20590"/>
    <cellStyle name="표준 5 2 3 7 4 2 2" xfId="45942"/>
    <cellStyle name="표준 5 2 3 7 4 3" xfId="33270"/>
    <cellStyle name="표준 5 2 3 7 5" xfId="14254"/>
    <cellStyle name="표준 5 2 3 7 5 2" xfId="39606"/>
    <cellStyle name="표준 5 2 3 7 6" xfId="26934"/>
    <cellStyle name="표준 5 2 3 8" xfId="1581"/>
    <cellStyle name="표준 5 2 3 8 2" xfId="1582"/>
    <cellStyle name="표준 5 2 3 8 2 2" xfId="4711"/>
    <cellStyle name="표준 5 2 3 8 2 2 2" xfId="11047"/>
    <cellStyle name="표준 5 2 3 8 2 2 2 2" xfId="23721"/>
    <cellStyle name="표준 5 2 3 8 2 2 2 2 2" xfId="49073"/>
    <cellStyle name="표준 5 2 3 8 2 2 2 3" xfId="36401"/>
    <cellStyle name="표준 5 2 3 8 2 2 3" xfId="17385"/>
    <cellStyle name="표준 5 2 3 8 2 2 3 2" xfId="42737"/>
    <cellStyle name="표준 5 2 3 8 2 2 4" xfId="30065"/>
    <cellStyle name="표준 5 2 3 8 2 3" xfId="7919"/>
    <cellStyle name="표준 5 2 3 8 2 3 2" xfId="20593"/>
    <cellStyle name="표준 5 2 3 8 2 3 2 2" xfId="45945"/>
    <cellStyle name="표준 5 2 3 8 2 3 3" xfId="33273"/>
    <cellStyle name="표준 5 2 3 8 2 4" xfId="14257"/>
    <cellStyle name="표준 5 2 3 8 2 4 2" xfId="39609"/>
    <cellStyle name="표준 5 2 3 8 2 5" xfId="26937"/>
    <cellStyle name="표준 5 2 3 8 3" xfId="4712"/>
    <cellStyle name="표준 5 2 3 8 3 2" xfId="11048"/>
    <cellStyle name="표준 5 2 3 8 3 2 2" xfId="23722"/>
    <cellStyle name="표준 5 2 3 8 3 2 2 2" xfId="49074"/>
    <cellStyle name="표준 5 2 3 8 3 2 3" xfId="36402"/>
    <cellStyle name="표준 5 2 3 8 3 3" xfId="17386"/>
    <cellStyle name="표준 5 2 3 8 3 3 2" xfId="42738"/>
    <cellStyle name="표준 5 2 3 8 3 4" xfId="30066"/>
    <cellStyle name="표준 5 2 3 8 4" xfId="7918"/>
    <cellStyle name="표준 5 2 3 8 4 2" xfId="20592"/>
    <cellStyle name="표준 5 2 3 8 4 2 2" xfId="45944"/>
    <cellStyle name="표준 5 2 3 8 4 3" xfId="33272"/>
    <cellStyle name="표준 5 2 3 8 5" xfId="14256"/>
    <cellStyle name="표준 5 2 3 8 5 2" xfId="39608"/>
    <cellStyle name="표준 5 2 3 8 6" xfId="26936"/>
    <cellStyle name="표준 5 2 3 9" xfId="1583"/>
    <cellStyle name="표준 5 2 3 9 2" xfId="1584"/>
    <cellStyle name="표준 5 2 3 9 2 2" xfId="4713"/>
    <cellStyle name="표준 5 2 3 9 2 2 2" xfId="11049"/>
    <cellStyle name="표준 5 2 3 9 2 2 2 2" xfId="23723"/>
    <cellStyle name="표준 5 2 3 9 2 2 2 2 2" xfId="49075"/>
    <cellStyle name="표준 5 2 3 9 2 2 2 3" xfId="36403"/>
    <cellStyle name="표준 5 2 3 9 2 2 3" xfId="17387"/>
    <cellStyle name="표준 5 2 3 9 2 2 3 2" xfId="42739"/>
    <cellStyle name="표준 5 2 3 9 2 2 4" xfId="30067"/>
    <cellStyle name="표준 5 2 3 9 2 3" xfId="7921"/>
    <cellStyle name="표준 5 2 3 9 2 3 2" xfId="20595"/>
    <cellStyle name="표준 5 2 3 9 2 3 2 2" xfId="45947"/>
    <cellStyle name="표준 5 2 3 9 2 3 3" xfId="33275"/>
    <cellStyle name="표준 5 2 3 9 2 4" xfId="14259"/>
    <cellStyle name="표준 5 2 3 9 2 4 2" xfId="39611"/>
    <cellStyle name="표준 5 2 3 9 2 5" xfId="26939"/>
    <cellStyle name="표준 5 2 3 9 3" xfId="4714"/>
    <cellStyle name="표준 5 2 3 9 3 2" xfId="11050"/>
    <cellStyle name="표준 5 2 3 9 3 2 2" xfId="23724"/>
    <cellStyle name="표준 5 2 3 9 3 2 2 2" xfId="49076"/>
    <cellStyle name="표준 5 2 3 9 3 2 3" xfId="36404"/>
    <cellStyle name="표준 5 2 3 9 3 3" xfId="17388"/>
    <cellStyle name="표준 5 2 3 9 3 3 2" xfId="42740"/>
    <cellStyle name="표준 5 2 3 9 3 4" xfId="30068"/>
    <cellStyle name="표준 5 2 3 9 4" xfId="7920"/>
    <cellStyle name="표준 5 2 3 9 4 2" xfId="20594"/>
    <cellStyle name="표준 5 2 3 9 4 2 2" xfId="45946"/>
    <cellStyle name="표준 5 2 3 9 4 3" xfId="33274"/>
    <cellStyle name="표준 5 2 3 9 5" xfId="14258"/>
    <cellStyle name="표준 5 2 3 9 5 2" xfId="39610"/>
    <cellStyle name="표준 5 2 3 9 6" xfId="26938"/>
    <cellStyle name="표준 5 2 30" xfId="1585"/>
    <cellStyle name="표준 5 2 30 2" xfId="1586"/>
    <cellStyle name="표준 5 2 30 2 2" xfId="4715"/>
    <cellStyle name="표준 5 2 30 2 2 2" xfId="11051"/>
    <cellStyle name="표준 5 2 30 2 2 2 2" xfId="23725"/>
    <cellStyle name="표준 5 2 30 2 2 2 2 2" xfId="49077"/>
    <cellStyle name="표준 5 2 30 2 2 2 3" xfId="36405"/>
    <cellStyle name="표준 5 2 30 2 2 3" xfId="17389"/>
    <cellStyle name="표준 5 2 30 2 2 3 2" xfId="42741"/>
    <cellStyle name="표준 5 2 30 2 2 4" xfId="30069"/>
    <cellStyle name="표준 5 2 30 2 3" xfId="7923"/>
    <cellStyle name="표준 5 2 30 2 3 2" xfId="20597"/>
    <cellStyle name="표준 5 2 30 2 3 2 2" xfId="45949"/>
    <cellStyle name="표준 5 2 30 2 3 3" xfId="33277"/>
    <cellStyle name="표준 5 2 30 2 4" xfId="14261"/>
    <cellStyle name="표준 5 2 30 2 4 2" xfId="39613"/>
    <cellStyle name="표준 5 2 30 2 5" xfId="26941"/>
    <cellStyle name="표준 5 2 30 3" xfId="4716"/>
    <cellStyle name="표준 5 2 30 3 2" xfId="11052"/>
    <cellStyle name="표준 5 2 30 3 2 2" xfId="23726"/>
    <cellStyle name="표준 5 2 30 3 2 2 2" xfId="49078"/>
    <cellStyle name="표준 5 2 30 3 2 3" xfId="36406"/>
    <cellStyle name="표준 5 2 30 3 3" xfId="17390"/>
    <cellStyle name="표준 5 2 30 3 3 2" xfId="42742"/>
    <cellStyle name="표준 5 2 30 3 4" xfId="30070"/>
    <cellStyle name="표준 5 2 30 4" xfId="7922"/>
    <cellStyle name="표준 5 2 30 4 2" xfId="20596"/>
    <cellStyle name="표준 5 2 30 4 2 2" xfId="45948"/>
    <cellStyle name="표준 5 2 30 4 3" xfId="33276"/>
    <cellStyle name="표준 5 2 30 5" xfId="14260"/>
    <cellStyle name="표준 5 2 30 5 2" xfId="39612"/>
    <cellStyle name="표준 5 2 30 6" xfId="26940"/>
    <cellStyle name="표준 5 2 31" xfId="1587"/>
    <cellStyle name="표준 5 2 31 2" xfId="1588"/>
    <cellStyle name="표준 5 2 31 2 2" xfId="4717"/>
    <cellStyle name="표준 5 2 31 2 2 2" xfId="11053"/>
    <cellStyle name="표준 5 2 31 2 2 2 2" xfId="23727"/>
    <cellStyle name="표준 5 2 31 2 2 2 2 2" xfId="49079"/>
    <cellStyle name="표준 5 2 31 2 2 2 3" xfId="36407"/>
    <cellStyle name="표준 5 2 31 2 2 3" xfId="17391"/>
    <cellStyle name="표준 5 2 31 2 2 3 2" xfId="42743"/>
    <cellStyle name="표준 5 2 31 2 2 4" xfId="30071"/>
    <cellStyle name="표준 5 2 31 2 3" xfId="7925"/>
    <cellStyle name="표준 5 2 31 2 3 2" xfId="20599"/>
    <cellStyle name="표준 5 2 31 2 3 2 2" xfId="45951"/>
    <cellStyle name="표준 5 2 31 2 3 3" xfId="33279"/>
    <cellStyle name="표준 5 2 31 2 4" xfId="14263"/>
    <cellStyle name="표준 5 2 31 2 4 2" xfId="39615"/>
    <cellStyle name="표준 5 2 31 2 5" xfId="26943"/>
    <cellStyle name="표준 5 2 31 3" xfId="4718"/>
    <cellStyle name="표준 5 2 31 3 2" xfId="11054"/>
    <cellStyle name="표준 5 2 31 3 2 2" xfId="23728"/>
    <cellStyle name="표준 5 2 31 3 2 2 2" xfId="49080"/>
    <cellStyle name="표준 5 2 31 3 2 3" xfId="36408"/>
    <cellStyle name="표준 5 2 31 3 3" xfId="17392"/>
    <cellStyle name="표준 5 2 31 3 3 2" xfId="42744"/>
    <cellStyle name="표준 5 2 31 3 4" xfId="30072"/>
    <cellStyle name="표준 5 2 31 4" xfId="7924"/>
    <cellStyle name="표준 5 2 31 4 2" xfId="20598"/>
    <cellStyle name="표준 5 2 31 4 2 2" xfId="45950"/>
    <cellStyle name="표준 5 2 31 4 3" xfId="33278"/>
    <cellStyle name="표준 5 2 31 5" xfId="14262"/>
    <cellStyle name="표준 5 2 31 5 2" xfId="39614"/>
    <cellStyle name="표준 5 2 31 6" xfId="26942"/>
    <cellStyle name="표준 5 2 32" xfId="1589"/>
    <cellStyle name="표준 5 2 32 2" xfId="1590"/>
    <cellStyle name="표준 5 2 32 2 2" xfId="4719"/>
    <cellStyle name="표준 5 2 32 2 2 2" xfId="11055"/>
    <cellStyle name="표준 5 2 32 2 2 2 2" xfId="23729"/>
    <cellStyle name="표준 5 2 32 2 2 2 2 2" xfId="49081"/>
    <cellStyle name="표준 5 2 32 2 2 2 3" xfId="36409"/>
    <cellStyle name="표준 5 2 32 2 2 3" xfId="17393"/>
    <cellStyle name="표준 5 2 32 2 2 3 2" xfId="42745"/>
    <cellStyle name="표준 5 2 32 2 2 4" xfId="30073"/>
    <cellStyle name="표준 5 2 32 2 3" xfId="7927"/>
    <cellStyle name="표준 5 2 32 2 3 2" xfId="20601"/>
    <cellStyle name="표준 5 2 32 2 3 2 2" xfId="45953"/>
    <cellStyle name="표준 5 2 32 2 3 3" xfId="33281"/>
    <cellStyle name="표준 5 2 32 2 4" xfId="14265"/>
    <cellStyle name="표준 5 2 32 2 4 2" xfId="39617"/>
    <cellStyle name="표준 5 2 32 2 5" xfId="26945"/>
    <cellStyle name="표준 5 2 32 3" xfId="4720"/>
    <cellStyle name="표준 5 2 32 3 2" xfId="11056"/>
    <cellStyle name="표준 5 2 32 3 2 2" xfId="23730"/>
    <cellStyle name="표준 5 2 32 3 2 2 2" xfId="49082"/>
    <cellStyle name="표준 5 2 32 3 2 3" xfId="36410"/>
    <cellStyle name="표준 5 2 32 3 3" xfId="17394"/>
    <cellStyle name="표준 5 2 32 3 3 2" xfId="42746"/>
    <cellStyle name="표준 5 2 32 3 4" xfId="30074"/>
    <cellStyle name="표준 5 2 32 4" xfId="7926"/>
    <cellStyle name="표준 5 2 32 4 2" xfId="20600"/>
    <cellStyle name="표준 5 2 32 4 2 2" xfId="45952"/>
    <cellStyle name="표준 5 2 32 4 3" xfId="33280"/>
    <cellStyle name="표준 5 2 32 5" xfId="14264"/>
    <cellStyle name="표준 5 2 32 5 2" xfId="39616"/>
    <cellStyle name="표준 5 2 32 6" xfId="26944"/>
    <cellStyle name="표준 5 2 33" xfId="1591"/>
    <cellStyle name="표준 5 2 33 2" xfId="1592"/>
    <cellStyle name="표준 5 2 33 2 2" xfId="4721"/>
    <cellStyle name="표준 5 2 33 2 2 2" xfId="11057"/>
    <cellStyle name="표준 5 2 33 2 2 2 2" xfId="23731"/>
    <cellStyle name="표준 5 2 33 2 2 2 2 2" xfId="49083"/>
    <cellStyle name="표준 5 2 33 2 2 2 3" xfId="36411"/>
    <cellStyle name="표준 5 2 33 2 2 3" xfId="17395"/>
    <cellStyle name="표준 5 2 33 2 2 3 2" xfId="42747"/>
    <cellStyle name="표준 5 2 33 2 2 4" xfId="30075"/>
    <cellStyle name="표준 5 2 33 2 3" xfId="7929"/>
    <cellStyle name="표준 5 2 33 2 3 2" xfId="20603"/>
    <cellStyle name="표준 5 2 33 2 3 2 2" xfId="45955"/>
    <cellStyle name="표준 5 2 33 2 3 3" xfId="33283"/>
    <cellStyle name="표준 5 2 33 2 4" xfId="14267"/>
    <cellStyle name="표준 5 2 33 2 4 2" xfId="39619"/>
    <cellStyle name="표준 5 2 33 2 5" xfId="26947"/>
    <cellStyle name="표준 5 2 33 3" xfId="4722"/>
    <cellStyle name="표준 5 2 33 3 2" xfId="11058"/>
    <cellStyle name="표준 5 2 33 3 2 2" xfId="23732"/>
    <cellStyle name="표준 5 2 33 3 2 2 2" xfId="49084"/>
    <cellStyle name="표준 5 2 33 3 2 3" xfId="36412"/>
    <cellStyle name="표준 5 2 33 3 3" xfId="17396"/>
    <cellStyle name="표준 5 2 33 3 3 2" xfId="42748"/>
    <cellStyle name="표준 5 2 33 3 4" xfId="30076"/>
    <cellStyle name="표준 5 2 33 4" xfId="7928"/>
    <cellStyle name="표준 5 2 33 4 2" xfId="20602"/>
    <cellStyle name="표준 5 2 33 4 2 2" xfId="45954"/>
    <cellStyle name="표준 5 2 33 4 3" xfId="33282"/>
    <cellStyle name="표준 5 2 33 5" xfId="14266"/>
    <cellStyle name="표준 5 2 33 5 2" xfId="39618"/>
    <cellStyle name="표준 5 2 33 6" xfId="26946"/>
    <cellStyle name="표준 5 2 34" xfId="1593"/>
    <cellStyle name="표준 5 2 34 2" xfId="1594"/>
    <cellStyle name="표준 5 2 34 2 2" xfId="4723"/>
    <cellStyle name="표준 5 2 34 2 2 2" xfId="11059"/>
    <cellStyle name="표준 5 2 34 2 2 2 2" xfId="23733"/>
    <cellStyle name="표준 5 2 34 2 2 2 2 2" xfId="49085"/>
    <cellStyle name="표준 5 2 34 2 2 2 3" xfId="36413"/>
    <cellStyle name="표준 5 2 34 2 2 3" xfId="17397"/>
    <cellStyle name="표준 5 2 34 2 2 3 2" xfId="42749"/>
    <cellStyle name="표준 5 2 34 2 2 4" xfId="30077"/>
    <cellStyle name="표준 5 2 34 2 3" xfId="7931"/>
    <cellStyle name="표준 5 2 34 2 3 2" xfId="20605"/>
    <cellStyle name="표준 5 2 34 2 3 2 2" xfId="45957"/>
    <cellStyle name="표준 5 2 34 2 3 3" xfId="33285"/>
    <cellStyle name="표준 5 2 34 2 4" xfId="14269"/>
    <cellStyle name="표준 5 2 34 2 4 2" xfId="39621"/>
    <cellStyle name="표준 5 2 34 2 5" xfId="26949"/>
    <cellStyle name="표준 5 2 34 3" xfId="4724"/>
    <cellStyle name="표준 5 2 34 3 2" xfId="11060"/>
    <cellStyle name="표준 5 2 34 3 2 2" xfId="23734"/>
    <cellStyle name="표준 5 2 34 3 2 2 2" xfId="49086"/>
    <cellStyle name="표준 5 2 34 3 2 3" xfId="36414"/>
    <cellStyle name="표준 5 2 34 3 3" xfId="17398"/>
    <cellStyle name="표준 5 2 34 3 3 2" xfId="42750"/>
    <cellStyle name="표준 5 2 34 3 4" xfId="30078"/>
    <cellStyle name="표준 5 2 34 4" xfId="7930"/>
    <cellStyle name="표준 5 2 34 4 2" xfId="20604"/>
    <cellStyle name="표준 5 2 34 4 2 2" xfId="45956"/>
    <cellStyle name="표준 5 2 34 4 3" xfId="33284"/>
    <cellStyle name="표준 5 2 34 5" xfId="14268"/>
    <cellStyle name="표준 5 2 34 5 2" xfId="39620"/>
    <cellStyle name="표준 5 2 34 6" xfId="26948"/>
    <cellStyle name="표준 5 2 35" xfId="1595"/>
    <cellStyle name="표준 5 2 35 2" xfId="1596"/>
    <cellStyle name="표준 5 2 35 2 2" xfId="4725"/>
    <cellStyle name="표준 5 2 35 2 2 2" xfId="11061"/>
    <cellStyle name="표준 5 2 35 2 2 2 2" xfId="23735"/>
    <cellStyle name="표준 5 2 35 2 2 2 2 2" xfId="49087"/>
    <cellStyle name="표준 5 2 35 2 2 2 3" xfId="36415"/>
    <cellStyle name="표준 5 2 35 2 2 3" xfId="17399"/>
    <cellStyle name="표준 5 2 35 2 2 3 2" xfId="42751"/>
    <cellStyle name="표준 5 2 35 2 2 4" xfId="30079"/>
    <cellStyle name="표준 5 2 35 2 3" xfId="7933"/>
    <cellStyle name="표준 5 2 35 2 3 2" xfId="20607"/>
    <cellStyle name="표준 5 2 35 2 3 2 2" xfId="45959"/>
    <cellStyle name="표준 5 2 35 2 3 3" xfId="33287"/>
    <cellStyle name="표준 5 2 35 2 4" xfId="14271"/>
    <cellStyle name="표준 5 2 35 2 4 2" xfId="39623"/>
    <cellStyle name="표준 5 2 35 2 5" xfId="26951"/>
    <cellStyle name="표준 5 2 35 3" xfId="4726"/>
    <cellStyle name="표준 5 2 35 3 2" xfId="11062"/>
    <cellStyle name="표준 5 2 35 3 2 2" xfId="23736"/>
    <cellStyle name="표준 5 2 35 3 2 2 2" xfId="49088"/>
    <cellStyle name="표준 5 2 35 3 2 3" xfId="36416"/>
    <cellStyle name="표준 5 2 35 3 3" xfId="17400"/>
    <cellStyle name="표준 5 2 35 3 3 2" xfId="42752"/>
    <cellStyle name="표준 5 2 35 3 4" xfId="30080"/>
    <cellStyle name="표준 5 2 35 4" xfId="7932"/>
    <cellStyle name="표준 5 2 35 4 2" xfId="20606"/>
    <cellStyle name="표준 5 2 35 4 2 2" xfId="45958"/>
    <cellStyle name="표준 5 2 35 4 3" xfId="33286"/>
    <cellStyle name="표준 5 2 35 5" xfId="14270"/>
    <cellStyle name="표준 5 2 35 5 2" xfId="39622"/>
    <cellStyle name="표준 5 2 35 6" xfId="26950"/>
    <cellStyle name="표준 5 2 36" xfId="1597"/>
    <cellStyle name="표준 5 2 36 2" xfId="1598"/>
    <cellStyle name="표준 5 2 36 2 2" xfId="4727"/>
    <cellStyle name="표준 5 2 36 2 2 2" xfId="11063"/>
    <cellStyle name="표준 5 2 36 2 2 2 2" xfId="23737"/>
    <cellStyle name="표준 5 2 36 2 2 2 2 2" xfId="49089"/>
    <cellStyle name="표준 5 2 36 2 2 2 3" xfId="36417"/>
    <cellStyle name="표준 5 2 36 2 2 3" xfId="17401"/>
    <cellStyle name="표준 5 2 36 2 2 3 2" xfId="42753"/>
    <cellStyle name="표준 5 2 36 2 2 4" xfId="30081"/>
    <cellStyle name="표준 5 2 36 2 3" xfId="7935"/>
    <cellStyle name="표준 5 2 36 2 3 2" xfId="20609"/>
    <cellStyle name="표준 5 2 36 2 3 2 2" xfId="45961"/>
    <cellStyle name="표준 5 2 36 2 3 3" xfId="33289"/>
    <cellStyle name="표준 5 2 36 2 4" xfId="14273"/>
    <cellStyle name="표준 5 2 36 2 4 2" xfId="39625"/>
    <cellStyle name="표준 5 2 36 2 5" xfId="26953"/>
    <cellStyle name="표준 5 2 36 3" xfId="4728"/>
    <cellStyle name="표준 5 2 36 3 2" xfId="11064"/>
    <cellStyle name="표준 5 2 36 3 2 2" xfId="23738"/>
    <cellStyle name="표준 5 2 36 3 2 2 2" xfId="49090"/>
    <cellStyle name="표준 5 2 36 3 2 3" xfId="36418"/>
    <cellStyle name="표준 5 2 36 3 3" xfId="17402"/>
    <cellStyle name="표준 5 2 36 3 3 2" xfId="42754"/>
    <cellStyle name="표준 5 2 36 3 4" xfId="30082"/>
    <cellStyle name="표준 5 2 36 4" xfId="7934"/>
    <cellStyle name="표준 5 2 36 4 2" xfId="20608"/>
    <cellStyle name="표준 5 2 36 4 2 2" xfId="45960"/>
    <cellStyle name="표준 5 2 36 4 3" xfId="33288"/>
    <cellStyle name="표준 5 2 36 5" xfId="14272"/>
    <cellStyle name="표준 5 2 36 5 2" xfId="39624"/>
    <cellStyle name="표준 5 2 36 6" xfId="26952"/>
    <cellStyle name="표준 5 2 37" xfId="1599"/>
    <cellStyle name="표준 5 2 37 2" xfId="4729"/>
    <cellStyle name="표준 5 2 37 2 2" xfId="11065"/>
    <cellStyle name="표준 5 2 37 2 2 2" xfId="23739"/>
    <cellStyle name="표준 5 2 37 2 2 2 2" xfId="49091"/>
    <cellStyle name="표준 5 2 37 2 2 3" xfId="36419"/>
    <cellStyle name="표준 5 2 37 2 3" xfId="17403"/>
    <cellStyle name="표준 5 2 37 2 3 2" xfId="42755"/>
    <cellStyle name="표준 5 2 37 2 4" xfId="30083"/>
    <cellStyle name="표준 5 2 37 3" xfId="7936"/>
    <cellStyle name="표준 5 2 37 3 2" xfId="20610"/>
    <cellStyle name="표준 5 2 37 3 2 2" xfId="45962"/>
    <cellStyle name="표준 5 2 37 3 3" xfId="33290"/>
    <cellStyle name="표준 5 2 37 4" xfId="14274"/>
    <cellStyle name="표준 5 2 37 4 2" xfId="39626"/>
    <cellStyle name="표준 5 2 37 5" xfId="26954"/>
    <cellStyle name="표준 5 2 38" xfId="4730"/>
    <cellStyle name="표준 5 2 38 2" xfId="11066"/>
    <cellStyle name="표준 5 2 38 2 2" xfId="23740"/>
    <cellStyle name="표준 5 2 38 2 2 2" xfId="49092"/>
    <cellStyle name="표준 5 2 38 2 3" xfId="36420"/>
    <cellStyle name="표준 5 2 38 3" xfId="17404"/>
    <cellStyle name="표준 5 2 38 3 2" xfId="42756"/>
    <cellStyle name="표준 5 2 38 4" xfId="30084"/>
    <cellStyle name="표준 5 2 39" xfId="6375"/>
    <cellStyle name="표준 5 2 39 2" xfId="19049"/>
    <cellStyle name="표준 5 2 39 2 2" xfId="44401"/>
    <cellStyle name="표준 5 2 39 3" xfId="31729"/>
    <cellStyle name="표준 5 2 4" xfId="79"/>
    <cellStyle name="표준 5 2 4 10" xfId="1600"/>
    <cellStyle name="표준 5 2 4 10 2" xfId="1601"/>
    <cellStyle name="표준 5 2 4 10 2 2" xfId="4731"/>
    <cellStyle name="표준 5 2 4 10 2 2 2" xfId="11067"/>
    <cellStyle name="표준 5 2 4 10 2 2 2 2" xfId="23741"/>
    <cellStyle name="표준 5 2 4 10 2 2 2 2 2" xfId="49093"/>
    <cellStyle name="표준 5 2 4 10 2 2 2 3" xfId="36421"/>
    <cellStyle name="표준 5 2 4 10 2 2 3" xfId="17405"/>
    <cellStyle name="표준 5 2 4 10 2 2 3 2" xfId="42757"/>
    <cellStyle name="표준 5 2 4 10 2 2 4" xfId="30085"/>
    <cellStyle name="표준 5 2 4 10 2 3" xfId="7938"/>
    <cellStyle name="표준 5 2 4 10 2 3 2" xfId="20612"/>
    <cellStyle name="표준 5 2 4 10 2 3 2 2" xfId="45964"/>
    <cellStyle name="표준 5 2 4 10 2 3 3" xfId="33292"/>
    <cellStyle name="표준 5 2 4 10 2 4" xfId="14276"/>
    <cellStyle name="표준 5 2 4 10 2 4 2" xfId="39628"/>
    <cellStyle name="표준 5 2 4 10 2 5" xfId="26956"/>
    <cellStyle name="표준 5 2 4 10 3" xfId="4732"/>
    <cellStyle name="표준 5 2 4 10 3 2" xfId="11068"/>
    <cellStyle name="표준 5 2 4 10 3 2 2" xfId="23742"/>
    <cellStyle name="표준 5 2 4 10 3 2 2 2" xfId="49094"/>
    <cellStyle name="표준 5 2 4 10 3 2 3" xfId="36422"/>
    <cellStyle name="표준 5 2 4 10 3 3" xfId="17406"/>
    <cellStyle name="표준 5 2 4 10 3 3 2" xfId="42758"/>
    <cellStyle name="표준 5 2 4 10 3 4" xfId="30086"/>
    <cellStyle name="표준 5 2 4 10 4" xfId="7937"/>
    <cellStyle name="표준 5 2 4 10 4 2" xfId="20611"/>
    <cellStyle name="표준 5 2 4 10 4 2 2" xfId="45963"/>
    <cellStyle name="표준 5 2 4 10 4 3" xfId="33291"/>
    <cellStyle name="표준 5 2 4 10 5" xfId="14275"/>
    <cellStyle name="표준 5 2 4 10 5 2" xfId="39627"/>
    <cellStyle name="표준 5 2 4 10 6" xfId="26955"/>
    <cellStyle name="표준 5 2 4 11" xfId="1602"/>
    <cellStyle name="표준 5 2 4 11 2" xfId="1603"/>
    <cellStyle name="표준 5 2 4 11 2 2" xfId="4733"/>
    <cellStyle name="표준 5 2 4 11 2 2 2" xfId="11069"/>
    <cellStyle name="표준 5 2 4 11 2 2 2 2" xfId="23743"/>
    <cellStyle name="표준 5 2 4 11 2 2 2 2 2" xfId="49095"/>
    <cellStyle name="표준 5 2 4 11 2 2 2 3" xfId="36423"/>
    <cellStyle name="표준 5 2 4 11 2 2 3" xfId="17407"/>
    <cellStyle name="표준 5 2 4 11 2 2 3 2" xfId="42759"/>
    <cellStyle name="표준 5 2 4 11 2 2 4" xfId="30087"/>
    <cellStyle name="표준 5 2 4 11 2 3" xfId="7940"/>
    <cellStyle name="표준 5 2 4 11 2 3 2" xfId="20614"/>
    <cellStyle name="표준 5 2 4 11 2 3 2 2" xfId="45966"/>
    <cellStyle name="표준 5 2 4 11 2 3 3" xfId="33294"/>
    <cellStyle name="표준 5 2 4 11 2 4" xfId="14278"/>
    <cellStyle name="표준 5 2 4 11 2 4 2" xfId="39630"/>
    <cellStyle name="표준 5 2 4 11 2 5" xfId="26958"/>
    <cellStyle name="표준 5 2 4 11 3" xfId="4734"/>
    <cellStyle name="표준 5 2 4 11 3 2" xfId="11070"/>
    <cellStyle name="표준 5 2 4 11 3 2 2" xfId="23744"/>
    <cellStyle name="표준 5 2 4 11 3 2 2 2" xfId="49096"/>
    <cellStyle name="표준 5 2 4 11 3 2 3" xfId="36424"/>
    <cellStyle name="표준 5 2 4 11 3 3" xfId="17408"/>
    <cellStyle name="표준 5 2 4 11 3 3 2" xfId="42760"/>
    <cellStyle name="표준 5 2 4 11 3 4" xfId="30088"/>
    <cellStyle name="표준 5 2 4 11 4" xfId="7939"/>
    <cellStyle name="표준 5 2 4 11 4 2" xfId="20613"/>
    <cellStyle name="표준 5 2 4 11 4 2 2" xfId="45965"/>
    <cellStyle name="표준 5 2 4 11 4 3" xfId="33293"/>
    <cellStyle name="표준 5 2 4 11 5" xfId="14277"/>
    <cellStyle name="표준 5 2 4 11 5 2" xfId="39629"/>
    <cellStyle name="표준 5 2 4 11 6" xfId="26957"/>
    <cellStyle name="표준 5 2 4 12" xfId="1604"/>
    <cellStyle name="표준 5 2 4 12 2" xfId="1605"/>
    <cellStyle name="표준 5 2 4 12 2 2" xfId="4735"/>
    <cellStyle name="표준 5 2 4 12 2 2 2" xfId="11071"/>
    <cellStyle name="표준 5 2 4 12 2 2 2 2" xfId="23745"/>
    <cellStyle name="표준 5 2 4 12 2 2 2 2 2" xfId="49097"/>
    <cellStyle name="표준 5 2 4 12 2 2 2 3" xfId="36425"/>
    <cellStyle name="표준 5 2 4 12 2 2 3" xfId="17409"/>
    <cellStyle name="표준 5 2 4 12 2 2 3 2" xfId="42761"/>
    <cellStyle name="표준 5 2 4 12 2 2 4" xfId="30089"/>
    <cellStyle name="표준 5 2 4 12 2 3" xfId="7942"/>
    <cellStyle name="표준 5 2 4 12 2 3 2" xfId="20616"/>
    <cellStyle name="표준 5 2 4 12 2 3 2 2" xfId="45968"/>
    <cellStyle name="표준 5 2 4 12 2 3 3" xfId="33296"/>
    <cellStyle name="표준 5 2 4 12 2 4" xfId="14280"/>
    <cellStyle name="표준 5 2 4 12 2 4 2" xfId="39632"/>
    <cellStyle name="표준 5 2 4 12 2 5" xfId="26960"/>
    <cellStyle name="표준 5 2 4 12 3" xfId="4736"/>
    <cellStyle name="표준 5 2 4 12 3 2" xfId="11072"/>
    <cellStyle name="표준 5 2 4 12 3 2 2" xfId="23746"/>
    <cellStyle name="표준 5 2 4 12 3 2 2 2" xfId="49098"/>
    <cellStyle name="표준 5 2 4 12 3 2 3" xfId="36426"/>
    <cellStyle name="표준 5 2 4 12 3 3" xfId="17410"/>
    <cellStyle name="표준 5 2 4 12 3 3 2" xfId="42762"/>
    <cellStyle name="표준 5 2 4 12 3 4" xfId="30090"/>
    <cellStyle name="표준 5 2 4 12 4" xfId="7941"/>
    <cellStyle name="표준 5 2 4 12 4 2" xfId="20615"/>
    <cellStyle name="표준 5 2 4 12 4 2 2" xfId="45967"/>
    <cellStyle name="표준 5 2 4 12 4 3" xfId="33295"/>
    <cellStyle name="표준 5 2 4 12 5" xfId="14279"/>
    <cellStyle name="표준 5 2 4 12 5 2" xfId="39631"/>
    <cellStyle name="표준 5 2 4 12 6" xfId="26959"/>
    <cellStyle name="표준 5 2 4 13" xfId="1606"/>
    <cellStyle name="표준 5 2 4 13 2" xfId="1607"/>
    <cellStyle name="표준 5 2 4 13 2 2" xfId="4737"/>
    <cellStyle name="표준 5 2 4 13 2 2 2" xfId="11073"/>
    <cellStyle name="표준 5 2 4 13 2 2 2 2" xfId="23747"/>
    <cellStyle name="표준 5 2 4 13 2 2 2 2 2" xfId="49099"/>
    <cellStyle name="표준 5 2 4 13 2 2 2 3" xfId="36427"/>
    <cellStyle name="표준 5 2 4 13 2 2 3" xfId="17411"/>
    <cellStyle name="표준 5 2 4 13 2 2 3 2" xfId="42763"/>
    <cellStyle name="표준 5 2 4 13 2 2 4" xfId="30091"/>
    <cellStyle name="표준 5 2 4 13 2 3" xfId="7944"/>
    <cellStyle name="표준 5 2 4 13 2 3 2" xfId="20618"/>
    <cellStyle name="표준 5 2 4 13 2 3 2 2" xfId="45970"/>
    <cellStyle name="표준 5 2 4 13 2 3 3" xfId="33298"/>
    <cellStyle name="표준 5 2 4 13 2 4" xfId="14282"/>
    <cellStyle name="표준 5 2 4 13 2 4 2" xfId="39634"/>
    <cellStyle name="표준 5 2 4 13 2 5" xfId="26962"/>
    <cellStyle name="표준 5 2 4 13 3" xfId="4738"/>
    <cellStyle name="표준 5 2 4 13 3 2" xfId="11074"/>
    <cellStyle name="표준 5 2 4 13 3 2 2" xfId="23748"/>
    <cellStyle name="표준 5 2 4 13 3 2 2 2" xfId="49100"/>
    <cellStyle name="표준 5 2 4 13 3 2 3" xfId="36428"/>
    <cellStyle name="표준 5 2 4 13 3 3" xfId="17412"/>
    <cellStyle name="표준 5 2 4 13 3 3 2" xfId="42764"/>
    <cellStyle name="표준 5 2 4 13 3 4" xfId="30092"/>
    <cellStyle name="표준 5 2 4 13 4" xfId="7943"/>
    <cellStyle name="표준 5 2 4 13 4 2" xfId="20617"/>
    <cellStyle name="표준 5 2 4 13 4 2 2" xfId="45969"/>
    <cellStyle name="표준 5 2 4 13 4 3" xfId="33297"/>
    <cellStyle name="표준 5 2 4 13 5" xfId="14281"/>
    <cellStyle name="표준 5 2 4 13 5 2" xfId="39633"/>
    <cellStyle name="표준 5 2 4 13 6" xfId="26961"/>
    <cellStyle name="표준 5 2 4 14" xfId="1608"/>
    <cellStyle name="표준 5 2 4 14 2" xfId="1609"/>
    <cellStyle name="표준 5 2 4 14 2 2" xfId="4739"/>
    <cellStyle name="표준 5 2 4 14 2 2 2" xfId="11075"/>
    <cellStyle name="표준 5 2 4 14 2 2 2 2" xfId="23749"/>
    <cellStyle name="표준 5 2 4 14 2 2 2 2 2" xfId="49101"/>
    <cellStyle name="표준 5 2 4 14 2 2 2 3" xfId="36429"/>
    <cellStyle name="표준 5 2 4 14 2 2 3" xfId="17413"/>
    <cellStyle name="표준 5 2 4 14 2 2 3 2" xfId="42765"/>
    <cellStyle name="표준 5 2 4 14 2 2 4" xfId="30093"/>
    <cellStyle name="표준 5 2 4 14 2 3" xfId="7946"/>
    <cellStyle name="표준 5 2 4 14 2 3 2" xfId="20620"/>
    <cellStyle name="표준 5 2 4 14 2 3 2 2" xfId="45972"/>
    <cellStyle name="표준 5 2 4 14 2 3 3" xfId="33300"/>
    <cellStyle name="표준 5 2 4 14 2 4" xfId="14284"/>
    <cellStyle name="표준 5 2 4 14 2 4 2" xfId="39636"/>
    <cellStyle name="표준 5 2 4 14 2 5" xfId="26964"/>
    <cellStyle name="표준 5 2 4 14 3" xfId="4740"/>
    <cellStyle name="표준 5 2 4 14 3 2" xfId="11076"/>
    <cellStyle name="표준 5 2 4 14 3 2 2" xfId="23750"/>
    <cellStyle name="표준 5 2 4 14 3 2 2 2" xfId="49102"/>
    <cellStyle name="표준 5 2 4 14 3 2 3" xfId="36430"/>
    <cellStyle name="표준 5 2 4 14 3 3" xfId="17414"/>
    <cellStyle name="표준 5 2 4 14 3 3 2" xfId="42766"/>
    <cellStyle name="표준 5 2 4 14 3 4" xfId="30094"/>
    <cellStyle name="표준 5 2 4 14 4" xfId="7945"/>
    <cellStyle name="표준 5 2 4 14 4 2" xfId="20619"/>
    <cellStyle name="표준 5 2 4 14 4 2 2" xfId="45971"/>
    <cellStyle name="표준 5 2 4 14 4 3" xfId="33299"/>
    <cellStyle name="표준 5 2 4 14 5" xfId="14283"/>
    <cellStyle name="표준 5 2 4 14 5 2" xfId="39635"/>
    <cellStyle name="표준 5 2 4 14 6" xfId="26963"/>
    <cellStyle name="표준 5 2 4 15" xfId="1610"/>
    <cellStyle name="표준 5 2 4 15 2" xfId="1611"/>
    <cellStyle name="표준 5 2 4 15 2 2" xfId="4741"/>
    <cellStyle name="표준 5 2 4 15 2 2 2" xfId="11077"/>
    <cellStyle name="표준 5 2 4 15 2 2 2 2" xfId="23751"/>
    <cellStyle name="표준 5 2 4 15 2 2 2 2 2" xfId="49103"/>
    <cellStyle name="표준 5 2 4 15 2 2 2 3" xfId="36431"/>
    <cellStyle name="표준 5 2 4 15 2 2 3" xfId="17415"/>
    <cellStyle name="표준 5 2 4 15 2 2 3 2" xfId="42767"/>
    <cellStyle name="표준 5 2 4 15 2 2 4" xfId="30095"/>
    <cellStyle name="표준 5 2 4 15 2 3" xfId="7948"/>
    <cellStyle name="표준 5 2 4 15 2 3 2" xfId="20622"/>
    <cellStyle name="표준 5 2 4 15 2 3 2 2" xfId="45974"/>
    <cellStyle name="표준 5 2 4 15 2 3 3" xfId="33302"/>
    <cellStyle name="표준 5 2 4 15 2 4" xfId="14286"/>
    <cellStyle name="표준 5 2 4 15 2 4 2" xfId="39638"/>
    <cellStyle name="표준 5 2 4 15 2 5" xfId="26966"/>
    <cellStyle name="표준 5 2 4 15 3" xfId="4742"/>
    <cellStyle name="표준 5 2 4 15 3 2" xfId="11078"/>
    <cellStyle name="표준 5 2 4 15 3 2 2" xfId="23752"/>
    <cellStyle name="표준 5 2 4 15 3 2 2 2" xfId="49104"/>
    <cellStyle name="표준 5 2 4 15 3 2 3" xfId="36432"/>
    <cellStyle name="표준 5 2 4 15 3 3" xfId="17416"/>
    <cellStyle name="표준 5 2 4 15 3 3 2" xfId="42768"/>
    <cellStyle name="표준 5 2 4 15 3 4" xfId="30096"/>
    <cellStyle name="표준 5 2 4 15 4" xfId="7947"/>
    <cellStyle name="표준 5 2 4 15 4 2" xfId="20621"/>
    <cellStyle name="표준 5 2 4 15 4 2 2" xfId="45973"/>
    <cellStyle name="표준 5 2 4 15 4 3" xfId="33301"/>
    <cellStyle name="표준 5 2 4 15 5" xfId="14285"/>
    <cellStyle name="표준 5 2 4 15 5 2" xfId="39637"/>
    <cellStyle name="표준 5 2 4 15 6" xfId="26965"/>
    <cellStyle name="표준 5 2 4 16" xfId="1612"/>
    <cellStyle name="표준 5 2 4 16 2" xfId="1613"/>
    <cellStyle name="표준 5 2 4 16 2 2" xfId="4743"/>
    <cellStyle name="표준 5 2 4 16 2 2 2" xfId="11079"/>
    <cellStyle name="표준 5 2 4 16 2 2 2 2" xfId="23753"/>
    <cellStyle name="표준 5 2 4 16 2 2 2 2 2" xfId="49105"/>
    <cellStyle name="표준 5 2 4 16 2 2 2 3" xfId="36433"/>
    <cellStyle name="표준 5 2 4 16 2 2 3" xfId="17417"/>
    <cellStyle name="표준 5 2 4 16 2 2 3 2" xfId="42769"/>
    <cellStyle name="표준 5 2 4 16 2 2 4" xfId="30097"/>
    <cellStyle name="표준 5 2 4 16 2 3" xfId="7950"/>
    <cellStyle name="표준 5 2 4 16 2 3 2" xfId="20624"/>
    <cellStyle name="표준 5 2 4 16 2 3 2 2" xfId="45976"/>
    <cellStyle name="표준 5 2 4 16 2 3 3" xfId="33304"/>
    <cellStyle name="표준 5 2 4 16 2 4" xfId="14288"/>
    <cellStyle name="표준 5 2 4 16 2 4 2" xfId="39640"/>
    <cellStyle name="표준 5 2 4 16 2 5" xfId="26968"/>
    <cellStyle name="표준 5 2 4 16 3" xfId="4744"/>
    <cellStyle name="표준 5 2 4 16 3 2" xfId="11080"/>
    <cellStyle name="표준 5 2 4 16 3 2 2" xfId="23754"/>
    <cellStyle name="표준 5 2 4 16 3 2 2 2" xfId="49106"/>
    <cellStyle name="표준 5 2 4 16 3 2 3" xfId="36434"/>
    <cellStyle name="표준 5 2 4 16 3 3" xfId="17418"/>
    <cellStyle name="표준 5 2 4 16 3 3 2" xfId="42770"/>
    <cellStyle name="표준 5 2 4 16 3 4" xfId="30098"/>
    <cellStyle name="표준 5 2 4 16 4" xfId="7949"/>
    <cellStyle name="표준 5 2 4 16 4 2" xfId="20623"/>
    <cellStyle name="표준 5 2 4 16 4 2 2" xfId="45975"/>
    <cellStyle name="표준 5 2 4 16 4 3" xfId="33303"/>
    <cellStyle name="표준 5 2 4 16 5" xfId="14287"/>
    <cellStyle name="표준 5 2 4 16 5 2" xfId="39639"/>
    <cellStyle name="표준 5 2 4 16 6" xfId="26967"/>
    <cellStyle name="표준 5 2 4 17" xfId="1614"/>
    <cellStyle name="표준 5 2 4 17 2" xfId="1615"/>
    <cellStyle name="표준 5 2 4 17 2 2" xfId="4745"/>
    <cellStyle name="표준 5 2 4 17 2 2 2" xfId="11081"/>
    <cellStyle name="표준 5 2 4 17 2 2 2 2" xfId="23755"/>
    <cellStyle name="표준 5 2 4 17 2 2 2 2 2" xfId="49107"/>
    <cellStyle name="표준 5 2 4 17 2 2 2 3" xfId="36435"/>
    <cellStyle name="표준 5 2 4 17 2 2 3" xfId="17419"/>
    <cellStyle name="표준 5 2 4 17 2 2 3 2" xfId="42771"/>
    <cellStyle name="표준 5 2 4 17 2 2 4" xfId="30099"/>
    <cellStyle name="표준 5 2 4 17 2 3" xfId="7952"/>
    <cellStyle name="표준 5 2 4 17 2 3 2" xfId="20626"/>
    <cellStyle name="표준 5 2 4 17 2 3 2 2" xfId="45978"/>
    <cellStyle name="표준 5 2 4 17 2 3 3" xfId="33306"/>
    <cellStyle name="표준 5 2 4 17 2 4" xfId="14290"/>
    <cellStyle name="표준 5 2 4 17 2 4 2" xfId="39642"/>
    <cellStyle name="표준 5 2 4 17 2 5" xfId="26970"/>
    <cellStyle name="표준 5 2 4 17 3" xfId="4746"/>
    <cellStyle name="표준 5 2 4 17 3 2" xfId="11082"/>
    <cellStyle name="표준 5 2 4 17 3 2 2" xfId="23756"/>
    <cellStyle name="표준 5 2 4 17 3 2 2 2" xfId="49108"/>
    <cellStyle name="표준 5 2 4 17 3 2 3" xfId="36436"/>
    <cellStyle name="표준 5 2 4 17 3 3" xfId="17420"/>
    <cellStyle name="표준 5 2 4 17 3 3 2" xfId="42772"/>
    <cellStyle name="표준 5 2 4 17 3 4" xfId="30100"/>
    <cellStyle name="표준 5 2 4 17 4" xfId="7951"/>
    <cellStyle name="표준 5 2 4 17 4 2" xfId="20625"/>
    <cellStyle name="표준 5 2 4 17 4 2 2" xfId="45977"/>
    <cellStyle name="표준 5 2 4 17 4 3" xfId="33305"/>
    <cellStyle name="표준 5 2 4 17 5" xfId="14289"/>
    <cellStyle name="표준 5 2 4 17 5 2" xfId="39641"/>
    <cellStyle name="표준 5 2 4 17 6" xfId="26969"/>
    <cellStyle name="표준 5 2 4 18" xfId="1616"/>
    <cellStyle name="표준 5 2 4 18 2" xfId="1617"/>
    <cellStyle name="표준 5 2 4 18 2 2" xfId="4747"/>
    <cellStyle name="표준 5 2 4 18 2 2 2" xfId="11083"/>
    <cellStyle name="표준 5 2 4 18 2 2 2 2" xfId="23757"/>
    <cellStyle name="표준 5 2 4 18 2 2 2 2 2" xfId="49109"/>
    <cellStyle name="표준 5 2 4 18 2 2 2 3" xfId="36437"/>
    <cellStyle name="표준 5 2 4 18 2 2 3" xfId="17421"/>
    <cellStyle name="표준 5 2 4 18 2 2 3 2" xfId="42773"/>
    <cellStyle name="표준 5 2 4 18 2 2 4" xfId="30101"/>
    <cellStyle name="표준 5 2 4 18 2 3" xfId="7954"/>
    <cellStyle name="표준 5 2 4 18 2 3 2" xfId="20628"/>
    <cellStyle name="표준 5 2 4 18 2 3 2 2" xfId="45980"/>
    <cellStyle name="표준 5 2 4 18 2 3 3" xfId="33308"/>
    <cellStyle name="표준 5 2 4 18 2 4" xfId="14292"/>
    <cellStyle name="표준 5 2 4 18 2 4 2" xfId="39644"/>
    <cellStyle name="표준 5 2 4 18 2 5" xfId="26972"/>
    <cellStyle name="표준 5 2 4 18 3" xfId="4748"/>
    <cellStyle name="표준 5 2 4 18 3 2" xfId="11084"/>
    <cellStyle name="표준 5 2 4 18 3 2 2" xfId="23758"/>
    <cellStyle name="표준 5 2 4 18 3 2 2 2" xfId="49110"/>
    <cellStyle name="표준 5 2 4 18 3 2 3" xfId="36438"/>
    <cellStyle name="표준 5 2 4 18 3 3" xfId="17422"/>
    <cellStyle name="표준 5 2 4 18 3 3 2" xfId="42774"/>
    <cellStyle name="표준 5 2 4 18 3 4" xfId="30102"/>
    <cellStyle name="표준 5 2 4 18 4" xfId="7953"/>
    <cellStyle name="표준 5 2 4 18 4 2" xfId="20627"/>
    <cellStyle name="표준 5 2 4 18 4 2 2" xfId="45979"/>
    <cellStyle name="표준 5 2 4 18 4 3" xfId="33307"/>
    <cellStyle name="표준 5 2 4 18 5" xfId="14291"/>
    <cellStyle name="표준 5 2 4 18 5 2" xfId="39643"/>
    <cellStyle name="표준 5 2 4 18 6" xfId="26971"/>
    <cellStyle name="표준 5 2 4 19" xfId="1618"/>
    <cellStyle name="표준 5 2 4 19 2" xfId="1619"/>
    <cellStyle name="표준 5 2 4 19 2 2" xfId="4749"/>
    <cellStyle name="표준 5 2 4 19 2 2 2" xfId="11085"/>
    <cellStyle name="표준 5 2 4 19 2 2 2 2" xfId="23759"/>
    <cellStyle name="표준 5 2 4 19 2 2 2 2 2" xfId="49111"/>
    <cellStyle name="표준 5 2 4 19 2 2 2 3" xfId="36439"/>
    <cellStyle name="표준 5 2 4 19 2 2 3" xfId="17423"/>
    <cellStyle name="표준 5 2 4 19 2 2 3 2" xfId="42775"/>
    <cellStyle name="표준 5 2 4 19 2 2 4" xfId="30103"/>
    <cellStyle name="표준 5 2 4 19 2 3" xfId="7956"/>
    <cellStyle name="표준 5 2 4 19 2 3 2" xfId="20630"/>
    <cellStyle name="표준 5 2 4 19 2 3 2 2" xfId="45982"/>
    <cellStyle name="표준 5 2 4 19 2 3 3" xfId="33310"/>
    <cellStyle name="표준 5 2 4 19 2 4" xfId="14294"/>
    <cellStyle name="표준 5 2 4 19 2 4 2" xfId="39646"/>
    <cellStyle name="표준 5 2 4 19 2 5" xfId="26974"/>
    <cellStyle name="표준 5 2 4 19 3" xfId="4750"/>
    <cellStyle name="표준 5 2 4 19 3 2" xfId="11086"/>
    <cellStyle name="표준 5 2 4 19 3 2 2" xfId="23760"/>
    <cellStyle name="표준 5 2 4 19 3 2 2 2" xfId="49112"/>
    <cellStyle name="표준 5 2 4 19 3 2 3" xfId="36440"/>
    <cellStyle name="표준 5 2 4 19 3 3" xfId="17424"/>
    <cellStyle name="표준 5 2 4 19 3 3 2" xfId="42776"/>
    <cellStyle name="표준 5 2 4 19 3 4" xfId="30104"/>
    <cellStyle name="표준 5 2 4 19 4" xfId="7955"/>
    <cellStyle name="표준 5 2 4 19 4 2" xfId="20629"/>
    <cellStyle name="표준 5 2 4 19 4 2 2" xfId="45981"/>
    <cellStyle name="표준 5 2 4 19 4 3" xfId="33309"/>
    <cellStyle name="표준 5 2 4 19 5" xfId="14293"/>
    <cellStyle name="표준 5 2 4 19 5 2" xfId="39645"/>
    <cellStyle name="표준 5 2 4 19 6" xfId="26973"/>
    <cellStyle name="표준 5 2 4 2" xfId="1620"/>
    <cellStyle name="표준 5 2 4 2 2" xfId="1621"/>
    <cellStyle name="표준 5 2 4 2 2 2" xfId="4751"/>
    <cellStyle name="표준 5 2 4 2 2 2 2" xfId="11087"/>
    <cellStyle name="표준 5 2 4 2 2 2 2 2" xfId="23761"/>
    <cellStyle name="표준 5 2 4 2 2 2 2 2 2" xfId="49113"/>
    <cellStyle name="표준 5 2 4 2 2 2 2 3" xfId="36441"/>
    <cellStyle name="표준 5 2 4 2 2 2 3" xfId="17425"/>
    <cellStyle name="표준 5 2 4 2 2 2 3 2" xfId="42777"/>
    <cellStyle name="표준 5 2 4 2 2 2 4" xfId="30105"/>
    <cellStyle name="표준 5 2 4 2 2 3" xfId="7958"/>
    <cellStyle name="표준 5 2 4 2 2 3 2" xfId="20632"/>
    <cellStyle name="표준 5 2 4 2 2 3 2 2" xfId="45984"/>
    <cellStyle name="표준 5 2 4 2 2 3 3" xfId="33312"/>
    <cellStyle name="표준 5 2 4 2 2 4" xfId="14296"/>
    <cellStyle name="표준 5 2 4 2 2 4 2" xfId="39648"/>
    <cellStyle name="표준 5 2 4 2 2 5" xfId="26976"/>
    <cellStyle name="표준 5 2 4 2 3" xfId="4752"/>
    <cellStyle name="표준 5 2 4 2 3 2" xfId="11088"/>
    <cellStyle name="표준 5 2 4 2 3 2 2" xfId="23762"/>
    <cellStyle name="표준 5 2 4 2 3 2 2 2" xfId="49114"/>
    <cellStyle name="표준 5 2 4 2 3 2 3" xfId="36442"/>
    <cellStyle name="표준 5 2 4 2 3 3" xfId="17426"/>
    <cellStyle name="표준 5 2 4 2 3 3 2" xfId="42778"/>
    <cellStyle name="표준 5 2 4 2 3 4" xfId="30106"/>
    <cellStyle name="표준 5 2 4 2 4" xfId="7957"/>
    <cellStyle name="표준 5 2 4 2 4 2" xfId="20631"/>
    <cellStyle name="표준 5 2 4 2 4 2 2" xfId="45983"/>
    <cellStyle name="표준 5 2 4 2 4 3" xfId="33311"/>
    <cellStyle name="표준 5 2 4 2 5" xfId="14295"/>
    <cellStyle name="표준 5 2 4 2 5 2" xfId="39647"/>
    <cellStyle name="표준 5 2 4 2 6" xfId="26975"/>
    <cellStyle name="표준 5 2 4 20" xfId="1622"/>
    <cellStyle name="표준 5 2 4 20 2" xfId="1623"/>
    <cellStyle name="표준 5 2 4 20 2 2" xfId="4753"/>
    <cellStyle name="표준 5 2 4 20 2 2 2" xfId="11089"/>
    <cellStyle name="표준 5 2 4 20 2 2 2 2" xfId="23763"/>
    <cellStyle name="표준 5 2 4 20 2 2 2 2 2" xfId="49115"/>
    <cellStyle name="표준 5 2 4 20 2 2 2 3" xfId="36443"/>
    <cellStyle name="표준 5 2 4 20 2 2 3" xfId="17427"/>
    <cellStyle name="표준 5 2 4 20 2 2 3 2" xfId="42779"/>
    <cellStyle name="표준 5 2 4 20 2 2 4" xfId="30107"/>
    <cellStyle name="표준 5 2 4 20 2 3" xfId="7960"/>
    <cellStyle name="표준 5 2 4 20 2 3 2" xfId="20634"/>
    <cellStyle name="표준 5 2 4 20 2 3 2 2" xfId="45986"/>
    <cellStyle name="표준 5 2 4 20 2 3 3" xfId="33314"/>
    <cellStyle name="표준 5 2 4 20 2 4" xfId="14298"/>
    <cellStyle name="표준 5 2 4 20 2 4 2" xfId="39650"/>
    <cellStyle name="표준 5 2 4 20 2 5" xfId="26978"/>
    <cellStyle name="표준 5 2 4 20 3" xfId="4754"/>
    <cellStyle name="표준 5 2 4 20 3 2" xfId="11090"/>
    <cellStyle name="표준 5 2 4 20 3 2 2" xfId="23764"/>
    <cellStyle name="표준 5 2 4 20 3 2 2 2" xfId="49116"/>
    <cellStyle name="표준 5 2 4 20 3 2 3" xfId="36444"/>
    <cellStyle name="표준 5 2 4 20 3 3" xfId="17428"/>
    <cellStyle name="표준 5 2 4 20 3 3 2" xfId="42780"/>
    <cellStyle name="표준 5 2 4 20 3 4" xfId="30108"/>
    <cellStyle name="표준 5 2 4 20 4" xfId="7959"/>
    <cellStyle name="표준 5 2 4 20 4 2" xfId="20633"/>
    <cellStyle name="표준 5 2 4 20 4 2 2" xfId="45985"/>
    <cellStyle name="표준 5 2 4 20 4 3" xfId="33313"/>
    <cellStyle name="표준 5 2 4 20 5" xfId="14297"/>
    <cellStyle name="표준 5 2 4 20 5 2" xfId="39649"/>
    <cellStyle name="표준 5 2 4 20 6" xfId="26977"/>
    <cellStyle name="표준 5 2 4 21" xfId="1624"/>
    <cellStyle name="표준 5 2 4 21 2" xfId="1625"/>
    <cellStyle name="표준 5 2 4 21 2 2" xfId="4755"/>
    <cellStyle name="표준 5 2 4 21 2 2 2" xfId="11091"/>
    <cellStyle name="표준 5 2 4 21 2 2 2 2" xfId="23765"/>
    <cellStyle name="표준 5 2 4 21 2 2 2 2 2" xfId="49117"/>
    <cellStyle name="표준 5 2 4 21 2 2 2 3" xfId="36445"/>
    <cellStyle name="표준 5 2 4 21 2 2 3" xfId="17429"/>
    <cellStyle name="표준 5 2 4 21 2 2 3 2" xfId="42781"/>
    <cellStyle name="표준 5 2 4 21 2 2 4" xfId="30109"/>
    <cellStyle name="표준 5 2 4 21 2 3" xfId="7962"/>
    <cellStyle name="표준 5 2 4 21 2 3 2" xfId="20636"/>
    <cellStyle name="표준 5 2 4 21 2 3 2 2" xfId="45988"/>
    <cellStyle name="표준 5 2 4 21 2 3 3" xfId="33316"/>
    <cellStyle name="표준 5 2 4 21 2 4" xfId="14300"/>
    <cellStyle name="표준 5 2 4 21 2 4 2" xfId="39652"/>
    <cellStyle name="표준 5 2 4 21 2 5" xfId="26980"/>
    <cellStyle name="표준 5 2 4 21 3" xfId="4756"/>
    <cellStyle name="표준 5 2 4 21 3 2" xfId="11092"/>
    <cellStyle name="표준 5 2 4 21 3 2 2" xfId="23766"/>
    <cellStyle name="표준 5 2 4 21 3 2 2 2" xfId="49118"/>
    <cellStyle name="표준 5 2 4 21 3 2 3" xfId="36446"/>
    <cellStyle name="표준 5 2 4 21 3 3" xfId="17430"/>
    <cellStyle name="표준 5 2 4 21 3 3 2" xfId="42782"/>
    <cellStyle name="표준 5 2 4 21 3 4" xfId="30110"/>
    <cellStyle name="표준 5 2 4 21 4" xfId="7961"/>
    <cellStyle name="표준 5 2 4 21 4 2" xfId="20635"/>
    <cellStyle name="표준 5 2 4 21 4 2 2" xfId="45987"/>
    <cellStyle name="표준 5 2 4 21 4 3" xfId="33315"/>
    <cellStyle name="표준 5 2 4 21 5" xfId="14299"/>
    <cellStyle name="표준 5 2 4 21 5 2" xfId="39651"/>
    <cellStyle name="표준 5 2 4 21 6" xfId="26979"/>
    <cellStyle name="표준 5 2 4 22" xfId="1626"/>
    <cellStyle name="표준 5 2 4 22 2" xfId="1627"/>
    <cellStyle name="표준 5 2 4 22 2 2" xfId="4757"/>
    <cellStyle name="표준 5 2 4 22 2 2 2" xfId="11093"/>
    <cellStyle name="표준 5 2 4 22 2 2 2 2" xfId="23767"/>
    <cellStyle name="표준 5 2 4 22 2 2 2 2 2" xfId="49119"/>
    <cellStyle name="표준 5 2 4 22 2 2 2 3" xfId="36447"/>
    <cellStyle name="표준 5 2 4 22 2 2 3" xfId="17431"/>
    <cellStyle name="표준 5 2 4 22 2 2 3 2" xfId="42783"/>
    <cellStyle name="표준 5 2 4 22 2 2 4" xfId="30111"/>
    <cellStyle name="표준 5 2 4 22 2 3" xfId="7964"/>
    <cellStyle name="표준 5 2 4 22 2 3 2" xfId="20638"/>
    <cellStyle name="표준 5 2 4 22 2 3 2 2" xfId="45990"/>
    <cellStyle name="표준 5 2 4 22 2 3 3" xfId="33318"/>
    <cellStyle name="표준 5 2 4 22 2 4" xfId="14302"/>
    <cellStyle name="표준 5 2 4 22 2 4 2" xfId="39654"/>
    <cellStyle name="표준 5 2 4 22 2 5" xfId="26982"/>
    <cellStyle name="표준 5 2 4 22 3" xfId="4758"/>
    <cellStyle name="표준 5 2 4 22 3 2" xfId="11094"/>
    <cellStyle name="표준 5 2 4 22 3 2 2" xfId="23768"/>
    <cellStyle name="표준 5 2 4 22 3 2 2 2" xfId="49120"/>
    <cellStyle name="표준 5 2 4 22 3 2 3" xfId="36448"/>
    <cellStyle name="표준 5 2 4 22 3 3" xfId="17432"/>
    <cellStyle name="표준 5 2 4 22 3 3 2" xfId="42784"/>
    <cellStyle name="표준 5 2 4 22 3 4" xfId="30112"/>
    <cellStyle name="표준 5 2 4 22 4" xfId="7963"/>
    <cellStyle name="표준 5 2 4 22 4 2" xfId="20637"/>
    <cellStyle name="표준 5 2 4 22 4 2 2" xfId="45989"/>
    <cellStyle name="표준 5 2 4 22 4 3" xfId="33317"/>
    <cellStyle name="표준 5 2 4 22 5" xfId="14301"/>
    <cellStyle name="표준 5 2 4 22 5 2" xfId="39653"/>
    <cellStyle name="표준 5 2 4 22 6" xfId="26981"/>
    <cellStyle name="표준 5 2 4 23" xfId="1628"/>
    <cellStyle name="표준 5 2 4 23 2" xfId="1629"/>
    <cellStyle name="표준 5 2 4 23 2 2" xfId="4759"/>
    <cellStyle name="표준 5 2 4 23 2 2 2" xfId="11095"/>
    <cellStyle name="표준 5 2 4 23 2 2 2 2" xfId="23769"/>
    <cellStyle name="표준 5 2 4 23 2 2 2 2 2" xfId="49121"/>
    <cellStyle name="표준 5 2 4 23 2 2 2 3" xfId="36449"/>
    <cellStyle name="표준 5 2 4 23 2 2 3" xfId="17433"/>
    <cellStyle name="표준 5 2 4 23 2 2 3 2" xfId="42785"/>
    <cellStyle name="표준 5 2 4 23 2 2 4" xfId="30113"/>
    <cellStyle name="표준 5 2 4 23 2 3" xfId="7966"/>
    <cellStyle name="표준 5 2 4 23 2 3 2" xfId="20640"/>
    <cellStyle name="표준 5 2 4 23 2 3 2 2" xfId="45992"/>
    <cellStyle name="표준 5 2 4 23 2 3 3" xfId="33320"/>
    <cellStyle name="표준 5 2 4 23 2 4" xfId="14304"/>
    <cellStyle name="표준 5 2 4 23 2 4 2" xfId="39656"/>
    <cellStyle name="표준 5 2 4 23 2 5" xfId="26984"/>
    <cellStyle name="표준 5 2 4 23 3" xfId="4760"/>
    <cellStyle name="표준 5 2 4 23 3 2" xfId="11096"/>
    <cellStyle name="표준 5 2 4 23 3 2 2" xfId="23770"/>
    <cellStyle name="표준 5 2 4 23 3 2 2 2" xfId="49122"/>
    <cellStyle name="표준 5 2 4 23 3 2 3" xfId="36450"/>
    <cellStyle name="표준 5 2 4 23 3 3" xfId="17434"/>
    <cellStyle name="표준 5 2 4 23 3 3 2" xfId="42786"/>
    <cellStyle name="표준 5 2 4 23 3 4" xfId="30114"/>
    <cellStyle name="표준 5 2 4 23 4" xfId="7965"/>
    <cellStyle name="표준 5 2 4 23 4 2" xfId="20639"/>
    <cellStyle name="표준 5 2 4 23 4 2 2" xfId="45991"/>
    <cellStyle name="표준 5 2 4 23 4 3" xfId="33319"/>
    <cellStyle name="표준 5 2 4 23 5" xfId="14303"/>
    <cellStyle name="표준 5 2 4 23 5 2" xfId="39655"/>
    <cellStyle name="표준 5 2 4 23 6" xfId="26983"/>
    <cellStyle name="표준 5 2 4 24" xfId="1630"/>
    <cellStyle name="표준 5 2 4 24 2" xfId="1631"/>
    <cellStyle name="표준 5 2 4 24 2 2" xfId="4761"/>
    <cellStyle name="표준 5 2 4 24 2 2 2" xfId="11097"/>
    <cellStyle name="표준 5 2 4 24 2 2 2 2" xfId="23771"/>
    <cellStyle name="표준 5 2 4 24 2 2 2 2 2" xfId="49123"/>
    <cellStyle name="표준 5 2 4 24 2 2 2 3" xfId="36451"/>
    <cellStyle name="표준 5 2 4 24 2 2 3" xfId="17435"/>
    <cellStyle name="표준 5 2 4 24 2 2 3 2" xfId="42787"/>
    <cellStyle name="표준 5 2 4 24 2 2 4" xfId="30115"/>
    <cellStyle name="표준 5 2 4 24 2 3" xfId="7968"/>
    <cellStyle name="표준 5 2 4 24 2 3 2" xfId="20642"/>
    <cellStyle name="표준 5 2 4 24 2 3 2 2" xfId="45994"/>
    <cellStyle name="표준 5 2 4 24 2 3 3" xfId="33322"/>
    <cellStyle name="표준 5 2 4 24 2 4" xfId="14306"/>
    <cellStyle name="표준 5 2 4 24 2 4 2" xfId="39658"/>
    <cellStyle name="표준 5 2 4 24 2 5" xfId="26986"/>
    <cellStyle name="표준 5 2 4 24 3" xfId="4762"/>
    <cellStyle name="표준 5 2 4 24 3 2" xfId="11098"/>
    <cellStyle name="표준 5 2 4 24 3 2 2" xfId="23772"/>
    <cellStyle name="표준 5 2 4 24 3 2 2 2" xfId="49124"/>
    <cellStyle name="표준 5 2 4 24 3 2 3" xfId="36452"/>
    <cellStyle name="표준 5 2 4 24 3 3" xfId="17436"/>
    <cellStyle name="표준 5 2 4 24 3 3 2" xfId="42788"/>
    <cellStyle name="표준 5 2 4 24 3 4" xfId="30116"/>
    <cellStyle name="표준 5 2 4 24 4" xfId="7967"/>
    <cellStyle name="표준 5 2 4 24 4 2" xfId="20641"/>
    <cellStyle name="표준 5 2 4 24 4 2 2" xfId="45993"/>
    <cellStyle name="표준 5 2 4 24 4 3" xfId="33321"/>
    <cellStyle name="표준 5 2 4 24 5" xfId="14305"/>
    <cellStyle name="표준 5 2 4 24 5 2" xfId="39657"/>
    <cellStyle name="표준 5 2 4 24 6" xfId="26985"/>
    <cellStyle name="표준 5 2 4 25" xfId="1632"/>
    <cellStyle name="표준 5 2 4 25 2" xfId="1633"/>
    <cellStyle name="표준 5 2 4 25 2 2" xfId="4763"/>
    <cellStyle name="표준 5 2 4 25 2 2 2" xfId="11099"/>
    <cellStyle name="표준 5 2 4 25 2 2 2 2" xfId="23773"/>
    <cellStyle name="표준 5 2 4 25 2 2 2 2 2" xfId="49125"/>
    <cellStyle name="표준 5 2 4 25 2 2 2 3" xfId="36453"/>
    <cellStyle name="표준 5 2 4 25 2 2 3" xfId="17437"/>
    <cellStyle name="표준 5 2 4 25 2 2 3 2" xfId="42789"/>
    <cellStyle name="표준 5 2 4 25 2 2 4" xfId="30117"/>
    <cellStyle name="표준 5 2 4 25 2 3" xfId="7970"/>
    <cellStyle name="표준 5 2 4 25 2 3 2" xfId="20644"/>
    <cellStyle name="표준 5 2 4 25 2 3 2 2" xfId="45996"/>
    <cellStyle name="표준 5 2 4 25 2 3 3" xfId="33324"/>
    <cellStyle name="표준 5 2 4 25 2 4" xfId="14308"/>
    <cellStyle name="표준 5 2 4 25 2 4 2" xfId="39660"/>
    <cellStyle name="표준 5 2 4 25 2 5" xfId="26988"/>
    <cellStyle name="표준 5 2 4 25 3" xfId="4764"/>
    <cellStyle name="표준 5 2 4 25 3 2" xfId="11100"/>
    <cellStyle name="표준 5 2 4 25 3 2 2" xfId="23774"/>
    <cellStyle name="표준 5 2 4 25 3 2 2 2" xfId="49126"/>
    <cellStyle name="표준 5 2 4 25 3 2 3" xfId="36454"/>
    <cellStyle name="표준 5 2 4 25 3 3" xfId="17438"/>
    <cellStyle name="표준 5 2 4 25 3 3 2" xfId="42790"/>
    <cellStyle name="표준 5 2 4 25 3 4" xfId="30118"/>
    <cellStyle name="표준 5 2 4 25 4" xfId="7969"/>
    <cellStyle name="표준 5 2 4 25 4 2" xfId="20643"/>
    <cellStyle name="표준 5 2 4 25 4 2 2" xfId="45995"/>
    <cellStyle name="표준 5 2 4 25 4 3" xfId="33323"/>
    <cellStyle name="표준 5 2 4 25 5" xfId="14307"/>
    <cellStyle name="표준 5 2 4 25 5 2" xfId="39659"/>
    <cellStyle name="표준 5 2 4 25 6" xfId="26987"/>
    <cellStyle name="표준 5 2 4 26" xfId="1634"/>
    <cellStyle name="표준 5 2 4 26 2" xfId="1635"/>
    <cellStyle name="표준 5 2 4 26 2 2" xfId="4765"/>
    <cellStyle name="표준 5 2 4 26 2 2 2" xfId="11101"/>
    <cellStyle name="표준 5 2 4 26 2 2 2 2" xfId="23775"/>
    <cellStyle name="표준 5 2 4 26 2 2 2 2 2" xfId="49127"/>
    <cellStyle name="표준 5 2 4 26 2 2 2 3" xfId="36455"/>
    <cellStyle name="표준 5 2 4 26 2 2 3" xfId="17439"/>
    <cellStyle name="표준 5 2 4 26 2 2 3 2" xfId="42791"/>
    <cellStyle name="표준 5 2 4 26 2 2 4" xfId="30119"/>
    <cellStyle name="표준 5 2 4 26 2 3" xfId="7972"/>
    <cellStyle name="표준 5 2 4 26 2 3 2" xfId="20646"/>
    <cellStyle name="표준 5 2 4 26 2 3 2 2" xfId="45998"/>
    <cellStyle name="표준 5 2 4 26 2 3 3" xfId="33326"/>
    <cellStyle name="표준 5 2 4 26 2 4" xfId="14310"/>
    <cellStyle name="표준 5 2 4 26 2 4 2" xfId="39662"/>
    <cellStyle name="표준 5 2 4 26 2 5" xfId="26990"/>
    <cellStyle name="표준 5 2 4 26 3" xfId="4766"/>
    <cellStyle name="표준 5 2 4 26 3 2" xfId="11102"/>
    <cellStyle name="표준 5 2 4 26 3 2 2" xfId="23776"/>
    <cellStyle name="표준 5 2 4 26 3 2 2 2" xfId="49128"/>
    <cellStyle name="표준 5 2 4 26 3 2 3" xfId="36456"/>
    <cellStyle name="표준 5 2 4 26 3 3" xfId="17440"/>
    <cellStyle name="표준 5 2 4 26 3 3 2" xfId="42792"/>
    <cellStyle name="표준 5 2 4 26 3 4" xfId="30120"/>
    <cellStyle name="표준 5 2 4 26 4" xfId="7971"/>
    <cellStyle name="표준 5 2 4 26 4 2" xfId="20645"/>
    <cellStyle name="표준 5 2 4 26 4 2 2" xfId="45997"/>
    <cellStyle name="표준 5 2 4 26 4 3" xfId="33325"/>
    <cellStyle name="표준 5 2 4 26 5" xfId="14309"/>
    <cellStyle name="표준 5 2 4 26 5 2" xfId="39661"/>
    <cellStyle name="표준 5 2 4 26 6" xfId="26989"/>
    <cellStyle name="표준 5 2 4 27" xfId="1636"/>
    <cellStyle name="표준 5 2 4 27 2" xfId="1637"/>
    <cellStyle name="표준 5 2 4 27 2 2" xfId="4767"/>
    <cellStyle name="표준 5 2 4 27 2 2 2" xfId="11103"/>
    <cellStyle name="표준 5 2 4 27 2 2 2 2" xfId="23777"/>
    <cellStyle name="표준 5 2 4 27 2 2 2 2 2" xfId="49129"/>
    <cellStyle name="표준 5 2 4 27 2 2 2 3" xfId="36457"/>
    <cellStyle name="표준 5 2 4 27 2 2 3" xfId="17441"/>
    <cellStyle name="표준 5 2 4 27 2 2 3 2" xfId="42793"/>
    <cellStyle name="표준 5 2 4 27 2 2 4" xfId="30121"/>
    <cellStyle name="표준 5 2 4 27 2 3" xfId="7974"/>
    <cellStyle name="표준 5 2 4 27 2 3 2" xfId="20648"/>
    <cellStyle name="표준 5 2 4 27 2 3 2 2" xfId="46000"/>
    <cellStyle name="표준 5 2 4 27 2 3 3" xfId="33328"/>
    <cellStyle name="표준 5 2 4 27 2 4" xfId="14312"/>
    <cellStyle name="표준 5 2 4 27 2 4 2" xfId="39664"/>
    <cellStyle name="표준 5 2 4 27 2 5" xfId="26992"/>
    <cellStyle name="표준 5 2 4 27 3" xfId="4768"/>
    <cellStyle name="표준 5 2 4 27 3 2" xfId="11104"/>
    <cellStyle name="표준 5 2 4 27 3 2 2" xfId="23778"/>
    <cellStyle name="표준 5 2 4 27 3 2 2 2" xfId="49130"/>
    <cellStyle name="표준 5 2 4 27 3 2 3" xfId="36458"/>
    <cellStyle name="표준 5 2 4 27 3 3" xfId="17442"/>
    <cellStyle name="표준 5 2 4 27 3 3 2" xfId="42794"/>
    <cellStyle name="표준 5 2 4 27 3 4" xfId="30122"/>
    <cellStyle name="표준 5 2 4 27 4" xfId="7973"/>
    <cellStyle name="표준 5 2 4 27 4 2" xfId="20647"/>
    <cellStyle name="표준 5 2 4 27 4 2 2" xfId="45999"/>
    <cellStyle name="표준 5 2 4 27 4 3" xfId="33327"/>
    <cellStyle name="표준 5 2 4 27 5" xfId="14311"/>
    <cellStyle name="표준 5 2 4 27 5 2" xfId="39663"/>
    <cellStyle name="표준 5 2 4 27 6" xfId="26991"/>
    <cellStyle name="표준 5 2 4 28" xfId="1638"/>
    <cellStyle name="표준 5 2 4 28 2" xfId="1639"/>
    <cellStyle name="표준 5 2 4 28 2 2" xfId="4769"/>
    <cellStyle name="표준 5 2 4 28 2 2 2" xfId="11105"/>
    <cellStyle name="표준 5 2 4 28 2 2 2 2" xfId="23779"/>
    <cellStyle name="표준 5 2 4 28 2 2 2 2 2" xfId="49131"/>
    <cellStyle name="표준 5 2 4 28 2 2 2 3" xfId="36459"/>
    <cellStyle name="표준 5 2 4 28 2 2 3" xfId="17443"/>
    <cellStyle name="표준 5 2 4 28 2 2 3 2" xfId="42795"/>
    <cellStyle name="표준 5 2 4 28 2 2 4" xfId="30123"/>
    <cellStyle name="표준 5 2 4 28 2 3" xfId="7976"/>
    <cellStyle name="표준 5 2 4 28 2 3 2" xfId="20650"/>
    <cellStyle name="표준 5 2 4 28 2 3 2 2" xfId="46002"/>
    <cellStyle name="표준 5 2 4 28 2 3 3" xfId="33330"/>
    <cellStyle name="표준 5 2 4 28 2 4" xfId="14314"/>
    <cellStyle name="표준 5 2 4 28 2 4 2" xfId="39666"/>
    <cellStyle name="표준 5 2 4 28 2 5" xfId="26994"/>
    <cellStyle name="표준 5 2 4 28 3" xfId="4770"/>
    <cellStyle name="표준 5 2 4 28 3 2" xfId="11106"/>
    <cellStyle name="표준 5 2 4 28 3 2 2" xfId="23780"/>
    <cellStyle name="표준 5 2 4 28 3 2 2 2" xfId="49132"/>
    <cellStyle name="표준 5 2 4 28 3 2 3" xfId="36460"/>
    <cellStyle name="표준 5 2 4 28 3 3" xfId="17444"/>
    <cellStyle name="표준 5 2 4 28 3 3 2" xfId="42796"/>
    <cellStyle name="표준 5 2 4 28 3 4" xfId="30124"/>
    <cellStyle name="표준 5 2 4 28 4" xfId="7975"/>
    <cellStyle name="표준 5 2 4 28 4 2" xfId="20649"/>
    <cellStyle name="표준 5 2 4 28 4 2 2" xfId="46001"/>
    <cellStyle name="표준 5 2 4 28 4 3" xfId="33329"/>
    <cellStyle name="표준 5 2 4 28 5" xfId="14313"/>
    <cellStyle name="표준 5 2 4 28 5 2" xfId="39665"/>
    <cellStyle name="표준 5 2 4 28 6" xfId="26993"/>
    <cellStyle name="표준 5 2 4 29" xfId="1640"/>
    <cellStyle name="표준 5 2 4 29 2" xfId="1641"/>
    <cellStyle name="표준 5 2 4 29 2 2" xfId="4771"/>
    <cellStyle name="표준 5 2 4 29 2 2 2" xfId="11107"/>
    <cellStyle name="표준 5 2 4 29 2 2 2 2" xfId="23781"/>
    <cellStyle name="표준 5 2 4 29 2 2 2 2 2" xfId="49133"/>
    <cellStyle name="표준 5 2 4 29 2 2 2 3" xfId="36461"/>
    <cellStyle name="표준 5 2 4 29 2 2 3" xfId="17445"/>
    <cellStyle name="표준 5 2 4 29 2 2 3 2" xfId="42797"/>
    <cellStyle name="표준 5 2 4 29 2 2 4" xfId="30125"/>
    <cellStyle name="표준 5 2 4 29 2 3" xfId="7978"/>
    <cellStyle name="표준 5 2 4 29 2 3 2" xfId="20652"/>
    <cellStyle name="표준 5 2 4 29 2 3 2 2" xfId="46004"/>
    <cellStyle name="표준 5 2 4 29 2 3 3" xfId="33332"/>
    <cellStyle name="표준 5 2 4 29 2 4" xfId="14316"/>
    <cellStyle name="표준 5 2 4 29 2 4 2" xfId="39668"/>
    <cellStyle name="표준 5 2 4 29 2 5" xfId="26996"/>
    <cellStyle name="표준 5 2 4 29 3" xfId="4772"/>
    <cellStyle name="표준 5 2 4 29 3 2" xfId="11108"/>
    <cellStyle name="표준 5 2 4 29 3 2 2" xfId="23782"/>
    <cellStyle name="표준 5 2 4 29 3 2 2 2" xfId="49134"/>
    <cellStyle name="표준 5 2 4 29 3 2 3" xfId="36462"/>
    <cellStyle name="표준 5 2 4 29 3 3" xfId="17446"/>
    <cellStyle name="표준 5 2 4 29 3 3 2" xfId="42798"/>
    <cellStyle name="표준 5 2 4 29 3 4" xfId="30126"/>
    <cellStyle name="표준 5 2 4 29 4" xfId="7977"/>
    <cellStyle name="표준 5 2 4 29 4 2" xfId="20651"/>
    <cellStyle name="표준 5 2 4 29 4 2 2" xfId="46003"/>
    <cellStyle name="표준 5 2 4 29 4 3" xfId="33331"/>
    <cellStyle name="표준 5 2 4 29 5" xfId="14315"/>
    <cellStyle name="표준 5 2 4 29 5 2" xfId="39667"/>
    <cellStyle name="표준 5 2 4 29 6" xfId="26995"/>
    <cellStyle name="표준 5 2 4 3" xfId="1642"/>
    <cellStyle name="표준 5 2 4 3 2" xfId="1643"/>
    <cellStyle name="표준 5 2 4 3 2 2" xfId="4773"/>
    <cellStyle name="표준 5 2 4 3 2 2 2" xfId="11109"/>
    <cellStyle name="표준 5 2 4 3 2 2 2 2" xfId="23783"/>
    <cellStyle name="표준 5 2 4 3 2 2 2 2 2" xfId="49135"/>
    <cellStyle name="표준 5 2 4 3 2 2 2 3" xfId="36463"/>
    <cellStyle name="표준 5 2 4 3 2 2 3" xfId="17447"/>
    <cellStyle name="표준 5 2 4 3 2 2 3 2" xfId="42799"/>
    <cellStyle name="표준 5 2 4 3 2 2 4" xfId="30127"/>
    <cellStyle name="표준 5 2 4 3 2 3" xfId="7980"/>
    <cellStyle name="표준 5 2 4 3 2 3 2" xfId="20654"/>
    <cellStyle name="표준 5 2 4 3 2 3 2 2" xfId="46006"/>
    <cellStyle name="표준 5 2 4 3 2 3 3" xfId="33334"/>
    <cellStyle name="표준 5 2 4 3 2 4" xfId="14318"/>
    <cellStyle name="표준 5 2 4 3 2 4 2" xfId="39670"/>
    <cellStyle name="표준 5 2 4 3 2 5" xfId="26998"/>
    <cellStyle name="표준 5 2 4 3 3" xfId="4774"/>
    <cellStyle name="표준 5 2 4 3 3 2" xfId="11110"/>
    <cellStyle name="표준 5 2 4 3 3 2 2" xfId="23784"/>
    <cellStyle name="표준 5 2 4 3 3 2 2 2" xfId="49136"/>
    <cellStyle name="표준 5 2 4 3 3 2 3" xfId="36464"/>
    <cellStyle name="표준 5 2 4 3 3 3" xfId="17448"/>
    <cellStyle name="표준 5 2 4 3 3 3 2" xfId="42800"/>
    <cellStyle name="표준 5 2 4 3 3 4" xfId="30128"/>
    <cellStyle name="표준 5 2 4 3 4" xfId="7979"/>
    <cellStyle name="표준 5 2 4 3 4 2" xfId="20653"/>
    <cellStyle name="표준 5 2 4 3 4 2 2" xfId="46005"/>
    <cellStyle name="표준 5 2 4 3 4 3" xfId="33333"/>
    <cellStyle name="표준 5 2 4 3 5" xfId="14317"/>
    <cellStyle name="표준 5 2 4 3 5 2" xfId="39669"/>
    <cellStyle name="표준 5 2 4 3 6" xfId="26997"/>
    <cellStyle name="표준 5 2 4 30" xfId="1644"/>
    <cellStyle name="표준 5 2 4 30 2" xfId="1645"/>
    <cellStyle name="표준 5 2 4 30 2 2" xfId="4775"/>
    <cellStyle name="표준 5 2 4 30 2 2 2" xfId="11111"/>
    <cellStyle name="표준 5 2 4 30 2 2 2 2" xfId="23785"/>
    <cellStyle name="표준 5 2 4 30 2 2 2 2 2" xfId="49137"/>
    <cellStyle name="표준 5 2 4 30 2 2 2 3" xfId="36465"/>
    <cellStyle name="표준 5 2 4 30 2 2 3" xfId="17449"/>
    <cellStyle name="표준 5 2 4 30 2 2 3 2" xfId="42801"/>
    <cellStyle name="표준 5 2 4 30 2 2 4" xfId="30129"/>
    <cellStyle name="표준 5 2 4 30 2 3" xfId="7982"/>
    <cellStyle name="표준 5 2 4 30 2 3 2" xfId="20656"/>
    <cellStyle name="표준 5 2 4 30 2 3 2 2" xfId="46008"/>
    <cellStyle name="표준 5 2 4 30 2 3 3" xfId="33336"/>
    <cellStyle name="표준 5 2 4 30 2 4" xfId="14320"/>
    <cellStyle name="표준 5 2 4 30 2 4 2" xfId="39672"/>
    <cellStyle name="표준 5 2 4 30 2 5" xfId="27000"/>
    <cellStyle name="표준 5 2 4 30 3" xfId="4776"/>
    <cellStyle name="표준 5 2 4 30 3 2" xfId="11112"/>
    <cellStyle name="표준 5 2 4 30 3 2 2" xfId="23786"/>
    <cellStyle name="표준 5 2 4 30 3 2 2 2" xfId="49138"/>
    <cellStyle name="표준 5 2 4 30 3 2 3" xfId="36466"/>
    <cellStyle name="표준 5 2 4 30 3 3" xfId="17450"/>
    <cellStyle name="표준 5 2 4 30 3 3 2" xfId="42802"/>
    <cellStyle name="표준 5 2 4 30 3 4" xfId="30130"/>
    <cellStyle name="표준 5 2 4 30 4" xfId="7981"/>
    <cellStyle name="표준 5 2 4 30 4 2" xfId="20655"/>
    <cellStyle name="표준 5 2 4 30 4 2 2" xfId="46007"/>
    <cellStyle name="표준 5 2 4 30 4 3" xfId="33335"/>
    <cellStyle name="표준 5 2 4 30 5" xfId="14319"/>
    <cellStyle name="표준 5 2 4 30 5 2" xfId="39671"/>
    <cellStyle name="표준 5 2 4 30 6" xfId="26999"/>
    <cellStyle name="표준 5 2 4 31" xfId="1646"/>
    <cellStyle name="표준 5 2 4 31 2" xfId="1647"/>
    <cellStyle name="표준 5 2 4 31 2 2" xfId="4777"/>
    <cellStyle name="표준 5 2 4 31 2 2 2" xfId="11113"/>
    <cellStyle name="표준 5 2 4 31 2 2 2 2" xfId="23787"/>
    <cellStyle name="표준 5 2 4 31 2 2 2 2 2" xfId="49139"/>
    <cellStyle name="표준 5 2 4 31 2 2 2 3" xfId="36467"/>
    <cellStyle name="표준 5 2 4 31 2 2 3" xfId="17451"/>
    <cellStyle name="표준 5 2 4 31 2 2 3 2" xfId="42803"/>
    <cellStyle name="표준 5 2 4 31 2 2 4" xfId="30131"/>
    <cellStyle name="표준 5 2 4 31 2 3" xfId="7984"/>
    <cellStyle name="표준 5 2 4 31 2 3 2" xfId="20658"/>
    <cellStyle name="표준 5 2 4 31 2 3 2 2" xfId="46010"/>
    <cellStyle name="표준 5 2 4 31 2 3 3" xfId="33338"/>
    <cellStyle name="표준 5 2 4 31 2 4" xfId="14322"/>
    <cellStyle name="표준 5 2 4 31 2 4 2" xfId="39674"/>
    <cellStyle name="표준 5 2 4 31 2 5" xfId="27002"/>
    <cellStyle name="표준 5 2 4 31 3" xfId="4778"/>
    <cellStyle name="표준 5 2 4 31 3 2" xfId="11114"/>
    <cellStyle name="표준 5 2 4 31 3 2 2" xfId="23788"/>
    <cellStyle name="표준 5 2 4 31 3 2 2 2" xfId="49140"/>
    <cellStyle name="표준 5 2 4 31 3 2 3" xfId="36468"/>
    <cellStyle name="표준 5 2 4 31 3 3" xfId="17452"/>
    <cellStyle name="표준 5 2 4 31 3 3 2" xfId="42804"/>
    <cellStyle name="표준 5 2 4 31 3 4" xfId="30132"/>
    <cellStyle name="표준 5 2 4 31 4" xfId="7983"/>
    <cellStyle name="표준 5 2 4 31 4 2" xfId="20657"/>
    <cellStyle name="표준 5 2 4 31 4 2 2" xfId="46009"/>
    <cellStyle name="표준 5 2 4 31 4 3" xfId="33337"/>
    <cellStyle name="표준 5 2 4 31 5" xfId="14321"/>
    <cellStyle name="표준 5 2 4 31 5 2" xfId="39673"/>
    <cellStyle name="표준 5 2 4 31 6" xfId="27001"/>
    <cellStyle name="표준 5 2 4 32" xfId="1648"/>
    <cellStyle name="표준 5 2 4 32 2" xfId="1649"/>
    <cellStyle name="표준 5 2 4 32 2 2" xfId="4779"/>
    <cellStyle name="표준 5 2 4 32 2 2 2" xfId="11115"/>
    <cellStyle name="표준 5 2 4 32 2 2 2 2" xfId="23789"/>
    <cellStyle name="표준 5 2 4 32 2 2 2 2 2" xfId="49141"/>
    <cellStyle name="표준 5 2 4 32 2 2 2 3" xfId="36469"/>
    <cellStyle name="표준 5 2 4 32 2 2 3" xfId="17453"/>
    <cellStyle name="표준 5 2 4 32 2 2 3 2" xfId="42805"/>
    <cellStyle name="표준 5 2 4 32 2 2 4" xfId="30133"/>
    <cellStyle name="표준 5 2 4 32 2 3" xfId="7986"/>
    <cellStyle name="표준 5 2 4 32 2 3 2" xfId="20660"/>
    <cellStyle name="표준 5 2 4 32 2 3 2 2" xfId="46012"/>
    <cellStyle name="표준 5 2 4 32 2 3 3" xfId="33340"/>
    <cellStyle name="표준 5 2 4 32 2 4" xfId="14324"/>
    <cellStyle name="표준 5 2 4 32 2 4 2" xfId="39676"/>
    <cellStyle name="표준 5 2 4 32 2 5" xfId="27004"/>
    <cellStyle name="표준 5 2 4 32 3" xfId="4780"/>
    <cellStyle name="표준 5 2 4 32 3 2" xfId="11116"/>
    <cellStyle name="표준 5 2 4 32 3 2 2" xfId="23790"/>
    <cellStyle name="표준 5 2 4 32 3 2 2 2" xfId="49142"/>
    <cellStyle name="표준 5 2 4 32 3 2 3" xfId="36470"/>
    <cellStyle name="표준 5 2 4 32 3 3" xfId="17454"/>
    <cellStyle name="표준 5 2 4 32 3 3 2" xfId="42806"/>
    <cellStyle name="표준 5 2 4 32 3 4" xfId="30134"/>
    <cellStyle name="표준 5 2 4 32 4" xfId="7985"/>
    <cellStyle name="표준 5 2 4 32 4 2" xfId="20659"/>
    <cellStyle name="표준 5 2 4 32 4 2 2" xfId="46011"/>
    <cellStyle name="표준 5 2 4 32 4 3" xfId="33339"/>
    <cellStyle name="표준 5 2 4 32 5" xfId="14323"/>
    <cellStyle name="표준 5 2 4 32 5 2" xfId="39675"/>
    <cellStyle name="표준 5 2 4 32 6" xfId="27003"/>
    <cellStyle name="표준 5 2 4 33" xfId="1650"/>
    <cellStyle name="표준 5 2 4 33 2" xfId="1651"/>
    <cellStyle name="표준 5 2 4 33 2 2" xfId="4781"/>
    <cellStyle name="표준 5 2 4 33 2 2 2" xfId="11117"/>
    <cellStyle name="표준 5 2 4 33 2 2 2 2" xfId="23791"/>
    <cellStyle name="표준 5 2 4 33 2 2 2 2 2" xfId="49143"/>
    <cellStyle name="표준 5 2 4 33 2 2 2 3" xfId="36471"/>
    <cellStyle name="표준 5 2 4 33 2 2 3" xfId="17455"/>
    <cellStyle name="표준 5 2 4 33 2 2 3 2" xfId="42807"/>
    <cellStyle name="표준 5 2 4 33 2 2 4" xfId="30135"/>
    <cellStyle name="표준 5 2 4 33 2 3" xfId="7988"/>
    <cellStyle name="표준 5 2 4 33 2 3 2" xfId="20662"/>
    <cellStyle name="표준 5 2 4 33 2 3 2 2" xfId="46014"/>
    <cellStyle name="표준 5 2 4 33 2 3 3" xfId="33342"/>
    <cellStyle name="표준 5 2 4 33 2 4" xfId="14326"/>
    <cellStyle name="표준 5 2 4 33 2 4 2" xfId="39678"/>
    <cellStyle name="표준 5 2 4 33 2 5" xfId="27006"/>
    <cellStyle name="표준 5 2 4 33 3" xfId="4782"/>
    <cellStyle name="표준 5 2 4 33 3 2" xfId="11118"/>
    <cellStyle name="표준 5 2 4 33 3 2 2" xfId="23792"/>
    <cellStyle name="표준 5 2 4 33 3 2 2 2" xfId="49144"/>
    <cellStyle name="표준 5 2 4 33 3 2 3" xfId="36472"/>
    <cellStyle name="표준 5 2 4 33 3 3" xfId="17456"/>
    <cellStyle name="표준 5 2 4 33 3 3 2" xfId="42808"/>
    <cellStyle name="표준 5 2 4 33 3 4" xfId="30136"/>
    <cellStyle name="표준 5 2 4 33 4" xfId="7987"/>
    <cellStyle name="표준 5 2 4 33 4 2" xfId="20661"/>
    <cellStyle name="표준 5 2 4 33 4 2 2" xfId="46013"/>
    <cellStyle name="표준 5 2 4 33 4 3" xfId="33341"/>
    <cellStyle name="표준 5 2 4 33 5" xfId="14325"/>
    <cellStyle name="표준 5 2 4 33 5 2" xfId="39677"/>
    <cellStyle name="표준 5 2 4 33 6" xfId="27005"/>
    <cellStyle name="표준 5 2 4 34" xfId="1652"/>
    <cellStyle name="표준 5 2 4 34 2" xfId="4783"/>
    <cellStyle name="표준 5 2 4 34 2 2" xfId="11119"/>
    <cellStyle name="표준 5 2 4 34 2 2 2" xfId="23793"/>
    <cellStyle name="표준 5 2 4 34 2 2 2 2" xfId="49145"/>
    <cellStyle name="표준 5 2 4 34 2 2 3" xfId="36473"/>
    <cellStyle name="표준 5 2 4 34 2 3" xfId="17457"/>
    <cellStyle name="표준 5 2 4 34 2 3 2" xfId="42809"/>
    <cellStyle name="표준 5 2 4 34 2 4" xfId="30137"/>
    <cellStyle name="표준 5 2 4 34 3" xfId="7989"/>
    <cellStyle name="표준 5 2 4 34 3 2" xfId="20663"/>
    <cellStyle name="표준 5 2 4 34 3 2 2" xfId="46015"/>
    <cellStyle name="표준 5 2 4 34 3 3" xfId="33343"/>
    <cellStyle name="표준 5 2 4 34 4" xfId="14327"/>
    <cellStyle name="표준 5 2 4 34 4 2" xfId="39679"/>
    <cellStyle name="표준 5 2 4 34 5" xfId="27007"/>
    <cellStyle name="표준 5 2 4 35" xfId="4784"/>
    <cellStyle name="표준 5 2 4 35 2" xfId="11120"/>
    <cellStyle name="표준 5 2 4 35 2 2" xfId="23794"/>
    <cellStyle name="표준 5 2 4 35 2 2 2" xfId="49146"/>
    <cellStyle name="표준 5 2 4 35 2 3" xfId="36474"/>
    <cellStyle name="표준 5 2 4 35 3" xfId="17458"/>
    <cellStyle name="표준 5 2 4 35 3 2" xfId="42810"/>
    <cellStyle name="표준 5 2 4 35 4" xfId="30138"/>
    <cellStyle name="표준 5 2 4 36" xfId="6417"/>
    <cellStyle name="표준 5 2 4 36 2" xfId="19091"/>
    <cellStyle name="표준 5 2 4 36 2 2" xfId="44443"/>
    <cellStyle name="표준 5 2 4 36 3" xfId="31771"/>
    <cellStyle name="표준 5 2 4 37" xfId="12755"/>
    <cellStyle name="표준 5 2 4 37 2" xfId="38107"/>
    <cellStyle name="표준 5 2 4 38" xfId="25435"/>
    <cellStyle name="표준 5 2 4 4" xfId="1653"/>
    <cellStyle name="표준 5 2 4 4 2" xfId="1654"/>
    <cellStyle name="표준 5 2 4 4 2 2" xfId="4785"/>
    <cellStyle name="표준 5 2 4 4 2 2 2" xfId="11121"/>
    <cellStyle name="표준 5 2 4 4 2 2 2 2" xfId="23795"/>
    <cellStyle name="표준 5 2 4 4 2 2 2 2 2" xfId="49147"/>
    <cellStyle name="표준 5 2 4 4 2 2 2 3" xfId="36475"/>
    <cellStyle name="표준 5 2 4 4 2 2 3" xfId="17459"/>
    <cellStyle name="표준 5 2 4 4 2 2 3 2" xfId="42811"/>
    <cellStyle name="표준 5 2 4 4 2 2 4" xfId="30139"/>
    <cellStyle name="표준 5 2 4 4 2 3" xfId="7991"/>
    <cellStyle name="표준 5 2 4 4 2 3 2" xfId="20665"/>
    <cellStyle name="표준 5 2 4 4 2 3 2 2" xfId="46017"/>
    <cellStyle name="표준 5 2 4 4 2 3 3" xfId="33345"/>
    <cellStyle name="표준 5 2 4 4 2 4" xfId="14329"/>
    <cellStyle name="표준 5 2 4 4 2 4 2" xfId="39681"/>
    <cellStyle name="표준 5 2 4 4 2 5" xfId="27009"/>
    <cellStyle name="표준 5 2 4 4 3" xfId="4786"/>
    <cellStyle name="표준 5 2 4 4 3 2" xfId="11122"/>
    <cellStyle name="표준 5 2 4 4 3 2 2" xfId="23796"/>
    <cellStyle name="표준 5 2 4 4 3 2 2 2" xfId="49148"/>
    <cellStyle name="표준 5 2 4 4 3 2 3" xfId="36476"/>
    <cellStyle name="표준 5 2 4 4 3 3" xfId="17460"/>
    <cellStyle name="표준 5 2 4 4 3 3 2" xfId="42812"/>
    <cellStyle name="표준 5 2 4 4 3 4" xfId="30140"/>
    <cellStyle name="표준 5 2 4 4 4" xfId="7990"/>
    <cellStyle name="표준 5 2 4 4 4 2" xfId="20664"/>
    <cellStyle name="표준 5 2 4 4 4 2 2" xfId="46016"/>
    <cellStyle name="표준 5 2 4 4 4 3" xfId="33344"/>
    <cellStyle name="표준 5 2 4 4 5" xfId="14328"/>
    <cellStyle name="표준 5 2 4 4 5 2" xfId="39680"/>
    <cellStyle name="표준 5 2 4 4 6" xfId="27008"/>
    <cellStyle name="표준 5 2 4 5" xfId="1655"/>
    <cellStyle name="표준 5 2 4 5 2" xfId="1656"/>
    <cellStyle name="표준 5 2 4 5 2 2" xfId="4787"/>
    <cellStyle name="표준 5 2 4 5 2 2 2" xfId="11123"/>
    <cellStyle name="표준 5 2 4 5 2 2 2 2" xfId="23797"/>
    <cellStyle name="표준 5 2 4 5 2 2 2 2 2" xfId="49149"/>
    <cellStyle name="표준 5 2 4 5 2 2 2 3" xfId="36477"/>
    <cellStyle name="표준 5 2 4 5 2 2 3" xfId="17461"/>
    <cellStyle name="표준 5 2 4 5 2 2 3 2" xfId="42813"/>
    <cellStyle name="표준 5 2 4 5 2 2 4" xfId="30141"/>
    <cellStyle name="표준 5 2 4 5 2 3" xfId="7993"/>
    <cellStyle name="표준 5 2 4 5 2 3 2" xfId="20667"/>
    <cellStyle name="표준 5 2 4 5 2 3 2 2" xfId="46019"/>
    <cellStyle name="표준 5 2 4 5 2 3 3" xfId="33347"/>
    <cellStyle name="표준 5 2 4 5 2 4" xfId="14331"/>
    <cellStyle name="표준 5 2 4 5 2 4 2" xfId="39683"/>
    <cellStyle name="표준 5 2 4 5 2 5" xfId="27011"/>
    <cellStyle name="표준 5 2 4 5 3" xfId="4788"/>
    <cellStyle name="표준 5 2 4 5 3 2" xfId="11124"/>
    <cellStyle name="표준 5 2 4 5 3 2 2" xfId="23798"/>
    <cellStyle name="표준 5 2 4 5 3 2 2 2" xfId="49150"/>
    <cellStyle name="표준 5 2 4 5 3 2 3" xfId="36478"/>
    <cellStyle name="표준 5 2 4 5 3 3" xfId="17462"/>
    <cellStyle name="표준 5 2 4 5 3 3 2" xfId="42814"/>
    <cellStyle name="표준 5 2 4 5 3 4" xfId="30142"/>
    <cellStyle name="표준 5 2 4 5 4" xfId="7992"/>
    <cellStyle name="표준 5 2 4 5 4 2" xfId="20666"/>
    <cellStyle name="표준 5 2 4 5 4 2 2" xfId="46018"/>
    <cellStyle name="표준 5 2 4 5 4 3" xfId="33346"/>
    <cellStyle name="표준 5 2 4 5 5" xfId="14330"/>
    <cellStyle name="표준 5 2 4 5 5 2" xfId="39682"/>
    <cellStyle name="표준 5 2 4 5 6" xfId="27010"/>
    <cellStyle name="표준 5 2 4 6" xfId="1657"/>
    <cellStyle name="표준 5 2 4 6 2" xfId="1658"/>
    <cellStyle name="표준 5 2 4 6 2 2" xfId="4789"/>
    <cellStyle name="표준 5 2 4 6 2 2 2" xfId="11125"/>
    <cellStyle name="표준 5 2 4 6 2 2 2 2" xfId="23799"/>
    <cellStyle name="표준 5 2 4 6 2 2 2 2 2" xfId="49151"/>
    <cellStyle name="표준 5 2 4 6 2 2 2 3" xfId="36479"/>
    <cellStyle name="표준 5 2 4 6 2 2 3" xfId="17463"/>
    <cellStyle name="표준 5 2 4 6 2 2 3 2" xfId="42815"/>
    <cellStyle name="표준 5 2 4 6 2 2 4" xfId="30143"/>
    <cellStyle name="표준 5 2 4 6 2 3" xfId="7995"/>
    <cellStyle name="표준 5 2 4 6 2 3 2" xfId="20669"/>
    <cellStyle name="표준 5 2 4 6 2 3 2 2" xfId="46021"/>
    <cellStyle name="표준 5 2 4 6 2 3 3" xfId="33349"/>
    <cellStyle name="표준 5 2 4 6 2 4" xfId="14333"/>
    <cellStyle name="표준 5 2 4 6 2 4 2" xfId="39685"/>
    <cellStyle name="표준 5 2 4 6 2 5" xfId="27013"/>
    <cellStyle name="표준 5 2 4 6 3" xfId="4790"/>
    <cellStyle name="표준 5 2 4 6 3 2" xfId="11126"/>
    <cellStyle name="표준 5 2 4 6 3 2 2" xfId="23800"/>
    <cellStyle name="표준 5 2 4 6 3 2 2 2" xfId="49152"/>
    <cellStyle name="표준 5 2 4 6 3 2 3" xfId="36480"/>
    <cellStyle name="표준 5 2 4 6 3 3" xfId="17464"/>
    <cellStyle name="표준 5 2 4 6 3 3 2" xfId="42816"/>
    <cellStyle name="표준 5 2 4 6 3 4" xfId="30144"/>
    <cellStyle name="표준 5 2 4 6 4" xfId="7994"/>
    <cellStyle name="표준 5 2 4 6 4 2" xfId="20668"/>
    <cellStyle name="표준 5 2 4 6 4 2 2" xfId="46020"/>
    <cellStyle name="표준 5 2 4 6 4 3" xfId="33348"/>
    <cellStyle name="표준 5 2 4 6 5" xfId="14332"/>
    <cellStyle name="표준 5 2 4 6 5 2" xfId="39684"/>
    <cellStyle name="표준 5 2 4 6 6" xfId="27012"/>
    <cellStyle name="표준 5 2 4 7" xfId="1659"/>
    <cellStyle name="표준 5 2 4 7 2" xfId="1660"/>
    <cellStyle name="표준 5 2 4 7 2 2" xfId="4791"/>
    <cellStyle name="표준 5 2 4 7 2 2 2" xfId="11127"/>
    <cellStyle name="표준 5 2 4 7 2 2 2 2" xfId="23801"/>
    <cellStyle name="표준 5 2 4 7 2 2 2 2 2" xfId="49153"/>
    <cellStyle name="표준 5 2 4 7 2 2 2 3" xfId="36481"/>
    <cellStyle name="표준 5 2 4 7 2 2 3" xfId="17465"/>
    <cellStyle name="표준 5 2 4 7 2 2 3 2" xfId="42817"/>
    <cellStyle name="표준 5 2 4 7 2 2 4" xfId="30145"/>
    <cellStyle name="표준 5 2 4 7 2 3" xfId="7997"/>
    <cellStyle name="표준 5 2 4 7 2 3 2" xfId="20671"/>
    <cellStyle name="표준 5 2 4 7 2 3 2 2" xfId="46023"/>
    <cellStyle name="표준 5 2 4 7 2 3 3" xfId="33351"/>
    <cellStyle name="표준 5 2 4 7 2 4" xfId="14335"/>
    <cellStyle name="표준 5 2 4 7 2 4 2" xfId="39687"/>
    <cellStyle name="표준 5 2 4 7 2 5" xfId="27015"/>
    <cellStyle name="표준 5 2 4 7 3" xfId="4792"/>
    <cellStyle name="표준 5 2 4 7 3 2" xfId="11128"/>
    <cellStyle name="표준 5 2 4 7 3 2 2" xfId="23802"/>
    <cellStyle name="표준 5 2 4 7 3 2 2 2" xfId="49154"/>
    <cellStyle name="표준 5 2 4 7 3 2 3" xfId="36482"/>
    <cellStyle name="표준 5 2 4 7 3 3" xfId="17466"/>
    <cellStyle name="표준 5 2 4 7 3 3 2" xfId="42818"/>
    <cellStyle name="표준 5 2 4 7 3 4" xfId="30146"/>
    <cellStyle name="표준 5 2 4 7 4" xfId="7996"/>
    <cellStyle name="표준 5 2 4 7 4 2" xfId="20670"/>
    <cellStyle name="표준 5 2 4 7 4 2 2" xfId="46022"/>
    <cellStyle name="표준 5 2 4 7 4 3" xfId="33350"/>
    <cellStyle name="표준 5 2 4 7 5" xfId="14334"/>
    <cellStyle name="표준 5 2 4 7 5 2" xfId="39686"/>
    <cellStyle name="표준 5 2 4 7 6" xfId="27014"/>
    <cellStyle name="표준 5 2 4 8" xfId="1661"/>
    <cellStyle name="표준 5 2 4 8 2" xfId="1662"/>
    <cellStyle name="표준 5 2 4 8 2 2" xfId="4793"/>
    <cellStyle name="표준 5 2 4 8 2 2 2" xfId="11129"/>
    <cellStyle name="표준 5 2 4 8 2 2 2 2" xfId="23803"/>
    <cellStyle name="표준 5 2 4 8 2 2 2 2 2" xfId="49155"/>
    <cellStyle name="표준 5 2 4 8 2 2 2 3" xfId="36483"/>
    <cellStyle name="표준 5 2 4 8 2 2 3" xfId="17467"/>
    <cellStyle name="표준 5 2 4 8 2 2 3 2" xfId="42819"/>
    <cellStyle name="표준 5 2 4 8 2 2 4" xfId="30147"/>
    <cellStyle name="표준 5 2 4 8 2 3" xfId="7999"/>
    <cellStyle name="표준 5 2 4 8 2 3 2" xfId="20673"/>
    <cellStyle name="표준 5 2 4 8 2 3 2 2" xfId="46025"/>
    <cellStyle name="표준 5 2 4 8 2 3 3" xfId="33353"/>
    <cellStyle name="표준 5 2 4 8 2 4" xfId="14337"/>
    <cellStyle name="표준 5 2 4 8 2 4 2" xfId="39689"/>
    <cellStyle name="표준 5 2 4 8 2 5" xfId="27017"/>
    <cellStyle name="표준 5 2 4 8 3" xfId="4794"/>
    <cellStyle name="표준 5 2 4 8 3 2" xfId="11130"/>
    <cellStyle name="표준 5 2 4 8 3 2 2" xfId="23804"/>
    <cellStyle name="표준 5 2 4 8 3 2 2 2" xfId="49156"/>
    <cellStyle name="표준 5 2 4 8 3 2 3" xfId="36484"/>
    <cellStyle name="표준 5 2 4 8 3 3" xfId="17468"/>
    <cellStyle name="표준 5 2 4 8 3 3 2" xfId="42820"/>
    <cellStyle name="표준 5 2 4 8 3 4" xfId="30148"/>
    <cellStyle name="표준 5 2 4 8 4" xfId="7998"/>
    <cellStyle name="표준 5 2 4 8 4 2" xfId="20672"/>
    <cellStyle name="표준 5 2 4 8 4 2 2" xfId="46024"/>
    <cellStyle name="표준 5 2 4 8 4 3" xfId="33352"/>
    <cellStyle name="표준 5 2 4 8 5" xfId="14336"/>
    <cellStyle name="표준 5 2 4 8 5 2" xfId="39688"/>
    <cellStyle name="표준 5 2 4 8 6" xfId="27016"/>
    <cellStyle name="표준 5 2 4 9" xfId="1663"/>
    <cellStyle name="표준 5 2 4 9 2" xfId="1664"/>
    <cellStyle name="표준 5 2 4 9 2 2" xfId="4795"/>
    <cellStyle name="표준 5 2 4 9 2 2 2" xfId="11131"/>
    <cellStyle name="표준 5 2 4 9 2 2 2 2" xfId="23805"/>
    <cellStyle name="표준 5 2 4 9 2 2 2 2 2" xfId="49157"/>
    <cellStyle name="표준 5 2 4 9 2 2 2 3" xfId="36485"/>
    <cellStyle name="표준 5 2 4 9 2 2 3" xfId="17469"/>
    <cellStyle name="표준 5 2 4 9 2 2 3 2" xfId="42821"/>
    <cellStyle name="표준 5 2 4 9 2 2 4" xfId="30149"/>
    <cellStyle name="표준 5 2 4 9 2 3" xfId="8001"/>
    <cellStyle name="표준 5 2 4 9 2 3 2" xfId="20675"/>
    <cellStyle name="표준 5 2 4 9 2 3 2 2" xfId="46027"/>
    <cellStyle name="표준 5 2 4 9 2 3 3" xfId="33355"/>
    <cellStyle name="표준 5 2 4 9 2 4" xfId="14339"/>
    <cellStyle name="표준 5 2 4 9 2 4 2" xfId="39691"/>
    <cellStyle name="표준 5 2 4 9 2 5" xfId="27019"/>
    <cellStyle name="표준 5 2 4 9 3" xfId="4796"/>
    <cellStyle name="표준 5 2 4 9 3 2" xfId="11132"/>
    <cellStyle name="표준 5 2 4 9 3 2 2" xfId="23806"/>
    <cellStyle name="표준 5 2 4 9 3 2 2 2" xfId="49158"/>
    <cellStyle name="표준 5 2 4 9 3 2 3" xfId="36486"/>
    <cellStyle name="표준 5 2 4 9 3 3" xfId="17470"/>
    <cellStyle name="표준 5 2 4 9 3 3 2" xfId="42822"/>
    <cellStyle name="표준 5 2 4 9 3 4" xfId="30150"/>
    <cellStyle name="표준 5 2 4 9 4" xfId="8000"/>
    <cellStyle name="표준 5 2 4 9 4 2" xfId="20674"/>
    <cellStyle name="표준 5 2 4 9 4 2 2" xfId="46026"/>
    <cellStyle name="표준 5 2 4 9 4 3" xfId="33354"/>
    <cellStyle name="표준 5 2 4 9 5" xfId="14338"/>
    <cellStyle name="표준 5 2 4 9 5 2" xfId="39690"/>
    <cellStyle name="표준 5 2 4 9 6" xfId="27018"/>
    <cellStyle name="표준 5 2 40" xfId="12713"/>
    <cellStyle name="표준 5 2 40 2" xfId="38065"/>
    <cellStyle name="표준 5 2 41" xfId="25393"/>
    <cellStyle name="표준 5 2 5" xfId="80"/>
    <cellStyle name="표준 5 2 5 2" xfId="1665"/>
    <cellStyle name="표준 5 2 5 2 2" xfId="4797"/>
    <cellStyle name="표준 5 2 5 2 2 2" xfId="11133"/>
    <cellStyle name="표준 5 2 5 2 2 2 2" xfId="23807"/>
    <cellStyle name="표준 5 2 5 2 2 2 2 2" xfId="49159"/>
    <cellStyle name="표준 5 2 5 2 2 2 3" xfId="36487"/>
    <cellStyle name="표준 5 2 5 2 2 3" xfId="17471"/>
    <cellStyle name="표준 5 2 5 2 2 3 2" xfId="42823"/>
    <cellStyle name="표준 5 2 5 2 2 4" xfId="30151"/>
    <cellStyle name="표준 5 2 5 2 3" xfId="8002"/>
    <cellStyle name="표준 5 2 5 2 3 2" xfId="20676"/>
    <cellStyle name="표준 5 2 5 2 3 2 2" xfId="46028"/>
    <cellStyle name="표준 5 2 5 2 3 3" xfId="33356"/>
    <cellStyle name="표준 5 2 5 2 4" xfId="14340"/>
    <cellStyle name="표준 5 2 5 2 4 2" xfId="39692"/>
    <cellStyle name="표준 5 2 5 2 5" xfId="27020"/>
    <cellStyle name="표준 5 2 5 3" xfId="4798"/>
    <cellStyle name="표준 5 2 5 3 2" xfId="11134"/>
    <cellStyle name="표준 5 2 5 3 2 2" xfId="23808"/>
    <cellStyle name="표준 5 2 5 3 2 2 2" xfId="49160"/>
    <cellStyle name="표준 5 2 5 3 2 3" xfId="36488"/>
    <cellStyle name="표준 5 2 5 3 3" xfId="17472"/>
    <cellStyle name="표준 5 2 5 3 3 2" xfId="42824"/>
    <cellStyle name="표준 5 2 5 3 4" xfId="30152"/>
    <cellStyle name="표준 5 2 5 4" xfId="6418"/>
    <cellStyle name="표준 5 2 5 4 2" xfId="19092"/>
    <cellStyle name="표준 5 2 5 4 2 2" xfId="44444"/>
    <cellStyle name="표준 5 2 5 4 3" xfId="31772"/>
    <cellStyle name="표준 5 2 5 5" xfId="12756"/>
    <cellStyle name="표준 5 2 5 5 2" xfId="38108"/>
    <cellStyle name="표준 5 2 5 6" xfId="25436"/>
    <cellStyle name="표준 5 2 6" xfId="1666"/>
    <cellStyle name="표준 5 2 6 2" xfId="1667"/>
    <cellStyle name="표준 5 2 6 2 2" xfId="4799"/>
    <cellStyle name="표준 5 2 6 2 2 2" xfId="11135"/>
    <cellStyle name="표준 5 2 6 2 2 2 2" xfId="23809"/>
    <cellStyle name="표준 5 2 6 2 2 2 2 2" xfId="49161"/>
    <cellStyle name="표준 5 2 6 2 2 2 3" xfId="36489"/>
    <cellStyle name="표준 5 2 6 2 2 3" xfId="17473"/>
    <cellStyle name="표준 5 2 6 2 2 3 2" xfId="42825"/>
    <cellStyle name="표준 5 2 6 2 2 4" xfId="30153"/>
    <cellStyle name="표준 5 2 6 2 3" xfId="8004"/>
    <cellStyle name="표준 5 2 6 2 3 2" xfId="20678"/>
    <cellStyle name="표준 5 2 6 2 3 2 2" xfId="46030"/>
    <cellStyle name="표준 5 2 6 2 3 3" xfId="33358"/>
    <cellStyle name="표준 5 2 6 2 4" xfId="14342"/>
    <cellStyle name="표준 5 2 6 2 4 2" xfId="39694"/>
    <cellStyle name="표준 5 2 6 2 5" xfId="27022"/>
    <cellStyle name="표준 5 2 6 3" xfId="4800"/>
    <cellStyle name="표준 5 2 6 3 2" xfId="11136"/>
    <cellStyle name="표준 5 2 6 3 2 2" xfId="23810"/>
    <cellStyle name="표준 5 2 6 3 2 2 2" xfId="49162"/>
    <cellStyle name="표준 5 2 6 3 2 3" xfId="36490"/>
    <cellStyle name="표준 5 2 6 3 3" xfId="17474"/>
    <cellStyle name="표준 5 2 6 3 3 2" xfId="42826"/>
    <cellStyle name="표준 5 2 6 3 4" xfId="30154"/>
    <cellStyle name="표준 5 2 6 4" xfId="8003"/>
    <cellStyle name="표준 5 2 6 4 2" xfId="20677"/>
    <cellStyle name="표준 5 2 6 4 2 2" xfId="46029"/>
    <cellStyle name="표준 5 2 6 4 3" xfId="33357"/>
    <cellStyle name="표준 5 2 6 5" xfId="14341"/>
    <cellStyle name="표준 5 2 6 5 2" xfId="39693"/>
    <cellStyle name="표준 5 2 6 6" xfId="27021"/>
    <cellStyle name="표준 5 2 7" xfId="1668"/>
    <cellStyle name="표준 5 2 7 2" xfId="1669"/>
    <cellStyle name="표준 5 2 7 2 2" xfId="4801"/>
    <cellStyle name="표준 5 2 7 2 2 2" xfId="11137"/>
    <cellStyle name="표준 5 2 7 2 2 2 2" xfId="23811"/>
    <cellStyle name="표준 5 2 7 2 2 2 2 2" xfId="49163"/>
    <cellStyle name="표준 5 2 7 2 2 2 3" xfId="36491"/>
    <cellStyle name="표준 5 2 7 2 2 3" xfId="17475"/>
    <cellStyle name="표준 5 2 7 2 2 3 2" xfId="42827"/>
    <cellStyle name="표준 5 2 7 2 2 4" xfId="30155"/>
    <cellStyle name="표준 5 2 7 2 3" xfId="8006"/>
    <cellStyle name="표준 5 2 7 2 3 2" xfId="20680"/>
    <cellStyle name="표준 5 2 7 2 3 2 2" xfId="46032"/>
    <cellStyle name="표준 5 2 7 2 3 3" xfId="33360"/>
    <cellStyle name="표준 5 2 7 2 4" xfId="14344"/>
    <cellStyle name="표준 5 2 7 2 4 2" xfId="39696"/>
    <cellStyle name="표준 5 2 7 2 5" xfId="27024"/>
    <cellStyle name="표준 5 2 7 3" xfId="4802"/>
    <cellStyle name="표준 5 2 7 3 2" xfId="11138"/>
    <cellStyle name="표준 5 2 7 3 2 2" xfId="23812"/>
    <cellStyle name="표준 5 2 7 3 2 2 2" xfId="49164"/>
    <cellStyle name="표준 5 2 7 3 2 3" xfId="36492"/>
    <cellStyle name="표준 5 2 7 3 3" xfId="17476"/>
    <cellStyle name="표준 5 2 7 3 3 2" xfId="42828"/>
    <cellStyle name="표준 5 2 7 3 4" xfId="30156"/>
    <cellStyle name="표준 5 2 7 4" xfId="8005"/>
    <cellStyle name="표준 5 2 7 4 2" xfId="20679"/>
    <cellStyle name="표준 5 2 7 4 2 2" xfId="46031"/>
    <cellStyle name="표준 5 2 7 4 3" xfId="33359"/>
    <cellStyle name="표준 5 2 7 5" xfId="14343"/>
    <cellStyle name="표준 5 2 7 5 2" xfId="39695"/>
    <cellStyle name="표준 5 2 7 6" xfId="27023"/>
    <cellStyle name="표준 5 2 8" xfId="1670"/>
    <cellStyle name="표준 5 2 8 2" xfId="1671"/>
    <cellStyle name="표준 5 2 8 2 2" xfId="4803"/>
    <cellStyle name="표준 5 2 8 2 2 2" xfId="11139"/>
    <cellStyle name="표준 5 2 8 2 2 2 2" xfId="23813"/>
    <cellStyle name="표준 5 2 8 2 2 2 2 2" xfId="49165"/>
    <cellStyle name="표준 5 2 8 2 2 2 3" xfId="36493"/>
    <cellStyle name="표준 5 2 8 2 2 3" xfId="17477"/>
    <cellStyle name="표준 5 2 8 2 2 3 2" xfId="42829"/>
    <cellStyle name="표준 5 2 8 2 2 4" xfId="30157"/>
    <cellStyle name="표준 5 2 8 2 3" xfId="8008"/>
    <cellStyle name="표준 5 2 8 2 3 2" xfId="20682"/>
    <cellStyle name="표준 5 2 8 2 3 2 2" xfId="46034"/>
    <cellStyle name="표준 5 2 8 2 3 3" xfId="33362"/>
    <cellStyle name="표준 5 2 8 2 4" xfId="14346"/>
    <cellStyle name="표준 5 2 8 2 4 2" xfId="39698"/>
    <cellStyle name="표준 5 2 8 2 5" xfId="27026"/>
    <cellStyle name="표준 5 2 8 3" xfId="4804"/>
    <cellStyle name="표준 5 2 8 3 2" xfId="11140"/>
    <cellStyle name="표준 5 2 8 3 2 2" xfId="23814"/>
    <cellStyle name="표준 5 2 8 3 2 2 2" xfId="49166"/>
    <cellStyle name="표준 5 2 8 3 2 3" xfId="36494"/>
    <cellStyle name="표준 5 2 8 3 3" xfId="17478"/>
    <cellStyle name="표준 5 2 8 3 3 2" xfId="42830"/>
    <cellStyle name="표준 5 2 8 3 4" xfId="30158"/>
    <cellStyle name="표준 5 2 8 4" xfId="8007"/>
    <cellStyle name="표준 5 2 8 4 2" xfId="20681"/>
    <cellStyle name="표준 5 2 8 4 2 2" xfId="46033"/>
    <cellStyle name="표준 5 2 8 4 3" xfId="33361"/>
    <cellStyle name="표준 5 2 8 5" xfId="14345"/>
    <cellStyle name="표준 5 2 8 5 2" xfId="39697"/>
    <cellStyle name="표준 5 2 8 6" xfId="27025"/>
    <cellStyle name="표준 5 2 9" xfId="1672"/>
    <cellStyle name="표준 5 2 9 2" xfId="1673"/>
    <cellStyle name="표준 5 2 9 2 2" xfId="4805"/>
    <cellStyle name="표준 5 2 9 2 2 2" xfId="11141"/>
    <cellStyle name="표준 5 2 9 2 2 2 2" xfId="23815"/>
    <cellStyle name="표준 5 2 9 2 2 2 2 2" xfId="49167"/>
    <cellStyle name="표준 5 2 9 2 2 2 3" xfId="36495"/>
    <cellStyle name="표준 5 2 9 2 2 3" xfId="17479"/>
    <cellStyle name="표준 5 2 9 2 2 3 2" xfId="42831"/>
    <cellStyle name="표준 5 2 9 2 2 4" xfId="30159"/>
    <cellStyle name="표준 5 2 9 2 3" xfId="8010"/>
    <cellStyle name="표준 5 2 9 2 3 2" xfId="20684"/>
    <cellStyle name="표준 5 2 9 2 3 2 2" xfId="46036"/>
    <cellStyle name="표준 5 2 9 2 3 3" xfId="33364"/>
    <cellStyle name="표준 5 2 9 2 4" xfId="14348"/>
    <cellStyle name="표준 5 2 9 2 4 2" xfId="39700"/>
    <cellStyle name="표준 5 2 9 2 5" xfId="27028"/>
    <cellStyle name="표준 5 2 9 3" xfId="4806"/>
    <cellStyle name="표준 5 2 9 3 2" xfId="11142"/>
    <cellStyle name="표준 5 2 9 3 2 2" xfId="23816"/>
    <cellStyle name="표준 5 2 9 3 2 2 2" xfId="49168"/>
    <cellStyle name="표준 5 2 9 3 2 3" xfId="36496"/>
    <cellStyle name="표준 5 2 9 3 3" xfId="17480"/>
    <cellStyle name="표준 5 2 9 3 3 2" xfId="42832"/>
    <cellStyle name="표준 5 2 9 3 4" xfId="30160"/>
    <cellStyle name="표준 5 2 9 4" xfId="8009"/>
    <cellStyle name="표준 5 2 9 4 2" xfId="20683"/>
    <cellStyle name="표준 5 2 9 4 2 2" xfId="46035"/>
    <cellStyle name="표준 5 2 9 4 3" xfId="33363"/>
    <cellStyle name="표준 5 2 9 5" xfId="14347"/>
    <cellStyle name="표준 5 2 9 5 2" xfId="39699"/>
    <cellStyle name="표준 5 2 9 6" xfId="27027"/>
    <cellStyle name="표준 5 20" xfId="1674"/>
    <cellStyle name="표준 5 20 2" xfId="1675"/>
    <cellStyle name="표준 5 20 2 2" xfId="4807"/>
    <cellStyle name="표준 5 20 2 2 2" xfId="11143"/>
    <cellStyle name="표준 5 20 2 2 2 2" xfId="23817"/>
    <cellStyle name="표준 5 20 2 2 2 2 2" xfId="49169"/>
    <cellStyle name="표준 5 20 2 2 2 3" xfId="36497"/>
    <cellStyle name="표준 5 20 2 2 3" xfId="17481"/>
    <cellStyle name="표준 5 20 2 2 3 2" xfId="42833"/>
    <cellStyle name="표준 5 20 2 2 4" xfId="30161"/>
    <cellStyle name="표준 5 20 2 3" xfId="8012"/>
    <cellStyle name="표준 5 20 2 3 2" xfId="20686"/>
    <cellStyle name="표준 5 20 2 3 2 2" xfId="46038"/>
    <cellStyle name="표준 5 20 2 3 3" xfId="33366"/>
    <cellStyle name="표준 5 20 2 4" xfId="14350"/>
    <cellStyle name="표준 5 20 2 4 2" xfId="39702"/>
    <cellStyle name="표준 5 20 2 5" xfId="27030"/>
    <cellStyle name="표준 5 20 3" xfId="4808"/>
    <cellStyle name="표준 5 20 3 2" xfId="11144"/>
    <cellStyle name="표준 5 20 3 2 2" xfId="23818"/>
    <cellStyle name="표준 5 20 3 2 2 2" xfId="49170"/>
    <cellStyle name="표준 5 20 3 2 3" xfId="36498"/>
    <cellStyle name="표준 5 20 3 3" xfId="17482"/>
    <cellStyle name="표준 5 20 3 3 2" xfId="42834"/>
    <cellStyle name="표준 5 20 3 4" xfId="30162"/>
    <cellStyle name="표준 5 20 4" xfId="8011"/>
    <cellStyle name="표준 5 20 4 2" xfId="20685"/>
    <cellStyle name="표준 5 20 4 2 2" xfId="46037"/>
    <cellStyle name="표준 5 20 4 3" xfId="33365"/>
    <cellStyle name="표준 5 20 5" xfId="14349"/>
    <cellStyle name="표준 5 20 5 2" xfId="39701"/>
    <cellStyle name="표준 5 20 6" xfId="27029"/>
    <cellStyle name="표준 5 21" xfId="1676"/>
    <cellStyle name="표준 5 21 2" xfId="1677"/>
    <cellStyle name="표준 5 21 2 2" xfId="4809"/>
    <cellStyle name="표준 5 21 2 2 2" xfId="11145"/>
    <cellStyle name="표준 5 21 2 2 2 2" xfId="23819"/>
    <cellStyle name="표준 5 21 2 2 2 2 2" xfId="49171"/>
    <cellStyle name="표준 5 21 2 2 2 3" xfId="36499"/>
    <cellStyle name="표준 5 21 2 2 3" xfId="17483"/>
    <cellStyle name="표준 5 21 2 2 3 2" xfId="42835"/>
    <cellStyle name="표준 5 21 2 2 4" xfId="30163"/>
    <cellStyle name="표준 5 21 2 3" xfId="8014"/>
    <cellStyle name="표준 5 21 2 3 2" xfId="20688"/>
    <cellStyle name="표준 5 21 2 3 2 2" xfId="46040"/>
    <cellStyle name="표준 5 21 2 3 3" xfId="33368"/>
    <cellStyle name="표준 5 21 2 4" xfId="14352"/>
    <cellStyle name="표준 5 21 2 4 2" xfId="39704"/>
    <cellStyle name="표준 5 21 2 5" xfId="27032"/>
    <cellStyle name="표준 5 21 3" xfId="4810"/>
    <cellStyle name="표준 5 21 3 2" xfId="11146"/>
    <cellStyle name="표준 5 21 3 2 2" xfId="23820"/>
    <cellStyle name="표준 5 21 3 2 2 2" xfId="49172"/>
    <cellStyle name="표준 5 21 3 2 3" xfId="36500"/>
    <cellStyle name="표준 5 21 3 3" xfId="17484"/>
    <cellStyle name="표준 5 21 3 3 2" xfId="42836"/>
    <cellStyle name="표준 5 21 3 4" xfId="30164"/>
    <cellStyle name="표준 5 21 4" xfId="8013"/>
    <cellStyle name="표준 5 21 4 2" xfId="20687"/>
    <cellStyle name="표준 5 21 4 2 2" xfId="46039"/>
    <cellStyle name="표준 5 21 4 3" xfId="33367"/>
    <cellStyle name="표준 5 21 5" xfId="14351"/>
    <cellStyle name="표준 5 21 5 2" xfId="39703"/>
    <cellStyle name="표준 5 21 6" xfId="27031"/>
    <cellStyle name="표준 5 22" xfId="1678"/>
    <cellStyle name="표준 5 22 2" xfId="1679"/>
    <cellStyle name="표준 5 22 2 2" xfId="4811"/>
    <cellStyle name="표준 5 22 2 2 2" xfId="11147"/>
    <cellStyle name="표준 5 22 2 2 2 2" xfId="23821"/>
    <cellStyle name="표준 5 22 2 2 2 2 2" xfId="49173"/>
    <cellStyle name="표준 5 22 2 2 2 3" xfId="36501"/>
    <cellStyle name="표준 5 22 2 2 3" xfId="17485"/>
    <cellStyle name="표준 5 22 2 2 3 2" xfId="42837"/>
    <cellStyle name="표준 5 22 2 2 4" xfId="30165"/>
    <cellStyle name="표준 5 22 2 3" xfId="8016"/>
    <cellStyle name="표준 5 22 2 3 2" xfId="20690"/>
    <cellStyle name="표준 5 22 2 3 2 2" xfId="46042"/>
    <cellStyle name="표준 5 22 2 3 3" xfId="33370"/>
    <cellStyle name="표준 5 22 2 4" xfId="14354"/>
    <cellStyle name="표준 5 22 2 4 2" xfId="39706"/>
    <cellStyle name="표준 5 22 2 5" xfId="27034"/>
    <cellStyle name="표준 5 22 3" xfId="4812"/>
    <cellStyle name="표준 5 22 3 2" xfId="11148"/>
    <cellStyle name="표준 5 22 3 2 2" xfId="23822"/>
    <cellStyle name="표준 5 22 3 2 2 2" xfId="49174"/>
    <cellStyle name="표준 5 22 3 2 3" xfId="36502"/>
    <cellStyle name="표준 5 22 3 3" xfId="17486"/>
    <cellStyle name="표준 5 22 3 3 2" xfId="42838"/>
    <cellStyle name="표준 5 22 3 4" xfId="30166"/>
    <cellStyle name="표준 5 22 4" xfId="8015"/>
    <cellStyle name="표준 5 22 4 2" xfId="20689"/>
    <cellStyle name="표준 5 22 4 2 2" xfId="46041"/>
    <cellStyle name="표준 5 22 4 3" xfId="33369"/>
    <cellStyle name="표준 5 22 5" xfId="14353"/>
    <cellStyle name="표준 5 22 5 2" xfId="39705"/>
    <cellStyle name="표준 5 22 6" xfId="27033"/>
    <cellStyle name="표준 5 23" xfId="1680"/>
    <cellStyle name="표준 5 23 2" xfId="1681"/>
    <cellStyle name="표준 5 23 2 2" xfId="4813"/>
    <cellStyle name="표준 5 23 2 2 2" xfId="11149"/>
    <cellStyle name="표준 5 23 2 2 2 2" xfId="23823"/>
    <cellStyle name="표준 5 23 2 2 2 2 2" xfId="49175"/>
    <cellStyle name="표준 5 23 2 2 2 3" xfId="36503"/>
    <cellStyle name="표준 5 23 2 2 3" xfId="17487"/>
    <cellStyle name="표준 5 23 2 2 3 2" xfId="42839"/>
    <cellStyle name="표준 5 23 2 2 4" xfId="30167"/>
    <cellStyle name="표준 5 23 2 3" xfId="8018"/>
    <cellStyle name="표준 5 23 2 3 2" xfId="20692"/>
    <cellStyle name="표준 5 23 2 3 2 2" xfId="46044"/>
    <cellStyle name="표준 5 23 2 3 3" xfId="33372"/>
    <cellStyle name="표준 5 23 2 4" xfId="14356"/>
    <cellStyle name="표준 5 23 2 4 2" xfId="39708"/>
    <cellStyle name="표준 5 23 2 5" xfId="27036"/>
    <cellStyle name="표준 5 23 3" xfId="4814"/>
    <cellStyle name="표준 5 23 3 2" xfId="11150"/>
    <cellStyle name="표준 5 23 3 2 2" xfId="23824"/>
    <cellStyle name="표준 5 23 3 2 2 2" xfId="49176"/>
    <cellStyle name="표준 5 23 3 2 3" xfId="36504"/>
    <cellStyle name="표준 5 23 3 3" xfId="17488"/>
    <cellStyle name="표준 5 23 3 3 2" xfId="42840"/>
    <cellStyle name="표준 5 23 3 4" xfId="30168"/>
    <cellStyle name="표준 5 23 4" xfId="8017"/>
    <cellStyle name="표준 5 23 4 2" xfId="20691"/>
    <cellStyle name="표준 5 23 4 2 2" xfId="46043"/>
    <cellStyle name="표준 5 23 4 3" xfId="33371"/>
    <cellStyle name="표준 5 23 5" xfId="14355"/>
    <cellStyle name="표준 5 23 5 2" xfId="39707"/>
    <cellStyle name="표준 5 23 6" xfId="27035"/>
    <cellStyle name="표준 5 24" xfId="1682"/>
    <cellStyle name="표준 5 24 2" xfId="1683"/>
    <cellStyle name="표준 5 24 2 2" xfId="4815"/>
    <cellStyle name="표준 5 24 2 2 2" xfId="11151"/>
    <cellStyle name="표준 5 24 2 2 2 2" xfId="23825"/>
    <cellStyle name="표준 5 24 2 2 2 2 2" xfId="49177"/>
    <cellStyle name="표준 5 24 2 2 2 3" xfId="36505"/>
    <cellStyle name="표준 5 24 2 2 3" xfId="17489"/>
    <cellStyle name="표준 5 24 2 2 3 2" xfId="42841"/>
    <cellStyle name="표준 5 24 2 2 4" xfId="30169"/>
    <cellStyle name="표준 5 24 2 3" xfId="8020"/>
    <cellStyle name="표준 5 24 2 3 2" xfId="20694"/>
    <cellStyle name="표준 5 24 2 3 2 2" xfId="46046"/>
    <cellStyle name="표준 5 24 2 3 3" xfId="33374"/>
    <cellStyle name="표준 5 24 2 4" xfId="14358"/>
    <cellStyle name="표준 5 24 2 4 2" xfId="39710"/>
    <cellStyle name="표준 5 24 2 5" xfId="27038"/>
    <cellStyle name="표준 5 24 3" xfId="4816"/>
    <cellStyle name="표준 5 24 3 2" xfId="11152"/>
    <cellStyle name="표준 5 24 3 2 2" xfId="23826"/>
    <cellStyle name="표준 5 24 3 2 2 2" xfId="49178"/>
    <cellStyle name="표준 5 24 3 2 3" xfId="36506"/>
    <cellStyle name="표준 5 24 3 3" xfId="17490"/>
    <cellStyle name="표준 5 24 3 3 2" xfId="42842"/>
    <cellStyle name="표준 5 24 3 4" xfId="30170"/>
    <cellStyle name="표준 5 24 4" xfId="8019"/>
    <cellStyle name="표준 5 24 4 2" xfId="20693"/>
    <cellStyle name="표준 5 24 4 2 2" xfId="46045"/>
    <cellStyle name="표준 5 24 4 3" xfId="33373"/>
    <cellStyle name="표준 5 24 5" xfId="14357"/>
    <cellStyle name="표준 5 24 5 2" xfId="39709"/>
    <cellStyle name="표준 5 24 6" xfId="27037"/>
    <cellStyle name="표준 5 25" xfId="1684"/>
    <cellStyle name="표준 5 25 2" xfId="1685"/>
    <cellStyle name="표준 5 25 2 2" xfId="4817"/>
    <cellStyle name="표준 5 25 2 2 2" xfId="11153"/>
    <cellStyle name="표준 5 25 2 2 2 2" xfId="23827"/>
    <cellStyle name="표준 5 25 2 2 2 2 2" xfId="49179"/>
    <cellStyle name="표준 5 25 2 2 2 3" xfId="36507"/>
    <cellStyle name="표준 5 25 2 2 3" xfId="17491"/>
    <cellStyle name="표준 5 25 2 2 3 2" xfId="42843"/>
    <cellStyle name="표준 5 25 2 2 4" xfId="30171"/>
    <cellStyle name="표준 5 25 2 3" xfId="8022"/>
    <cellStyle name="표준 5 25 2 3 2" xfId="20696"/>
    <cellStyle name="표준 5 25 2 3 2 2" xfId="46048"/>
    <cellStyle name="표준 5 25 2 3 3" xfId="33376"/>
    <cellStyle name="표준 5 25 2 4" xfId="14360"/>
    <cellStyle name="표준 5 25 2 4 2" xfId="39712"/>
    <cellStyle name="표준 5 25 2 5" xfId="27040"/>
    <cellStyle name="표준 5 25 3" xfId="4818"/>
    <cellStyle name="표준 5 25 3 2" xfId="11154"/>
    <cellStyle name="표준 5 25 3 2 2" xfId="23828"/>
    <cellStyle name="표준 5 25 3 2 2 2" xfId="49180"/>
    <cellStyle name="표준 5 25 3 2 3" xfId="36508"/>
    <cellStyle name="표준 5 25 3 3" xfId="17492"/>
    <cellStyle name="표준 5 25 3 3 2" xfId="42844"/>
    <cellStyle name="표준 5 25 3 4" xfId="30172"/>
    <cellStyle name="표준 5 25 4" xfId="8021"/>
    <cellStyle name="표준 5 25 4 2" xfId="20695"/>
    <cellStyle name="표준 5 25 4 2 2" xfId="46047"/>
    <cellStyle name="표준 5 25 4 3" xfId="33375"/>
    <cellStyle name="표준 5 25 5" xfId="14359"/>
    <cellStyle name="표준 5 25 5 2" xfId="39711"/>
    <cellStyle name="표준 5 25 6" xfId="27039"/>
    <cellStyle name="표준 5 26" xfId="1686"/>
    <cellStyle name="표준 5 26 2" xfId="1687"/>
    <cellStyle name="표준 5 26 2 2" xfId="4819"/>
    <cellStyle name="표준 5 26 2 2 2" xfId="11155"/>
    <cellStyle name="표준 5 26 2 2 2 2" xfId="23829"/>
    <cellStyle name="표준 5 26 2 2 2 2 2" xfId="49181"/>
    <cellStyle name="표준 5 26 2 2 2 3" xfId="36509"/>
    <cellStyle name="표준 5 26 2 2 3" xfId="17493"/>
    <cellStyle name="표준 5 26 2 2 3 2" xfId="42845"/>
    <cellStyle name="표준 5 26 2 2 4" xfId="30173"/>
    <cellStyle name="표준 5 26 2 3" xfId="8024"/>
    <cellStyle name="표준 5 26 2 3 2" xfId="20698"/>
    <cellStyle name="표준 5 26 2 3 2 2" xfId="46050"/>
    <cellStyle name="표준 5 26 2 3 3" xfId="33378"/>
    <cellStyle name="표준 5 26 2 4" xfId="14362"/>
    <cellStyle name="표준 5 26 2 4 2" xfId="39714"/>
    <cellStyle name="표준 5 26 2 5" xfId="27042"/>
    <cellStyle name="표준 5 26 3" xfId="4820"/>
    <cellStyle name="표준 5 26 3 2" xfId="11156"/>
    <cellStyle name="표준 5 26 3 2 2" xfId="23830"/>
    <cellStyle name="표준 5 26 3 2 2 2" xfId="49182"/>
    <cellStyle name="표준 5 26 3 2 3" xfId="36510"/>
    <cellStyle name="표준 5 26 3 3" xfId="17494"/>
    <cellStyle name="표준 5 26 3 3 2" xfId="42846"/>
    <cellStyle name="표준 5 26 3 4" xfId="30174"/>
    <cellStyle name="표준 5 26 4" xfId="8023"/>
    <cellStyle name="표준 5 26 4 2" xfId="20697"/>
    <cellStyle name="표준 5 26 4 2 2" xfId="46049"/>
    <cellStyle name="표준 5 26 4 3" xfId="33377"/>
    <cellStyle name="표준 5 26 5" xfId="14361"/>
    <cellStyle name="표준 5 26 5 2" xfId="39713"/>
    <cellStyle name="표준 5 26 6" xfId="27041"/>
    <cellStyle name="표준 5 27" xfId="1688"/>
    <cellStyle name="표준 5 27 2" xfId="1689"/>
    <cellStyle name="표준 5 27 2 2" xfId="4821"/>
    <cellStyle name="표준 5 27 2 2 2" xfId="11157"/>
    <cellStyle name="표준 5 27 2 2 2 2" xfId="23831"/>
    <cellStyle name="표준 5 27 2 2 2 2 2" xfId="49183"/>
    <cellStyle name="표준 5 27 2 2 2 3" xfId="36511"/>
    <cellStyle name="표준 5 27 2 2 3" xfId="17495"/>
    <cellStyle name="표준 5 27 2 2 3 2" xfId="42847"/>
    <cellStyle name="표준 5 27 2 2 4" xfId="30175"/>
    <cellStyle name="표준 5 27 2 3" xfId="8026"/>
    <cellStyle name="표준 5 27 2 3 2" xfId="20700"/>
    <cellStyle name="표준 5 27 2 3 2 2" xfId="46052"/>
    <cellStyle name="표준 5 27 2 3 3" xfId="33380"/>
    <cellStyle name="표준 5 27 2 4" xfId="14364"/>
    <cellStyle name="표준 5 27 2 4 2" xfId="39716"/>
    <cellStyle name="표준 5 27 2 5" xfId="27044"/>
    <cellStyle name="표준 5 27 3" xfId="4822"/>
    <cellStyle name="표준 5 27 3 2" xfId="11158"/>
    <cellStyle name="표준 5 27 3 2 2" xfId="23832"/>
    <cellStyle name="표준 5 27 3 2 2 2" xfId="49184"/>
    <cellStyle name="표준 5 27 3 2 3" xfId="36512"/>
    <cellStyle name="표준 5 27 3 3" xfId="17496"/>
    <cellStyle name="표준 5 27 3 3 2" xfId="42848"/>
    <cellStyle name="표준 5 27 3 4" xfId="30176"/>
    <cellStyle name="표준 5 27 4" xfId="8025"/>
    <cellStyle name="표준 5 27 4 2" xfId="20699"/>
    <cellStyle name="표준 5 27 4 2 2" xfId="46051"/>
    <cellStyle name="표준 5 27 4 3" xfId="33379"/>
    <cellStyle name="표준 5 27 5" xfId="14363"/>
    <cellStyle name="표준 5 27 5 2" xfId="39715"/>
    <cellStyle name="표준 5 27 6" xfId="27043"/>
    <cellStyle name="표준 5 28" xfId="1690"/>
    <cellStyle name="표준 5 28 2" xfId="1691"/>
    <cellStyle name="표준 5 28 2 2" xfId="4823"/>
    <cellStyle name="표준 5 28 2 2 2" xfId="11159"/>
    <cellStyle name="표준 5 28 2 2 2 2" xfId="23833"/>
    <cellStyle name="표준 5 28 2 2 2 2 2" xfId="49185"/>
    <cellStyle name="표준 5 28 2 2 2 3" xfId="36513"/>
    <cellStyle name="표준 5 28 2 2 3" xfId="17497"/>
    <cellStyle name="표준 5 28 2 2 3 2" xfId="42849"/>
    <cellStyle name="표준 5 28 2 2 4" xfId="30177"/>
    <cellStyle name="표준 5 28 2 3" xfId="8028"/>
    <cellStyle name="표준 5 28 2 3 2" xfId="20702"/>
    <cellStyle name="표준 5 28 2 3 2 2" xfId="46054"/>
    <cellStyle name="표준 5 28 2 3 3" xfId="33382"/>
    <cellStyle name="표준 5 28 2 4" xfId="14366"/>
    <cellStyle name="표준 5 28 2 4 2" xfId="39718"/>
    <cellStyle name="표준 5 28 2 5" xfId="27046"/>
    <cellStyle name="표준 5 28 3" xfId="4824"/>
    <cellStyle name="표준 5 28 3 2" xfId="11160"/>
    <cellStyle name="표준 5 28 3 2 2" xfId="23834"/>
    <cellStyle name="표준 5 28 3 2 2 2" xfId="49186"/>
    <cellStyle name="표준 5 28 3 2 3" xfId="36514"/>
    <cellStyle name="표준 5 28 3 3" xfId="17498"/>
    <cellStyle name="표준 5 28 3 3 2" xfId="42850"/>
    <cellStyle name="표준 5 28 3 4" xfId="30178"/>
    <cellStyle name="표준 5 28 4" xfId="8027"/>
    <cellStyle name="표준 5 28 4 2" xfId="20701"/>
    <cellStyle name="표준 5 28 4 2 2" xfId="46053"/>
    <cellStyle name="표준 5 28 4 3" xfId="33381"/>
    <cellStyle name="표준 5 28 5" xfId="14365"/>
    <cellStyle name="표준 5 28 5 2" xfId="39717"/>
    <cellStyle name="표준 5 28 6" xfId="27045"/>
    <cellStyle name="표준 5 29" xfId="1692"/>
    <cellStyle name="표준 5 29 2" xfId="1693"/>
    <cellStyle name="표준 5 29 2 2" xfId="4825"/>
    <cellStyle name="표준 5 29 2 2 2" xfId="11161"/>
    <cellStyle name="표준 5 29 2 2 2 2" xfId="23835"/>
    <cellStyle name="표준 5 29 2 2 2 2 2" xfId="49187"/>
    <cellStyle name="표준 5 29 2 2 2 3" xfId="36515"/>
    <cellStyle name="표준 5 29 2 2 3" xfId="17499"/>
    <cellStyle name="표준 5 29 2 2 3 2" xfId="42851"/>
    <cellStyle name="표준 5 29 2 2 4" xfId="30179"/>
    <cellStyle name="표준 5 29 2 3" xfId="8030"/>
    <cellStyle name="표준 5 29 2 3 2" xfId="20704"/>
    <cellStyle name="표준 5 29 2 3 2 2" xfId="46056"/>
    <cellStyle name="표준 5 29 2 3 3" xfId="33384"/>
    <cellStyle name="표준 5 29 2 4" xfId="14368"/>
    <cellStyle name="표준 5 29 2 4 2" xfId="39720"/>
    <cellStyle name="표준 5 29 2 5" xfId="27048"/>
    <cellStyle name="표준 5 29 3" xfId="4826"/>
    <cellStyle name="표준 5 29 3 2" xfId="11162"/>
    <cellStyle name="표준 5 29 3 2 2" xfId="23836"/>
    <cellStyle name="표준 5 29 3 2 2 2" xfId="49188"/>
    <cellStyle name="표준 5 29 3 2 3" xfId="36516"/>
    <cellStyle name="표준 5 29 3 3" xfId="17500"/>
    <cellStyle name="표준 5 29 3 3 2" xfId="42852"/>
    <cellStyle name="표준 5 29 3 4" xfId="30180"/>
    <cellStyle name="표준 5 29 4" xfId="8029"/>
    <cellStyle name="표준 5 29 4 2" xfId="20703"/>
    <cellStyle name="표준 5 29 4 2 2" xfId="46055"/>
    <cellStyle name="표준 5 29 4 3" xfId="33383"/>
    <cellStyle name="표준 5 29 5" xfId="14367"/>
    <cellStyle name="표준 5 29 5 2" xfId="39719"/>
    <cellStyle name="표준 5 29 6" xfId="27047"/>
    <cellStyle name="표준 5 3" xfId="17"/>
    <cellStyle name="표준 5 3 10" xfId="1694"/>
    <cellStyle name="표준 5 3 10 2" xfId="1695"/>
    <cellStyle name="표준 5 3 10 2 2" xfId="4827"/>
    <cellStyle name="표준 5 3 10 2 2 2" xfId="11163"/>
    <cellStyle name="표준 5 3 10 2 2 2 2" xfId="23837"/>
    <cellStyle name="표준 5 3 10 2 2 2 2 2" xfId="49189"/>
    <cellStyle name="표준 5 3 10 2 2 2 3" xfId="36517"/>
    <cellStyle name="표준 5 3 10 2 2 3" xfId="17501"/>
    <cellStyle name="표준 5 3 10 2 2 3 2" xfId="42853"/>
    <cellStyle name="표준 5 3 10 2 2 4" xfId="30181"/>
    <cellStyle name="표준 5 3 10 2 3" xfId="8032"/>
    <cellStyle name="표준 5 3 10 2 3 2" xfId="20706"/>
    <cellStyle name="표준 5 3 10 2 3 2 2" xfId="46058"/>
    <cellStyle name="표준 5 3 10 2 3 3" xfId="33386"/>
    <cellStyle name="표준 5 3 10 2 4" xfId="14370"/>
    <cellStyle name="표준 5 3 10 2 4 2" xfId="39722"/>
    <cellStyle name="표준 5 3 10 2 5" xfId="27050"/>
    <cellStyle name="표준 5 3 10 3" xfId="4828"/>
    <cellStyle name="표준 5 3 10 3 2" xfId="11164"/>
    <cellStyle name="표준 5 3 10 3 2 2" xfId="23838"/>
    <cellStyle name="표준 5 3 10 3 2 2 2" xfId="49190"/>
    <cellStyle name="표준 5 3 10 3 2 3" xfId="36518"/>
    <cellStyle name="표준 5 3 10 3 3" xfId="17502"/>
    <cellStyle name="표준 5 3 10 3 3 2" xfId="42854"/>
    <cellStyle name="표준 5 3 10 3 4" xfId="30182"/>
    <cellStyle name="표준 5 3 10 4" xfId="8031"/>
    <cellStyle name="표준 5 3 10 4 2" xfId="20705"/>
    <cellStyle name="표준 5 3 10 4 2 2" xfId="46057"/>
    <cellStyle name="표준 5 3 10 4 3" xfId="33385"/>
    <cellStyle name="표준 5 3 10 5" xfId="14369"/>
    <cellStyle name="표준 5 3 10 5 2" xfId="39721"/>
    <cellStyle name="표준 5 3 10 6" xfId="27049"/>
    <cellStyle name="표준 5 3 11" xfId="1696"/>
    <cellStyle name="표준 5 3 11 2" xfId="1697"/>
    <cellStyle name="표준 5 3 11 2 2" xfId="4829"/>
    <cellStyle name="표준 5 3 11 2 2 2" xfId="11165"/>
    <cellStyle name="표준 5 3 11 2 2 2 2" xfId="23839"/>
    <cellStyle name="표준 5 3 11 2 2 2 2 2" xfId="49191"/>
    <cellStyle name="표준 5 3 11 2 2 2 3" xfId="36519"/>
    <cellStyle name="표준 5 3 11 2 2 3" xfId="17503"/>
    <cellStyle name="표준 5 3 11 2 2 3 2" xfId="42855"/>
    <cellStyle name="표준 5 3 11 2 2 4" xfId="30183"/>
    <cellStyle name="표준 5 3 11 2 3" xfId="8034"/>
    <cellStyle name="표준 5 3 11 2 3 2" xfId="20708"/>
    <cellStyle name="표준 5 3 11 2 3 2 2" xfId="46060"/>
    <cellStyle name="표준 5 3 11 2 3 3" xfId="33388"/>
    <cellStyle name="표준 5 3 11 2 4" xfId="14372"/>
    <cellStyle name="표준 5 3 11 2 4 2" xfId="39724"/>
    <cellStyle name="표준 5 3 11 2 5" xfId="27052"/>
    <cellStyle name="표준 5 3 11 3" xfId="4830"/>
    <cellStyle name="표준 5 3 11 3 2" xfId="11166"/>
    <cellStyle name="표준 5 3 11 3 2 2" xfId="23840"/>
    <cellStyle name="표준 5 3 11 3 2 2 2" xfId="49192"/>
    <cellStyle name="표준 5 3 11 3 2 3" xfId="36520"/>
    <cellStyle name="표준 5 3 11 3 3" xfId="17504"/>
    <cellStyle name="표준 5 3 11 3 3 2" xfId="42856"/>
    <cellStyle name="표준 5 3 11 3 4" xfId="30184"/>
    <cellStyle name="표준 5 3 11 4" xfId="8033"/>
    <cellStyle name="표준 5 3 11 4 2" xfId="20707"/>
    <cellStyle name="표준 5 3 11 4 2 2" xfId="46059"/>
    <cellStyle name="표준 5 3 11 4 3" xfId="33387"/>
    <cellStyle name="표준 5 3 11 5" xfId="14371"/>
    <cellStyle name="표준 5 3 11 5 2" xfId="39723"/>
    <cellStyle name="표준 5 3 11 6" xfId="27051"/>
    <cellStyle name="표준 5 3 12" xfId="1698"/>
    <cellStyle name="표준 5 3 12 2" xfId="1699"/>
    <cellStyle name="표준 5 3 12 2 2" xfId="4831"/>
    <cellStyle name="표준 5 3 12 2 2 2" xfId="11167"/>
    <cellStyle name="표준 5 3 12 2 2 2 2" xfId="23841"/>
    <cellStyle name="표준 5 3 12 2 2 2 2 2" xfId="49193"/>
    <cellStyle name="표준 5 3 12 2 2 2 3" xfId="36521"/>
    <cellStyle name="표준 5 3 12 2 2 3" xfId="17505"/>
    <cellStyle name="표준 5 3 12 2 2 3 2" xfId="42857"/>
    <cellStyle name="표준 5 3 12 2 2 4" xfId="30185"/>
    <cellStyle name="표준 5 3 12 2 3" xfId="8036"/>
    <cellStyle name="표준 5 3 12 2 3 2" xfId="20710"/>
    <cellStyle name="표준 5 3 12 2 3 2 2" xfId="46062"/>
    <cellStyle name="표준 5 3 12 2 3 3" xfId="33390"/>
    <cellStyle name="표준 5 3 12 2 4" xfId="14374"/>
    <cellStyle name="표준 5 3 12 2 4 2" xfId="39726"/>
    <cellStyle name="표준 5 3 12 2 5" xfId="27054"/>
    <cellStyle name="표준 5 3 12 3" xfId="4832"/>
    <cellStyle name="표준 5 3 12 3 2" xfId="11168"/>
    <cellStyle name="표준 5 3 12 3 2 2" xfId="23842"/>
    <cellStyle name="표준 5 3 12 3 2 2 2" xfId="49194"/>
    <cellStyle name="표준 5 3 12 3 2 3" xfId="36522"/>
    <cellStyle name="표준 5 3 12 3 3" xfId="17506"/>
    <cellStyle name="표준 5 3 12 3 3 2" xfId="42858"/>
    <cellStyle name="표준 5 3 12 3 4" xfId="30186"/>
    <cellStyle name="표준 5 3 12 4" xfId="8035"/>
    <cellStyle name="표준 5 3 12 4 2" xfId="20709"/>
    <cellStyle name="표준 5 3 12 4 2 2" xfId="46061"/>
    <cellStyle name="표준 5 3 12 4 3" xfId="33389"/>
    <cellStyle name="표준 5 3 12 5" xfId="14373"/>
    <cellStyle name="표준 5 3 12 5 2" xfId="39725"/>
    <cellStyle name="표준 5 3 12 6" xfId="27053"/>
    <cellStyle name="표준 5 3 13" xfId="1700"/>
    <cellStyle name="표준 5 3 13 2" xfId="1701"/>
    <cellStyle name="표준 5 3 13 2 2" xfId="4833"/>
    <cellStyle name="표준 5 3 13 2 2 2" xfId="11169"/>
    <cellStyle name="표준 5 3 13 2 2 2 2" xfId="23843"/>
    <cellStyle name="표준 5 3 13 2 2 2 2 2" xfId="49195"/>
    <cellStyle name="표준 5 3 13 2 2 2 3" xfId="36523"/>
    <cellStyle name="표준 5 3 13 2 2 3" xfId="17507"/>
    <cellStyle name="표준 5 3 13 2 2 3 2" xfId="42859"/>
    <cellStyle name="표준 5 3 13 2 2 4" xfId="30187"/>
    <cellStyle name="표준 5 3 13 2 3" xfId="8038"/>
    <cellStyle name="표준 5 3 13 2 3 2" xfId="20712"/>
    <cellStyle name="표준 5 3 13 2 3 2 2" xfId="46064"/>
    <cellStyle name="표준 5 3 13 2 3 3" xfId="33392"/>
    <cellStyle name="표준 5 3 13 2 4" xfId="14376"/>
    <cellStyle name="표준 5 3 13 2 4 2" xfId="39728"/>
    <cellStyle name="표준 5 3 13 2 5" xfId="27056"/>
    <cellStyle name="표준 5 3 13 3" xfId="4834"/>
    <cellStyle name="표준 5 3 13 3 2" xfId="11170"/>
    <cellStyle name="표준 5 3 13 3 2 2" xfId="23844"/>
    <cellStyle name="표준 5 3 13 3 2 2 2" xfId="49196"/>
    <cellStyle name="표준 5 3 13 3 2 3" xfId="36524"/>
    <cellStyle name="표준 5 3 13 3 3" xfId="17508"/>
    <cellStyle name="표준 5 3 13 3 3 2" xfId="42860"/>
    <cellStyle name="표준 5 3 13 3 4" xfId="30188"/>
    <cellStyle name="표준 5 3 13 4" xfId="8037"/>
    <cellStyle name="표준 5 3 13 4 2" xfId="20711"/>
    <cellStyle name="표준 5 3 13 4 2 2" xfId="46063"/>
    <cellStyle name="표준 5 3 13 4 3" xfId="33391"/>
    <cellStyle name="표준 5 3 13 5" xfId="14375"/>
    <cellStyle name="표준 5 3 13 5 2" xfId="39727"/>
    <cellStyle name="표준 5 3 13 6" xfId="27055"/>
    <cellStyle name="표준 5 3 14" xfId="1702"/>
    <cellStyle name="표준 5 3 14 2" xfId="1703"/>
    <cellStyle name="표준 5 3 14 2 2" xfId="4835"/>
    <cellStyle name="표준 5 3 14 2 2 2" xfId="11171"/>
    <cellStyle name="표준 5 3 14 2 2 2 2" xfId="23845"/>
    <cellStyle name="표준 5 3 14 2 2 2 2 2" xfId="49197"/>
    <cellStyle name="표준 5 3 14 2 2 2 3" xfId="36525"/>
    <cellStyle name="표준 5 3 14 2 2 3" xfId="17509"/>
    <cellStyle name="표준 5 3 14 2 2 3 2" xfId="42861"/>
    <cellStyle name="표준 5 3 14 2 2 4" xfId="30189"/>
    <cellStyle name="표준 5 3 14 2 3" xfId="8040"/>
    <cellStyle name="표준 5 3 14 2 3 2" xfId="20714"/>
    <cellStyle name="표준 5 3 14 2 3 2 2" xfId="46066"/>
    <cellStyle name="표준 5 3 14 2 3 3" xfId="33394"/>
    <cellStyle name="표준 5 3 14 2 4" xfId="14378"/>
    <cellStyle name="표준 5 3 14 2 4 2" xfId="39730"/>
    <cellStyle name="표준 5 3 14 2 5" xfId="27058"/>
    <cellStyle name="표준 5 3 14 3" xfId="4836"/>
    <cellStyle name="표준 5 3 14 3 2" xfId="11172"/>
    <cellStyle name="표준 5 3 14 3 2 2" xfId="23846"/>
    <cellStyle name="표준 5 3 14 3 2 2 2" xfId="49198"/>
    <cellStyle name="표준 5 3 14 3 2 3" xfId="36526"/>
    <cellStyle name="표준 5 3 14 3 3" xfId="17510"/>
    <cellStyle name="표준 5 3 14 3 3 2" xfId="42862"/>
    <cellStyle name="표준 5 3 14 3 4" xfId="30190"/>
    <cellStyle name="표준 5 3 14 4" xfId="8039"/>
    <cellStyle name="표준 5 3 14 4 2" xfId="20713"/>
    <cellStyle name="표준 5 3 14 4 2 2" xfId="46065"/>
    <cellStyle name="표준 5 3 14 4 3" xfId="33393"/>
    <cellStyle name="표준 5 3 14 5" xfId="14377"/>
    <cellStyle name="표준 5 3 14 5 2" xfId="39729"/>
    <cellStyle name="표준 5 3 14 6" xfId="27057"/>
    <cellStyle name="표준 5 3 15" xfId="1704"/>
    <cellStyle name="표준 5 3 15 2" xfId="1705"/>
    <cellStyle name="표준 5 3 15 2 2" xfId="4837"/>
    <cellStyle name="표준 5 3 15 2 2 2" xfId="11173"/>
    <cellStyle name="표준 5 3 15 2 2 2 2" xfId="23847"/>
    <cellStyle name="표준 5 3 15 2 2 2 2 2" xfId="49199"/>
    <cellStyle name="표준 5 3 15 2 2 2 3" xfId="36527"/>
    <cellStyle name="표준 5 3 15 2 2 3" xfId="17511"/>
    <cellStyle name="표준 5 3 15 2 2 3 2" xfId="42863"/>
    <cellStyle name="표준 5 3 15 2 2 4" xfId="30191"/>
    <cellStyle name="표준 5 3 15 2 3" xfId="8042"/>
    <cellStyle name="표준 5 3 15 2 3 2" xfId="20716"/>
    <cellStyle name="표준 5 3 15 2 3 2 2" xfId="46068"/>
    <cellStyle name="표준 5 3 15 2 3 3" xfId="33396"/>
    <cellStyle name="표준 5 3 15 2 4" xfId="14380"/>
    <cellStyle name="표준 5 3 15 2 4 2" xfId="39732"/>
    <cellStyle name="표준 5 3 15 2 5" xfId="27060"/>
    <cellStyle name="표준 5 3 15 3" xfId="4838"/>
    <cellStyle name="표준 5 3 15 3 2" xfId="11174"/>
    <cellStyle name="표준 5 3 15 3 2 2" xfId="23848"/>
    <cellStyle name="표준 5 3 15 3 2 2 2" xfId="49200"/>
    <cellStyle name="표준 5 3 15 3 2 3" xfId="36528"/>
    <cellStyle name="표준 5 3 15 3 3" xfId="17512"/>
    <cellStyle name="표준 5 3 15 3 3 2" xfId="42864"/>
    <cellStyle name="표준 5 3 15 3 4" xfId="30192"/>
    <cellStyle name="표준 5 3 15 4" xfId="8041"/>
    <cellStyle name="표준 5 3 15 4 2" xfId="20715"/>
    <cellStyle name="표준 5 3 15 4 2 2" xfId="46067"/>
    <cellStyle name="표준 5 3 15 4 3" xfId="33395"/>
    <cellStyle name="표준 5 3 15 5" xfId="14379"/>
    <cellStyle name="표준 5 3 15 5 2" xfId="39731"/>
    <cellStyle name="표준 5 3 15 6" xfId="27059"/>
    <cellStyle name="표준 5 3 16" xfId="1706"/>
    <cellStyle name="표준 5 3 16 2" xfId="1707"/>
    <cellStyle name="표준 5 3 16 2 2" xfId="4839"/>
    <cellStyle name="표준 5 3 16 2 2 2" xfId="11175"/>
    <cellStyle name="표준 5 3 16 2 2 2 2" xfId="23849"/>
    <cellStyle name="표준 5 3 16 2 2 2 2 2" xfId="49201"/>
    <cellStyle name="표준 5 3 16 2 2 2 3" xfId="36529"/>
    <cellStyle name="표준 5 3 16 2 2 3" xfId="17513"/>
    <cellStyle name="표준 5 3 16 2 2 3 2" xfId="42865"/>
    <cellStyle name="표준 5 3 16 2 2 4" xfId="30193"/>
    <cellStyle name="표준 5 3 16 2 3" xfId="8044"/>
    <cellStyle name="표준 5 3 16 2 3 2" xfId="20718"/>
    <cellStyle name="표준 5 3 16 2 3 2 2" xfId="46070"/>
    <cellStyle name="표준 5 3 16 2 3 3" xfId="33398"/>
    <cellStyle name="표준 5 3 16 2 4" xfId="14382"/>
    <cellStyle name="표준 5 3 16 2 4 2" xfId="39734"/>
    <cellStyle name="표준 5 3 16 2 5" xfId="27062"/>
    <cellStyle name="표준 5 3 16 3" xfId="4840"/>
    <cellStyle name="표준 5 3 16 3 2" xfId="11176"/>
    <cellStyle name="표준 5 3 16 3 2 2" xfId="23850"/>
    <cellStyle name="표준 5 3 16 3 2 2 2" xfId="49202"/>
    <cellStyle name="표준 5 3 16 3 2 3" xfId="36530"/>
    <cellStyle name="표준 5 3 16 3 3" xfId="17514"/>
    <cellStyle name="표준 5 3 16 3 3 2" xfId="42866"/>
    <cellStyle name="표준 5 3 16 3 4" xfId="30194"/>
    <cellStyle name="표준 5 3 16 4" xfId="8043"/>
    <cellStyle name="표준 5 3 16 4 2" xfId="20717"/>
    <cellStyle name="표준 5 3 16 4 2 2" xfId="46069"/>
    <cellStyle name="표준 5 3 16 4 3" xfId="33397"/>
    <cellStyle name="표준 5 3 16 5" xfId="14381"/>
    <cellStyle name="표준 5 3 16 5 2" xfId="39733"/>
    <cellStyle name="표준 5 3 16 6" xfId="27061"/>
    <cellStyle name="표준 5 3 17" xfId="1708"/>
    <cellStyle name="표준 5 3 17 2" xfId="1709"/>
    <cellStyle name="표준 5 3 17 2 2" xfId="4841"/>
    <cellStyle name="표준 5 3 17 2 2 2" xfId="11177"/>
    <cellStyle name="표준 5 3 17 2 2 2 2" xfId="23851"/>
    <cellStyle name="표준 5 3 17 2 2 2 2 2" xfId="49203"/>
    <cellStyle name="표준 5 3 17 2 2 2 3" xfId="36531"/>
    <cellStyle name="표준 5 3 17 2 2 3" xfId="17515"/>
    <cellStyle name="표준 5 3 17 2 2 3 2" xfId="42867"/>
    <cellStyle name="표준 5 3 17 2 2 4" xfId="30195"/>
    <cellStyle name="표준 5 3 17 2 3" xfId="8046"/>
    <cellStyle name="표준 5 3 17 2 3 2" xfId="20720"/>
    <cellStyle name="표준 5 3 17 2 3 2 2" xfId="46072"/>
    <cellStyle name="표준 5 3 17 2 3 3" xfId="33400"/>
    <cellStyle name="표준 5 3 17 2 4" xfId="14384"/>
    <cellStyle name="표준 5 3 17 2 4 2" xfId="39736"/>
    <cellStyle name="표준 5 3 17 2 5" xfId="27064"/>
    <cellStyle name="표준 5 3 17 3" xfId="4842"/>
    <cellStyle name="표준 5 3 17 3 2" xfId="11178"/>
    <cellStyle name="표준 5 3 17 3 2 2" xfId="23852"/>
    <cellStyle name="표준 5 3 17 3 2 2 2" xfId="49204"/>
    <cellStyle name="표준 5 3 17 3 2 3" xfId="36532"/>
    <cellStyle name="표준 5 3 17 3 3" xfId="17516"/>
    <cellStyle name="표준 5 3 17 3 3 2" xfId="42868"/>
    <cellStyle name="표준 5 3 17 3 4" xfId="30196"/>
    <cellStyle name="표준 5 3 17 4" xfId="8045"/>
    <cellStyle name="표준 5 3 17 4 2" xfId="20719"/>
    <cellStyle name="표준 5 3 17 4 2 2" xfId="46071"/>
    <cellStyle name="표준 5 3 17 4 3" xfId="33399"/>
    <cellStyle name="표준 5 3 17 5" xfId="14383"/>
    <cellStyle name="표준 5 3 17 5 2" xfId="39735"/>
    <cellStyle name="표준 5 3 17 6" xfId="27063"/>
    <cellStyle name="표준 5 3 18" xfId="1710"/>
    <cellStyle name="표준 5 3 18 2" xfId="1711"/>
    <cellStyle name="표준 5 3 18 2 2" xfId="4843"/>
    <cellStyle name="표준 5 3 18 2 2 2" xfId="11179"/>
    <cellStyle name="표준 5 3 18 2 2 2 2" xfId="23853"/>
    <cellStyle name="표준 5 3 18 2 2 2 2 2" xfId="49205"/>
    <cellStyle name="표준 5 3 18 2 2 2 3" xfId="36533"/>
    <cellStyle name="표준 5 3 18 2 2 3" xfId="17517"/>
    <cellStyle name="표준 5 3 18 2 2 3 2" xfId="42869"/>
    <cellStyle name="표준 5 3 18 2 2 4" xfId="30197"/>
    <cellStyle name="표준 5 3 18 2 3" xfId="8048"/>
    <cellStyle name="표준 5 3 18 2 3 2" xfId="20722"/>
    <cellStyle name="표준 5 3 18 2 3 2 2" xfId="46074"/>
    <cellStyle name="표준 5 3 18 2 3 3" xfId="33402"/>
    <cellStyle name="표준 5 3 18 2 4" xfId="14386"/>
    <cellStyle name="표준 5 3 18 2 4 2" xfId="39738"/>
    <cellStyle name="표준 5 3 18 2 5" xfId="27066"/>
    <cellStyle name="표준 5 3 18 3" xfId="4844"/>
    <cellStyle name="표준 5 3 18 3 2" xfId="11180"/>
    <cellStyle name="표준 5 3 18 3 2 2" xfId="23854"/>
    <cellStyle name="표준 5 3 18 3 2 2 2" xfId="49206"/>
    <cellStyle name="표준 5 3 18 3 2 3" xfId="36534"/>
    <cellStyle name="표준 5 3 18 3 3" xfId="17518"/>
    <cellStyle name="표준 5 3 18 3 3 2" xfId="42870"/>
    <cellStyle name="표준 5 3 18 3 4" xfId="30198"/>
    <cellStyle name="표준 5 3 18 4" xfId="8047"/>
    <cellStyle name="표준 5 3 18 4 2" xfId="20721"/>
    <cellStyle name="표준 5 3 18 4 2 2" xfId="46073"/>
    <cellStyle name="표준 5 3 18 4 3" xfId="33401"/>
    <cellStyle name="표준 5 3 18 5" xfId="14385"/>
    <cellStyle name="표준 5 3 18 5 2" xfId="39737"/>
    <cellStyle name="표준 5 3 18 6" xfId="27065"/>
    <cellStyle name="표준 5 3 19" xfId="1712"/>
    <cellStyle name="표준 5 3 19 2" xfId="1713"/>
    <cellStyle name="표준 5 3 19 2 2" xfId="4845"/>
    <cellStyle name="표준 5 3 19 2 2 2" xfId="11181"/>
    <cellStyle name="표준 5 3 19 2 2 2 2" xfId="23855"/>
    <cellStyle name="표준 5 3 19 2 2 2 2 2" xfId="49207"/>
    <cellStyle name="표준 5 3 19 2 2 2 3" xfId="36535"/>
    <cellStyle name="표준 5 3 19 2 2 3" xfId="17519"/>
    <cellStyle name="표준 5 3 19 2 2 3 2" xfId="42871"/>
    <cellStyle name="표준 5 3 19 2 2 4" xfId="30199"/>
    <cellStyle name="표준 5 3 19 2 3" xfId="8050"/>
    <cellStyle name="표준 5 3 19 2 3 2" xfId="20724"/>
    <cellStyle name="표준 5 3 19 2 3 2 2" xfId="46076"/>
    <cellStyle name="표준 5 3 19 2 3 3" xfId="33404"/>
    <cellStyle name="표준 5 3 19 2 4" xfId="14388"/>
    <cellStyle name="표준 5 3 19 2 4 2" xfId="39740"/>
    <cellStyle name="표준 5 3 19 2 5" xfId="27068"/>
    <cellStyle name="표준 5 3 19 3" xfId="4846"/>
    <cellStyle name="표준 5 3 19 3 2" xfId="11182"/>
    <cellStyle name="표준 5 3 19 3 2 2" xfId="23856"/>
    <cellStyle name="표준 5 3 19 3 2 2 2" xfId="49208"/>
    <cellStyle name="표준 5 3 19 3 2 3" xfId="36536"/>
    <cellStyle name="표준 5 3 19 3 3" xfId="17520"/>
    <cellStyle name="표준 5 3 19 3 3 2" xfId="42872"/>
    <cellStyle name="표준 5 3 19 3 4" xfId="30200"/>
    <cellStyle name="표준 5 3 19 4" xfId="8049"/>
    <cellStyle name="표준 5 3 19 4 2" xfId="20723"/>
    <cellStyle name="표준 5 3 19 4 2 2" xfId="46075"/>
    <cellStyle name="표준 5 3 19 4 3" xfId="33403"/>
    <cellStyle name="표준 5 3 19 5" xfId="14387"/>
    <cellStyle name="표준 5 3 19 5 2" xfId="39739"/>
    <cellStyle name="표준 5 3 19 6" xfId="27067"/>
    <cellStyle name="표준 5 3 2" xfId="29"/>
    <cellStyle name="표준 5 3 2 10" xfId="1714"/>
    <cellStyle name="표준 5 3 2 10 2" xfId="1715"/>
    <cellStyle name="표준 5 3 2 10 2 2" xfId="4847"/>
    <cellStyle name="표준 5 3 2 10 2 2 2" xfId="11183"/>
    <cellStyle name="표준 5 3 2 10 2 2 2 2" xfId="23857"/>
    <cellStyle name="표준 5 3 2 10 2 2 2 2 2" xfId="49209"/>
    <cellStyle name="표준 5 3 2 10 2 2 2 3" xfId="36537"/>
    <cellStyle name="표준 5 3 2 10 2 2 3" xfId="17521"/>
    <cellStyle name="표준 5 3 2 10 2 2 3 2" xfId="42873"/>
    <cellStyle name="표준 5 3 2 10 2 2 4" xfId="30201"/>
    <cellStyle name="표준 5 3 2 10 2 3" xfId="8052"/>
    <cellStyle name="표준 5 3 2 10 2 3 2" xfId="20726"/>
    <cellStyle name="표준 5 3 2 10 2 3 2 2" xfId="46078"/>
    <cellStyle name="표준 5 3 2 10 2 3 3" xfId="33406"/>
    <cellStyle name="표준 5 3 2 10 2 4" xfId="14390"/>
    <cellStyle name="표준 5 3 2 10 2 4 2" xfId="39742"/>
    <cellStyle name="표준 5 3 2 10 2 5" xfId="27070"/>
    <cellStyle name="표준 5 3 2 10 3" xfId="4848"/>
    <cellStyle name="표준 5 3 2 10 3 2" xfId="11184"/>
    <cellStyle name="표준 5 3 2 10 3 2 2" xfId="23858"/>
    <cellStyle name="표준 5 3 2 10 3 2 2 2" xfId="49210"/>
    <cellStyle name="표준 5 3 2 10 3 2 3" xfId="36538"/>
    <cellStyle name="표준 5 3 2 10 3 3" xfId="17522"/>
    <cellStyle name="표준 5 3 2 10 3 3 2" xfId="42874"/>
    <cellStyle name="표준 5 3 2 10 3 4" xfId="30202"/>
    <cellStyle name="표준 5 3 2 10 4" xfId="8051"/>
    <cellStyle name="표준 5 3 2 10 4 2" xfId="20725"/>
    <cellStyle name="표준 5 3 2 10 4 2 2" xfId="46077"/>
    <cellStyle name="표준 5 3 2 10 4 3" xfId="33405"/>
    <cellStyle name="표준 5 3 2 10 5" xfId="14389"/>
    <cellStyle name="표준 5 3 2 10 5 2" xfId="39741"/>
    <cellStyle name="표준 5 3 2 10 6" xfId="27069"/>
    <cellStyle name="표준 5 3 2 11" xfId="1716"/>
    <cellStyle name="표준 5 3 2 11 2" xfId="1717"/>
    <cellStyle name="표준 5 3 2 11 2 2" xfId="4849"/>
    <cellStyle name="표준 5 3 2 11 2 2 2" xfId="11185"/>
    <cellStyle name="표준 5 3 2 11 2 2 2 2" xfId="23859"/>
    <cellStyle name="표준 5 3 2 11 2 2 2 2 2" xfId="49211"/>
    <cellStyle name="표준 5 3 2 11 2 2 2 3" xfId="36539"/>
    <cellStyle name="표준 5 3 2 11 2 2 3" xfId="17523"/>
    <cellStyle name="표준 5 3 2 11 2 2 3 2" xfId="42875"/>
    <cellStyle name="표준 5 3 2 11 2 2 4" xfId="30203"/>
    <cellStyle name="표준 5 3 2 11 2 3" xfId="8054"/>
    <cellStyle name="표준 5 3 2 11 2 3 2" xfId="20728"/>
    <cellStyle name="표준 5 3 2 11 2 3 2 2" xfId="46080"/>
    <cellStyle name="표준 5 3 2 11 2 3 3" xfId="33408"/>
    <cellStyle name="표준 5 3 2 11 2 4" xfId="14392"/>
    <cellStyle name="표준 5 3 2 11 2 4 2" xfId="39744"/>
    <cellStyle name="표준 5 3 2 11 2 5" xfId="27072"/>
    <cellStyle name="표준 5 3 2 11 3" xfId="4850"/>
    <cellStyle name="표준 5 3 2 11 3 2" xfId="11186"/>
    <cellStyle name="표준 5 3 2 11 3 2 2" xfId="23860"/>
    <cellStyle name="표준 5 3 2 11 3 2 2 2" xfId="49212"/>
    <cellStyle name="표준 5 3 2 11 3 2 3" xfId="36540"/>
    <cellStyle name="표준 5 3 2 11 3 3" xfId="17524"/>
    <cellStyle name="표준 5 3 2 11 3 3 2" xfId="42876"/>
    <cellStyle name="표준 5 3 2 11 3 4" xfId="30204"/>
    <cellStyle name="표준 5 3 2 11 4" xfId="8053"/>
    <cellStyle name="표준 5 3 2 11 4 2" xfId="20727"/>
    <cellStyle name="표준 5 3 2 11 4 2 2" xfId="46079"/>
    <cellStyle name="표준 5 3 2 11 4 3" xfId="33407"/>
    <cellStyle name="표준 5 3 2 11 5" xfId="14391"/>
    <cellStyle name="표준 5 3 2 11 5 2" xfId="39743"/>
    <cellStyle name="표준 5 3 2 11 6" xfId="27071"/>
    <cellStyle name="표준 5 3 2 12" xfId="1718"/>
    <cellStyle name="표준 5 3 2 12 2" xfId="1719"/>
    <cellStyle name="표준 5 3 2 12 2 2" xfId="4851"/>
    <cellStyle name="표준 5 3 2 12 2 2 2" xfId="11187"/>
    <cellStyle name="표준 5 3 2 12 2 2 2 2" xfId="23861"/>
    <cellStyle name="표준 5 3 2 12 2 2 2 2 2" xfId="49213"/>
    <cellStyle name="표준 5 3 2 12 2 2 2 3" xfId="36541"/>
    <cellStyle name="표준 5 3 2 12 2 2 3" xfId="17525"/>
    <cellStyle name="표준 5 3 2 12 2 2 3 2" xfId="42877"/>
    <cellStyle name="표준 5 3 2 12 2 2 4" xfId="30205"/>
    <cellStyle name="표준 5 3 2 12 2 3" xfId="8056"/>
    <cellStyle name="표준 5 3 2 12 2 3 2" xfId="20730"/>
    <cellStyle name="표준 5 3 2 12 2 3 2 2" xfId="46082"/>
    <cellStyle name="표준 5 3 2 12 2 3 3" xfId="33410"/>
    <cellStyle name="표준 5 3 2 12 2 4" xfId="14394"/>
    <cellStyle name="표준 5 3 2 12 2 4 2" xfId="39746"/>
    <cellStyle name="표준 5 3 2 12 2 5" xfId="27074"/>
    <cellStyle name="표준 5 3 2 12 3" xfId="4852"/>
    <cellStyle name="표준 5 3 2 12 3 2" xfId="11188"/>
    <cellStyle name="표준 5 3 2 12 3 2 2" xfId="23862"/>
    <cellStyle name="표준 5 3 2 12 3 2 2 2" xfId="49214"/>
    <cellStyle name="표준 5 3 2 12 3 2 3" xfId="36542"/>
    <cellStyle name="표준 5 3 2 12 3 3" xfId="17526"/>
    <cellStyle name="표준 5 3 2 12 3 3 2" xfId="42878"/>
    <cellStyle name="표준 5 3 2 12 3 4" xfId="30206"/>
    <cellStyle name="표준 5 3 2 12 4" xfId="8055"/>
    <cellStyle name="표준 5 3 2 12 4 2" xfId="20729"/>
    <cellStyle name="표준 5 3 2 12 4 2 2" xfId="46081"/>
    <cellStyle name="표준 5 3 2 12 4 3" xfId="33409"/>
    <cellStyle name="표준 5 3 2 12 5" xfId="14393"/>
    <cellStyle name="표준 5 3 2 12 5 2" xfId="39745"/>
    <cellStyle name="표준 5 3 2 12 6" xfId="27073"/>
    <cellStyle name="표준 5 3 2 13" xfId="1720"/>
    <cellStyle name="표준 5 3 2 13 2" xfId="1721"/>
    <cellStyle name="표준 5 3 2 13 2 2" xfId="4853"/>
    <cellStyle name="표준 5 3 2 13 2 2 2" xfId="11189"/>
    <cellStyle name="표준 5 3 2 13 2 2 2 2" xfId="23863"/>
    <cellStyle name="표준 5 3 2 13 2 2 2 2 2" xfId="49215"/>
    <cellStyle name="표준 5 3 2 13 2 2 2 3" xfId="36543"/>
    <cellStyle name="표준 5 3 2 13 2 2 3" xfId="17527"/>
    <cellStyle name="표준 5 3 2 13 2 2 3 2" xfId="42879"/>
    <cellStyle name="표준 5 3 2 13 2 2 4" xfId="30207"/>
    <cellStyle name="표준 5 3 2 13 2 3" xfId="8058"/>
    <cellStyle name="표준 5 3 2 13 2 3 2" xfId="20732"/>
    <cellStyle name="표준 5 3 2 13 2 3 2 2" xfId="46084"/>
    <cellStyle name="표준 5 3 2 13 2 3 3" xfId="33412"/>
    <cellStyle name="표준 5 3 2 13 2 4" xfId="14396"/>
    <cellStyle name="표준 5 3 2 13 2 4 2" xfId="39748"/>
    <cellStyle name="표준 5 3 2 13 2 5" xfId="27076"/>
    <cellStyle name="표준 5 3 2 13 3" xfId="4854"/>
    <cellStyle name="표준 5 3 2 13 3 2" xfId="11190"/>
    <cellStyle name="표준 5 3 2 13 3 2 2" xfId="23864"/>
    <cellStyle name="표준 5 3 2 13 3 2 2 2" xfId="49216"/>
    <cellStyle name="표준 5 3 2 13 3 2 3" xfId="36544"/>
    <cellStyle name="표준 5 3 2 13 3 3" xfId="17528"/>
    <cellStyle name="표준 5 3 2 13 3 3 2" xfId="42880"/>
    <cellStyle name="표준 5 3 2 13 3 4" xfId="30208"/>
    <cellStyle name="표준 5 3 2 13 4" xfId="8057"/>
    <cellStyle name="표준 5 3 2 13 4 2" xfId="20731"/>
    <cellStyle name="표준 5 3 2 13 4 2 2" xfId="46083"/>
    <cellStyle name="표준 5 3 2 13 4 3" xfId="33411"/>
    <cellStyle name="표준 5 3 2 13 5" xfId="14395"/>
    <cellStyle name="표준 5 3 2 13 5 2" xfId="39747"/>
    <cellStyle name="표준 5 3 2 13 6" xfId="27075"/>
    <cellStyle name="표준 5 3 2 14" xfId="1722"/>
    <cellStyle name="표준 5 3 2 14 2" xfId="1723"/>
    <cellStyle name="표준 5 3 2 14 2 2" xfId="4855"/>
    <cellStyle name="표준 5 3 2 14 2 2 2" xfId="11191"/>
    <cellStyle name="표준 5 3 2 14 2 2 2 2" xfId="23865"/>
    <cellStyle name="표준 5 3 2 14 2 2 2 2 2" xfId="49217"/>
    <cellStyle name="표준 5 3 2 14 2 2 2 3" xfId="36545"/>
    <cellStyle name="표준 5 3 2 14 2 2 3" xfId="17529"/>
    <cellStyle name="표준 5 3 2 14 2 2 3 2" xfId="42881"/>
    <cellStyle name="표준 5 3 2 14 2 2 4" xfId="30209"/>
    <cellStyle name="표준 5 3 2 14 2 3" xfId="8060"/>
    <cellStyle name="표준 5 3 2 14 2 3 2" xfId="20734"/>
    <cellStyle name="표준 5 3 2 14 2 3 2 2" xfId="46086"/>
    <cellStyle name="표준 5 3 2 14 2 3 3" xfId="33414"/>
    <cellStyle name="표준 5 3 2 14 2 4" xfId="14398"/>
    <cellStyle name="표준 5 3 2 14 2 4 2" xfId="39750"/>
    <cellStyle name="표준 5 3 2 14 2 5" xfId="27078"/>
    <cellStyle name="표준 5 3 2 14 3" xfId="4856"/>
    <cellStyle name="표준 5 3 2 14 3 2" xfId="11192"/>
    <cellStyle name="표준 5 3 2 14 3 2 2" xfId="23866"/>
    <cellStyle name="표준 5 3 2 14 3 2 2 2" xfId="49218"/>
    <cellStyle name="표준 5 3 2 14 3 2 3" xfId="36546"/>
    <cellStyle name="표준 5 3 2 14 3 3" xfId="17530"/>
    <cellStyle name="표준 5 3 2 14 3 3 2" xfId="42882"/>
    <cellStyle name="표준 5 3 2 14 3 4" xfId="30210"/>
    <cellStyle name="표준 5 3 2 14 4" xfId="8059"/>
    <cellStyle name="표준 5 3 2 14 4 2" xfId="20733"/>
    <cellStyle name="표준 5 3 2 14 4 2 2" xfId="46085"/>
    <cellStyle name="표준 5 3 2 14 4 3" xfId="33413"/>
    <cellStyle name="표준 5 3 2 14 5" xfId="14397"/>
    <cellStyle name="표준 5 3 2 14 5 2" xfId="39749"/>
    <cellStyle name="표준 5 3 2 14 6" xfId="27077"/>
    <cellStyle name="표준 5 3 2 15" xfId="1724"/>
    <cellStyle name="표준 5 3 2 15 2" xfId="1725"/>
    <cellStyle name="표준 5 3 2 15 2 2" xfId="4857"/>
    <cellStyle name="표준 5 3 2 15 2 2 2" xfId="11193"/>
    <cellStyle name="표준 5 3 2 15 2 2 2 2" xfId="23867"/>
    <cellStyle name="표준 5 3 2 15 2 2 2 2 2" xfId="49219"/>
    <cellStyle name="표준 5 3 2 15 2 2 2 3" xfId="36547"/>
    <cellStyle name="표준 5 3 2 15 2 2 3" xfId="17531"/>
    <cellStyle name="표준 5 3 2 15 2 2 3 2" xfId="42883"/>
    <cellStyle name="표준 5 3 2 15 2 2 4" xfId="30211"/>
    <cellStyle name="표준 5 3 2 15 2 3" xfId="8062"/>
    <cellStyle name="표준 5 3 2 15 2 3 2" xfId="20736"/>
    <cellStyle name="표준 5 3 2 15 2 3 2 2" xfId="46088"/>
    <cellStyle name="표준 5 3 2 15 2 3 3" xfId="33416"/>
    <cellStyle name="표준 5 3 2 15 2 4" xfId="14400"/>
    <cellStyle name="표준 5 3 2 15 2 4 2" xfId="39752"/>
    <cellStyle name="표준 5 3 2 15 2 5" xfId="27080"/>
    <cellStyle name="표준 5 3 2 15 3" xfId="4858"/>
    <cellStyle name="표준 5 3 2 15 3 2" xfId="11194"/>
    <cellStyle name="표준 5 3 2 15 3 2 2" xfId="23868"/>
    <cellStyle name="표준 5 3 2 15 3 2 2 2" xfId="49220"/>
    <cellStyle name="표준 5 3 2 15 3 2 3" xfId="36548"/>
    <cellStyle name="표준 5 3 2 15 3 3" xfId="17532"/>
    <cellStyle name="표준 5 3 2 15 3 3 2" xfId="42884"/>
    <cellStyle name="표준 5 3 2 15 3 4" xfId="30212"/>
    <cellStyle name="표준 5 3 2 15 4" xfId="8061"/>
    <cellStyle name="표준 5 3 2 15 4 2" xfId="20735"/>
    <cellStyle name="표준 5 3 2 15 4 2 2" xfId="46087"/>
    <cellStyle name="표준 5 3 2 15 4 3" xfId="33415"/>
    <cellStyle name="표준 5 3 2 15 5" xfId="14399"/>
    <cellStyle name="표준 5 3 2 15 5 2" xfId="39751"/>
    <cellStyle name="표준 5 3 2 15 6" xfId="27079"/>
    <cellStyle name="표준 5 3 2 16" xfId="1726"/>
    <cellStyle name="표준 5 3 2 16 2" xfId="1727"/>
    <cellStyle name="표준 5 3 2 16 2 2" xfId="4859"/>
    <cellStyle name="표준 5 3 2 16 2 2 2" xfId="11195"/>
    <cellStyle name="표준 5 3 2 16 2 2 2 2" xfId="23869"/>
    <cellStyle name="표준 5 3 2 16 2 2 2 2 2" xfId="49221"/>
    <cellStyle name="표준 5 3 2 16 2 2 2 3" xfId="36549"/>
    <cellStyle name="표준 5 3 2 16 2 2 3" xfId="17533"/>
    <cellStyle name="표준 5 3 2 16 2 2 3 2" xfId="42885"/>
    <cellStyle name="표준 5 3 2 16 2 2 4" xfId="30213"/>
    <cellStyle name="표준 5 3 2 16 2 3" xfId="8064"/>
    <cellStyle name="표준 5 3 2 16 2 3 2" xfId="20738"/>
    <cellStyle name="표준 5 3 2 16 2 3 2 2" xfId="46090"/>
    <cellStyle name="표준 5 3 2 16 2 3 3" xfId="33418"/>
    <cellStyle name="표준 5 3 2 16 2 4" xfId="14402"/>
    <cellStyle name="표준 5 3 2 16 2 4 2" xfId="39754"/>
    <cellStyle name="표준 5 3 2 16 2 5" xfId="27082"/>
    <cellStyle name="표준 5 3 2 16 3" xfId="4860"/>
    <cellStyle name="표준 5 3 2 16 3 2" xfId="11196"/>
    <cellStyle name="표준 5 3 2 16 3 2 2" xfId="23870"/>
    <cellStyle name="표준 5 3 2 16 3 2 2 2" xfId="49222"/>
    <cellStyle name="표준 5 3 2 16 3 2 3" xfId="36550"/>
    <cellStyle name="표준 5 3 2 16 3 3" xfId="17534"/>
    <cellStyle name="표준 5 3 2 16 3 3 2" xfId="42886"/>
    <cellStyle name="표준 5 3 2 16 3 4" xfId="30214"/>
    <cellStyle name="표준 5 3 2 16 4" xfId="8063"/>
    <cellStyle name="표준 5 3 2 16 4 2" xfId="20737"/>
    <cellStyle name="표준 5 3 2 16 4 2 2" xfId="46089"/>
    <cellStyle name="표준 5 3 2 16 4 3" xfId="33417"/>
    <cellStyle name="표준 5 3 2 16 5" xfId="14401"/>
    <cellStyle name="표준 5 3 2 16 5 2" xfId="39753"/>
    <cellStyle name="표준 5 3 2 16 6" xfId="27081"/>
    <cellStyle name="표준 5 3 2 17" xfId="1728"/>
    <cellStyle name="표준 5 3 2 17 2" xfId="1729"/>
    <cellStyle name="표준 5 3 2 17 2 2" xfId="4861"/>
    <cellStyle name="표준 5 3 2 17 2 2 2" xfId="11197"/>
    <cellStyle name="표준 5 3 2 17 2 2 2 2" xfId="23871"/>
    <cellStyle name="표준 5 3 2 17 2 2 2 2 2" xfId="49223"/>
    <cellStyle name="표준 5 3 2 17 2 2 2 3" xfId="36551"/>
    <cellStyle name="표준 5 3 2 17 2 2 3" xfId="17535"/>
    <cellStyle name="표준 5 3 2 17 2 2 3 2" xfId="42887"/>
    <cellStyle name="표준 5 3 2 17 2 2 4" xfId="30215"/>
    <cellStyle name="표준 5 3 2 17 2 3" xfId="8066"/>
    <cellStyle name="표준 5 3 2 17 2 3 2" xfId="20740"/>
    <cellStyle name="표준 5 3 2 17 2 3 2 2" xfId="46092"/>
    <cellStyle name="표준 5 3 2 17 2 3 3" xfId="33420"/>
    <cellStyle name="표준 5 3 2 17 2 4" xfId="14404"/>
    <cellStyle name="표준 5 3 2 17 2 4 2" xfId="39756"/>
    <cellStyle name="표준 5 3 2 17 2 5" xfId="27084"/>
    <cellStyle name="표준 5 3 2 17 3" xfId="4862"/>
    <cellStyle name="표준 5 3 2 17 3 2" xfId="11198"/>
    <cellStyle name="표준 5 3 2 17 3 2 2" xfId="23872"/>
    <cellStyle name="표준 5 3 2 17 3 2 2 2" xfId="49224"/>
    <cellStyle name="표준 5 3 2 17 3 2 3" xfId="36552"/>
    <cellStyle name="표준 5 3 2 17 3 3" xfId="17536"/>
    <cellStyle name="표준 5 3 2 17 3 3 2" xfId="42888"/>
    <cellStyle name="표준 5 3 2 17 3 4" xfId="30216"/>
    <cellStyle name="표준 5 3 2 17 4" xfId="8065"/>
    <cellStyle name="표준 5 3 2 17 4 2" xfId="20739"/>
    <cellStyle name="표준 5 3 2 17 4 2 2" xfId="46091"/>
    <cellStyle name="표준 5 3 2 17 4 3" xfId="33419"/>
    <cellStyle name="표준 5 3 2 17 5" xfId="14403"/>
    <cellStyle name="표준 5 3 2 17 5 2" xfId="39755"/>
    <cellStyle name="표준 5 3 2 17 6" xfId="27083"/>
    <cellStyle name="표준 5 3 2 18" xfId="1730"/>
    <cellStyle name="표준 5 3 2 18 2" xfId="1731"/>
    <cellStyle name="표준 5 3 2 18 2 2" xfId="4863"/>
    <cellStyle name="표준 5 3 2 18 2 2 2" xfId="11199"/>
    <cellStyle name="표준 5 3 2 18 2 2 2 2" xfId="23873"/>
    <cellStyle name="표준 5 3 2 18 2 2 2 2 2" xfId="49225"/>
    <cellStyle name="표준 5 3 2 18 2 2 2 3" xfId="36553"/>
    <cellStyle name="표준 5 3 2 18 2 2 3" xfId="17537"/>
    <cellStyle name="표준 5 3 2 18 2 2 3 2" xfId="42889"/>
    <cellStyle name="표준 5 3 2 18 2 2 4" xfId="30217"/>
    <cellStyle name="표준 5 3 2 18 2 3" xfId="8068"/>
    <cellStyle name="표준 5 3 2 18 2 3 2" xfId="20742"/>
    <cellStyle name="표준 5 3 2 18 2 3 2 2" xfId="46094"/>
    <cellStyle name="표준 5 3 2 18 2 3 3" xfId="33422"/>
    <cellStyle name="표준 5 3 2 18 2 4" xfId="14406"/>
    <cellStyle name="표준 5 3 2 18 2 4 2" xfId="39758"/>
    <cellStyle name="표준 5 3 2 18 2 5" xfId="27086"/>
    <cellStyle name="표준 5 3 2 18 3" xfId="4864"/>
    <cellStyle name="표준 5 3 2 18 3 2" xfId="11200"/>
    <cellStyle name="표준 5 3 2 18 3 2 2" xfId="23874"/>
    <cellStyle name="표준 5 3 2 18 3 2 2 2" xfId="49226"/>
    <cellStyle name="표준 5 3 2 18 3 2 3" xfId="36554"/>
    <cellStyle name="표준 5 3 2 18 3 3" xfId="17538"/>
    <cellStyle name="표준 5 3 2 18 3 3 2" xfId="42890"/>
    <cellStyle name="표준 5 3 2 18 3 4" xfId="30218"/>
    <cellStyle name="표준 5 3 2 18 4" xfId="8067"/>
    <cellStyle name="표준 5 3 2 18 4 2" xfId="20741"/>
    <cellStyle name="표준 5 3 2 18 4 2 2" xfId="46093"/>
    <cellStyle name="표준 5 3 2 18 4 3" xfId="33421"/>
    <cellStyle name="표준 5 3 2 18 5" xfId="14405"/>
    <cellStyle name="표준 5 3 2 18 5 2" xfId="39757"/>
    <cellStyle name="표준 5 3 2 18 6" xfId="27085"/>
    <cellStyle name="표준 5 3 2 19" xfId="1732"/>
    <cellStyle name="표준 5 3 2 19 2" xfId="1733"/>
    <cellStyle name="표준 5 3 2 19 2 2" xfId="4865"/>
    <cellStyle name="표준 5 3 2 19 2 2 2" xfId="11201"/>
    <cellStyle name="표준 5 3 2 19 2 2 2 2" xfId="23875"/>
    <cellStyle name="표준 5 3 2 19 2 2 2 2 2" xfId="49227"/>
    <cellStyle name="표준 5 3 2 19 2 2 2 3" xfId="36555"/>
    <cellStyle name="표준 5 3 2 19 2 2 3" xfId="17539"/>
    <cellStyle name="표준 5 3 2 19 2 2 3 2" xfId="42891"/>
    <cellStyle name="표준 5 3 2 19 2 2 4" xfId="30219"/>
    <cellStyle name="표준 5 3 2 19 2 3" xfId="8070"/>
    <cellStyle name="표준 5 3 2 19 2 3 2" xfId="20744"/>
    <cellStyle name="표준 5 3 2 19 2 3 2 2" xfId="46096"/>
    <cellStyle name="표준 5 3 2 19 2 3 3" xfId="33424"/>
    <cellStyle name="표준 5 3 2 19 2 4" xfId="14408"/>
    <cellStyle name="표준 5 3 2 19 2 4 2" xfId="39760"/>
    <cellStyle name="표준 5 3 2 19 2 5" xfId="27088"/>
    <cellStyle name="표준 5 3 2 19 3" xfId="4866"/>
    <cellStyle name="표준 5 3 2 19 3 2" xfId="11202"/>
    <cellStyle name="표준 5 3 2 19 3 2 2" xfId="23876"/>
    <cellStyle name="표준 5 3 2 19 3 2 2 2" xfId="49228"/>
    <cellStyle name="표준 5 3 2 19 3 2 3" xfId="36556"/>
    <cellStyle name="표준 5 3 2 19 3 3" xfId="17540"/>
    <cellStyle name="표준 5 3 2 19 3 3 2" xfId="42892"/>
    <cellStyle name="표준 5 3 2 19 3 4" xfId="30220"/>
    <cellStyle name="표준 5 3 2 19 4" xfId="8069"/>
    <cellStyle name="표준 5 3 2 19 4 2" xfId="20743"/>
    <cellStyle name="표준 5 3 2 19 4 2 2" xfId="46095"/>
    <cellStyle name="표준 5 3 2 19 4 3" xfId="33423"/>
    <cellStyle name="표준 5 3 2 19 5" xfId="14407"/>
    <cellStyle name="표준 5 3 2 19 5 2" xfId="39759"/>
    <cellStyle name="표준 5 3 2 19 6" xfId="27087"/>
    <cellStyle name="표준 5 3 2 2" xfId="81"/>
    <cellStyle name="표준 5 3 2 2 10" xfId="1734"/>
    <cellStyle name="표준 5 3 2 2 10 2" xfId="1735"/>
    <cellStyle name="표준 5 3 2 2 10 2 2" xfId="4867"/>
    <cellStyle name="표준 5 3 2 2 10 2 2 2" xfId="11203"/>
    <cellStyle name="표준 5 3 2 2 10 2 2 2 2" xfId="23877"/>
    <cellStyle name="표준 5 3 2 2 10 2 2 2 2 2" xfId="49229"/>
    <cellStyle name="표준 5 3 2 2 10 2 2 2 3" xfId="36557"/>
    <cellStyle name="표준 5 3 2 2 10 2 2 3" xfId="17541"/>
    <cellStyle name="표준 5 3 2 2 10 2 2 3 2" xfId="42893"/>
    <cellStyle name="표준 5 3 2 2 10 2 2 4" xfId="30221"/>
    <cellStyle name="표준 5 3 2 2 10 2 3" xfId="8072"/>
    <cellStyle name="표준 5 3 2 2 10 2 3 2" xfId="20746"/>
    <cellStyle name="표준 5 3 2 2 10 2 3 2 2" xfId="46098"/>
    <cellStyle name="표준 5 3 2 2 10 2 3 3" xfId="33426"/>
    <cellStyle name="표준 5 3 2 2 10 2 4" xfId="14410"/>
    <cellStyle name="표준 5 3 2 2 10 2 4 2" xfId="39762"/>
    <cellStyle name="표준 5 3 2 2 10 2 5" xfId="27090"/>
    <cellStyle name="표준 5 3 2 2 10 3" xfId="4868"/>
    <cellStyle name="표준 5 3 2 2 10 3 2" xfId="11204"/>
    <cellStyle name="표준 5 3 2 2 10 3 2 2" xfId="23878"/>
    <cellStyle name="표준 5 3 2 2 10 3 2 2 2" xfId="49230"/>
    <cellStyle name="표준 5 3 2 2 10 3 2 3" xfId="36558"/>
    <cellStyle name="표준 5 3 2 2 10 3 3" xfId="17542"/>
    <cellStyle name="표준 5 3 2 2 10 3 3 2" xfId="42894"/>
    <cellStyle name="표준 5 3 2 2 10 3 4" xfId="30222"/>
    <cellStyle name="표준 5 3 2 2 10 4" xfId="8071"/>
    <cellStyle name="표준 5 3 2 2 10 4 2" xfId="20745"/>
    <cellStyle name="표준 5 3 2 2 10 4 2 2" xfId="46097"/>
    <cellStyle name="표준 5 3 2 2 10 4 3" xfId="33425"/>
    <cellStyle name="표준 5 3 2 2 10 5" xfId="14409"/>
    <cellStyle name="표준 5 3 2 2 10 5 2" xfId="39761"/>
    <cellStyle name="표준 5 3 2 2 10 6" xfId="27089"/>
    <cellStyle name="표준 5 3 2 2 11" xfId="1736"/>
    <cellStyle name="표준 5 3 2 2 11 2" xfId="1737"/>
    <cellStyle name="표준 5 3 2 2 11 2 2" xfId="4869"/>
    <cellStyle name="표준 5 3 2 2 11 2 2 2" xfId="11205"/>
    <cellStyle name="표준 5 3 2 2 11 2 2 2 2" xfId="23879"/>
    <cellStyle name="표준 5 3 2 2 11 2 2 2 2 2" xfId="49231"/>
    <cellStyle name="표준 5 3 2 2 11 2 2 2 3" xfId="36559"/>
    <cellStyle name="표준 5 3 2 2 11 2 2 3" xfId="17543"/>
    <cellStyle name="표준 5 3 2 2 11 2 2 3 2" xfId="42895"/>
    <cellStyle name="표준 5 3 2 2 11 2 2 4" xfId="30223"/>
    <cellStyle name="표준 5 3 2 2 11 2 3" xfId="8074"/>
    <cellStyle name="표준 5 3 2 2 11 2 3 2" xfId="20748"/>
    <cellStyle name="표준 5 3 2 2 11 2 3 2 2" xfId="46100"/>
    <cellStyle name="표준 5 3 2 2 11 2 3 3" xfId="33428"/>
    <cellStyle name="표준 5 3 2 2 11 2 4" xfId="14412"/>
    <cellStyle name="표준 5 3 2 2 11 2 4 2" xfId="39764"/>
    <cellStyle name="표준 5 3 2 2 11 2 5" xfId="27092"/>
    <cellStyle name="표준 5 3 2 2 11 3" xfId="4870"/>
    <cellStyle name="표준 5 3 2 2 11 3 2" xfId="11206"/>
    <cellStyle name="표준 5 3 2 2 11 3 2 2" xfId="23880"/>
    <cellStyle name="표준 5 3 2 2 11 3 2 2 2" xfId="49232"/>
    <cellStyle name="표준 5 3 2 2 11 3 2 3" xfId="36560"/>
    <cellStyle name="표준 5 3 2 2 11 3 3" xfId="17544"/>
    <cellStyle name="표준 5 3 2 2 11 3 3 2" xfId="42896"/>
    <cellStyle name="표준 5 3 2 2 11 3 4" xfId="30224"/>
    <cellStyle name="표준 5 3 2 2 11 4" xfId="8073"/>
    <cellStyle name="표준 5 3 2 2 11 4 2" xfId="20747"/>
    <cellStyle name="표준 5 3 2 2 11 4 2 2" xfId="46099"/>
    <cellStyle name="표준 5 3 2 2 11 4 3" xfId="33427"/>
    <cellStyle name="표준 5 3 2 2 11 5" xfId="14411"/>
    <cellStyle name="표준 5 3 2 2 11 5 2" xfId="39763"/>
    <cellStyle name="표준 5 3 2 2 11 6" xfId="27091"/>
    <cellStyle name="표준 5 3 2 2 12" xfId="1738"/>
    <cellStyle name="표준 5 3 2 2 12 2" xfId="1739"/>
    <cellStyle name="표준 5 3 2 2 12 2 2" xfId="4871"/>
    <cellStyle name="표준 5 3 2 2 12 2 2 2" xfId="11207"/>
    <cellStyle name="표준 5 3 2 2 12 2 2 2 2" xfId="23881"/>
    <cellStyle name="표준 5 3 2 2 12 2 2 2 2 2" xfId="49233"/>
    <cellStyle name="표준 5 3 2 2 12 2 2 2 3" xfId="36561"/>
    <cellStyle name="표준 5 3 2 2 12 2 2 3" xfId="17545"/>
    <cellStyle name="표준 5 3 2 2 12 2 2 3 2" xfId="42897"/>
    <cellStyle name="표준 5 3 2 2 12 2 2 4" xfId="30225"/>
    <cellStyle name="표준 5 3 2 2 12 2 3" xfId="8076"/>
    <cellStyle name="표준 5 3 2 2 12 2 3 2" xfId="20750"/>
    <cellStyle name="표준 5 3 2 2 12 2 3 2 2" xfId="46102"/>
    <cellStyle name="표준 5 3 2 2 12 2 3 3" xfId="33430"/>
    <cellStyle name="표준 5 3 2 2 12 2 4" xfId="14414"/>
    <cellStyle name="표준 5 3 2 2 12 2 4 2" xfId="39766"/>
    <cellStyle name="표준 5 3 2 2 12 2 5" xfId="27094"/>
    <cellStyle name="표준 5 3 2 2 12 3" xfId="4872"/>
    <cellStyle name="표준 5 3 2 2 12 3 2" xfId="11208"/>
    <cellStyle name="표준 5 3 2 2 12 3 2 2" xfId="23882"/>
    <cellStyle name="표준 5 3 2 2 12 3 2 2 2" xfId="49234"/>
    <cellStyle name="표준 5 3 2 2 12 3 2 3" xfId="36562"/>
    <cellStyle name="표준 5 3 2 2 12 3 3" xfId="17546"/>
    <cellStyle name="표준 5 3 2 2 12 3 3 2" xfId="42898"/>
    <cellStyle name="표준 5 3 2 2 12 3 4" xfId="30226"/>
    <cellStyle name="표준 5 3 2 2 12 4" xfId="8075"/>
    <cellStyle name="표준 5 3 2 2 12 4 2" xfId="20749"/>
    <cellStyle name="표준 5 3 2 2 12 4 2 2" xfId="46101"/>
    <cellStyle name="표준 5 3 2 2 12 4 3" xfId="33429"/>
    <cellStyle name="표준 5 3 2 2 12 5" xfId="14413"/>
    <cellStyle name="표준 5 3 2 2 12 5 2" xfId="39765"/>
    <cellStyle name="표준 5 3 2 2 12 6" xfId="27093"/>
    <cellStyle name="표준 5 3 2 2 13" xfId="1740"/>
    <cellStyle name="표준 5 3 2 2 13 2" xfId="1741"/>
    <cellStyle name="표준 5 3 2 2 13 2 2" xfId="4873"/>
    <cellStyle name="표준 5 3 2 2 13 2 2 2" xfId="11209"/>
    <cellStyle name="표준 5 3 2 2 13 2 2 2 2" xfId="23883"/>
    <cellStyle name="표준 5 3 2 2 13 2 2 2 2 2" xfId="49235"/>
    <cellStyle name="표준 5 3 2 2 13 2 2 2 3" xfId="36563"/>
    <cellStyle name="표준 5 3 2 2 13 2 2 3" xfId="17547"/>
    <cellStyle name="표준 5 3 2 2 13 2 2 3 2" xfId="42899"/>
    <cellStyle name="표준 5 3 2 2 13 2 2 4" xfId="30227"/>
    <cellStyle name="표준 5 3 2 2 13 2 3" xfId="8078"/>
    <cellStyle name="표준 5 3 2 2 13 2 3 2" xfId="20752"/>
    <cellStyle name="표준 5 3 2 2 13 2 3 2 2" xfId="46104"/>
    <cellStyle name="표준 5 3 2 2 13 2 3 3" xfId="33432"/>
    <cellStyle name="표준 5 3 2 2 13 2 4" xfId="14416"/>
    <cellStyle name="표준 5 3 2 2 13 2 4 2" xfId="39768"/>
    <cellStyle name="표준 5 3 2 2 13 2 5" xfId="27096"/>
    <cellStyle name="표준 5 3 2 2 13 3" xfId="4874"/>
    <cellStyle name="표준 5 3 2 2 13 3 2" xfId="11210"/>
    <cellStyle name="표준 5 3 2 2 13 3 2 2" xfId="23884"/>
    <cellStyle name="표준 5 3 2 2 13 3 2 2 2" xfId="49236"/>
    <cellStyle name="표준 5 3 2 2 13 3 2 3" xfId="36564"/>
    <cellStyle name="표준 5 3 2 2 13 3 3" xfId="17548"/>
    <cellStyle name="표준 5 3 2 2 13 3 3 2" xfId="42900"/>
    <cellStyle name="표준 5 3 2 2 13 3 4" xfId="30228"/>
    <cellStyle name="표준 5 3 2 2 13 4" xfId="8077"/>
    <cellStyle name="표준 5 3 2 2 13 4 2" xfId="20751"/>
    <cellStyle name="표준 5 3 2 2 13 4 2 2" xfId="46103"/>
    <cellStyle name="표준 5 3 2 2 13 4 3" xfId="33431"/>
    <cellStyle name="표준 5 3 2 2 13 5" xfId="14415"/>
    <cellStyle name="표준 5 3 2 2 13 5 2" xfId="39767"/>
    <cellStyle name="표준 5 3 2 2 13 6" xfId="27095"/>
    <cellStyle name="표준 5 3 2 2 14" xfId="1742"/>
    <cellStyle name="표준 5 3 2 2 14 2" xfId="1743"/>
    <cellStyle name="표준 5 3 2 2 14 2 2" xfId="4875"/>
    <cellStyle name="표준 5 3 2 2 14 2 2 2" xfId="11211"/>
    <cellStyle name="표준 5 3 2 2 14 2 2 2 2" xfId="23885"/>
    <cellStyle name="표준 5 3 2 2 14 2 2 2 2 2" xfId="49237"/>
    <cellStyle name="표준 5 3 2 2 14 2 2 2 3" xfId="36565"/>
    <cellStyle name="표준 5 3 2 2 14 2 2 3" xfId="17549"/>
    <cellStyle name="표준 5 3 2 2 14 2 2 3 2" xfId="42901"/>
    <cellStyle name="표준 5 3 2 2 14 2 2 4" xfId="30229"/>
    <cellStyle name="표준 5 3 2 2 14 2 3" xfId="8080"/>
    <cellStyle name="표준 5 3 2 2 14 2 3 2" xfId="20754"/>
    <cellStyle name="표준 5 3 2 2 14 2 3 2 2" xfId="46106"/>
    <cellStyle name="표준 5 3 2 2 14 2 3 3" xfId="33434"/>
    <cellStyle name="표준 5 3 2 2 14 2 4" xfId="14418"/>
    <cellStyle name="표준 5 3 2 2 14 2 4 2" xfId="39770"/>
    <cellStyle name="표준 5 3 2 2 14 2 5" xfId="27098"/>
    <cellStyle name="표준 5 3 2 2 14 3" xfId="4876"/>
    <cellStyle name="표준 5 3 2 2 14 3 2" xfId="11212"/>
    <cellStyle name="표준 5 3 2 2 14 3 2 2" xfId="23886"/>
    <cellStyle name="표준 5 3 2 2 14 3 2 2 2" xfId="49238"/>
    <cellStyle name="표준 5 3 2 2 14 3 2 3" xfId="36566"/>
    <cellStyle name="표준 5 3 2 2 14 3 3" xfId="17550"/>
    <cellStyle name="표준 5 3 2 2 14 3 3 2" xfId="42902"/>
    <cellStyle name="표준 5 3 2 2 14 3 4" xfId="30230"/>
    <cellStyle name="표준 5 3 2 2 14 4" xfId="8079"/>
    <cellStyle name="표준 5 3 2 2 14 4 2" xfId="20753"/>
    <cellStyle name="표준 5 3 2 2 14 4 2 2" xfId="46105"/>
    <cellStyle name="표준 5 3 2 2 14 4 3" xfId="33433"/>
    <cellStyle name="표준 5 3 2 2 14 5" xfId="14417"/>
    <cellStyle name="표준 5 3 2 2 14 5 2" xfId="39769"/>
    <cellStyle name="표준 5 3 2 2 14 6" xfId="27097"/>
    <cellStyle name="표준 5 3 2 2 15" xfId="1744"/>
    <cellStyle name="표준 5 3 2 2 15 2" xfId="1745"/>
    <cellStyle name="표준 5 3 2 2 15 2 2" xfId="4877"/>
    <cellStyle name="표준 5 3 2 2 15 2 2 2" xfId="11213"/>
    <cellStyle name="표준 5 3 2 2 15 2 2 2 2" xfId="23887"/>
    <cellStyle name="표준 5 3 2 2 15 2 2 2 2 2" xfId="49239"/>
    <cellStyle name="표준 5 3 2 2 15 2 2 2 3" xfId="36567"/>
    <cellStyle name="표준 5 3 2 2 15 2 2 3" xfId="17551"/>
    <cellStyle name="표준 5 3 2 2 15 2 2 3 2" xfId="42903"/>
    <cellStyle name="표준 5 3 2 2 15 2 2 4" xfId="30231"/>
    <cellStyle name="표준 5 3 2 2 15 2 3" xfId="8082"/>
    <cellStyle name="표준 5 3 2 2 15 2 3 2" xfId="20756"/>
    <cellStyle name="표준 5 3 2 2 15 2 3 2 2" xfId="46108"/>
    <cellStyle name="표준 5 3 2 2 15 2 3 3" xfId="33436"/>
    <cellStyle name="표준 5 3 2 2 15 2 4" xfId="14420"/>
    <cellStyle name="표준 5 3 2 2 15 2 4 2" xfId="39772"/>
    <cellStyle name="표준 5 3 2 2 15 2 5" xfId="27100"/>
    <cellStyle name="표준 5 3 2 2 15 3" xfId="4878"/>
    <cellStyle name="표준 5 3 2 2 15 3 2" xfId="11214"/>
    <cellStyle name="표준 5 3 2 2 15 3 2 2" xfId="23888"/>
    <cellStyle name="표준 5 3 2 2 15 3 2 2 2" xfId="49240"/>
    <cellStyle name="표준 5 3 2 2 15 3 2 3" xfId="36568"/>
    <cellStyle name="표준 5 3 2 2 15 3 3" xfId="17552"/>
    <cellStyle name="표준 5 3 2 2 15 3 3 2" xfId="42904"/>
    <cellStyle name="표준 5 3 2 2 15 3 4" xfId="30232"/>
    <cellStyle name="표준 5 3 2 2 15 4" xfId="8081"/>
    <cellStyle name="표준 5 3 2 2 15 4 2" xfId="20755"/>
    <cellStyle name="표준 5 3 2 2 15 4 2 2" xfId="46107"/>
    <cellStyle name="표준 5 3 2 2 15 4 3" xfId="33435"/>
    <cellStyle name="표준 5 3 2 2 15 5" xfId="14419"/>
    <cellStyle name="표준 5 3 2 2 15 5 2" xfId="39771"/>
    <cellStyle name="표준 5 3 2 2 15 6" xfId="27099"/>
    <cellStyle name="표준 5 3 2 2 16" xfId="1746"/>
    <cellStyle name="표준 5 3 2 2 16 2" xfId="1747"/>
    <cellStyle name="표준 5 3 2 2 16 2 2" xfId="4879"/>
    <cellStyle name="표준 5 3 2 2 16 2 2 2" xfId="11215"/>
    <cellStyle name="표준 5 3 2 2 16 2 2 2 2" xfId="23889"/>
    <cellStyle name="표준 5 3 2 2 16 2 2 2 2 2" xfId="49241"/>
    <cellStyle name="표준 5 3 2 2 16 2 2 2 3" xfId="36569"/>
    <cellStyle name="표준 5 3 2 2 16 2 2 3" xfId="17553"/>
    <cellStyle name="표준 5 3 2 2 16 2 2 3 2" xfId="42905"/>
    <cellStyle name="표준 5 3 2 2 16 2 2 4" xfId="30233"/>
    <cellStyle name="표준 5 3 2 2 16 2 3" xfId="8084"/>
    <cellStyle name="표준 5 3 2 2 16 2 3 2" xfId="20758"/>
    <cellStyle name="표준 5 3 2 2 16 2 3 2 2" xfId="46110"/>
    <cellStyle name="표준 5 3 2 2 16 2 3 3" xfId="33438"/>
    <cellStyle name="표준 5 3 2 2 16 2 4" xfId="14422"/>
    <cellStyle name="표준 5 3 2 2 16 2 4 2" xfId="39774"/>
    <cellStyle name="표준 5 3 2 2 16 2 5" xfId="27102"/>
    <cellStyle name="표준 5 3 2 2 16 3" xfId="4880"/>
    <cellStyle name="표준 5 3 2 2 16 3 2" xfId="11216"/>
    <cellStyle name="표준 5 3 2 2 16 3 2 2" xfId="23890"/>
    <cellStyle name="표준 5 3 2 2 16 3 2 2 2" xfId="49242"/>
    <cellStyle name="표준 5 3 2 2 16 3 2 3" xfId="36570"/>
    <cellStyle name="표준 5 3 2 2 16 3 3" xfId="17554"/>
    <cellStyle name="표준 5 3 2 2 16 3 3 2" xfId="42906"/>
    <cellStyle name="표준 5 3 2 2 16 3 4" xfId="30234"/>
    <cellStyle name="표준 5 3 2 2 16 4" xfId="8083"/>
    <cellStyle name="표준 5 3 2 2 16 4 2" xfId="20757"/>
    <cellStyle name="표준 5 3 2 2 16 4 2 2" xfId="46109"/>
    <cellStyle name="표준 5 3 2 2 16 4 3" xfId="33437"/>
    <cellStyle name="표준 5 3 2 2 16 5" xfId="14421"/>
    <cellStyle name="표준 5 3 2 2 16 5 2" xfId="39773"/>
    <cellStyle name="표준 5 3 2 2 16 6" xfId="27101"/>
    <cellStyle name="표준 5 3 2 2 17" xfId="1748"/>
    <cellStyle name="표준 5 3 2 2 17 2" xfId="1749"/>
    <cellStyle name="표준 5 3 2 2 17 2 2" xfId="4881"/>
    <cellStyle name="표준 5 3 2 2 17 2 2 2" xfId="11217"/>
    <cellStyle name="표준 5 3 2 2 17 2 2 2 2" xfId="23891"/>
    <cellStyle name="표준 5 3 2 2 17 2 2 2 2 2" xfId="49243"/>
    <cellStyle name="표준 5 3 2 2 17 2 2 2 3" xfId="36571"/>
    <cellStyle name="표준 5 3 2 2 17 2 2 3" xfId="17555"/>
    <cellStyle name="표준 5 3 2 2 17 2 2 3 2" xfId="42907"/>
    <cellStyle name="표준 5 3 2 2 17 2 2 4" xfId="30235"/>
    <cellStyle name="표준 5 3 2 2 17 2 3" xfId="8086"/>
    <cellStyle name="표준 5 3 2 2 17 2 3 2" xfId="20760"/>
    <cellStyle name="표준 5 3 2 2 17 2 3 2 2" xfId="46112"/>
    <cellStyle name="표준 5 3 2 2 17 2 3 3" xfId="33440"/>
    <cellStyle name="표준 5 3 2 2 17 2 4" xfId="14424"/>
    <cellStyle name="표준 5 3 2 2 17 2 4 2" xfId="39776"/>
    <cellStyle name="표준 5 3 2 2 17 2 5" xfId="27104"/>
    <cellStyle name="표준 5 3 2 2 17 3" xfId="4882"/>
    <cellStyle name="표준 5 3 2 2 17 3 2" xfId="11218"/>
    <cellStyle name="표준 5 3 2 2 17 3 2 2" xfId="23892"/>
    <cellStyle name="표준 5 3 2 2 17 3 2 2 2" xfId="49244"/>
    <cellStyle name="표준 5 3 2 2 17 3 2 3" xfId="36572"/>
    <cellStyle name="표준 5 3 2 2 17 3 3" xfId="17556"/>
    <cellStyle name="표준 5 3 2 2 17 3 3 2" xfId="42908"/>
    <cellStyle name="표준 5 3 2 2 17 3 4" xfId="30236"/>
    <cellStyle name="표준 5 3 2 2 17 4" xfId="8085"/>
    <cellStyle name="표준 5 3 2 2 17 4 2" xfId="20759"/>
    <cellStyle name="표준 5 3 2 2 17 4 2 2" xfId="46111"/>
    <cellStyle name="표준 5 3 2 2 17 4 3" xfId="33439"/>
    <cellStyle name="표준 5 3 2 2 17 5" xfId="14423"/>
    <cellStyle name="표준 5 3 2 2 17 5 2" xfId="39775"/>
    <cellStyle name="표준 5 3 2 2 17 6" xfId="27103"/>
    <cellStyle name="표준 5 3 2 2 18" xfId="1750"/>
    <cellStyle name="표준 5 3 2 2 18 2" xfId="1751"/>
    <cellStyle name="표준 5 3 2 2 18 2 2" xfId="4883"/>
    <cellStyle name="표준 5 3 2 2 18 2 2 2" xfId="11219"/>
    <cellStyle name="표준 5 3 2 2 18 2 2 2 2" xfId="23893"/>
    <cellStyle name="표준 5 3 2 2 18 2 2 2 2 2" xfId="49245"/>
    <cellStyle name="표준 5 3 2 2 18 2 2 2 3" xfId="36573"/>
    <cellStyle name="표준 5 3 2 2 18 2 2 3" xfId="17557"/>
    <cellStyle name="표준 5 3 2 2 18 2 2 3 2" xfId="42909"/>
    <cellStyle name="표준 5 3 2 2 18 2 2 4" xfId="30237"/>
    <cellStyle name="표준 5 3 2 2 18 2 3" xfId="8088"/>
    <cellStyle name="표준 5 3 2 2 18 2 3 2" xfId="20762"/>
    <cellStyle name="표준 5 3 2 2 18 2 3 2 2" xfId="46114"/>
    <cellStyle name="표준 5 3 2 2 18 2 3 3" xfId="33442"/>
    <cellStyle name="표준 5 3 2 2 18 2 4" xfId="14426"/>
    <cellStyle name="표준 5 3 2 2 18 2 4 2" xfId="39778"/>
    <cellStyle name="표준 5 3 2 2 18 2 5" xfId="27106"/>
    <cellStyle name="표준 5 3 2 2 18 3" xfId="4884"/>
    <cellStyle name="표준 5 3 2 2 18 3 2" xfId="11220"/>
    <cellStyle name="표준 5 3 2 2 18 3 2 2" xfId="23894"/>
    <cellStyle name="표준 5 3 2 2 18 3 2 2 2" xfId="49246"/>
    <cellStyle name="표준 5 3 2 2 18 3 2 3" xfId="36574"/>
    <cellStyle name="표준 5 3 2 2 18 3 3" xfId="17558"/>
    <cellStyle name="표준 5 3 2 2 18 3 3 2" xfId="42910"/>
    <cellStyle name="표준 5 3 2 2 18 3 4" xfId="30238"/>
    <cellStyle name="표준 5 3 2 2 18 4" xfId="8087"/>
    <cellStyle name="표준 5 3 2 2 18 4 2" xfId="20761"/>
    <cellStyle name="표준 5 3 2 2 18 4 2 2" xfId="46113"/>
    <cellStyle name="표준 5 3 2 2 18 4 3" xfId="33441"/>
    <cellStyle name="표준 5 3 2 2 18 5" xfId="14425"/>
    <cellStyle name="표준 5 3 2 2 18 5 2" xfId="39777"/>
    <cellStyle name="표준 5 3 2 2 18 6" xfId="27105"/>
    <cellStyle name="표준 5 3 2 2 19" xfId="1752"/>
    <cellStyle name="표준 5 3 2 2 19 2" xfId="1753"/>
    <cellStyle name="표준 5 3 2 2 19 2 2" xfId="4885"/>
    <cellStyle name="표준 5 3 2 2 19 2 2 2" xfId="11221"/>
    <cellStyle name="표준 5 3 2 2 19 2 2 2 2" xfId="23895"/>
    <cellStyle name="표준 5 3 2 2 19 2 2 2 2 2" xfId="49247"/>
    <cellStyle name="표준 5 3 2 2 19 2 2 2 3" xfId="36575"/>
    <cellStyle name="표준 5 3 2 2 19 2 2 3" xfId="17559"/>
    <cellStyle name="표준 5 3 2 2 19 2 2 3 2" xfId="42911"/>
    <cellStyle name="표준 5 3 2 2 19 2 2 4" xfId="30239"/>
    <cellStyle name="표준 5 3 2 2 19 2 3" xfId="8090"/>
    <cellStyle name="표준 5 3 2 2 19 2 3 2" xfId="20764"/>
    <cellStyle name="표준 5 3 2 2 19 2 3 2 2" xfId="46116"/>
    <cellStyle name="표준 5 3 2 2 19 2 3 3" xfId="33444"/>
    <cellStyle name="표준 5 3 2 2 19 2 4" xfId="14428"/>
    <cellStyle name="표준 5 3 2 2 19 2 4 2" xfId="39780"/>
    <cellStyle name="표준 5 3 2 2 19 2 5" xfId="27108"/>
    <cellStyle name="표준 5 3 2 2 19 3" xfId="4886"/>
    <cellStyle name="표준 5 3 2 2 19 3 2" xfId="11222"/>
    <cellStyle name="표준 5 3 2 2 19 3 2 2" xfId="23896"/>
    <cellStyle name="표준 5 3 2 2 19 3 2 2 2" xfId="49248"/>
    <cellStyle name="표준 5 3 2 2 19 3 2 3" xfId="36576"/>
    <cellStyle name="표준 5 3 2 2 19 3 3" xfId="17560"/>
    <cellStyle name="표준 5 3 2 2 19 3 3 2" xfId="42912"/>
    <cellStyle name="표준 5 3 2 2 19 3 4" xfId="30240"/>
    <cellStyle name="표준 5 3 2 2 19 4" xfId="8089"/>
    <cellStyle name="표준 5 3 2 2 19 4 2" xfId="20763"/>
    <cellStyle name="표준 5 3 2 2 19 4 2 2" xfId="46115"/>
    <cellStyle name="표준 5 3 2 2 19 4 3" xfId="33443"/>
    <cellStyle name="표준 5 3 2 2 19 5" xfId="14427"/>
    <cellStyle name="표준 5 3 2 2 19 5 2" xfId="39779"/>
    <cellStyle name="표준 5 3 2 2 19 6" xfId="27107"/>
    <cellStyle name="표준 5 3 2 2 2" xfId="1754"/>
    <cellStyle name="표준 5 3 2 2 2 2" xfId="1755"/>
    <cellStyle name="표준 5 3 2 2 2 2 2" xfId="4887"/>
    <cellStyle name="표준 5 3 2 2 2 2 2 2" xfId="11223"/>
    <cellStyle name="표준 5 3 2 2 2 2 2 2 2" xfId="23897"/>
    <cellStyle name="표준 5 3 2 2 2 2 2 2 2 2" xfId="49249"/>
    <cellStyle name="표준 5 3 2 2 2 2 2 2 3" xfId="36577"/>
    <cellStyle name="표준 5 3 2 2 2 2 2 3" xfId="17561"/>
    <cellStyle name="표준 5 3 2 2 2 2 2 3 2" xfId="42913"/>
    <cellStyle name="표준 5 3 2 2 2 2 2 4" xfId="30241"/>
    <cellStyle name="표준 5 3 2 2 2 2 3" xfId="8092"/>
    <cellStyle name="표준 5 3 2 2 2 2 3 2" xfId="20766"/>
    <cellStyle name="표준 5 3 2 2 2 2 3 2 2" xfId="46118"/>
    <cellStyle name="표준 5 3 2 2 2 2 3 3" xfId="33446"/>
    <cellStyle name="표준 5 3 2 2 2 2 4" xfId="14430"/>
    <cellStyle name="표준 5 3 2 2 2 2 4 2" xfId="39782"/>
    <cellStyle name="표준 5 3 2 2 2 2 5" xfId="27110"/>
    <cellStyle name="표준 5 3 2 2 2 3" xfId="4888"/>
    <cellStyle name="표준 5 3 2 2 2 3 2" xfId="11224"/>
    <cellStyle name="표준 5 3 2 2 2 3 2 2" xfId="23898"/>
    <cellStyle name="표준 5 3 2 2 2 3 2 2 2" xfId="49250"/>
    <cellStyle name="표준 5 3 2 2 2 3 2 3" xfId="36578"/>
    <cellStyle name="표준 5 3 2 2 2 3 3" xfId="17562"/>
    <cellStyle name="표준 5 3 2 2 2 3 3 2" xfId="42914"/>
    <cellStyle name="표준 5 3 2 2 2 3 4" xfId="30242"/>
    <cellStyle name="표준 5 3 2 2 2 4" xfId="8091"/>
    <cellStyle name="표준 5 3 2 2 2 4 2" xfId="20765"/>
    <cellStyle name="표준 5 3 2 2 2 4 2 2" xfId="46117"/>
    <cellStyle name="표준 5 3 2 2 2 4 3" xfId="33445"/>
    <cellStyle name="표준 5 3 2 2 2 5" xfId="14429"/>
    <cellStyle name="표준 5 3 2 2 2 5 2" xfId="39781"/>
    <cellStyle name="표준 5 3 2 2 2 6" xfId="27109"/>
    <cellStyle name="표준 5 3 2 2 20" xfId="1756"/>
    <cellStyle name="표준 5 3 2 2 20 2" xfId="1757"/>
    <cellStyle name="표준 5 3 2 2 20 2 2" xfId="4889"/>
    <cellStyle name="표준 5 3 2 2 20 2 2 2" xfId="11225"/>
    <cellStyle name="표준 5 3 2 2 20 2 2 2 2" xfId="23899"/>
    <cellStyle name="표준 5 3 2 2 20 2 2 2 2 2" xfId="49251"/>
    <cellStyle name="표준 5 3 2 2 20 2 2 2 3" xfId="36579"/>
    <cellStyle name="표준 5 3 2 2 20 2 2 3" xfId="17563"/>
    <cellStyle name="표준 5 3 2 2 20 2 2 3 2" xfId="42915"/>
    <cellStyle name="표준 5 3 2 2 20 2 2 4" xfId="30243"/>
    <cellStyle name="표준 5 3 2 2 20 2 3" xfId="8094"/>
    <cellStyle name="표준 5 3 2 2 20 2 3 2" xfId="20768"/>
    <cellStyle name="표준 5 3 2 2 20 2 3 2 2" xfId="46120"/>
    <cellStyle name="표준 5 3 2 2 20 2 3 3" xfId="33448"/>
    <cellStyle name="표준 5 3 2 2 20 2 4" xfId="14432"/>
    <cellStyle name="표준 5 3 2 2 20 2 4 2" xfId="39784"/>
    <cellStyle name="표준 5 3 2 2 20 2 5" xfId="27112"/>
    <cellStyle name="표준 5 3 2 2 20 3" xfId="4890"/>
    <cellStyle name="표준 5 3 2 2 20 3 2" xfId="11226"/>
    <cellStyle name="표준 5 3 2 2 20 3 2 2" xfId="23900"/>
    <cellStyle name="표준 5 3 2 2 20 3 2 2 2" xfId="49252"/>
    <cellStyle name="표준 5 3 2 2 20 3 2 3" xfId="36580"/>
    <cellStyle name="표준 5 3 2 2 20 3 3" xfId="17564"/>
    <cellStyle name="표준 5 3 2 2 20 3 3 2" xfId="42916"/>
    <cellStyle name="표준 5 3 2 2 20 3 4" xfId="30244"/>
    <cellStyle name="표준 5 3 2 2 20 4" xfId="8093"/>
    <cellStyle name="표준 5 3 2 2 20 4 2" xfId="20767"/>
    <cellStyle name="표준 5 3 2 2 20 4 2 2" xfId="46119"/>
    <cellStyle name="표준 5 3 2 2 20 4 3" xfId="33447"/>
    <cellStyle name="표준 5 3 2 2 20 5" xfId="14431"/>
    <cellStyle name="표준 5 3 2 2 20 5 2" xfId="39783"/>
    <cellStyle name="표준 5 3 2 2 20 6" xfId="27111"/>
    <cellStyle name="표준 5 3 2 2 21" xfId="1758"/>
    <cellStyle name="표준 5 3 2 2 21 2" xfId="1759"/>
    <cellStyle name="표준 5 3 2 2 21 2 2" xfId="4891"/>
    <cellStyle name="표준 5 3 2 2 21 2 2 2" xfId="11227"/>
    <cellStyle name="표준 5 3 2 2 21 2 2 2 2" xfId="23901"/>
    <cellStyle name="표준 5 3 2 2 21 2 2 2 2 2" xfId="49253"/>
    <cellStyle name="표준 5 3 2 2 21 2 2 2 3" xfId="36581"/>
    <cellStyle name="표준 5 3 2 2 21 2 2 3" xfId="17565"/>
    <cellStyle name="표준 5 3 2 2 21 2 2 3 2" xfId="42917"/>
    <cellStyle name="표준 5 3 2 2 21 2 2 4" xfId="30245"/>
    <cellStyle name="표준 5 3 2 2 21 2 3" xfId="8096"/>
    <cellStyle name="표준 5 3 2 2 21 2 3 2" xfId="20770"/>
    <cellStyle name="표준 5 3 2 2 21 2 3 2 2" xfId="46122"/>
    <cellStyle name="표준 5 3 2 2 21 2 3 3" xfId="33450"/>
    <cellStyle name="표준 5 3 2 2 21 2 4" xfId="14434"/>
    <cellStyle name="표준 5 3 2 2 21 2 4 2" xfId="39786"/>
    <cellStyle name="표준 5 3 2 2 21 2 5" xfId="27114"/>
    <cellStyle name="표준 5 3 2 2 21 3" xfId="4892"/>
    <cellStyle name="표준 5 3 2 2 21 3 2" xfId="11228"/>
    <cellStyle name="표준 5 3 2 2 21 3 2 2" xfId="23902"/>
    <cellStyle name="표준 5 3 2 2 21 3 2 2 2" xfId="49254"/>
    <cellStyle name="표준 5 3 2 2 21 3 2 3" xfId="36582"/>
    <cellStyle name="표준 5 3 2 2 21 3 3" xfId="17566"/>
    <cellStyle name="표준 5 3 2 2 21 3 3 2" xfId="42918"/>
    <cellStyle name="표준 5 3 2 2 21 3 4" xfId="30246"/>
    <cellStyle name="표준 5 3 2 2 21 4" xfId="8095"/>
    <cellStyle name="표준 5 3 2 2 21 4 2" xfId="20769"/>
    <cellStyle name="표준 5 3 2 2 21 4 2 2" xfId="46121"/>
    <cellStyle name="표준 5 3 2 2 21 4 3" xfId="33449"/>
    <cellStyle name="표준 5 3 2 2 21 5" xfId="14433"/>
    <cellStyle name="표준 5 3 2 2 21 5 2" xfId="39785"/>
    <cellStyle name="표준 5 3 2 2 21 6" xfId="27113"/>
    <cellStyle name="표준 5 3 2 2 22" xfId="1760"/>
    <cellStyle name="표준 5 3 2 2 22 2" xfId="1761"/>
    <cellStyle name="표준 5 3 2 2 22 2 2" xfId="4893"/>
    <cellStyle name="표준 5 3 2 2 22 2 2 2" xfId="11229"/>
    <cellStyle name="표준 5 3 2 2 22 2 2 2 2" xfId="23903"/>
    <cellStyle name="표준 5 3 2 2 22 2 2 2 2 2" xfId="49255"/>
    <cellStyle name="표준 5 3 2 2 22 2 2 2 3" xfId="36583"/>
    <cellStyle name="표준 5 3 2 2 22 2 2 3" xfId="17567"/>
    <cellStyle name="표준 5 3 2 2 22 2 2 3 2" xfId="42919"/>
    <cellStyle name="표준 5 3 2 2 22 2 2 4" xfId="30247"/>
    <cellStyle name="표준 5 3 2 2 22 2 3" xfId="8098"/>
    <cellStyle name="표준 5 3 2 2 22 2 3 2" xfId="20772"/>
    <cellStyle name="표준 5 3 2 2 22 2 3 2 2" xfId="46124"/>
    <cellStyle name="표준 5 3 2 2 22 2 3 3" xfId="33452"/>
    <cellStyle name="표준 5 3 2 2 22 2 4" xfId="14436"/>
    <cellStyle name="표준 5 3 2 2 22 2 4 2" xfId="39788"/>
    <cellStyle name="표준 5 3 2 2 22 2 5" xfId="27116"/>
    <cellStyle name="표준 5 3 2 2 22 3" xfId="4894"/>
    <cellStyle name="표준 5 3 2 2 22 3 2" xfId="11230"/>
    <cellStyle name="표준 5 3 2 2 22 3 2 2" xfId="23904"/>
    <cellStyle name="표준 5 3 2 2 22 3 2 2 2" xfId="49256"/>
    <cellStyle name="표준 5 3 2 2 22 3 2 3" xfId="36584"/>
    <cellStyle name="표준 5 3 2 2 22 3 3" xfId="17568"/>
    <cellStyle name="표준 5 3 2 2 22 3 3 2" xfId="42920"/>
    <cellStyle name="표준 5 3 2 2 22 3 4" xfId="30248"/>
    <cellStyle name="표준 5 3 2 2 22 4" xfId="8097"/>
    <cellStyle name="표준 5 3 2 2 22 4 2" xfId="20771"/>
    <cellStyle name="표준 5 3 2 2 22 4 2 2" xfId="46123"/>
    <cellStyle name="표준 5 3 2 2 22 4 3" xfId="33451"/>
    <cellStyle name="표준 5 3 2 2 22 5" xfId="14435"/>
    <cellStyle name="표준 5 3 2 2 22 5 2" xfId="39787"/>
    <cellStyle name="표준 5 3 2 2 22 6" xfId="27115"/>
    <cellStyle name="표준 5 3 2 2 23" xfId="1762"/>
    <cellStyle name="표준 5 3 2 2 23 2" xfId="1763"/>
    <cellStyle name="표준 5 3 2 2 23 2 2" xfId="4895"/>
    <cellStyle name="표준 5 3 2 2 23 2 2 2" xfId="11231"/>
    <cellStyle name="표준 5 3 2 2 23 2 2 2 2" xfId="23905"/>
    <cellStyle name="표준 5 3 2 2 23 2 2 2 2 2" xfId="49257"/>
    <cellStyle name="표준 5 3 2 2 23 2 2 2 3" xfId="36585"/>
    <cellStyle name="표준 5 3 2 2 23 2 2 3" xfId="17569"/>
    <cellStyle name="표준 5 3 2 2 23 2 2 3 2" xfId="42921"/>
    <cellStyle name="표준 5 3 2 2 23 2 2 4" xfId="30249"/>
    <cellStyle name="표준 5 3 2 2 23 2 3" xfId="8100"/>
    <cellStyle name="표준 5 3 2 2 23 2 3 2" xfId="20774"/>
    <cellStyle name="표준 5 3 2 2 23 2 3 2 2" xfId="46126"/>
    <cellStyle name="표준 5 3 2 2 23 2 3 3" xfId="33454"/>
    <cellStyle name="표준 5 3 2 2 23 2 4" xfId="14438"/>
    <cellStyle name="표준 5 3 2 2 23 2 4 2" xfId="39790"/>
    <cellStyle name="표준 5 3 2 2 23 2 5" xfId="27118"/>
    <cellStyle name="표준 5 3 2 2 23 3" xfId="4896"/>
    <cellStyle name="표준 5 3 2 2 23 3 2" xfId="11232"/>
    <cellStyle name="표준 5 3 2 2 23 3 2 2" xfId="23906"/>
    <cellStyle name="표준 5 3 2 2 23 3 2 2 2" xfId="49258"/>
    <cellStyle name="표준 5 3 2 2 23 3 2 3" xfId="36586"/>
    <cellStyle name="표준 5 3 2 2 23 3 3" xfId="17570"/>
    <cellStyle name="표준 5 3 2 2 23 3 3 2" xfId="42922"/>
    <cellStyle name="표준 5 3 2 2 23 3 4" xfId="30250"/>
    <cellStyle name="표준 5 3 2 2 23 4" xfId="8099"/>
    <cellStyle name="표준 5 3 2 2 23 4 2" xfId="20773"/>
    <cellStyle name="표준 5 3 2 2 23 4 2 2" xfId="46125"/>
    <cellStyle name="표준 5 3 2 2 23 4 3" xfId="33453"/>
    <cellStyle name="표준 5 3 2 2 23 5" xfId="14437"/>
    <cellStyle name="표준 5 3 2 2 23 5 2" xfId="39789"/>
    <cellStyle name="표준 5 3 2 2 23 6" xfId="27117"/>
    <cellStyle name="표준 5 3 2 2 24" xfId="1764"/>
    <cellStyle name="표준 5 3 2 2 24 2" xfId="1765"/>
    <cellStyle name="표준 5 3 2 2 24 2 2" xfId="4897"/>
    <cellStyle name="표준 5 3 2 2 24 2 2 2" xfId="11233"/>
    <cellStyle name="표준 5 3 2 2 24 2 2 2 2" xfId="23907"/>
    <cellStyle name="표준 5 3 2 2 24 2 2 2 2 2" xfId="49259"/>
    <cellStyle name="표준 5 3 2 2 24 2 2 2 3" xfId="36587"/>
    <cellStyle name="표준 5 3 2 2 24 2 2 3" xfId="17571"/>
    <cellStyle name="표준 5 3 2 2 24 2 2 3 2" xfId="42923"/>
    <cellStyle name="표준 5 3 2 2 24 2 2 4" xfId="30251"/>
    <cellStyle name="표준 5 3 2 2 24 2 3" xfId="8102"/>
    <cellStyle name="표준 5 3 2 2 24 2 3 2" xfId="20776"/>
    <cellStyle name="표준 5 3 2 2 24 2 3 2 2" xfId="46128"/>
    <cellStyle name="표준 5 3 2 2 24 2 3 3" xfId="33456"/>
    <cellStyle name="표준 5 3 2 2 24 2 4" xfId="14440"/>
    <cellStyle name="표준 5 3 2 2 24 2 4 2" xfId="39792"/>
    <cellStyle name="표준 5 3 2 2 24 2 5" xfId="27120"/>
    <cellStyle name="표준 5 3 2 2 24 3" xfId="4898"/>
    <cellStyle name="표준 5 3 2 2 24 3 2" xfId="11234"/>
    <cellStyle name="표준 5 3 2 2 24 3 2 2" xfId="23908"/>
    <cellStyle name="표준 5 3 2 2 24 3 2 2 2" xfId="49260"/>
    <cellStyle name="표준 5 3 2 2 24 3 2 3" xfId="36588"/>
    <cellStyle name="표준 5 3 2 2 24 3 3" xfId="17572"/>
    <cellStyle name="표준 5 3 2 2 24 3 3 2" xfId="42924"/>
    <cellStyle name="표준 5 3 2 2 24 3 4" xfId="30252"/>
    <cellStyle name="표준 5 3 2 2 24 4" xfId="8101"/>
    <cellStyle name="표준 5 3 2 2 24 4 2" xfId="20775"/>
    <cellStyle name="표준 5 3 2 2 24 4 2 2" xfId="46127"/>
    <cellStyle name="표준 5 3 2 2 24 4 3" xfId="33455"/>
    <cellStyle name="표준 5 3 2 2 24 5" xfId="14439"/>
    <cellStyle name="표준 5 3 2 2 24 5 2" xfId="39791"/>
    <cellStyle name="표준 5 3 2 2 24 6" xfId="27119"/>
    <cellStyle name="표준 5 3 2 2 25" xfId="1766"/>
    <cellStyle name="표준 5 3 2 2 25 2" xfId="1767"/>
    <cellStyle name="표준 5 3 2 2 25 2 2" xfId="4899"/>
    <cellStyle name="표준 5 3 2 2 25 2 2 2" xfId="11235"/>
    <cellStyle name="표준 5 3 2 2 25 2 2 2 2" xfId="23909"/>
    <cellStyle name="표준 5 3 2 2 25 2 2 2 2 2" xfId="49261"/>
    <cellStyle name="표준 5 3 2 2 25 2 2 2 3" xfId="36589"/>
    <cellStyle name="표준 5 3 2 2 25 2 2 3" xfId="17573"/>
    <cellStyle name="표준 5 3 2 2 25 2 2 3 2" xfId="42925"/>
    <cellStyle name="표준 5 3 2 2 25 2 2 4" xfId="30253"/>
    <cellStyle name="표준 5 3 2 2 25 2 3" xfId="8104"/>
    <cellStyle name="표준 5 3 2 2 25 2 3 2" xfId="20778"/>
    <cellStyle name="표준 5 3 2 2 25 2 3 2 2" xfId="46130"/>
    <cellStyle name="표준 5 3 2 2 25 2 3 3" xfId="33458"/>
    <cellStyle name="표준 5 3 2 2 25 2 4" xfId="14442"/>
    <cellStyle name="표준 5 3 2 2 25 2 4 2" xfId="39794"/>
    <cellStyle name="표준 5 3 2 2 25 2 5" xfId="27122"/>
    <cellStyle name="표준 5 3 2 2 25 3" xfId="4900"/>
    <cellStyle name="표준 5 3 2 2 25 3 2" xfId="11236"/>
    <cellStyle name="표준 5 3 2 2 25 3 2 2" xfId="23910"/>
    <cellStyle name="표준 5 3 2 2 25 3 2 2 2" xfId="49262"/>
    <cellStyle name="표준 5 3 2 2 25 3 2 3" xfId="36590"/>
    <cellStyle name="표준 5 3 2 2 25 3 3" xfId="17574"/>
    <cellStyle name="표준 5 3 2 2 25 3 3 2" xfId="42926"/>
    <cellStyle name="표준 5 3 2 2 25 3 4" xfId="30254"/>
    <cellStyle name="표준 5 3 2 2 25 4" xfId="8103"/>
    <cellStyle name="표준 5 3 2 2 25 4 2" xfId="20777"/>
    <cellStyle name="표준 5 3 2 2 25 4 2 2" xfId="46129"/>
    <cellStyle name="표준 5 3 2 2 25 4 3" xfId="33457"/>
    <cellStyle name="표준 5 3 2 2 25 5" xfId="14441"/>
    <cellStyle name="표준 5 3 2 2 25 5 2" xfId="39793"/>
    <cellStyle name="표준 5 3 2 2 25 6" xfId="27121"/>
    <cellStyle name="표준 5 3 2 2 26" xfId="1768"/>
    <cellStyle name="표준 5 3 2 2 26 2" xfId="1769"/>
    <cellStyle name="표준 5 3 2 2 26 2 2" xfId="4901"/>
    <cellStyle name="표준 5 3 2 2 26 2 2 2" xfId="11237"/>
    <cellStyle name="표준 5 3 2 2 26 2 2 2 2" xfId="23911"/>
    <cellStyle name="표준 5 3 2 2 26 2 2 2 2 2" xfId="49263"/>
    <cellStyle name="표준 5 3 2 2 26 2 2 2 3" xfId="36591"/>
    <cellStyle name="표준 5 3 2 2 26 2 2 3" xfId="17575"/>
    <cellStyle name="표준 5 3 2 2 26 2 2 3 2" xfId="42927"/>
    <cellStyle name="표준 5 3 2 2 26 2 2 4" xfId="30255"/>
    <cellStyle name="표준 5 3 2 2 26 2 3" xfId="8106"/>
    <cellStyle name="표준 5 3 2 2 26 2 3 2" xfId="20780"/>
    <cellStyle name="표준 5 3 2 2 26 2 3 2 2" xfId="46132"/>
    <cellStyle name="표준 5 3 2 2 26 2 3 3" xfId="33460"/>
    <cellStyle name="표준 5 3 2 2 26 2 4" xfId="14444"/>
    <cellStyle name="표준 5 3 2 2 26 2 4 2" xfId="39796"/>
    <cellStyle name="표준 5 3 2 2 26 2 5" xfId="27124"/>
    <cellStyle name="표준 5 3 2 2 26 3" xfId="4902"/>
    <cellStyle name="표준 5 3 2 2 26 3 2" xfId="11238"/>
    <cellStyle name="표준 5 3 2 2 26 3 2 2" xfId="23912"/>
    <cellStyle name="표준 5 3 2 2 26 3 2 2 2" xfId="49264"/>
    <cellStyle name="표준 5 3 2 2 26 3 2 3" xfId="36592"/>
    <cellStyle name="표준 5 3 2 2 26 3 3" xfId="17576"/>
    <cellStyle name="표준 5 3 2 2 26 3 3 2" xfId="42928"/>
    <cellStyle name="표준 5 3 2 2 26 3 4" xfId="30256"/>
    <cellStyle name="표준 5 3 2 2 26 4" xfId="8105"/>
    <cellStyle name="표준 5 3 2 2 26 4 2" xfId="20779"/>
    <cellStyle name="표준 5 3 2 2 26 4 2 2" xfId="46131"/>
    <cellStyle name="표준 5 3 2 2 26 4 3" xfId="33459"/>
    <cellStyle name="표준 5 3 2 2 26 5" xfId="14443"/>
    <cellStyle name="표준 5 3 2 2 26 5 2" xfId="39795"/>
    <cellStyle name="표준 5 3 2 2 26 6" xfId="27123"/>
    <cellStyle name="표준 5 3 2 2 27" xfId="1770"/>
    <cellStyle name="표준 5 3 2 2 27 2" xfId="1771"/>
    <cellStyle name="표준 5 3 2 2 27 2 2" xfId="4903"/>
    <cellStyle name="표준 5 3 2 2 27 2 2 2" xfId="11239"/>
    <cellStyle name="표준 5 3 2 2 27 2 2 2 2" xfId="23913"/>
    <cellStyle name="표준 5 3 2 2 27 2 2 2 2 2" xfId="49265"/>
    <cellStyle name="표준 5 3 2 2 27 2 2 2 3" xfId="36593"/>
    <cellStyle name="표준 5 3 2 2 27 2 2 3" xfId="17577"/>
    <cellStyle name="표준 5 3 2 2 27 2 2 3 2" xfId="42929"/>
    <cellStyle name="표준 5 3 2 2 27 2 2 4" xfId="30257"/>
    <cellStyle name="표준 5 3 2 2 27 2 3" xfId="8108"/>
    <cellStyle name="표준 5 3 2 2 27 2 3 2" xfId="20782"/>
    <cellStyle name="표준 5 3 2 2 27 2 3 2 2" xfId="46134"/>
    <cellStyle name="표준 5 3 2 2 27 2 3 3" xfId="33462"/>
    <cellStyle name="표준 5 3 2 2 27 2 4" xfId="14446"/>
    <cellStyle name="표준 5 3 2 2 27 2 4 2" xfId="39798"/>
    <cellStyle name="표준 5 3 2 2 27 2 5" xfId="27126"/>
    <cellStyle name="표준 5 3 2 2 27 3" xfId="4904"/>
    <cellStyle name="표준 5 3 2 2 27 3 2" xfId="11240"/>
    <cellStyle name="표준 5 3 2 2 27 3 2 2" xfId="23914"/>
    <cellStyle name="표준 5 3 2 2 27 3 2 2 2" xfId="49266"/>
    <cellStyle name="표준 5 3 2 2 27 3 2 3" xfId="36594"/>
    <cellStyle name="표준 5 3 2 2 27 3 3" xfId="17578"/>
    <cellStyle name="표준 5 3 2 2 27 3 3 2" xfId="42930"/>
    <cellStyle name="표준 5 3 2 2 27 3 4" xfId="30258"/>
    <cellStyle name="표준 5 3 2 2 27 4" xfId="8107"/>
    <cellStyle name="표준 5 3 2 2 27 4 2" xfId="20781"/>
    <cellStyle name="표준 5 3 2 2 27 4 2 2" xfId="46133"/>
    <cellStyle name="표준 5 3 2 2 27 4 3" xfId="33461"/>
    <cellStyle name="표준 5 3 2 2 27 5" xfId="14445"/>
    <cellStyle name="표준 5 3 2 2 27 5 2" xfId="39797"/>
    <cellStyle name="표준 5 3 2 2 27 6" xfId="27125"/>
    <cellStyle name="표준 5 3 2 2 28" xfId="1772"/>
    <cellStyle name="표준 5 3 2 2 28 2" xfId="1773"/>
    <cellStyle name="표준 5 3 2 2 28 2 2" xfId="4905"/>
    <cellStyle name="표준 5 3 2 2 28 2 2 2" xfId="11241"/>
    <cellStyle name="표준 5 3 2 2 28 2 2 2 2" xfId="23915"/>
    <cellStyle name="표준 5 3 2 2 28 2 2 2 2 2" xfId="49267"/>
    <cellStyle name="표준 5 3 2 2 28 2 2 2 3" xfId="36595"/>
    <cellStyle name="표준 5 3 2 2 28 2 2 3" xfId="17579"/>
    <cellStyle name="표준 5 3 2 2 28 2 2 3 2" xfId="42931"/>
    <cellStyle name="표준 5 3 2 2 28 2 2 4" xfId="30259"/>
    <cellStyle name="표준 5 3 2 2 28 2 3" xfId="8110"/>
    <cellStyle name="표준 5 3 2 2 28 2 3 2" xfId="20784"/>
    <cellStyle name="표준 5 3 2 2 28 2 3 2 2" xfId="46136"/>
    <cellStyle name="표준 5 3 2 2 28 2 3 3" xfId="33464"/>
    <cellStyle name="표준 5 3 2 2 28 2 4" xfId="14448"/>
    <cellStyle name="표준 5 3 2 2 28 2 4 2" xfId="39800"/>
    <cellStyle name="표준 5 3 2 2 28 2 5" xfId="27128"/>
    <cellStyle name="표준 5 3 2 2 28 3" xfId="4906"/>
    <cellStyle name="표준 5 3 2 2 28 3 2" xfId="11242"/>
    <cellStyle name="표준 5 3 2 2 28 3 2 2" xfId="23916"/>
    <cellStyle name="표준 5 3 2 2 28 3 2 2 2" xfId="49268"/>
    <cellStyle name="표준 5 3 2 2 28 3 2 3" xfId="36596"/>
    <cellStyle name="표준 5 3 2 2 28 3 3" xfId="17580"/>
    <cellStyle name="표준 5 3 2 2 28 3 3 2" xfId="42932"/>
    <cellStyle name="표준 5 3 2 2 28 3 4" xfId="30260"/>
    <cellStyle name="표준 5 3 2 2 28 4" xfId="8109"/>
    <cellStyle name="표준 5 3 2 2 28 4 2" xfId="20783"/>
    <cellStyle name="표준 5 3 2 2 28 4 2 2" xfId="46135"/>
    <cellStyle name="표준 5 3 2 2 28 4 3" xfId="33463"/>
    <cellStyle name="표준 5 3 2 2 28 5" xfId="14447"/>
    <cellStyle name="표준 5 3 2 2 28 5 2" xfId="39799"/>
    <cellStyle name="표준 5 3 2 2 28 6" xfId="27127"/>
    <cellStyle name="표준 5 3 2 2 29" xfId="1774"/>
    <cellStyle name="표준 5 3 2 2 29 2" xfId="1775"/>
    <cellStyle name="표준 5 3 2 2 29 2 2" xfId="4907"/>
    <cellStyle name="표준 5 3 2 2 29 2 2 2" xfId="11243"/>
    <cellStyle name="표준 5 3 2 2 29 2 2 2 2" xfId="23917"/>
    <cellStyle name="표준 5 3 2 2 29 2 2 2 2 2" xfId="49269"/>
    <cellStyle name="표준 5 3 2 2 29 2 2 2 3" xfId="36597"/>
    <cellStyle name="표준 5 3 2 2 29 2 2 3" xfId="17581"/>
    <cellStyle name="표준 5 3 2 2 29 2 2 3 2" xfId="42933"/>
    <cellStyle name="표준 5 3 2 2 29 2 2 4" xfId="30261"/>
    <cellStyle name="표준 5 3 2 2 29 2 3" xfId="8112"/>
    <cellStyle name="표준 5 3 2 2 29 2 3 2" xfId="20786"/>
    <cellStyle name="표준 5 3 2 2 29 2 3 2 2" xfId="46138"/>
    <cellStyle name="표준 5 3 2 2 29 2 3 3" xfId="33466"/>
    <cellStyle name="표준 5 3 2 2 29 2 4" xfId="14450"/>
    <cellStyle name="표준 5 3 2 2 29 2 4 2" xfId="39802"/>
    <cellStyle name="표준 5 3 2 2 29 2 5" xfId="27130"/>
    <cellStyle name="표준 5 3 2 2 29 3" xfId="4908"/>
    <cellStyle name="표준 5 3 2 2 29 3 2" xfId="11244"/>
    <cellStyle name="표준 5 3 2 2 29 3 2 2" xfId="23918"/>
    <cellStyle name="표준 5 3 2 2 29 3 2 2 2" xfId="49270"/>
    <cellStyle name="표준 5 3 2 2 29 3 2 3" xfId="36598"/>
    <cellStyle name="표준 5 3 2 2 29 3 3" xfId="17582"/>
    <cellStyle name="표준 5 3 2 2 29 3 3 2" xfId="42934"/>
    <cellStyle name="표준 5 3 2 2 29 3 4" xfId="30262"/>
    <cellStyle name="표준 5 3 2 2 29 4" xfId="8111"/>
    <cellStyle name="표준 5 3 2 2 29 4 2" xfId="20785"/>
    <cellStyle name="표준 5 3 2 2 29 4 2 2" xfId="46137"/>
    <cellStyle name="표준 5 3 2 2 29 4 3" xfId="33465"/>
    <cellStyle name="표준 5 3 2 2 29 5" xfId="14449"/>
    <cellStyle name="표준 5 3 2 2 29 5 2" xfId="39801"/>
    <cellStyle name="표준 5 3 2 2 29 6" xfId="27129"/>
    <cellStyle name="표준 5 3 2 2 3" xfId="1776"/>
    <cellStyle name="표준 5 3 2 2 3 2" xfId="1777"/>
    <cellStyle name="표준 5 3 2 2 3 2 2" xfId="4909"/>
    <cellStyle name="표준 5 3 2 2 3 2 2 2" xfId="11245"/>
    <cellStyle name="표준 5 3 2 2 3 2 2 2 2" xfId="23919"/>
    <cellStyle name="표준 5 3 2 2 3 2 2 2 2 2" xfId="49271"/>
    <cellStyle name="표준 5 3 2 2 3 2 2 2 3" xfId="36599"/>
    <cellStyle name="표준 5 3 2 2 3 2 2 3" xfId="17583"/>
    <cellStyle name="표준 5 3 2 2 3 2 2 3 2" xfId="42935"/>
    <cellStyle name="표준 5 3 2 2 3 2 2 4" xfId="30263"/>
    <cellStyle name="표준 5 3 2 2 3 2 3" xfId="8114"/>
    <cellStyle name="표준 5 3 2 2 3 2 3 2" xfId="20788"/>
    <cellStyle name="표준 5 3 2 2 3 2 3 2 2" xfId="46140"/>
    <cellStyle name="표준 5 3 2 2 3 2 3 3" xfId="33468"/>
    <cellStyle name="표준 5 3 2 2 3 2 4" xfId="14452"/>
    <cellStyle name="표준 5 3 2 2 3 2 4 2" xfId="39804"/>
    <cellStyle name="표준 5 3 2 2 3 2 5" xfId="27132"/>
    <cellStyle name="표준 5 3 2 2 3 3" xfId="4910"/>
    <cellStyle name="표준 5 3 2 2 3 3 2" xfId="11246"/>
    <cellStyle name="표준 5 3 2 2 3 3 2 2" xfId="23920"/>
    <cellStyle name="표준 5 3 2 2 3 3 2 2 2" xfId="49272"/>
    <cellStyle name="표준 5 3 2 2 3 3 2 3" xfId="36600"/>
    <cellStyle name="표준 5 3 2 2 3 3 3" xfId="17584"/>
    <cellStyle name="표준 5 3 2 2 3 3 3 2" xfId="42936"/>
    <cellStyle name="표준 5 3 2 2 3 3 4" xfId="30264"/>
    <cellStyle name="표준 5 3 2 2 3 4" xfId="8113"/>
    <cellStyle name="표준 5 3 2 2 3 4 2" xfId="20787"/>
    <cellStyle name="표준 5 3 2 2 3 4 2 2" xfId="46139"/>
    <cellStyle name="표준 5 3 2 2 3 4 3" xfId="33467"/>
    <cellStyle name="표준 5 3 2 2 3 5" xfId="14451"/>
    <cellStyle name="표준 5 3 2 2 3 5 2" xfId="39803"/>
    <cellStyle name="표준 5 3 2 2 3 6" xfId="27131"/>
    <cellStyle name="표준 5 3 2 2 30" xfId="1778"/>
    <cellStyle name="표준 5 3 2 2 30 2" xfId="1779"/>
    <cellStyle name="표준 5 3 2 2 30 2 2" xfId="4911"/>
    <cellStyle name="표준 5 3 2 2 30 2 2 2" xfId="11247"/>
    <cellStyle name="표준 5 3 2 2 30 2 2 2 2" xfId="23921"/>
    <cellStyle name="표준 5 3 2 2 30 2 2 2 2 2" xfId="49273"/>
    <cellStyle name="표준 5 3 2 2 30 2 2 2 3" xfId="36601"/>
    <cellStyle name="표준 5 3 2 2 30 2 2 3" xfId="17585"/>
    <cellStyle name="표준 5 3 2 2 30 2 2 3 2" xfId="42937"/>
    <cellStyle name="표준 5 3 2 2 30 2 2 4" xfId="30265"/>
    <cellStyle name="표준 5 3 2 2 30 2 3" xfId="8116"/>
    <cellStyle name="표준 5 3 2 2 30 2 3 2" xfId="20790"/>
    <cellStyle name="표준 5 3 2 2 30 2 3 2 2" xfId="46142"/>
    <cellStyle name="표준 5 3 2 2 30 2 3 3" xfId="33470"/>
    <cellStyle name="표준 5 3 2 2 30 2 4" xfId="14454"/>
    <cellStyle name="표준 5 3 2 2 30 2 4 2" xfId="39806"/>
    <cellStyle name="표준 5 3 2 2 30 2 5" xfId="27134"/>
    <cellStyle name="표준 5 3 2 2 30 3" xfId="4912"/>
    <cellStyle name="표준 5 3 2 2 30 3 2" xfId="11248"/>
    <cellStyle name="표준 5 3 2 2 30 3 2 2" xfId="23922"/>
    <cellStyle name="표준 5 3 2 2 30 3 2 2 2" xfId="49274"/>
    <cellStyle name="표준 5 3 2 2 30 3 2 3" xfId="36602"/>
    <cellStyle name="표준 5 3 2 2 30 3 3" xfId="17586"/>
    <cellStyle name="표준 5 3 2 2 30 3 3 2" xfId="42938"/>
    <cellStyle name="표준 5 3 2 2 30 3 4" xfId="30266"/>
    <cellStyle name="표준 5 3 2 2 30 4" xfId="8115"/>
    <cellStyle name="표준 5 3 2 2 30 4 2" xfId="20789"/>
    <cellStyle name="표준 5 3 2 2 30 4 2 2" xfId="46141"/>
    <cellStyle name="표준 5 3 2 2 30 4 3" xfId="33469"/>
    <cellStyle name="표준 5 3 2 2 30 5" xfId="14453"/>
    <cellStyle name="표준 5 3 2 2 30 5 2" xfId="39805"/>
    <cellStyle name="표준 5 3 2 2 30 6" xfId="27133"/>
    <cellStyle name="표준 5 3 2 2 31" xfId="1780"/>
    <cellStyle name="표준 5 3 2 2 31 2" xfId="1781"/>
    <cellStyle name="표준 5 3 2 2 31 2 2" xfId="4913"/>
    <cellStyle name="표준 5 3 2 2 31 2 2 2" xfId="11249"/>
    <cellStyle name="표준 5 3 2 2 31 2 2 2 2" xfId="23923"/>
    <cellStyle name="표준 5 3 2 2 31 2 2 2 2 2" xfId="49275"/>
    <cellStyle name="표준 5 3 2 2 31 2 2 2 3" xfId="36603"/>
    <cellStyle name="표준 5 3 2 2 31 2 2 3" xfId="17587"/>
    <cellStyle name="표준 5 3 2 2 31 2 2 3 2" xfId="42939"/>
    <cellStyle name="표준 5 3 2 2 31 2 2 4" xfId="30267"/>
    <cellStyle name="표준 5 3 2 2 31 2 3" xfId="8118"/>
    <cellStyle name="표준 5 3 2 2 31 2 3 2" xfId="20792"/>
    <cellStyle name="표준 5 3 2 2 31 2 3 2 2" xfId="46144"/>
    <cellStyle name="표준 5 3 2 2 31 2 3 3" xfId="33472"/>
    <cellStyle name="표준 5 3 2 2 31 2 4" xfId="14456"/>
    <cellStyle name="표준 5 3 2 2 31 2 4 2" xfId="39808"/>
    <cellStyle name="표준 5 3 2 2 31 2 5" xfId="27136"/>
    <cellStyle name="표준 5 3 2 2 31 3" xfId="4914"/>
    <cellStyle name="표준 5 3 2 2 31 3 2" xfId="11250"/>
    <cellStyle name="표준 5 3 2 2 31 3 2 2" xfId="23924"/>
    <cellStyle name="표준 5 3 2 2 31 3 2 2 2" xfId="49276"/>
    <cellStyle name="표준 5 3 2 2 31 3 2 3" xfId="36604"/>
    <cellStyle name="표준 5 3 2 2 31 3 3" xfId="17588"/>
    <cellStyle name="표준 5 3 2 2 31 3 3 2" xfId="42940"/>
    <cellStyle name="표준 5 3 2 2 31 3 4" xfId="30268"/>
    <cellStyle name="표준 5 3 2 2 31 4" xfId="8117"/>
    <cellStyle name="표준 5 3 2 2 31 4 2" xfId="20791"/>
    <cellStyle name="표준 5 3 2 2 31 4 2 2" xfId="46143"/>
    <cellStyle name="표준 5 3 2 2 31 4 3" xfId="33471"/>
    <cellStyle name="표준 5 3 2 2 31 5" xfId="14455"/>
    <cellStyle name="표준 5 3 2 2 31 5 2" xfId="39807"/>
    <cellStyle name="표준 5 3 2 2 31 6" xfId="27135"/>
    <cellStyle name="표준 5 3 2 2 32" xfId="1782"/>
    <cellStyle name="표준 5 3 2 2 32 2" xfId="1783"/>
    <cellStyle name="표준 5 3 2 2 32 2 2" xfId="4915"/>
    <cellStyle name="표준 5 3 2 2 32 2 2 2" xfId="11251"/>
    <cellStyle name="표준 5 3 2 2 32 2 2 2 2" xfId="23925"/>
    <cellStyle name="표준 5 3 2 2 32 2 2 2 2 2" xfId="49277"/>
    <cellStyle name="표준 5 3 2 2 32 2 2 2 3" xfId="36605"/>
    <cellStyle name="표준 5 3 2 2 32 2 2 3" xfId="17589"/>
    <cellStyle name="표준 5 3 2 2 32 2 2 3 2" xfId="42941"/>
    <cellStyle name="표준 5 3 2 2 32 2 2 4" xfId="30269"/>
    <cellStyle name="표준 5 3 2 2 32 2 3" xfId="8120"/>
    <cellStyle name="표준 5 3 2 2 32 2 3 2" xfId="20794"/>
    <cellStyle name="표준 5 3 2 2 32 2 3 2 2" xfId="46146"/>
    <cellStyle name="표준 5 3 2 2 32 2 3 3" xfId="33474"/>
    <cellStyle name="표준 5 3 2 2 32 2 4" xfId="14458"/>
    <cellStyle name="표준 5 3 2 2 32 2 4 2" xfId="39810"/>
    <cellStyle name="표준 5 3 2 2 32 2 5" xfId="27138"/>
    <cellStyle name="표준 5 3 2 2 32 3" xfId="4916"/>
    <cellStyle name="표준 5 3 2 2 32 3 2" xfId="11252"/>
    <cellStyle name="표준 5 3 2 2 32 3 2 2" xfId="23926"/>
    <cellStyle name="표준 5 3 2 2 32 3 2 2 2" xfId="49278"/>
    <cellStyle name="표준 5 3 2 2 32 3 2 3" xfId="36606"/>
    <cellStyle name="표준 5 3 2 2 32 3 3" xfId="17590"/>
    <cellStyle name="표준 5 3 2 2 32 3 3 2" xfId="42942"/>
    <cellStyle name="표준 5 3 2 2 32 3 4" xfId="30270"/>
    <cellStyle name="표준 5 3 2 2 32 4" xfId="8119"/>
    <cellStyle name="표준 5 3 2 2 32 4 2" xfId="20793"/>
    <cellStyle name="표준 5 3 2 2 32 4 2 2" xfId="46145"/>
    <cellStyle name="표준 5 3 2 2 32 4 3" xfId="33473"/>
    <cellStyle name="표준 5 3 2 2 32 5" xfId="14457"/>
    <cellStyle name="표준 5 3 2 2 32 5 2" xfId="39809"/>
    <cellStyle name="표준 5 3 2 2 32 6" xfId="27137"/>
    <cellStyle name="표준 5 3 2 2 33" xfId="1784"/>
    <cellStyle name="표준 5 3 2 2 33 2" xfId="1785"/>
    <cellStyle name="표준 5 3 2 2 33 2 2" xfId="4917"/>
    <cellStyle name="표준 5 3 2 2 33 2 2 2" xfId="11253"/>
    <cellStyle name="표준 5 3 2 2 33 2 2 2 2" xfId="23927"/>
    <cellStyle name="표준 5 3 2 2 33 2 2 2 2 2" xfId="49279"/>
    <cellStyle name="표준 5 3 2 2 33 2 2 2 3" xfId="36607"/>
    <cellStyle name="표준 5 3 2 2 33 2 2 3" xfId="17591"/>
    <cellStyle name="표준 5 3 2 2 33 2 2 3 2" xfId="42943"/>
    <cellStyle name="표준 5 3 2 2 33 2 2 4" xfId="30271"/>
    <cellStyle name="표준 5 3 2 2 33 2 3" xfId="8122"/>
    <cellStyle name="표준 5 3 2 2 33 2 3 2" xfId="20796"/>
    <cellStyle name="표준 5 3 2 2 33 2 3 2 2" xfId="46148"/>
    <cellStyle name="표준 5 3 2 2 33 2 3 3" xfId="33476"/>
    <cellStyle name="표준 5 3 2 2 33 2 4" xfId="14460"/>
    <cellStyle name="표준 5 3 2 2 33 2 4 2" xfId="39812"/>
    <cellStyle name="표준 5 3 2 2 33 2 5" xfId="27140"/>
    <cellStyle name="표준 5 3 2 2 33 3" xfId="4918"/>
    <cellStyle name="표준 5 3 2 2 33 3 2" xfId="11254"/>
    <cellStyle name="표준 5 3 2 2 33 3 2 2" xfId="23928"/>
    <cellStyle name="표준 5 3 2 2 33 3 2 2 2" xfId="49280"/>
    <cellStyle name="표준 5 3 2 2 33 3 2 3" xfId="36608"/>
    <cellStyle name="표준 5 3 2 2 33 3 3" xfId="17592"/>
    <cellStyle name="표준 5 3 2 2 33 3 3 2" xfId="42944"/>
    <cellStyle name="표준 5 3 2 2 33 3 4" xfId="30272"/>
    <cellStyle name="표준 5 3 2 2 33 4" xfId="8121"/>
    <cellStyle name="표준 5 3 2 2 33 4 2" xfId="20795"/>
    <cellStyle name="표준 5 3 2 2 33 4 2 2" xfId="46147"/>
    <cellStyle name="표준 5 3 2 2 33 4 3" xfId="33475"/>
    <cellStyle name="표준 5 3 2 2 33 5" xfId="14459"/>
    <cellStyle name="표준 5 3 2 2 33 5 2" xfId="39811"/>
    <cellStyle name="표준 5 3 2 2 33 6" xfId="27139"/>
    <cellStyle name="표준 5 3 2 2 34" xfId="1786"/>
    <cellStyle name="표준 5 3 2 2 34 2" xfId="4919"/>
    <cellStyle name="표준 5 3 2 2 34 2 2" xfId="11255"/>
    <cellStyle name="표준 5 3 2 2 34 2 2 2" xfId="23929"/>
    <cellStyle name="표준 5 3 2 2 34 2 2 2 2" xfId="49281"/>
    <cellStyle name="표준 5 3 2 2 34 2 2 3" xfId="36609"/>
    <cellStyle name="표준 5 3 2 2 34 2 3" xfId="17593"/>
    <cellStyle name="표준 5 3 2 2 34 2 3 2" xfId="42945"/>
    <cellStyle name="표준 5 3 2 2 34 2 4" xfId="30273"/>
    <cellStyle name="표준 5 3 2 2 34 3" xfId="8123"/>
    <cellStyle name="표준 5 3 2 2 34 3 2" xfId="20797"/>
    <cellStyle name="표준 5 3 2 2 34 3 2 2" xfId="46149"/>
    <cellStyle name="표준 5 3 2 2 34 3 3" xfId="33477"/>
    <cellStyle name="표준 5 3 2 2 34 4" xfId="14461"/>
    <cellStyle name="표준 5 3 2 2 34 4 2" xfId="39813"/>
    <cellStyle name="표준 5 3 2 2 34 5" xfId="27141"/>
    <cellStyle name="표준 5 3 2 2 35" xfId="4920"/>
    <cellStyle name="표준 5 3 2 2 35 2" xfId="11256"/>
    <cellStyle name="표준 5 3 2 2 35 2 2" xfId="23930"/>
    <cellStyle name="표준 5 3 2 2 35 2 2 2" xfId="49282"/>
    <cellStyle name="표준 5 3 2 2 35 2 3" xfId="36610"/>
    <cellStyle name="표준 5 3 2 2 35 3" xfId="17594"/>
    <cellStyle name="표준 5 3 2 2 35 3 2" xfId="42946"/>
    <cellStyle name="표준 5 3 2 2 35 4" xfId="30274"/>
    <cellStyle name="표준 5 3 2 2 36" xfId="6419"/>
    <cellStyle name="표준 5 3 2 2 36 2" xfId="19093"/>
    <cellStyle name="표준 5 3 2 2 36 2 2" xfId="44445"/>
    <cellStyle name="표준 5 3 2 2 36 3" xfId="31773"/>
    <cellStyle name="표준 5 3 2 2 37" xfId="12757"/>
    <cellStyle name="표준 5 3 2 2 37 2" xfId="38109"/>
    <cellStyle name="표준 5 3 2 2 38" xfId="25437"/>
    <cellStyle name="표준 5 3 2 2 4" xfId="1787"/>
    <cellStyle name="표준 5 3 2 2 4 2" xfId="1788"/>
    <cellStyle name="표준 5 3 2 2 4 2 2" xfId="4921"/>
    <cellStyle name="표준 5 3 2 2 4 2 2 2" xfId="11257"/>
    <cellStyle name="표준 5 3 2 2 4 2 2 2 2" xfId="23931"/>
    <cellStyle name="표준 5 3 2 2 4 2 2 2 2 2" xfId="49283"/>
    <cellStyle name="표준 5 3 2 2 4 2 2 2 3" xfId="36611"/>
    <cellStyle name="표준 5 3 2 2 4 2 2 3" xfId="17595"/>
    <cellStyle name="표준 5 3 2 2 4 2 2 3 2" xfId="42947"/>
    <cellStyle name="표준 5 3 2 2 4 2 2 4" xfId="30275"/>
    <cellStyle name="표준 5 3 2 2 4 2 3" xfId="8125"/>
    <cellStyle name="표준 5 3 2 2 4 2 3 2" xfId="20799"/>
    <cellStyle name="표준 5 3 2 2 4 2 3 2 2" xfId="46151"/>
    <cellStyle name="표준 5 3 2 2 4 2 3 3" xfId="33479"/>
    <cellStyle name="표준 5 3 2 2 4 2 4" xfId="14463"/>
    <cellStyle name="표준 5 3 2 2 4 2 4 2" xfId="39815"/>
    <cellStyle name="표준 5 3 2 2 4 2 5" xfId="27143"/>
    <cellStyle name="표준 5 3 2 2 4 3" xfId="4922"/>
    <cellStyle name="표준 5 3 2 2 4 3 2" xfId="11258"/>
    <cellStyle name="표준 5 3 2 2 4 3 2 2" xfId="23932"/>
    <cellStyle name="표준 5 3 2 2 4 3 2 2 2" xfId="49284"/>
    <cellStyle name="표준 5 3 2 2 4 3 2 3" xfId="36612"/>
    <cellStyle name="표준 5 3 2 2 4 3 3" xfId="17596"/>
    <cellStyle name="표준 5 3 2 2 4 3 3 2" xfId="42948"/>
    <cellStyle name="표준 5 3 2 2 4 3 4" xfId="30276"/>
    <cellStyle name="표준 5 3 2 2 4 4" xfId="8124"/>
    <cellStyle name="표준 5 3 2 2 4 4 2" xfId="20798"/>
    <cellStyle name="표준 5 3 2 2 4 4 2 2" xfId="46150"/>
    <cellStyle name="표준 5 3 2 2 4 4 3" xfId="33478"/>
    <cellStyle name="표준 5 3 2 2 4 5" xfId="14462"/>
    <cellStyle name="표준 5 3 2 2 4 5 2" xfId="39814"/>
    <cellStyle name="표준 5 3 2 2 4 6" xfId="27142"/>
    <cellStyle name="표준 5 3 2 2 5" xfId="1789"/>
    <cellStyle name="표준 5 3 2 2 5 2" xfId="1790"/>
    <cellStyle name="표준 5 3 2 2 5 2 2" xfId="4923"/>
    <cellStyle name="표준 5 3 2 2 5 2 2 2" xfId="11259"/>
    <cellStyle name="표준 5 3 2 2 5 2 2 2 2" xfId="23933"/>
    <cellStyle name="표준 5 3 2 2 5 2 2 2 2 2" xfId="49285"/>
    <cellStyle name="표준 5 3 2 2 5 2 2 2 3" xfId="36613"/>
    <cellStyle name="표준 5 3 2 2 5 2 2 3" xfId="17597"/>
    <cellStyle name="표준 5 3 2 2 5 2 2 3 2" xfId="42949"/>
    <cellStyle name="표준 5 3 2 2 5 2 2 4" xfId="30277"/>
    <cellStyle name="표준 5 3 2 2 5 2 3" xfId="8127"/>
    <cellStyle name="표준 5 3 2 2 5 2 3 2" xfId="20801"/>
    <cellStyle name="표준 5 3 2 2 5 2 3 2 2" xfId="46153"/>
    <cellStyle name="표준 5 3 2 2 5 2 3 3" xfId="33481"/>
    <cellStyle name="표준 5 3 2 2 5 2 4" xfId="14465"/>
    <cellStyle name="표준 5 3 2 2 5 2 4 2" xfId="39817"/>
    <cellStyle name="표준 5 3 2 2 5 2 5" xfId="27145"/>
    <cellStyle name="표준 5 3 2 2 5 3" xfId="4924"/>
    <cellStyle name="표준 5 3 2 2 5 3 2" xfId="11260"/>
    <cellStyle name="표준 5 3 2 2 5 3 2 2" xfId="23934"/>
    <cellStyle name="표준 5 3 2 2 5 3 2 2 2" xfId="49286"/>
    <cellStyle name="표준 5 3 2 2 5 3 2 3" xfId="36614"/>
    <cellStyle name="표준 5 3 2 2 5 3 3" xfId="17598"/>
    <cellStyle name="표준 5 3 2 2 5 3 3 2" xfId="42950"/>
    <cellStyle name="표준 5 3 2 2 5 3 4" xfId="30278"/>
    <cellStyle name="표준 5 3 2 2 5 4" xfId="8126"/>
    <cellStyle name="표준 5 3 2 2 5 4 2" xfId="20800"/>
    <cellStyle name="표준 5 3 2 2 5 4 2 2" xfId="46152"/>
    <cellStyle name="표준 5 3 2 2 5 4 3" xfId="33480"/>
    <cellStyle name="표준 5 3 2 2 5 5" xfId="14464"/>
    <cellStyle name="표준 5 3 2 2 5 5 2" xfId="39816"/>
    <cellStyle name="표준 5 3 2 2 5 6" xfId="27144"/>
    <cellStyle name="표준 5 3 2 2 6" xfId="1791"/>
    <cellStyle name="표준 5 3 2 2 6 2" xfId="1792"/>
    <cellStyle name="표준 5 3 2 2 6 2 2" xfId="4925"/>
    <cellStyle name="표준 5 3 2 2 6 2 2 2" xfId="11261"/>
    <cellStyle name="표준 5 3 2 2 6 2 2 2 2" xfId="23935"/>
    <cellStyle name="표준 5 3 2 2 6 2 2 2 2 2" xfId="49287"/>
    <cellStyle name="표준 5 3 2 2 6 2 2 2 3" xfId="36615"/>
    <cellStyle name="표준 5 3 2 2 6 2 2 3" xfId="17599"/>
    <cellStyle name="표준 5 3 2 2 6 2 2 3 2" xfId="42951"/>
    <cellStyle name="표준 5 3 2 2 6 2 2 4" xfId="30279"/>
    <cellStyle name="표준 5 3 2 2 6 2 3" xfId="8129"/>
    <cellStyle name="표준 5 3 2 2 6 2 3 2" xfId="20803"/>
    <cellStyle name="표준 5 3 2 2 6 2 3 2 2" xfId="46155"/>
    <cellStyle name="표준 5 3 2 2 6 2 3 3" xfId="33483"/>
    <cellStyle name="표준 5 3 2 2 6 2 4" xfId="14467"/>
    <cellStyle name="표준 5 3 2 2 6 2 4 2" xfId="39819"/>
    <cellStyle name="표준 5 3 2 2 6 2 5" xfId="27147"/>
    <cellStyle name="표준 5 3 2 2 6 3" xfId="4926"/>
    <cellStyle name="표준 5 3 2 2 6 3 2" xfId="11262"/>
    <cellStyle name="표준 5 3 2 2 6 3 2 2" xfId="23936"/>
    <cellStyle name="표준 5 3 2 2 6 3 2 2 2" xfId="49288"/>
    <cellStyle name="표준 5 3 2 2 6 3 2 3" xfId="36616"/>
    <cellStyle name="표준 5 3 2 2 6 3 3" xfId="17600"/>
    <cellStyle name="표준 5 3 2 2 6 3 3 2" xfId="42952"/>
    <cellStyle name="표준 5 3 2 2 6 3 4" xfId="30280"/>
    <cellStyle name="표준 5 3 2 2 6 4" xfId="8128"/>
    <cellStyle name="표준 5 3 2 2 6 4 2" xfId="20802"/>
    <cellStyle name="표준 5 3 2 2 6 4 2 2" xfId="46154"/>
    <cellStyle name="표준 5 3 2 2 6 4 3" xfId="33482"/>
    <cellStyle name="표준 5 3 2 2 6 5" xfId="14466"/>
    <cellStyle name="표준 5 3 2 2 6 5 2" xfId="39818"/>
    <cellStyle name="표준 5 3 2 2 6 6" xfId="27146"/>
    <cellStyle name="표준 5 3 2 2 7" xfId="1793"/>
    <cellStyle name="표준 5 3 2 2 7 2" xfId="1794"/>
    <cellStyle name="표준 5 3 2 2 7 2 2" xfId="4927"/>
    <cellStyle name="표준 5 3 2 2 7 2 2 2" xfId="11263"/>
    <cellStyle name="표준 5 3 2 2 7 2 2 2 2" xfId="23937"/>
    <cellStyle name="표준 5 3 2 2 7 2 2 2 2 2" xfId="49289"/>
    <cellStyle name="표준 5 3 2 2 7 2 2 2 3" xfId="36617"/>
    <cellStyle name="표준 5 3 2 2 7 2 2 3" xfId="17601"/>
    <cellStyle name="표준 5 3 2 2 7 2 2 3 2" xfId="42953"/>
    <cellStyle name="표준 5 3 2 2 7 2 2 4" xfId="30281"/>
    <cellStyle name="표준 5 3 2 2 7 2 3" xfId="8131"/>
    <cellStyle name="표준 5 3 2 2 7 2 3 2" xfId="20805"/>
    <cellStyle name="표준 5 3 2 2 7 2 3 2 2" xfId="46157"/>
    <cellStyle name="표준 5 3 2 2 7 2 3 3" xfId="33485"/>
    <cellStyle name="표준 5 3 2 2 7 2 4" xfId="14469"/>
    <cellStyle name="표준 5 3 2 2 7 2 4 2" xfId="39821"/>
    <cellStyle name="표준 5 3 2 2 7 2 5" xfId="27149"/>
    <cellStyle name="표준 5 3 2 2 7 3" xfId="4928"/>
    <cellStyle name="표준 5 3 2 2 7 3 2" xfId="11264"/>
    <cellStyle name="표준 5 3 2 2 7 3 2 2" xfId="23938"/>
    <cellStyle name="표준 5 3 2 2 7 3 2 2 2" xfId="49290"/>
    <cellStyle name="표준 5 3 2 2 7 3 2 3" xfId="36618"/>
    <cellStyle name="표준 5 3 2 2 7 3 3" xfId="17602"/>
    <cellStyle name="표준 5 3 2 2 7 3 3 2" xfId="42954"/>
    <cellStyle name="표준 5 3 2 2 7 3 4" xfId="30282"/>
    <cellStyle name="표준 5 3 2 2 7 4" xfId="8130"/>
    <cellStyle name="표준 5 3 2 2 7 4 2" xfId="20804"/>
    <cellStyle name="표준 5 3 2 2 7 4 2 2" xfId="46156"/>
    <cellStyle name="표준 5 3 2 2 7 4 3" xfId="33484"/>
    <cellStyle name="표준 5 3 2 2 7 5" xfId="14468"/>
    <cellStyle name="표준 5 3 2 2 7 5 2" xfId="39820"/>
    <cellStyle name="표준 5 3 2 2 7 6" xfId="27148"/>
    <cellStyle name="표준 5 3 2 2 8" xfId="1795"/>
    <cellStyle name="표준 5 3 2 2 8 2" xfId="1796"/>
    <cellStyle name="표준 5 3 2 2 8 2 2" xfId="4929"/>
    <cellStyle name="표준 5 3 2 2 8 2 2 2" xfId="11265"/>
    <cellStyle name="표준 5 3 2 2 8 2 2 2 2" xfId="23939"/>
    <cellStyle name="표준 5 3 2 2 8 2 2 2 2 2" xfId="49291"/>
    <cellStyle name="표준 5 3 2 2 8 2 2 2 3" xfId="36619"/>
    <cellStyle name="표준 5 3 2 2 8 2 2 3" xfId="17603"/>
    <cellStyle name="표준 5 3 2 2 8 2 2 3 2" xfId="42955"/>
    <cellStyle name="표준 5 3 2 2 8 2 2 4" xfId="30283"/>
    <cellStyle name="표준 5 3 2 2 8 2 3" xfId="8133"/>
    <cellStyle name="표준 5 3 2 2 8 2 3 2" xfId="20807"/>
    <cellStyle name="표준 5 3 2 2 8 2 3 2 2" xfId="46159"/>
    <cellStyle name="표준 5 3 2 2 8 2 3 3" xfId="33487"/>
    <cellStyle name="표준 5 3 2 2 8 2 4" xfId="14471"/>
    <cellStyle name="표준 5 3 2 2 8 2 4 2" xfId="39823"/>
    <cellStyle name="표준 5 3 2 2 8 2 5" xfId="27151"/>
    <cellStyle name="표준 5 3 2 2 8 3" xfId="4930"/>
    <cellStyle name="표준 5 3 2 2 8 3 2" xfId="11266"/>
    <cellStyle name="표준 5 3 2 2 8 3 2 2" xfId="23940"/>
    <cellStyle name="표준 5 3 2 2 8 3 2 2 2" xfId="49292"/>
    <cellStyle name="표준 5 3 2 2 8 3 2 3" xfId="36620"/>
    <cellStyle name="표준 5 3 2 2 8 3 3" xfId="17604"/>
    <cellStyle name="표준 5 3 2 2 8 3 3 2" xfId="42956"/>
    <cellStyle name="표준 5 3 2 2 8 3 4" xfId="30284"/>
    <cellStyle name="표준 5 3 2 2 8 4" xfId="8132"/>
    <cellStyle name="표준 5 3 2 2 8 4 2" xfId="20806"/>
    <cellStyle name="표준 5 3 2 2 8 4 2 2" xfId="46158"/>
    <cellStyle name="표준 5 3 2 2 8 4 3" xfId="33486"/>
    <cellStyle name="표준 5 3 2 2 8 5" xfId="14470"/>
    <cellStyle name="표준 5 3 2 2 8 5 2" xfId="39822"/>
    <cellStyle name="표준 5 3 2 2 8 6" xfId="27150"/>
    <cellStyle name="표준 5 3 2 2 9" xfId="1797"/>
    <cellStyle name="표준 5 3 2 2 9 2" xfId="1798"/>
    <cellStyle name="표준 5 3 2 2 9 2 2" xfId="4931"/>
    <cellStyle name="표준 5 3 2 2 9 2 2 2" xfId="11267"/>
    <cellStyle name="표준 5 3 2 2 9 2 2 2 2" xfId="23941"/>
    <cellStyle name="표준 5 3 2 2 9 2 2 2 2 2" xfId="49293"/>
    <cellStyle name="표준 5 3 2 2 9 2 2 2 3" xfId="36621"/>
    <cellStyle name="표준 5 3 2 2 9 2 2 3" xfId="17605"/>
    <cellStyle name="표준 5 3 2 2 9 2 2 3 2" xfId="42957"/>
    <cellStyle name="표준 5 3 2 2 9 2 2 4" xfId="30285"/>
    <cellStyle name="표준 5 3 2 2 9 2 3" xfId="8135"/>
    <cellStyle name="표준 5 3 2 2 9 2 3 2" xfId="20809"/>
    <cellStyle name="표준 5 3 2 2 9 2 3 2 2" xfId="46161"/>
    <cellStyle name="표준 5 3 2 2 9 2 3 3" xfId="33489"/>
    <cellStyle name="표준 5 3 2 2 9 2 4" xfId="14473"/>
    <cellStyle name="표준 5 3 2 2 9 2 4 2" xfId="39825"/>
    <cellStyle name="표준 5 3 2 2 9 2 5" xfId="27153"/>
    <cellStyle name="표준 5 3 2 2 9 3" xfId="4932"/>
    <cellStyle name="표준 5 3 2 2 9 3 2" xfId="11268"/>
    <cellStyle name="표준 5 3 2 2 9 3 2 2" xfId="23942"/>
    <cellStyle name="표준 5 3 2 2 9 3 2 2 2" xfId="49294"/>
    <cellStyle name="표준 5 3 2 2 9 3 2 3" xfId="36622"/>
    <cellStyle name="표준 5 3 2 2 9 3 3" xfId="17606"/>
    <cellStyle name="표준 5 3 2 2 9 3 3 2" xfId="42958"/>
    <cellStyle name="표준 5 3 2 2 9 3 4" xfId="30286"/>
    <cellStyle name="표준 5 3 2 2 9 4" xfId="8134"/>
    <cellStyle name="표준 5 3 2 2 9 4 2" xfId="20808"/>
    <cellStyle name="표준 5 3 2 2 9 4 2 2" xfId="46160"/>
    <cellStyle name="표준 5 3 2 2 9 4 3" xfId="33488"/>
    <cellStyle name="표준 5 3 2 2 9 5" xfId="14472"/>
    <cellStyle name="표준 5 3 2 2 9 5 2" xfId="39824"/>
    <cellStyle name="표준 5 3 2 2 9 6" xfId="27152"/>
    <cellStyle name="표준 5 3 2 20" xfId="1799"/>
    <cellStyle name="표준 5 3 2 20 2" xfId="1800"/>
    <cellStyle name="표준 5 3 2 20 2 2" xfId="4933"/>
    <cellStyle name="표준 5 3 2 20 2 2 2" xfId="11269"/>
    <cellStyle name="표준 5 3 2 20 2 2 2 2" xfId="23943"/>
    <cellStyle name="표준 5 3 2 20 2 2 2 2 2" xfId="49295"/>
    <cellStyle name="표준 5 3 2 20 2 2 2 3" xfId="36623"/>
    <cellStyle name="표준 5 3 2 20 2 2 3" xfId="17607"/>
    <cellStyle name="표준 5 3 2 20 2 2 3 2" xfId="42959"/>
    <cellStyle name="표준 5 3 2 20 2 2 4" xfId="30287"/>
    <cellStyle name="표준 5 3 2 20 2 3" xfId="8137"/>
    <cellStyle name="표준 5 3 2 20 2 3 2" xfId="20811"/>
    <cellStyle name="표준 5 3 2 20 2 3 2 2" xfId="46163"/>
    <cellStyle name="표준 5 3 2 20 2 3 3" xfId="33491"/>
    <cellStyle name="표준 5 3 2 20 2 4" xfId="14475"/>
    <cellStyle name="표준 5 3 2 20 2 4 2" xfId="39827"/>
    <cellStyle name="표준 5 3 2 20 2 5" xfId="27155"/>
    <cellStyle name="표준 5 3 2 20 3" xfId="4934"/>
    <cellStyle name="표준 5 3 2 20 3 2" xfId="11270"/>
    <cellStyle name="표준 5 3 2 20 3 2 2" xfId="23944"/>
    <cellStyle name="표준 5 3 2 20 3 2 2 2" xfId="49296"/>
    <cellStyle name="표준 5 3 2 20 3 2 3" xfId="36624"/>
    <cellStyle name="표준 5 3 2 20 3 3" xfId="17608"/>
    <cellStyle name="표준 5 3 2 20 3 3 2" xfId="42960"/>
    <cellStyle name="표준 5 3 2 20 3 4" xfId="30288"/>
    <cellStyle name="표준 5 3 2 20 4" xfId="8136"/>
    <cellStyle name="표준 5 3 2 20 4 2" xfId="20810"/>
    <cellStyle name="표준 5 3 2 20 4 2 2" xfId="46162"/>
    <cellStyle name="표준 5 3 2 20 4 3" xfId="33490"/>
    <cellStyle name="표준 5 3 2 20 5" xfId="14474"/>
    <cellStyle name="표준 5 3 2 20 5 2" xfId="39826"/>
    <cellStyle name="표준 5 3 2 20 6" xfId="27154"/>
    <cellStyle name="표준 5 3 2 21" xfId="1801"/>
    <cellStyle name="표준 5 3 2 21 2" xfId="1802"/>
    <cellStyle name="표준 5 3 2 21 2 2" xfId="4935"/>
    <cellStyle name="표준 5 3 2 21 2 2 2" xfId="11271"/>
    <cellStyle name="표준 5 3 2 21 2 2 2 2" xfId="23945"/>
    <cellStyle name="표준 5 3 2 21 2 2 2 2 2" xfId="49297"/>
    <cellStyle name="표준 5 3 2 21 2 2 2 3" xfId="36625"/>
    <cellStyle name="표준 5 3 2 21 2 2 3" xfId="17609"/>
    <cellStyle name="표준 5 3 2 21 2 2 3 2" xfId="42961"/>
    <cellStyle name="표준 5 3 2 21 2 2 4" xfId="30289"/>
    <cellStyle name="표준 5 3 2 21 2 3" xfId="8139"/>
    <cellStyle name="표준 5 3 2 21 2 3 2" xfId="20813"/>
    <cellStyle name="표준 5 3 2 21 2 3 2 2" xfId="46165"/>
    <cellStyle name="표준 5 3 2 21 2 3 3" xfId="33493"/>
    <cellStyle name="표준 5 3 2 21 2 4" xfId="14477"/>
    <cellStyle name="표준 5 3 2 21 2 4 2" xfId="39829"/>
    <cellStyle name="표준 5 3 2 21 2 5" xfId="27157"/>
    <cellStyle name="표준 5 3 2 21 3" xfId="4936"/>
    <cellStyle name="표준 5 3 2 21 3 2" xfId="11272"/>
    <cellStyle name="표준 5 3 2 21 3 2 2" xfId="23946"/>
    <cellStyle name="표준 5 3 2 21 3 2 2 2" xfId="49298"/>
    <cellStyle name="표준 5 3 2 21 3 2 3" xfId="36626"/>
    <cellStyle name="표준 5 3 2 21 3 3" xfId="17610"/>
    <cellStyle name="표준 5 3 2 21 3 3 2" xfId="42962"/>
    <cellStyle name="표준 5 3 2 21 3 4" xfId="30290"/>
    <cellStyle name="표준 5 3 2 21 4" xfId="8138"/>
    <cellStyle name="표준 5 3 2 21 4 2" xfId="20812"/>
    <cellStyle name="표준 5 3 2 21 4 2 2" xfId="46164"/>
    <cellStyle name="표준 5 3 2 21 4 3" xfId="33492"/>
    <cellStyle name="표준 5 3 2 21 5" xfId="14476"/>
    <cellStyle name="표준 5 3 2 21 5 2" xfId="39828"/>
    <cellStyle name="표준 5 3 2 21 6" xfId="27156"/>
    <cellStyle name="표준 5 3 2 22" xfId="1803"/>
    <cellStyle name="표준 5 3 2 22 2" xfId="1804"/>
    <cellStyle name="표준 5 3 2 22 2 2" xfId="4937"/>
    <cellStyle name="표준 5 3 2 22 2 2 2" xfId="11273"/>
    <cellStyle name="표준 5 3 2 22 2 2 2 2" xfId="23947"/>
    <cellStyle name="표준 5 3 2 22 2 2 2 2 2" xfId="49299"/>
    <cellStyle name="표준 5 3 2 22 2 2 2 3" xfId="36627"/>
    <cellStyle name="표준 5 3 2 22 2 2 3" xfId="17611"/>
    <cellStyle name="표준 5 3 2 22 2 2 3 2" xfId="42963"/>
    <cellStyle name="표준 5 3 2 22 2 2 4" xfId="30291"/>
    <cellStyle name="표준 5 3 2 22 2 3" xfId="8141"/>
    <cellStyle name="표준 5 3 2 22 2 3 2" xfId="20815"/>
    <cellStyle name="표준 5 3 2 22 2 3 2 2" xfId="46167"/>
    <cellStyle name="표준 5 3 2 22 2 3 3" xfId="33495"/>
    <cellStyle name="표준 5 3 2 22 2 4" xfId="14479"/>
    <cellStyle name="표준 5 3 2 22 2 4 2" xfId="39831"/>
    <cellStyle name="표준 5 3 2 22 2 5" xfId="27159"/>
    <cellStyle name="표준 5 3 2 22 3" xfId="4938"/>
    <cellStyle name="표준 5 3 2 22 3 2" xfId="11274"/>
    <cellStyle name="표준 5 3 2 22 3 2 2" xfId="23948"/>
    <cellStyle name="표준 5 3 2 22 3 2 2 2" xfId="49300"/>
    <cellStyle name="표준 5 3 2 22 3 2 3" xfId="36628"/>
    <cellStyle name="표준 5 3 2 22 3 3" xfId="17612"/>
    <cellStyle name="표준 5 3 2 22 3 3 2" xfId="42964"/>
    <cellStyle name="표준 5 3 2 22 3 4" xfId="30292"/>
    <cellStyle name="표준 5 3 2 22 4" xfId="8140"/>
    <cellStyle name="표준 5 3 2 22 4 2" xfId="20814"/>
    <cellStyle name="표준 5 3 2 22 4 2 2" xfId="46166"/>
    <cellStyle name="표준 5 3 2 22 4 3" xfId="33494"/>
    <cellStyle name="표준 5 3 2 22 5" xfId="14478"/>
    <cellStyle name="표준 5 3 2 22 5 2" xfId="39830"/>
    <cellStyle name="표준 5 3 2 22 6" xfId="27158"/>
    <cellStyle name="표준 5 3 2 23" xfId="1805"/>
    <cellStyle name="표준 5 3 2 23 2" xfId="1806"/>
    <cellStyle name="표준 5 3 2 23 2 2" xfId="4939"/>
    <cellStyle name="표준 5 3 2 23 2 2 2" xfId="11275"/>
    <cellStyle name="표준 5 3 2 23 2 2 2 2" xfId="23949"/>
    <cellStyle name="표준 5 3 2 23 2 2 2 2 2" xfId="49301"/>
    <cellStyle name="표준 5 3 2 23 2 2 2 3" xfId="36629"/>
    <cellStyle name="표준 5 3 2 23 2 2 3" xfId="17613"/>
    <cellStyle name="표준 5 3 2 23 2 2 3 2" xfId="42965"/>
    <cellStyle name="표준 5 3 2 23 2 2 4" xfId="30293"/>
    <cellStyle name="표준 5 3 2 23 2 3" xfId="8143"/>
    <cellStyle name="표준 5 3 2 23 2 3 2" xfId="20817"/>
    <cellStyle name="표준 5 3 2 23 2 3 2 2" xfId="46169"/>
    <cellStyle name="표준 5 3 2 23 2 3 3" xfId="33497"/>
    <cellStyle name="표준 5 3 2 23 2 4" xfId="14481"/>
    <cellStyle name="표준 5 3 2 23 2 4 2" xfId="39833"/>
    <cellStyle name="표준 5 3 2 23 2 5" xfId="27161"/>
    <cellStyle name="표준 5 3 2 23 3" xfId="4940"/>
    <cellStyle name="표준 5 3 2 23 3 2" xfId="11276"/>
    <cellStyle name="표준 5 3 2 23 3 2 2" xfId="23950"/>
    <cellStyle name="표준 5 3 2 23 3 2 2 2" xfId="49302"/>
    <cellStyle name="표준 5 3 2 23 3 2 3" xfId="36630"/>
    <cellStyle name="표준 5 3 2 23 3 3" xfId="17614"/>
    <cellStyle name="표준 5 3 2 23 3 3 2" xfId="42966"/>
    <cellStyle name="표준 5 3 2 23 3 4" xfId="30294"/>
    <cellStyle name="표준 5 3 2 23 4" xfId="8142"/>
    <cellStyle name="표준 5 3 2 23 4 2" xfId="20816"/>
    <cellStyle name="표준 5 3 2 23 4 2 2" xfId="46168"/>
    <cellStyle name="표준 5 3 2 23 4 3" xfId="33496"/>
    <cellStyle name="표준 5 3 2 23 5" xfId="14480"/>
    <cellStyle name="표준 5 3 2 23 5 2" xfId="39832"/>
    <cellStyle name="표준 5 3 2 23 6" xfId="27160"/>
    <cellStyle name="표준 5 3 2 24" xfId="1807"/>
    <cellStyle name="표준 5 3 2 24 2" xfId="1808"/>
    <cellStyle name="표준 5 3 2 24 2 2" xfId="4941"/>
    <cellStyle name="표준 5 3 2 24 2 2 2" xfId="11277"/>
    <cellStyle name="표준 5 3 2 24 2 2 2 2" xfId="23951"/>
    <cellStyle name="표준 5 3 2 24 2 2 2 2 2" xfId="49303"/>
    <cellStyle name="표준 5 3 2 24 2 2 2 3" xfId="36631"/>
    <cellStyle name="표준 5 3 2 24 2 2 3" xfId="17615"/>
    <cellStyle name="표준 5 3 2 24 2 2 3 2" xfId="42967"/>
    <cellStyle name="표준 5 3 2 24 2 2 4" xfId="30295"/>
    <cellStyle name="표준 5 3 2 24 2 3" xfId="8145"/>
    <cellStyle name="표준 5 3 2 24 2 3 2" xfId="20819"/>
    <cellStyle name="표준 5 3 2 24 2 3 2 2" xfId="46171"/>
    <cellStyle name="표준 5 3 2 24 2 3 3" xfId="33499"/>
    <cellStyle name="표준 5 3 2 24 2 4" xfId="14483"/>
    <cellStyle name="표준 5 3 2 24 2 4 2" xfId="39835"/>
    <cellStyle name="표준 5 3 2 24 2 5" xfId="27163"/>
    <cellStyle name="표준 5 3 2 24 3" xfId="4942"/>
    <cellStyle name="표준 5 3 2 24 3 2" xfId="11278"/>
    <cellStyle name="표준 5 3 2 24 3 2 2" xfId="23952"/>
    <cellStyle name="표준 5 3 2 24 3 2 2 2" xfId="49304"/>
    <cellStyle name="표준 5 3 2 24 3 2 3" xfId="36632"/>
    <cellStyle name="표준 5 3 2 24 3 3" xfId="17616"/>
    <cellStyle name="표준 5 3 2 24 3 3 2" xfId="42968"/>
    <cellStyle name="표준 5 3 2 24 3 4" xfId="30296"/>
    <cellStyle name="표준 5 3 2 24 4" xfId="8144"/>
    <cellStyle name="표준 5 3 2 24 4 2" xfId="20818"/>
    <cellStyle name="표준 5 3 2 24 4 2 2" xfId="46170"/>
    <cellStyle name="표준 5 3 2 24 4 3" xfId="33498"/>
    <cellStyle name="표준 5 3 2 24 5" xfId="14482"/>
    <cellStyle name="표준 5 3 2 24 5 2" xfId="39834"/>
    <cellStyle name="표준 5 3 2 24 6" xfId="27162"/>
    <cellStyle name="표준 5 3 2 25" xfId="1809"/>
    <cellStyle name="표준 5 3 2 25 2" xfId="1810"/>
    <cellStyle name="표준 5 3 2 25 2 2" xfId="4943"/>
    <cellStyle name="표준 5 3 2 25 2 2 2" xfId="11279"/>
    <cellStyle name="표준 5 3 2 25 2 2 2 2" xfId="23953"/>
    <cellStyle name="표준 5 3 2 25 2 2 2 2 2" xfId="49305"/>
    <cellStyle name="표준 5 3 2 25 2 2 2 3" xfId="36633"/>
    <cellStyle name="표준 5 3 2 25 2 2 3" xfId="17617"/>
    <cellStyle name="표준 5 3 2 25 2 2 3 2" xfId="42969"/>
    <cellStyle name="표준 5 3 2 25 2 2 4" xfId="30297"/>
    <cellStyle name="표준 5 3 2 25 2 3" xfId="8147"/>
    <cellStyle name="표준 5 3 2 25 2 3 2" xfId="20821"/>
    <cellStyle name="표준 5 3 2 25 2 3 2 2" xfId="46173"/>
    <cellStyle name="표준 5 3 2 25 2 3 3" xfId="33501"/>
    <cellStyle name="표준 5 3 2 25 2 4" xfId="14485"/>
    <cellStyle name="표준 5 3 2 25 2 4 2" xfId="39837"/>
    <cellStyle name="표준 5 3 2 25 2 5" xfId="27165"/>
    <cellStyle name="표준 5 3 2 25 3" xfId="4944"/>
    <cellStyle name="표준 5 3 2 25 3 2" xfId="11280"/>
    <cellStyle name="표준 5 3 2 25 3 2 2" xfId="23954"/>
    <cellStyle name="표준 5 3 2 25 3 2 2 2" xfId="49306"/>
    <cellStyle name="표준 5 3 2 25 3 2 3" xfId="36634"/>
    <cellStyle name="표준 5 3 2 25 3 3" xfId="17618"/>
    <cellStyle name="표준 5 3 2 25 3 3 2" xfId="42970"/>
    <cellStyle name="표준 5 3 2 25 3 4" xfId="30298"/>
    <cellStyle name="표준 5 3 2 25 4" xfId="8146"/>
    <cellStyle name="표준 5 3 2 25 4 2" xfId="20820"/>
    <cellStyle name="표준 5 3 2 25 4 2 2" xfId="46172"/>
    <cellStyle name="표준 5 3 2 25 4 3" xfId="33500"/>
    <cellStyle name="표준 5 3 2 25 5" xfId="14484"/>
    <cellStyle name="표준 5 3 2 25 5 2" xfId="39836"/>
    <cellStyle name="표준 5 3 2 25 6" xfId="27164"/>
    <cellStyle name="표준 5 3 2 26" xfId="1811"/>
    <cellStyle name="표준 5 3 2 26 2" xfId="1812"/>
    <cellStyle name="표준 5 3 2 26 2 2" xfId="4945"/>
    <cellStyle name="표준 5 3 2 26 2 2 2" xfId="11281"/>
    <cellStyle name="표준 5 3 2 26 2 2 2 2" xfId="23955"/>
    <cellStyle name="표준 5 3 2 26 2 2 2 2 2" xfId="49307"/>
    <cellStyle name="표준 5 3 2 26 2 2 2 3" xfId="36635"/>
    <cellStyle name="표준 5 3 2 26 2 2 3" xfId="17619"/>
    <cellStyle name="표준 5 3 2 26 2 2 3 2" xfId="42971"/>
    <cellStyle name="표준 5 3 2 26 2 2 4" xfId="30299"/>
    <cellStyle name="표준 5 3 2 26 2 3" xfId="8149"/>
    <cellStyle name="표준 5 3 2 26 2 3 2" xfId="20823"/>
    <cellStyle name="표준 5 3 2 26 2 3 2 2" xfId="46175"/>
    <cellStyle name="표준 5 3 2 26 2 3 3" xfId="33503"/>
    <cellStyle name="표준 5 3 2 26 2 4" xfId="14487"/>
    <cellStyle name="표준 5 3 2 26 2 4 2" xfId="39839"/>
    <cellStyle name="표준 5 3 2 26 2 5" xfId="27167"/>
    <cellStyle name="표준 5 3 2 26 3" xfId="4946"/>
    <cellStyle name="표준 5 3 2 26 3 2" xfId="11282"/>
    <cellStyle name="표준 5 3 2 26 3 2 2" xfId="23956"/>
    <cellStyle name="표준 5 3 2 26 3 2 2 2" xfId="49308"/>
    <cellStyle name="표준 5 3 2 26 3 2 3" xfId="36636"/>
    <cellStyle name="표준 5 3 2 26 3 3" xfId="17620"/>
    <cellStyle name="표준 5 3 2 26 3 3 2" xfId="42972"/>
    <cellStyle name="표준 5 3 2 26 3 4" xfId="30300"/>
    <cellStyle name="표준 5 3 2 26 4" xfId="8148"/>
    <cellStyle name="표준 5 3 2 26 4 2" xfId="20822"/>
    <cellStyle name="표준 5 3 2 26 4 2 2" xfId="46174"/>
    <cellStyle name="표준 5 3 2 26 4 3" xfId="33502"/>
    <cellStyle name="표준 5 3 2 26 5" xfId="14486"/>
    <cellStyle name="표준 5 3 2 26 5 2" xfId="39838"/>
    <cellStyle name="표준 5 3 2 26 6" xfId="27166"/>
    <cellStyle name="표준 5 3 2 27" xfId="1813"/>
    <cellStyle name="표준 5 3 2 27 2" xfId="1814"/>
    <cellStyle name="표준 5 3 2 27 2 2" xfId="4947"/>
    <cellStyle name="표준 5 3 2 27 2 2 2" xfId="11283"/>
    <cellStyle name="표준 5 3 2 27 2 2 2 2" xfId="23957"/>
    <cellStyle name="표준 5 3 2 27 2 2 2 2 2" xfId="49309"/>
    <cellStyle name="표준 5 3 2 27 2 2 2 3" xfId="36637"/>
    <cellStyle name="표준 5 3 2 27 2 2 3" xfId="17621"/>
    <cellStyle name="표준 5 3 2 27 2 2 3 2" xfId="42973"/>
    <cellStyle name="표준 5 3 2 27 2 2 4" xfId="30301"/>
    <cellStyle name="표준 5 3 2 27 2 3" xfId="8151"/>
    <cellStyle name="표준 5 3 2 27 2 3 2" xfId="20825"/>
    <cellStyle name="표준 5 3 2 27 2 3 2 2" xfId="46177"/>
    <cellStyle name="표준 5 3 2 27 2 3 3" xfId="33505"/>
    <cellStyle name="표준 5 3 2 27 2 4" xfId="14489"/>
    <cellStyle name="표준 5 3 2 27 2 4 2" xfId="39841"/>
    <cellStyle name="표준 5 3 2 27 2 5" xfId="27169"/>
    <cellStyle name="표준 5 3 2 27 3" xfId="4948"/>
    <cellStyle name="표준 5 3 2 27 3 2" xfId="11284"/>
    <cellStyle name="표준 5 3 2 27 3 2 2" xfId="23958"/>
    <cellStyle name="표준 5 3 2 27 3 2 2 2" xfId="49310"/>
    <cellStyle name="표준 5 3 2 27 3 2 3" xfId="36638"/>
    <cellStyle name="표준 5 3 2 27 3 3" xfId="17622"/>
    <cellStyle name="표준 5 3 2 27 3 3 2" xfId="42974"/>
    <cellStyle name="표준 5 3 2 27 3 4" xfId="30302"/>
    <cellStyle name="표준 5 3 2 27 4" xfId="8150"/>
    <cellStyle name="표준 5 3 2 27 4 2" xfId="20824"/>
    <cellStyle name="표준 5 3 2 27 4 2 2" xfId="46176"/>
    <cellStyle name="표준 5 3 2 27 4 3" xfId="33504"/>
    <cellStyle name="표준 5 3 2 27 5" xfId="14488"/>
    <cellStyle name="표준 5 3 2 27 5 2" xfId="39840"/>
    <cellStyle name="표준 5 3 2 27 6" xfId="27168"/>
    <cellStyle name="표준 5 3 2 28" xfId="1815"/>
    <cellStyle name="표준 5 3 2 28 2" xfId="1816"/>
    <cellStyle name="표준 5 3 2 28 2 2" xfId="4949"/>
    <cellStyle name="표준 5 3 2 28 2 2 2" xfId="11285"/>
    <cellStyle name="표준 5 3 2 28 2 2 2 2" xfId="23959"/>
    <cellStyle name="표준 5 3 2 28 2 2 2 2 2" xfId="49311"/>
    <cellStyle name="표준 5 3 2 28 2 2 2 3" xfId="36639"/>
    <cellStyle name="표준 5 3 2 28 2 2 3" xfId="17623"/>
    <cellStyle name="표준 5 3 2 28 2 2 3 2" xfId="42975"/>
    <cellStyle name="표준 5 3 2 28 2 2 4" xfId="30303"/>
    <cellStyle name="표준 5 3 2 28 2 3" xfId="8153"/>
    <cellStyle name="표준 5 3 2 28 2 3 2" xfId="20827"/>
    <cellStyle name="표준 5 3 2 28 2 3 2 2" xfId="46179"/>
    <cellStyle name="표준 5 3 2 28 2 3 3" xfId="33507"/>
    <cellStyle name="표준 5 3 2 28 2 4" xfId="14491"/>
    <cellStyle name="표준 5 3 2 28 2 4 2" xfId="39843"/>
    <cellStyle name="표준 5 3 2 28 2 5" xfId="27171"/>
    <cellStyle name="표준 5 3 2 28 3" xfId="4950"/>
    <cellStyle name="표준 5 3 2 28 3 2" xfId="11286"/>
    <cellStyle name="표준 5 3 2 28 3 2 2" xfId="23960"/>
    <cellStyle name="표준 5 3 2 28 3 2 2 2" xfId="49312"/>
    <cellStyle name="표준 5 3 2 28 3 2 3" xfId="36640"/>
    <cellStyle name="표준 5 3 2 28 3 3" xfId="17624"/>
    <cellStyle name="표준 5 3 2 28 3 3 2" xfId="42976"/>
    <cellStyle name="표준 5 3 2 28 3 4" xfId="30304"/>
    <cellStyle name="표준 5 3 2 28 4" xfId="8152"/>
    <cellStyle name="표준 5 3 2 28 4 2" xfId="20826"/>
    <cellStyle name="표준 5 3 2 28 4 2 2" xfId="46178"/>
    <cellStyle name="표준 5 3 2 28 4 3" xfId="33506"/>
    <cellStyle name="표준 5 3 2 28 5" xfId="14490"/>
    <cellStyle name="표준 5 3 2 28 5 2" xfId="39842"/>
    <cellStyle name="표준 5 3 2 28 6" xfId="27170"/>
    <cellStyle name="표준 5 3 2 29" xfId="1817"/>
    <cellStyle name="표준 5 3 2 29 2" xfId="1818"/>
    <cellStyle name="표준 5 3 2 29 2 2" xfId="4951"/>
    <cellStyle name="표준 5 3 2 29 2 2 2" xfId="11287"/>
    <cellStyle name="표준 5 3 2 29 2 2 2 2" xfId="23961"/>
    <cellStyle name="표준 5 3 2 29 2 2 2 2 2" xfId="49313"/>
    <cellStyle name="표준 5 3 2 29 2 2 2 3" xfId="36641"/>
    <cellStyle name="표준 5 3 2 29 2 2 3" xfId="17625"/>
    <cellStyle name="표준 5 3 2 29 2 2 3 2" xfId="42977"/>
    <cellStyle name="표준 5 3 2 29 2 2 4" xfId="30305"/>
    <cellStyle name="표준 5 3 2 29 2 3" xfId="8155"/>
    <cellStyle name="표준 5 3 2 29 2 3 2" xfId="20829"/>
    <cellStyle name="표준 5 3 2 29 2 3 2 2" xfId="46181"/>
    <cellStyle name="표준 5 3 2 29 2 3 3" xfId="33509"/>
    <cellStyle name="표준 5 3 2 29 2 4" xfId="14493"/>
    <cellStyle name="표준 5 3 2 29 2 4 2" xfId="39845"/>
    <cellStyle name="표준 5 3 2 29 2 5" xfId="27173"/>
    <cellStyle name="표준 5 3 2 29 3" xfId="4952"/>
    <cellStyle name="표준 5 3 2 29 3 2" xfId="11288"/>
    <cellStyle name="표준 5 3 2 29 3 2 2" xfId="23962"/>
    <cellStyle name="표준 5 3 2 29 3 2 2 2" xfId="49314"/>
    <cellStyle name="표준 5 3 2 29 3 2 3" xfId="36642"/>
    <cellStyle name="표준 5 3 2 29 3 3" xfId="17626"/>
    <cellStyle name="표준 5 3 2 29 3 3 2" xfId="42978"/>
    <cellStyle name="표준 5 3 2 29 3 4" xfId="30306"/>
    <cellStyle name="표준 5 3 2 29 4" xfId="8154"/>
    <cellStyle name="표준 5 3 2 29 4 2" xfId="20828"/>
    <cellStyle name="표준 5 3 2 29 4 2 2" xfId="46180"/>
    <cellStyle name="표준 5 3 2 29 4 3" xfId="33508"/>
    <cellStyle name="표준 5 3 2 29 5" xfId="14492"/>
    <cellStyle name="표준 5 3 2 29 5 2" xfId="39844"/>
    <cellStyle name="표준 5 3 2 29 6" xfId="27172"/>
    <cellStyle name="표준 5 3 2 3" xfId="82"/>
    <cellStyle name="표준 5 3 2 3 2" xfId="1819"/>
    <cellStyle name="표준 5 3 2 3 2 2" xfId="4953"/>
    <cellStyle name="표준 5 3 2 3 2 2 2" xfId="11289"/>
    <cellStyle name="표준 5 3 2 3 2 2 2 2" xfId="23963"/>
    <cellStyle name="표준 5 3 2 3 2 2 2 2 2" xfId="49315"/>
    <cellStyle name="표준 5 3 2 3 2 2 2 3" xfId="36643"/>
    <cellStyle name="표준 5 3 2 3 2 2 3" xfId="17627"/>
    <cellStyle name="표준 5 3 2 3 2 2 3 2" xfId="42979"/>
    <cellStyle name="표준 5 3 2 3 2 2 4" xfId="30307"/>
    <cellStyle name="표준 5 3 2 3 2 3" xfId="8156"/>
    <cellStyle name="표준 5 3 2 3 2 3 2" xfId="20830"/>
    <cellStyle name="표준 5 3 2 3 2 3 2 2" xfId="46182"/>
    <cellStyle name="표준 5 3 2 3 2 3 3" xfId="33510"/>
    <cellStyle name="표준 5 3 2 3 2 4" xfId="14494"/>
    <cellStyle name="표준 5 3 2 3 2 4 2" xfId="39846"/>
    <cellStyle name="표준 5 3 2 3 2 5" xfId="27174"/>
    <cellStyle name="표준 5 3 2 3 3" xfId="4954"/>
    <cellStyle name="표준 5 3 2 3 3 2" xfId="11290"/>
    <cellStyle name="표준 5 3 2 3 3 2 2" xfId="23964"/>
    <cellStyle name="표준 5 3 2 3 3 2 2 2" xfId="49316"/>
    <cellStyle name="표준 5 3 2 3 3 2 3" xfId="36644"/>
    <cellStyle name="표준 5 3 2 3 3 3" xfId="17628"/>
    <cellStyle name="표준 5 3 2 3 3 3 2" xfId="42980"/>
    <cellStyle name="표준 5 3 2 3 3 4" xfId="30308"/>
    <cellStyle name="표준 5 3 2 3 4" xfId="6420"/>
    <cellStyle name="표준 5 3 2 3 4 2" xfId="19094"/>
    <cellStyle name="표준 5 3 2 3 4 2 2" xfId="44446"/>
    <cellStyle name="표준 5 3 2 3 4 3" xfId="31774"/>
    <cellStyle name="표준 5 3 2 3 5" xfId="12758"/>
    <cellStyle name="표준 5 3 2 3 5 2" xfId="38110"/>
    <cellStyle name="표준 5 3 2 3 6" xfId="25438"/>
    <cellStyle name="표준 5 3 2 30" xfId="1820"/>
    <cellStyle name="표준 5 3 2 30 2" xfId="1821"/>
    <cellStyle name="표준 5 3 2 30 2 2" xfId="4955"/>
    <cellStyle name="표준 5 3 2 30 2 2 2" xfId="11291"/>
    <cellStyle name="표준 5 3 2 30 2 2 2 2" xfId="23965"/>
    <cellStyle name="표준 5 3 2 30 2 2 2 2 2" xfId="49317"/>
    <cellStyle name="표준 5 3 2 30 2 2 2 3" xfId="36645"/>
    <cellStyle name="표준 5 3 2 30 2 2 3" xfId="17629"/>
    <cellStyle name="표준 5 3 2 30 2 2 3 2" xfId="42981"/>
    <cellStyle name="표준 5 3 2 30 2 2 4" xfId="30309"/>
    <cellStyle name="표준 5 3 2 30 2 3" xfId="8158"/>
    <cellStyle name="표준 5 3 2 30 2 3 2" xfId="20832"/>
    <cellStyle name="표준 5 3 2 30 2 3 2 2" xfId="46184"/>
    <cellStyle name="표준 5 3 2 30 2 3 3" xfId="33512"/>
    <cellStyle name="표준 5 3 2 30 2 4" xfId="14496"/>
    <cellStyle name="표준 5 3 2 30 2 4 2" xfId="39848"/>
    <cellStyle name="표준 5 3 2 30 2 5" xfId="27176"/>
    <cellStyle name="표준 5 3 2 30 3" xfId="4956"/>
    <cellStyle name="표준 5 3 2 30 3 2" xfId="11292"/>
    <cellStyle name="표준 5 3 2 30 3 2 2" xfId="23966"/>
    <cellStyle name="표준 5 3 2 30 3 2 2 2" xfId="49318"/>
    <cellStyle name="표준 5 3 2 30 3 2 3" xfId="36646"/>
    <cellStyle name="표준 5 3 2 30 3 3" xfId="17630"/>
    <cellStyle name="표준 5 3 2 30 3 3 2" xfId="42982"/>
    <cellStyle name="표준 5 3 2 30 3 4" xfId="30310"/>
    <cellStyle name="표준 5 3 2 30 4" xfId="8157"/>
    <cellStyle name="표준 5 3 2 30 4 2" xfId="20831"/>
    <cellStyle name="표준 5 3 2 30 4 2 2" xfId="46183"/>
    <cellStyle name="표준 5 3 2 30 4 3" xfId="33511"/>
    <cellStyle name="표준 5 3 2 30 5" xfId="14495"/>
    <cellStyle name="표준 5 3 2 30 5 2" xfId="39847"/>
    <cellStyle name="표준 5 3 2 30 6" xfId="27175"/>
    <cellStyle name="표준 5 3 2 31" xfId="1822"/>
    <cellStyle name="표준 5 3 2 31 2" xfId="1823"/>
    <cellStyle name="표준 5 3 2 31 2 2" xfId="4957"/>
    <cellStyle name="표준 5 3 2 31 2 2 2" xfId="11293"/>
    <cellStyle name="표준 5 3 2 31 2 2 2 2" xfId="23967"/>
    <cellStyle name="표준 5 3 2 31 2 2 2 2 2" xfId="49319"/>
    <cellStyle name="표준 5 3 2 31 2 2 2 3" xfId="36647"/>
    <cellStyle name="표준 5 3 2 31 2 2 3" xfId="17631"/>
    <cellStyle name="표준 5 3 2 31 2 2 3 2" xfId="42983"/>
    <cellStyle name="표준 5 3 2 31 2 2 4" xfId="30311"/>
    <cellStyle name="표준 5 3 2 31 2 3" xfId="8160"/>
    <cellStyle name="표준 5 3 2 31 2 3 2" xfId="20834"/>
    <cellStyle name="표준 5 3 2 31 2 3 2 2" xfId="46186"/>
    <cellStyle name="표준 5 3 2 31 2 3 3" xfId="33514"/>
    <cellStyle name="표준 5 3 2 31 2 4" xfId="14498"/>
    <cellStyle name="표준 5 3 2 31 2 4 2" xfId="39850"/>
    <cellStyle name="표준 5 3 2 31 2 5" xfId="27178"/>
    <cellStyle name="표준 5 3 2 31 3" xfId="4958"/>
    <cellStyle name="표준 5 3 2 31 3 2" xfId="11294"/>
    <cellStyle name="표준 5 3 2 31 3 2 2" xfId="23968"/>
    <cellStyle name="표준 5 3 2 31 3 2 2 2" xfId="49320"/>
    <cellStyle name="표준 5 3 2 31 3 2 3" xfId="36648"/>
    <cellStyle name="표준 5 3 2 31 3 3" xfId="17632"/>
    <cellStyle name="표준 5 3 2 31 3 3 2" xfId="42984"/>
    <cellStyle name="표준 5 3 2 31 3 4" xfId="30312"/>
    <cellStyle name="표준 5 3 2 31 4" xfId="8159"/>
    <cellStyle name="표준 5 3 2 31 4 2" xfId="20833"/>
    <cellStyle name="표준 5 3 2 31 4 2 2" xfId="46185"/>
    <cellStyle name="표준 5 3 2 31 4 3" xfId="33513"/>
    <cellStyle name="표준 5 3 2 31 5" xfId="14497"/>
    <cellStyle name="표준 5 3 2 31 5 2" xfId="39849"/>
    <cellStyle name="표준 5 3 2 31 6" xfId="27177"/>
    <cellStyle name="표준 5 3 2 32" xfId="1824"/>
    <cellStyle name="표준 5 3 2 32 2" xfId="1825"/>
    <cellStyle name="표준 5 3 2 32 2 2" xfId="4959"/>
    <cellStyle name="표준 5 3 2 32 2 2 2" xfId="11295"/>
    <cellStyle name="표준 5 3 2 32 2 2 2 2" xfId="23969"/>
    <cellStyle name="표준 5 3 2 32 2 2 2 2 2" xfId="49321"/>
    <cellStyle name="표준 5 3 2 32 2 2 2 3" xfId="36649"/>
    <cellStyle name="표준 5 3 2 32 2 2 3" xfId="17633"/>
    <cellStyle name="표준 5 3 2 32 2 2 3 2" xfId="42985"/>
    <cellStyle name="표준 5 3 2 32 2 2 4" xfId="30313"/>
    <cellStyle name="표준 5 3 2 32 2 3" xfId="8162"/>
    <cellStyle name="표준 5 3 2 32 2 3 2" xfId="20836"/>
    <cellStyle name="표준 5 3 2 32 2 3 2 2" xfId="46188"/>
    <cellStyle name="표준 5 3 2 32 2 3 3" xfId="33516"/>
    <cellStyle name="표준 5 3 2 32 2 4" xfId="14500"/>
    <cellStyle name="표준 5 3 2 32 2 4 2" xfId="39852"/>
    <cellStyle name="표준 5 3 2 32 2 5" xfId="27180"/>
    <cellStyle name="표준 5 3 2 32 3" xfId="4960"/>
    <cellStyle name="표준 5 3 2 32 3 2" xfId="11296"/>
    <cellStyle name="표준 5 3 2 32 3 2 2" xfId="23970"/>
    <cellStyle name="표준 5 3 2 32 3 2 2 2" xfId="49322"/>
    <cellStyle name="표준 5 3 2 32 3 2 3" xfId="36650"/>
    <cellStyle name="표준 5 3 2 32 3 3" xfId="17634"/>
    <cellStyle name="표준 5 3 2 32 3 3 2" xfId="42986"/>
    <cellStyle name="표준 5 3 2 32 3 4" xfId="30314"/>
    <cellStyle name="표준 5 3 2 32 4" xfId="8161"/>
    <cellStyle name="표준 5 3 2 32 4 2" xfId="20835"/>
    <cellStyle name="표준 5 3 2 32 4 2 2" xfId="46187"/>
    <cellStyle name="표준 5 3 2 32 4 3" xfId="33515"/>
    <cellStyle name="표준 5 3 2 32 5" xfId="14499"/>
    <cellStyle name="표준 5 3 2 32 5 2" xfId="39851"/>
    <cellStyle name="표준 5 3 2 32 6" xfId="27179"/>
    <cellStyle name="표준 5 3 2 33" xfId="1826"/>
    <cellStyle name="표준 5 3 2 33 2" xfId="1827"/>
    <cellStyle name="표준 5 3 2 33 2 2" xfId="4961"/>
    <cellStyle name="표준 5 3 2 33 2 2 2" xfId="11297"/>
    <cellStyle name="표준 5 3 2 33 2 2 2 2" xfId="23971"/>
    <cellStyle name="표준 5 3 2 33 2 2 2 2 2" xfId="49323"/>
    <cellStyle name="표준 5 3 2 33 2 2 2 3" xfId="36651"/>
    <cellStyle name="표준 5 3 2 33 2 2 3" xfId="17635"/>
    <cellStyle name="표준 5 3 2 33 2 2 3 2" xfId="42987"/>
    <cellStyle name="표준 5 3 2 33 2 2 4" xfId="30315"/>
    <cellStyle name="표준 5 3 2 33 2 3" xfId="8164"/>
    <cellStyle name="표준 5 3 2 33 2 3 2" xfId="20838"/>
    <cellStyle name="표준 5 3 2 33 2 3 2 2" xfId="46190"/>
    <cellStyle name="표준 5 3 2 33 2 3 3" xfId="33518"/>
    <cellStyle name="표준 5 3 2 33 2 4" xfId="14502"/>
    <cellStyle name="표준 5 3 2 33 2 4 2" xfId="39854"/>
    <cellStyle name="표준 5 3 2 33 2 5" xfId="27182"/>
    <cellStyle name="표준 5 3 2 33 3" xfId="4962"/>
    <cellStyle name="표준 5 3 2 33 3 2" xfId="11298"/>
    <cellStyle name="표준 5 3 2 33 3 2 2" xfId="23972"/>
    <cellStyle name="표준 5 3 2 33 3 2 2 2" xfId="49324"/>
    <cellStyle name="표준 5 3 2 33 3 2 3" xfId="36652"/>
    <cellStyle name="표준 5 3 2 33 3 3" xfId="17636"/>
    <cellStyle name="표준 5 3 2 33 3 3 2" xfId="42988"/>
    <cellStyle name="표준 5 3 2 33 3 4" xfId="30316"/>
    <cellStyle name="표준 5 3 2 33 4" xfId="8163"/>
    <cellStyle name="표준 5 3 2 33 4 2" xfId="20837"/>
    <cellStyle name="표준 5 3 2 33 4 2 2" xfId="46189"/>
    <cellStyle name="표준 5 3 2 33 4 3" xfId="33517"/>
    <cellStyle name="표준 5 3 2 33 5" xfId="14501"/>
    <cellStyle name="표준 5 3 2 33 5 2" xfId="39853"/>
    <cellStyle name="표준 5 3 2 33 6" xfId="27181"/>
    <cellStyle name="표준 5 3 2 34" xfId="1828"/>
    <cellStyle name="표준 5 3 2 34 2" xfId="1829"/>
    <cellStyle name="표준 5 3 2 34 2 2" xfId="4963"/>
    <cellStyle name="표준 5 3 2 34 2 2 2" xfId="11299"/>
    <cellStyle name="표준 5 3 2 34 2 2 2 2" xfId="23973"/>
    <cellStyle name="표준 5 3 2 34 2 2 2 2 2" xfId="49325"/>
    <cellStyle name="표준 5 3 2 34 2 2 2 3" xfId="36653"/>
    <cellStyle name="표준 5 3 2 34 2 2 3" xfId="17637"/>
    <cellStyle name="표준 5 3 2 34 2 2 3 2" xfId="42989"/>
    <cellStyle name="표준 5 3 2 34 2 2 4" xfId="30317"/>
    <cellStyle name="표준 5 3 2 34 2 3" xfId="8166"/>
    <cellStyle name="표준 5 3 2 34 2 3 2" xfId="20840"/>
    <cellStyle name="표준 5 3 2 34 2 3 2 2" xfId="46192"/>
    <cellStyle name="표준 5 3 2 34 2 3 3" xfId="33520"/>
    <cellStyle name="표준 5 3 2 34 2 4" xfId="14504"/>
    <cellStyle name="표준 5 3 2 34 2 4 2" xfId="39856"/>
    <cellStyle name="표준 5 3 2 34 2 5" xfId="27184"/>
    <cellStyle name="표준 5 3 2 34 3" xfId="4964"/>
    <cellStyle name="표준 5 3 2 34 3 2" xfId="11300"/>
    <cellStyle name="표준 5 3 2 34 3 2 2" xfId="23974"/>
    <cellStyle name="표준 5 3 2 34 3 2 2 2" xfId="49326"/>
    <cellStyle name="표준 5 3 2 34 3 2 3" xfId="36654"/>
    <cellStyle name="표준 5 3 2 34 3 3" xfId="17638"/>
    <cellStyle name="표준 5 3 2 34 3 3 2" xfId="42990"/>
    <cellStyle name="표준 5 3 2 34 3 4" xfId="30318"/>
    <cellStyle name="표준 5 3 2 34 4" xfId="8165"/>
    <cellStyle name="표준 5 3 2 34 4 2" xfId="20839"/>
    <cellStyle name="표준 5 3 2 34 4 2 2" xfId="46191"/>
    <cellStyle name="표준 5 3 2 34 4 3" xfId="33519"/>
    <cellStyle name="표준 5 3 2 34 5" xfId="14503"/>
    <cellStyle name="표준 5 3 2 34 5 2" xfId="39855"/>
    <cellStyle name="표준 5 3 2 34 6" xfId="27183"/>
    <cellStyle name="표준 5 3 2 35" xfId="1830"/>
    <cellStyle name="표준 5 3 2 35 2" xfId="4965"/>
    <cellStyle name="표준 5 3 2 35 2 2" xfId="11301"/>
    <cellStyle name="표준 5 3 2 35 2 2 2" xfId="23975"/>
    <cellStyle name="표준 5 3 2 35 2 2 2 2" xfId="49327"/>
    <cellStyle name="표준 5 3 2 35 2 2 3" xfId="36655"/>
    <cellStyle name="표준 5 3 2 35 2 3" xfId="17639"/>
    <cellStyle name="표준 5 3 2 35 2 3 2" xfId="42991"/>
    <cellStyle name="표준 5 3 2 35 2 4" xfId="30319"/>
    <cellStyle name="표준 5 3 2 35 3" xfId="8167"/>
    <cellStyle name="표준 5 3 2 35 3 2" xfId="20841"/>
    <cellStyle name="표준 5 3 2 35 3 2 2" xfId="46193"/>
    <cellStyle name="표준 5 3 2 35 3 3" xfId="33521"/>
    <cellStyle name="표준 5 3 2 35 4" xfId="14505"/>
    <cellStyle name="표준 5 3 2 35 4 2" xfId="39857"/>
    <cellStyle name="표준 5 3 2 35 5" xfId="27185"/>
    <cellStyle name="표준 5 3 2 36" xfId="4966"/>
    <cellStyle name="표준 5 3 2 36 2" xfId="11302"/>
    <cellStyle name="표준 5 3 2 36 2 2" xfId="23976"/>
    <cellStyle name="표준 5 3 2 36 2 2 2" xfId="49328"/>
    <cellStyle name="표준 5 3 2 36 2 3" xfId="36656"/>
    <cellStyle name="표준 5 3 2 36 3" xfId="17640"/>
    <cellStyle name="표준 5 3 2 36 3 2" xfId="42992"/>
    <cellStyle name="표준 5 3 2 36 4" xfId="30320"/>
    <cellStyle name="표준 5 3 2 37" xfId="6389"/>
    <cellStyle name="표준 5 3 2 37 2" xfId="19063"/>
    <cellStyle name="표준 5 3 2 37 2 2" xfId="44415"/>
    <cellStyle name="표준 5 3 2 37 3" xfId="31743"/>
    <cellStyle name="표준 5 3 2 38" xfId="12727"/>
    <cellStyle name="표준 5 3 2 38 2" xfId="38079"/>
    <cellStyle name="표준 5 3 2 39" xfId="25407"/>
    <cellStyle name="표준 5 3 2 4" xfId="1831"/>
    <cellStyle name="표준 5 3 2 4 2" xfId="1832"/>
    <cellStyle name="표준 5 3 2 4 2 2" xfId="4967"/>
    <cellStyle name="표준 5 3 2 4 2 2 2" xfId="11303"/>
    <cellStyle name="표준 5 3 2 4 2 2 2 2" xfId="23977"/>
    <cellStyle name="표준 5 3 2 4 2 2 2 2 2" xfId="49329"/>
    <cellStyle name="표준 5 3 2 4 2 2 2 3" xfId="36657"/>
    <cellStyle name="표준 5 3 2 4 2 2 3" xfId="17641"/>
    <cellStyle name="표준 5 3 2 4 2 2 3 2" xfId="42993"/>
    <cellStyle name="표준 5 3 2 4 2 2 4" xfId="30321"/>
    <cellStyle name="표준 5 3 2 4 2 3" xfId="8169"/>
    <cellStyle name="표준 5 3 2 4 2 3 2" xfId="20843"/>
    <cellStyle name="표준 5 3 2 4 2 3 2 2" xfId="46195"/>
    <cellStyle name="표준 5 3 2 4 2 3 3" xfId="33523"/>
    <cellStyle name="표준 5 3 2 4 2 4" xfId="14507"/>
    <cellStyle name="표준 5 3 2 4 2 4 2" xfId="39859"/>
    <cellStyle name="표준 5 3 2 4 2 5" xfId="27187"/>
    <cellStyle name="표준 5 3 2 4 3" xfId="4968"/>
    <cellStyle name="표준 5 3 2 4 3 2" xfId="11304"/>
    <cellStyle name="표준 5 3 2 4 3 2 2" xfId="23978"/>
    <cellStyle name="표준 5 3 2 4 3 2 2 2" xfId="49330"/>
    <cellStyle name="표준 5 3 2 4 3 2 3" xfId="36658"/>
    <cellStyle name="표준 5 3 2 4 3 3" xfId="17642"/>
    <cellStyle name="표준 5 3 2 4 3 3 2" xfId="42994"/>
    <cellStyle name="표준 5 3 2 4 3 4" xfId="30322"/>
    <cellStyle name="표준 5 3 2 4 4" xfId="8168"/>
    <cellStyle name="표준 5 3 2 4 4 2" xfId="20842"/>
    <cellStyle name="표준 5 3 2 4 4 2 2" xfId="46194"/>
    <cellStyle name="표준 5 3 2 4 4 3" xfId="33522"/>
    <cellStyle name="표준 5 3 2 4 5" xfId="14506"/>
    <cellStyle name="표준 5 3 2 4 5 2" xfId="39858"/>
    <cellStyle name="표준 5 3 2 4 6" xfId="27186"/>
    <cellStyle name="표준 5 3 2 5" xfId="1833"/>
    <cellStyle name="표준 5 3 2 5 2" xfId="1834"/>
    <cellStyle name="표준 5 3 2 5 2 2" xfId="4969"/>
    <cellStyle name="표준 5 3 2 5 2 2 2" xfId="11305"/>
    <cellStyle name="표준 5 3 2 5 2 2 2 2" xfId="23979"/>
    <cellStyle name="표준 5 3 2 5 2 2 2 2 2" xfId="49331"/>
    <cellStyle name="표준 5 3 2 5 2 2 2 3" xfId="36659"/>
    <cellStyle name="표준 5 3 2 5 2 2 3" xfId="17643"/>
    <cellStyle name="표준 5 3 2 5 2 2 3 2" xfId="42995"/>
    <cellStyle name="표준 5 3 2 5 2 2 4" xfId="30323"/>
    <cellStyle name="표준 5 3 2 5 2 3" xfId="8171"/>
    <cellStyle name="표준 5 3 2 5 2 3 2" xfId="20845"/>
    <cellStyle name="표준 5 3 2 5 2 3 2 2" xfId="46197"/>
    <cellStyle name="표준 5 3 2 5 2 3 3" xfId="33525"/>
    <cellStyle name="표준 5 3 2 5 2 4" xfId="14509"/>
    <cellStyle name="표준 5 3 2 5 2 4 2" xfId="39861"/>
    <cellStyle name="표준 5 3 2 5 2 5" xfId="27189"/>
    <cellStyle name="표준 5 3 2 5 3" xfId="4970"/>
    <cellStyle name="표준 5 3 2 5 3 2" xfId="11306"/>
    <cellStyle name="표준 5 3 2 5 3 2 2" xfId="23980"/>
    <cellStyle name="표준 5 3 2 5 3 2 2 2" xfId="49332"/>
    <cellStyle name="표준 5 3 2 5 3 2 3" xfId="36660"/>
    <cellStyle name="표준 5 3 2 5 3 3" xfId="17644"/>
    <cellStyle name="표준 5 3 2 5 3 3 2" xfId="42996"/>
    <cellStyle name="표준 5 3 2 5 3 4" xfId="30324"/>
    <cellStyle name="표준 5 3 2 5 4" xfId="8170"/>
    <cellStyle name="표준 5 3 2 5 4 2" xfId="20844"/>
    <cellStyle name="표준 5 3 2 5 4 2 2" xfId="46196"/>
    <cellStyle name="표준 5 3 2 5 4 3" xfId="33524"/>
    <cellStyle name="표준 5 3 2 5 5" xfId="14508"/>
    <cellStyle name="표준 5 3 2 5 5 2" xfId="39860"/>
    <cellStyle name="표준 5 3 2 5 6" xfId="27188"/>
    <cellStyle name="표준 5 3 2 6" xfId="1835"/>
    <cellStyle name="표준 5 3 2 6 2" xfId="1836"/>
    <cellStyle name="표준 5 3 2 6 2 2" xfId="4971"/>
    <cellStyle name="표준 5 3 2 6 2 2 2" xfId="11307"/>
    <cellStyle name="표준 5 3 2 6 2 2 2 2" xfId="23981"/>
    <cellStyle name="표준 5 3 2 6 2 2 2 2 2" xfId="49333"/>
    <cellStyle name="표준 5 3 2 6 2 2 2 3" xfId="36661"/>
    <cellStyle name="표준 5 3 2 6 2 2 3" xfId="17645"/>
    <cellStyle name="표준 5 3 2 6 2 2 3 2" xfId="42997"/>
    <cellStyle name="표준 5 3 2 6 2 2 4" xfId="30325"/>
    <cellStyle name="표준 5 3 2 6 2 3" xfId="8173"/>
    <cellStyle name="표준 5 3 2 6 2 3 2" xfId="20847"/>
    <cellStyle name="표준 5 3 2 6 2 3 2 2" xfId="46199"/>
    <cellStyle name="표준 5 3 2 6 2 3 3" xfId="33527"/>
    <cellStyle name="표준 5 3 2 6 2 4" xfId="14511"/>
    <cellStyle name="표준 5 3 2 6 2 4 2" xfId="39863"/>
    <cellStyle name="표준 5 3 2 6 2 5" xfId="27191"/>
    <cellStyle name="표준 5 3 2 6 3" xfId="4972"/>
    <cellStyle name="표준 5 3 2 6 3 2" xfId="11308"/>
    <cellStyle name="표준 5 3 2 6 3 2 2" xfId="23982"/>
    <cellStyle name="표준 5 3 2 6 3 2 2 2" xfId="49334"/>
    <cellStyle name="표준 5 3 2 6 3 2 3" xfId="36662"/>
    <cellStyle name="표준 5 3 2 6 3 3" xfId="17646"/>
    <cellStyle name="표준 5 3 2 6 3 3 2" xfId="42998"/>
    <cellStyle name="표준 5 3 2 6 3 4" xfId="30326"/>
    <cellStyle name="표준 5 3 2 6 4" xfId="8172"/>
    <cellStyle name="표준 5 3 2 6 4 2" xfId="20846"/>
    <cellStyle name="표준 5 3 2 6 4 2 2" xfId="46198"/>
    <cellStyle name="표준 5 3 2 6 4 3" xfId="33526"/>
    <cellStyle name="표준 5 3 2 6 5" xfId="14510"/>
    <cellStyle name="표준 5 3 2 6 5 2" xfId="39862"/>
    <cellStyle name="표준 5 3 2 6 6" xfId="27190"/>
    <cellStyle name="표준 5 3 2 7" xfId="1837"/>
    <cellStyle name="표준 5 3 2 7 2" xfId="1838"/>
    <cellStyle name="표준 5 3 2 7 2 2" xfId="4973"/>
    <cellStyle name="표준 5 3 2 7 2 2 2" xfId="11309"/>
    <cellStyle name="표준 5 3 2 7 2 2 2 2" xfId="23983"/>
    <cellStyle name="표준 5 3 2 7 2 2 2 2 2" xfId="49335"/>
    <cellStyle name="표준 5 3 2 7 2 2 2 3" xfId="36663"/>
    <cellStyle name="표준 5 3 2 7 2 2 3" xfId="17647"/>
    <cellStyle name="표준 5 3 2 7 2 2 3 2" xfId="42999"/>
    <cellStyle name="표준 5 3 2 7 2 2 4" xfId="30327"/>
    <cellStyle name="표준 5 3 2 7 2 3" xfId="8175"/>
    <cellStyle name="표준 5 3 2 7 2 3 2" xfId="20849"/>
    <cellStyle name="표준 5 3 2 7 2 3 2 2" xfId="46201"/>
    <cellStyle name="표준 5 3 2 7 2 3 3" xfId="33529"/>
    <cellStyle name="표준 5 3 2 7 2 4" xfId="14513"/>
    <cellStyle name="표준 5 3 2 7 2 4 2" xfId="39865"/>
    <cellStyle name="표준 5 3 2 7 2 5" xfId="27193"/>
    <cellStyle name="표준 5 3 2 7 3" xfId="4974"/>
    <cellStyle name="표준 5 3 2 7 3 2" xfId="11310"/>
    <cellStyle name="표준 5 3 2 7 3 2 2" xfId="23984"/>
    <cellStyle name="표준 5 3 2 7 3 2 2 2" xfId="49336"/>
    <cellStyle name="표준 5 3 2 7 3 2 3" xfId="36664"/>
    <cellStyle name="표준 5 3 2 7 3 3" xfId="17648"/>
    <cellStyle name="표준 5 3 2 7 3 3 2" xfId="43000"/>
    <cellStyle name="표준 5 3 2 7 3 4" xfId="30328"/>
    <cellStyle name="표준 5 3 2 7 4" xfId="8174"/>
    <cellStyle name="표준 5 3 2 7 4 2" xfId="20848"/>
    <cellStyle name="표준 5 3 2 7 4 2 2" xfId="46200"/>
    <cellStyle name="표준 5 3 2 7 4 3" xfId="33528"/>
    <cellStyle name="표준 5 3 2 7 5" xfId="14512"/>
    <cellStyle name="표준 5 3 2 7 5 2" xfId="39864"/>
    <cellStyle name="표준 5 3 2 7 6" xfId="27192"/>
    <cellStyle name="표준 5 3 2 8" xfId="1839"/>
    <cellStyle name="표준 5 3 2 8 2" xfId="1840"/>
    <cellStyle name="표준 5 3 2 8 2 2" xfId="4975"/>
    <cellStyle name="표준 5 3 2 8 2 2 2" xfId="11311"/>
    <cellStyle name="표준 5 3 2 8 2 2 2 2" xfId="23985"/>
    <cellStyle name="표준 5 3 2 8 2 2 2 2 2" xfId="49337"/>
    <cellStyle name="표준 5 3 2 8 2 2 2 3" xfId="36665"/>
    <cellStyle name="표준 5 3 2 8 2 2 3" xfId="17649"/>
    <cellStyle name="표준 5 3 2 8 2 2 3 2" xfId="43001"/>
    <cellStyle name="표준 5 3 2 8 2 2 4" xfId="30329"/>
    <cellStyle name="표준 5 3 2 8 2 3" xfId="8177"/>
    <cellStyle name="표준 5 3 2 8 2 3 2" xfId="20851"/>
    <cellStyle name="표준 5 3 2 8 2 3 2 2" xfId="46203"/>
    <cellStyle name="표준 5 3 2 8 2 3 3" xfId="33531"/>
    <cellStyle name="표준 5 3 2 8 2 4" xfId="14515"/>
    <cellStyle name="표준 5 3 2 8 2 4 2" xfId="39867"/>
    <cellStyle name="표준 5 3 2 8 2 5" xfId="27195"/>
    <cellStyle name="표준 5 3 2 8 3" xfId="4976"/>
    <cellStyle name="표준 5 3 2 8 3 2" xfId="11312"/>
    <cellStyle name="표준 5 3 2 8 3 2 2" xfId="23986"/>
    <cellStyle name="표준 5 3 2 8 3 2 2 2" xfId="49338"/>
    <cellStyle name="표준 5 3 2 8 3 2 3" xfId="36666"/>
    <cellStyle name="표준 5 3 2 8 3 3" xfId="17650"/>
    <cellStyle name="표준 5 3 2 8 3 3 2" xfId="43002"/>
    <cellStyle name="표준 5 3 2 8 3 4" xfId="30330"/>
    <cellStyle name="표준 5 3 2 8 4" xfId="8176"/>
    <cellStyle name="표준 5 3 2 8 4 2" xfId="20850"/>
    <cellStyle name="표준 5 3 2 8 4 2 2" xfId="46202"/>
    <cellStyle name="표준 5 3 2 8 4 3" xfId="33530"/>
    <cellStyle name="표준 5 3 2 8 5" xfId="14514"/>
    <cellStyle name="표준 5 3 2 8 5 2" xfId="39866"/>
    <cellStyle name="표준 5 3 2 8 6" xfId="27194"/>
    <cellStyle name="표준 5 3 2 9" xfId="1841"/>
    <cellStyle name="표준 5 3 2 9 2" xfId="1842"/>
    <cellStyle name="표준 5 3 2 9 2 2" xfId="4977"/>
    <cellStyle name="표준 5 3 2 9 2 2 2" xfId="11313"/>
    <cellStyle name="표준 5 3 2 9 2 2 2 2" xfId="23987"/>
    <cellStyle name="표준 5 3 2 9 2 2 2 2 2" xfId="49339"/>
    <cellStyle name="표준 5 3 2 9 2 2 2 3" xfId="36667"/>
    <cellStyle name="표준 5 3 2 9 2 2 3" xfId="17651"/>
    <cellStyle name="표준 5 3 2 9 2 2 3 2" xfId="43003"/>
    <cellStyle name="표준 5 3 2 9 2 2 4" xfId="30331"/>
    <cellStyle name="표준 5 3 2 9 2 3" xfId="8179"/>
    <cellStyle name="표준 5 3 2 9 2 3 2" xfId="20853"/>
    <cellStyle name="표준 5 3 2 9 2 3 2 2" xfId="46205"/>
    <cellStyle name="표준 5 3 2 9 2 3 3" xfId="33533"/>
    <cellStyle name="표준 5 3 2 9 2 4" xfId="14517"/>
    <cellStyle name="표준 5 3 2 9 2 4 2" xfId="39869"/>
    <cellStyle name="표준 5 3 2 9 2 5" xfId="27197"/>
    <cellStyle name="표준 5 3 2 9 3" xfId="4978"/>
    <cellStyle name="표준 5 3 2 9 3 2" xfId="11314"/>
    <cellStyle name="표준 5 3 2 9 3 2 2" xfId="23988"/>
    <cellStyle name="표준 5 3 2 9 3 2 2 2" xfId="49340"/>
    <cellStyle name="표준 5 3 2 9 3 2 3" xfId="36668"/>
    <cellStyle name="표준 5 3 2 9 3 3" xfId="17652"/>
    <cellStyle name="표준 5 3 2 9 3 3 2" xfId="43004"/>
    <cellStyle name="표준 5 3 2 9 3 4" xfId="30332"/>
    <cellStyle name="표준 5 3 2 9 4" xfId="8178"/>
    <cellStyle name="표준 5 3 2 9 4 2" xfId="20852"/>
    <cellStyle name="표준 5 3 2 9 4 2 2" xfId="46204"/>
    <cellStyle name="표준 5 3 2 9 4 3" xfId="33532"/>
    <cellStyle name="표준 5 3 2 9 5" xfId="14516"/>
    <cellStyle name="표준 5 3 2 9 5 2" xfId="39868"/>
    <cellStyle name="표준 5 3 2 9 6" xfId="27196"/>
    <cellStyle name="표준 5 3 20" xfId="1843"/>
    <cellStyle name="표준 5 3 20 2" xfId="1844"/>
    <cellStyle name="표준 5 3 20 2 2" xfId="4979"/>
    <cellStyle name="표준 5 3 20 2 2 2" xfId="11315"/>
    <cellStyle name="표준 5 3 20 2 2 2 2" xfId="23989"/>
    <cellStyle name="표준 5 3 20 2 2 2 2 2" xfId="49341"/>
    <cellStyle name="표준 5 3 20 2 2 2 3" xfId="36669"/>
    <cellStyle name="표준 5 3 20 2 2 3" xfId="17653"/>
    <cellStyle name="표준 5 3 20 2 2 3 2" xfId="43005"/>
    <cellStyle name="표준 5 3 20 2 2 4" xfId="30333"/>
    <cellStyle name="표준 5 3 20 2 3" xfId="8181"/>
    <cellStyle name="표준 5 3 20 2 3 2" xfId="20855"/>
    <cellStyle name="표준 5 3 20 2 3 2 2" xfId="46207"/>
    <cellStyle name="표준 5 3 20 2 3 3" xfId="33535"/>
    <cellStyle name="표준 5 3 20 2 4" xfId="14519"/>
    <cellStyle name="표준 5 3 20 2 4 2" xfId="39871"/>
    <cellStyle name="표준 5 3 20 2 5" xfId="27199"/>
    <cellStyle name="표준 5 3 20 3" xfId="4980"/>
    <cellStyle name="표준 5 3 20 3 2" xfId="11316"/>
    <cellStyle name="표준 5 3 20 3 2 2" xfId="23990"/>
    <cellStyle name="표준 5 3 20 3 2 2 2" xfId="49342"/>
    <cellStyle name="표준 5 3 20 3 2 3" xfId="36670"/>
    <cellStyle name="표준 5 3 20 3 3" xfId="17654"/>
    <cellStyle name="표준 5 3 20 3 3 2" xfId="43006"/>
    <cellStyle name="표준 5 3 20 3 4" xfId="30334"/>
    <cellStyle name="표준 5 3 20 4" xfId="8180"/>
    <cellStyle name="표준 5 3 20 4 2" xfId="20854"/>
    <cellStyle name="표준 5 3 20 4 2 2" xfId="46206"/>
    <cellStyle name="표준 5 3 20 4 3" xfId="33534"/>
    <cellStyle name="표준 5 3 20 5" xfId="14518"/>
    <cellStyle name="표준 5 3 20 5 2" xfId="39870"/>
    <cellStyle name="표준 5 3 20 6" xfId="27198"/>
    <cellStyle name="표준 5 3 21" xfId="1845"/>
    <cellStyle name="표준 5 3 21 2" xfId="1846"/>
    <cellStyle name="표준 5 3 21 2 2" xfId="4981"/>
    <cellStyle name="표준 5 3 21 2 2 2" xfId="11317"/>
    <cellStyle name="표준 5 3 21 2 2 2 2" xfId="23991"/>
    <cellStyle name="표준 5 3 21 2 2 2 2 2" xfId="49343"/>
    <cellStyle name="표준 5 3 21 2 2 2 3" xfId="36671"/>
    <cellStyle name="표준 5 3 21 2 2 3" xfId="17655"/>
    <cellStyle name="표준 5 3 21 2 2 3 2" xfId="43007"/>
    <cellStyle name="표준 5 3 21 2 2 4" xfId="30335"/>
    <cellStyle name="표준 5 3 21 2 3" xfId="8183"/>
    <cellStyle name="표준 5 3 21 2 3 2" xfId="20857"/>
    <cellStyle name="표준 5 3 21 2 3 2 2" xfId="46209"/>
    <cellStyle name="표준 5 3 21 2 3 3" xfId="33537"/>
    <cellStyle name="표준 5 3 21 2 4" xfId="14521"/>
    <cellStyle name="표준 5 3 21 2 4 2" xfId="39873"/>
    <cellStyle name="표준 5 3 21 2 5" xfId="27201"/>
    <cellStyle name="표준 5 3 21 3" xfId="4982"/>
    <cellStyle name="표준 5 3 21 3 2" xfId="11318"/>
    <cellStyle name="표준 5 3 21 3 2 2" xfId="23992"/>
    <cellStyle name="표준 5 3 21 3 2 2 2" xfId="49344"/>
    <cellStyle name="표준 5 3 21 3 2 3" xfId="36672"/>
    <cellStyle name="표준 5 3 21 3 3" xfId="17656"/>
    <cellStyle name="표준 5 3 21 3 3 2" xfId="43008"/>
    <cellStyle name="표준 5 3 21 3 4" xfId="30336"/>
    <cellStyle name="표준 5 3 21 4" xfId="8182"/>
    <cellStyle name="표준 5 3 21 4 2" xfId="20856"/>
    <cellStyle name="표준 5 3 21 4 2 2" xfId="46208"/>
    <cellStyle name="표준 5 3 21 4 3" xfId="33536"/>
    <cellStyle name="표준 5 3 21 5" xfId="14520"/>
    <cellStyle name="표준 5 3 21 5 2" xfId="39872"/>
    <cellStyle name="표준 5 3 21 6" xfId="27200"/>
    <cellStyle name="표준 5 3 22" xfId="1847"/>
    <cellStyle name="표준 5 3 22 2" xfId="1848"/>
    <cellStyle name="표준 5 3 22 2 2" xfId="4983"/>
    <cellStyle name="표준 5 3 22 2 2 2" xfId="11319"/>
    <cellStyle name="표준 5 3 22 2 2 2 2" xfId="23993"/>
    <cellStyle name="표준 5 3 22 2 2 2 2 2" xfId="49345"/>
    <cellStyle name="표준 5 3 22 2 2 2 3" xfId="36673"/>
    <cellStyle name="표준 5 3 22 2 2 3" xfId="17657"/>
    <cellStyle name="표준 5 3 22 2 2 3 2" xfId="43009"/>
    <cellStyle name="표준 5 3 22 2 2 4" xfId="30337"/>
    <cellStyle name="표준 5 3 22 2 3" xfId="8185"/>
    <cellStyle name="표준 5 3 22 2 3 2" xfId="20859"/>
    <cellStyle name="표준 5 3 22 2 3 2 2" xfId="46211"/>
    <cellStyle name="표준 5 3 22 2 3 3" xfId="33539"/>
    <cellStyle name="표준 5 3 22 2 4" xfId="14523"/>
    <cellStyle name="표준 5 3 22 2 4 2" xfId="39875"/>
    <cellStyle name="표준 5 3 22 2 5" xfId="27203"/>
    <cellStyle name="표준 5 3 22 3" xfId="4984"/>
    <cellStyle name="표준 5 3 22 3 2" xfId="11320"/>
    <cellStyle name="표준 5 3 22 3 2 2" xfId="23994"/>
    <cellStyle name="표준 5 3 22 3 2 2 2" xfId="49346"/>
    <cellStyle name="표준 5 3 22 3 2 3" xfId="36674"/>
    <cellStyle name="표준 5 3 22 3 3" xfId="17658"/>
    <cellStyle name="표준 5 3 22 3 3 2" xfId="43010"/>
    <cellStyle name="표준 5 3 22 3 4" xfId="30338"/>
    <cellStyle name="표준 5 3 22 4" xfId="8184"/>
    <cellStyle name="표준 5 3 22 4 2" xfId="20858"/>
    <cellStyle name="표준 5 3 22 4 2 2" xfId="46210"/>
    <cellStyle name="표준 5 3 22 4 3" xfId="33538"/>
    <cellStyle name="표준 5 3 22 5" xfId="14522"/>
    <cellStyle name="표준 5 3 22 5 2" xfId="39874"/>
    <cellStyle name="표준 5 3 22 6" xfId="27202"/>
    <cellStyle name="표준 5 3 23" xfId="1849"/>
    <cellStyle name="표준 5 3 23 2" xfId="1850"/>
    <cellStyle name="표준 5 3 23 2 2" xfId="4985"/>
    <cellStyle name="표준 5 3 23 2 2 2" xfId="11321"/>
    <cellStyle name="표준 5 3 23 2 2 2 2" xfId="23995"/>
    <cellStyle name="표준 5 3 23 2 2 2 2 2" xfId="49347"/>
    <cellStyle name="표준 5 3 23 2 2 2 3" xfId="36675"/>
    <cellStyle name="표준 5 3 23 2 2 3" xfId="17659"/>
    <cellStyle name="표준 5 3 23 2 2 3 2" xfId="43011"/>
    <cellStyle name="표준 5 3 23 2 2 4" xfId="30339"/>
    <cellStyle name="표준 5 3 23 2 3" xfId="8187"/>
    <cellStyle name="표준 5 3 23 2 3 2" xfId="20861"/>
    <cellStyle name="표준 5 3 23 2 3 2 2" xfId="46213"/>
    <cellStyle name="표준 5 3 23 2 3 3" xfId="33541"/>
    <cellStyle name="표준 5 3 23 2 4" xfId="14525"/>
    <cellStyle name="표준 5 3 23 2 4 2" xfId="39877"/>
    <cellStyle name="표준 5 3 23 2 5" xfId="27205"/>
    <cellStyle name="표준 5 3 23 3" xfId="4986"/>
    <cellStyle name="표준 5 3 23 3 2" xfId="11322"/>
    <cellStyle name="표준 5 3 23 3 2 2" xfId="23996"/>
    <cellStyle name="표준 5 3 23 3 2 2 2" xfId="49348"/>
    <cellStyle name="표준 5 3 23 3 2 3" xfId="36676"/>
    <cellStyle name="표준 5 3 23 3 3" xfId="17660"/>
    <cellStyle name="표준 5 3 23 3 3 2" xfId="43012"/>
    <cellStyle name="표준 5 3 23 3 4" xfId="30340"/>
    <cellStyle name="표준 5 3 23 4" xfId="8186"/>
    <cellStyle name="표준 5 3 23 4 2" xfId="20860"/>
    <cellStyle name="표준 5 3 23 4 2 2" xfId="46212"/>
    <cellStyle name="표준 5 3 23 4 3" xfId="33540"/>
    <cellStyle name="표준 5 3 23 5" xfId="14524"/>
    <cellStyle name="표준 5 3 23 5 2" xfId="39876"/>
    <cellStyle name="표준 5 3 23 6" xfId="27204"/>
    <cellStyle name="표준 5 3 24" xfId="1851"/>
    <cellStyle name="표준 5 3 24 2" xfId="1852"/>
    <cellStyle name="표준 5 3 24 2 2" xfId="4987"/>
    <cellStyle name="표준 5 3 24 2 2 2" xfId="11323"/>
    <cellStyle name="표준 5 3 24 2 2 2 2" xfId="23997"/>
    <cellStyle name="표준 5 3 24 2 2 2 2 2" xfId="49349"/>
    <cellStyle name="표준 5 3 24 2 2 2 3" xfId="36677"/>
    <cellStyle name="표준 5 3 24 2 2 3" xfId="17661"/>
    <cellStyle name="표준 5 3 24 2 2 3 2" xfId="43013"/>
    <cellStyle name="표준 5 3 24 2 2 4" xfId="30341"/>
    <cellStyle name="표준 5 3 24 2 3" xfId="8189"/>
    <cellStyle name="표준 5 3 24 2 3 2" xfId="20863"/>
    <cellStyle name="표준 5 3 24 2 3 2 2" xfId="46215"/>
    <cellStyle name="표준 5 3 24 2 3 3" xfId="33543"/>
    <cellStyle name="표준 5 3 24 2 4" xfId="14527"/>
    <cellStyle name="표준 5 3 24 2 4 2" xfId="39879"/>
    <cellStyle name="표준 5 3 24 2 5" xfId="27207"/>
    <cellStyle name="표준 5 3 24 3" xfId="4988"/>
    <cellStyle name="표준 5 3 24 3 2" xfId="11324"/>
    <cellStyle name="표준 5 3 24 3 2 2" xfId="23998"/>
    <cellStyle name="표준 5 3 24 3 2 2 2" xfId="49350"/>
    <cellStyle name="표준 5 3 24 3 2 3" xfId="36678"/>
    <cellStyle name="표준 5 3 24 3 3" xfId="17662"/>
    <cellStyle name="표준 5 3 24 3 3 2" xfId="43014"/>
    <cellStyle name="표준 5 3 24 3 4" xfId="30342"/>
    <cellStyle name="표준 5 3 24 4" xfId="8188"/>
    <cellStyle name="표준 5 3 24 4 2" xfId="20862"/>
    <cellStyle name="표준 5 3 24 4 2 2" xfId="46214"/>
    <cellStyle name="표준 5 3 24 4 3" xfId="33542"/>
    <cellStyle name="표준 5 3 24 5" xfId="14526"/>
    <cellStyle name="표준 5 3 24 5 2" xfId="39878"/>
    <cellStyle name="표준 5 3 24 6" xfId="27206"/>
    <cellStyle name="표준 5 3 25" xfId="1853"/>
    <cellStyle name="표준 5 3 25 2" xfId="1854"/>
    <cellStyle name="표준 5 3 25 2 2" xfId="4989"/>
    <cellStyle name="표준 5 3 25 2 2 2" xfId="11325"/>
    <cellStyle name="표준 5 3 25 2 2 2 2" xfId="23999"/>
    <cellStyle name="표준 5 3 25 2 2 2 2 2" xfId="49351"/>
    <cellStyle name="표준 5 3 25 2 2 2 3" xfId="36679"/>
    <cellStyle name="표준 5 3 25 2 2 3" xfId="17663"/>
    <cellStyle name="표준 5 3 25 2 2 3 2" xfId="43015"/>
    <cellStyle name="표준 5 3 25 2 2 4" xfId="30343"/>
    <cellStyle name="표준 5 3 25 2 3" xfId="8191"/>
    <cellStyle name="표준 5 3 25 2 3 2" xfId="20865"/>
    <cellStyle name="표준 5 3 25 2 3 2 2" xfId="46217"/>
    <cellStyle name="표준 5 3 25 2 3 3" xfId="33545"/>
    <cellStyle name="표준 5 3 25 2 4" xfId="14529"/>
    <cellStyle name="표준 5 3 25 2 4 2" xfId="39881"/>
    <cellStyle name="표준 5 3 25 2 5" xfId="27209"/>
    <cellStyle name="표준 5 3 25 3" xfId="4990"/>
    <cellStyle name="표준 5 3 25 3 2" xfId="11326"/>
    <cellStyle name="표준 5 3 25 3 2 2" xfId="24000"/>
    <cellStyle name="표준 5 3 25 3 2 2 2" xfId="49352"/>
    <cellStyle name="표준 5 3 25 3 2 3" xfId="36680"/>
    <cellStyle name="표준 5 3 25 3 3" xfId="17664"/>
    <cellStyle name="표준 5 3 25 3 3 2" xfId="43016"/>
    <cellStyle name="표준 5 3 25 3 4" xfId="30344"/>
    <cellStyle name="표준 5 3 25 4" xfId="8190"/>
    <cellStyle name="표준 5 3 25 4 2" xfId="20864"/>
    <cellStyle name="표준 5 3 25 4 2 2" xfId="46216"/>
    <cellStyle name="표준 5 3 25 4 3" xfId="33544"/>
    <cellStyle name="표준 5 3 25 5" xfId="14528"/>
    <cellStyle name="표준 5 3 25 5 2" xfId="39880"/>
    <cellStyle name="표준 5 3 25 6" xfId="27208"/>
    <cellStyle name="표준 5 3 26" xfId="1855"/>
    <cellStyle name="표준 5 3 26 2" xfId="1856"/>
    <cellStyle name="표준 5 3 26 2 2" xfId="4991"/>
    <cellStyle name="표준 5 3 26 2 2 2" xfId="11327"/>
    <cellStyle name="표준 5 3 26 2 2 2 2" xfId="24001"/>
    <cellStyle name="표준 5 3 26 2 2 2 2 2" xfId="49353"/>
    <cellStyle name="표준 5 3 26 2 2 2 3" xfId="36681"/>
    <cellStyle name="표준 5 3 26 2 2 3" xfId="17665"/>
    <cellStyle name="표준 5 3 26 2 2 3 2" xfId="43017"/>
    <cellStyle name="표준 5 3 26 2 2 4" xfId="30345"/>
    <cellStyle name="표준 5 3 26 2 3" xfId="8193"/>
    <cellStyle name="표준 5 3 26 2 3 2" xfId="20867"/>
    <cellStyle name="표준 5 3 26 2 3 2 2" xfId="46219"/>
    <cellStyle name="표준 5 3 26 2 3 3" xfId="33547"/>
    <cellStyle name="표준 5 3 26 2 4" xfId="14531"/>
    <cellStyle name="표준 5 3 26 2 4 2" xfId="39883"/>
    <cellStyle name="표준 5 3 26 2 5" xfId="27211"/>
    <cellStyle name="표준 5 3 26 3" xfId="4992"/>
    <cellStyle name="표준 5 3 26 3 2" xfId="11328"/>
    <cellStyle name="표준 5 3 26 3 2 2" xfId="24002"/>
    <cellStyle name="표준 5 3 26 3 2 2 2" xfId="49354"/>
    <cellStyle name="표준 5 3 26 3 2 3" xfId="36682"/>
    <cellStyle name="표준 5 3 26 3 3" xfId="17666"/>
    <cellStyle name="표준 5 3 26 3 3 2" xfId="43018"/>
    <cellStyle name="표준 5 3 26 3 4" xfId="30346"/>
    <cellStyle name="표준 5 3 26 4" xfId="8192"/>
    <cellStyle name="표준 5 3 26 4 2" xfId="20866"/>
    <cellStyle name="표준 5 3 26 4 2 2" xfId="46218"/>
    <cellStyle name="표준 5 3 26 4 3" xfId="33546"/>
    <cellStyle name="표준 5 3 26 5" xfId="14530"/>
    <cellStyle name="표준 5 3 26 5 2" xfId="39882"/>
    <cellStyle name="표준 5 3 26 6" xfId="27210"/>
    <cellStyle name="표준 5 3 27" xfId="1857"/>
    <cellStyle name="표준 5 3 27 2" xfId="1858"/>
    <cellStyle name="표준 5 3 27 2 2" xfId="4993"/>
    <cellStyle name="표준 5 3 27 2 2 2" xfId="11329"/>
    <cellStyle name="표준 5 3 27 2 2 2 2" xfId="24003"/>
    <cellStyle name="표준 5 3 27 2 2 2 2 2" xfId="49355"/>
    <cellStyle name="표준 5 3 27 2 2 2 3" xfId="36683"/>
    <cellStyle name="표준 5 3 27 2 2 3" xfId="17667"/>
    <cellStyle name="표준 5 3 27 2 2 3 2" xfId="43019"/>
    <cellStyle name="표준 5 3 27 2 2 4" xfId="30347"/>
    <cellStyle name="표준 5 3 27 2 3" xfId="8195"/>
    <cellStyle name="표준 5 3 27 2 3 2" xfId="20869"/>
    <cellStyle name="표준 5 3 27 2 3 2 2" xfId="46221"/>
    <cellStyle name="표준 5 3 27 2 3 3" xfId="33549"/>
    <cellStyle name="표준 5 3 27 2 4" xfId="14533"/>
    <cellStyle name="표준 5 3 27 2 4 2" xfId="39885"/>
    <cellStyle name="표준 5 3 27 2 5" xfId="27213"/>
    <cellStyle name="표준 5 3 27 3" xfId="4994"/>
    <cellStyle name="표준 5 3 27 3 2" xfId="11330"/>
    <cellStyle name="표준 5 3 27 3 2 2" xfId="24004"/>
    <cellStyle name="표준 5 3 27 3 2 2 2" xfId="49356"/>
    <cellStyle name="표준 5 3 27 3 2 3" xfId="36684"/>
    <cellStyle name="표준 5 3 27 3 3" xfId="17668"/>
    <cellStyle name="표준 5 3 27 3 3 2" xfId="43020"/>
    <cellStyle name="표준 5 3 27 3 4" xfId="30348"/>
    <cellStyle name="표준 5 3 27 4" xfId="8194"/>
    <cellStyle name="표준 5 3 27 4 2" xfId="20868"/>
    <cellStyle name="표준 5 3 27 4 2 2" xfId="46220"/>
    <cellStyle name="표준 5 3 27 4 3" xfId="33548"/>
    <cellStyle name="표준 5 3 27 5" xfId="14532"/>
    <cellStyle name="표준 5 3 27 5 2" xfId="39884"/>
    <cellStyle name="표준 5 3 27 6" xfId="27212"/>
    <cellStyle name="표준 5 3 28" xfId="1859"/>
    <cellStyle name="표준 5 3 28 2" xfId="1860"/>
    <cellStyle name="표준 5 3 28 2 2" xfId="4995"/>
    <cellStyle name="표준 5 3 28 2 2 2" xfId="11331"/>
    <cellStyle name="표준 5 3 28 2 2 2 2" xfId="24005"/>
    <cellStyle name="표준 5 3 28 2 2 2 2 2" xfId="49357"/>
    <cellStyle name="표준 5 3 28 2 2 2 3" xfId="36685"/>
    <cellStyle name="표준 5 3 28 2 2 3" xfId="17669"/>
    <cellStyle name="표준 5 3 28 2 2 3 2" xfId="43021"/>
    <cellStyle name="표준 5 3 28 2 2 4" xfId="30349"/>
    <cellStyle name="표준 5 3 28 2 3" xfId="8197"/>
    <cellStyle name="표준 5 3 28 2 3 2" xfId="20871"/>
    <cellStyle name="표준 5 3 28 2 3 2 2" xfId="46223"/>
    <cellStyle name="표준 5 3 28 2 3 3" xfId="33551"/>
    <cellStyle name="표준 5 3 28 2 4" xfId="14535"/>
    <cellStyle name="표준 5 3 28 2 4 2" xfId="39887"/>
    <cellStyle name="표준 5 3 28 2 5" xfId="27215"/>
    <cellStyle name="표준 5 3 28 3" xfId="4996"/>
    <cellStyle name="표준 5 3 28 3 2" xfId="11332"/>
    <cellStyle name="표준 5 3 28 3 2 2" xfId="24006"/>
    <cellStyle name="표준 5 3 28 3 2 2 2" xfId="49358"/>
    <cellStyle name="표준 5 3 28 3 2 3" xfId="36686"/>
    <cellStyle name="표준 5 3 28 3 3" xfId="17670"/>
    <cellStyle name="표준 5 3 28 3 3 2" xfId="43022"/>
    <cellStyle name="표준 5 3 28 3 4" xfId="30350"/>
    <cellStyle name="표준 5 3 28 4" xfId="8196"/>
    <cellStyle name="표준 5 3 28 4 2" xfId="20870"/>
    <cellStyle name="표준 5 3 28 4 2 2" xfId="46222"/>
    <cellStyle name="표준 5 3 28 4 3" xfId="33550"/>
    <cellStyle name="표준 5 3 28 5" xfId="14534"/>
    <cellStyle name="표준 5 3 28 5 2" xfId="39886"/>
    <cellStyle name="표준 5 3 28 6" xfId="27214"/>
    <cellStyle name="표준 5 3 29" xfId="1861"/>
    <cellStyle name="표준 5 3 29 2" xfId="1862"/>
    <cellStyle name="표준 5 3 29 2 2" xfId="4997"/>
    <cellStyle name="표준 5 3 29 2 2 2" xfId="11333"/>
    <cellStyle name="표준 5 3 29 2 2 2 2" xfId="24007"/>
    <cellStyle name="표준 5 3 29 2 2 2 2 2" xfId="49359"/>
    <cellStyle name="표준 5 3 29 2 2 2 3" xfId="36687"/>
    <cellStyle name="표준 5 3 29 2 2 3" xfId="17671"/>
    <cellStyle name="표준 5 3 29 2 2 3 2" xfId="43023"/>
    <cellStyle name="표준 5 3 29 2 2 4" xfId="30351"/>
    <cellStyle name="표준 5 3 29 2 3" xfId="8199"/>
    <cellStyle name="표준 5 3 29 2 3 2" xfId="20873"/>
    <cellStyle name="표준 5 3 29 2 3 2 2" xfId="46225"/>
    <cellStyle name="표준 5 3 29 2 3 3" xfId="33553"/>
    <cellStyle name="표준 5 3 29 2 4" xfId="14537"/>
    <cellStyle name="표준 5 3 29 2 4 2" xfId="39889"/>
    <cellStyle name="표준 5 3 29 2 5" xfId="27217"/>
    <cellStyle name="표준 5 3 29 3" xfId="4998"/>
    <cellStyle name="표준 5 3 29 3 2" xfId="11334"/>
    <cellStyle name="표준 5 3 29 3 2 2" xfId="24008"/>
    <cellStyle name="표준 5 3 29 3 2 2 2" xfId="49360"/>
    <cellStyle name="표준 5 3 29 3 2 3" xfId="36688"/>
    <cellStyle name="표준 5 3 29 3 3" xfId="17672"/>
    <cellStyle name="표준 5 3 29 3 3 2" xfId="43024"/>
    <cellStyle name="표준 5 3 29 3 4" xfId="30352"/>
    <cellStyle name="표준 5 3 29 4" xfId="8198"/>
    <cellStyle name="표준 5 3 29 4 2" xfId="20872"/>
    <cellStyle name="표준 5 3 29 4 2 2" xfId="46224"/>
    <cellStyle name="표준 5 3 29 4 3" xfId="33552"/>
    <cellStyle name="표준 5 3 29 5" xfId="14536"/>
    <cellStyle name="표준 5 3 29 5 2" xfId="39888"/>
    <cellStyle name="표준 5 3 29 6" xfId="27216"/>
    <cellStyle name="표준 5 3 3" xfId="83"/>
    <cellStyle name="표준 5 3 3 10" xfId="1863"/>
    <cellStyle name="표준 5 3 3 10 2" xfId="1864"/>
    <cellStyle name="표준 5 3 3 10 2 2" xfId="4999"/>
    <cellStyle name="표준 5 3 3 10 2 2 2" xfId="11335"/>
    <cellStyle name="표준 5 3 3 10 2 2 2 2" xfId="24009"/>
    <cellStyle name="표준 5 3 3 10 2 2 2 2 2" xfId="49361"/>
    <cellStyle name="표준 5 3 3 10 2 2 2 3" xfId="36689"/>
    <cellStyle name="표준 5 3 3 10 2 2 3" xfId="17673"/>
    <cellStyle name="표준 5 3 3 10 2 2 3 2" xfId="43025"/>
    <cellStyle name="표준 5 3 3 10 2 2 4" xfId="30353"/>
    <cellStyle name="표준 5 3 3 10 2 3" xfId="8201"/>
    <cellStyle name="표준 5 3 3 10 2 3 2" xfId="20875"/>
    <cellStyle name="표준 5 3 3 10 2 3 2 2" xfId="46227"/>
    <cellStyle name="표준 5 3 3 10 2 3 3" xfId="33555"/>
    <cellStyle name="표준 5 3 3 10 2 4" xfId="14539"/>
    <cellStyle name="표준 5 3 3 10 2 4 2" xfId="39891"/>
    <cellStyle name="표준 5 3 3 10 2 5" xfId="27219"/>
    <cellStyle name="표준 5 3 3 10 3" xfId="5000"/>
    <cellStyle name="표준 5 3 3 10 3 2" xfId="11336"/>
    <cellStyle name="표준 5 3 3 10 3 2 2" xfId="24010"/>
    <cellStyle name="표준 5 3 3 10 3 2 2 2" xfId="49362"/>
    <cellStyle name="표준 5 3 3 10 3 2 3" xfId="36690"/>
    <cellStyle name="표준 5 3 3 10 3 3" xfId="17674"/>
    <cellStyle name="표준 5 3 3 10 3 3 2" xfId="43026"/>
    <cellStyle name="표준 5 3 3 10 3 4" xfId="30354"/>
    <cellStyle name="표준 5 3 3 10 4" xfId="8200"/>
    <cellStyle name="표준 5 3 3 10 4 2" xfId="20874"/>
    <cellStyle name="표준 5 3 3 10 4 2 2" xfId="46226"/>
    <cellStyle name="표준 5 3 3 10 4 3" xfId="33554"/>
    <cellStyle name="표준 5 3 3 10 5" xfId="14538"/>
    <cellStyle name="표준 5 3 3 10 5 2" xfId="39890"/>
    <cellStyle name="표준 5 3 3 10 6" xfId="27218"/>
    <cellStyle name="표준 5 3 3 11" xfId="1865"/>
    <cellStyle name="표준 5 3 3 11 2" xfId="1866"/>
    <cellStyle name="표준 5 3 3 11 2 2" xfId="5001"/>
    <cellStyle name="표준 5 3 3 11 2 2 2" xfId="11337"/>
    <cellStyle name="표준 5 3 3 11 2 2 2 2" xfId="24011"/>
    <cellStyle name="표준 5 3 3 11 2 2 2 2 2" xfId="49363"/>
    <cellStyle name="표준 5 3 3 11 2 2 2 3" xfId="36691"/>
    <cellStyle name="표준 5 3 3 11 2 2 3" xfId="17675"/>
    <cellStyle name="표준 5 3 3 11 2 2 3 2" xfId="43027"/>
    <cellStyle name="표준 5 3 3 11 2 2 4" xfId="30355"/>
    <cellStyle name="표준 5 3 3 11 2 3" xfId="8203"/>
    <cellStyle name="표준 5 3 3 11 2 3 2" xfId="20877"/>
    <cellStyle name="표준 5 3 3 11 2 3 2 2" xfId="46229"/>
    <cellStyle name="표준 5 3 3 11 2 3 3" xfId="33557"/>
    <cellStyle name="표준 5 3 3 11 2 4" xfId="14541"/>
    <cellStyle name="표준 5 3 3 11 2 4 2" xfId="39893"/>
    <cellStyle name="표준 5 3 3 11 2 5" xfId="27221"/>
    <cellStyle name="표준 5 3 3 11 3" xfId="5002"/>
    <cellStyle name="표준 5 3 3 11 3 2" xfId="11338"/>
    <cellStyle name="표준 5 3 3 11 3 2 2" xfId="24012"/>
    <cellStyle name="표준 5 3 3 11 3 2 2 2" xfId="49364"/>
    <cellStyle name="표준 5 3 3 11 3 2 3" xfId="36692"/>
    <cellStyle name="표준 5 3 3 11 3 3" xfId="17676"/>
    <cellStyle name="표준 5 3 3 11 3 3 2" xfId="43028"/>
    <cellStyle name="표준 5 3 3 11 3 4" xfId="30356"/>
    <cellStyle name="표준 5 3 3 11 4" xfId="8202"/>
    <cellStyle name="표준 5 3 3 11 4 2" xfId="20876"/>
    <cellStyle name="표준 5 3 3 11 4 2 2" xfId="46228"/>
    <cellStyle name="표준 5 3 3 11 4 3" xfId="33556"/>
    <cellStyle name="표준 5 3 3 11 5" xfId="14540"/>
    <cellStyle name="표준 5 3 3 11 5 2" xfId="39892"/>
    <cellStyle name="표준 5 3 3 11 6" xfId="27220"/>
    <cellStyle name="표준 5 3 3 12" xfId="1867"/>
    <cellStyle name="표준 5 3 3 12 2" xfId="1868"/>
    <cellStyle name="표준 5 3 3 12 2 2" xfId="5003"/>
    <cellStyle name="표준 5 3 3 12 2 2 2" xfId="11339"/>
    <cellStyle name="표준 5 3 3 12 2 2 2 2" xfId="24013"/>
    <cellStyle name="표준 5 3 3 12 2 2 2 2 2" xfId="49365"/>
    <cellStyle name="표준 5 3 3 12 2 2 2 3" xfId="36693"/>
    <cellStyle name="표준 5 3 3 12 2 2 3" xfId="17677"/>
    <cellStyle name="표준 5 3 3 12 2 2 3 2" xfId="43029"/>
    <cellStyle name="표준 5 3 3 12 2 2 4" xfId="30357"/>
    <cellStyle name="표준 5 3 3 12 2 3" xfId="8205"/>
    <cellStyle name="표준 5 3 3 12 2 3 2" xfId="20879"/>
    <cellStyle name="표준 5 3 3 12 2 3 2 2" xfId="46231"/>
    <cellStyle name="표준 5 3 3 12 2 3 3" xfId="33559"/>
    <cellStyle name="표준 5 3 3 12 2 4" xfId="14543"/>
    <cellStyle name="표준 5 3 3 12 2 4 2" xfId="39895"/>
    <cellStyle name="표준 5 3 3 12 2 5" xfId="27223"/>
    <cellStyle name="표준 5 3 3 12 3" xfId="5004"/>
    <cellStyle name="표준 5 3 3 12 3 2" xfId="11340"/>
    <cellStyle name="표준 5 3 3 12 3 2 2" xfId="24014"/>
    <cellStyle name="표준 5 3 3 12 3 2 2 2" xfId="49366"/>
    <cellStyle name="표준 5 3 3 12 3 2 3" xfId="36694"/>
    <cellStyle name="표준 5 3 3 12 3 3" xfId="17678"/>
    <cellStyle name="표준 5 3 3 12 3 3 2" xfId="43030"/>
    <cellStyle name="표준 5 3 3 12 3 4" xfId="30358"/>
    <cellStyle name="표준 5 3 3 12 4" xfId="8204"/>
    <cellStyle name="표준 5 3 3 12 4 2" xfId="20878"/>
    <cellStyle name="표준 5 3 3 12 4 2 2" xfId="46230"/>
    <cellStyle name="표준 5 3 3 12 4 3" xfId="33558"/>
    <cellStyle name="표준 5 3 3 12 5" xfId="14542"/>
    <cellStyle name="표준 5 3 3 12 5 2" xfId="39894"/>
    <cellStyle name="표준 5 3 3 12 6" xfId="27222"/>
    <cellStyle name="표준 5 3 3 13" xfId="1869"/>
    <cellStyle name="표준 5 3 3 13 2" xfId="1870"/>
    <cellStyle name="표준 5 3 3 13 2 2" xfId="5005"/>
    <cellStyle name="표준 5 3 3 13 2 2 2" xfId="11341"/>
    <cellStyle name="표준 5 3 3 13 2 2 2 2" xfId="24015"/>
    <cellStyle name="표준 5 3 3 13 2 2 2 2 2" xfId="49367"/>
    <cellStyle name="표준 5 3 3 13 2 2 2 3" xfId="36695"/>
    <cellStyle name="표준 5 3 3 13 2 2 3" xfId="17679"/>
    <cellStyle name="표준 5 3 3 13 2 2 3 2" xfId="43031"/>
    <cellStyle name="표준 5 3 3 13 2 2 4" xfId="30359"/>
    <cellStyle name="표준 5 3 3 13 2 3" xfId="8207"/>
    <cellStyle name="표준 5 3 3 13 2 3 2" xfId="20881"/>
    <cellStyle name="표준 5 3 3 13 2 3 2 2" xfId="46233"/>
    <cellStyle name="표준 5 3 3 13 2 3 3" xfId="33561"/>
    <cellStyle name="표준 5 3 3 13 2 4" xfId="14545"/>
    <cellStyle name="표준 5 3 3 13 2 4 2" xfId="39897"/>
    <cellStyle name="표준 5 3 3 13 2 5" xfId="27225"/>
    <cellStyle name="표준 5 3 3 13 3" xfId="5006"/>
    <cellStyle name="표준 5 3 3 13 3 2" xfId="11342"/>
    <cellStyle name="표준 5 3 3 13 3 2 2" xfId="24016"/>
    <cellStyle name="표준 5 3 3 13 3 2 2 2" xfId="49368"/>
    <cellStyle name="표준 5 3 3 13 3 2 3" xfId="36696"/>
    <cellStyle name="표준 5 3 3 13 3 3" xfId="17680"/>
    <cellStyle name="표준 5 3 3 13 3 3 2" xfId="43032"/>
    <cellStyle name="표준 5 3 3 13 3 4" xfId="30360"/>
    <cellStyle name="표준 5 3 3 13 4" xfId="8206"/>
    <cellStyle name="표준 5 3 3 13 4 2" xfId="20880"/>
    <cellStyle name="표준 5 3 3 13 4 2 2" xfId="46232"/>
    <cellStyle name="표준 5 3 3 13 4 3" xfId="33560"/>
    <cellStyle name="표준 5 3 3 13 5" xfId="14544"/>
    <cellStyle name="표준 5 3 3 13 5 2" xfId="39896"/>
    <cellStyle name="표준 5 3 3 13 6" xfId="27224"/>
    <cellStyle name="표준 5 3 3 14" xfId="1871"/>
    <cellStyle name="표준 5 3 3 14 2" xfId="1872"/>
    <cellStyle name="표준 5 3 3 14 2 2" xfId="5007"/>
    <cellStyle name="표준 5 3 3 14 2 2 2" xfId="11343"/>
    <cellStyle name="표준 5 3 3 14 2 2 2 2" xfId="24017"/>
    <cellStyle name="표준 5 3 3 14 2 2 2 2 2" xfId="49369"/>
    <cellStyle name="표준 5 3 3 14 2 2 2 3" xfId="36697"/>
    <cellStyle name="표준 5 3 3 14 2 2 3" xfId="17681"/>
    <cellStyle name="표준 5 3 3 14 2 2 3 2" xfId="43033"/>
    <cellStyle name="표준 5 3 3 14 2 2 4" xfId="30361"/>
    <cellStyle name="표준 5 3 3 14 2 3" xfId="8209"/>
    <cellStyle name="표준 5 3 3 14 2 3 2" xfId="20883"/>
    <cellStyle name="표준 5 3 3 14 2 3 2 2" xfId="46235"/>
    <cellStyle name="표준 5 3 3 14 2 3 3" xfId="33563"/>
    <cellStyle name="표준 5 3 3 14 2 4" xfId="14547"/>
    <cellStyle name="표준 5 3 3 14 2 4 2" xfId="39899"/>
    <cellStyle name="표준 5 3 3 14 2 5" xfId="27227"/>
    <cellStyle name="표준 5 3 3 14 3" xfId="5008"/>
    <cellStyle name="표준 5 3 3 14 3 2" xfId="11344"/>
    <cellStyle name="표준 5 3 3 14 3 2 2" xfId="24018"/>
    <cellStyle name="표준 5 3 3 14 3 2 2 2" xfId="49370"/>
    <cellStyle name="표준 5 3 3 14 3 2 3" xfId="36698"/>
    <cellStyle name="표준 5 3 3 14 3 3" xfId="17682"/>
    <cellStyle name="표준 5 3 3 14 3 3 2" xfId="43034"/>
    <cellStyle name="표준 5 3 3 14 3 4" xfId="30362"/>
    <cellStyle name="표준 5 3 3 14 4" xfId="8208"/>
    <cellStyle name="표준 5 3 3 14 4 2" xfId="20882"/>
    <cellStyle name="표준 5 3 3 14 4 2 2" xfId="46234"/>
    <cellStyle name="표준 5 3 3 14 4 3" xfId="33562"/>
    <cellStyle name="표준 5 3 3 14 5" xfId="14546"/>
    <cellStyle name="표준 5 3 3 14 5 2" xfId="39898"/>
    <cellStyle name="표준 5 3 3 14 6" xfId="27226"/>
    <cellStyle name="표준 5 3 3 15" xfId="1873"/>
    <cellStyle name="표준 5 3 3 15 2" xfId="1874"/>
    <cellStyle name="표준 5 3 3 15 2 2" xfId="5009"/>
    <cellStyle name="표준 5 3 3 15 2 2 2" xfId="11345"/>
    <cellStyle name="표준 5 3 3 15 2 2 2 2" xfId="24019"/>
    <cellStyle name="표준 5 3 3 15 2 2 2 2 2" xfId="49371"/>
    <cellStyle name="표준 5 3 3 15 2 2 2 3" xfId="36699"/>
    <cellStyle name="표준 5 3 3 15 2 2 3" xfId="17683"/>
    <cellStyle name="표준 5 3 3 15 2 2 3 2" xfId="43035"/>
    <cellStyle name="표준 5 3 3 15 2 2 4" xfId="30363"/>
    <cellStyle name="표준 5 3 3 15 2 3" xfId="8211"/>
    <cellStyle name="표준 5 3 3 15 2 3 2" xfId="20885"/>
    <cellStyle name="표준 5 3 3 15 2 3 2 2" xfId="46237"/>
    <cellStyle name="표준 5 3 3 15 2 3 3" xfId="33565"/>
    <cellStyle name="표준 5 3 3 15 2 4" xfId="14549"/>
    <cellStyle name="표준 5 3 3 15 2 4 2" xfId="39901"/>
    <cellStyle name="표준 5 3 3 15 2 5" xfId="27229"/>
    <cellStyle name="표준 5 3 3 15 3" xfId="5010"/>
    <cellStyle name="표준 5 3 3 15 3 2" xfId="11346"/>
    <cellStyle name="표준 5 3 3 15 3 2 2" xfId="24020"/>
    <cellStyle name="표준 5 3 3 15 3 2 2 2" xfId="49372"/>
    <cellStyle name="표준 5 3 3 15 3 2 3" xfId="36700"/>
    <cellStyle name="표준 5 3 3 15 3 3" xfId="17684"/>
    <cellStyle name="표준 5 3 3 15 3 3 2" xfId="43036"/>
    <cellStyle name="표준 5 3 3 15 3 4" xfId="30364"/>
    <cellStyle name="표준 5 3 3 15 4" xfId="8210"/>
    <cellStyle name="표준 5 3 3 15 4 2" xfId="20884"/>
    <cellStyle name="표준 5 3 3 15 4 2 2" xfId="46236"/>
    <cellStyle name="표준 5 3 3 15 4 3" xfId="33564"/>
    <cellStyle name="표준 5 3 3 15 5" xfId="14548"/>
    <cellStyle name="표준 5 3 3 15 5 2" xfId="39900"/>
    <cellStyle name="표준 5 3 3 15 6" xfId="27228"/>
    <cellStyle name="표준 5 3 3 16" xfId="1875"/>
    <cellStyle name="표준 5 3 3 16 2" xfId="1876"/>
    <cellStyle name="표준 5 3 3 16 2 2" xfId="5011"/>
    <cellStyle name="표준 5 3 3 16 2 2 2" xfId="11347"/>
    <cellStyle name="표준 5 3 3 16 2 2 2 2" xfId="24021"/>
    <cellStyle name="표준 5 3 3 16 2 2 2 2 2" xfId="49373"/>
    <cellStyle name="표준 5 3 3 16 2 2 2 3" xfId="36701"/>
    <cellStyle name="표준 5 3 3 16 2 2 3" xfId="17685"/>
    <cellStyle name="표준 5 3 3 16 2 2 3 2" xfId="43037"/>
    <cellStyle name="표준 5 3 3 16 2 2 4" xfId="30365"/>
    <cellStyle name="표준 5 3 3 16 2 3" xfId="8213"/>
    <cellStyle name="표준 5 3 3 16 2 3 2" xfId="20887"/>
    <cellStyle name="표준 5 3 3 16 2 3 2 2" xfId="46239"/>
    <cellStyle name="표준 5 3 3 16 2 3 3" xfId="33567"/>
    <cellStyle name="표준 5 3 3 16 2 4" xfId="14551"/>
    <cellStyle name="표준 5 3 3 16 2 4 2" xfId="39903"/>
    <cellStyle name="표준 5 3 3 16 2 5" xfId="27231"/>
    <cellStyle name="표준 5 3 3 16 3" xfId="5012"/>
    <cellStyle name="표준 5 3 3 16 3 2" xfId="11348"/>
    <cellStyle name="표준 5 3 3 16 3 2 2" xfId="24022"/>
    <cellStyle name="표준 5 3 3 16 3 2 2 2" xfId="49374"/>
    <cellStyle name="표준 5 3 3 16 3 2 3" xfId="36702"/>
    <cellStyle name="표준 5 3 3 16 3 3" xfId="17686"/>
    <cellStyle name="표준 5 3 3 16 3 3 2" xfId="43038"/>
    <cellStyle name="표준 5 3 3 16 3 4" xfId="30366"/>
    <cellStyle name="표준 5 3 3 16 4" xfId="8212"/>
    <cellStyle name="표준 5 3 3 16 4 2" xfId="20886"/>
    <cellStyle name="표준 5 3 3 16 4 2 2" xfId="46238"/>
    <cellStyle name="표준 5 3 3 16 4 3" xfId="33566"/>
    <cellStyle name="표준 5 3 3 16 5" xfId="14550"/>
    <cellStyle name="표준 5 3 3 16 5 2" xfId="39902"/>
    <cellStyle name="표준 5 3 3 16 6" xfId="27230"/>
    <cellStyle name="표준 5 3 3 17" xfId="1877"/>
    <cellStyle name="표준 5 3 3 17 2" xfId="1878"/>
    <cellStyle name="표준 5 3 3 17 2 2" xfId="5013"/>
    <cellStyle name="표준 5 3 3 17 2 2 2" xfId="11349"/>
    <cellStyle name="표준 5 3 3 17 2 2 2 2" xfId="24023"/>
    <cellStyle name="표준 5 3 3 17 2 2 2 2 2" xfId="49375"/>
    <cellStyle name="표준 5 3 3 17 2 2 2 3" xfId="36703"/>
    <cellStyle name="표준 5 3 3 17 2 2 3" xfId="17687"/>
    <cellStyle name="표준 5 3 3 17 2 2 3 2" xfId="43039"/>
    <cellStyle name="표준 5 3 3 17 2 2 4" xfId="30367"/>
    <cellStyle name="표준 5 3 3 17 2 3" xfId="8215"/>
    <cellStyle name="표준 5 3 3 17 2 3 2" xfId="20889"/>
    <cellStyle name="표준 5 3 3 17 2 3 2 2" xfId="46241"/>
    <cellStyle name="표준 5 3 3 17 2 3 3" xfId="33569"/>
    <cellStyle name="표준 5 3 3 17 2 4" xfId="14553"/>
    <cellStyle name="표준 5 3 3 17 2 4 2" xfId="39905"/>
    <cellStyle name="표준 5 3 3 17 2 5" xfId="27233"/>
    <cellStyle name="표준 5 3 3 17 3" xfId="5014"/>
    <cellStyle name="표준 5 3 3 17 3 2" xfId="11350"/>
    <cellStyle name="표준 5 3 3 17 3 2 2" xfId="24024"/>
    <cellStyle name="표준 5 3 3 17 3 2 2 2" xfId="49376"/>
    <cellStyle name="표준 5 3 3 17 3 2 3" xfId="36704"/>
    <cellStyle name="표준 5 3 3 17 3 3" xfId="17688"/>
    <cellStyle name="표준 5 3 3 17 3 3 2" xfId="43040"/>
    <cellStyle name="표준 5 3 3 17 3 4" xfId="30368"/>
    <cellStyle name="표준 5 3 3 17 4" xfId="8214"/>
    <cellStyle name="표준 5 3 3 17 4 2" xfId="20888"/>
    <cellStyle name="표준 5 3 3 17 4 2 2" xfId="46240"/>
    <cellStyle name="표준 5 3 3 17 4 3" xfId="33568"/>
    <cellStyle name="표준 5 3 3 17 5" xfId="14552"/>
    <cellStyle name="표준 5 3 3 17 5 2" xfId="39904"/>
    <cellStyle name="표준 5 3 3 17 6" xfId="27232"/>
    <cellStyle name="표준 5 3 3 18" xfId="1879"/>
    <cellStyle name="표준 5 3 3 18 2" xfId="1880"/>
    <cellStyle name="표준 5 3 3 18 2 2" xfId="5015"/>
    <cellStyle name="표준 5 3 3 18 2 2 2" xfId="11351"/>
    <cellStyle name="표준 5 3 3 18 2 2 2 2" xfId="24025"/>
    <cellStyle name="표준 5 3 3 18 2 2 2 2 2" xfId="49377"/>
    <cellStyle name="표준 5 3 3 18 2 2 2 3" xfId="36705"/>
    <cellStyle name="표준 5 3 3 18 2 2 3" xfId="17689"/>
    <cellStyle name="표준 5 3 3 18 2 2 3 2" xfId="43041"/>
    <cellStyle name="표준 5 3 3 18 2 2 4" xfId="30369"/>
    <cellStyle name="표준 5 3 3 18 2 3" xfId="8217"/>
    <cellStyle name="표준 5 3 3 18 2 3 2" xfId="20891"/>
    <cellStyle name="표준 5 3 3 18 2 3 2 2" xfId="46243"/>
    <cellStyle name="표준 5 3 3 18 2 3 3" xfId="33571"/>
    <cellStyle name="표준 5 3 3 18 2 4" xfId="14555"/>
    <cellStyle name="표준 5 3 3 18 2 4 2" xfId="39907"/>
    <cellStyle name="표준 5 3 3 18 2 5" xfId="27235"/>
    <cellStyle name="표준 5 3 3 18 3" xfId="5016"/>
    <cellStyle name="표준 5 3 3 18 3 2" xfId="11352"/>
    <cellStyle name="표준 5 3 3 18 3 2 2" xfId="24026"/>
    <cellStyle name="표준 5 3 3 18 3 2 2 2" xfId="49378"/>
    <cellStyle name="표준 5 3 3 18 3 2 3" xfId="36706"/>
    <cellStyle name="표준 5 3 3 18 3 3" xfId="17690"/>
    <cellStyle name="표준 5 3 3 18 3 3 2" xfId="43042"/>
    <cellStyle name="표준 5 3 3 18 3 4" xfId="30370"/>
    <cellStyle name="표준 5 3 3 18 4" xfId="8216"/>
    <cellStyle name="표준 5 3 3 18 4 2" xfId="20890"/>
    <cellStyle name="표준 5 3 3 18 4 2 2" xfId="46242"/>
    <cellStyle name="표준 5 3 3 18 4 3" xfId="33570"/>
    <cellStyle name="표준 5 3 3 18 5" xfId="14554"/>
    <cellStyle name="표준 5 3 3 18 5 2" xfId="39906"/>
    <cellStyle name="표준 5 3 3 18 6" xfId="27234"/>
    <cellStyle name="표준 5 3 3 19" xfId="1881"/>
    <cellStyle name="표준 5 3 3 19 2" xfId="1882"/>
    <cellStyle name="표준 5 3 3 19 2 2" xfId="5017"/>
    <cellStyle name="표준 5 3 3 19 2 2 2" xfId="11353"/>
    <cellStyle name="표준 5 3 3 19 2 2 2 2" xfId="24027"/>
    <cellStyle name="표준 5 3 3 19 2 2 2 2 2" xfId="49379"/>
    <cellStyle name="표준 5 3 3 19 2 2 2 3" xfId="36707"/>
    <cellStyle name="표준 5 3 3 19 2 2 3" xfId="17691"/>
    <cellStyle name="표준 5 3 3 19 2 2 3 2" xfId="43043"/>
    <cellStyle name="표준 5 3 3 19 2 2 4" xfId="30371"/>
    <cellStyle name="표준 5 3 3 19 2 3" xfId="8219"/>
    <cellStyle name="표준 5 3 3 19 2 3 2" xfId="20893"/>
    <cellStyle name="표준 5 3 3 19 2 3 2 2" xfId="46245"/>
    <cellStyle name="표준 5 3 3 19 2 3 3" xfId="33573"/>
    <cellStyle name="표준 5 3 3 19 2 4" xfId="14557"/>
    <cellStyle name="표준 5 3 3 19 2 4 2" xfId="39909"/>
    <cellStyle name="표준 5 3 3 19 2 5" xfId="27237"/>
    <cellStyle name="표준 5 3 3 19 3" xfId="5018"/>
    <cellStyle name="표준 5 3 3 19 3 2" xfId="11354"/>
    <cellStyle name="표준 5 3 3 19 3 2 2" xfId="24028"/>
    <cellStyle name="표준 5 3 3 19 3 2 2 2" xfId="49380"/>
    <cellStyle name="표준 5 3 3 19 3 2 3" xfId="36708"/>
    <cellStyle name="표준 5 3 3 19 3 3" xfId="17692"/>
    <cellStyle name="표준 5 3 3 19 3 3 2" xfId="43044"/>
    <cellStyle name="표준 5 3 3 19 3 4" xfId="30372"/>
    <cellStyle name="표준 5 3 3 19 4" xfId="8218"/>
    <cellStyle name="표준 5 3 3 19 4 2" xfId="20892"/>
    <cellStyle name="표준 5 3 3 19 4 2 2" xfId="46244"/>
    <cellStyle name="표준 5 3 3 19 4 3" xfId="33572"/>
    <cellStyle name="표준 5 3 3 19 5" xfId="14556"/>
    <cellStyle name="표준 5 3 3 19 5 2" xfId="39908"/>
    <cellStyle name="표준 5 3 3 19 6" xfId="27236"/>
    <cellStyle name="표준 5 3 3 2" xfId="1883"/>
    <cellStyle name="표준 5 3 3 2 2" xfId="1884"/>
    <cellStyle name="표준 5 3 3 2 2 2" xfId="5019"/>
    <cellStyle name="표준 5 3 3 2 2 2 2" xfId="11355"/>
    <cellStyle name="표준 5 3 3 2 2 2 2 2" xfId="24029"/>
    <cellStyle name="표준 5 3 3 2 2 2 2 2 2" xfId="49381"/>
    <cellStyle name="표준 5 3 3 2 2 2 2 3" xfId="36709"/>
    <cellStyle name="표준 5 3 3 2 2 2 3" xfId="17693"/>
    <cellStyle name="표준 5 3 3 2 2 2 3 2" xfId="43045"/>
    <cellStyle name="표준 5 3 3 2 2 2 4" xfId="30373"/>
    <cellStyle name="표준 5 3 3 2 2 3" xfId="8221"/>
    <cellStyle name="표준 5 3 3 2 2 3 2" xfId="20895"/>
    <cellStyle name="표준 5 3 3 2 2 3 2 2" xfId="46247"/>
    <cellStyle name="표준 5 3 3 2 2 3 3" xfId="33575"/>
    <cellStyle name="표준 5 3 3 2 2 4" xfId="14559"/>
    <cellStyle name="표준 5 3 3 2 2 4 2" xfId="39911"/>
    <cellStyle name="표준 5 3 3 2 2 5" xfId="27239"/>
    <cellStyle name="표준 5 3 3 2 3" xfId="5020"/>
    <cellStyle name="표준 5 3 3 2 3 2" xfId="11356"/>
    <cellStyle name="표준 5 3 3 2 3 2 2" xfId="24030"/>
    <cellStyle name="표준 5 3 3 2 3 2 2 2" xfId="49382"/>
    <cellStyle name="표준 5 3 3 2 3 2 3" xfId="36710"/>
    <cellStyle name="표준 5 3 3 2 3 3" xfId="17694"/>
    <cellStyle name="표준 5 3 3 2 3 3 2" xfId="43046"/>
    <cellStyle name="표준 5 3 3 2 3 4" xfId="30374"/>
    <cellStyle name="표준 5 3 3 2 4" xfId="8220"/>
    <cellStyle name="표준 5 3 3 2 4 2" xfId="20894"/>
    <cellStyle name="표준 5 3 3 2 4 2 2" xfId="46246"/>
    <cellStyle name="표준 5 3 3 2 4 3" xfId="33574"/>
    <cellStyle name="표준 5 3 3 2 5" xfId="14558"/>
    <cellStyle name="표준 5 3 3 2 5 2" xfId="39910"/>
    <cellStyle name="표준 5 3 3 2 6" xfId="27238"/>
    <cellStyle name="표준 5 3 3 20" xfId="1885"/>
    <cellStyle name="표준 5 3 3 20 2" xfId="1886"/>
    <cellStyle name="표준 5 3 3 20 2 2" xfId="5021"/>
    <cellStyle name="표준 5 3 3 20 2 2 2" xfId="11357"/>
    <cellStyle name="표준 5 3 3 20 2 2 2 2" xfId="24031"/>
    <cellStyle name="표준 5 3 3 20 2 2 2 2 2" xfId="49383"/>
    <cellStyle name="표준 5 3 3 20 2 2 2 3" xfId="36711"/>
    <cellStyle name="표준 5 3 3 20 2 2 3" xfId="17695"/>
    <cellStyle name="표준 5 3 3 20 2 2 3 2" xfId="43047"/>
    <cellStyle name="표준 5 3 3 20 2 2 4" xfId="30375"/>
    <cellStyle name="표준 5 3 3 20 2 3" xfId="8223"/>
    <cellStyle name="표준 5 3 3 20 2 3 2" xfId="20897"/>
    <cellStyle name="표준 5 3 3 20 2 3 2 2" xfId="46249"/>
    <cellStyle name="표준 5 3 3 20 2 3 3" xfId="33577"/>
    <cellStyle name="표준 5 3 3 20 2 4" xfId="14561"/>
    <cellStyle name="표준 5 3 3 20 2 4 2" xfId="39913"/>
    <cellStyle name="표준 5 3 3 20 2 5" xfId="27241"/>
    <cellStyle name="표준 5 3 3 20 3" xfId="5022"/>
    <cellStyle name="표준 5 3 3 20 3 2" xfId="11358"/>
    <cellStyle name="표준 5 3 3 20 3 2 2" xfId="24032"/>
    <cellStyle name="표준 5 3 3 20 3 2 2 2" xfId="49384"/>
    <cellStyle name="표준 5 3 3 20 3 2 3" xfId="36712"/>
    <cellStyle name="표준 5 3 3 20 3 3" xfId="17696"/>
    <cellStyle name="표준 5 3 3 20 3 3 2" xfId="43048"/>
    <cellStyle name="표준 5 3 3 20 3 4" xfId="30376"/>
    <cellStyle name="표준 5 3 3 20 4" xfId="8222"/>
    <cellStyle name="표준 5 3 3 20 4 2" xfId="20896"/>
    <cellStyle name="표준 5 3 3 20 4 2 2" xfId="46248"/>
    <cellStyle name="표준 5 3 3 20 4 3" xfId="33576"/>
    <cellStyle name="표준 5 3 3 20 5" xfId="14560"/>
    <cellStyle name="표준 5 3 3 20 5 2" xfId="39912"/>
    <cellStyle name="표준 5 3 3 20 6" xfId="27240"/>
    <cellStyle name="표준 5 3 3 21" xfId="1887"/>
    <cellStyle name="표준 5 3 3 21 2" xfId="1888"/>
    <cellStyle name="표준 5 3 3 21 2 2" xfId="5023"/>
    <cellStyle name="표준 5 3 3 21 2 2 2" xfId="11359"/>
    <cellStyle name="표준 5 3 3 21 2 2 2 2" xfId="24033"/>
    <cellStyle name="표준 5 3 3 21 2 2 2 2 2" xfId="49385"/>
    <cellStyle name="표준 5 3 3 21 2 2 2 3" xfId="36713"/>
    <cellStyle name="표준 5 3 3 21 2 2 3" xfId="17697"/>
    <cellStyle name="표준 5 3 3 21 2 2 3 2" xfId="43049"/>
    <cellStyle name="표준 5 3 3 21 2 2 4" xfId="30377"/>
    <cellStyle name="표준 5 3 3 21 2 3" xfId="8225"/>
    <cellStyle name="표준 5 3 3 21 2 3 2" xfId="20899"/>
    <cellStyle name="표준 5 3 3 21 2 3 2 2" xfId="46251"/>
    <cellStyle name="표준 5 3 3 21 2 3 3" xfId="33579"/>
    <cellStyle name="표준 5 3 3 21 2 4" xfId="14563"/>
    <cellStyle name="표준 5 3 3 21 2 4 2" xfId="39915"/>
    <cellStyle name="표준 5 3 3 21 2 5" xfId="27243"/>
    <cellStyle name="표준 5 3 3 21 3" xfId="5024"/>
    <cellStyle name="표준 5 3 3 21 3 2" xfId="11360"/>
    <cellStyle name="표준 5 3 3 21 3 2 2" xfId="24034"/>
    <cellStyle name="표준 5 3 3 21 3 2 2 2" xfId="49386"/>
    <cellStyle name="표준 5 3 3 21 3 2 3" xfId="36714"/>
    <cellStyle name="표준 5 3 3 21 3 3" xfId="17698"/>
    <cellStyle name="표준 5 3 3 21 3 3 2" xfId="43050"/>
    <cellStyle name="표준 5 3 3 21 3 4" xfId="30378"/>
    <cellStyle name="표준 5 3 3 21 4" xfId="8224"/>
    <cellStyle name="표준 5 3 3 21 4 2" xfId="20898"/>
    <cellStyle name="표준 5 3 3 21 4 2 2" xfId="46250"/>
    <cellStyle name="표준 5 3 3 21 4 3" xfId="33578"/>
    <cellStyle name="표준 5 3 3 21 5" xfId="14562"/>
    <cellStyle name="표준 5 3 3 21 5 2" xfId="39914"/>
    <cellStyle name="표준 5 3 3 21 6" xfId="27242"/>
    <cellStyle name="표준 5 3 3 22" xfId="1889"/>
    <cellStyle name="표준 5 3 3 22 2" xfId="1890"/>
    <cellStyle name="표준 5 3 3 22 2 2" xfId="5025"/>
    <cellStyle name="표준 5 3 3 22 2 2 2" xfId="11361"/>
    <cellStyle name="표준 5 3 3 22 2 2 2 2" xfId="24035"/>
    <cellStyle name="표준 5 3 3 22 2 2 2 2 2" xfId="49387"/>
    <cellStyle name="표준 5 3 3 22 2 2 2 3" xfId="36715"/>
    <cellStyle name="표준 5 3 3 22 2 2 3" xfId="17699"/>
    <cellStyle name="표준 5 3 3 22 2 2 3 2" xfId="43051"/>
    <cellStyle name="표준 5 3 3 22 2 2 4" xfId="30379"/>
    <cellStyle name="표준 5 3 3 22 2 3" xfId="8227"/>
    <cellStyle name="표준 5 3 3 22 2 3 2" xfId="20901"/>
    <cellStyle name="표준 5 3 3 22 2 3 2 2" xfId="46253"/>
    <cellStyle name="표준 5 3 3 22 2 3 3" xfId="33581"/>
    <cellStyle name="표준 5 3 3 22 2 4" xfId="14565"/>
    <cellStyle name="표준 5 3 3 22 2 4 2" xfId="39917"/>
    <cellStyle name="표준 5 3 3 22 2 5" xfId="27245"/>
    <cellStyle name="표준 5 3 3 22 3" xfId="5026"/>
    <cellStyle name="표준 5 3 3 22 3 2" xfId="11362"/>
    <cellStyle name="표준 5 3 3 22 3 2 2" xfId="24036"/>
    <cellStyle name="표준 5 3 3 22 3 2 2 2" xfId="49388"/>
    <cellStyle name="표준 5 3 3 22 3 2 3" xfId="36716"/>
    <cellStyle name="표준 5 3 3 22 3 3" xfId="17700"/>
    <cellStyle name="표준 5 3 3 22 3 3 2" xfId="43052"/>
    <cellStyle name="표준 5 3 3 22 3 4" xfId="30380"/>
    <cellStyle name="표준 5 3 3 22 4" xfId="8226"/>
    <cellStyle name="표준 5 3 3 22 4 2" xfId="20900"/>
    <cellStyle name="표준 5 3 3 22 4 2 2" xfId="46252"/>
    <cellStyle name="표준 5 3 3 22 4 3" xfId="33580"/>
    <cellStyle name="표준 5 3 3 22 5" xfId="14564"/>
    <cellStyle name="표준 5 3 3 22 5 2" xfId="39916"/>
    <cellStyle name="표준 5 3 3 22 6" xfId="27244"/>
    <cellStyle name="표준 5 3 3 23" xfId="1891"/>
    <cellStyle name="표준 5 3 3 23 2" xfId="1892"/>
    <cellStyle name="표준 5 3 3 23 2 2" xfId="5027"/>
    <cellStyle name="표준 5 3 3 23 2 2 2" xfId="11363"/>
    <cellStyle name="표준 5 3 3 23 2 2 2 2" xfId="24037"/>
    <cellStyle name="표준 5 3 3 23 2 2 2 2 2" xfId="49389"/>
    <cellStyle name="표준 5 3 3 23 2 2 2 3" xfId="36717"/>
    <cellStyle name="표준 5 3 3 23 2 2 3" xfId="17701"/>
    <cellStyle name="표준 5 3 3 23 2 2 3 2" xfId="43053"/>
    <cellStyle name="표준 5 3 3 23 2 2 4" xfId="30381"/>
    <cellStyle name="표준 5 3 3 23 2 3" xfId="8229"/>
    <cellStyle name="표준 5 3 3 23 2 3 2" xfId="20903"/>
    <cellStyle name="표준 5 3 3 23 2 3 2 2" xfId="46255"/>
    <cellStyle name="표준 5 3 3 23 2 3 3" xfId="33583"/>
    <cellStyle name="표준 5 3 3 23 2 4" xfId="14567"/>
    <cellStyle name="표준 5 3 3 23 2 4 2" xfId="39919"/>
    <cellStyle name="표준 5 3 3 23 2 5" xfId="27247"/>
    <cellStyle name="표준 5 3 3 23 3" xfId="5028"/>
    <cellStyle name="표준 5 3 3 23 3 2" xfId="11364"/>
    <cellStyle name="표준 5 3 3 23 3 2 2" xfId="24038"/>
    <cellStyle name="표준 5 3 3 23 3 2 2 2" xfId="49390"/>
    <cellStyle name="표준 5 3 3 23 3 2 3" xfId="36718"/>
    <cellStyle name="표준 5 3 3 23 3 3" xfId="17702"/>
    <cellStyle name="표준 5 3 3 23 3 3 2" xfId="43054"/>
    <cellStyle name="표준 5 3 3 23 3 4" xfId="30382"/>
    <cellStyle name="표준 5 3 3 23 4" xfId="8228"/>
    <cellStyle name="표준 5 3 3 23 4 2" xfId="20902"/>
    <cellStyle name="표준 5 3 3 23 4 2 2" xfId="46254"/>
    <cellStyle name="표준 5 3 3 23 4 3" xfId="33582"/>
    <cellStyle name="표준 5 3 3 23 5" xfId="14566"/>
    <cellStyle name="표준 5 3 3 23 5 2" xfId="39918"/>
    <cellStyle name="표준 5 3 3 23 6" xfId="27246"/>
    <cellStyle name="표준 5 3 3 24" xfId="1893"/>
    <cellStyle name="표준 5 3 3 24 2" xfId="1894"/>
    <cellStyle name="표준 5 3 3 24 2 2" xfId="5029"/>
    <cellStyle name="표준 5 3 3 24 2 2 2" xfId="11365"/>
    <cellStyle name="표준 5 3 3 24 2 2 2 2" xfId="24039"/>
    <cellStyle name="표준 5 3 3 24 2 2 2 2 2" xfId="49391"/>
    <cellStyle name="표준 5 3 3 24 2 2 2 3" xfId="36719"/>
    <cellStyle name="표준 5 3 3 24 2 2 3" xfId="17703"/>
    <cellStyle name="표준 5 3 3 24 2 2 3 2" xfId="43055"/>
    <cellStyle name="표준 5 3 3 24 2 2 4" xfId="30383"/>
    <cellStyle name="표준 5 3 3 24 2 3" xfId="8231"/>
    <cellStyle name="표준 5 3 3 24 2 3 2" xfId="20905"/>
    <cellStyle name="표준 5 3 3 24 2 3 2 2" xfId="46257"/>
    <cellStyle name="표준 5 3 3 24 2 3 3" xfId="33585"/>
    <cellStyle name="표준 5 3 3 24 2 4" xfId="14569"/>
    <cellStyle name="표준 5 3 3 24 2 4 2" xfId="39921"/>
    <cellStyle name="표준 5 3 3 24 2 5" xfId="27249"/>
    <cellStyle name="표준 5 3 3 24 3" xfId="5030"/>
    <cellStyle name="표준 5 3 3 24 3 2" xfId="11366"/>
    <cellStyle name="표준 5 3 3 24 3 2 2" xfId="24040"/>
    <cellStyle name="표준 5 3 3 24 3 2 2 2" xfId="49392"/>
    <cellStyle name="표준 5 3 3 24 3 2 3" xfId="36720"/>
    <cellStyle name="표준 5 3 3 24 3 3" xfId="17704"/>
    <cellStyle name="표준 5 3 3 24 3 3 2" xfId="43056"/>
    <cellStyle name="표준 5 3 3 24 3 4" xfId="30384"/>
    <cellStyle name="표준 5 3 3 24 4" xfId="8230"/>
    <cellStyle name="표준 5 3 3 24 4 2" xfId="20904"/>
    <cellStyle name="표준 5 3 3 24 4 2 2" xfId="46256"/>
    <cellStyle name="표준 5 3 3 24 4 3" xfId="33584"/>
    <cellStyle name="표준 5 3 3 24 5" xfId="14568"/>
    <cellStyle name="표준 5 3 3 24 5 2" xfId="39920"/>
    <cellStyle name="표준 5 3 3 24 6" xfId="27248"/>
    <cellStyle name="표준 5 3 3 25" xfId="1895"/>
    <cellStyle name="표준 5 3 3 25 2" xfId="1896"/>
    <cellStyle name="표준 5 3 3 25 2 2" xfId="5031"/>
    <cellStyle name="표준 5 3 3 25 2 2 2" xfId="11367"/>
    <cellStyle name="표준 5 3 3 25 2 2 2 2" xfId="24041"/>
    <cellStyle name="표준 5 3 3 25 2 2 2 2 2" xfId="49393"/>
    <cellStyle name="표준 5 3 3 25 2 2 2 3" xfId="36721"/>
    <cellStyle name="표준 5 3 3 25 2 2 3" xfId="17705"/>
    <cellStyle name="표준 5 3 3 25 2 2 3 2" xfId="43057"/>
    <cellStyle name="표준 5 3 3 25 2 2 4" xfId="30385"/>
    <cellStyle name="표준 5 3 3 25 2 3" xfId="8233"/>
    <cellStyle name="표준 5 3 3 25 2 3 2" xfId="20907"/>
    <cellStyle name="표준 5 3 3 25 2 3 2 2" xfId="46259"/>
    <cellStyle name="표준 5 3 3 25 2 3 3" xfId="33587"/>
    <cellStyle name="표준 5 3 3 25 2 4" xfId="14571"/>
    <cellStyle name="표준 5 3 3 25 2 4 2" xfId="39923"/>
    <cellStyle name="표준 5 3 3 25 2 5" xfId="27251"/>
    <cellStyle name="표준 5 3 3 25 3" xfId="5032"/>
    <cellStyle name="표준 5 3 3 25 3 2" xfId="11368"/>
    <cellStyle name="표준 5 3 3 25 3 2 2" xfId="24042"/>
    <cellStyle name="표준 5 3 3 25 3 2 2 2" xfId="49394"/>
    <cellStyle name="표준 5 3 3 25 3 2 3" xfId="36722"/>
    <cellStyle name="표준 5 3 3 25 3 3" xfId="17706"/>
    <cellStyle name="표준 5 3 3 25 3 3 2" xfId="43058"/>
    <cellStyle name="표준 5 3 3 25 3 4" xfId="30386"/>
    <cellStyle name="표준 5 3 3 25 4" xfId="8232"/>
    <cellStyle name="표준 5 3 3 25 4 2" xfId="20906"/>
    <cellStyle name="표준 5 3 3 25 4 2 2" xfId="46258"/>
    <cellStyle name="표준 5 3 3 25 4 3" xfId="33586"/>
    <cellStyle name="표준 5 3 3 25 5" xfId="14570"/>
    <cellStyle name="표준 5 3 3 25 5 2" xfId="39922"/>
    <cellStyle name="표준 5 3 3 25 6" xfId="27250"/>
    <cellStyle name="표준 5 3 3 26" xfId="1897"/>
    <cellStyle name="표준 5 3 3 26 2" xfId="1898"/>
    <cellStyle name="표준 5 3 3 26 2 2" xfId="5033"/>
    <cellStyle name="표준 5 3 3 26 2 2 2" xfId="11369"/>
    <cellStyle name="표준 5 3 3 26 2 2 2 2" xfId="24043"/>
    <cellStyle name="표준 5 3 3 26 2 2 2 2 2" xfId="49395"/>
    <cellStyle name="표준 5 3 3 26 2 2 2 3" xfId="36723"/>
    <cellStyle name="표준 5 3 3 26 2 2 3" xfId="17707"/>
    <cellStyle name="표준 5 3 3 26 2 2 3 2" xfId="43059"/>
    <cellStyle name="표준 5 3 3 26 2 2 4" xfId="30387"/>
    <cellStyle name="표준 5 3 3 26 2 3" xfId="8235"/>
    <cellStyle name="표준 5 3 3 26 2 3 2" xfId="20909"/>
    <cellStyle name="표준 5 3 3 26 2 3 2 2" xfId="46261"/>
    <cellStyle name="표준 5 3 3 26 2 3 3" xfId="33589"/>
    <cellStyle name="표준 5 3 3 26 2 4" xfId="14573"/>
    <cellStyle name="표준 5 3 3 26 2 4 2" xfId="39925"/>
    <cellStyle name="표준 5 3 3 26 2 5" xfId="27253"/>
    <cellStyle name="표준 5 3 3 26 3" xfId="5034"/>
    <cellStyle name="표준 5 3 3 26 3 2" xfId="11370"/>
    <cellStyle name="표준 5 3 3 26 3 2 2" xfId="24044"/>
    <cellStyle name="표준 5 3 3 26 3 2 2 2" xfId="49396"/>
    <cellStyle name="표준 5 3 3 26 3 2 3" xfId="36724"/>
    <cellStyle name="표준 5 3 3 26 3 3" xfId="17708"/>
    <cellStyle name="표준 5 3 3 26 3 3 2" xfId="43060"/>
    <cellStyle name="표준 5 3 3 26 3 4" xfId="30388"/>
    <cellStyle name="표준 5 3 3 26 4" xfId="8234"/>
    <cellStyle name="표준 5 3 3 26 4 2" xfId="20908"/>
    <cellStyle name="표준 5 3 3 26 4 2 2" xfId="46260"/>
    <cellStyle name="표준 5 3 3 26 4 3" xfId="33588"/>
    <cellStyle name="표준 5 3 3 26 5" xfId="14572"/>
    <cellStyle name="표준 5 3 3 26 5 2" xfId="39924"/>
    <cellStyle name="표준 5 3 3 26 6" xfId="27252"/>
    <cellStyle name="표준 5 3 3 27" xfId="1899"/>
    <cellStyle name="표준 5 3 3 27 2" xfId="1900"/>
    <cellStyle name="표준 5 3 3 27 2 2" xfId="5035"/>
    <cellStyle name="표준 5 3 3 27 2 2 2" xfId="11371"/>
    <cellStyle name="표준 5 3 3 27 2 2 2 2" xfId="24045"/>
    <cellStyle name="표준 5 3 3 27 2 2 2 2 2" xfId="49397"/>
    <cellStyle name="표준 5 3 3 27 2 2 2 3" xfId="36725"/>
    <cellStyle name="표준 5 3 3 27 2 2 3" xfId="17709"/>
    <cellStyle name="표준 5 3 3 27 2 2 3 2" xfId="43061"/>
    <cellStyle name="표준 5 3 3 27 2 2 4" xfId="30389"/>
    <cellStyle name="표준 5 3 3 27 2 3" xfId="8237"/>
    <cellStyle name="표준 5 3 3 27 2 3 2" xfId="20911"/>
    <cellStyle name="표준 5 3 3 27 2 3 2 2" xfId="46263"/>
    <cellStyle name="표준 5 3 3 27 2 3 3" xfId="33591"/>
    <cellStyle name="표준 5 3 3 27 2 4" xfId="14575"/>
    <cellStyle name="표준 5 3 3 27 2 4 2" xfId="39927"/>
    <cellStyle name="표준 5 3 3 27 2 5" xfId="27255"/>
    <cellStyle name="표준 5 3 3 27 3" xfId="5036"/>
    <cellStyle name="표준 5 3 3 27 3 2" xfId="11372"/>
    <cellStyle name="표준 5 3 3 27 3 2 2" xfId="24046"/>
    <cellStyle name="표준 5 3 3 27 3 2 2 2" xfId="49398"/>
    <cellStyle name="표준 5 3 3 27 3 2 3" xfId="36726"/>
    <cellStyle name="표준 5 3 3 27 3 3" xfId="17710"/>
    <cellStyle name="표준 5 3 3 27 3 3 2" xfId="43062"/>
    <cellStyle name="표준 5 3 3 27 3 4" xfId="30390"/>
    <cellStyle name="표준 5 3 3 27 4" xfId="8236"/>
    <cellStyle name="표준 5 3 3 27 4 2" xfId="20910"/>
    <cellStyle name="표준 5 3 3 27 4 2 2" xfId="46262"/>
    <cellStyle name="표준 5 3 3 27 4 3" xfId="33590"/>
    <cellStyle name="표준 5 3 3 27 5" xfId="14574"/>
    <cellStyle name="표준 5 3 3 27 5 2" xfId="39926"/>
    <cellStyle name="표준 5 3 3 27 6" xfId="27254"/>
    <cellStyle name="표준 5 3 3 28" xfId="1901"/>
    <cellStyle name="표준 5 3 3 28 2" xfId="1902"/>
    <cellStyle name="표준 5 3 3 28 2 2" xfId="5037"/>
    <cellStyle name="표준 5 3 3 28 2 2 2" xfId="11373"/>
    <cellStyle name="표준 5 3 3 28 2 2 2 2" xfId="24047"/>
    <cellStyle name="표준 5 3 3 28 2 2 2 2 2" xfId="49399"/>
    <cellStyle name="표준 5 3 3 28 2 2 2 3" xfId="36727"/>
    <cellStyle name="표준 5 3 3 28 2 2 3" xfId="17711"/>
    <cellStyle name="표준 5 3 3 28 2 2 3 2" xfId="43063"/>
    <cellStyle name="표준 5 3 3 28 2 2 4" xfId="30391"/>
    <cellStyle name="표준 5 3 3 28 2 3" xfId="8239"/>
    <cellStyle name="표준 5 3 3 28 2 3 2" xfId="20913"/>
    <cellStyle name="표준 5 3 3 28 2 3 2 2" xfId="46265"/>
    <cellStyle name="표준 5 3 3 28 2 3 3" xfId="33593"/>
    <cellStyle name="표준 5 3 3 28 2 4" xfId="14577"/>
    <cellStyle name="표준 5 3 3 28 2 4 2" xfId="39929"/>
    <cellStyle name="표준 5 3 3 28 2 5" xfId="27257"/>
    <cellStyle name="표준 5 3 3 28 3" xfId="5038"/>
    <cellStyle name="표준 5 3 3 28 3 2" xfId="11374"/>
    <cellStyle name="표준 5 3 3 28 3 2 2" xfId="24048"/>
    <cellStyle name="표준 5 3 3 28 3 2 2 2" xfId="49400"/>
    <cellStyle name="표준 5 3 3 28 3 2 3" xfId="36728"/>
    <cellStyle name="표준 5 3 3 28 3 3" xfId="17712"/>
    <cellStyle name="표준 5 3 3 28 3 3 2" xfId="43064"/>
    <cellStyle name="표준 5 3 3 28 3 4" xfId="30392"/>
    <cellStyle name="표준 5 3 3 28 4" xfId="8238"/>
    <cellStyle name="표준 5 3 3 28 4 2" xfId="20912"/>
    <cellStyle name="표준 5 3 3 28 4 2 2" xfId="46264"/>
    <cellStyle name="표준 5 3 3 28 4 3" xfId="33592"/>
    <cellStyle name="표준 5 3 3 28 5" xfId="14576"/>
    <cellStyle name="표준 5 3 3 28 5 2" xfId="39928"/>
    <cellStyle name="표준 5 3 3 28 6" xfId="27256"/>
    <cellStyle name="표준 5 3 3 29" xfId="1903"/>
    <cellStyle name="표준 5 3 3 29 2" xfId="1904"/>
    <cellStyle name="표준 5 3 3 29 2 2" xfId="5039"/>
    <cellStyle name="표준 5 3 3 29 2 2 2" xfId="11375"/>
    <cellStyle name="표준 5 3 3 29 2 2 2 2" xfId="24049"/>
    <cellStyle name="표준 5 3 3 29 2 2 2 2 2" xfId="49401"/>
    <cellStyle name="표준 5 3 3 29 2 2 2 3" xfId="36729"/>
    <cellStyle name="표준 5 3 3 29 2 2 3" xfId="17713"/>
    <cellStyle name="표준 5 3 3 29 2 2 3 2" xfId="43065"/>
    <cellStyle name="표준 5 3 3 29 2 2 4" xfId="30393"/>
    <cellStyle name="표준 5 3 3 29 2 3" xfId="8241"/>
    <cellStyle name="표준 5 3 3 29 2 3 2" xfId="20915"/>
    <cellStyle name="표준 5 3 3 29 2 3 2 2" xfId="46267"/>
    <cellStyle name="표준 5 3 3 29 2 3 3" xfId="33595"/>
    <cellStyle name="표준 5 3 3 29 2 4" xfId="14579"/>
    <cellStyle name="표준 5 3 3 29 2 4 2" xfId="39931"/>
    <cellStyle name="표준 5 3 3 29 2 5" xfId="27259"/>
    <cellStyle name="표준 5 3 3 29 3" xfId="5040"/>
    <cellStyle name="표준 5 3 3 29 3 2" xfId="11376"/>
    <cellStyle name="표준 5 3 3 29 3 2 2" xfId="24050"/>
    <cellStyle name="표준 5 3 3 29 3 2 2 2" xfId="49402"/>
    <cellStyle name="표준 5 3 3 29 3 2 3" xfId="36730"/>
    <cellStyle name="표준 5 3 3 29 3 3" xfId="17714"/>
    <cellStyle name="표준 5 3 3 29 3 3 2" xfId="43066"/>
    <cellStyle name="표준 5 3 3 29 3 4" xfId="30394"/>
    <cellStyle name="표준 5 3 3 29 4" xfId="8240"/>
    <cellStyle name="표준 5 3 3 29 4 2" xfId="20914"/>
    <cellStyle name="표준 5 3 3 29 4 2 2" xfId="46266"/>
    <cellStyle name="표준 5 3 3 29 4 3" xfId="33594"/>
    <cellStyle name="표준 5 3 3 29 5" xfId="14578"/>
    <cellStyle name="표준 5 3 3 29 5 2" xfId="39930"/>
    <cellStyle name="표준 5 3 3 29 6" xfId="27258"/>
    <cellStyle name="표준 5 3 3 3" xfId="1905"/>
    <cellStyle name="표준 5 3 3 3 2" xfId="1906"/>
    <cellStyle name="표준 5 3 3 3 2 2" xfId="5041"/>
    <cellStyle name="표준 5 3 3 3 2 2 2" xfId="11377"/>
    <cellStyle name="표준 5 3 3 3 2 2 2 2" xfId="24051"/>
    <cellStyle name="표준 5 3 3 3 2 2 2 2 2" xfId="49403"/>
    <cellStyle name="표준 5 3 3 3 2 2 2 3" xfId="36731"/>
    <cellStyle name="표준 5 3 3 3 2 2 3" xfId="17715"/>
    <cellStyle name="표준 5 3 3 3 2 2 3 2" xfId="43067"/>
    <cellStyle name="표준 5 3 3 3 2 2 4" xfId="30395"/>
    <cellStyle name="표준 5 3 3 3 2 3" xfId="8243"/>
    <cellStyle name="표준 5 3 3 3 2 3 2" xfId="20917"/>
    <cellStyle name="표준 5 3 3 3 2 3 2 2" xfId="46269"/>
    <cellStyle name="표준 5 3 3 3 2 3 3" xfId="33597"/>
    <cellStyle name="표준 5 3 3 3 2 4" xfId="14581"/>
    <cellStyle name="표준 5 3 3 3 2 4 2" xfId="39933"/>
    <cellStyle name="표준 5 3 3 3 2 5" xfId="27261"/>
    <cellStyle name="표준 5 3 3 3 3" xfId="5042"/>
    <cellStyle name="표준 5 3 3 3 3 2" xfId="11378"/>
    <cellStyle name="표준 5 3 3 3 3 2 2" xfId="24052"/>
    <cellStyle name="표준 5 3 3 3 3 2 2 2" xfId="49404"/>
    <cellStyle name="표준 5 3 3 3 3 2 3" xfId="36732"/>
    <cellStyle name="표준 5 3 3 3 3 3" xfId="17716"/>
    <cellStyle name="표준 5 3 3 3 3 3 2" xfId="43068"/>
    <cellStyle name="표준 5 3 3 3 3 4" xfId="30396"/>
    <cellStyle name="표준 5 3 3 3 4" xfId="8242"/>
    <cellStyle name="표준 5 3 3 3 4 2" xfId="20916"/>
    <cellStyle name="표준 5 3 3 3 4 2 2" xfId="46268"/>
    <cellStyle name="표준 5 3 3 3 4 3" xfId="33596"/>
    <cellStyle name="표준 5 3 3 3 5" xfId="14580"/>
    <cellStyle name="표준 5 3 3 3 5 2" xfId="39932"/>
    <cellStyle name="표준 5 3 3 3 6" xfId="27260"/>
    <cellStyle name="표준 5 3 3 30" xfId="1907"/>
    <cellStyle name="표준 5 3 3 30 2" xfId="1908"/>
    <cellStyle name="표준 5 3 3 30 2 2" xfId="5043"/>
    <cellStyle name="표준 5 3 3 30 2 2 2" xfId="11379"/>
    <cellStyle name="표준 5 3 3 30 2 2 2 2" xfId="24053"/>
    <cellStyle name="표준 5 3 3 30 2 2 2 2 2" xfId="49405"/>
    <cellStyle name="표준 5 3 3 30 2 2 2 3" xfId="36733"/>
    <cellStyle name="표준 5 3 3 30 2 2 3" xfId="17717"/>
    <cellStyle name="표준 5 3 3 30 2 2 3 2" xfId="43069"/>
    <cellStyle name="표준 5 3 3 30 2 2 4" xfId="30397"/>
    <cellStyle name="표준 5 3 3 30 2 3" xfId="8245"/>
    <cellStyle name="표준 5 3 3 30 2 3 2" xfId="20919"/>
    <cellStyle name="표준 5 3 3 30 2 3 2 2" xfId="46271"/>
    <cellStyle name="표준 5 3 3 30 2 3 3" xfId="33599"/>
    <cellStyle name="표준 5 3 3 30 2 4" xfId="14583"/>
    <cellStyle name="표준 5 3 3 30 2 4 2" xfId="39935"/>
    <cellStyle name="표준 5 3 3 30 2 5" xfId="27263"/>
    <cellStyle name="표준 5 3 3 30 3" xfId="5044"/>
    <cellStyle name="표준 5 3 3 30 3 2" xfId="11380"/>
    <cellStyle name="표준 5 3 3 30 3 2 2" xfId="24054"/>
    <cellStyle name="표준 5 3 3 30 3 2 2 2" xfId="49406"/>
    <cellStyle name="표준 5 3 3 30 3 2 3" xfId="36734"/>
    <cellStyle name="표준 5 3 3 30 3 3" xfId="17718"/>
    <cellStyle name="표준 5 3 3 30 3 3 2" xfId="43070"/>
    <cellStyle name="표준 5 3 3 30 3 4" xfId="30398"/>
    <cellStyle name="표준 5 3 3 30 4" xfId="8244"/>
    <cellStyle name="표준 5 3 3 30 4 2" xfId="20918"/>
    <cellStyle name="표준 5 3 3 30 4 2 2" xfId="46270"/>
    <cellStyle name="표준 5 3 3 30 4 3" xfId="33598"/>
    <cellStyle name="표준 5 3 3 30 5" xfId="14582"/>
    <cellStyle name="표준 5 3 3 30 5 2" xfId="39934"/>
    <cellStyle name="표준 5 3 3 30 6" xfId="27262"/>
    <cellStyle name="표준 5 3 3 31" xfId="1909"/>
    <cellStyle name="표준 5 3 3 31 2" xfId="1910"/>
    <cellStyle name="표준 5 3 3 31 2 2" xfId="5045"/>
    <cellStyle name="표준 5 3 3 31 2 2 2" xfId="11381"/>
    <cellStyle name="표준 5 3 3 31 2 2 2 2" xfId="24055"/>
    <cellStyle name="표준 5 3 3 31 2 2 2 2 2" xfId="49407"/>
    <cellStyle name="표준 5 3 3 31 2 2 2 3" xfId="36735"/>
    <cellStyle name="표준 5 3 3 31 2 2 3" xfId="17719"/>
    <cellStyle name="표준 5 3 3 31 2 2 3 2" xfId="43071"/>
    <cellStyle name="표준 5 3 3 31 2 2 4" xfId="30399"/>
    <cellStyle name="표준 5 3 3 31 2 3" xfId="8247"/>
    <cellStyle name="표준 5 3 3 31 2 3 2" xfId="20921"/>
    <cellStyle name="표준 5 3 3 31 2 3 2 2" xfId="46273"/>
    <cellStyle name="표준 5 3 3 31 2 3 3" xfId="33601"/>
    <cellStyle name="표준 5 3 3 31 2 4" xfId="14585"/>
    <cellStyle name="표준 5 3 3 31 2 4 2" xfId="39937"/>
    <cellStyle name="표준 5 3 3 31 2 5" xfId="27265"/>
    <cellStyle name="표준 5 3 3 31 3" xfId="5046"/>
    <cellStyle name="표준 5 3 3 31 3 2" xfId="11382"/>
    <cellStyle name="표준 5 3 3 31 3 2 2" xfId="24056"/>
    <cellStyle name="표준 5 3 3 31 3 2 2 2" xfId="49408"/>
    <cellStyle name="표준 5 3 3 31 3 2 3" xfId="36736"/>
    <cellStyle name="표준 5 3 3 31 3 3" xfId="17720"/>
    <cellStyle name="표준 5 3 3 31 3 3 2" xfId="43072"/>
    <cellStyle name="표준 5 3 3 31 3 4" xfId="30400"/>
    <cellStyle name="표준 5 3 3 31 4" xfId="8246"/>
    <cellStyle name="표준 5 3 3 31 4 2" xfId="20920"/>
    <cellStyle name="표준 5 3 3 31 4 2 2" xfId="46272"/>
    <cellStyle name="표준 5 3 3 31 4 3" xfId="33600"/>
    <cellStyle name="표준 5 3 3 31 5" xfId="14584"/>
    <cellStyle name="표준 5 3 3 31 5 2" xfId="39936"/>
    <cellStyle name="표준 5 3 3 31 6" xfId="27264"/>
    <cellStyle name="표준 5 3 3 32" xfId="1911"/>
    <cellStyle name="표준 5 3 3 32 2" xfId="1912"/>
    <cellStyle name="표준 5 3 3 32 2 2" xfId="5047"/>
    <cellStyle name="표준 5 3 3 32 2 2 2" xfId="11383"/>
    <cellStyle name="표준 5 3 3 32 2 2 2 2" xfId="24057"/>
    <cellStyle name="표준 5 3 3 32 2 2 2 2 2" xfId="49409"/>
    <cellStyle name="표준 5 3 3 32 2 2 2 3" xfId="36737"/>
    <cellStyle name="표준 5 3 3 32 2 2 3" xfId="17721"/>
    <cellStyle name="표준 5 3 3 32 2 2 3 2" xfId="43073"/>
    <cellStyle name="표준 5 3 3 32 2 2 4" xfId="30401"/>
    <cellStyle name="표준 5 3 3 32 2 3" xfId="8249"/>
    <cellStyle name="표준 5 3 3 32 2 3 2" xfId="20923"/>
    <cellStyle name="표준 5 3 3 32 2 3 2 2" xfId="46275"/>
    <cellStyle name="표준 5 3 3 32 2 3 3" xfId="33603"/>
    <cellStyle name="표준 5 3 3 32 2 4" xfId="14587"/>
    <cellStyle name="표준 5 3 3 32 2 4 2" xfId="39939"/>
    <cellStyle name="표준 5 3 3 32 2 5" xfId="27267"/>
    <cellStyle name="표준 5 3 3 32 3" xfId="5048"/>
    <cellStyle name="표준 5 3 3 32 3 2" xfId="11384"/>
    <cellStyle name="표준 5 3 3 32 3 2 2" xfId="24058"/>
    <cellStyle name="표준 5 3 3 32 3 2 2 2" xfId="49410"/>
    <cellStyle name="표준 5 3 3 32 3 2 3" xfId="36738"/>
    <cellStyle name="표준 5 3 3 32 3 3" xfId="17722"/>
    <cellStyle name="표준 5 3 3 32 3 3 2" xfId="43074"/>
    <cellStyle name="표준 5 3 3 32 3 4" xfId="30402"/>
    <cellStyle name="표준 5 3 3 32 4" xfId="8248"/>
    <cellStyle name="표준 5 3 3 32 4 2" xfId="20922"/>
    <cellStyle name="표준 5 3 3 32 4 2 2" xfId="46274"/>
    <cellStyle name="표준 5 3 3 32 4 3" xfId="33602"/>
    <cellStyle name="표준 5 3 3 32 5" xfId="14586"/>
    <cellStyle name="표준 5 3 3 32 5 2" xfId="39938"/>
    <cellStyle name="표준 5 3 3 32 6" xfId="27266"/>
    <cellStyle name="표준 5 3 3 33" xfId="1913"/>
    <cellStyle name="표준 5 3 3 33 2" xfId="1914"/>
    <cellStyle name="표준 5 3 3 33 2 2" xfId="5049"/>
    <cellStyle name="표준 5 3 3 33 2 2 2" xfId="11385"/>
    <cellStyle name="표준 5 3 3 33 2 2 2 2" xfId="24059"/>
    <cellStyle name="표준 5 3 3 33 2 2 2 2 2" xfId="49411"/>
    <cellStyle name="표준 5 3 3 33 2 2 2 3" xfId="36739"/>
    <cellStyle name="표준 5 3 3 33 2 2 3" xfId="17723"/>
    <cellStyle name="표준 5 3 3 33 2 2 3 2" xfId="43075"/>
    <cellStyle name="표준 5 3 3 33 2 2 4" xfId="30403"/>
    <cellStyle name="표준 5 3 3 33 2 3" xfId="8251"/>
    <cellStyle name="표준 5 3 3 33 2 3 2" xfId="20925"/>
    <cellStyle name="표준 5 3 3 33 2 3 2 2" xfId="46277"/>
    <cellStyle name="표준 5 3 3 33 2 3 3" xfId="33605"/>
    <cellStyle name="표준 5 3 3 33 2 4" xfId="14589"/>
    <cellStyle name="표준 5 3 3 33 2 4 2" xfId="39941"/>
    <cellStyle name="표준 5 3 3 33 2 5" xfId="27269"/>
    <cellStyle name="표준 5 3 3 33 3" xfId="5050"/>
    <cellStyle name="표준 5 3 3 33 3 2" xfId="11386"/>
    <cellStyle name="표준 5 3 3 33 3 2 2" xfId="24060"/>
    <cellStyle name="표준 5 3 3 33 3 2 2 2" xfId="49412"/>
    <cellStyle name="표준 5 3 3 33 3 2 3" xfId="36740"/>
    <cellStyle name="표준 5 3 3 33 3 3" xfId="17724"/>
    <cellStyle name="표준 5 3 3 33 3 3 2" xfId="43076"/>
    <cellStyle name="표준 5 3 3 33 3 4" xfId="30404"/>
    <cellStyle name="표준 5 3 3 33 4" xfId="8250"/>
    <cellStyle name="표준 5 3 3 33 4 2" xfId="20924"/>
    <cellStyle name="표준 5 3 3 33 4 2 2" xfId="46276"/>
    <cellStyle name="표준 5 3 3 33 4 3" xfId="33604"/>
    <cellStyle name="표준 5 3 3 33 5" xfId="14588"/>
    <cellStyle name="표준 5 3 3 33 5 2" xfId="39940"/>
    <cellStyle name="표준 5 3 3 33 6" xfId="27268"/>
    <cellStyle name="표준 5 3 3 34" xfId="1915"/>
    <cellStyle name="표준 5 3 3 34 2" xfId="5051"/>
    <cellStyle name="표준 5 3 3 34 2 2" xfId="11387"/>
    <cellStyle name="표준 5 3 3 34 2 2 2" xfId="24061"/>
    <cellStyle name="표준 5 3 3 34 2 2 2 2" xfId="49413"/>
    <cellStyle name="표준 5 3 3 34 2 2 3" xfId="36741"/>
    <cellStyle name="표준 5 3 3 34 2 3" xfId="17725"/>
    <cellStyle name="표준 5 3 3 34 2 3 2" xfId="43077"/>
    <cellStyle name="표준 5 3 3 34 2 4" xfId="30405"/>
    <cellStyle name="표준 5 3 3 34 3" xfId="8252"/>
    <cellStyle name="표준 5 3 3 34 3 2" xfId="20926"/>
    <cellStyle name="표준 5 3 3 34 3 2 2" xfId="46278"/>
    <cellStyle name="표준 5 3 3 34 3 3" xfId="33606"/>
    <cellStyle name="표준 5 3 3 34 4" xfId="14590"/>
    <cellStyle name="표준 5 3 3 34 4 2" xfId="39942"/>
    <cellStyle name="표준 5 3 3 34 5" xfId="27270"/>
    <cellStyle name="표준 5 3 3 35" xfId="5052"/>
    <cellStyle name="표준 5 3 3 35 2" xfId="11388"/>
    <cellStyle name="표준 5 3 3 35 2 2" xfId="24062"/>
    <cellStyle name="표준 5 3 3 35 2 2 2" xfId="49414"/>
    <cellStyle name="표준 5 3 3 35 2 3" xfId="36742"/>
    <cellStyle name="표준 5 3 3 35 3" xfId="17726"/>
    <cellStyle name="표준 5 3 3 35 3 2" xfId="43078"/>
    <cellStyle name="표준 5 3 3 35 4" xfId="30406"/>
    <cellStyle name="표준 5 3 3 36" xfId="6421"/>
    <cellStyle name="표준 5 3 3 36 2" xfId="19095"/>
    <cellStyle name="표준 5 3 3 36 2 2" xfId="44447"/>
    <cellStyle name="표준 5 3 3 36 3" xfId="31775"/>
    <cellStyle name="표준 5 3 3 37" xfId="12759"/>
    <cellStyle name="표준 5 3 3 37 2" xfId="38111"/>
    <cellStyle name="표준 5 3 3 38" xfId="25439"/>
    <cellStyle name="표준 5 3 3 4" xfId="1916"/>
    <cellStyle name="표준 5 3 3 4 2" xfId="1917"/>
    <cellStyle name="표준 5 3 3 4 2 2" xfId="5053"/>
    <cellStyle name="표준 5 3 3 4 2 2 2" xfId="11389"/>
    <cellStyle name="표준 5 3 3 4 2 2 2 2" xfId="24063"/>
    <cellStyle name="표준 5 3 3 4 2 2 2 2 2" xfId="49415"/>
    <cellStyle name="표준 5 3 3 4 2 2 2 3" xfId="36743"/>
    <cellStyle name="표준 5 3 3 4 2 2 3" xfId="17727"/>
    <cellStyle name="표준 5 3 3 4 2 2 3 2" xfId="43079"/>
    <cellStyle name="표준 5 3 3 4 2 2 4" xfId="30407"/>
    <cellStyle name="표준 5 3 3 4 2 3" xfId="8254"/>
    <cellStyle name="표준 5 3 3 4 2 3 2" xfId="20928"/>
    <cellStyle name="표준 5 3 3 4 2 3 2 2" xfId="46280"/>
    <cellStyle name="표준 5 3 3 4 2 3 3" xfId="33608"/>
    <cellStyle name="표준 5 3 3 4 2 4" xfId="14592"/>
    <cellStyle name="표준 5 3 3 4 2 4 2" xfId="39944"/>
    <cellStyle name="표준 5 3 3 4 2 5" xfId="27272"/>
    <cellStyle name="표준 5 3 3 4 3" xfId="5054"/>
    <cellStyle name="표준 5 3 3 4 3 2" xfId="11390"/>
    <cellStyle name="표준 5 3 3 4 3 2 2" xfId="24064"/>
    <cellStyle name="표준 5 3 3 4 3 2 2 2" xfId="49416"/>
    <cellStyle name="표준 5 3 3 4 3 2 3" xfId="36744"/>
    <cellStyle name="표준 5 3 3 4 3 3" xfId="17728"/>
    <cellStyle name="표준 5 3 3 4 3 3 2" xfId="43080"/>
    <cellStyle name="표준 5 3 3 4 3 4" xfId="30408"/>
    <cellStyle name="표준 5 3 3 4 4" xfId="8253"/>
    <cellStyle name="표준 5 3 3 4 4 2" xfId="20927"/>
    <cellStyle name="표준 5 3 3 4 4 2 2" xfId="46279"/>
    <cellStyle name="표준 5 3 3 4 4 3" xfId="33607"/>
    <cellStyle name="표준 5 3 3 4 5" xfId="14591"/>
    <cellStyle name="표준 5 3 3 4 5 2" xfId="39943"/>
    <cellStyle name="표준 5 3 3 4 6" xfId="27271"/>
    <cellStyle name="표준 5 3 3 5" xfId="1918"/>
    <cellStyle name="표준 5 3 3 5 2" xfId="1919"/>
    <cellStyle name="표준 5 3 3 5 2 2" xfId="5055"/>
    <cellStyle name="표준 5 3 3 5 2 2 2" xfId="11391"/>
    <cellStyle name="표준 5 3 3 5 2 2 2 2" xfId="24065"/>
    <cellStyle name="표준 5 3 3 5 2 2 2 2 2" xfId="49417"/>
    <cellStyle name="표준 5 3 3 5 2 2 2 3" xfId="36745"/>
    <cellStyle name="표준 5 3 3 5 2 2 3" xfId="17729"/>
    <cellStyle name="표준 5 3 3 5 2 2 3 2" xfId="43081"/>
    <cellStyle name="표준 5 3 3 5 2 2 4" xfId="30409"/>
    <cellStyle name="표준 5 3 3 5 2 3" xfId="8256"/>
    <cellStyle name="표준 5 3 3 5 2 3 2" xfId="20930"/>
    <cellStyle name="표준 5 3 3 5 2 3 2 2" xfId="46282"/>
    <cellStyle name="표준 5 3 3 5 2 3 3" xfId="33610"/>
    <cellStyle name="표준 5 3 3 5 2 4" xfId="14594"/>
    <cellStyle name="표준 5 3 3 5 2 4 2" xfId="39946"/>
    <cellStyle name="표준 5 3 3 5 2 5" xfId="27274"/>
    <cellStyle name="표준 5 3 3 5 3" xfId="5056"/>
    <cellStyle name="표준 5 3 3 5 3 2" xfId="11392"/>
    <cellStyle name="표준 5 3 3 5 3 2 2" xfId="24066"/>
    <cellStyle name="표준 5 3 3 5 3 2 2 2" xfId="49418"/>
    <cellStyle name="표준 5 3 3 5 3 2 3" xfId="36746"/>
    <cellStyle name="표준 5 3 3 5 3 3" xfId="17730"/>
    <cellStyle name="표준 5 3 3 5 3 3 2" xfId="43082"/>
    <cellStyle name="표준 5 3 3 5 3 4" xfId="30410"/>
    <cellStyle name="표준 5 3 3 5 4" xfId="8255"/>
    <cellStyle name="표준 5 3 3 5 4 2" xfId="20929"/>
    <cellStyle name="표준 5 3 3 5 4 2 2" xfId="46281"/>
    <cellStyle name="표준 5 3 3 5 4 3" xfId="33609"/>
    <cellStyle name="표준 5 3 3 5 5" xfId="14593"/>
    <cellStyle name="표준 5 3 3 5 5 2" xfId="39945"/>
    <cellStyle name="표준 5 3 3 5 6" xfId="27273"/>
    <cellStyle name="표준 5 3 3 6" xfId="1920"/>
    <cellStyle name="표준 5 3 3 6 2" xfId="1921"/>
    <cellStyle name="표준 5 3 3 6 2 2" xfId="5057"/>
    <cellStyle name="표준 5 3 3 6 2 2 2" xfId="11393"/>
    <cellStyle name="표준 5 3 3 6 2 2 2 2" xfId="24067"/>
    <cellStyle name="표준 5 3 3 6 2 2 2 2 2" xfId="49419"/>
    <cellStyle name="표준 5 3 3 6 2 2 2 3" xfId="36747"/>
    <cellStyle name="표준 5 3 3 6 2 2 3" xfId="17731"/>
    <cellStyle name="표준 5 3 3 6 2 2 3 2" xfId="43083"/>
    <cellStyle name="표준 5 3 3 6 2 2 4" xfId="30411"/>
    <cellStyle name="표준 5 3 3 6 2 3" xfId="8258"/>
    <cellStyle name="표준 5 3 3 6 2 3 2" xfId="20932"/>
    <cellStyle name="표준 5 3 3 6 2 3 2 2" xfId="46284"/>
    <cellStyle name="표준 5 3 3 6 2 3 3" xfId="33612"/>
    <cellStyle name="표준 5 3 3 6 2 4" xfId="14596"/>
    <cellStyle name="표준 5 3 3 6 2 4 2" xfId="39948"/>
    <cellStyle name="표준 5 3 3 6 2 5" xfId="27276"/>
    <cellStyle name="표준 5 3 3 6 3" xfId="5058"/>
    <cellStyle name="표준 5 3 3 6 3 2" xfId="11394"/>
    <cellStyle name="표준 5 3 3 6 3 2 2" xfId="24068"/>
    <cellStyle name="표준 5 3 3 6 3 2 2 2" xfId="49420"/>
    <cellStyle name="표준 5 3 3 6 3 2 3" xfId="36748"/>
    <cellStyle name="표준 5 3 3 6 3 3" xfId="17732"/>
    <cellStyle name="표준 5 3 3 6 3 3 2" xfId="43084"/>
    <cellStyle name="표준 5 3 3 6 3 4" xfId="30412"/>
    <cellStyle name="표준 5 3 3 6 4" xfId="8257"/>
    <cellStyle name="표준 5 3 3 6 4 2" xfId="20931"/>
    <cellStyle name="표준 5 3 3 6 4 2 2" xfId="46283"/>
    <cellStyle name="표준 5 3 3 6 4 3" xfId="33611"/>
    <cellStyle name="표준 5 3 3 6 5" xfId="14595"/>
    <cellStyle name="표준 5 3 3 6 5 2" xfId="39947"/>
    <cellStyle name="표준 5 3 3 6 6" xfId="27275"/>
    <cellStyle name="표준 5 3 3 7" xfId="1922"/>
    <cellStyle name="표준 5 3 3 7 2" xfId="1923"/>
    <cellStyle name="표준 5 3 3 7 2 2" xfId="5059"/>
    <cellStyle name="표준 5 3 3 7 2 2 2" xfId="11395"/>
    <cellStyle name="표준 5 3 3 7 2 2 2 2" xfId="24069"/>
    <cellStyle name="표준 5 3 3 7 2 2 2 2 2" xfId="49421"/>
    <cellStyle name="표준 5 3 3 7 2 2 2 3" xfId="36749"/>
    <cellStyle name="표준 5 3 3 7 2 2 3" xfId="17733"/>
    <cellStyle name="표준 5 3 3 7 2 2 3 2" xfId="43085"/>
    <cellStyle name="표준 5 3 3 7 2 2 4" xfId="30413"/>
    <cellStyle name="표준 5 3 3 7 2 3" xfId="8260"/>
    <cellStyle name="표준 5 3 3 7 2 3 2" xfId="20934"/>
    <cellStyle name="표준 5 3 3 7 2 3 2 2" xfId="46286"/>
    <cellStyle name="표준 5 3 3 7 2 3 3" xfId="33614"/>
    <cellStyle name="표준 5 3 3 7 2 4" xfId="14598"/>
    <cellStyle name="표준 5 3 3 7 2 4 2" xfId="39950"/>
    <cellStyle name="표준 5 3 3 7 2 5" xfId="27278"/>
    <cellStyle name="표준 5 3 3 7 3" xfId="5060"/>
    <cellStyle name="표준 5 3 3 7 3 2" xfId="11396"/>
    <cellStyle name="표준 5 3 3 7 3 2 2" xfId="24070"/>
    <cellStyle name="표준 5 3 3 7 3 2 2 2" xfId="49422"/>
    <cellStyle name="표준 5 3 3 7 3 2 3" xfId="36750"/>
    <cellStyle name="표준 5 3 3 7 3 3" xfId="17734"/>
    <cellStyle name="표준 5 3 3 7 3 3 2" xfId="43086"/>
    <cellStyle name="표준 5 3 3 7 3 4" xfId="30414"/>
    <cellStyle name="표준 5 3 3 7 4" xfId="8259"/>
    <cellStyle name="표준 5 3 3 7 4 2" xfId="20933"/>
    <cellStyle name="표준 5 3 3 7 4 2 2" xfId="46285"/>
    <cellStyle name="표준 5 3 3 7 4 3" xfId="33613"/>
    <cellStyle name="표준 5 3 3 7 5" xfId="14597"/>
    <cellStyle name="표준 5 3 3 7 5 2" xfId="39949"/>
    <cellStyle name="표준 5 3 3 7 6" xfId="27277"/>
    <cellStyle name="표준 5 3 3 8" xfId="1924"/>
    <cellStyle name="표준 5 3 3 8 2" xfId="1925"/>
    <cellStyle name="표준 5 3 3 8 2 2" xfId="5061"/>
    <cellStyle name="표준 5 3 3 8 2 2 2" xfId="11397"/>
    <cellStyle name="표준 5 3 3 8 2 2 2 2" xfId="24071"/>
    <cellStyle name="표준 5 3 3 8 2 2 2 2 2" xfId="49423"/>
    <cellStyle name="표준 5 3 3 8 2 2 2 3" xfId="36751"/>
    <cellStyle name="표준 5 3 3 8 2 2 3" xfId="17735"/>
    <cellStyle name="표준 5 3 3 8 2 2 3 2" xfId="43087"/>
    <cellStyle name="표준 5 3 3 8 2 2 4" xfId="30415"/>
    <cellStyle name="표준 5 3 3 8 2 3" xfId="8262"/>
    <cellStyle name="표준 5 3 3 8 2 3 2" xfId="20936"/>
    <cellStyle name="표준 5 3 3 8 2 3 2 2" xfId="46288"/>
    <cellStyle name="표준 5 3 3 8 2 3 3" xfId="33616"/>
    <cellStyle name="표준 5 3 3 8 2 4" xfId="14600"/>
    <cellStyle name="표준 5 3 3 8 2 4 2" xfId="39952"/>
    <cellStyle name="표준 5 3 3 8 2 5" xfId="27280"/>
    <cellStyle name="표준 5 3 3 8 3" xfId="5062"/>
    <cellStyle name="표준 5 3 3 8 3 2" xfId="11398"/>
    <cellStyle name="표준 5 3 3 8 3 2 2" xfId="24072"/>
    <cellStyle name="표준 5 3 3 8 3 2 2 2" xfId="49424"/>
    <cellStyle name="표준 5 3 3 8 3 2 3" xfId="36752"/>
    <cellStyle name="표준 5 3 3 8 3 3" xfId="17736"/>
    <cellStyle name="표준 5 3 3 8 3 3 2" xfId="43088"/>
    <cellStyle name="표준 5 3 3 8 3 4" xfId="30416"/>
    <cellStyle name="표준 5 3 3 8 4" xfId="8261"/>
    <cellStyle name="표준 5 3 3 8 4 2" xfId="20935"/>
    <cellStyle name="표준 5 3 3 8 4 2 2" xfId="46287"/>
    <cellStyle name="표준 5 3 3 8 4 3" xfId="33615"/>
    <cellStyle name="표준 5 3 3 8 5" xfId="14599"/>
    <cellStyle name="표준 5 3 3 8 5 2" xfId="39951"/>
    <cellStyle name="표준 5 3 3 8 6" xfId="27279"/>
    <cellStyle name="표준 5 3 3 9" xfId="1926"/>
    <cellStyle name="표준 5 3 3 9 2" xfId="1927"/>
    <cellStyle name="표준 5 3 3 9 2 2" xfId="5063"/>
    <cellStyle name="표준 5 3 3 9 2 2 2" xfId="11399"/>
    <cellStyle name="표준 5 3 3 9 2 2 2 2" xfId="24073"/>
    <cellStyle name="표준 5 3 3 9 2 2 2 2 2" xfId="49425"/>
    <cellStyle name="표준 5 3 3 9 2 2 2 3" xfId="36753"/>
    <cellStyle name="표준 5 3 3 9 2 2 3" xfId="17737"/>
    <cellStyle name="표준 5 3 3 9 2 2 3 2" xfId="43089"/>
    <cellStyle name="표준 5 3 3 9 2 2 4" xfId="30417"/>
    <cellStyle name="표준 5 3 3 9 2 3" xfId="8264"/>
    <cellStyle name="표준 5 3 3 9 2 3 2" xfId="20938"/>
    <cellStyle name="표준 5 3 3 9 2 3 2 2" xfId="46290"/>
    <cellStyle name="표준 5 3 3 9 2 3 3" xfId="33618"/>
    <cellStyle name="표준 5 3 3 9 2 4" xfId="14602"/>
    <cellStyle name="표준 5 3 3 9 2 4 2" xfId="39954"/>
    <cellStyle name="표준 5 3 3 9 2 5" xfId="27282"/>
    <cellStyle name="표준 5 3 3 9 3" xfId="5064"/>
    <cellStyle name="표준 5 3 3 9 3 2" xfId="11400"/>
    <cellStyle name="표준 5 3 3 9 3 2 2" xfId="24074"/>
    <cellStyle name="표준 5 3 3 9 3 2 2 2" xfId="49426"/>
    <cellStyle name="표준 5 3 3 9 3 2 3" xfId="36754"/>
    <cellStyle name="표준 5 3 3 9 3 3" xfId="17738"/>
    <cellStyle name="표준 5 3 3 9 3 3 2" xfId="43090"/>
    <cellStyle name="표준 5 3 3 9 3 4" xfId="30418"/>
    <cellStyle name="표준 5 3 3 9 4" xfId="8263"/>
    <cellStyle name="표준 5 3 3 9 4 2" xfId="20937"/>
    <cellStyle name="표준 5 3 3 9 4 2 2" xfId="46289"/>
    <cellStyle name="표준 5 3 3 9 4 3" xfId="33617"/>
    <cellStyle name="표준 5 3 3 9 5" xfId="14601"/>
    <cellStyle name="표준 5 3 3 9 5 2" xfId="39953"/>
    <cellStyle name="표준 5 3 3 9 6" xfId="27281"/>
    <cellStyle name="표준 5 3 30" xfId="1928"/>
    <cellStyle name="표준 5 3 30 2" xfId="1929"/>
    <cellStyle name="표준 5 3 30 2 2" xfId="5065"/>
    <cellStyle name="표준 5 3 30 2 2 2" xfId="11401"/>
    <cellStyle name="표준 5 3 30 2 2 2 2" xfId="24075"/>
    <cellStyle name="표준 5 3 30 2 2 2 2 2" xfId="49427"/>
    <cellStyle name="표준 5 3 30 2 2 2 3" xfId="36755"/>
    <cellStyle name="표준 5 3 30 2 2 3" xfId="17739"/>
    <cellStyle name="표준 5 3 30 2 2 3 2" xfId="43091"/>
    <cellStyle name="표준 5 3 30 2 2 4" xfId="30419"/>
    <cellStyle name="표준 5 3 30 2 3" xfId="8266"/>
    <cellStyle name="표준 5 3 30 2 3 2" xfId="20940"/>
    <cellStyle name="표준 5 3 30 2 3 2 2" xfId="46292"/>
    <cellStyle name="표준 5 3 30 2 3 3" xfId="33620"/>
    <cellStyle name="표준 5 3 30 2 4" xfId="14604"/>
    <cellStyle name="표준 5 3 30 2 4 2" xfId="39956"/>
    <cellStyle name="표준 5 3 30 2 5" xfId="27284"/>
    <cellStyle name="표준 5 3 30 3" xfId="5066"/>
    <cellStyle name="표준 5 3 30 3 2" xfId="11402"/>
    <cellStyle name="표준 5 3 30 3 2 2" xfId="24076"/>
    <cellStyle name="표준 5 3 30 3 2 2 2" xfId="49428"/>
    <cellStyle name="표준 5 3 30 3 2 3" xfId="36756"/>
    <cellStyle name="표준 5 3 30 3 3" xfId="17740"/>
    <cellStyle name="표준 5 3 30 3 3 2" xfId="43092"/>
    <cellStyle name="표준 5 3 30 3 4" xfId="30420"/>
    <cellStyle name="표준 5 3 30 4" xfId="8265"/>
    <cellStyle name="표준 5 3 30 4 2" xfId="20939"/>
    <cellStyle name="표준 5 3 30 4 2 2" xfId="46291"/>
    <cellStyle name="표준 5 3 30 4 3" xfId="33619"/>
    <cellStyle name="표준 5 3 30 5" xfId="14603"/>
    <cellStyle name="표준 5 3 30 5 2" xfId="39955"/>
    <cellStyle name="표준 5 3 30 6" xfId="27283"/>
    <cellStyle name="표준 5 3 31" xfId="1930"/>
    <cellStyle name="표준 5 3 31 2" xfId="1931"/>
    <cellStyle name="표준 5 3 31 2 2" xfId="5067"/>
    <cellStyle name="표준 5 3 31 2 2 2" xfId="11403"/>
    <cellStyle name="표준 5 3 31 2 2 2 2" xfId="24077"/>
    <cellStyle name="표준 5 3 31 2 2 2 2 2" xfId="49429"/>
    <cellStyle name="표준 5 3 31 2 2 2 3" xfId="36757"/>
    <cellStyle name="표준 5 3 31 2 2 3" xfId="17741"/>
    <cellStyle name="표준 5 3 31 2 2 3 2" xfId="43093"/>
    <cellStyle name="표준 5 3 31 2 2 4" xfId="30421"/>
    <cellStyle name="표준 5 3 31 2 3" xfId="8268"/>
    <cellStyle name="표준 5 3 31 2 3 2" xfId="20942"/>
    <cellStyle name="표준 5 3 31 2 3 2 2" xfId="46294"/>
    <cellStyle name="표준 5 3 31 2 3 3" xfId="33622"/>
    <cellStyle name="표준 5 3 31 2 4" xfId="14606"/>
    <cellStyle name="표준 5 3 31 2 4 2" xfId="39958"/>
    <cellStyle name="표준 5 3 31 2 5" xfId="27286"/>
    <cellStyle name="표준 5 3 31 3" xfId="5068"/>
    <cellStyle name="표준 5 3 31 3 2" xfId="11404"/>
    <cellStyle name="표준 5 3 31 3 2 2" xfId="24078"/>
    <cellStyle name="표준 5 3 31 3 2 2 2" xfId="49430"/>
    <cellStyle name="표준 5 3 31 3 2 3" xfId="36758"/>
    <cellStyle name="표준 5 3 31 3 3" xfId="17742"/>
    <cellStyle name="표준 5 3 31 3 3 2" xfId="43094"/>
    <cellStyle name="표준 5 3 31 3 4" xfId="30422"/>
    <cellStyle name="표준 5 3 31 4" xfId="8267"/>
    <cellStyle name="표준 5 3 31 4 2" xfId="20941"/>
    <cellStyle name="표준 5 3 31 4 2 2" xfId="46293"/>
    <cellStyle name="표준 5 3 31 4 3" xfId="33621"/>
    <cellStyle name="표준 5 3 31 5" xfId="14605"/>
    <cellStyle name="표준 5 3 31 5 2" xfId="39957"/>
    <cellStyle name="표준 5 3 31 6" xfId="27285"/>
    <cellStyle name="표준 5 3 32" xfId="1932"/>
    <cellStyle name="표준 5 3 32 2" xfId="1933"/>
    <cellStyle name="표준 5 3 32 2 2" xfId="5069"/>
    <cellStyle name="표준 5 3 32 2 2 2" xfId="11405"/>
    <cellStyle name="표준 5 3 32 2 2 2 2" xfId="24079"/>
    <cellStyle name="표준 5 3 32 2 2 2 2 2" xfId="49431"/>
    <cellStyle name="표준 5 3 32 2 2 2 3" xfId="36759"/>
    <cellStyle name="표준 5 3 32 2 2 3" xfId="17743"/>
    <cellStyle name="표준 5 3 32 2 2 3 2" xfId="43095"/>
    <cellStyle name="표준 5 3 32 2 2 4" xfId="30423"/>
    <cellStyle name="표준 5 3 32 2 3" xfId="8270"/>
    <cellStyle name="표준 5 3 32 2 3 2" xfId="20944"/>
    <cellStyle name="표준 5 3 32 2 3 2 2" xfId="46296"/>
    <cellStyle name="표준 5 3 32 2 3 3" xfId="33624"/>
    <cellStyle name="표준 5 3 32 2 4" xfId="14608"/>
    <cellStyle name="표준 5 3 32 2 4 2" xfId="39960"/>
    <cellStyle name="표준 5 3 32 2 5" xfId="27288"/>
    <cellStyle name="표준 5 3 32 3" xfId="5070"/>
    <cellStyle name="표준 5 3 32 3 2" xfId="11406"/>
    <cellStyle name="표준 5 3 32 3 2 2" xfId="24080"/>
    <cellStyle name="표준 5 3 32 3 2 2 2" xfId="49432"/>
    <cellStyle name="표준 5 3 32 3 2 3" xfId="36760"/>
    <cellStyle name="표준 5 3 32 3 3" xfId="17744"/>
    <cellStyle name="표준 5 3 32 3 3 2" xfId="43096"/>
    <cellStyle name="표준 5 3 32 3 4" xfId="30424"/>
    <cellStyle name="표준 5 3 32 4" xfId="8269"/>
    <cellStyle name="표준 5 3 32 4 2" xfId="20943"/>
    <cellStyle name="표준 5 3 32 4 2 2" xfId="46295"/>
    <cellStyle name="표준 5 3 32 4 3" xfId="33623"/>
    <cellStyle name="표준 5 3 32 5" xfId="14607"/>
    <cellStyle name="표준 5 3 32 5 2" xfId="39959"/>
    <cellStyle name="표준 5 3 32 6" xfId="27287"/>
    <cellStyle name="표준 5 3 33" xfId="1934"/>
    <cellStyle name="표준 5 3 33 2" xfId="1935"/>
    <cellStyle name="표준 5 3 33 2 2" xfId="5071"/>
    <cellStyle name="표준 5 3 33 2 2 2" xfId="11407"/>
    <cellStyle name="표준 5 3 33 2 2 2 2" xfId="24081"/>
    <cellStyle name="표준 5 3 33 2 2 2 2 2" xfId="49433"/>
    <cellStyle name="표준 5 3 33 2 2 2 3" xfId="36761"/>
    <cellStyle name="표준 5 3 33 2 2 3" xfId="17745"/>
    <cellStyle name="표준 5 3 33 2 2 3 2" xfId="43097"/>
    <cellStyle name="표준 5 3 33 2 2 4" xfId="30425"/>
    <cellStyle name="표준 5 3 33 2 3" xfId="8272"/>
    <cellStyle name="표준 5 3 33 2 3 2" xfId="20946"/>
    <cellStyle name="표준 5 3 33 2 3 2 2" xfId="46298"/>
    <cellStyle name="표준 5 3 33 2 3 3" xfId="33626"/>
    <cellStyle name="표준 5 3 33 2 4" xfId="14610"/>
    <cellStyle name="표준 5 3 33 2 4 2" xfId="39962"/>
    <cellStyle name="표준 5 3 33 2 5" xfId="27290"/>
    <cellStyle name="표준 5 3 33 3" xfId="5072"/>
    <cellStyle name="표준 5 3 33 3 2" xfId="11408"/>
    <cellStyle name="표준 5 3 33 3 2 2" xfId="24082"/>
    <cellStyle name="표준 5 3 33 3 2 2 2" xfId="49434"/>
    <cellStyle name="표준 5 3 33 3 2 3" xfId="36762"/>
    <cellStyle name="표준 5 3 33 3 3" xfId="17746"/>
    <cellStyle name="표준 5 3 33 3 3 2" xfId="43098"/>
    <cellStyle name="표준 5 3 33 3 4" xfId="30426"/>
    <cellStyle name="표준 5 3 33 4" xfId="8271"/>
    <cellStyle name="표준 5 3 33 4 2" xfId="20945"/>
    <cellStyle name="표준 5 3 33 4 2 2" xfId="46297"/>
    <cellStyle name="표준 5 3 33 4 3" xfId="33625"/>
    <cellStyle name="표준 5 3 33 5" xfId="14609"/>
    <cellStyle name="표준 5 3 33 5 2" xfId="39961"/>
    <cellStyle name="표준 5 3 33 6" xfId="27289"/>
    <cellStyle name="표준 5 3 34" xfId="1936"/>
    <cellStyle name="표준 5 3 34 2" xfId="1937"/>
    <cellStyle name="표준 5 3 34 2 2" xfId="5073"/>
    <cellStyle name="표준 5 3 34 2 2 2" xfId="11409"/>
    <cellStyle name="표준 5 3 34 2 2 2 2" xfId="24083"/>
    <cellStyle name="표준 5 3 34 2 2 2 2 2" xfId="49435"/>
    <cellStyle name="표준 5 3 34 2 2 2 3" xfId="36763"/>
    <cellStyle name="표준 5 3 34 2 2 3" xfId="17747"/>
    <cellStyle name="표준 5 3 34 2 2 3 2" xfId="43099"/>
    <cellStyle name="표준 5 3 34 2 2 4" xfId="30427"/>
    <cellStyle name="표준 5 3 34 2 3" xfId="8274"/>
    <cellStyle name="표준 5 3 34 2 3 2" xfId="20948"/>
    <cellStyle name="표준 5 3 34 2 3 2 2" xfId="46300"/>
    <cellStyle name="표준 5 3 34 2 3 3" xfId="33628"/>
    <cellStyle name="표준 5 3 34 2 4" xfId="14612"/>
    <cellStyle name="표준 5 3 34 2 4 2" xfId="39964"/>
    <cellStyle name="표준 5 3 34 2 5" xfId="27292"/>
    <cellStyle name="표준 5 3 34 3" xfId="5074"/>
    <cellStyle name="표준 5 3 34 3 2" xfId="11410"/>
    <cellStyle name="표준 5 3 34 3 2 2" xfId="24084"/>
    <cellStyle name="표준 5 3 34 3 2 2 2" xfId="49436"/>
    <cellStyle name="표준 5 3 34 3 2 3" xfId="36764"/>
    <cellStyle name="표준 5 3 34 3 3" xfId="17748"/>
    <cellStyle name="표준 5 3 34 3 3 2" xfId="43100"/>
    <cellStyle name="표준 5 3 34 3 4" xfId="30428"/>
    <cellStyle name="표준 5 3 34 4" xfId="8273"/>
    <cellStyle name="표준 5 3 34 4 2" xfId="20947"/>
    <cellStyle name="표준 5 3 34 4 2 2" xfId="46299"/>
    <cellStyle name="표준 5 3 34 4 3" xfId="33627"/>
    <cellStyle name="표준 5 3 34 5" xfId="14611"/>
    <cellStyle name="표준 5 3 34 5 2" xfId="39963"/>
    <cellStyle name="표준 5 3 34 6" xfId="27291"/>
    <cellStyle name="표준 5 3 35" xfId="1938"/>
    <cellStyle name="표준 5 3 35 2" xfId="1939"/>
    <cellStyle name="표준 5 3 35 2 2" xfId="5075"/>
    <cellStyle name="표준 5 3 35 2 2 2" xfId="11411"/>
    <cellStyle name="표준 5 3 35 2 2 2 2" xfId="24085"/>
    <cellStyle name="표준 5 3 35 2 2 2 2 2" xfId="49437"/>
    <cellStyle name="표준 5 3 35 2 2 2 3" xfId="36765"/>
    <cellStyle name="표준 5 3 35 2 2 3" xfId="17749"/>
    <cellStyle name="표준 5 3 35 2 2 3 2" xfId="43101"/>
    <cellStyle name="표준 5 3 35 2 2 4" xfId="30429"/>
    <cellStyle name="표준 5 3 35 2 3" xfId="8276"/>
    <cellStyle name="표준 5 3 35 2 3 2" xfId="20950"/>
    <cellStyle name="표준 5 3 35 2 3 2 2" xfId="46302"/>
    <cellStyle name="표준 5 3 35 2 3 3" xfId="33630"/>
    <cellStyle name="표준 5 3 35 2 4" xfId="14614"/>
    <cellStyle name="표준 5 3 35 2 4 2" xfId="39966"/>
    <cellStyle name="표준 5 3 35 2 5" xfId="27294"/>
    <cellStyle name="표준 5 3 35 3" xfId="5076"/>
    <cellStyle name="표준 5 3 35 3 2" xfId="11412"/>
    <cellStyle name="표준 5 3 35 3 2 2" xfId="24086"/>
    <cellStyle name="표준 5 3 35 3 2 2 2" xfId="49438"/>
    <cellStyle name="표준 5 3 35 3 2 3" xfId="36766"/>
    <cellStyle name="표준 5 3 35 3 3" xfId="17750"/>
    <cellStyle name="표준 5 3 35 3 3 2" xfId="43102"/>
    <cellStyle name="표준 5 3 35 3 4" xfId="30430"/>
    <cellStyle name="표준 5 3 35 4" xfId="8275"/>
    <cellStyle name="표준 5 3 35 4 2" xfId="20949"/>
    <cellStyle name="표준 5 3 35 4 2 2" xfId="46301"/>
    <cellStyle name="표준 5 3 35 4 3" xfId="33629"/>
    <cellStyle name="표준 5 3 35 5" xfId="14613"/>
    <cellStyle name="표준 5 3 35 5 2" xfId="39965"/>
    <cellStyle name="표준 5 3 35 6" xfId="27293"/>
    <cellStyle name="표준 5 3 36" xfId="1940"/>
    <cellStyle name="표준 5 3 36 2" xfId="5077"/>
    <cellStyle name="표준 5 3 36 2 2" xfId="11413"/>
    <cellStyle name="표준 5 3 36 2 2 2" xfId="24087"/>
    <cellStyle name="표준 5 3 36 2 2 2 2" xfId="49439"/>
    <cellStyle name="표준 5 3 36 2 2 3" xfId="36767"/>
    <cellStyle name="표준 5 3 36 2 3" xfId="17751"/>
    <cellStyle name="표준 5 3 36 2 3 2" xfId="43103"/>
    <cellStyle name="표준 5 3 36 2 4" xfId="30431"/>
    <cellStyle name="표준 5 3 36 3" xfId="8277"/>
    <cellStyle name="표준 5 3 36 3 2" xfId="20951"/>
    <cellStyle name="표준 5 3 36 3 2 2" xfId="46303"/>
    <cellStyle name="표준 5 3 36 3 3" xfId="33631"/>
    <cellStyle name="표준 5 3 36 4" xfId="14615"/>
    <cellStyle name="표준 5 3 36 4 2" xfId="39967"/>
    <cellStyle name="표준 5 3 36 5" xfId="27295"/>
    <cellStyle name="표준 5 3 37" xfId="5078"/>
    <cellStyle name="표준 5 3 37 2" xfId="11414"/>
    <cellStyle name="표준 5 3 37 2 2" xfId="24088"/>
    <cellStyle name="표준 5 3 37 2 2 2" xfId="49440"/>
    <cellStyle name="표준 5 3 37 2 3" xfId="36768"/>
    <cellStyle name="표준 5 3 37 3" xfId="17752"/>
    <cellStyle name="표준 5 3 37 3 2" xfId="43104"/>
    <cellStyle name="표준 5 3 37 4" xfId="30432"/>
    <cellStyle name="표준 5 3 38" xfId="6377"/>
    <cellStyle name="표준 5 3 38 2" xfId="19051"/>
    <cellStyle name="표준 5 3 38 2 2" xfId="44403"/>
    <cellStyle name="표준 5 3 38 3" xfId="31731"/>
    <cellStyle name="표준 5 3 39" xfId="12715"/>
    <cellStyle name="표준 5 3 39 2" xfId="38067"/>
    <cellStyle name="표준 5 3 4" xfId="84"/>
    <cellStyle name="표준 5 3 4 2" xfId="1941"/>
    <cellStyle name="표준 5 3 4 2 2" xfId="5079"/>
    <cellStyle name="표준 5 3 4 2 2 2" xfId="11415"/>
    <cellStyle name="표준 5 3 4 2 2 2 2" xfId="24089"/>
    <cellStyle name="표준 5 3 4 2 2 2 2 2" xfId="49441"/>
    <cellStyle name="표준 5 3 4 2 2 2 3" xfId="36769"/>
    <cellStyle name="표준 5 3 4 2 2 3" xfId="17753"/>
    <cellStyle name="표준 5 3 4 2 2 3 2" xfId="43105"/>
    <cellStyle name="표준 5 3 4 2 2 4" xfId="30433"/>
    <cellStyle name="표준 5 3 4 2 3" xfId="8278"/>
    <cellStyle name="표준 5 3 4 2 3 2" xfId="20952"/>
    <cellStyle name="표준 5 3 4 2 3 2 2" xfId="46304"/>
    <cellStyle name="표준 5 3 4 2 3 3" xfId="33632"/>
    <cellStyle name="표준 5 3 4 2 4" xfId="14616"/>
    <cellStyle name="표준 5 3 4 2 4 2" xfId="39968"/>
    <cellStyle name="표준 5 3 4 2 5" xfId="27296"/>
    <cellStyle name="표준 5 3 4 3" xfId="5080"/>
    <cellStyle name="표준 5 3 4 3 2" xfId="11416"/>
    <cellStyle name="표준 5 3 4 3 2 2" xfId="24090"/>
    <cellStyle name="표준 5 3 4 3 2 2 2" xfId="49442"/>
    <cellStyle name="표준 5 3 4 3 2 3" xfId="36770"/>
    <cellStyle name="표준 5 3 4 3 3" xfId="17754"/>
    <cellStyle name="표준 5 3 4 3 3 2" xfId="43106"/>
    <cellStyle name="표준 5 3 4 3 4" xfId="30434"/>
    <cellStyle name="표준 5 3 4 4" xfId="6422"/>
    <cellStyle name="표준 5 3 4 4 2" xfId="19096"/>
    <cellStyle name="표준 5 3 4 4 2 2" xfId="44448"/>
    <cellStyle name="표준 5 3 4 4 3" xfId="31776"/>
    <cellStyle name="표준 5 3 4 5" xfId="12760"/>
    <cellStyle name="표준 5 3 4 5 2" xfId="38112"/>
    <cellStyle name="표준 5 3 4 6" xfId="25440"/>
    <cellStyle name="표준 5 3 40" xfId="25395"/>
    <cellStyle name="표준 5 3 5" xfId="1942"/>
    <cellStyle name="표준 5 3 5 2" xfId="1943"/>
    <cellStyle name="표준 5 3 5 2 2" xfId="5081"/>
    <cellStyle name="표준 5 3 5 2 2 2" xfId="11417"/>
    <cellStyle name="표준 5 3 5 2 2 2 2" xfId="24091"/>
    <cellStyle name="표준 5 3 5 2 2 2 2 2" xfId="49443"/>
    <cellStyle name="표준 5 3 5 2 2 2 3" xfId="36771"/>
    <cellStyle name="표준 5 3 5 2 2 3" xfId="17755"/>
    <cellStyle name="표준 5 3 5 2 2 3 2" xfId="43107"/>
    <cellStyle name="표준 5 3 5 2 2 4" xfId="30435"/>
    <cellStyle name="표준 5 3 5 2 3" xfId="8280"/>
    <cellStyle name="표준 5 3 5 2 3 2" xfId="20954"/>
    <cellStyle name="표준 5 3 5 2 3 2 2" xfId="46306"/>
    <cellStyle name="표준 5 3 5 2 3 3" xfId="33634"/>
    <cellStyle name="표준 5 3 5 2 4" xfId="14618"/>
    <cellStyle name="표준 5 3 5 2 4 2" xfId="39970"/>
    <cellStyle name="표준 5 3 5 2 5" xfId="27298"/>
    <cellStyle name="표준 5 3 5 3" xfId="5082"/>
    <cellStyle name="표준 5 3 5 3 2" xfId="11418"/>
    <cellStyle name="표준 5 3 5 3 2 2" xfId="24092"/>
    <cellStyle name="표준 5 3 5 3 2 2 2" xfId="49444"/>
    <cellStyle name="표준 5 3 5 3 2 3" xfId="36772"/>
    <cellStyle name="표준 5 3 5 3 3" xfId="17756"/>
    <cellStyle name="표준 5 3 5 3 3 2" xfId="43108"/>
    <cellStyle name="표준 5 3 5 3 4" xfId="30436"/>
    <cellStyle name="표준 5 3 5 4" xfId="8279"/>
    <cellStyle name="표준 5 3 5 4 2" xfId="20953"/>
    <cellStyle name="표준 5 3 5 4 2 2" xfId="46305"/>
    <cellStyle name="표준 5 3 5 4 3" xfId="33633"/>
    <cellStyle name="표준 5 3 5 5" xfId="14617"/>
    <cellStyle name="표준 5 3 5 5 2" xfId="39969"/>
    <cellStyle name="표준 5 3 5 6" xfId="27297"/>
    <cellStyle name="표준 5 3 6" xfId="1944"/>
    <cellStyle name="표준 5 3 6 2" xfId="1945"/>
    <cellStyle name="표준 5 3 6 2 2" xfId="5083"/>
    <cellStyle name="표준 5 3 6 2 2 2" xfId="11419"/>
    <cellStyle name="표준 5 3 6 2 2 2 2" xfId="24093"/>
    <cellStyle name="표준 5 3 6 2 2 2 2 2" xfId="49445"/>
    <cellStyle name="표준 5 3 6 2 2 2 3" xfId="36773"/>
    <cellStyle name="표준 5 3 6 2 2 3" xfId="17757"/>
    <cellStyle name="표준 5 3 6 2 2 3 2" xfId="43109"/>
    <cellStyle name="표준 5 3 6 2 2 4" xfId="30437"/>
    <cellStyle name="표준 5 3 6 2 3" xfId="8282"/>
    <cellStyle name="표준 5 3 6 2 3 2" xfId="20956"/>
    <cellStyle name="표준 5 3 6 2 3 2 2" xfId="46308"/>
    <cellStyle name="표준 5 3 6 2 3 3" xfId="33636"/>
    <cellStyle name="표준 5 3 6 2 4" xfId="14620"/>
    <cellStyle name="표준 5 3 6 2 4 2" xfId="39972"/>
    <cellStyle name="표준 5 3 6 2 5" xfId="27300"/>
    <cellStyle name="표준 5 3 6 3" xfId="5084"/>
    <cellStyle name="표준 5 3 6 3 2" xfId="11420"/>
    <cellStyle name="표준 5 3 6 3 2 2" xfId="24094"/>
    <cellStyle name="표준 5 3 6 3 2 2 2" xfId="49446"/>
    <cellStyle name="표준 5 3 6 3 2 3" xfId="36774"/>
    <cellStyle name="표준 5 3 6 3 3" xfId="17758"/>
    <cellStyle name="표준 5 3 6 3 3 2" xfId="43110"/>
    <cellStyle name="표준 5 3 6 3 4" xfId="30438"/>
    <cellStyle name="표준 5 3 6 4" xfId="8281"/>
    <cellStyle name="표준 5 3 6 4 2" xfId="20955"/>
    <cellStyle name="표준 5 3 6 4 2 2" xfId="46307"/>
    <cellStyle name="표준 5 3 6 4 3" xfId="33635"/>
    <cellStyle name="표준 5 3 6 5" xfId="14619"/>
    <cellStyle name="표준 5 3 6 5 2" xfId="39971"/>
    <cellStyle name="표준 5 3 6 6" xfId="27299"/>
    <cellStyle name="표준 5 3 7" xfId="1946"/>
    <cellStyle name="표준 5 3 7 2" xfId="1947"/>
    <cellStyle name="표준 5 3 7 2 2" xfId="5085"/>
    <cellStyle name="표준 5 3 7 2 2 2" xfId="11421"/>
    <cellStyle name="표준 5 3 7 2 2 2 2" xfId="24095"/>
    <cellStyle name="표준 5 3 7 2 2 2 2 2" xfId="49447"/>
    <cellStyle name="표준 5 3 7 2 2 2 3" xfId="36775"/>
    <cellStyle name="표준 5 3 7 2 2 3" xfId="17759"/>
    <cellStyle name="표준 5 3 7 2 2 3 2" xfId="43111"/>
    <cellStyle name="표준 5 3 7 2 2 4" xfId="30439"/>
    <cellStyle name="표준 5 3 7 2 3" xfId="8284"/>
    <cellStyle name="표준 5 3 7 2 3 2" xfId="20958"/>
    <cellStyle name="표준 5 3 7 2 3 2 2" xfId="46310"/>
    <cellStyle name="표준 5 3 7 2 3 3" xfId="33638"/>
    <cellStyle name="표준 5 3 7 2 4" xfId="14622"/>
    <cellStyle name="표준 5 3 7 2 4 2" xfId="39974"/>
    <cellStyle name="표준 5 3 7 2 5" xfId="27302"/>
    <cellStyle name="표준 5 3 7 3" xfId="5086"/>
    <cellStyle name="표준 5 3 7 3 2" xfId="11422"/>
    <cellStyle name="표준 5 3 7 3 2 2" xfId="24096"/>
    <cellStyle name="표준 5 3 7 3 2 2 2" xfId="49448"/>
    <cellStyle name="표준 5 3 7 3 2 3" xfId="36776"/>
    <cellStyle name="표준 5 3 7 3 3" xfId="17760"/>
    <cellStyle name="표준 5 3 7 3 3 2" xfId="43112"/>
    <cellStyle name="표준 5 3 7 3 4" xfId="30440"/>
    <cellStyle name="표준 5 3 7 4" xfId="8283"/>
    <cellStyle name="표준 5 3 7 4 2" xfId="20957"/>
    <cellStyle name="표준 5 3 7 4 2 2" xfId="46309"/>
    <cellStyle name="표준 5 3 7 4 3" xfId="33637"/>
    <cellStyle name="표준 5 3 7 5" xfId="14621"/>
    <cellStyle name="표준 5 3 7 5 2" xfId="39973"/>
    <cellStyle name="표준 5 3 7 6" xfId="27301"/>
    <cellStyle name="표준 5 3 8" xfId="1948"/>
    <cellStyle name="표준 5 3 8 2" xfId="1949"/>
    <cellStyle name="표준 5 3 8 2 2" xfId="5087"/>
    <cellStyle name="표준 5 3 8 2 2 2" xfId="11423"/>
    <cellStyle name="표준 5 3 8 2 2 2 2" xfId="24097"/>
    <cellStyle name="표준 5 3 8 2 2 2 2 2" xfId="49449"/>
    <cellStyle name="표준 5 3 8 2 2 2 3" xfId="36777"/>
    <cellStyle name="표준 5 3 8 2 2 3" xfId="17761"/>
    <cellStyle name="표준 5 3 8 2 2 3 2" xfId="43113"/>
    <cellStyle name="표준 5 3 8 2 2 4" xfId="30441"/>
    <cellStyle name="표준 5 3 8 2 3" xfId="8286"/>
    <cellStyle name="표준 5 3 8 2 3 2" xfId="20960"/>
    <cellStyle name="표준 5 3 8 2 3 2 2" xfId="46312"/>
    <cellStyle name="표준 5 3 8 2 3 3" xfId="33640"/>
    <cellStyle name="표준 5 3 8 2 4" xfId="14624"/>
    <cellStyle name="표준 5 3 8 2 4 2" xfId="39976"/>
    <cellStyle name="표준 5 3 8 2 5" xfId="27304"/>
    <cellStyle name="표준 5 3 8 3" xfId="5088"/>
    <cellStyle name="표준 5 3 8 3 2" xfId="11424"/>
    <cellStyle name="표준 5 3 8 3 2 2" xfId="24098"/>
    <cellStyle name="표준 5 3 8 3 2 2 2" xfId="49450"/>
    <cellStyle name="표준 5 3 8 3 2 3" xfId="36778"/>
    <cellStyle name="표준 5 3 8 3 3" xfId="17762"/>
    <cellStyle name="표준 5 3 8 3 3 2" xfId="43114"/>
    <cellStyle name="표준 5 3 8 3 4" xfId="30442"/>
    <cellStyle name="표준 5 3 8 4" xfId="8285"/>
    <cellStyle name="표준 5 3 8 4 2" xfId="20959"/>
    <cellStyle name="표준 5 3 8 4 2 2" xfId="46311"/>
    <cellStyle name="표준 5 3 8 4 3" xfId="33639"/>
    <cellStyle name="표준 5 3 8 5" xfId="14623"/>
    <cellStyle name="표준 5 3 8 5 2" xfId="39975"/>
    <cellStyle name="표준 5 3 8 6" xfId="27303"/>
    <cellStyle name="표준 5 3 9" xfId="1950"/>
    <cellStyle name="표준 5 3 9 2" xfId="1951"/>
    <cellStyle name="표준 5 3 9 2 2" xfId="5089"/>
    <cellStyle name="표준 5 3 9 2 2 2" xfId="11425"/>
    <cellStyle name="표준 5 3 9 2 2 2 2" xfId="24099"/>
    <cellStyle name="표준 5 3 9 2 2 2 2 2" xfId="49451"/>
    <cellStyle name="표준 5 3 9 2 2 2 3" xfId="36779"/>
    <cellStyle name="표준 5 3 9 2 2 3" xfId="17763"/>
    <cellStyle name="표준 5 3 9 2 2 3 2" xfId="43115"/>
    <cellStyle name="표준 5 3 9 2 2 4" xfId="30443"/>
    <cellStyle name="표준 5 3 9 2 3" xfId="8288"/>
    <cellStyle name="표준 5 3 9 2 3 2" xfId="20962"/>
    <cellStyle name="표준 5 3 9 2 3 2 2" xfId="46314"/>
    <cellStyle name="표준 5 3 9 2 3 3" xfId="33642"/>
    <cellStyle name="표준 5 3 9 2 4" xfId="14626"/>
    <cellStyle name="표준 5 3 9 2 4 2" xfId="39978"/>
    <cellStyle name="표준 5 3 9 2 5" xfId="27306"/>
    <cellStyle name="표준 5 3 9 3" xfId="5090"/>
    <cellStyle name="표준 5 3 9 3 2" xfId="11426"/>
    <cellStyle name="표준 5 3 9 3 2 2" xfId="24100"/>
    <cellStyle name="표준 5 3 9 3 2 2 2" xfId="49452"/>
    <cellStyle name="표준 5 3 9 3 2 3" xfId="36780"/>
    <cellStyle name="표준 5 3 9 3 3" xfId="17764"/>
    <cellStyle name="표준 5 3 9 3 3 2" xfId="43116"/>
    <cellStyle name="표준 5 3 9 3 4" xfId="30444"/>
    <cellStyle name="표준 5 3 9 4" xfId="8287"/>
    <cellStyle name="표준 5 3 9 4 2" xfId="20961"/>
    <cellStyle name="표준 5 3 9 4 2 2" xfId="46313"/>
    <cellStyle name="표준 5 3 9 4 3" xfId="33641"/>
    <cellStyle name="표준 5 3 9 5" xfId="14625"/>
    <cellStyle name="표준 5 3 9 5 2" xfId="39977"/>
    <cellStyle name="표준 5 3 9 6" xfId="27305"/>
    <cellStyle name="표준 5 30" xfId="1952"/>
    <cellStyle name="표준 5 30 2" xfId="1953"/>
    <cellStyle name="표준 5 30 2 2" xfId="5091"/>
    <cellStyle name="표준 5 30 2 2 2" xfId="11427"/>
    <cellStyle name="표준 5 30 2 2 2 2" xfId="24101"/>
    <cellStyle name="표준 5 30 2 2 2 2 2" xfId="49453"/>
    <cellStyle name="표준 5 30 2 2 2 3" xfId="36781"/>
    <cellStyle name="표준 5 30 2 2 3" xfId="17765"/>
    <cellStyle name="표준 5 30 2 2 3 2" xfId="43117"/>
    <cellStyle name="표준 5 30 2 2 4" xfId="30445"/>
    <cellStyle name="표준 5 30 2 3" xfId="8290"/>
    <cellStyle name="표준 5 30 2 3 2" xfId="20964"/>
    <cellStyle name="표준 5 30 2 3 2 2" xfId="46316"/>
    <cellStyle name="표준 5 30 2 3 3" xfId="33644"/>
    <cellStyle name="표준 5 30 2 4" xfId="14628"/>
    <cellStyle name="표준 5 30 2 4 2" xfId="39980"/>
    <cellStyle name="표준 5 30 2 5" xfId="27308"/>
    <cellStyle name="표준 5 30 3" xfId="5092"/>
    <cellStyle name="표준 5 30 3 2" xfId="11428"/>
    <cellStyle name="표준 5 30 3 2 2" xfId="24102"/>
    <cellStyle name="표준 5 30 3 2 2 2" xfId="49454"/>
    <cellStyle name="표준 5 30 3 2 3" xfId="36782"/>
    <cellStyle name="표준 5 30 3 3" xfId="17766"/>
    <cellStyle name="표준 5 30 3 3 2" xfId="43118"/>
    <cellStyle name="표준 5 30 3 4" xfId="30446"/>
    <cellStyle name="표준 5 30 4" xfId="8289"/>
    <cellStyle name="표준 5 30 4 2" xfId="20963"/>
    <cellStyle name="표준 5 30 4 2 2" xfId="46315"/>
    <cellStyle name="표준 5 30 4 3" xfId="33643"/>
    <cellStyle name="표준 5 30 5" xfId="14627"/>
    <cellStyle name="표준 5 30 5 2" xfId="39979"/>
    <cellStyle name="표준 5 30 6" xfId="27307"/>
    <cellStyle name="표준 5 31" xfId="1954"/>
    <cellStyle name="표준 5 31 2" xfId="1955"/>
    <cellStyle name="표준 5 31 2 2" xfId="5093"/>
    <cellStyle name="표준 5 31 2 2 2" xfId="11429"/>
    <cellStyle name="표준 5 31 2 2 2 2" xfId="24103"/>
    <cellStyle name="표준 5 31 2 2 2 2 2" xfId="49455"/>
    <cellStyle name="표준 5 31 2 2 2 3" xfId="36783"/>
    <cellStyle name="표준 5 31 2 2 3" xfId="17767"/>
    <cellStyle name="표준 5 31 2 2 3 2" xfId="43119"/>
    <cellStyle name="표준 5 31 2 2 4" xfId="30447"/>
    <cellStyle name="표준 5 31 2 3" xfId="8292"/>
    <cellStyle name="표준 5 31 2 3 2" xfId="20966"/>
    <cellStyle name="표준 5 31 2 3 2 2" xfId="46318"/>
    <cellStyle name="표준 5 31 2 3 3" xfId="33646"/>
    <cellStyle name="표준 5 31 2 4" xfId="14630"/>
    <cellStyle name="표준 5 31 2 4 2" xfId="39982"/>
    <cellStyle name="표준 5 31 2 5" xfId="27310"/>
    <cellStyle name="표준 5 31 3" xfId="5094"/>
    <cellStyle name="표준 5 31 3 2" xfId="11430"/>
    <cellStyle name="표준 5 31 3 2 2" xfId="24104"/>
    <cellStyle name="표준 5 31 3 2 2 2" xfId="49456"/>
    <cellStyle name="표준 5 31 3 2 3" xfId="36784"/>
    <cellStyle name="표준 5 31 3 3" xfId="17768"/>
    <cellStyle name="표준 5 31 3 3 2" xfId="43120"/>
    <cellStyle name="표준 5 31 3 4" xfId="30448"/>
    <cellStyle name="표준 5 31 4" xfId="8291"/>
    <cellStyle name="표준 5 31 4 2" xfId="20965"/>
    <cellStyle name="표준 5 31 4 2 2" xfId="46317"/>
    <cellStyle name="표준 5 31 4 3" xfId="33645"/>
    <cellStyle name="표준 5 31 5" xfId="14629"/>
    <cellStyle name="표준 5 31 5 2" xfId="39981"/>
    <cellStyle name="표준 5 31 6" xfId="27309"/>
    <cellStyle name="표준 5 32" xfId="1956"/>
    <cellStyle name="표준 5 32 2" xfId="1957"/>
    <cellStyle name="표준 5 32 2 2" xfId="5095"/>
    <cellStyle name="표준 5 32 2 2 2" xfId="11431"/>
    <cellStyle name="표준 5 32 2 2 2 2" xfId="24105"/>
    <cellStyle name="표준 5 32 2 2 2 2 2" xfId="49457"/>
    <cellStyle name="표준 5 32 2 2 2 3" xfId="36785"/>
    <cellStyle name="표준 5 32 2 2 3" xfId="17769"/>
    <cellStyle name="표준 5 32 2 2 3 2" xfId="43121"/>
    <cellStyle name="표준 5 32 2 2 4" xfId="30449"/>
    <cellStyle name="표준 5 32 2 3" xfId="8294"/>
    <cellStyle name="표준 5 32 2 3 2" xfId="20968"/>
    <cellStyle name="표준 5 32 2 3 2 2" xfId="46320"/>
    <cellStyle name="표준 5 32 2 3 3" xfId="33648"/>
    <cellStyle name="표준 5 32 2 4" xfId="14632"/>
    <cellStyle name="표준 5 32 2 4 2" xfId="39984"/>
    <cellStyle name="표준 5 32 2 5" xfId="27312"/>
    <cellStyle name="표준 5 32 3" xfId="5096"/>
    <cellStyle name="표준 5 32 3 2" xfId="11432"/>
    <cellStyle name="표준 5 32 3 2 2" xfId="24106"/>
    <cellStyle name="표준 5 32 3 2 2 2" xfId="49458"/>
    <cellStyle name="표준 5 32 3 2 3" xfId="36786"/>
    <cellStyle name="표준 5 32 3 3" xfId="17770"/>
    <cellStyle name="표준 5 32 3 3 2" xfId="43122"/>
    <cellStyle name="표준 5 32 3 4" xfId="30450"/>
    <cellStyle name="표준 5 32 4" xfId="8293"/>
    <cellStyle name="표준 5 32 4 2" xfId="20967"/>
    <cellStyle name="표준 5 32 4 2 2" xfId="46319"/>
    <cellStyle name="표준 5 32 4 3" xfId="33647"/>
    <cellStyle name="표준 5 32 5" xfId="14631"/>
    <cellStyle name="표준 5 32 5 2" xfId="39983"/>
    <cellStyle name="표준 5 32 6" xfId="27311"/>
    <cellStyle name="표준 5 33" xfId="1958"/>
    <cellStyle name="표준 5 33 2" xfId="1959"/>
    <cellStyle name="표준 5 33 2 2" xfId="5097"/>
    <cellStyle name="표준 5 33 2 2 2" xfId="11433"/>
    <cellStyle name="표준 5 33 2 2 2 2" xfId="24107"/>
    <cellStyle name="표준 5 33 2 2 2 2 2" xfId="49459"/>
    <cellStyle name="표준 5 33 2 2 2 3" xfId="36787"/>
    <cellStyle name="표준 5 33 2 2 3" xfId="17771"/>
    <cellStyle name="표준 5 33 2 2 3 2" xfId="43123"/>
    <cellStyle name="표준 5 33 2 2 4" xfId="30451"/>
    <cellStyle name="표준 5 33 2 3" xfId="8296"/>
    <cellStyle name="표준 5 33 2 3 2" xfId="20970"/>
    <cellStyle name="표준 5 33 2 3 2 2" xfId="46322"/>
    <cellStyle name="표준 5 33 2 3 3" xfId="33650"/>
    <cellStyle name="표준 5 33 2 4" xfId="14634"/>
    <cellStyle name="표준 5 33 2 4 2" xfId="39986"/>
    <cellStyle name="표준 5 33 2 5" xfId="27314"/>
    <cellStyle name="표준 5 33 3" xfId="5098"/>
    <cellStyle name="표준 5 33 3 2" xfId="11434"/>
    <cellStyle name="표준 5 33 3 2 2" xfId="24108"/>
    <cellStyle name="표준 5 33 3 2 2 2" xfId="49460"/>
    <cellStyle name="표준 5 33 3 2 3" xfId="36788"/>
    <cellStyle name="표준 5 33 3 3" xfId="17772"/>
    <cellStyle name="표준 5 33 3 3 2" xfId="43124"/>
    <cellStyle name="표준 5 33 3 4" xfId="30452"/>
    <cellStyle name="표준 5 33 4" xfId="8295"/>
    <cellStyle name="표준 5 33 4 2" xfId="20969"/>
    <cellStyle name="표준 5 33 4 2 2" xfId="46321"/>
    <cellStyle name="표준 5 33 4 3" xfId="33649"/>
    <cellStyle name="표준 5 33 5" xfId="14633"/>
    <cellStyle name="표준 5 33 5 2" xfId="39985"/>
    <cellStyle name="표준 5 33 6" xfId="27313"/>
    <cellStyle name="표준 5 34" xfId="1960"/>
    <cellStyle name="표준 5 34 2" xfId="1961"/>
    <cellStyle name="표준 5 34 2 2" xfId="5099"/>
    <cellStyle name="표준 5 34 2 2 2" xfId="11435"/>
    <cellStyle name="표준 5 34 2 2 2 2" xfId="24109"/>
    <cellStyle name="표준 5 34 2 2 2 2 2" xfId="49461"/>
    <cellStyle name="표준 5 34 2 2 2 3" xfId="36789"/>
    <cellStyle name="표준 5 34 2 2 3" xfId="17773"/>
    <cellStyle name="표준 5 34 2 2 3 2" xfId="43125"/>
    <cellStyle name="표준 5 34 2 2 4" xfId="30453"/>
    <cellStyle name="표준 5 34 2 3" xfId="8298"/>
    <cellStyle name="표준 5 34 2 3 2" xfId="20972"/>
    <cellStyle name="표준 5 34 2 3 2 2" xfId="46324"/>
    <cellStyle name="표준 5 34 2 3 3" xfId="33652"/>
    <cellStyle name="표준 5 34 2 4" xfId="14636"/>
    <cellStyle name="표준 5 34 2 4 2" xfId="39988"/>
    <cellStyle name="표준 5 34 2 5" xfId="27316"/>
    <cellStyle name="표준 5 34 3" xfId="5100"/>
    <cellStyle name="표준 5 34 3 2" xfId="11436"/>
    <cellStyle name="표준 5 34 3 2 2" xfId="24110"/>
    <cellStyle name="표준 5 34 3 2 2 2" xfId="49462"/>
    <cellStyle name="표준 5 34 3 2 3" xfId="36790"/>
    <cellStyle name="표준 5 34 3 3" xfId="17774"/>
    <cellStyle name="표준 5 34 3 3 2" xfId="43126"/>
    <cellStyle name="표준 5 34 3 4" xfId="30454"/>
    <cellStyle name="표준 5 34 4" xfId="8297"/>
    <cellStyle name="표준 5 34 4 2" xfId="20971"/>
    <cellStyle name="표준 5 34 4 2 2" xfId="46323"/>
    <cellStyle name="표준 5 34 4 3" xfId="33651"/>
    <cellStyle name="표준 5 34 5" xfId="14635"/>
    <cellStyle name="표준 5 34 5 2" xfId="39987"/>
    <cellStyle name="표준 5 34 6" xfId="27315"/>
    <cellStyle name="표준 5 35" xfId="1962"/>
    <cellStyle name="표준 5 35 2" xfId="1963"/>
    <cellStyle name="표준 5 35 2 2" xfId="5101"/>
    <cellStyle name="표준 5 35 2 2 2" xfId="11437"/>
    <cellStyle name="표준 5 35 2 2 2 2" xfId="24111"/>
    <cellStyle name="표준 5 35 2 2 2 2 2" xfId="49463"/>
    <cellStyle name="표준 5 35 2 2 2 3" xfId="36791"/>
    <cellStyle name="표준 5 35 2 2 3" xfId="17775"/>
    <cellStyle name="표준 5 35 2 2 3 2" xfId="43127"/>
    <cellStyle name="표준 5 35 2 2 4" xfId="30455"/>
    <cellStyle name="표준 5 35 2 3" xfId="8300"/>
    <cellStyle name="표준 5 35 2 3 2" xfId="20974"/>
    <cellStyle name="표준 5 35 2 3 2 2" xfId="46326"/>
    <cellStyle name="표준 5 35 2 3 3" xfId="33654"/>
    <cellStyle name="표준 5 35 2 4" xfId="14638"/>
    <cellStyle name="표준 5 35 2 4 2" xfId="39990"/>
    <cellStyle name="표준 5 35 2 5" xfId="27318"/>
    <cellStyle name="표준 5 35 3" xfId="5102"/>
    <cellStyle name="표준 5 35 3 2" xfId="11438"/>
    <cellStyle name="표준 5 35 3 2 2" xfId="24112"/>
    <cellStyle name="표준 5 35 3 2 2 2" xfId="49464"/>
    <cellStyle name="표준 5 35 3 2 3" xfId="36792"/>
    <cellStyle name="표준 5 35 3 3" xfId="17776"/>
    <cellStyle name="표준 5 35 3 3 2" xfId="43128"/>
    <cellStyle name="표준 5 35 3 4" xfId="30456"/>
    <cellStyle name="표준 5 35 4" xfId="8299"/>
    <cellStyle name="표준 5 35 4 2" xfId="20973"/>
    <cellStyle name="표준 5 35 4 2 2" xfId="46325"/>
    <cellStyle name="표준 5 35 4 3" xfId="33653"/>
    <cellStyle name="표준 5 35 5" xfId="14637"/>
    <cellStyle name="표준 5 35 5 2" xfId="39989"/>
    <cellStyle name="표준 5 35 6" xfId="27317"/>
    <cellStyle name="표준 5 36" xfId="1964"/>
    <cellStyle name="표준 5 36 2" xfId="1965"/>
    <cellStyle name="표준 5 36 2 2" xfId="5103"/>
    <cellStyle name="표준 5 36 2 2 2" xfId="11439"/>
    <cellStyle name="표준 5 36 2 2 2 2" xfId="24113"/>
    <cellStyle name="표준 5 36 2 2 2 2 2" xfId="49465"/>
    <cellStyle name="표준 5 36 2 2 2 3" xfId="36793"/>
    <cellStyle name="표준 5 36 2 2 3" xfId="17777"/>
    <cellStyle name="표준 5 36 2 2 3 2" xfId="43129"/>
    <cellStyle name="표준 5 36 2 2 4" xfId="30457"/>
    <cellStyle name="표준 5 36 2 3" xfId="8302"/>
    <cellStyle name="표준 5 36 2 3 2" xfId="20976"/>
    <cellStyle name="표준 5 36 2 3 2 2" xfId="46328"/>
    <cellStyle name="표준 5 36 2 3 3" xfId="33656"/>
    <cellStyle name="표준 5 36 2 4" xfId="14640"/>
    <cellStyle name="표준 5 36 2 4 2" xfId="39992"/>
    <cellStyle name="표준 5 36 2 5" xfId="27320"/>
    <cellStyle name="표준 5 36 3" xfId="5104"/>
    <cellStyle name="표준 5 36 3 2" xfId="11440"/>
    <cellStyle name="표준 5 36 3 2 2" xfId="24114"/>
    <cellStyle name="표준 5 36 3 2 2 2" xfId="49466"/>
    <cellStyle name="표준 5 36 3 2 3" xfId="36794"/>
    <cellStyle name="표준 5 36 3 3" xfId="17778"/>
    <cellStyle name="표준 5 36 3 3 2" xfId="43130"/>
    <cellStyle name="표준 5 36 3 4" xfId="30458"/>
    <cellStyle name="표준 5 36 4" xfId="8301"/>
    <cellStyle name="표준 5 36 4 2" xfId="20975"/>
    <cellStyle name="표준 5 36 4 2 2" xfId="46327"/>
    <cellStyle name="표준 5 36 4 3" xfId="33655"/>
    <cellStyle name="표준 5 36 5" xfId="14639"/>
    <cellStyle name="표준 5 36 5 2" xfId="39991"/>
    <cellStyle name="표준 5 36 6" xfId="27319"/>
    <cellStyle name="표준 5 37" xfId="1966"/>
    <cellStyle name="표준 5 37 2" xfId="1967"/>
    <cellStyle name="표준 5 37 2 2" xfId="5105"/>
    <cellStyle name="표준 5 37 2 2 2" xfId="11441"/>
    <cellStyle name="표준 5 37 2 2 2 2" xfId="24115"/>
    <cellStyle name="표준 5 37 2 2 2 2 2" xfId="49467"/>
    <cellStyle name="표준 5 37 2 2 2 3" xfId="36795"/>
    <cellStyle name="표준 5 37 2 2 3" xfId="17779"/>
    <cellStyle name="표준 5 37 2 2 3 2" xfId="43131"/>
    <cellStyle name="표준 5 37 2 2 4" xfId="30459"/>
    <cellStyle name="표준 5 37 2 3" xfId="8304"/>
    <cellStyle name="표준 5 37 2 3 2" xfId="20978"/>
    <cellStyle name="표준 5 37 2 3 2 2" xfId="46330"/>
    <cellStyle name="표준 5 37 2 3 3" xfId="33658"/>
    <cellStyle name="표준 5 37 2 4" xfId="14642"/>
    <cellStyle name="표준 5 37 2 4 2" xfId="39994"/>
    <cellStyle name="표준 5 37 2 5" xfId="27322"/>
    <cellStyle name="표준 5 37 3" xfId="5106"/>
    <cellStyle name="표준 5 37 3 2" xfId="11442"/>
    <cellStyle name="표준 5 37 3 2 2" xfId="24116"/>
    <cellStyle name="표준 5 37 3 2 2 2" xfId="49468"/>
    <cellStyle name="표준 5 37 3 2 3" xfId="36796"/>
    <cellStyle name="표준 5 37 3 3" xfId="17780"/>
    <cellStyle name="표준 5 37 3 3 2" xfId="43132"/>
    <cellStyle name="표준 5 37 3 4" xfId="30460"/>
    <cellStyle name="표준 5 37 4" xfId="8303"/>
    <cellStyle name="표준 5 37 4 2" xfId="20977"/>
    <cellStyle name="표준 5 37 4 2 2" xfId="46329"/>
    <cellStyle name="표준 5 37 4 3" xfId="33657"/>
    <cellStyle name="표준 5 37 5" xfId="14641"/>
    <cellStyle name="표준 5 37 5 2" xfId="39993"/>
    <cellStyle name="표준 5 37 6" xfId="27321"/>
    <cellStyle name="표준 5 38" xfId="1968"/>
    <cellStyle name="표준 5 38 2" xfId="5107"/>
    <cellStyle name="표준 5 38 2 2" xfId="11443"/>
    <cellStyle name="표준 5 38 2 2 2" xfId="24117"/>
    <cellStyle name="표준 5 38 2 2 2 2" xfId="49469"/>
    <cellStyle name="표준 5 38 2 2 3" xfId="36797"/>
    <cellStyle name="표준 5 38 2 3" xfId="17781"/>
    <cellStyle name="표준 5 38 2 3 2" xfId="43133"/>
    <cellStyle name="표준 5 38 2 4" xfId="30461"/>
    <cellStyle name="표준 5 38 3" xfId="8305"/>
    <cellStyle name="표준 5 38 3 2" xfId="20979"/>
    <cellStyle name="표준 5 38 3 2 2" xfId="46331"/>
    <cellStyle name="표준 5 38 3 3" xfId="33659"/>
    <cellStyle name="표준 5 38 4" xfId="14643"/>
    <cellStyle name="표준 5 38 4 2" xfId="39995"/>
    <cellStyle name="표준 5 38 5" xfId="27323"/>
    <cellStyle name="표준 5 39" xfId="5108"/>
    <cellStyle name="표준 5 39 2" xfId="11444"/>
    <cellStyle name="표준 5 39 2 2" xfId="24118"/>
    <cellStyle name="표준 5 39 2 2 2" xfId="49470"/>
    <cellStyle name="표준 5 39 2 3" xfId="36798"/>
    <cellStyle name="표준 5 39 3" xfId="17782"/>
    <cellStyle name="표준 5 39 3 2" xfId="43134"/>
    <cellStyle name="표준 5 39 4" xfId="30462"/>
    <cellStyle name="표준 5 4" xfId="23"/>
    <cellStyle name="표준 5 4 10" xfId="1969"/>
    <cellStyle name="표준 5 4 10 2" xfId="1970"/>
    <cellStyle name="표준 5 4 10 2 2" xfId="5109"/>
    <cellStyle name="표준 5 4 10 2 2 2" xfId="11445"/>
    <cellStyle name="표준 5 4 10 2 2 2 2" xfId="24119"/>
    <cellStyle name="표준 5 4 10 2 2 2 2 2" xfId="49471"/>
    <cellStyle name="표준 5 4 10 2 2 2 3" xfId="36799"/>
    <cellStyle name="표준 5 4 10 2 2 3" xfId="17783"/>
    <cellStyle name="표준 5 4 10 2 2 3 2" xfId="43135"/>
    <cellStyle name="표준 5 4 10 2 2 4" xfId="30463"/>
    <cellStyle name="표준 5 4 10 2 3" xfId="8307"/>
    <cellStyle name="표준 5 4 10 2 3 2" xfId="20981"/>
    <cellStyle name="표준 5 4 10 2 3 2 2" xfId="46333"/>
    <cellStyle name="표준 5 4 10 2 3 3" xfId="33661"/>
    <cellStyle name="표준 5 4 10 2 4" xfId="14645"/>
    <cellStyle name="표준 5 4 10 2 4 2" xfId="39997"/>
    <cellStyle name="표준 5 4 10 2 5" xfId="27325"/>
    <cellStyle name="표준 5 4 10 3" xfId="5110"/>
    <cellStyle name="표준 5 4 10 3 2" xfId="11446"/>
    <cellStyle name="표준 5 4 10 3 2 2" xfId="24120"/>
    <cellStyle name="표준 5 4 10 3 2 2 2" xfId="49472"/>
    <cellStyle name="표준 5 4 10 3 2 3" xfId="36800"/>
    <cellStyle name="표준 5 4 10 3 3" xfId="17784"/>
    <cellStyle name="표준 5 4 10 3 3 2" xfId="43136"/>
    <cellStyle name="표준 5 4 10 3 4" xfId="30464"/>
    <cellStyle name="표준 5 4 10 4" xfId="8306"/>
    <cellStyle name="표준 5 4 10 4 2" xfId="20980"/>
    <cellStyle name="표준 5 4 10 4 2 2" xfId="46332"/>
    <cellStyle name="표준 5 4 10 4 3" xfId="33660"/>
    <cellStyle name="표준 5 4 10 5" xfId="14644"/>
    <cellStyle name="표준 5 4 10 5 2" xfId="39996"/>
    <cellStyle name="표준 5 4 10 6" xfId="27324"/>
    <cellStyle name="표준 5 4 11" xfId="1971"/>
    <cellStyle name="표준 5 4 11 2" xfId="1972"/>
    <cellStyle name="표준 5 4 11 2 2" xfId="5111"/>
    <cellStyle name="표준 5 4 11 2 2 2" xfId="11447"/>
    <cellStyle name="표준 5 4 11 2 2 2 2" xfId="24121"/>
    <cellStyle name="표준 5 4 11 2 2 2 2 2" xfId="49473"/>
    <cellStyle name="표준 5 4 11 2 2 2 3" xfId="36801"/>
    <cellStyle name="표준 5 4 11 2 2 3" xfId="17785"/>
    <cellStyle name="표준 5 4 11 2 2 3 2" xfId="43137"/>
    <cellStyle name="표준 5 4 11 2 2 4" xfId="30465"/>
    <cellStyle name="표준 5 4 11 2 3" xfId="8309"/>
    <cellStyle name="표준 5 4 11 2 3 2" xfId="20983"/>
    <cellStyle name="표준 5 4 11 2 3 2 2" xfId="46335"/>
    <cellStyle name="표준 5 4 11 2 3 3" xfId="33663"/>
    <cellStyle name="표준 5 4 11 2 4" xfId="14647"/>
    <cellStyle name="표준 5 4 11 2 4 2" xfId="39999"/>
    <cellStyle name="표준 5 4 11 2 5" xfId="27327"/>
    <cellStyle name="표준 5 4 11 3" xfId="5112"/>
    <cellStyle name="표준 5 4 11 3 2" xfId="11448"/>
    <cellStyle name="표준 5 4 11 3 2 2" xfId="24122"/>
    <cellStyle name="표준 5 4 11 3 2 2 2" xfId="49474"/>
    <cellStyle name="표준 5 4 11 3 2 3" xfId="36802"/>
    <cellStyle name="표준 5 4 11 3 3" xfId="17786"/>
    <cellStyle name="표준 5 4 11 3 3 2" xfId="43138"/>
    <cellStyle name="표준 5 4 11 3 4" xfId="30466"/>
    <cellStyle name="표준 5 4 11 4" xfId="8308"/>
    <cellStyle name="표준 5 4 11 4 2" xfId="20982"/>
    <cellStyle name="표준 5 4 11 4 2 2" xfId="46334"/>
    <cellStyle name="표준 5 4 11 4 3" xfId="33662"/>
    <cellStyle name="표준 5 4 11 5" xfId="14646"/>
    <cellStyle name="표준 5 4 11 5 2" xfId="39998"/>
    <cellStyle name="표준 5 4 11 6" xfId="27326"/>
    <cellStyle name="표준 5 4 12" xfId="1973"/>
    <cellStyle name="표준 5 4 12 2" xfId="1974"/>
    <cellStyle name="표준 5 4 12 2 2" xfId="5113"/>
    <cellStyle name="표준 5 4 12 2 2 2" xfId="11449"/>
    <cellStyle name="표준 5 4 12 2 2 2 2" xfId="24123"/>
    <cellStyle name="표준 5 4 12 2 2 2 2 2" xfId="49475"/>
    <cellStyle name="표준 5 4 12 2 2 2 3" xfId="36803"/>
    <cellStyle name="표준 5 4 12 2 2 3" xfId="17787"/>
    <cellStyle name="표준 5 4 12 2 2 3 2" xfId="43139"/>
    <cellStyle name="표준 5 4 12 2 2 4" xfId="30467"/>
    <cellStyle name="표준 5 4 12 2 3" xfId="8311"/>
    <cellStyle name="표준 5 4 12 2 3 2" xfId="20985"/>
    <cellStyle name="표준 5 4 12 2 3 2 2" xfId="46337"/>
    <cellStyle name="표준 5 4 12 2 3 3" xfId="33665"/>
    <cellStyle name="표준 5 4 12 2 4" xfId="14649"/>
    <cellStyle name="표준 5 4 12 2 4 2" xfId="40001"/>
    <cellStyle name="표준 5 4 12 2 5" xfId="27329"/>
    <cellStyle name="표준 5 4 12 3" xfId="5114"/>
    <cellStyle name="표준 5 4 12 3 2" xfId="11450"/>
    <cellStyle name="표준 5 4 12 3 2 2" xfId="24124"/>
    <cellStyle name="표준 5 4 12 3 2 2 2" xfId="49476"/>
    <cellStyle name="표준 5 4 12 3 2 3" xfId="36804"/>
    <cellStyle name="표준 5 4 12 3 3" xfId="17788"/>
    <cellStyle name="표준 5 4 12 3 3 2" xfId="43140"/>
    <cellStyle name="표준 5 4 12 3 4" xfId="30468"/>
    <cellStyle name="표준 5 4 12 4" xfId="8310"/>
    <cellStyle name="표준 5 4 12 4 2" xfId="20984"/>
    <cellStyle name="표준 5 4 12 4 2 2" xfId="46336"/>
    <cellStyle name="표준 5 4 12 4 3" xfId="33664"/>
    <cellStyle name="표준 5 4 12 5" xfId="14648"/>
    <cellStyle name="표준 5 4 12 5 2" xfId="40000"/>
    <cellStyle name="표준 5 4 12 6" xfId="27328"/>
    <cellStyle name="표준 5 4 13" xfId="1975"/>
    <cellStyle name="표준 5 4 13 2" xfId="1976"/>
    <cellStyle name="표준 5 4 13 2 2" xfId="5115"/>
    <cellStyle name="표준 5 4 13 2 2 2" xfId="11451"/>
    <cellStyle name="표준 5 4 13 2 2 2 2" xfId="24125"/>
    <cellStyle name="표준 5 4 13 2 2 2 2 2" xfId="49477"/>
    <cellStyle name="표준 5 4 13 2 2 2 3" xfId="36805"/>
    <cellStyle name="표준 5 4 13 2 2 3" xfId="17789"/>
    <cellStyle name="표준 5 4 13 2 2 3 2" xfId="43141"/>
    <cellStyle name="표준 5 4 13 2 2 4" xfId="30469"/>
    <cellStyle name="표준 5 4 13 2 3" xfId="8313"/>
    <cellStyle name="표준 5 4 13 2 3 2" xfId="20987"/>
    <cellStyle name="표준 5 4 13 2 3 2 2" xfId="46339"/>
    <cellStyle name="표준 5 4 13 2 3 3" xfId="33667"/>
    <cellStyle name="표준 5 4 13 2 4" xfId="14651"/>
    <cellStyle name="표준 5 4 13 2 4 2" xfId="40003"/>
    <cellStyle name="표준 5 4 13 2 5" xfId="27331"/>
    <cellStyle name="표준 5 4 13 3" xfId="5116"/>
    <cellStyle name="표준 5 4 13 3 2" xfId="11452"/>
    <cellStyle name="표준 5 4 13 3 2 2" xfId="24126"/>
    <cellStyle name="표준 5 4 13 3 2 2 2" xfId="49478"/>
    <cellStyle name="표준 5 4 13 3 2 3" xfId="36806"/>
    <cellStyle name="표준 5 4 13 3 3" xfId="17790"/>
    <cellStyle name="표준 5 4 13 3 3 2" xfId="43142"/>
    <cellStyle name="표준 5 4 13 3 4" xfId="30470"/>
    <cellStyle name="표준 5 4 13 4" xfId="8312"/>
    <cellStyle name="표준 5 4 13 4 2" xfId="20986"/>
    <cellStyle name="표준 5 4 13 4 2 2" xfId="46338"/>
    <cellStyle name="표준 5 4 13 4 3" xfId="33666"/>
    <cellStyle name="표준 5 4 13 5" xfId="14650"/>
    <cellStyle name="표준 5 4 13 5 2" xfId="40002"/>
    <cellStyle name="표준 5 4 13 6" xfId="27330"/>
    <cellStyle name="표준 5 4 14" xfId="1977"/>
    <cellStyle name="표준 5 4 14 2" xfId="1978"/>
    <cellStyle name="표준 5 4 14 2 2" xfId="5117"/>
    <cellStyle name="표준 5 4 14 2 2 2" xfId="11453"/>
    <cellStyle name="표준 5 4 14 2 2 2 2" xfId="24127"/>
    <cellStyle name="표준 5 4 14 2 2 2 2 2" xfId="49479"/>
    <cellStyle name="표준 5 4 14 2 2 2 3" xfId="36807"/>
    <cellStyle name="표준 5 4 14 2 2 3" xfId="17791"/>
    <cellStyle name="표준 5 4 14 2 2 3 2" xfId="43143"/>
    <cellStyle name="표준 5 4 14 2 2 4" xfId="30471"/>
    <cellStyle name="표준 5 4 14 2 3" xfId="8315"/>
    <cellStyle name="표준 5 4 14 2 3 2" xfId="20989"/>
    <cellStyle name="표준 5 4 14 2 3 2 2" xfId="46341"/>
    <cellStyle name="표준 5 4 14 2 3 3" xfId="33669"/>
    <cellStyle name="표준 5 4 14 2 4" xfId="14653"/>
    <cellStyle name="표준 5 4 14 2 4 2" xfId="40005"/>
    <cellStyle name="표준 5 4 14 2 5" xfId="27333"/>
    <cellStyle name="표준 5 4 14 3" xfId="5118"/>
    <cellStyle name="표준 5 4 14 3 2" xfId="11454"/>
    <cellStyle name="표준 5 4 14 3 2 2" xfId="24128"/>
    <cellStyle name="표준 5 4 14 3 2 2 2" xfId="49480"/>
    <cellStyle name="표준 5 4 14 3 2 3" xfId="36808"/>
    <cellStyle name="표준 5 4 14 3 3" xfId="17792"/>
    <cellStyle name="표준 5 4 14 3 3 2" xfId="43144"/>
    <cellStyle name="표준 5 4 14 3 4" xfId="30472"/>
    <cellStyle name="표준 5 4 14 4" xfId="8314"/>
    <cellStyle name="표준 5 4 14 4 2" xfId="20988"/>
    <cellStyle name="표준 5 4 14 4 2 2" xfId="46340"/>
    <cellStyle name="표준 5 4 14 4 3" xfId="33668"/>
    <cellStyle name="표준 5 4 14 5" xfId="14652"/>
    <cellStyle name="표준 5 4 14 5 2" xfId="40004"/>
    <cellStyle name="표준 5 4 14 6" xfId="27332"/>
    <cellStyle name="표준 5 4 15" xfId="1979"/>
    <cellStyle name="표준 5 4 15 2" xfId="1980"/>
    <cellStyle name="표준 5 4 15 2 2" xfId="5119"/>
    <cellStyle name="표준 5 4 15 2 2 2" xfId="11455"/>
    <cellStyle name="표준 5 4 15 2 2 2 2" xfId="24129"/>
    <cellStyle name="표준 5 4 15 2 2 2 2 2" xfId="49481"/>
    <cellStyle name="표준 5 4 15 2 2 2 3" xfId="36809"/>
    <cellStyle name="표준 5 4 15 2 2 3" xfId="17793"/>
    <cellStyle name="표준 5 4 15 2 2 3 2" xfId="43145"/>
    <cellStyle name="표준 5 4 15 2 2 4" xfId="30473"/>
    <cellStyle name="표준 5 4 15 2 3" xfId="8317"/>
    <cellStyle name="표준 5 4 15 2 3 2" xfId="20991"/>
    <cellStyle name="표준 5 4 15 2 3 2 2" xfId="46343"/>
    <cellStyle name="표준 5 4 15 2 3 3" xfId="33671"/>
    <cellStyle name="표준 5 4 15 2 4" xfId="14655"/>
    <cellStyle name="표준 5 4 15 2 4 2" xfId="40007"/>
    <cellStyle name="표준 5 4 15 2 5" xfId="27335"/>
    <cellStyle name="표준 5 4 15 3" xfId="5120"/>
    <cellStyle name="표준 5 4 15 3 2" xfId="11456"/>
    <cellStyle name="표준 5 4 15 3 2 2" xfId="24130"/>
    <cellStyle name="표준 5 4 15 3 2 2 2" xfId="49482"/>
    <cellStyle name="표준 5 4 15 3 2 3" xfId="36810"/>
    <cellStyle name="표준 5 4 15 3 3" xfId="17794"/>
    <cellStyle name="표준 5 4 15 3 3 2" xfId="43146"/>
    <cellStyle name="표준 5 4 15 3 4" xfId="30474"/>
    <cellStyle name="표준 5 4 15 4" xfId="8316"/>
    <cellStyle name="표준 5 4 15 4 2" xfId="20990"/>
    <cellStyle name="표준 5 4 15 4 2 2" xfId="46342"/>
    <cellStyle name="표준 5 4 15 4 3" xfId="33670"/>
    <cellStyle name="표준 5 4 15 5" xfId="14654"/>
    <cellStyle name="표준 5 4 15 5 2" xfId="40006"/>
    <cellStyle name="표준 5 4 15 6" xfId="27334"/>
    <cellStyle name="표준 5 4 16" xfId="1981"/>
    <cellStyle name="표준 5 4 16 2" xfId="1982"/>
    <cellStyle name="표준 5 4 16 2 2" xfId="5121"/>
    <cellStyle name="표준 5 4 16 2 2 2" xfId="11457"/>
    <cellStyle name="표준 5 4 16 2 2 2 2" xfId="24131"/>
    <cellStyle name="표준 5 4 16 2 2 2 2 2" xfId="49483"/>
    <cellStyle name="표준 5 4 16 2 2 2 3" xfId="36811"/>
    <cellStyle name="표준 5 4 16 2 2 3" xfId="17795"/>
    <cellStyle name="표준 5 4 16 2 2 3 2" xfId="43147"/>
    <cellStyle name="표준 5 4 16 2 2 4" xfId="30475"/>
    <cellStyle name="표준 5 4 16 2 3" xfId="8319"/>
    <cellStyle name="표준 5 4 16 2 3 2" xfId="20993"/>
    <cellStyle name="표준 5 4 16 2 3 2 2" xfId="46345"/>
    <cellStyle name="표준 5 4 16 2 3 3" xfId="33673"/>
    <cellStyle name="표준 5 4 16 2 4" xfId="14657"/>
    <cellStyle name="표준 5 4 16 2 4 2" xfId="40009"/>
    <cellStyle name="표준 5 4 16 2 5" xfId="27337"/>
    <cellStyle name="표준 5 4 16 3" xfId="5122"/>
    <cellStyle name="표준 5 4 16 3 2" xfId="11458"/>
    <cellStyle name="표준 5 4 16 3 2 2" xfId="24132"/>
    <cellStyle name="표준 5 4 16 3 2 2 2" xfId="49484"/>
    <cellStyle name="표준 5 4 16 3 2 3" xfId="36812"/>
    <cellStyle name="표준 5 4 16 3 3" xfId="17796"/>
    <cellStyle name="표준 5 4 16 3 3 2" xfId="43148"/>
    <cellStyle name="표준 5 4 16 3 4" xfId="30476"/>
    <cellStyle name="표준 5 4 16 4" xfId="8318"/>
    <cellStyle name="표준 5 4 16 4 2" xfId="20992"/>
    <cellStyle name="표준 5 4 16 4 2 2" xfId="46344"/>
    <cellStyle name="표준 5 4 16 4 3" xfId="33672"/>
    <cellStyle name="표준 5 4 16 5" xfId="14656"/>
    <cellStyle name="표준 5 4 16 5 2" xfId="40008"/>
    <cellStyle name="표준 5 4 16 6" xfId="27336"/>
    <cellStyle name="표준 5 4 17" xfId="1983"/>
    <cellStyle name="표준 5 4 17 2" xfId="1984"/>
    <cellStyle name="표준 5 4 17 2 2" xfId="5123"/>
    <cellStyle name="표준 5 4 17 2 2 2" xfId="11459"/>
    <cellStyle name="표준 5 4 17 2 2 2 2" xfId="24133"/>
    <cellStyle name="표준 5 4 17 2 2 2 2 2" xfId="49485"/>
    <cellStyle name="표준 5 4 17 2 2 2 3" xfId="36813"/>
    <cellStyle name="표준 5 4 17 2 2 3" xfId="17797"/>
    <cellStyle name="표준 5 4 17 2 2 3 2" xfId="43149"/>
    <cellStyle name="표준 5 4 17 2 2 4" xfId="30477"/>
    <cellStyle name="표준 5 4 17 2 3" xfId="8321"/>
    <cellStyle name="표준 5 4 17 2 3 2" xfId="20995"/>
    <cellStyle name="표준 5 4 17 2 3 2 2" xfId="46347"/>
    <cellStyle name="표준 5 4 17 2 3 3" xfId="33675"/>
    <cellStyle name="표준 5 4 17 2 4" xfId="14659"/>
    <cellStyle name="표준 5 4 17 2 4 2" xfId="40011"/>
    <cellStyle name="표준 5 4 17 2 5" xfId="27339"/>
    <cellStyle name="표준 5 4 17 3" xfId="5124"/>
    <cellStyle name="표준 5 4 17 3 2" xfId="11460"/>
    <cellStyle name="표준 5 4 17 3 2 2" xfId="24134"/>
    <cellStyle name="표준 5 4 17 3 2 2 2" xfId="49486"/>
    <cellStyle name="표준 5 4 17 3 2 3" xfId="36814"/>
    <cellStyle name="표준 5 4 17 3 3" xfId="17798"/>
    <cellStyle name="표준 5 4 17 3 3 2" xfId="43150"/>
    <cellStyle name="표준 5 4 17 3 4" xfId="30478"/>
    <cellStyle name="표준 5 4 17 4" xfId="8320"/>
    <cellStyle name="표준 5 4 17 4 2" xfId="20994"/>
    <cellStyle name="표준 5 4 17 4 2 2" xfId="46346"/>
    <cellStyle name="표준 5 4 17 4 3" xfId="33674"/>
    <cellStyle name="표준 5 4 17 5" xfId="14658"/>
    <cellStyle name="표준 5 4 17 5 2" xfId="40010"/>
    <cellStyle name="표준 5 4 17 6" xfId="27338"/>
    <cellStyle name="표준 5 4 18" xfId="1985"/>
    <cellStyle name="표준 5 4 18 2" xfId="1986"/>
    <cellStyle name="표준 5 4 18 2 2" xfId="5125"/>
    <cellStyle name="표준 5 4 18 2 2 2" xfId="11461"/>
    <cellStyle name="표준 5 4 18 2 2 2 2" xfId="24135"/>
    <cellStyle name="표준 5 4 18 2 2 2 2 2" xfId="49487"/>
    <cellStyle name="표준 5 4 18 2 2 2 3" xfId="36815"/>
    <cellStyle name="표준 5 4 18 2 2 3" xfId="17799"/>
    <cellStyle name="표준 5 4 18 2 2 3 2" xfId="43151"/>
    <cellStyle name="표준 5 4 18 2 2 4" xfId="30479"/>
    <cellStyle name="표준 5 4 18 2 3" xfId="8323"/>
    <cellStyle name="표준 5 4 18 2 3 2" xfId="20997"/>
    <cellStyle name="표준 5 4 18 2 3 2 2" xfId="46349"/>
    <cellStyle name="표준 5 4 18 2 3 3" xfId="33677"/>
    <cellStyle name="표준 5 4 18 2 4" xfId="14661"/>
    <cellStyle name="표준 5 4 18 2 4 2" xfId="40013"/>
    <cellStyle name="표준 5 4 18 2 5" xfId="27341"/>
    <cellStyle name="표준 5 4 18 3" xfId="5126"/>
    <cellStyle name="표준 5 4 18 3 2" xfId="11462"/>
    <cellStyle name="표준 5 4 18 3 2 2" xfId="24136"/>
    <cellStyle name="표준 5 4 18 3 2 2 2" xfId="49488"/>
    <cellStyle name="표준 5 4 18 3 2 3" xfId="36816"/>
    <cellStyle name="표준 5 4 18 3 3" xfId="17800"/>
    <cellStyle name="표준 5 4 18 3 3 2" xfId="43152"/>
    <cellStyle name="표준 5 4 18 3 4" xfId="30480"/>
    <cellStyle name="표준 5 4 18 4" xfId="8322"/>
    <cellStyle name="표준 5 4 18 4 2" xfId="20996"/>
    <cellStyle name="표준 5 4 18 4 2 2" xfId="46348"/>
    <cellStyle name="표준 5 4 18 4 3" xfId="33676"/>
    <cellStyle name="표준 5 4 18 5" xfId="14660"/>
    <cellStyle name="표준 5 4 18 5 2" xfId="40012"/>
    <cellStyle name="표준 5 4 18 6" xfId="27340"/>
    <cellStyle name="표준 5 4 19" xfId="1987"/>
    <cellStyle name="표준 5 4 19 2" xfId="1988"/>
    <cellStyle name="표준 5 4 19 2 2" xfId="5127"/>
    <cellStyle name="표준 5 4 19 2 2 2" xfId="11463"/>
    <cellStyle name="표준 5 4 19 2 2 2 2" xfId="24137"/>
    <cellStyle name="표준 5 4 19 2 2 2 2 2" xfId="49489"/>
    <cellStyle name="표준 5 4 19 2 2 2 3" xfId="36817"/>
    <cellStyle name="표준 5 4 19 2 2 3" xfId="17801"/>
    <cellStyle name="표준 5 4 19 2 2 3 2" xfId="43153"/>
    <cellStyle name="표준 5 4 19 2 2 4" xfId="30481"/>
    <cellStyle name="표준 5 4 19 2 3" xfId="8325"/>
    <cellStyle name="표준 5 4 19 2 3 2" xfId="20999"/>
    <cellStyle name="표준 5 4 19 2 3 2 2" xfId="46351"/>
    <cellStyle name="표준 5 4 19 2 3 3" xfId="33679"/>
    <cellStyle name="표준 5 4 19 2 4" xfId="14663"/>
    <cellStyle name="표준 5 4 19 2 4 2" xfId="40015"/>
    <cellStyle name="표준 5 4 19 2 5" xfId="27343"/>
    <cellStyle name="표준 5 4 19 3" xfId="5128"/>
    <cellStyle name="표준 5 4 19 3 2" xfId="11464"/>
    <cellStyle name="표준 5 4 19 3 2 2" xfId="24138"/>
    <cellStyle name="표준 5 4 19 3 2 2 2" xfId="49490"/>
    <cellStyle name="표준 5 4 19 3 2 3" xfId="36818"/>
    <cellStyle name="표준 5 4 19 3 3" xfId="17802"/>
    <cellStyle name="표준 5 4 19 3 3 2" xfId="43154"/>
    <cellStyle name="표준 5 4 19 3 4" xfId="30482"/>
    <cellStyle name="표준 5 4 19 4" xfId="8324"/>
    <cellStyle name="표준 5 4 19 4 2" xfId="20998"/>
    <cellStyle name="표준 5 4 19 4 2 2" xfId="46350"/>
    <cellStyle name="표준 5 4 19 4 3" xfId="33678"/>
    <cellStyle name="표준 5 4 19 5" xfId="14662"/>
    <cellStyle name="표준 5 4 19 5 2" xfId="40014"/>
    <cellStyle name="표준 5 4 19 6" xfId="27342"/>
    <cellStyle name="표준 5 4 2" xfId="85"/>
    <cellStyle name="표준 5 4 2 10" xfId="1989"/>
    <cellStyle name="표준 5 4 2 10 2" xfId="1990"/>
    <cellStyle name="표준 5 4 2 10 2 2" xfId="5129"/>
    <cellStyle name="표준 5 4 2 10 2 2 2" xfId="11465"/>
    <cellStyle name="표준 5 4 2 10 2 2 2 2" xfId="24139"/>
    <cellStyle name="표준 5 4 2 10 2 2 2 2 2" xfId="49491"/>
    <cellStyle name="표준 5 4 2 10 2 2 2 3" xfId="36819"/>
    <cellStyle name="표준 5 4 2 10 2 2 3" xfId="17803"/>
    <cellStyle name="표준 5 4 2 10 2 2 3 2" xfId="43155"/>
    <cellStyle name="표준 5 4 2 10 2 2 4" xfId="30483"/>
    <cellStyle name="표준 5 4 2 10 2 3" xfId="8327"/>
    <cellStyle name="표준 5 4 2 10 2 3 2" xfId="21001"/>
    <cellStyle name="표준 5 4 2 10 2 3 2 2" xfId="46353"/>
    <cellStyle name="표준 5 4 2 10 2 3 3" xfId="33681"/>
    <cellStyle name="표준 5 4 2 10 2 4" xfId="14665"/>
    <cellStyle name="표준 5 4 2 10 2 4 2" xfId="40017"/>
    <cellStyle name="표준 5 4 2 10 2 5" xfId="27345"/>
    <cellStyle name="표준 5 4 2 10 3" xfId="5130"/>
    <cellStyle name="표준 5 4 2 10 3 2" xfId="11466"/>
    <cellStyle name="표준 5 4 2 10 3 2 2" xfId="24140"/>
    <cellStyle name="표준 5 4 2 10 3 2 2 2" xfId="49492"/>
    <cellStyle name="표준 5 4 2 10 3 2 3" xfId="36820"/>
    <cellStyle name="표준 5 4 2 10 3 3" xfId="17804"/>
    <cellStyle name="표준 5 4 2 10 3 3 2" xfId="43156"/>
    <cellStyle name="표준 5 4 2 10 3 4" xfId="30484"/>
    <cellStyle name="표준 5 4 2 10 4" xfId="8326"/>
    <cellStyle name="표준 5 4 2 10 4 2" xfId="21000"/>
    <cellStyle name="표준 5 4 2 10 4 2 2" xfId="46352"/>
    <cellStyle name="표준 5 4 2 10 4 3" xfId="33680"/>
    <cellStyle name="표준 5 4 2 10 5" xfId="14664"/>
    <cellStyle name="표준 5 4 2 10 5 2" xfId="40016"/>
    <cellStyle name="표준 5 4 2 10 6" xfId="27344"/>
    <cellStyle name="표준 5 4 2 11" xfId="1991"/>
    <cellStyle name="표준 5 4 2 11 2" xfId="1992"/>
    <cellStyle name="표준 5 4 2 11 2 2" xfId="5131"/>
    <cellStyle name="표준 5 4 2 11 2 2 2" xfId="11467"/>
    <cellStyle name="표준 5 4 2 11 2 2 2 2" xfId="24141"/>
    <cellStyle name="표준 5 4 2 11 2 2 2 2 2" xfId="49493"/>
    <cellStyle name="표준 5 4 2 11 2 2 2 3" xfId="36821"/>
    <cellStyle name="표준 5 4 2 11 2 2 3" xfId="17805"/>
    <cellStyle name="표준 5 4 2 11 2 2 3 2" xfId="43157"/>
    <cellStyle name="표준 5 4 2 11 2 2 4" xfId="30485"/>
    <cellStyle name="표준 5 4 2 11 2 3" xfId="8329"/>
    <cellStyle name="표준 5 4 2 11 2 3 2" xfId="21003"/>
    <cellStyle name="표준 5 4 2 11 2 3 2 2" xfId="46355"/>
    <cellStyle name="표준 5 4 2 11 2 3 3" xfId="33683"/>
    <cellStyle name="표준 5 4 2 11 2 4" xfId="14667"/>
    <cellStyle name="표준 5 4 2 11 2 4 2" xfId="40019"/>
    <cellStyle name="표준 5 4 2 11 2 5" xfId="27347"/>
    <cellStyle name="표준 5 4 2 11 3" xfId="5132"/>
    <cellStyle name="표준 5 4 2 11 3 2" xfId="11468"/>
    <cellStyle name="표준 5 4 2 11 3 2 2" xfId="24142"/>
    <cellStyle name="표준 5 4 2 11 3 2 2 2" xfId="49494"/>
    <cellStyle name="표준 5 4 2 11 3 2 3" xfId="36822"/>
    <cellStyle name="표준 5 4 2 11 3 3" xfId="17806"/>
    <cellStyle name="표준 5 4 2 11 3 3 2" xfId="43158"/>
    <cellStyle name="표준 5 4 2 11 3 4" xfId="30486"/>
    <cellStyle name="표준 5 4 2 11 4" xfId="8328"/>
    <cellStyle name="표준 5 4 2 11 4 2" xfId="21002"/>
    <cellStyle name="표준 5 4 2 11 4 2 2" xfId="46354"/>
    <cellStyle name="표준 5 4 2 11 4 3" xfId="33682"/>
    <cellStyle name="표준 5 4 2 11 5" xfId="14666"/>
    <cellStyle name="표준 5 4 2 11 5 2" xfId="40018"/>
    <cellStyle name="표준 5 4 2 11 6" xfId="27346"/>
    <cellStyle name="표준 5 4 2 12" xfId="1993"/>
    <cellStyle name="표준 5 4 2 12 2" xfId="1994"/>
    <cellStyle name="표준 5 4 2 12 2 2" xfId="5133"/>
    <cellStyle name="표준 5 4 2 12 2 2 2" xfId="11469"/>
    <cellStyle name="표준 5 4 2 12 2 2 2 2" xfId="24143"/>
    <cellStyle name="표준 5 4 2 12 2 2 2 2 2" xfId="49495"/>
    <cellStyle name="표준 5 4 2 12 2 2 2 3" xfId="36823"/>
    <cellStyle name="표준 5 4 2 12 2 2 3" xfId="17807"/>
    <cellStyle name="표준 5 4 2 12 2 2 3 2" xfId="43159"/>
    <cellStyle name="표준 5 4 2 12 2 2 4" xfId="30487"/>
    <cellStyle name="표준 5 4 2 12 2 3" xfId="8331"/>
    <cellStyle name="표준 5 4 2 12 2 3 2" xfId="21005"/>
    <cellStyle name="표준 5 4 2 12 2 3 2 2" xfId="46357"/>
    <cellStyle name="표준 5 4 2 12 2 3 3" xfId="33685"/>
    <cellStyle name="표준 5 4 2 12 2 4" xfId="14669"/>
    <cellStyle name="표준 5 4 2 12 2 4 2" xfId="40021"/>
    <cellStyle name="표준 5 4 2 12 2 5" xfId="27349"/>
    <cellStyle name="표준 5 4 2 12 3" xfId="5134"/>
    <cellStyle name="표준 5 4 2 12 3 2" xfId="11470"/>
    <cellStyle name="표준 5 4 2 12 3 2 2" xfId="24144"/>
    <cellStyle name="표준 5 4 2 12 3 2 2 2" xfId="49496"/>
    <cellStyle name="표준 5 4 2 12 3 2 3" xfId="36824"/>
    <cellStyle name="표준 5 4 2 12 3 3" xfId="17808"/>
    <cellStyle name="표준 5 4 2 12 3 3 2" xfId="43160"/>
    <cellStyle name="표준 5 4 2 12 3 4" xfId="30488"/>
    <cellStyle name="표준 5 4 2 12 4" xfId="8330"/>
    <cellStyle name="표준 5 4 2 12 4 2" xfId="21004"/>
    <cellStyle name="표준 5 4 2 12 4 2 2" xfId="46356"/>
    <cellStyle name="표준 5 4 2 12 4 3" xfId="33684"/>
    <cellStyle name="표준 5 4 2 12 5" xfId="14668"/>
    <cellStyle name="표준 5 4 2 12 5 2" xfId="40020"/>
    <cellStyle name="표준 5 4 2 12 6" xfId="27348"/>
    <cellStyle name="표준 5 4 2 13" xfId="1995"/>
    <cellStyle name="표준 5 4 2 13 2" xfId="1996"/>
    <cellStyle name="표준 5 4 2 13 2 2" xfId="5135"/>
    <cellStyle name="표준 5 4 2 13 2 2 2" xfId="11471"/>
    <cellStyle name="표준 5 4 2 13 2 2 2 2" xfId="24145"/>
    <cellStyle name="표준 5 4 2 13 2 2 2 2 2" xfId="49497"/>
    <cellStyle name="표준 5 4 2 13 2 2 2 3" xfId="36825"/>
    <cellStyle name="표준 5 4 2 13 2 2 3" xfId="17809"/>
    <cellStyle name="표준 5 4 2 13 2 2 3 2" xfId="43161"/>
    <cellStyle name="표준 5 4 2 13 2 2 4" xfId="30489"/>
    <cellStyle name="표준 5 4 2 13 2 3" xfId="8333"/>
    <cellStyle name="표준 5 4 2 13 2 3 2" xfId="21007"/>
    <cellStyle name="표준 5 4 2 13 2 3 2 2" xfId="46359"/>
    <cellStyle name="표준 5 4 2 13 2 3 3" xfId="33687"/>
    <cellStyle name="표준 5 4 2 13 2 4" xfId="14671"/>
    <cellStyle name="표준 5 4 2 13 2 4 2" xfId="40023"/>
    <cellStyle name="표준 5 4 2 13 2 5" xfId="27351"/>
    <cellStyle name="표준 5 4 2 13 3" xfId="5136"/>
    <cellStyle name="표준 5 4 2 13 3 2" xfId="11472"/>
    <cellStyle name="표준 5 4 2 13 3 2 2" xfId="24146"/>
    <cellStyle name="표준 5 4 2 13 3 2 2 2" xfId="49498"/>
    <cellStyle name="표준 5 4 2 13 3 2 3" xfId="36826"/>
    <cellStyle name="표준 5 4 2 13 3 3" xfId="17810"/>
    <cellStyle name="표준 5 4 2 13 3 3 2" xfId="43162"/>
    <cellStyle name="표준 5 4 2 13 3 4" xfId="30490"/>
    <cellStyle name="표준 5 4 2 13 4" xfId="8332"/>
    <cellStyle name="표준 5 4 2 13 4 2" xfId="21006"/>
    <cellStyle name="표준 5 4 2 13 4 2 2" xfId="46358"/>
    <cellStyle name="표준 5 4 2 13 4 3" xfId="33686"/>
    <cellStyle name="표준 5 4 2 13 5" xfId="14670"/>
    <cellStyle name="표준 5 4 2 13 5 2" xfId="40022"/>
    <cellStyle name="표준 5 4 2 13 6" xfId="27350"/>
    <cellStyle name="표준 5 4 2 14" xfId="1997"/>
    <cellStyle name="표준 5 4 2 14 2" xfId="1998"/>
    <cellStyle name="표준 5 4 2 14 2 2" xfId="5137"/>
    <cellStyle name="표준 5 4 2 14 2 2 2" xfId="11473"/>
    <cellStyle name="표준 5 4 2 14 2 2 2 2" xfId="24147"/>
    <cellStyle name="표준 5 4 2 14 2 2 2 2 2" xfId="49499"/>
    <cellStyle name="표준 5 4 2 14 2 2 2 3" xfId="36827"/>
    <cellStyle name="표준 5 4 2 14 2 2 3" xfId="17811"/>
    <cellStyle name="표준 5 4 2 14 2 2 3 2" xfId="43163"/>
    <cellStyle name="표준 5 4 2 14 2 2 4" xfId="30491"/>
    <cellStyle name="표준 5 4 2 14 2 3" xfId="8335"/>
    <cellStyle name="표준 5 4 2 14 2 3 2" xfId="21009"/>
    <cellStyle name="표준 5 4 2 14 2 3 2 2" xfId="46361"/>
    <cellStyle name="표준 5 4 2 14 2 3 3" xfId="33689"/>
    <cellStyle name="표준 5 4 2 14 2 4" xfId="14673"/>
    <cellStyle name="표준 5 4 2 14 2 4 2" xfId="40025"/>
    <cellStyle name="표준 5 4 2 14 2 5" xfId="27353"/>
    <cellStyle name="표준 5 4 2 14 3" xfId="5138"/>
    <cellStyle name="표준 5 4 2 14 3 2" xfId="11474"/>
    <cellStyle name="표준 5 4 2 14 3 2 2" xfId="24148"/>
    <cellStyle name="표준 5 4 2 14 3 2 2 2" xfId="49500"/>
    <cellStyle name="표준 5 4 2 14 3 2 3" xfId="36828"/>
    <cellStyle name="표준 5 4 2 14 3 3" xfId="17812"/>
    <cellStyle name="표준 5 4 2 14 3 3 2" xfId="43164"/>
    <cellStyle name="표준 5 4 2 14 3 4" xfId="30492"/>
    <cellStyle name="표준 5 4 2 14 4" xfId="8334"/>
    <cellStyle name="표준 5 4 2 14 4 2" xfId="21008"/>
    <cellStyle name="표준 5 4 2 14 4 2 2" xfId="46360"/>
    <cellStyle name="표준 5 4 2 14 4 3" xfId="33688"/>
    <cellStyle name="표준 5 4 2 14 5" xfId="14672"/>
    <cellStyle name="표준 5 4 2 14 5 2" xfId="40024"/>
    <cellStyle name="표준 5 4 2 14 6" xfId="27352"/>
    <cellStyle name="표준 5 4 2 15" xfId="1999"/>
    <cellStyle name="표준 5 4 2 15 2" xfId="2000"/>
    <cellStyle name="표준 5 4 2 15 2 2" xfId="5139"/>
    <cellStyle name="표준 5 4 2 15 2 2 2" xfId="11475"/>
    <cellStyle name="표준 5 4 2 15 2 2 2 2" xfId="24149"/>
    <cellStyle name="표준 5 4 2 15 2 2 2 2 2" xfId="49501"/>
    <cellStyle name="표준 5 4 2 15 2 2 2 3" xfId="36829"/>
    <cellStyle name="표준 5 4 2 15 2 2 3" xfId="17813"/>
    <cellStyle name="표준 5 4 2 15 2 2 3 2" xfId="43165"/>
    <cellStyle name="표준 5 4 2 15 2 2 4" xfId="30493"/>
    <cellStyle name="표준 5 4 2 15 2 3" xfId="8337"/>
    <cellStyle name="표준 5 4 2 15 2 3 2" xfId="21011"/>
    <cellStyle name="표준 5 4 2 15 2 3 2 2" xfId="46363"/>
    <cellStyle name="표준 5 4 2 15 2 3 3" xfId="33691"/>
    <cellStyle name="표준 5 4 2 15 2 4" xfId="14675"/>
    <cellStyle name="표준 5 4 2 15 2 4 2" xfId="40027"/>
    <cellStyle name="표준 5 4 2 15 2 5" xfId="27355"/>
    <cellStyle name="표준 5 4 2 15 3" xfId="5140"/>
    <cellStyle name="표준 5 4 2 15 3 2" xfId="11476"/>
    <cellStyle name="표준 5 4 2 15 3 2 2" xfId="24150"/>
    <cellStyle name="표준 5 4 2 15 3 2 2 2" xfId="49502"/>
    <cellStyle name="표준 5 4 2 15 3 2 3" xfId="36830"/>
    <cellStyle name="표준 5 4 2 15 3 3" xfId="17814"/>
    <cellStyle name="표준 5 4 2 15 3 3 2" xfId="43166"/>
    <cellStyle name="표준 5 4 2 15 3 4" xfId="30494"/>
    <cellStyle name="표준 5 4 2 15 4" xfId="8336"/>
    <cellStyle name="표준 5 4 2 15 4 2" xfId="21010"/>
    <cellStyle name="표준 5 4 2 15 4 2 2" xfId="46362"/>
    <cellStyle name="표준 5 4 2 15 4 3" xfId="33690"/>
    <cellStyle name="표준 5 4 2 15 5" xfId="14674"/>
    <cellStyle name="표준 5 4 2 15 5 2" xfId="40026"/>
    <cellStyle name="표준 5 4 2 15 6" xfId="27354"/>
    <cellStyle name="표준 5 4 2 16" xfId="2001"/>
    <cellStyle name="표준 5 4 2 16 2" xfId="2002"/>
    <cellStyle name="표준 5 4 2 16 2 2" xfId="5141"/>
    <cellStyle name="표준 5 4 2 16 2 2 2" xfId="11477"/>
    <cellStyle name="표준 5 4 2 16 2 2 2 2" xfId="24151"/>
    <cellStyle name="표준 5 4 2 16 2 2 2 2 2" xfId="49503"/>
    <cellStyle name="표준 5 4 2 16 2 2 2 3" xfId="36831"/>
    <cellStyle name="표준 5 4 2 16 2 2 3" xfId="17815"/>
    <cellStyle name="표준 5 4 2 16 2 2 3 2" xfId="43167"/>
    <cellStyle name="표준 5 4 2 16 2 2 4" xfId="30495"/>
    <cellStyle name="표준 5 4 2 16 2 3" xfId="8339"/>
    <cellStyle name="표준 5 4 2 16 2 3 2" xfId="21013"/>
    <cellStyle name="표준 5 4 2 16 2 3 2 2" xfId="46365"/>
    <cellStyle name="표준 5 4 2 16 2 3 3" xfId="33693"/>
    <cellStyle name="표준 5 4 2 16 2 4" xfId="14677"/>
    <cellStyle name="표준 5 4 2 16 2 4 2" xfId="40029"/>
    <cellStyle name="표준 5 4 2 16 2 5" xfId="27357"/>
    <cellStyle name="표준 5 4 2 16 3" xfId="5142"/>
    <cellStyle name="표준 5 4 2 16 3 2" xfId="11478"/>
    <cellStyle name="표준 5 4 2 16 3 2 2" xfId="24152"/>
    <cellStyle name="표준 5 4 2 16 3 2 2 2" xfId="49504"/>
    <cellStyle name="표준 5 4 2 16 3 2 3" xfId="36832"/>
    <cellStyle name="표준 5 4 2 16 3 3" xfId="17816"/>
    <cellStyle name="표준 5 4 2 16 3 3 2" xfId="43168"/>
    <cellStyle name="표준 5 4 2 16 3 4" xfId="30496"/>
    <cellStyle name="표준 5 4 2 16 4" xfId="8338"/>
    <cellStyle name="표준 5 4 2 16 4 2" xfId="21012"/>
    <cellStyle name="표준 5 4 2 16 4 2 2" xfId="46364"/>
    <cellStyle name="표준 5 4 2 16 4 3" xfId="33692"/>
    <cellStyle name="표준 5 4 2 16 5" xfId="14676"/>
    <cellStyle name="표준 5 4 2 16 5 2" xfId="40028"/>
    <cellStyle name="표준 5 4 2 16 6" xfId="27356"/>
    <cellStyle name="표준 5 4 2 17" xfId="2003"/>
    <cellStyle name="표준 5 4 2 17 2" xfId="2004"/>
    <cellStyle name="표준 5 4 2 17 2 2" xfId="5143"/>
    <cellStyle name="표준 5 4 2 17 2 2 2" xfId="11479"/>
    <cellStyle name="표준 5 4 2 17 2 2 2 2" xfId="24153"/>
    <cellStyle name="표준 5 4 2 17 2 2 2 2 2" xfId="49505"/>
    <cellStyle name="표준 5 4 2 17 2 2 2 3" xfId="36833"/>
    <cellStyle name="표준 5 4 2 17 2 2 3" xfId="17817"/>
    <cellStyle name="표준 5 4 2 17 2 2 3 2" xfId="43169"/>
    <cellStyle name="표준 5 4 2 17 2 2 4" xfId="30497"/>
    <cellStyle name="표준 5 4 2 17 2 3" xfId="8341"/>
    <cellStyle name="표준 5 4 2 17 2 3 2" xfId="21015"/>
    <cellStyle name="표준 5 4 2 17 2 3 2 2" xfId="46367"/>
    <cellStyle name="표준 5 4 2 17 2 3 3" xfId="33695"/>
    <cellStyle name="표준 5 4 2 17 2 4" xfId="14679"/>
    <cellStyle name="표준 5 4 2 17 2 4 2" xfId="40031"/>
    <cellStyle name="표준 5 4 2 17 2 5" xfId="27359"/>
    <cellStyle name="표준 5 4 2 17 3" xfId="5144"/>
    <cellStyle name="표준 5 4 2 17 3 2" xfId="11480"/>
    <cellStyle name="표준 5 4 2 17 3 2 2" xfId="24154"/>
    <cellStyle name="표준 5 4 2 17 3 2 2 2" xfId="49506"/>
    <cellStyle name="표준 5 4 2 17 3 2 3" xfId="36834"/>
    <cellStyle name="표준 5 4 2 17 3 3" xfId="17818"/>
    <cellStyle name="표준 5 4 2 17 3 3 2" xfId="43170"/>
    <cellStyle name="표준 5 4 2 17 3 4" xfId="30498"/>
    <cellStyle name="표준 5 4 2 17 4" xfId="8340"/>
    <cellStyle name="표준 5 4 2 17 4 2" xfId="21014"/>
    <cellStyle name="표준 5 4 2 17 4 2 2" xfId="46366"/>
    <cellStyle name="표준 5 4 2 17 4 3" xfId="33694"/>
    <cellStyle name="표준 5 4 2 17 5" xfId="14678"/>
    <cellStyle name="표준 5 4 2 17 5 2" xfId="40030"/>
    <cellStyle name="표준 5 4 2 17 6" xfId="27358"/>
    <cellStyle name="표준 5 4 2 18" xfId="2005"/>
    <cellStyle name="표준 5 4 2 18 2" xfId="2006"/>
    <cellStyle name="표준 5 4 2 18 2 2" xfId="5145"/>
    <cellStyle name="표준 5 4 2 18 2 2 2" xfId="11481"/>
    <cellStyle name="표준 5 4 2 18 2 2 2 2" xfId="24155"/>
    <cellStyle name="표준 5 4 2 18 2 2 2 2 2" xfId="49507"/>
    <cellStyle name="표준 5 4 2 18 2 2 2 3" xfId="36835"/>
    <cellStyle name="표준 5 4 2 18 2 2 3" xfId="17819"/>
    <cellStyle name="표준 5 4 2 18 2 2 3 2" xfId="43171"/>
    <cellStyle name="표준 5 4 2 18 2 2 4" xfId="30499"/>
    <cellStyle name="표준 5 4 2 18 2 3" xfId="8343"/>
    <cellStyle name="표준 5 4 2 18 2 3 2" xfId="21017"/>
    <cellStyle name="표준 5 4 2 18 2 3 2 2" xfId="46369"/>
    <cellStyle name="표준 5 4 2 18 2 3 3" xfId="33697"/>
    <cellStyle name="표준 5 4 2 18 2 4" xfId="14681"/>
    <cellStyle name="표준 5 4 2 18 2 4 2" xfId="40033"/>
    <cellStyle name="표준 5 4 2 18 2 5" xfId="27361"/>
    <cellStyle name="표준 5 4 2 18 3" xfId="5146"/>
    <cellStyle name="표준 5 4 2 18 3 2" xfId="11482"/>
    <cellStyle name="표준 5 4 2 18 3 2 2" xfId="24156"/>
    <cellStyle name="표준 5 4 2 18 3 2 2 2" xfId="49508"/>
    <cellStyle name="표준 5 4 2 18 3 2 3" xfId="36836"/>
    <cellStyle name="표준 5 4 2 18 3 3" xfId="17820"/>
    <cellStyle name="표준 5 4 2 18 3 3 2" xfId="43172"/>
    <cellStyle name="표준 5 4 2 18 3 4" xfId="30500"/>
    <cellStyle name="표준 5 4 2 18 4" xfId="8342"/>
    <cellStyle name="표준 5 4 2 18 4 2" xfId="21016"/>
    <cellStyle name="표준 5 4 2 18 4 2 2" xfId="46368"/>
    <cellStyle name="표준 5 4 2 18 4 3" xfId="33696"/>
    <cellStyle name="표준 5 4 2 18 5" xfId="14680"/>
    <cellStyle name="표준 5 4 2 18 5 2" xfId="40032"/>
    <cellStyle name="표준 5 4 2 18 6" xfId="27360"/>
    <cellStyle name="표준 5 4 2 19" xfId="2007"/>
    <cellStyle name="표준 5 4 2 19 2" xfId="2008"/>
    <cellStyle name="표준 5 4 2 19 2 2" xfId="5147"/>
    <cellStyle name="표준 5 4 2 19 2 2 2" xfId="11483"/>
    <cellStyle name="표준 5 4 2 19 2 2 2 2" xfId="24157"/>
    <cellStyle name="표준 5 4 2 19 2 2 2 2 2" xfId="49509"/>
    <cellStyle name="표준 5 4 2 19 2 2 2 3" xfId="36837"/>
    <cellStyle name="표준 5 4 2 19 2 2 3" xfId="17821"/>
    <cellStyle name="표준 5 4 2 19 2 2 3 2" xfId="43173"/>
    <cellStyle name="표준 5 4 2 19 2 2 4" xfId="30501"/>
    <cellStyle name="표준 5 4 2 19 2 3" xfId="8345"/>
    <cellStyle name="표준 5 4 2 19 2 3 2" xfId="21019"/>
    <cellStyle name="표준 5 4 2 19 2 3 2 2" xfId="46371"/>
    <cellStyle name="표준 5 4 2 19 2 3 3" xfId="33699"/>
    <cellStyle name="표준 5 4 2 19 2 4" xfId="14683"/>
    <cellStyle name="표준 5 4 2 19 2 4 2" xfId="40035"/>
    <cellStyle name="표준 5 4 2 19 2 5" xfId="27363"/>
    <cellStyle name="표준 5 4 2 19 3" xfId="5148"/>
    <cellStyle name="표준 5 4 2 19 3 2" xfId="11484"/>
    <cellStyle name="표준 5 4 2 19 3 2 2" xfId="24158"/>
    <cellStyle name="표준 5 4 2 19 3 2 2 2" xfId="49510"/>
    <cellStyle name="표준 5 4 2 19 3 2 3" xfId="36838"/>
    <cellStyle name="표준 5 4 2 19 3 3" xfId="17822"/>
    <cellStyle name="표준 5 4 2 19 3 3 2" xfId="43174"/>
    <cellStyle name="표준 5 4 2 19 3 4" xfId="30502"/>
    <cellStyle name="표준 5 4 2 19 4" xfId="8344"/>
    <cellStyle name="표준 5 4 2 19 4 2" xfId="21018"/>
    <cellStyle name="표준 5 4 2 19 4 2 2" xfId="46370"/>
    <cellStyle name="표준 5 4 2 19 4 3" xfId="33698"/>
    <cellStyle name="표준 5 4 2 19 5" xfId="14682"/>
    <cellStyle name="표준 5 4 2 19 5 2" xfId="40034"/>
    <cellStyle name="표준 5 4 2 19 6" xfId="27362"/>
    <cellStyle name="표준 5 4 2 2" xfId="2009"/>
    <cellStyle name="표준 5 4 2 2 2" xfId="2010"/>
    <cellStyle name="표준 5 4 2 2 2 2" xfId="5149"/>
    <cellStyle name="표준 5 4 2 2 2 2 2" xfId="11485"/>
    <cellStyle name="표준 5 4 2 2 2 2 2 2" xfId="24159"/>
    <cellStyle name="표준 5 4 2 2 2 2 2 2 2" xfId="49511"/>
    <cellStyle name="표준 5 4 2 2 2 2 2 3" xfId="36839"/>
    <cellStyle name="표준 5 4 2 2 2 2 3" xfId="17823"/>
    <cellStyle name="표준 5 4 2 2 2 2 3 2" xfId="43175"/>
    <cellStyle name="표준 5 4 2 2 2 2 4" xfId="30503"/>
    <cellStyle name="표준 5 4 2 2 2 3" xfId="8347"/>
    <cellStyle name="표준 5 4 2 2 2 3 2" xfId="21021"/>
    <cellStyle name="표준 5 4 2 2 2 3 2 2" xfId="46373"/>
    <cellStyle name="표준 5 4 2 2 2 3 3" xfId="33701"/>
    <cellStyle name="표준 5 4 2 2 2 4" xfId="14685"/>
    <cellStyle name="표준 5 4 2 2 2 4 2" xfId="40037"/>
    <cellStyle name="표준 5 4 2 2 2 5" xfId="27365"/>
    <cellStyle name="표준 5 4 2 2 3" xfId="5150"/>
    <cellStyle name="표준 5 4 2 2 3 2" xfId="11486"/>
    <cellStyle name="표준 5 4 2 2 3 2 2" xfId="24160"/>
    <cellStyle name="표준 5 4 2 2 3 2 2 2" xfId="49512"/>
    <cellStyle name="표준 5 4 2 2 3 2 3" xfId="36840"/>
    <cellStyle name="표준 5 4 2 2 3 3" xfId="17824"/>
    <cellStyle name="표준 5 4 2 2 3 3 2" xfId="43176"/>
    <cellStyle name="표준 5 4 2 2 3 4" xfId="30504"/>
    <cellStyle name="표준 5 4 2 2 4" xfId="8346"/>
    <cellStyle name="표준 5 4 2 2 4 2" xfId="21020"/>
    <cellStyle name="표준 5 4 2 2 4 2 2" xfId="46372"/>
    <cellStyle name="표준 5 4 2 2 4 3" xfId="33700"/>
    <cellStyle name="표준 5 4 2 2 5" xfId="14684"/>
    <cellStyle name="표준 5 4 2 2 5 2" xfId="40036"/>
    <cellStyle name="표준 5 4 2 2 6" xfId="27364"/>
    <cellStyle name="표준 5 4 2 20" xfId="2011"/>
    <cellStyle name="표준 5 4 2 20 2" xfId="2012"/>
    <cellStyle name="표준 5 4 2 20 2 2" xfId="5151"/>
    <cellStyle name="표준 5 4 2 20 2 2 2" xfId="11487"/>
    <cellStyle name="표준 5 4 2 20 2 2 2 2" xfId="24161"/>
    <cellStyle name="표준 5 4 2 20 2 2 2 2 2" xfId="49513"/>
    <cellStyle name="표준 5 4 2 20 2 2 2 3" xfId="36841"/>
    <cellStyle name="표준 5 4 2 20 2 2 3" xfId="17825"/>
    <cellStyle name="표준 5 4 2 20 2 2 3 2" xfId="43177"/>
    <cellStyle name="표준 5 4 2 20 2 2 4" xfId="30505"/>
    <cellStyle name="표준 5 4 2 20 2 3" xfId="8349"/>
    <cellStyle name="표준 5 4 2 20 2 3 2" xfId="21023"/>
    <cellStyle name="표준 5 4 2 20 2 3 2 2" xfId="46375"/>
    <cellStyle name="표준 5 4 2 20 2 3 3" xfId="33703"/>
    <cellStyle name="표준 5 4 2 20 2 4" xfId="14687"/>
    <cellStyle name="표준 5 4 2 20 2 4 2" xfId="40039"/>
    <cellStyle name="표준 5 4 2 20 2 5" xfId="27367"/>
    <cellStyle name="표준 5 4 2 20 3" xfId="5152"/>
    <cellStyle name="표준 5 4 2 20 3 2" xfId="11488"/>
    <cellStyle name="표준 5 4 2 20 3 2 2" xfId="24162"/>
    <cellStyle name="표준 5 4 2 20 3 2 2 2" xfId="49514"/>
    <cellStyle name="표준 5 4 2 20 3 2 3" xfId="36842"/>
    <cellStyle name="표준 5 4 2 20 3 3" xfId="17826"/>
    <cellStyle name="표준 5 4 2 20 3 3 2" xfId="43178"/>
    <cellStyle name="표준 5 4 2 20 3 4" xfId="30506"/>
    <cellStyle name="표준 5 4 2 20 4" xfId="8348"/>
    <cellStyle name="표준 5 4 2 20 4 2" xfId="21022"/>
    <cellStyle name="표준 5 4 2 20 4 2 2" xfId="46374"/>
    <cellStyle name="표준 5 4 2 20 4 3" xfId="33702"/>
    <cellStyle name="표준 5 4 2 20 5" xfId="14686"/>
    <cellStyle name="표준 5 4 2 20 5 2" xfId="40038"/>
    <cellStyle name="표준 5 4 2 20 6" xfId="27366"/>
    <cellStyle name="표준 5 4 2 21" xfId="2013"/>
    <cellStyle name="표준 5 4 2 21 2" xfId="2014"/>
    <cellStyle name="표준 5 4 2 21 2 2" xfId="5153"/>
    <cellStyle name="표준 5 4 2 21 2 2 2" xfId="11489"/>
    <cellStyle name="표준 5 4 2 21 2 2 2 2" xfId="24163"/>
    <cellStyle name="표준 5 4 2 21 2 2 2 2 2" xfId="49515"/>
    <cellStyle name="표준 5 4 2 21 2 2 2 3" xfId="36843"/>
    <cellStyle name="표준 5 4 2 21 2 2 3" xfId="17827"/>
    <cellStyle name="표준 5 4 2 21 2 2 3 2" xfId="43179"/>
    <cellStyle name="표준 5 4 2 21 2 2 4" xfId="30507"/>
    <cellStyle name="표준 5 4 2 21 2 3" xfId="8351"/>
    <cellStyle name="표준 5 4 2 21 2 3 2" xfId="21025"/>
    <cellStyle name="표준 5 4 2 21 2 3 2 2" xfId="46377"/>
    <cellStyle name="표준 5 4 2 21 2 3 3" xfId="33705"/>
    <cellStyle name="표준 5 4 2 21 2 4" xfId="14689"/>
    <cellStyle name="표준 5 4 2 21 2 4 2" xfId="40041"/>
    <cellStyle name="표준 5 4 2 21 2 5" xfId="27369"/>
    <cellStyle name="표준 5 4 2 21 3" xfId="5154"/>
    <cellStyle name="표준 5 4 2 21 3 2" xfId="11490"/>
    <cellStyle name="표준 5 4 2 21 3 2 2" xfId="24164"/>
    <cellStyle name="표준 5 4 2 21 3 2 2 2" xfId="49516"/>
    <cellStyle name="표준 5 4 2 21 3 2 3" xfId="36844"/>
    <cellStyle name="표준 5 4 2 21 3 3" xfId="17828"/>
    <cellStyle name="표준 5 4 2 21 3 3 2" xfId="43180"/>
    <cellStyle name="표준 5 4 2 21 3 4" xfId="30508"/>
    <cellStyle name="표준 5 4 2 21 4" xfId="8350"/>
    <cellStyle name="표준 5 4 2 21 4 2" xfId="21024"/>
    <cellStyle name="표준 5 4 2 21 4 2 2" xfId="46376"/>
    <cellStyle name="표준 5 4 2 21 4 3" xfId="33704"/>
    <cellStyle name="표준 5 4 2 21 5" xfId="14688"/>
    <cellStyle name="표준 5 4 2 21 5 2" xfId="40040"/>
    <cellStyle name="표준 5 4 2 21 6" xfId="27368"/>
    <cellStyle name="표준 5 4 2 22" xfId="2015"/>
    <cellStyle name="표준 5 4 2 22 2" xfId="2016"/>
    <cellStyle name="표준 5 4 2 22 2 2" xfId="5155"/>
    <cellStyle name="표준 5 4 2 22 2 2 2" xfId="11491"/>
    <cellStyle name="표준 5 4 2 22 2 2 2 2" xfId="24165"/>
    <cellStyle name="표준 5 4 2 22 2 2 2 2 2" xfId="49517"/>
    <cellStyle name="표준 5 4 2 22 2 2 2 3" xfId="36845"/>
    <cellStyle name="표준 5 4 2 22 2 2 3" xfId="17829"/>
    <cellStyle name="표준 5 4 2 22 2 2 3 2" xfId="43181"/>
    <cellStyle name="표준 5 4 2 22 2 2 4" xfId="30509"/>
    <cellStyle name="표준 5 4 2 22 2 3" xfId="8353"/>
    <cellStyle name="표준 5 4 2 22 2 3 2" xfId="21027"/>
    <cellStyle name="표준 5 4 2 22 2 3 2 2" xfId="46379"/>
    <cellStyle name="표준 5 4 2 22 2 3 3" xfId="33707"/>
    <cellStyle name="표준 5 4 2 22 2 4" xfId="14691"/>
    <cellStyle name="표준 5 4 2 22 2 4 2" xfId="40043"/>
    <cellStyle name="표준 5 4 2 22 2 5" xfId="27371"/>
    <cellStyle name="표준 5 4 2 22 3" xfId="5156"/>
    <cellStyle name="표준 5 4 2 22 3 2" xfId="11492"/>
    <cellStyle name="표준 5 4 2 22 3 2 2" xfId="24166"/>
    <cellStyle name="표준 5 4 2 22 3 2 2 2" xfId="49518"/>
    <cellStyle name="표준 5 4 2 22 3 2 3" xfId="36846"/>
    <cellStyle name="표준 5 4 2 22 3 3" xfId="17830"/>
    <cellStyle name="표준 5 4 2 22 3 3 2" xfId="43182"/>
    <cellStyle name="표준 5 4 2 22 3 4" xfId="30510"/>
    <cellStyle name="표준 5 4 2 22 4" xfId="8352"/>
    <cellStyle name="표준 5 4 2 22 4 2" xfId="21026"/>
    <cellStyle name="표준 5 4 2 22 4 2 2" xfId="46378"/>
    <cellStyle name="표준 5 4 2 22 4 3" xfId="33706"/>
    <cellStyle name="표준 5 4 2 22 5" xfId="14690"/>
    <cellStyle name="표준 5 4 2 22 5 2" xfId="40042"/>
    <cellStyle name="표준 5 4 2 22 6" xfId="27370"/>
    <cellStyle name="표준 5 4 2 23" xfId="2017"/>
    <cellStyle name="표준 5 4 2 23 2" xfId="2018"/>
    <cellStyle name="표준 5 4 2 23 2 2" xfId="5157"/>
    <cellStyle name="표준 5 4 2 23 2 2 2" xfId="11493"/>
    <cellStyle name="표준 5 4 2 23 2 2 2 2" xfId="24167"/>
    <cellStyle name="표준 5 4 2 23 2 2 2 2 2" xfId="49519"/>
    <cellStyle name="표준 5 4 2 23 2 2 2 3" xfId="36847"/>
    <cellStyle name="표준 5 4 2 23 2 2 3" xfId="17831"/>
    <cellStyle name="표준 5 4 2 23 2 2 3 2" xfId="43183"/>
    <cellStyle name="표준 5 4 2 23 2 2 4" xfId="30511"/>
    <cellStyle name="표준 5 4 2 23 2 3" xfId="8355"/>
    <cellStyle name="표준 5 4 2 23 2 3 2" xfId="21029"/>
    <cellStyle name="표준 5 4 2 23 2 3 2 2" xfId="46381"/>
    <cellStyle name="표준 5 4 2 23 2 3 3" xfId="33709"/>
    <cellStyle name="표준 5 4 2 23 2 4" xfId="14693"/>
    <cellStyle name="표준 5 4 2 23 2 4 2" xfId="40045"/>
    <cellStyle name="표준 5 4 2 23 2 5" xfId="27373"/>
    <cellStyle name="표준 5 4 2 23 3" xfId="5158"/>
    <cellStyle name="표준 5 4 2 23 3 2" xfId="11494"/>
    <cellStyle name="표준 5 4 2 23 3 2 2" xfId="24168"/>
    <cellStyle name="표준 5 4 2 23 3 2 2 2" xfId="49520"/>
    <cellStyle name="표준 5 4 2 23 3 2 3" xfId="36848"/>
    <cellStyle name="표준 5 4 2 23 3 3" xfId="17832"/>
    <cellStyle name="표준 5 4 2 23 3 3 2" xfId="43184"/>
    <cellStyle name="표준 5 4 2 23 3 4" xfId="30512"/>
    <cellStyle name="표준 5 4 2 23 4" xfId="8354"/>
    <cellStyle name="표준 5 4 2 23 4 2" xfId="21028"/>
    <cellStyle name="표준 5 4 2 23 4 2 2" xfId="46380"/>
    <cellStyle name="표준 5 4 2 23 4 3" xfId="33708"/>
    <cellStyle name="표준 5 4 2 23 5" xfId="14692"/>
    <cellStyle name="표준 5 4 2 23 5 2" xfId="40044"/>
    <cellStyle name="표준 5 4 2 23 6" xfId="27372"/>
    <cellStyle name="표준 5 4 2 24" xfId="2019"/>
    <cellStyle name="표준 5 4 2 24 2" xfId="2020"/>
    <cellStyle name="표준 5 4 2 24 2 2" xfId="5159"/>
    <cellStyle name="표준 5 4 2 24 2 2 2" xfId="11495"/>
    <cellStyle name="표준 5 4 2 24 2 2 2 2" xfId="24169"/>
    <cellStyle name="표준 5 4 2 24 2 2 2 2 2" xfId="49521"/>
    <cellStyle name="표준 5 4 2 24 2 2 2 3" xfId="36849"/>
    <cellStyle name="표준 5 4 2 24 2 2 3" xfId="17833"/>
    <cellStyle name="표준 5 4 2 24 2 2 3 2" xfId="43185"/>
    <cellStyle name="표준 5 4 2 24 2 2 4" xfId="30513"/>
    <cellStyle name="표준 5 4 2 24 2 3" xfId="8357"/>
    <cellStyle name="표준 5 4 2 24 2 3 2" xfId="21031"/>
    <cellStyle name="표준 5 4 2 24 2 3 2 2" xfId="46383"/>
    <cellStyle name="표준 5 4 2 24 2 3 3" xfId="33711"/>
    <cellStyle name="표준 5 4 2 24 2 4" xfId="14695"/>
    <cellStyle name="표준 5 4 2 24 2 4 2" xfId="40047"/>
    <cellStyle name="표준 5 4 2 24 2 5" xfId="27375"/>
    <cellStyle name="표준 5 4 2 24 3" xfId="5160"/>
    <cellStyle name="표준 5 4 2 24 3 2" xfId="11496"/>
    <cellStyle name="표준 5 4 2 24 3 2 2" xfId="24170"/>
    <cellStyle name="표준 5 4 2 24 3 2 2 2" xfId="49522"/>
    <cellStyle name="표준 5 4 2 24 3 2 3" xfId="36850"/>
    <cellStyle name="표준 5 4 2 24 3 3" xfId="17834"/>
    <cellStyle name="표준 5 4 2 24 3 3 2" xfId="43186"/>
    <cellStyle name="표준 5 4 2 24 3 4" xfId="30514"/>
    <cellStyle name="표준 5 4 2 24 4" xfId="8356"/>
    <cellStyle name="표준 5 4 2 24 4 2" xfId="21030"/>
    <cellStyle name="표준 5 4 2 24 4 2 2" xfId="46382"/>
    <cellStyle name="표준 5 4 2 24 4 3" xfId="33710"/>
    <cellStyle name="표준 5 4 2 24 5" xfId="14694"/>
    <cellStyle name="표준 5 4 2 24 5 2" xfId="40046"/>
    <cellStyle name="표준 5 4 2 24 6" xfId="27374"/>
    <cellStyle name="표준 5 4 2 25" xfId="2021"/>
    <cellStyle name="표준 5 4 2 25 2" xfId="2022"/>
    <cellStyle name="표준 5 4 2 25 2 2" xfId="5161"/>
    <cellStyle name="표준 5 4 2 25 2 2 2" xfId="11497"/>
    <cellStyle name="표준 5 4 2 25 2 2 2 2" xfId="24171"/>
    <cellStyle name="표준 5 4 2 25 2 2 2 2 2" xfId="49523"/>
    <cellStyle name="표준 5 4 2 25 2 2 2 3" xfId="36851"/>
    <cellStyle name="표준 5 4 2 25 2 2 3" xfId="17835"/>
    <cellStyle name="표준 5 4 2 25 2 2 3 2" xfId="43187"/>
    <cellStyle name="표준 5 4 2 25 2 2 4" xfId="30515"/>
    <cellStyle name="표준 5 4 2 25 2 3" xfId="8359"/>
    <cellStyle name="표준 5 4 2 25 2 3 2" xfId="21033"/>
    <cellStyle name="표준 5 4 2 25 2 3 2 2" xfId="46385"/>
    <cellStyle name="표준 5 4 2 25 2 3 3" xfId="33713"/>
    <cellStyle name="표준 5 4 2 25 2 4" xfId="14697"/>
    <cellStyle name="표준 5 4 2 25 2 4 2" xfId="40049"/>
    <cellStyle name="표준 5 4 2 25 2 5" xfId="27377"/>
    <cellStyle name="표준 5 4 2 25 3" xfId="5162"/>
    <cellStyle name="표준 5 4 2 25 3 2" xfId="11498"/>
    <cellStyle name="표준 5 4 2 25 3 2 2" xfId="24172"/>
    <cellStyle name="표준 5 4 2 25 3 2 2 2" xfId="49524"/>
    <cellStyle name="표준 5 4 2 25 3 2 3" xfId="36852"/>
    <cellStyle name="표준 5 4 2 25 3 3" xfId="17836"/>
    <cellStyle name="표준 5 4 2 25 3 3 2" xfId="43188"/>
    <cellStyle name="표준 5 4 2 25 3 4" xfId="30516"/>
    <cellStyle name="표준 5 4 2 25 4" xfId="8358"/>
    <cellStyle name="표준 5 4 2 25 4 2" xfId="21032"/>
    <cellStyle name="표준 5 4 2 25 4 2 2" xfId="46384"/>
    <cellStyle name="표준 5 4 2 25 4 3" xfId="33712"/>
    <cellStyle name="표준 5 4 2 25 5" xfId="14696"/>
    <cellStyle name="표준 5 4 2 25 5 2" xfId="40048"/>
    <cellStyle name="표준 5 4 2 25 6" xfId="27376"/>
    <cellStyle name="표준 5 4 2 26" xfId="2023"/>
    <cellStyle name="표준 5 4 2 26 2" xfId="2024"/>
    <cellStyle name="표준 5 4 2 26 2 2" xfId="5163"/>
    <cellStyle name="표준 5 4 2 26 2 2 2" xfId="11499"/>
    <cellStyle name="표준 5 4 2 26 2 2 2 2" xfId="24173"/>
    <cellStyle name="표준 5 4 2 26 2 2 2 2 2" xfId="49525"/>
    <cellStyle name="표준 5 4 2 26 2 2 2 3" xfId="36853"/>
    <cellStyle name="표준 5 4 2 26 2 2 3" xfId="17837"/>
    <cellStyle name="표준 5 4 2 26 2 2 3 2" xfId="43189"/>
    <cellStyle name="표준 5 4 2 26 2 2 4" xfId="30517"/>
    <cellStyle name="표준 5 4 2 26 2 3" xfId="8361"/>
    <cellStyle name="표준 5 4 2 26 2 3 2" xfId="21035"/>
    <cellStyle name="표준 5 4 2 26 2 3 2 2" xfId="46387"/>
    <cellStyle name="표준 5 4 2 26 2 3 3" xfId="33715"/>
    <cellStyle name="표준 5 4 2 26 2 4" xfId="14699"/>
    <cellStyle name="표준 5 4 2 26 2 4 2" xfId="40051"/>
    <cellStyle name="표준 5 4 2 26 2 5" xfId="27379"/>
    <cellStyle name="표준 5 4 2 26 3" xfId="5164"/>
    <cellStyle name="표준 5 4 2 26 3 2" xfId="11500"/>
    <cellStyle name="표준 5 4 2 26 3 2 2" xfId="24174"/>
    <cellStyle name="표준 5 4 2 26 3 2 2 2" xfId="49526"/>
    <cellStyle name="표준 5 4 2 26 3 2 3" xfId="36854"/>
    <cellStyle name="표준 5 4 2 26 3 3" xfId="17838"/>
    <cellStyle name="표준 5 4 2 26 3 3 2" xfId="43190"/>
    <cellStyle name="표준 5 4 2 26 3 4" xfId="30518"/>
    <cellStyle name="표준 5 4 2 26 4" xfId="8360"/>
    <cellStyle name="표준 5 4 2 26 4 2" xfId="21034"/>
    <cellStyle name="표준 5 4 2 26 4 2 2" xfId="46386"/>
    <cellStyle name="표준 5 4 2 26 4 3" xfId="33714"/>
    <cellStyle name="표준 5 4 2 26 5" xfId="14698"/>
    <cellStyle name="표준 5 4 2 26 5 2" xfId="40050"/>
    <cellStyle name="표준 5 4 2 26 6" xfId="27378"/>
    <cellStyle name="표준 5 4 2 27" xfId="2025"/>
    <cellStyle name="표준 5 4 2 27 2" xfId="2026"/>
    <cellStyle name="표준 5 4 2 27 2 2" xfId="5165"/>
    <cellStyle name="표준 5 4 2 27 2 2 2" xfId="11501"/>
    <cellStyle name="표준 5 4 2 27 2 2 2 2" xfId="24175"/>
    <cellStyle name="표준 5 4 2 27 2 2 2 2 2" xfId="49527"/>
    <cellStyle name="표준 5 4 2 27 2 2 2 3" xfId="36855"/>
    <cellStyle name="표준 5 4 2 27 2 2 3" xfId="17839"/>
    <cellStyle name="표준 5 4 2 27 2 2 3 2" xfId="43191"/>
    <cellStyle name="표준 5 4 2 27 2 2 4" xfId="30519"/>
    <cellStyle name="표준 5 4 2 27 2 3" xfId="8363"/>
    <cellStyle name="표준 5 4 2 27 2 3 2" xfId="21037"/>
    <cellStyle name="표준 5 4 2 27 2 3 2 2" xfId="46389"/>
    <cellStyle name="표준 5 4 2 27 2 3 3" xfId="33717"/>
    <cellStyle name="표준 5 4 2 27 2 4" xfId="14701"/>
    <cellStyle name="표준 5 4 2 27 2 4 2" xfId="40053"/>
    <cellStyle name="표준 5 4 2 27 2 5" xfId="27381"/>
    <cellStyle name="표준 5 4 2 27 3" xfId="5166"/>
    <cellStyle name="표준 5 4 2 27 3 2" xfId="11502"/>
    <cellStyle name="표준 5 4 2 27 3 2 2" xfId="24176"/>
    <cellStyle name="표준 5 4 2 27 3 2 2 2" xfId="49528"/>
    <cellStyle name="표준 5 4 2 27 3 2 3" xfId="36856"/>
    <cellStyle name="표준 5 4 2 27 3 3" xfId="17840"/>
    <cellStyle name="표준 5 4 2 27 3 3 2" xfId="43192"/>
    <cellStyle name="표준 5 4 2 27 3 4" xfId="30520"/>
    <cellStyle name="표준 5 4 2 27 4" xfId="8362"/>
    <cellStyle name="표준 5 4 2 27 4 2" xfId="21036"/>
    <cellStyle name="표준 5 4 2 27 4 2 2" xfId="46388"/>
    <cellStyle name="표준 5 4 2 27 4 3" xfId="33716"/>
    <cellStyle name="표준 5 4 2 27 5" xfId="14700"/>
    <cellStyle name="표준 5 4 2 27 5 2" xfId="40052"/>
    <cellStyle name="표준 5 4 2 27 6" xfId="27380"/>
    <cellStyle name="표준 5 4 2 28" xfId="2027"/>
    <cellStyle name="표준 5 4 2 28 2" xfId="2028"/>
    <cellStyle name="표준 5 4 2 28 2 2" xfId="5167"/>
    <cellStyle name="표준 5 4 2 28 2 2 2" xfId="11503"/>
    <cellStyle name="표준 5 4 2 28 2 2 2 2" xfId="24177"/>
    <cellStyle name="표준 5 4 2 28 2 2 2 2 2" xfId="49529"/>
    <cellStyle name="표준 5 4 2 28 2 2 2 3" xfId="36857"/>
    <cellStyle name="표준 5 4 2 28 2 2 3" xfId="17841"/>
    <cellStyle name="표준 5 4 2 28 2 2 3 2" xfId="43193"/>
    <cellStyle name="표준 5 4 2 28 2 2 4" xfId="30521"/>
    <cellStyle name="표준 5 4 2 28 2 3" xfId="8365"/>
    <cellStyle name="표준 5 4 2 28 2 3 2" xfId="21039"/>
    <cellStyle name="표준 5 4 2 28 2 3 2 2" xfId="46391"/>
    <cellStyle name="표준 5 4 2 28 2 3 3" xfId="33719"/>
    <cellStyle name="표준 5 4 2 28 2 4" xfId="14703"/>
    <cellStyle name="표준 5 4 2 28 2 4 2" xfId="40055"/>
    <cellStyle name="표준 5 4 2 28 2 5" xfId="27383"/>
    <cellStyle name="표준 5 4 2 28 3" xfId="5168"/>
    <cellStyle name="표준 5 4 2 28 3 2" xfId="11504"/>
    <cellStyle name="표준 5 4 2 28 3 2 2" xfId="24178"/>
    <cellStyle name="표준 5 4 2 28 3 2 2 2" xfId="49530"/>
    <cellStyle name="표준 5 4 2 28 3 2 3" xfId="36858"/>
    <cellStyle name="표준 5 4 2 28 3 3" xfId="17842"/>
    <cellStyle name="표준 5 4 2 28 3 3 2" xfId="43194"/>
    <cellStyle name="표준 5 4 2 28 3 4" xfId="30522"/>
    <cellStyle name="표준 5 4 2 28 4" xfId="8364"/>
    <cellStyle name="표준 5 4 2 28 4 2" xfId="21038"/>
    <cellStyle name="표준 5 4 2 28 4 2 2" xfId="46390"/>
    <cellStyle name="표준 5 4 2 28 4 3" xfId="33718"/>
    <cellStyle name="표준 5 4 2 28 5" xfId="14702"/>
    <cellStyle name="표준 5 4 2 28 5 2" xfId="40054"/>
    <cellStyle name="표준 5 4 2 28 6" xfId="27382"/>
    <cellStyle name="표준 5 4 2 29" xfId="2029"/>
    <cellStyle name="표준 5 4 2 29 2" xfId="2030"/>
    <cellStyle name="표준 5 4 2 29 2 2" xfId="5169"/>
    <cellStyle name="표준 5 4 2 29 2 2 2" xfId="11505"/>
    <cellStyle name="표준 5 4 2 29 2 2 2 2" xfId="24179"/>
    <cellStyle name="표준 5 4 2 29 2 2 2 2 2" xfId="49531"/>
    <cellStyle name="표준 5 4 2 29 2 2 2 3" xfId="36859"/>
    <cellStyle name="표준 5 4 2 29 2 2 3" xfId="17843"/>
    <cellStyle name="표준 5 4 2 29 2 2 3 2" xfId="43195"/>
    <cellStyle name="표준 5 4 2 29 2 2 4" xfId="30523"/>
    <cellStyle name="표준 5 4 2 29 2 3" xfId="8367"/>
    <cellStyle name="표준 5 4 2 29 2 3 2" xfId="21041"/>
    <cellStyle name="표준 5 4 2 29 2 3 2 2" xfId="46393"/>
    <cellStyle name="표준 5 4 2 29 2 3 3" xfId="33721"/>
    <cellStyle name="표준 5 4 2 29 2 4" xfId="14705"/>
    <cellStyle name="표준 5 4 2 29 2 4 2" xfId="40057"/>
    <cellStyle name="표준 5 4 2 29 2 5" xfId="27385"/>
    <cellStyle name="표준 5 4 2 29 3" xfId="5170"/>
    <cellStyle name="표준 5 4 2 29 3 2" xfId="11506"/>
    <cellStyle name="표준 5 4 2 29 3 2 2" xfId="24180"/>
    <cellStyle name="표준 5 4 2 29 3 2 2 2" xfId="49532"/>
    <cellStyle name="표준 5 4 2 29 3 2 3" xfId="36860"/>
    <cellStyle name="표준 5 4 2 29 3 3" xfId="17844"/>
    <cellStyle name="표준 5 4 2 29 3 3 2" xfId="43196"/>
    <cellStyle name="표준 5 4 2 29 3 4" xfId="30524"/>
    <cellStyle name="표준 5 4 2 29 4" xfId="8366"/>
    <cellStyle name="표준 5 4 2 29 4 2" xfId="21040"/>
    <cellStyle name="표준 5 4 2 29 4 2 2" xfId="46392"/>
    <cellStyle name="표준 5 4 2 29 4 3" xfId="33720"/>
    <cellStyle name="표준 5 4 2 29 5" xfId="14704"/>
    <cellStyle name="표준 5 4 2 29 5 2" xfId="40056"/>
    <cellStyle name="표준 5 4 2 29 6" xfId="27384"/>
    <cellStyle name="표준 5 4 2 3" xfId="2031"/>
    <cellStyle name="표준 5 4 2 3 2" xfId="2032"/>
    <cellStyle name="표준 5 4 2 3 2 2" xfId="5171"/>
    <cellStyle name="표준 5 4 2 3 2 2 2" xfId="11507"/>
    <cellStyle name="표준 5 4 2 3 2 2 2 2" xfId="24181"/>
    <cellStyle name="표준 5 4 2 3 2 2 2 2 2" xfId="49533"/>
    <cellStyle name="표준 5 4 2 3 2 2 2 3" xfId="36861"/>
    <cellStyle name="표준 5 4 2 3 2 2 3" xfId="17845"/>
    <cellStyle name="표준 5 4 2 3 2 2 3 2" xfId="43197"/>
    <cellStyle name="표준 5 4 2 3 2 2 4" xfId="30525"/>
    <cellStyle name="표준 5 4 2 3 2 3" xfId="8369"/>
    <cellStyle name="표준 5 4 2 3 2 3 2" xfId="21043"/>
    <cellStyle name="표준 5 4 2 3 2 3 2 2" xfId="46395"/>
    <cellStyle name="표준 5 4 2 3 2 3 3" xfId="33723"/>
    <cellStyle name="표준 5 4 2 3 2 4" xfId="14707"/>
    <cellStyle name="표준 5 4 2 3 2 4 2" xfId="40059"/>
    <cellStyle name="표준 5 4 2 3 2 5" xfId="27387"/>
    <cellStyle name="표준 5 4 2 3 3" xfId="5172"/>
    <cellStyle name="표준 5 4 2 3 3 2" xfId="11508"/>
    <cellStyle name="표준 5 4 2 3 3 2 2" xfId="24182"/>
    <cellStyle name="표준 5 4 2 3 3 2 2 2" xfId="49534"/>
    <cellStyle name="표준 5 4 2 3 3 2 3" xfId="36862"/>
    <cellStyle name="표준 5 4 2 3 3 3" xfId="17846"/>
    <cellStyle name="표준 5 4 2 3 3 3 2" xfId="43198"/>
    <cellStyle name="표준 5 4 2 3 3 4" xfId="30526"/>
    <cellStyle name="표준 5 4 2 3 4" xfId="8368"/>
    <cellStyle name="표준 5 4 2 3 4 2" xfId="21042"/>
    <cellStyle name="표준 5 4 2 3 4 2 2" xfId="46394"/>
    <cellStyle name="표준 5 4 2 3 4 3" xfId="33722"/>
    <cellStyle name="표준 5 4 2 3 5" xfId="14706"/>
    <cellStyle name="표준 5 4 2 3 5 2" xfId="40058"/>
    <cellStyle name="표준 5 4 2 3 6" xfId="27386"/>
    <cellStyle name="표준 5 4 2 30" xfId="2033"/>
    <cellStyle name="표준 5 4 2 30 2" xfId="2034"/>
    <cellStyle name="표준 5 4 2 30 2 2" xfId="5173"/>
    <cellStyle name="표준 5 4 2 30 2 2 2" xfId="11509"/>
    <cellStyle name="표준 5 4 2 30 2 2 2 2" xfId="24183"/>
    <cellStyle name="표준 5 4 2 30 2 2 2 2 2" xfId="49535"/>
    <cellStyle name="표준 5 4 2 30 2 2 2 3" xfId="36863"/>
    <cellStyle name="표준 5 4 2 30 2 2 3" xfId="17847"/>
    <cellStyle name="표준 5 4 2 30 2 2 3 2" xfId="43199"/>
    <cellStyle name="표준 5 4 2 30 2 2 4" xfId="30527"/>
    <cellStyle name="표준 5 4 2 30 2 3" xfId="8371"/>
    <cellStyle name="표준 5 4 2 30 2 3 2" xfId="21045"/>
    <cellStyle name="표준 5 4 2 30 2 3 2 2" xfId="46397"/>
    <cellStyle name="표준 5 4 2 30 2 3 3" xfId="33725"/>
    <cellStyle name="표준 5 4 2 30 2 4" xfId="14709"/>
    <cellStyle name="표준 5 4 2 30 2 4 2" xfId="40061"/>
    <cellStyle name="표준 5 4 2 30 2 5" xfId="27389"/>
    <cellStyle name="표준 5 4 2 30 3" xfId="5174"/>
    <cellStyle name="표준 5 4 2 30 3 2" xfId="11510"/>
    <cellStyle name="표준 5 4 2 30 3 2 2" xfId="24184"/>
    <cellStyle name="표준 5 4 2 30 3 2 2 2" xfId="49536"/>
    <cellStyle name="표준 5 4 2 30 3 2 3" xfId="36864"/>
    <cellStyle name="표준 5 4 2 30 3 3" xfId="17848"/>
    <cellStyle name="표준 5 4 2 30 3 3 2" xfId="43200"/>
    <cellStyle name="표준 5 4 2 30 3 4" xfId="30528"/>
    <cellStyle name="표준 5 4 2 30 4" xfId="8370"/>
    <cellStyle name="표준 5 4 2 30 4 2" xfId="21044"/>
    <cellStyle name="표준 5 4 2 30 4 2 2" xfId="46396"/>
    <cellStyle name="표준 5 4 2 30 4 3" xfId="33724"/>
    <cellStyle name="표준 5 4 2 30 5" xfId="14708"/>
    <cellStyle name="표준 5 4 2 30 5 2" xfId="40060"/>
    <cellStyle name="표준 5 4 2 30 6" xfId="27388"/>
    <cellStyle name="표준 5 4 2 31" xfId="2035"/>
    <cellStyle name="표준 5 4 2 31 2" xfId="2036"/>
    <cellStyle name="표준 5 4 2 31 2 2" xfId="5175"/>
    <cellStyle name="표준 5 4 2 31 2 2 2" xfId="11511"/>
    <cellStyle name="표준 5 4 2 31 2 2 2 2" xfId="24185"/>
    <cellStyle name="표준 5 4 2 31 2 2 2 2 2" xfId="49537"/>
    <cellStyle name="표준 5 4 2 31 2 2 2 3" xfId="36865"/>
    <cellStyle name="표준 5 4 2 31 2 2 3" xfId="17849"/>
    <cellStyle name="표준 5 4 2 31 2 2 3 2" xfId="43201"/>
    <cellStyle name="표준 5 4 2 31 2 2 4" xfId="30529"/>
    <cellStyle name="표준 5 4 2 31 2 3" xfId="8373"/>
    <cellStyle name="표준 5 4 2 31 2 3 2" xfId="21047"/>
    <cellStyle name="표준 5 4 2 31 2 3 2 2" xfId="46399"/>
    <cellStyle name="표준 5 4 2 31 2 3 3" xfId="33727"/>
    <cellStyle name="표준 5 4 2 31 2 4" xfId="14711"/>
    <cellStyle name="표준 5 4 2 31 2 4 2" xfId="40063"/>
    <cellStyle name="표준 5 4 2 31 2 5" xfId="27391"/>
    <cellStyle name="표준 5 4 2 31 3" xfId="5176"/>
    <cellStyle name="표준 5 4 2 31 3 2" xfId="11512"/>
    <cellStyle name="표준 5 4 2 31 3 2 2" xfId="24186"/>
    <cellStyle name="표준 5 4 2 31 3 2 2 2" xfId="49538"/>
    <cellStyle name="표준 5 4 2 31 3 2 3" xfId="36866"/>
    <cellStyle name="표준 5 4 2 31 3 3" xfId="17850"/>
    <cellStyle name="표준 5 4 2 31 3 3 2" xfId="43202"/>
    <cellStyle name="표준 5 4 2 31 3 4" xfId="30530"/>
    <cellStyle name="표준 5 4 2 31 4" xfId="8372"/>
    <cellStyle name="표준 5 4 2 31 4 2" xfId="21046"/>
    <cellStyle name="표준 5 4 2 31 4 2 2" xfId="46398"/>
    <cellStyle name="표준 5 4 2 31 4 3" xfId="33726"/>
    <cellStyle name="표준 5 4 2 31 5" xfId="14710"/>
    <cellStyle name="표준 5 4 2 31 5 2" xfId="40062"/>
    <cellStyle name="표준 5 4 2 31 6" xfId="27390"/>
    <cellStyle name="표준 5 4 2 32" xfId="2037"/>
    <cellStyle name="표준 5 4 2 32 2" xfId="2038"/>
    <cellStyle name="표준 5 4 2 32 2 2" xfId="5177"/>
    <cellStyle name="표준 5 4 2 32 2 2 2" xfId="11513"/>
    <cellStyle name="표준 5 4 2 32 2 2 2 2" xfId="24187"/>
    <cellStyle name="표준 5 4 2 32 2 2 2 2 2" xfId="49539"/>
    <cellStyle name="표준 5 4 2 32 2 2 2 3" xfId="36867"/>
    <cellStyle name="표준 5 4 2 32 2 2 3" xfId="17851"/>
    <cellStyle name="표준 5 4 2 32 2 2 3 2" xfId="43203"/>
    <cellStyle name="표준 5 4 2 32 2 2 4" xfId="30531"/>
    <cellStyle name="표준 5 4 2 32 2 3" xfId="8375"/>
    <cellStyle name="표준 5 4 2 32 2 3 2" xfId="21049"/>
    <cellStyle name="표준 5 4 2 32 2 3 2 2" xfId="46401"/>
    <cellStyle name="표준 5 4 2 32 2 3 3" xfId="33729"/>
    <cellStyle name="표준 5 4 2 32 2 4" xfId="14713"/>
    <cellStyle name="표준 5 4 2 32 2 4 2" xfId="40065"/>
    <cellStyle name="표준 5 4 2 32 2 5" xfId="27393"/>
    <cellStyle name="표준 5 4 2 32 3" xfId="5178"/>
    <cellStyle name="표준 5 4 2 32 3 2" xfId="11514"/>
    <cellStyle name="표준 5 4 2 32 3 2 2" xfId="24188"/>
    <cellStyle name="표준 5 4 2 32 3 2 2 2" xfId="49540"/>
    <cellStyle name="표준 5 4 2 32 3 2 3" xfId="36868"/>
    <cellStyle name="표준 5 4 2 32 3 3" xfId="17852"/>
    <cellStyle name="표준 5 4 2 32 3 3 2" xfId="43204"/>
    <cellStyle name="표준 5 4 2 32 3 4" xfId="30532"/>
    <cellStyle name="표준 5 4 2 32 4" xfId="8374"/>
    <cellStyle name="표준 5 4 2 32 4 2" xfId="21048"/>
    <cellStyle name="표준 5 4 2 32 4 2 2" xfId="46400"/>
    <cellStyle name="표준 5 4 2 32 4 3" xfId="33728"/>
    <cellStyle name="표준 5 4 2 32 5" xfId="14712"/>
    <cellStyle name="표준 5 4 2 32 5 2" xfId="40064"/>
    <cellStyle name="표준 5 4 2 32 6" xfId="27392"/>
    <cellStyle name="표준 5 4 2 33" xfId="2039"/>
    <cellStyle name="표준 5 4 2 33 2" xfId="2040"/>
    <cellStyle name="표준 5 4 2 33 2 2" xfId="5179"/>
    <cellStyle name="표준 5 4 2 33 2 2 2" xfId="11515"/>
    <cellStyle name="표준 5 4 2 33 2 2 2 2" xfId="24189"/>
    <cellStyle name="표준 5 4 2 33 2 2 2 2 2" xfId="49541"/>
    <cellStyle name="표준 5 4 2 33 2 2 2 3" xfId="36869"/>
    <cellStyle name="표준 5 4 2 33 2 2 3" xfId="17853"/>
    <cellStyle name="표준 5 4 2 33 2 2 3 2" xfId="43205"/>
    <cellStyle name="표준 5 4 2 33 2 2 4" xfId="30533"/>
    <cellStyle name="표준 5 4 2 33 2 3" xfId="8377"/>
    <cellStyle name="표준 5 4 2 33 2 3 2" xfId="21051"/>
    <cellStyle name="표준 5 4 2 33 2 3 2 2" xfId="46403"/>
    <cellStyle name="표준 5 4 2 33 2 3 3" xfId="33731"/>
    <cellStyle name="표준 5 4 2 33 2 4" xfId="14715"/>
    <cellStyle name="표준 5 4 2 33 2 4 2" xfId="40067"/>
    <cellStyle name="표준 5 4 2 33 2 5" xfId="27395"/>
    <cellStyle name="표준 5 4 2 33 3" xfId="5180"/>
    <cellStyle name="표준 5 4 2 33 3 2" xfId="11516"/>
    <cellStyle name="표준 5 4 2 33 3 2 2" xfId="24190"/>
    <cellStyle name="표준 5 4 2 33 3 2 2 2" xfId="49542"/>
    <cellStyle name="표준 5 4 2 33 3 2 3" xfId="36870"/>
    <cellStyle name="표준 5 4 2 33 3 3" xfId="17854"/>
    <cellStyle name="표준 5 4 2 33 3 3 2" xfId="43206"/>
    <cellStyle name="표준 5 4 2 33 3 4" xfId="30534"/>
    <cellStyle name="표준 5 4 2 33 4" xfId="8376"/>
    <cellStyle name="표준 5 4 2 33 4 2" xfId="21050"/>
    <cellStyle name="표준 5 4 2 33 4 2 2" xfId="46402"/>
    <cellStyle name="표준 5 4 2 33 4 3" xfId="33730"/>
    <cellStyle name="표준 5 4 2 33 5" xfId="14714"/>
    <cellStyle name="표준 5 4 2 33 5 2" xfId="40066"/>
    <cellStyle name="표준 5 4 2 33 6" xfId="27394"/>
    <cellStyle name="표준 5 4 2 34" xfId="2041"/>
    <cellStyle name="표준 5 4 2 34 2" xfId="5181"/>
    <cellStyle name="표준 5 4 2 34 2 2" xfId="11517"/>
    <cellStyle name="표준 5 4 2 34 2 2 2" xfId="24191"/>
    <cellStyle name="표준 5 4 2 34 2 2 2 2" xfId="49543"/>
    <cellStyle name="표준 5 4 2 34 2 2 3" xfId="36871"/>
    <cellStyle name="표준 5 4 2 34 2 3" xfId="17855"/>
    <cellStyle name="표준 5 4 2 34 2 3 2" xfId="43207"/>
    <cellStyle name="표준 5 4 2 34 2 4" xfId="30535"/>
    <cellStyle name="표준 5 4 2 34 3" xfId="8378"/>
    <cellStyle name="표준 5 4 2 34 3 2" xfId="21052"/>
    <cellStyle name="표준 5 4 2 34 3 2 2" xfId="46404"/>
    <cellStyle name="표준 5 4 2 34 3 3" xfId="33732"/>
    <cellStyle name="표준 5 4 2 34 4" xfId="14716"/>
    <cellStyle name="표준 5 4 2 34 4 2" xfId="40068"/>
    <cellStyle name="표준 5 4 2 34 5" xfId="27396"/>
    <cellStyle name="표준 5 4 2 35" xfId="5182"/>
    <cellStyle name="표준 5 4 2 35 2" xfId="11518"/>
    <cellStyle name="표준 5 4 2 35 2 2" xfId="24192"/>
    <cellStyle name="표준 5 4 2 35 2 2 2" xfId="49544"/>
    <cellStyle name="표준 5 4 2 35 2 3" xfId="36872"/>
    <cellStyle name="표준 5 4 2 35 3" xfId="17856"/>
    <cellStyle name="표준 5 4 2 35 3 2" xfId="43208"/>
    <cellStyle name="표준 5 4 2 35 4" xfId="30536"/>
    <cellStyle name="표준 5 4 2 36" xfId="6423"/>
    <cellStyle name="표준 5 4 2 36 2" xfId="19097"/>
    <cellStyle name="표준 5 4 2 36 2 2" xfId="44449"/>
    <cellStyle name="표준 5 4 2 36 3" xfId="31777"/>
    <cellStyle name="표준 5 4 2 37" xfId="12761"/>
    <cellStyle name="표준 5 4 2 37 2" xfId="38113"/>
    <cellStyle name="표준 5 4 2 38" xfId="25441"/>
    <cellStyle name="표준 5 4 2 4" xfId="2042"/>
    <cellStyle name="표준 5 4 2 4 2" xfId="2043"/>
    <cellStyle name="표준 5 4 2 4 2 2" xfId="5183"/>
    <cellStyle name="표준 5 4 2 4 2 2 2" xfId="11519"/>
    <cellStyle name="표준 5 4 2 4 2 2 2 2" xfId="24193"/>
    <cellStyle name="표준 5 4 2 4 2 2 2 2 2" xfId="49545"/>
    <cellStyle name="표준 5 4 2 4 2 2 2 3" xfId="36873"/>
    <cellStyle name="표준 5 4 2 4 2 2 3" xfId="17857"/>
    <cellStyle name="표준 5 4 2 4 2 2 3 2" xfId="43209"/>
    <cellStyle name="표준 5 4 2 4 2 2 4" xfId="30537"/>
    <cellStyle name="표준 5 4 2 4 2 3" xfId="8380"/>
    <cellStyle name="표준 5 4 2 4 2 3 2" xfId="21054"/>
    <cellStyle name="표준 5 4 2 4 2 3 2 2" xfId="46406"/>
    <cellStyle name="표준 5 4 2 4 2 3 3" xfId="33734"/>
    <cellStyle name="표준 5 4 2 4 2 4" xfId="14718"/>
    <cellStyle name="표준 5 4 2 4 2 4 2" xfId="40070"/>
    <cellStyle name="표준 5 4 2 4 2 5" xfId="27398"/>
    <cellStyle name="표준 5 4 2 4 3" xfId="5184"/>
    <cellStyle name="표준 5 4 2 4 3 2" xfId="11520"/>
    <cellStyle name="표준 5 4 2 4 3 2 2" xfId="24194"/>
    <cellStyle name="표준 5 4 2 4 3 2 2 2" xfId="49546"/>
    <cellStyle name="표준 5 4 2 4 3 2 3" xfId="36874"/>
    <cellStyle name="표준 5 4 2 4 3 3" xfId="17858"/>
    <cellStyle name="표준 5 4 2 4 3 3 2" xfId="43210"/>
    <cellStyle name="표준 5 4 2 4 3 4" xfId="30538"/>
    <cellStyle name="표준 5 4 2 4 4" xfId="8379"/>
    <cellStyle name="표준 5 4 2 4 4 2" xfId="21053"/>
    <cellStyle name="표준 5 4 2 4 4 2 2" xfId="46405"/>
    <cellStyle name="표준 5 4 2 4 4 3" xfId="33733"/>
    <cellStyle name="표준 5 4 2 4 5" xfId="14717"/>
    <cellStyle name="표준 5 4 2 4 5 2" xfId="40069"/>
    <cellStyle name="표준 5 4 2 4 6" xfId="27397"/>
    <cellStyle name="표준 5 4 2 5" xfId="2044"/>
    <cellStyle name="표준 5 4 2 5 2" xfId="2045"/>
    <cellStyle name="표준 5 4 2 5 2 2" xfId="5185"/>
    <cellStyle name="표준 5 4 2 5 2 2 2" xfId="11521"/>
    <cellStyle name="표준 5 4 2 5 2 2 2 2" xfId="24195"/>
    <cellStyle name="표준 5 4 2 5 2 2 2 2 2" xfId="49547"/>
    <cellStyle name="표준 5 4 2 5 2 2 2 3" xfId="36875"/>
    <cellStyle name="표준 5 4 2 5 2 2 3" xfId="17859"/>
    <cellStyle name="표준 5 4 2 5 2 2 3 2" xfId="43211"/>
    <cellStyle name="표준 5 4 2 5 2 2 4" xfId="30539"/>
    <cellStyle name="표준 5 4 2 5 2 3" xfId="8382"/>
    <cellStyle name="표준 5 4 2 5 2 3 2" xfId="21056"/>
    <cellStyle name="표준 5 4 2 5 2 3 2 2" xfId="46408"/>
    <cellStyle name="표준 5 4 2 5 2 3 3" xfId="33736"/>
    <cellStyle name="표준 5 4 2 5 2 4" xfId="14720"/>
    <cellStyle name="표준 5 4 2 5 2 4 2" xfId="40072"/>
    <cellStyle name="표준 5 4 2 5 2 5" xfId="27400"/>
    <cellStyle name="표준 5 4 2 5 3" xfId="5186"/>
    <cellStyle name="표준 5 4 2 5 3 2" xfId="11522"/>
    <cellStyle name="표준 5 4 2 5 3 2 2" xfId="24196"/>
    <cellStyle name="표준 5 4 2 5 3 2 2 2" xfId="49548"/>
    <cellStyle name="표준 5 4 2 5 3 2 3" xfId="36876"/>
    <cellStyle name="표준 5 4 2 5 3 3" xfId="17860"/>
    <cellStyle name="표준 5 4 2 5 3 3 2" xfId="43212"/>
    <cellStyle name="표준 5 4 2 5 3 4" xfId="30540"/>
    <cellStyle name="표준 5 4 2 5 4" xfId="8381"/>
    <cellStyle name="표준 5 4 2 5 4 2" xfId="21055"/>
    <cellStyle name="표준 5 4 2 5 4 2 2" xfId="46407"/>
    <cellStyle name="표준 5 4 2 5 4 3" xfId="33735"/>
    <cellStyle name="표준 5 4 2 5 5" xfId="14719"/>
    <cellStyle name="표준 5 4 2 5 5 2" xfId="40071"/>
    <cellStyle name="표준 5 4 2 5 6" xfId="27399"/>
    <cellStyle name="표준 5 4 2 6" xfId="2046"/>
    <cellStyle name="표준 5 4 2 6 2" xfId="2047"/>
    <cellStyle name="표준 5 4 2 6 2 2" xfId="5187"/>
    <cellStyle name="표준 5 4 2 6 2 2 2" xfId="11523"/>
    <cellStyle name="표준 5 4 2 6 2 2 2 2" xfId="24197"/>
    <cellStyle name="표준 5 4 2 6 2 2 2 2 2" xfId="49549"/>
    <cellStyle name="표준 5 4 2 6 2 2 2 3" xfId="36877"/>
    <cellStyle name="표준 5 4 2 6 2 2 3" xfId="17861"/>
    <cellStyle name="표준 5 4 2 6 2 2 3 2" xfId="43213"/>
    <cellStyle name="표준 5 4 2 6 2 2 4" xfId="30541"/>
    <cellStyle name="표준 5 4 2 6 2 3" xfId="8384"/>
    <cellStyle name="표준 5 4 2 6 2 3 2" xfId="21058"/>
    <cellStyle name="표준 5 4 2 6 2 3 2 2" xfId="46410"/>
    <cellStyle name="표준 5 4 2 6 2 3 3" xfId="33738"/>
    <cellStyle name="표준 5 4 2 6 2 4" xfId="14722"/>
    <cellStyle name="표준 5 4 2 6 2 4 2" xfId="40074"/>
    <cellStyle name="표준 5 4 2 6 2 5" xfId="27402"/>
    <cellStyle name="표준 5 4 2 6 3" xfId="5188"/>
    <cellStyle name="표준 5 4 2 6 3 2" xfId="11524"/>
    <cellStyle name="표준 5 4 2 6 3 2 2" xfId="24198"/>
    <cellStyle name="표준 5 4 2 6 3 2 2 2" xfId="49550"/>
    <cellStyle name="표준 5 4 2 6 3 2 3" xfId="36878"/>
    <cellStyle name="표준 5 4 2 6 3 3" xfId="17862"/>
    <cellStyle name="표준 5 4 2 6 3 3 2" xfId="43214"/>
    <cellStyle name="표준 5 4 2 6 3 4" xfId="30542"/>
    <cellStyle name="표준 5 4 2 6 4" xfId="8383"/>
    <cellStyle name="표준 5 4 2 6 4 2" xfId="21057"/>
    <cellStyle name="표준 5 4 2 6 4 2 2" xfId="46409"/>
    <cellStyle name="표준 5 4 2 6 4 3" xfId="33737"/>
    <cellStyle name="표준 5 4 2 6 5" xfId="14721"/>
    <cellStyle name="표준 5 4 2 6 5 2" xfId="40073"/>
    <cellStyle name="표준 5 4 2 6 6" xfId="27401"/>
    <cellStyle name="표준 5 4 2 7" xfId="2048"/>
    <cellStyle name="표준 5 4 2 7 2" xfId="2049"/>
    <cellStyle name="표준 5 4 2 7 2 2" xfId="5189"/>
    <cellStyle name="표준 5 4 2 7 2 2 2" xfId="11525"/>
    <cellStyle name="표준 5 4 2 7 2 2 2 2" xfId="24199"/>
    <cellStyle name="표준 5 4 2 7 2 2 2 2 2" xfId="49551"/>
    <cellStyle name="표준 5 4 2 7 2 2 2 3" xfId="36879"/>
    <cellStyle name="표준 5 4 2 7 2 2 3" xfId="17863"/>
    <cellStyle name="표준 5 4 2 7 2 2 3 2" xfId="43215"/>
    <cellStyle name="표준 5 4 2 7 2 2 4" xfId="30543"/>
    <cellStyle name="표준 5 4 2 7 2 3" xfId="8386"/>
    <cellStyle name="표준 5 4 2 7 2 3 2" xfId="21060"/>
    <cellStyle name="표준 5 4 2 7 2 3 2 2" xfId="46412"/>
    <cellStyle name="표준 5 4 2 7 2 3 3" xfId="33740"/>
    <cellStyle name="표준 5 4 2 7 2 4" xfId="14724"/>
    <cellStyle name="표준 5 4 2 7 2 4 2" xfId="40076"/>
    <cellStyle name="표준 5 4 2 7 2 5" xfId="27404"/>
    <cellStyle name="표준 5 4 2 7 3" xfId="5190"/>
    <cellStyle name="표준 5 4 2 7 3 2" xfId="11526"/>
    <cellStyle name="표준 5 4 2 7 3 2 2" xfId="24200"/>
    <cellStyle name="표준 5 4 2 7 3 2 2 2" xfId="49552"/>
    <cellStyle name="표준 5 4 2 7 3 2 3" xfId="36880"/>
    <cellStyle name="표준 5 4 2 7 3 3" xfId="17864"/>
    <cellStyle name="표준 5 4 2 7 3 3 2" xfId="43216"/>
    <cellStyle name="표준 5 4 2 7 3 4" xfId="30544"/>
    <cellStyle name="표준 5 4 2 7 4" xfId="8385"/>
    <cellStyle name="표준 5 4 2 7 4 2" xfId="21059"/>
    <cellStyle name="표준 5 4 2 7 4 2 2" xfId="46411"/>
    <cellStyle name="표준 5 4 2 7 4 3" xfId="33739"/>
    <cellStyle name="표준 5 4 2 7 5" xfId="14723"/>
    <cellStyle name="표준 5 4 2 7 5 2" xfId="40075"/>
    <cellStyle name="표준 5 4 2 7 6" xfId="27403"/>
    <cellStyle name="표준 5 4 2 8" xfId="2050"/>
    <cellStyle name="표준 5 4 2 8 2" xfId="2051"/>
    <cellStyle name="표준 5 4 2 8 2 2" xfId="5191"/>
    <cellStyle name="표준 5 4 2 8 2 2 2" xfId="11527"/>
    <cellStyle name="표준 5 4 2 8 2 2 2 2" xfId="24201"/>
    <cellStyle name="표준 5 4 2 8 2 2 2 2 2" xfId="49553"/>
    <cellStyle name="표준 5 4 2 8 2 2 2 3" xfId="36881"/>
    <cellStyle name="표준 5 4 2 8 2 2 3" xfId="17865"/>
    <cellStyle name="표준 5 4 2 8 2 2 3 2" xfId="43217"/>
    <cellStyle name="표준 5 4 2 8 2 2 4" xfId="30545"/>
    <cellStyle name="표준 5 4 2 8 2 3" xfId="8388"/>
    <cellStyle name="표준 5 4 2 8 2 3 2" xfId="21062"/>
    <cellStyle name="표준 5 4 2 8 2 3 2 2" xfId="46414"/>
    <cellStyle name="표준 5 4 2 8 2 3 3" xfId="33742"/>
    <cellStyle name="표준 5 4 2 8 2 4" xfId="14726"/>
    <cellStyle name="표준 5 4 2 8 2 4 2" xfId="40078"/>
    <cellStyle name="표준 5 4 2 8 2 5" xfId="27406"/>
    <cellStyle name="표준 5 4 2 8 3" xfId="5192"/>
    <cellStyle name="표준 5 4 2 8 3 2" xfId="11528"/>
    <cellStyle name="표준 5 4 2 8 3 2 2" xfId="24202"/>
    <cellStyle name="표준 5 4 2 8 3 2 2 2" xfId="49554"/>
    <cellStyle name="표준 5 4 2 8 3 2 3" xfId="36882"/>
    <cellStyle name="표준 5 4 2 8 3 3" xfId="17866"/>
    <cellStyle name="표준 5 4 2 8 3 3 2" xfId="43218"/>
    <cellStyle name="표준 5 4 2 8 3 4" xfId="30546"/>
    <cellStyle name="표준 5 4 2 8 4" xfId="8387"/>
    <cellStyle name="표준 5 4 2 8 4 2" xfId="21061"/>
    <cellStyle name="표준 5 4 2 8 4 2 2" xfId="46413"/>
    <cellStyle name="표준 5 4 2 8 4 3" xfId="33741"/>
    <cellStyle name="표준 5 4 2 8 5" xfId="14725"/>
    <cellStyle name="표준 5 4 2 8 5 2" xfId="40077"/>
    <cellStyle name="표준 5 4 2 8 6" xfId="27405"/>
    <cellStyle name="표준 5 4 2 9" xfId="2052"/>
    <cellStyle name="표준 5 4 2 9 2" xfId="2053"/>
    <cellStyle name="표준 5 4 2 9 2 2" xfId="5193"/>
    <cellStyle name="표준 5 4 2 9 2 2 2" xfId="11529"/>
    <cellStyle name="표준 5 4 2 9 2 2 2 2" xfId="24203"/>
    <cellStyle name="표준 5 4 2 9 2 2 2 2 2" xfId="49555"/>
    <cellStyle name="표준 5 4 2 9 2 2 2 3" xfId="36883"/>
    <cellStyle name="표준 5 4 2 9 2 2 3" xfId="17867"/>
    <cellStyle name="표준 5 4 2 9 2 2 3 2" xfId="43219"/>
    <cellStyle name="표준 5 4 2 9 2 2 4" xfId="30547"/>
    <cellStyle name="표준 5 4 2 9 2 3" xfId="8390"/>
    <cellStyle name="표준 5 4 2 9 2 3 2" xfId="21064"/>
    <cellStyle name="표준 5 4 2 9 2 3 2 2" xfId="46416"/>
    <cellStyle name="표준 5 4 2 9 2 3 3" xfId="33744"/>
    <cellStyle name="표준 5 4 2 9 2 4" xfId="14728"/>
    <cellStyle name="표준 5 4 2 9 2 4 2" xfId="40080"/>
    <cellStyle name="표준 5 4 2 9 2 5" xfId="27408"/>
    <cellStyle name="표준 5 4 2 9 3" xfId="5194"/>
    <cellStyle name="표준 5 4 2 9 3 2" xfId="11530"/>
    <cellStyle name="표준 5 4 2 9 3 2 2" xfId="24204"/>
    <cellStyle name="표준 5 4 2 9 3 2 2 2" xfId="49556"/>
    <cellStyle name="표준 5 4 2 9 3 2 3" xfId="36884"/>
    <cellStyle name="표준 5 4 2 9 3 3" xfId="17868"/>
    <cellStyle name="표준 5 4 2 9 3 3 2" xfId="43220"/>
    <cellStyle name="표준 5 4 2 9 3 4" xfId="30548"/>
    <cellStyle name="표준 5 4 2 9 4" xfId="8389"/>
    <cellStyle name="표준 5 4 2 9 4 2" xfId="21063"/>
    <cellStyle name="표준 5 4 2 9 4 2 2" xfId="46415"/>
    <cellStyle name="표준 5 4 2 9 4 3" xfId="33743"/>
    <cellStyle name="표준 5 4 2 9 5" xfId="14727"/>
    <cellStyle name="표준 5 4 2 9 5 2" xfId="40079"/>
    <cellStyle name="표준 5 4 2 9 6" xfId="27407"/>
    <cellStyle name="표준 5 4 20" xfId="2054"/>
    <cellStyle name="표준 5 4 20 2" xfId="2055"/>
    <cellStyle name="표준 5 4 20 2 2" xfId="5195"/>
    <cellStyle name="표준 5 4 20 2 2 2" xfId="11531"/>
    <cellStyle name="표준 5 4 20 2 2 2 2" xfId="24205"/>
    <cellStyle name="표준 5 4 20 2 2 2 2 2" xfId="49557"/>
    <cellStyle name="표준 5 4 20 2 2 2 3" xfId="36885"/>
    <cellStyle name="표준 5 4 20 2 2 3" xfId="17869"/>
    <cellStyle name="표준 5 4 20 2 2 3 2" xfId="43221"/>
    <cellStyle name="표준 5 4 20 2 2 4" xfId="30549"/>
    <cellStyle name="표준 5 4 20 2 3" xfId="8392"/>
    <cellStyle name="표준 5 4 20 2 3 2" xfId="21066"/>
    <cellStyle name="표준 5 4 20 2 3 2 2" xfId="46418"/>
    <cellStyle name="표준 5 4 20 2 3 3" xfId="33746"/>
    <cellStyle name="표준 5 4 20 2 4" xfId="14730"/>
    <cellStyle name="표준 5 4 20 2 4 2" xfId="40082"/>
    <cellStyle name="표준 5 4 20 2 5" xfId="27410"/>
    <cellStyle name="표준 5 4 20 3" xfId="5196"/>
    <cellStyle name="표준 5 4 20 3 2" xfId="11532"/>
    <cellStyle name="표준 5 4 20 3 2 2" xfId="24206"/>
    <cellStyle name="표준 5 4 20 3 2 2 2" xfId="49558"/>
    <cellStyle name="표준 5 4 20 3 2 3" xfId="36886"/>
    <cellStyle name="표준 5 4 20 3 3" xfId="17870"/>
    <cellStyle name="표준 5 4 20 3 3 2" xfId="43222"/>
    <cellStyle name="표준 5 4 20 3 4" xfId="30550"/>
    <cellStyle name="표준 5 4 20 4" xfId="8391"/>
    <cellStyle name="표준 5 4 20 4 2" xfId="21065"/>
    <cellStyle name="표준 5 4 20 4 2 2" xfId="46417"/>
    <cellStyle name="표준 5 4 20 4 3" xfId="33745"/>
    <cellStyle name="표준 5 4 20 5" xfId="14729"/>
    <cellStyle name="표준 5 4 20 5 2" xfId="40081"/>
    <cellStyle name="표준 5 4 20 6" xfId="27409"/>
    <cellStyle name="표준 5 4 21" xfId="2056"/>
    <cellStyle name="표준 5 4 21 2" xfId="2057"/>
    <cellStyle name="표준 5 4 21 2 2" xfId="5197"/>
    <cellStyle name="표준 5 4 21 2 2 2" xfId="11533"/>
    <cellStyle name="표준 5 4 21 2 2 2 2" xfId="24207"/>
    <cellStyle name="표준 5 4 21 2 2 2 2 2" xfId="49559"/>
    <cellStyle name="표준 5 4 21 2 2 2 3" xfId="36887"/>
    <cellStyle name="표준 5 4 21 2 2 3" xfId="17871"/>
    <cellStyle name="표준 5 4 21 2 2 3 2" xfId="43223"/>
    <cellStyle name="표준 5 4 21 2 2 4" xfId="30551"/>
    <cellStyle name="표준 5 4 21 2 3" xfId="8394"/>
    <cellStyle name="표준 5 4 21 2 3 2" xfId="21068"/>
    <cellStyle name="표준 5 4 21 2 3 2 2" xfId="46420"/>
    <cellStyle name="표준 5 4 21 2 3 3" xfId="33748"/>
    <cellStyle name="표준 5 4 21 2 4" xfId="14732"/>
    <cellStyle name="표준 5 4 21 2 4 2" xfId="40084"/>
    <cellStyle name="표준 5 4 21 2 5" xfId="27412"/>
    <cellStyle name="표준 5 4 21 3" xfId="5198"/>
    <cellStyle name="표준 5 4 21 3 2" xfId="11534"/>
    <cellStyle name="표준 5 4 21 3 2 2" xfId="24208"/>
    <cellStyle name="표준 5 4 21 3 2 2 2" xfId="49560"/>
    <cellStyle name="표준 5 4 21 3 2 3" xfId="36888"/>
    <cellStyle name="표준 5 4 21 3 3" xfId="17872"/>
    <cellStyle name="표준 5 4 21 3 3 2" xfId="43224"/>
    <cellStyle name="표준 5 4 21 3 4" xfId="30552"/>
    <cellStyle name="표준 5 4 21 4" xfId="8393"/>
    <cellStyle name="표준 5 4 21 4 2" xfId="21067"/>
    <cellStyle name="표준 5 4 21 4 2 2" xfId="46419"/>
    <cellStyle name="표준 5 4 21 4 3" xfId="33747"/>
    <cellStyle name="표준 5 4 21 5" xfId="14731"/>
    <cellStyle name="표준 5 4 21 5 2" xfId="40083"/>
    <cellStyle name="표준 5 4 21 6" xfId="27411"/>
    <cellStyle name="표준 5 4 22" xfId="2058"/>
    <cellStyle name="표준 5 4 22 2" xfId="2059"/>
    <cellStyle name="표준 5 4 22 2 2" xfId="5199"/>
    <cellStyle name="표준 5 4 22 2 2 2" xfId="11535"/>
    <cellStyle name="표준 5 4 22 2 2 2 2" xfId="24209"/>
    <cellStyle name="표준 5 4 22 2 2 2 2 2" xfId="49561"/>
    <cellStyle name="표준 5 4 22 2 2 2 3" xfId="36889"/>
    <cellStyle name="표준 5 4 22 2 2 3" xfId="17873"/>
    <cellStyle name="표준 5 4 22 2 2 3 2" xfId="43225"/>
    <cellStyle name="표준 5 4 22 2 2 4" xfId="30553"/>
    <cellStyle name="표준 5 4 22 2 3" xfId="8396"/>
    <cellStyle name="표준 5 4 22 2 3 2" xfId="21070"/>
    <cellStyle name="표준 5 4 22 2 3 2 2" xfId="46422"/>
    <cellStyle name="표준 5 4 22 2 3 3" xfId="33750"/>
    <cellStyle name="표준 5 4 22 2 4" xfId="14734"/>
    <cellStyle name="표준 5 4 22 2 4 2" xfId="40086"/>
    <cellStyle name="표준 5 4 22 2 5" xfId="27414"/>
    <cellStyle name="표준 5 4 22 3" xfId="5200"/>
    <cellStyle name="표준 5 4 22 3 2" xfId="11536"/>
    <cellStyle name="표준 5 4 22 3 2 2" xfId="24210"/>
    <cellStyle name="표준 5 4 22 3 2 2 2" xfId="49562"/>
    <cellStyle name="표준 5 4 22 3 2 3" xfId="36890"/>
    <cellStyle name="표준 5 4 22 3 3" xfId="17874"/>
    <cellStyle name="표준 5 4 22 3 3 2" xfId="43226"/>
    <cellStyle name="표준 5 4 22 3 4" xfId="30554"/>
    <cellStyle name="표준 5 4 22 4" xfId="8395"/>
    <cellStyle name="표준 5 4 22 4 2" xfId="21069"/>
    <cellStyle name="표준 5 4 22 4 2 2" xfId="46421"/>
    <cellStyle name="표준 5 4 22 4 3" xfId="33749"/>
    <cellStyle name="표준 5 4 22 5" xfId="14733"/>
    <cellStyle name="표준 5 4 22 5 2" xfId="40085"/>
    <cellStyle name="표준 5 4 22 6" xfId="27413"/>
    <cellStyle name="표준 5 4 23" xfId="2060"/>
    <cellStyle name="표준 5 4 23 2" xfId="2061"/>
    <cellStyle name="표준 5 4 23 2 2" xfId="5201"/>
    <cellStyle name="표준 5 4 23 2 2 2" xfId="11537"/>
    <cellStyle name="표준 5 4 23 2 2 2 2" xfId="24211"/>
    <cellStyle name="표준 5 4 23 2 2 2 2 2" xfId="49563"/>
    <cellStyle name="표준 5 4 23 2 2 2 3" xfId="36891"/>
    <cellStyle name="표준 5 4 23 2 2 3" xfId="17875"/>
    <cellStyle name="표준 5 4 23 2 2 3 2" xfId="43227"/>
    <cellStyle name="표준 5 4 23 2 2 4" xfId="30555"/>
    <cellStyle name="표준 5 4 23 2 3" xfId="8398"/>
    <cellStyle name="표준 5 4 23 2 3 2" xfId="21072"/>
    <cellStyle name="표준 5 4 23 2 3 2 2" xfId="46424"/>
    <cellStyle name="표준 5 4 23 2 3 3" xfId="33752"/>
    <cellStyle name="표준 5 4 23 2 4" xfId="14736"/>
    <cellStyle name="표준 5 4 23 2 4 2" xfId="40088"/>
    <cellStyle name="표준 5 4 23 2 5" xfId="27416"/>
    <cellStyle name="표준 5 4 23 3" xfId="5202"/>
    <cellStyle name="표준 5 4 23 3 2" xfId="11538"/>
    <cellStyle name="표준 5 4 23 3 2 2" xfId="24212"/>
    <cellStyle name="표준 5 4 23 3 2 2 2" xfId="49564"/>
    <cellStyle name="표준 5 4 23 3 2 3" xfId="36892"/>
    <cellStyle name="표준 5 4 23 3 3" xfId="17876"/>
    <cellStyle name="표준 5 4 23 3 3 2" xfId="43228"/>
    <cellStyle name="표준 5 4 23 3 4" xfId="30556"/>
    <cellStyle name="표준 5 4 23 4" xfId="8397"/>
    <cellStyle name="표준 5 4 23 4 2" xfId="21071"/>
    <cellStyle name="표준 5 4 23 4 2 2" xfId="46423"/>
    <cellStyle name="표준 5 4 23 4 3" xfId="33751"/>
    <cellStyle name="표준 5 4 23 5" xfId="14735"/>
    <cellStyle name="표준 5 4 23 5 2" xfId="40087"/>
    <cellStyle name="표준 5 4 23 6" xfId="27415"/>
    <cellStyle name="표준 5 4 24" xfId="2062"/>
    <cellStyle name="표준 5 4 24 2" xfId="2063"/>
    <cellStyle name="표준 5 4 24 2 2" xfId="5203"/>
    <cellStyle name="표준 5 4 24 2 2 2" xfId="11539"/>
    <cellStyle name="표준 5 4 24 2 2 2 2" xfId="24213"/>
    <cellStyle name="표준 5 4 24 2 2 2 2 2" xfId="49565"/>
    <cellStyle name="표준 5 4 24 2 2 2 3" xfId="36893"/>
    <cellStyle name="표준 5 4 24 2 2 3" xfId="17877"/>
    <cellStyle name="표준 5 4 24 2 2 3 2" xfId="43229"/>
    <cellStyle name="표준 5 4 24 2 2 4" xfId="30557"/>
    <cellStyle name="표준 5 4 24 2 3" xfId="8400"/>
    <cellStyle name="표준 5 4 24 2 3 2" xfId="21074"/>
    <cellStyle name="표준 5 4 24 2 3 2 2" xfId="46426"/>
    <cellStyle name="표준 5 4 24 2 3 3" xfId="33754"/>
    <cellStyle name="표준 5 4 24 2 4" xfId="14738"/>
    <cellStyle name="표준 5 4 24 2 4 2" xfId="40090"/>
    <cellStyle name="표준 5 4 24 2 5" xfId="27418"/>
    <cellStyle name="표준 5 4 24 3" xfId="5204"/>
    <cellStyle name="표준 5 4 24 3 2" xfId="11540"/>
    <cellStyle name="표준 5 4 24 3 2 2" xfId="24214"/>
    <cellStyle name="표준 5 4 24 3 2 2 2" xfId="49566"/>
    <cellStyle name="표준 5 4 24 3 2 3" xfId="36894"/>
    <cellStyle name="표준 5 4 24 3 3" xfId="17878"/>
    <cellStyle name="표준 5 4 24 3 3 2" xfId="43230"/>
    <cellStyle name="표준 5 4 24 3 4" xfId="30558"/>
    <cellStyle name="표준 5 4 24 4" xfId="8399"/>
    <cellStyle name="표준 5 4 24 4 2" xfId="21073"/>
    <cellStyle name="표준 5 4 24 4 2 2" xfId="46425"/>
    <cellStyle name="표준 5 4 24 4 3" xfId="33753"/>
    <cellStyle name="표준 5 4 24 5" xfId="14737"/>
    <cellStyle name="표준 5 4 24 5 2" xfId="40089"/>
    <cellStyle name="표준 5 4 24 6" xfId="27417"/>
    <cellStyle name="표준 5 4 25" xfId="2064"/>
    <cellStyle name="표준 5 4 25 2" xfId="2065"/>
    <cellStyle name="표준 5 4 25 2 2" xfId="5205"/>
    <cellStyle name="표준 5 4 25 2 2 2" xfId="11541"/>
    <cellStyle name="표준 5 4 25 2 2 2 2" xfId="24215"/>
    <cellStyle name="표준 5 4 25 2 2 2 2 2" xfId="49567"/>
    <cellStyle name="표준 5 4 25 2 2 2 3" xfId="36895"/>
    <cellStyle name="표준 5 4 25 2 2 3" xfId="17879"/>
    <cellStyle name="표준 5 4 25 2 2 3 2" xfId="43231"/>
    <cellStyle name="표준 5 4 25 2 2 4" xfId="30559"/>
    <cellStyle name="표준 5 4 25 2 3" xfId="8402"/>
    <cellStyle name="표준 5 4 25 2 3 2" xfId="21076"/>
    <cellStyle name="표준 5 4 25 2 3 2 2" xfId="46428"/>
    <cellStyle name="표준 5 4 25 2 3 3" xfId="33756"/>
    <cellStyle name="표준 5 4 25 2 4" xfId="14740"/>
    <cellStyle name="표준 5 4 25 2 4 2" xfId="40092"/>
    <cellStyle name="표준 5 4 25 2 5" xfId="27420"/>
    <cellStyle name="표준 5 4 25 3" xfId="5206"/>
    <cellStyle name="표준 5 4 25 3 2" xfId="11542"/>
    <cellStyle name="표준 5 4 25 3 2 2" xfId="24216"/>
    <cellStyle name="표준 5 4 25 3 2 2 2" xfId="49568"/>
    <cellStyle name="표준 5 4 25 3 2 3" xfId="36896"/>
    <cellStyle name="표준 5 4 25 3 3" xfId="17880"/>
    <cellStyle name="표준 5 4 25 3 3 2" xfId="43232"/>
    <cellStyle name="표준 5 4 25 3 4" xfId="30560"/>
    <cellStyle name="표준 5 4 25 4" xfId="8401"/>
    <cellStyle name="표준 5 4 25 4 2" xfId="21075"/>
    <cellStyle name="표준 5 4 25 4 2 2" xfId="46427"/>
    <cellStyle name="표준 5 4 25 4 3" xfId="33755"/>
    <cellStyle name="표준 5 4 25 5" xfId="14739"/>
    <cellStyle name="표준 5 4 25 5 2" xfId="40091"/>
    <cellStyle name="표준 5 4 25 6" xfId="27419"/>
    <cellStyle name="표준 5 4 26" xfId="2066"/>
    <cellStyle name="표준 5 4 26 2" xfId="2067"/>
    <cellStyle name="표준 5 4 26 2 2" xfId="5207"/>
    <cellStyle name="표준 5 4 26 2 2 2" xfId="11543"/>
    <cellStyle name="표준 5 4 26 2 2 2 2" xfId="24217"/>
    <cellStyle name="표준 5 4 26 2 2 2 2 2" xfId="49569"/>
    <cellStyle name="표준 5 4 26 2 2 2 3" xfId="36897"/>
    <cellStyle name="표준 5 4 26 2 2 3" xfId="17881"/>
    <cellStyle name="표준 5 4 26 2 2 3 2" xfId="43233"/>
    <cellStyle name="표준 5 4 26 2 2 4" xfId="30561"/>
    <cellStyle name="표준 5 4 26 2 3" xfId="8404"/>
    <cellStyle name="표준 5 4 26 2 3 2" xfId="21078"/>
    <cellStyle name="표준 5 4 26 2 3 2 2" xfId="46430"/>
    <cellStyle name="표준 5 4 26 2 3 3" xfId="33758"/>
    <cellStyle name="표준 5 4 26 2 4" xfId="14742"/>
    <cellStyle name="표준 5 4 26 2 4 2" xfId="40094"/>
    <cellStyle name="표준 5 4 26 2 5" xfId="27422"/>
    <cellStyle name="표준 5 4 26 3" xfId="5208"/>
    <cellStyle name="표준 5 4 26 3 2" xfId="11544"/>
    <cellStyle name="표준 5 4 26 3 2 2" xfId="24218"/>
    <cellStyle name="표준 5 4 26 3 2 2 2" xfId="49570"/>
    <cellStyle name="표준 5 4 26 3 2 3" xfId="36898"/>
    <cellStyle name="표준 5 4 26 3 3" xfId="17882"/>
    <cellStyle name="표준 5 4 26 3 3 2" xfId="43234"/>
    <cellStyle name="표준 5 4 26 3 4" xfId="30562"/>
    <cellStyle name="표준 5 4 26 4" xfId="8403"/>
    <cellStyle name="표준 5 4 26 4 2" xfId="21077"/>
    <cellStyle name="표준 5 4 26 4 2 2" xfId="46429"/>
    <cellStyle name="표준 5 4 26 4 3" xfId="33757"/>
    <cellStyle name="표준 5 4 26 5" xfId="14741"/>
    <cellStyle name="표준 5 4 26 5 2" xfId="40093"/>
    <cellStyle name="표준 5 4 26 6" xfId="27421"/>
    <cellStyle name="표준 5 4 27" xfId="2068"/>
    <cellStyle name="표준 5 4 27 2" xfId="2069"/>
    <cellStyle name="표준 5 4 27 2 2" xfId="5209"/>
    <cellStyle name="표준 5 4 27 2 2 2" xfId="11545"/>
    <cellStyle name="표준 5 4 27 2 2 2 2" xfId="24219"/>
    <cellStyle name="표준 5 4 27 2 2 2 2 2" xfId="49571"/>
    <cellStyle name="표준 5 4 27 2 2 2 3" xfId="36899"/>
    <cellStyle name="표준 5 4 27 2 2 3" xfId="17883"/>
    <cellStyle name="표준 5 4 27 2 2 3 2" xfId="43235"/>
    <cellStyle name="표준 5 4 27 2 2 4" xfId="30563"/>
    <cellStyle name="표준 5 4 27 2 3" xfId="8406"/>
    <cellStyle name="표준 5 4 27 2 3 2" xfId="21080"/>
    <cellStyle name="표준 5 4 27 2 3 2 2" xfId="46432"/>
    <cellStyle name="표준 5 4 27 2 3 3" xfId="33760"/>
    <cellStyle name="표준 5 4 27 2 4" xfId="14744"/>
    <cellStyle name="표준 5 4 27 2 4 2" xfId="40096"/>
    <cellStyle name="표준 5 4 27 2 5" xfId="27424"/>
    <cellStyle name="표준 5 4 27 3" xfId="5210"/>
    <cellStyle name="표준 5 4 27 3 2" xfId="11546"/>
    <cellStyle name="표준 5 4 27 3 2 2" xfId="24220"/>
    <cellStyle name="표준 5 4 27 3 2 2 2" xfId="49572"/>
    <cellStyle name="표준 5 4 27 3 2 3" xfId="36900"/>
    <cellStyle name="표준 5 4 27 3 3" xfId="17884"/>
    <cellStyle name="표준 5 4 27 3 3 2" xfId="43236"/>
    <cellStyle name="표준 5 4 27 3 4" xfId="30564"/>
    <cellStyle name="표준 5 4 27 4" xfId="8405"/>
    <cellStyle name="표준 5 4 27 4 2" xfId="21079"/>
    <cellStyle name="표준 5 4 27 4 2 2" xfId="46431"/>
    <cellStyle name="표준 5 4 27 4 3" xfId="33759"/>
    <cellStyle name="표준 5 4 27 5" xfId="14743"/>
    <cellStyle name="표준 5 4 27 5 2" xfId="40095"/>
    <cellStyle name="표준 5 4 27 6" xfId="27423"/>
    <cellStyle name="표준 5 4 28" xfId="2070"/>
    <cellStyle name="표준 5 4 28 2" xfId="2071"/>
    <cellStyle name="표준 5 4 28 2 2" xfId="5211"/>
    <cellStyle name="표준 5 4 28 2 2 2" xfId="11547"/>
    <cellStyle name="표준 5 4 28 2 2 2 2" xfId="24221"/>
    <cellStyle name="표준 5 4 28 2 2 2 2 2" xfId="49573"/>
    <cellStyle name="표준 5 4 28 2 2 2 3" xfId="36901"/>
    <cellStyle name="표준 5 4 28 2 2 3" xfId="17885"/>
    <cellStyle name="표준 5 4 28 2 2 3 2" xfId="43237"/>
    <cellStyle name="표준 5 4 28 2 2 4" xfId="30565"/>
    <cellStyle name="표준 5 4 28 2 3" xfId="8408"/>
    <cellStyle name="표준 5 4 28 2 3 2" xfId="21082"/>
    <cellStyle name="표준 5 4 28 2 3 2 2" xfId="46434"/>
    <cellStyle name="표준 5 4 28 2 3 3" xfId="33762"/>
    <cellStyle name="표준 5 4 28 2 4" xfId="14746"/>
    <cellStyle name="표준 5 4 28 2 4 2" xfId="40098"/>
    <cellStyle name="표준 5 4 28 2 5" xfId="27426"/>
    <cellStyle name="표준 5 4 28 3" xfId="5212"/>
    <cellStyle name="표준 5 4 28 3 2" xfId="11548"/>
    <cellStyle name="표준 5 4 28 3 2 2" xfId="24222"/>
    <cellStyle name="표준 5 4 28 3 2 2 2" xfId="49574"/>
    <cellStyle name="표준 5 4 28 3 2 3" xfId="36902"/>
    <cellStyle name="표준 5 4 28 3 3" xfId="17886"/>
    <cellStyle name="표준 5 4 28 3 3 2" xfId="43238"/>
    <cellStyle name="표준 5 4 28 3 4" xfId="30566"/>
    <cellStyle name="표준 5 4 28 4" xfId="8407"/>
    <cellStyle name="표준 5 4 28 4 2" xfId="21081"/>
    <cellStyle name="표준 5 4 28 4 2 2" xfId="46433"/>
    <cellStyle name="표준 5 4 28 4 3" xfId="33761"/>
    <cellStyle name="표준 5 4 28 5" xfId="14745"/>
    <cellStyle name="표준 5 4 28 5 2" xfId="40097"/>
    <cellStyle name="표준 5 4 28 6" xfId="27425"/>
    <cellStyle name="표준 5 4 29" xfId="2072"/>
    <cellStyle name="표준 5 4 29 2" xfId="2073"/>
    <cellStyle name="표준 5 4 29 2 2" xfId="5213"/>
    <cellStyle name="표준 5 4 29 2 2 2" xfId="11549"/>
    <cellStyle name="표준 5 4 29 2 2 2 2" xfId="24223"/>
    <cellStyle name="표준 5 4 29 2 2 2 2 2" xfId="49575"/>
    <cellStyle name="표준 5 4 29 2 2 2 3" xfId="36903"/>
    <cellStyle name="표준 5 4 29 2 2 3" xfId="17887"/>
    <cellStyle name="표준 5 4 29 2 2 3 2" xfId="43239"/>
    <cellStyle name="표준 5 4 29 2 2 4" xfId="30567"/>
    <cellStyle name="표준 5 4 29 2 3" xfId="8410"/>
    <cellStyle name="표준 5 4 29 2 3 2" xfId="21084"/>
    <cellStyle name="표준 5 4 29 2 3 2 2" xfId="46436"/>
    <cellStyle name="표준 5 4 29 2 3 3" xfId="33764"/>
    <cellStyle name="표준 5 4 29 2 4" xfId="14748"/>
    <cellStyle name="표준 5 4 29 2 4 2" xfId="40100"/>
    <cellStyle name="표준 5 4 29 2 5" xfId="27428"/>
    <cellStyle name="표준 5 4 29 3" xfId="5214"/>
    <cellStyle name="표준 5 4 29 3 2" xfId="11550"/>
    <cellStyle name="표준 5 4 29 3 2 2" xfId="24224"/>
    <cellStyle name="표준 5 4 29 3 2 2 2" xfId="49576"/>
    <cellStyle name="표준 5 4 29 3 2 3" xfId="36904"/>
    <cellStyle name="표준 5 4 29 3 3" xfId="17888"/>
    <cellStyle name="표준 5 4 29 3 3 2" xfId="43240"/>
    <cellStyle name="표준 5 4 29 3 4" xfId="30568"/>
    <cellStyle name="표준 5 4 29 4" xfId="8409"/>
    <cellStyle name="표준 5 4 29 4 2" xfId="21083"/>
    <cellStyle name="표준 5 4 29 4 2 2" xfId="46435"/>
    <cellStyle name="표준 5 4 29 4 3" xfId="33763"/>
    <cellStyle name="표준 5 4 29 5" xfId="14747"/>
    <cellStyle name="표준 5 4 29 5 2" xfId="40099"/>
    <cellStyle name="표준 5 4 29 6" xfId="27427"/>
    <cellStyle name="표준 5 4 3" xfId="86"/>
    <cellStyle name="표준 5 4 3 2" xfId="2074"/>
    <cellStyle name="표준 5 4 3 2 2" xfId="5215"/>
    <cellStyle name="표준 5 4 3 2 2 2" xfId="11551"/>
    <cellStyle name="표준 5 4 3 2 2 2 2" xfId="24225"/>
    <cellStyle name="표준 5 4 3 2 2 2 2 2" xfId="49577"/>
    <cellStyle name="표준 5 4 3 2 2 2 3" xfId="36905"/>
    <cellStyle name="표준 5 4 3 2 2 3" xfId="17889"/>
    <cellStyle name="표준 5 4 3 2 2 3 2" xfId="43241"/>
    <cellStyle name="표준 5 4 3 2 2 4" xfId="30569"/>
    <cellStyle name="표준 5 4 3 2 3" xfId="8411"/>
    <cellStyle name="표준 5 4 3 2 3 2" xfId="21085"/>
    <cellStyle name="표준 5 4 3 2 3 2 2" xfId="46437"/>
    <cellStyle name="표준 5 4 3 2 3 3" xfId="33765"/>
    <cellStyle name="표준 5 4 3 2 4" xfId="14749"/>
    <cellStyle name="표준 5 4 3 2 4 2" xfId="40101"/>
    <cellStyle name="표준 5 4 3 2 5" xfId="27429"/>
    <cellStyle name="표준 5 4 3 3" xfId="5216"/>
    <cellStyle name="표준 5 4 3 3 2" xfId="11552"/>
    <cellStyle name="표준 5 4 3 3 2 2" xfId="24226"/>
    <cellStyle name="표준 5 4 3 3 2 2 2" xfId="49578"/>
    <cellStyle name="표준 5 4 3 3 2 3" xfId="36906"/>
    <cellStyle name="표준 5 4 3 3 3" xfId="17890"/>
    <cellStyle name="표준 5 4 3 3 3 2" xfId="43242"/>
    <cellStyle name="표준 5 4 3 3 4" xfId="30570"/>
    <cellStyle name="표준 5 4 3 4" xfId="6424"/>
    <cellStyle name="표준 5 4 3 4 2" xfId="19098"/>
    <cellStyle name="표준 5 4 3 4 2 2" xfId="44450"/>
    <cellStyle name="표준 5 4 3 4 3" xfId="31778"/>
    <cellStyle name="표준 5 4 3 5" xfId="12762"/>
    <cellStyle name="표준 5 4 3 5 2" xfId="38114"/>
    <cellStyle name="표준 5 4 3 6" xfId="25442"/>
    <cellStyle name="표준 5 4 30" xfId="2075"/>
    <cellStyle name="표준 5 4 30 2" xfId="2076"/>
    <cellStyle name="표준 5 4 30 2 2" xfId="5217"/>
    <cellStyle name="표준 5 4 30 2 2 2" xfId="11553"/>
    <cellStyle name="표준 5 4 30 2 2 2 2" xfId="24227"/>
    <cellStyle name="표준 5 4 30 2 2 2 2 2" xfId="49579"/>
    <cellStyle name="표준 5 4 30 2 2 2 3" xfId="36907"/>
    <cellStyle name="표준 5 4 30 2 2 3" xfId="17891"/>
    <cellStyle name="표준 5 4 30 2 2 3 2" xfId="43243"/>
    <cellStyle name="표준 5 4 30 2 2 4" xfId="30571"/>
    <cellStyle name="표준 5 4 30 2 3" xfId="8413"/>
    <cellStyle name="표준 5 4 30 2 3 2" xfId="21087"/>
    <cellStyle name="표준 5 4 30 2 3 2 2" xfId="46439"/>
    <cellStyle name="표준 5 4 30 2 3 3" xfId="33767"/>
    <cellStyle name="표준 5 4 30 2 4" xfId="14751"/>
    <cellStyle name="표준 5 4 30 2 4 2" xfId="40103"/>
    <cellStyle name="표준 5 4 30 2 5" xfId="27431"/>
    <cellStyle name="표준 5 4 30 3" xfId="5218"/>
    <cellStyle name="표준 5 4 30 3 2" xfId="11554"/>
    <cellStyle name="표준 5 4 30 3 2 2" xfId="24228"/>
    <cellStyle name="표준 5 4 30 3 2 2 2" xfId="49580"/>
    <cellStyle name="표준 5 4 30 3 2 3" xfId="36908"/>
    <cellStyle name="표준 5 4 30 3 3" xfId="17892"/>
    <cellStyle name="표준 5 4 30 3 3 2" xfId="43244"/>
    <cellStyle name="표준 5 4 30 3 4" xfId="30572"/>
    <cellStyle name="표준 5 4 30 4" xfId="8412"/>
    <cellStyle name="표준 5 4 30 4 2" xfId="21086"/>
    <cellStyle name="표준 5 4 30 4 2 2" xfId="46438"/>
    <cellStyle name="표준 5 4 30 4 3" xfId="33766"/>
    <cellStyle name="표준 5 4 30 5" xfId="14750"/>
    <cellStyle name="표준 5 4 30 5 2" xfId="40102"/>
    <cellStyle name="표준 5 4 30 6" xfId="27430"/>
    <cellStyle name="표준 5 4 31" xfId="2077"/>
    <cellStyle name="표준 5 4 31 2" xfId="2078"/>
    <cellStyle name="표준 5 4 31 2 2" xfId="5219"/>
    <cellStyle name="표준 5 4 31 2 2 2" xfId="11555"/>
    <cellStyle name="표준 5 4 31 2 2 2 2" xfId="24229"/>
    <cellStyle name="표준 5 4 31 2 2 2 2 2" xfId="49581"/>
    <cellStyle name="표준 5 4 31 2 2 2 3" xfId="36909"/>
    <cellStyle name="표준 5 4 31 2 2 3" xfId="17893"/>
    <cellStyle name="표준 5 4 31 2 2 3 2" xfId="43245"/>
    <cellStyle name="표준 5 4 31 2 2 4" xfId="30573"/>
    <cellStyle name="표준 5 4 31 2 3" xfId="8415"/>
    <cellStyle name="표준 5 4 31 2 3 2" xfId="21089"/>
    <cellStyle name="표준 5 4 31 2 3 2 2" xfId="46441"/>
    <cellStyle name="표준 5 4 31 2 3 3" xfId="33769"/>
    <cellStyle name="표준 5 4 31 2 4" xfId="14753"/>
    <cellStyle name="표준 5 4 31 2 4 2" xfId="40105"/>
    <cellStyle name="표준 5 4 31 2 5" xfId="27433"/>
    <cellStyle name="표준 5 4 31 3" xfId="5220"/>
    <cellStyle name="표준 5 4 31 3 2" xfId="11556"/>
    <cellStyle name="표준 5 4 31 3 2 2" xfId="24230"/>
    <cellStyle name="표준 5 4 31 3 2 2 2" xfId="49582"/>
    <cellStyle name="표준 5 4 31 3 2 3" xfId="36910"/>
    <cellStyle name="표준 5 4 31 3 3" xfId="17894"/>
    <cellStyle name="표준 5 4 31 3 3 2" xfId="43246"/>
    <cellStyle name="표준 5 4 31 3 4" xfId="30574"/>
    <cellStyle name="표준 5 4 31 4" xfId="8414"/>
    <cellStyle name="표준 5 4 31 4 2" xfId="21088"/>
    <cellStyle name="표준 5 4 31 4 2 2" xfId="46440"/>
    <cellStyle name="표준 5 4 31 4 3" xfId="33768"/>
    <cellStyle name="표준 5 4 31 5" xfId="14752"/>
    <cellStyle name="표준 5 4 31 5 2" xfId="40104"/>
    <cellStyle name="표준 5 4 31 6" xfId="27432"/>
    <cellStyle name="표준 5 4 32" xfId="2079"/>
    <cellStyle name="표준 5 4 32 2" xfId="2080"/>
    <cellStyle name="표준 5 4 32 2 2" xfId="5221"/>
    <cellStyle name="표준 5 4 32 2 2 2" xfId="11557"/>
    <cellStyle name="표준 5 4 32 2 2 2 2" xfId="24231"/>
    <cellStyle name="표준 5 4 32 2 2 2 2 2" xfId="49583"/>
    <cellStyle name="표준 5 4 32 2 2 2 3" xfId="36911"/>
    <cellStyle name="표준 5 4 32 2 2 3" xfId="17895"/>
    <cellStyle name="표준 5 4 32 2 2 3 2" xfId="43247"/>
    <cellStyle name="표준 5 4 32 2 2 4" xfId="30575"/>
    <cellStyle name="표준 5 4 32 2 3" xfId="8417"/>
    <cellStyle name="표준 5 4 32 2 3 2" xfId="21091"/>
    <cellStyle name="표준 5 4 32 2 3 2 2" xfId="46443"/>
    <cellStyle name="표준 5 4 32 2 3 3" xfId="33771"/>
    <cellStyle name="표준 5 4 32 2 4" xfId="14755"/>
    <cellStyle name="표준 5 4 32 2 4 2" xfId="40107"/>
    <cellStyle name="표준 5 4 32 2 5" xfId="27435"/>
    <cellStyle name="표준 5 4 32 3" xfId="5222"/>
    <cellStyle name="표준 5 4 32 3 2" xfId="11558"/>
    <cellStyle name="표준 5 4 32 3 2 2" xfId="24232"/>
    <cellStyle name="표준 5 4 32 3 2 2 2" xfId="49584"/>
    <cellStyle name="표준 5 4 32 3 2 3" xfId="36912"/>
    <cellStyle name="표준 5 4 32 3 3" xfId="17896"/>
    <cellStyle name="표준 5 4 32 3 3 2" xfId="43248"/>
    <cellStyle name="표준 5 4 32 3 4" xfId="30576"/>
    <cellStyle name="표준 5 4 32 4" xfId="8416"/>
    <cellStyle name="표준 5 4 32 4 2" xfId="21090"/>
    <cellStyle name="표준 5 4 32 4 2 2" xfId="46442"/>
    <cellStyle name="표준 5 4 32 4 3" xfId="33770"/>
    <cellStyle name="표준 5 4 32 5" xfId="14754"/>
    <cellStyle name="표준 5 4 32 5 2" xfId="40106"/>
    <cellStyle name="표준 5 4 32 6" xfId="27434"/>
    <cellStyle name="표준 5 4 33" xfId="2081"/>
    <cellStyle name="표준 5 4 33 2" xfId="2082"/>
    <cellStyle name="표준 5 4 33 2 2" xfId="5223"/>
    <cellStyle name="표준 5 4 33 2 2 2" xfId="11559"/>
    <cellStyle name="표준 5 4 33 2 2 2 2" xfId="24233"/>
    <cellStyle name="표준 5 4 33 2 2 2 2 2" xfId="49585"/>
    <cellStyle name="표준 5 4 33 2 2 2 3" xfId="36913"/>
    <cellStyle name="표준 5 4 33 2 2 3" xfId="17897"/>
    <cellStyle name="표준 5 4 33 2 2 3 2" xfId="43249"/>
    <cellStyle name="표준 5 4 33 2 2 4" xfId="30577"/>
    <cellStyle name="표준 5 4 33 2 3" xfId="8419"/>
    <cellStyle name="표준 5 4 33 2 3 2" xfId="21093"/>
    <cellStyle name="표준 5 4 33 2 3 2 2" xfId="46445"/>
    <cellStyle name="표준 5 4 33 2 3 3" xfId="33773"/>
    <cellStyle name="표준 5 4 33 2 4" xfId="14757"/>
    <cellStyle name="표준 5 4 33 2 4 2" xfId="40109"/>
    <cellStyle name="표준 5 4 33 2 5" xfId="27437"/>
    <cellStyle name="표준 5 4 33 3" xfId="5224"/>
    <cellStyle name="표준 5 4 33 3 2" xfId="11560"/>
    <cellStyle name="표준 5 4 33 3 2 2" xfId="24234"/>
    <cellStyle name="표준 5 4 33 3 2 2 2" xfId="49586"/>
    <cellStyle name="표준 5 4 33 3 2 3" xfId="36914"/>
    <cellStyle name="표준 5 4 33 3 3" xfId="17898"/>
    <cellStyle name="표준 5 4 33 3 3 2" xfId="43250"/>
    <cellStyle name="표준 5 4 33 3 4" xfId="30578"/>
    <cellStyle name="표준 5 4 33 4" xfId="8418"/>
    <cellStyle name="표준 5 4 33 4 2" xfId="21092"/>
    <cellStyle name="표준 5 4 33 4 2 2" xfId="46444"/>
    <cellStyle name="표준 5 4 33 4 3" xfId="33772"/>
    <cellStyle name="표준 5 4 33 5" xfId="14756"/>
    <cellStyle name="표준 5 4 33 5 2" xfId="40108"/>
    <cellStyle name="표준 5 4 33 6" xfId="27436"/>
    <cellStyle name="표준 5 4 34" xfId="2083"/>
    <cellStyle name="표준 5 4 34 2" xfId="2084"/>
    <cellStyle name="표준 5 4 34 2 2" xfId="5225"/>
    <cellStyle name="표준 5 4 34 2 2 2" xfId="11561"/>
    <cellStyle name="표준 5 4 34 2 2 2 2" xfId="24235"/>
    <cellStyle name="표준 5 4 34 2 2 2 2 2" xfId="49587"/>
    <cellStyle name="표준 5 4 34 2 2 2 3" xfId="36915"/>
    <cellStyle name="표준 5 4 34 2 2 3" xfId="17899"/>
    <cellStyle name="표준 5 4 34 2 2 3 2" xfId="43251"/>
    <cellStyle name="표준 5 4 34 2 2 4" xfId="30579"/>
    <cellStyle name="표준 5 4 34 2 3" xfId="8421"/>
    <cellStyle name="표준 5 4 34 2 3 2" xfId="21095"/>
    <cellStyle name="표준 5 4 34 2 3 2 2" xfId="46447"/>
    <cellStyle name="표준 5 4 34 2 3 3" xfId="33775"/>
    <cellStyle name="표준 5 4 34 2 4" xfId="14759"/>
    <cellStyle name="표준 5 4 34 2 4 2" xfId="40111"/>
    <cellStyle name="표준 5 4 34 2 5" xfId="27439"/>
    <cellStyle name="표준 5 4 34 3" xfId="5226"/>
    <cellStyle name="표준 5 4 34 3 2" xfId="11562"/>
    <cellStyle name="표준 5 4 34 3 2 2" xfId="24236"/>
    <cellStyle name="표준 5 4 34 3 2 2 2" xfId="49588"/>
    <cellStyle name="표준 5 4 34 3 2 3" xfId="36916"/>
    <cellStyle name="표준 5 4 34 3 3" xfId="17900"/>
    <cellStyle name="표준 5 4 34 3 3 2" xfId="43252"/>
    <cellStyle name="표준 5 4 34 3 4" xfId="30580"/>
    <cellStyle name="표준 5 4 34 4" xfId="8420"/>
    <cellStyle name="표준 5 4 34 4 2" xfId="21094"/>
    <cellStyle name="표준 5 4 34 4 2 2" xfId="46446"/>
    <cellStyle name="표준 5 4 34 4 3" xfId="33774"/>
    <cellStyle name="표준 5 4 34 5" xfId="14758"/>
    <cellStyle name="표준 5 4 34 5 2" xfId="40110"/>
    <cellStyle name="표준 5 4 34 6" xfId="27438"/>
    <cellStyle name="표준 5 4 35" xfId="2085"/>
    <cellStyle name="표준 5 4 35 2" xfId="5227"/>
    <cellStyle name="표준 5 4 35 2 2" xfId="11563"/>
    <cellStyle name="표준 5 4 35 2 2 2" xfId="24237"/>
    <cellStyle name="표준 5 4 35 2 2 2 2" xfId="49589"/>
    <cellStyle name="표준 5 4 35 2 2 3" xfId="36917"/>
    <cellStyle name="표준 5 4 35 2 3" xfId="17901"/>
    <cellStyle name="표준 5 4 35 2 3 2" xfId="43253"/>
    <cellStyle name="표준 5 4 35 2 4" xfId="30581"/>
    <cellStyle name="표준 5 4 35 3" xfId="8422"/>
    <cellStyle name="표준 5 4 35 3 2" xfId="21096"/>
    <cellStyle name="표준 5 4 35 3 2 2" xfId="46448"/>
    <cellStyle name="표준 5 4 35 3 3" xfId="33776"/>
    <cellStyle name="표준 5 4 35 4" xfId="14760"/>
    <cellStyle name="표준 5 4 35 4 2" xfId="40112"/>
    <cellStyle name="표준 5 4 35 5" xfId="27440"/>
    <cellStyle name="표준 5 4 36" xfId="5228"/>
    <cellStyle name="표준 5 4 36 2" xfId="11564"/>
    <cellStyle name="표준 5 4 36 2 2" xfId="24238"/>
    <cellStyle name="표준 5 4 36 2 2 2" xfId="49590"/>
    <cellStyle name="표준 5 4 36 2 3" xfId="36918"/>
    <cellStyle name="표준 5 4 36 3" xfId="17902"/>
    <cellStyle name="표준 5 4 36 3 2" xfId="43254"/>
    <cellStyle name="표준 5 4 36 4" xfId="30582"/>
    <cellStyle name="표준 5 4 37" xfId="6383"/>
    <cellStyle name="표준 5 4 37 2" xfId="19057"/>
    <cellStyle name="표준 5 4 37 2 2" xfId="44409"/>
    <cellStyle name="표준 5 4 37 3" xfId="31737"/>
    <cellStyle name="표준 5 4 38" xfId="12721"/>
    <cellStyle name="표준 5 4 38 2" xfId="38073"/>
    <cellStyle name="표준 5 4 39" xfId="25401"/>
    <cellStyle name="표준 5 4 4" xfId="2086"/>
    <cellStyle name="표준 5 4 4 2" xfId="2087"/>
    <cellStyle name="표준 5 4 4 2 2" xfId="5229"/>
    <cellStyle name="표준 5 4 4 2 2 2" xfId="11565"/>
    <cellStyle name="표준 5 4 4 2 2 2 2" xfId="24239"/>
    <cellStyle name="표준 5 4 4 2 2 2 2 2" xfId="49591"/>
    <cellStyle name="표준 5 4 4 2 2 2 3" xfId="36919"/>
    <cellStyle name="표준 5 4 4 2 2 3" xfId="17903"/>
    <cellStyle name="표준 5 4 4 2 2 3 2" xfId="43255"/>
    <cellStyle name="표준 5 4 4 2 2 4" xfId="30583"/>
    <cellStyle name="표준 5 4 4 2 3" xfId="8424"/>
    <cellStyle name="표준 5 4 4 2 3 2" xfId="21098"/>
    <cellStyle name="표준 5 4 4 2 3 2 2" xfId="46450"/>
    <cellStyle name="표준 5 4 4 2 3 3" xfId="33778"/>
    <cellStyle name="표준 5 4 4 2 4" xfId="14762"/>
    <cellStyle name="표준 5 4 4 2 4 2" xfId="40114"/>
    <cellStyle name="표준 5 4 4 2 5" xfId="27442"/>
    <cellStyle name="표준 5 4 4 3" xfId="5230"/>
    <cellStyle name="표준 5 4 4 3 2" xfId="11566"/>
    <cellStyle name="표준 5 4 4 3 2 2" xfId="24240"/>
    <cellStyle name="표준 5 4 4 3 2 2 2" xfId="49592"/>
    <cellStyle name="표준 5 4 4 3 2 3" xfId="36920"/>
    <cellStyle name="표준 5 4 4 3 3" xfId="17904"/>
    <cellStyle name="표준 5 4 4 3 3 2" xfId="43256"/>
    <cellStyle name="표준 5 4 4 3 4" xfId="30584"/>
    <cellStyle name="표준 5 4 4 4" xfId="8423"/>
    <cellStyle name="표준 5 4 4 4 2" xfId="21097"/>
    <cellStyle name="표준 5 4 4 4 2 2" xfId="46449"/>
    <cellStyle name="표준 5 4 4 4 3" xfId="33777"/>
    <cellStyle name="표준 5 4 4 5" xfId="14761"/>
    <cellStyle name="표준 5 4 4 5 2" xfId="40113"/>
    <cellStyle name="표준 5 4 4 6" xfId="27441"/>
    <cellStyle name="표준 5 4 5" xfId="2088"/>
    <cellStyle name="표준 5 4 5 2" xfId="2089"/>
    <cellStyle name="표준 5 4 5 2 2" xfId="5231"/>
    <cellStyle name="표준 5 4 5 2 2 2" xfId="11567"/>
    <cellStyle name="표준 5 4 5 2 2 2 2" xfId="24241"/>
    <cellStyle name="표준 5 4 5 2 2 2 2 2" xfId="49593"/>
    <cellStyle name="표준 5 4 5 2 2 2 3" xfId="36921"/>
    <cellStyle name="표준 5 4 5 2 2 3" xfId="17905"/>
    <cellStyle name="표준 5 4 5 2 2 3 2" xfId="43257"/>
    <cellStyle name="표준 5 4 5 2 2 4" xfId="30585"/>
    <cellStyle name="표준 5 4 5 2 3" xfId="8426"/>
    <cellStyle name="표준 5 4 5 2 3 2" xfId="21100"/>
    <cellStyle name="표준 5 4 5 2 3 2 2" xfId="46452"/>
    <cellStyle name="표준 5 4 5 2 3 3" xfId="33780"/>
    <cellStyle name="표준 5 4 5 2 4" xfId="14764"/>
    <cellStyle name="표준 5 4 5 2 4 2" xfId="40116"/>
    <cellStyle name="표준 5 4 5 2 5" xfId="27444"/>
    <cellStyle name="표준 5 4 5 3" xfId="5232"/>
    <cellStyle name="표준 5 4 5 3 2" xfId="11568"/>
    <cellStyle name="표준 5 4 5 3 2 2" xfId="24242"/>
    <cellStyle name="표준 5 4 5 3 2 2 2" xfId="49594"/>
    <cellStyle name="표준 5 4 5 3 2 3" xfId="36922"/>
    <cellStyle name="표준 5 4 5 3 3" xfId="17906"/>
    <cellStyle name="표준 5 4 5 3 3 2" xfId="43258"/>
    <cellStyle name="표준 5 4 5 3 4" xfId="30586"/>
    <cellStyle name="표준 5 4 5 4" xfId="8425"/>
    <cellStyle name="표준 5 4 5 4 2" xfId="21099"/>
    <cellStyle name="표준 5 4 5 4 2 2" xfId="46451"/>
    <cellStyle name="표준 5 4 5 4 3" xfId="33779"/>
    <cellStyle name="표준 5 4 5 5" xfId="14763"/>
    <cellStyle name="표준 5 4 5 5 2" xfId="40115"/>
    <cellStyle name="표준 5 4 5 6" xfId="27443"/>
    <cellStyle name="표준 5 4 6" xfId="2090"/>
    <cellStyle name="표준 5 4 6 2" xfId="2091"/>
    <cellStyle name="표준 5 4 6 2 2" xfId="5233"/>
    <cellStyle name="표준 5 4 6 2 2 2" xfId="11569"/>
    <cellStyle name="표준 5 4 6 2 2 2 2" xfId="24243"/>
    <cellStyle name="표준 5 4 6 2 2 2 2 2" xfId="49595"/>
    <cellStyle name="표준 5 4 6 2 2 2 3" xfId="36923"/>
    <cellStyle name="표준 5 4 6 2 2 3" xfId="17907"/>
    <cellStyle name="표준 5 4 6 2 2 3 2" xfId="43259"/>
    <cellStyle name="표준 5 4 6 2 2 4" xfId="30587"/>
    <cellStyle name="표준 5 4 6 2 3" xfId="8428"/>
    <cellStyle name="표준 5 4 6 2 3 2" xfId="21102"/>
    <cellStyle name="표준 5 4 6 2 3 2 2" xfId="46454"/>
    <cellStyle name="표준 5 4 6 2 3 3" xfId="33782"/>
    <cellStyle name="표준 5 4 6 2 4" xfId="14766"/>
    <cellStyle name="표준 5 4 6 2 4 2" xfId="40118"/>
    <cellStyle name="표준 5 4 6 2 5" xfId="27446"/>
    <cellStyle name="표준 5 4 6 3" xfId="5234"/>
    <cellStyle name="표준 5 4 6 3 2" xfId="11570"/>
    <cellStyle name="표준 5 4 6 3 2 2" xfId="24244"/>
    <cellStyle name="표준 5 4 6 3 2 2 2" xfId="49596"/>
    <cellStyle name="표준 5 4 6 3 2 3" xfId="36924"/>
    <cellStyle name="표준 5 4 6 3 3" xfId="17908"/>
    <cellStyle name="표준 5 4 6 3 3 2" xfId="43260"/>
    <cellStyle name="표준 5 4 6 3 4" xfId="30588"/>
    <cellStyle name="표준 5 4 6 4" xfId="8427"/>
    <cellStyle name="표준 5 4 6 4 2" xfId="21101"/>
    <cellStyle name="표준 5 4 6 4 2 2" xfId="46453"/>
    <cellStyle name="표준 5 4 6 4 3" xfId="33781"/>
    <cellStyle name="표준 5 4 6 5" xfId="14765"/>
    <cellStyle name="표준 5 4 6 5 2" xfId="40117"/>
    <cellStyle name="표준 5 4 6 6" xfId="27445"/>
    <cellStyle name="표준 5 4 7" xfId="2092"/>
    <cellStyle name="표준 5 4 7 2" xfId="2093"/>
    <cellStyle name="표준 5 4 7 2 2" xfId="5235"/>
    <cellStyle name="표준 5 4 7 2 2 2" xfId="11571"/>
    <cellStyle name="표준 5 4 7 2 2 2 2" xfId="24245"/>
    <cellStyle name="표준 5 4 7 2 2 2 2 2" xfId="49597"/>
    <cellStyle name="표준 5 4 7 2 2 2 3" xfId="36925"/>
    <cellStyle name="표준 5 4 7 2 2 3" xfId="17909"/>
    <cellStyle name="표준 5 4 7 2 2 3 2" xfId="43261"/>
    <cellStyle name="표준 5 4 7 2 2 4" xfId="30589"/>
    <cellStyle name="표준 5 4 7 2 3" xfId="8430"/>
    <cellStyle name="표준 5 4 7 2 3 2" xfId="21104"/>
    <cellStyle name="표준 5 4 7 2 3 2 2" xfId="46456"/>
    <cellStyle name="표준 5 4 7 2 3 3" xfId="33784"/>
    <cellStyle name="표준 5 4 7 2 4" xfId="14768"/>
    <cellStyle name="표준 5 4 7 2 4 2" xfId="40120"/>
    <cellStyle name="표준 5 4 7 2 5" xfId="27448"/>
    <cellStyle name="표준 5 4 7 3" xfId="5236"/>
    <cellStyle name="표준 5 4 7 3 2" xfId="11572"/>
    <cellStyle name="표준 5 4 7 3 2 2" xfId="24246"/>
    <cellStyle name="표준 5 4 7 3 2 2 2" xfId="49598"/>
    <cellStyle name="표준 5 4 7 3 2 3" xfId="36926"/>
    <cellStyle name="표준 5 4 7 3 3" xfId="17910"/>
    <cellStyle name="표준 5 4 7 3 3 2" xfId="43262"/>
    <cellStyle name="표준 5 4 7 3 4" xfId="30590"/>
    <cellStyle name="표준 5 4 7 4" xfId="8429"/>
    <cellStyle name="표준 5 4 7 4 2" xfId="21103"/>
    <cellStyle name="표준 5 4 7 4 2 2" xfId="46455"/>
    <cellStyle name="표준 5 4 7 4 3" xfId="33783"/>
    <cellStyle name="표준 5 4 7 5" xfId="14767"/>
    <cellStyle name="표준 5 4 7 5 2" xfId="40119"/>
    <cellStyle name="표준 5 4 7 6" xfId="27447"/>
    <cellStyle name="표준 5 4 8" xfId="2094"/>
    <cellStyle name="표준 5 4 8 2" xfId="2095"/>
    <cellStyle name="표준 5 4 8 2 2" xfId="5237"/>
    <cellStyle name="표준 5 4 8 2 2 2" xfId="11573"/>
    <cellStyle name="표준 5 4 8 2 2 2 2" xfId="24247"/>
    <cellStyle name="표준 5 4 8 2 2 2 2 2" xfId="49599"/>
    <cellStyle name="표준 5 4 8 2 2 2 3" xfId="36927"/>
    <cellStyle name="표준 5 4 8 2 2 3" xfId="17911"/>
    <cellStyle name="표준 5 4 8 2 2 3 2" xfId="43263"/>
    <cellStyle name="표준 5 4 8 2 2 4" xfId="30591"/>
    <cellStyle name="표준 5 4 8 2 3" xfId="8432"/>
    <cellStyle name="표준 5 4 8 2 3 2" xfId="21106"/>
    <cellStyle name="표준 5 4 8 2 3 2 2" xfId="46458"/>
    <cellStyle name="표준 5 4 8 2 3 3" xfId="33786"/>
    <cellStyle name="표준 5 4 8 2 4" xfId="14770"/>
    <cellStyle name="표준 5 4 8 2 4 2" xfId="40122"/>
    <cellStyle name="표준 5 4 8 2 5" xfId="27450"/>
    <cellStyle name="표준 5 4 8 3" xfId="5238"/>
    <cellStyle name="표준 5 4 8 3 2" xfId="11574"/>
    <cellStyle name="표준 5 4 8 3 2 2" xfId="24248"/>
    <cellStyle name="표준 5 4 8 3 2 2 2" xfId="49600"/>
    <cellStyle name="표준 5 4 8 3 2 3" xfId="36928"/>
    <cellStyle name="표준 5 4 8 3 3" xfId="17912"/>
    <cellStyle name="표준 5 4 8 3 3 2" xfId="43264"/>
    <cellStyle name="표준 5 4 8 3 4" xfId="30592"/>
    <cellStyle name="표준 5 4 8 4" xfId="8431"/>
    <cellStyle name="표준 5 4 8 4 2" xfId="21105"/>
    <cellStyle name="표준 5 4 8 4 2 2" xfId="46457"/>
    <cellStyle name="표준 5 4 8 4 3" xfId="33785"/>
    <cellStyle name="표준 5 4 8 5" xfId="14769"/>
    <cellStyle name="표준 5 4 8 5 2" xfId="40121"/>
    <cellStyle name="표준 5 4 8 6" xfId="27449"/>
    <cellStyle name="표준 5 4 9" xfId="2096"/>
    <cellStyle name="표준 5 4 9 2" xfId="2097"/>
    <cellStyle name="표준 5 4 9 2 2" xfId="5239"/>
    <cellStyle name="표준 5 4 9 2 2 2" xfId="11575"/>
    <cellStyle name="표준 5 4 9 2 2 2 2" xfId="24249"/>
    <cellStyle name="표준 5 4 9 2 2 2 2 2" xfId="49601"/>
    <cellStyle name="표준 5 4 9 2 2 2 3" xfId="36929"/>
    <cellStyle name="표준 5 4 9 2 2 3" xfId="17913"/>
    <cellStyle name="표준 5 4 9 2 2 3 2" xfId="43265"/>
    <cellStyle name="표준 5 4 9 2 2 4" xfId="30593"/>
    <cellStyle name="표준 5 4 9 2 3" xfId="8434"/>
    <cellStyle name="표준 5 4 9 2 3 2" xfId="21108"/>
    <cellStyle name="표준 5 4 9 2 3 2 2" xfId="46460"/>
    <cellStyle name="표준 5 4 9 2 3 3" xfId="33788"/>
    <cellStyle name="표준 5 4 9 2 4" xfId="14772"/>
    <cellStyle name="표준 5 4 9 2 4 2" xfId="40124"/>
    <cellStyle name="표준 5 4 9 2 5" xfId="27452"/>
    <cellStyle name="표준 5 4 9 3" xfId="5240"/>
    <cellStyle name="표준 5 4 9 3 2" xfId="11576"/>
    <cellStyle name="표준 5 4 9 3 2 2" xfId="24250"/>
    <cellStyle name="표준 5 4 9 3 2 2 2" xfId="49602"/>
    <cellStyle name="표준 5 4 9 3 2 3" xfId="36930"/>
    <cellStyle name="표준 5 4 9 3 3" xfId="17914"/>
    <cellStyle name="표준 5 4 9 3 3 2" xfId="43266"/>
    <cellStyle name="표준 5 4 9 3 4" xfId="30594"/>
    <cellStyle name="표준 5 4 9 4" xfId="8433"/>
    <cellStyle name="표준 5 4 9 4 2" xfId="21107"/>
    <cellStyle name="표준 5 4 9 4 2 2" xfId="46459"/>
    <cellStyle name="표준 5 4 9 4 3" xfId="33787"/>
    <cellStyle name="표준 5 4 9 5" xfId="14771"/>
    <cellStyle name="표준 5 4 9 5 2" xfId="40123"/>
    <cellStyle name="표준 5 4 9 6" xfId="27451"/>
    <cellStyle name="표준 5 40" xfId="6371"/>
    <cellStyle name="표준 5 40 2" xfId="19045"/>
    <cellStyle name="표준 5 40 2 2" xfId="44397"/>
    <cellStyle name="표준 5 40 3" xfId="31725"/>
    <cellStyle name="표준 5 41" xfId="12709"/>
    <cellStyle name="표준 5 41 2" xfId="38061"/>
    <cellStyle name="표준 5 42" xfId="25389"/>
    <cellStyle name="표준 5 5" xfId="87"/>
    <cellStyle name="표준 5 5 10" xfId="2098"/>
    <cellStyle name="표준 5 5 10 2" xfId="2099"/>
    <cellStyle name="표준 5 5 10 2 2" xfId="5241"/>
    <cellStyle name="표준 5 5 10 2 2 2" xfId="11577"/>
    <cellStyle name="표준 5 5 10 2 2 2 2" xfId="24251"/>
    <cellStyle name="표준 5 5 10 2 2 2 2 2" xfId="49603"/>
    <cellStyle name="표준 5 5 10 2 2 2 3" xfId="36931"/>
    <cellStyle name="표준 5 5 10 2 2 3" xfId="17915"/>
    <cellStyle name="표준 5 5 10 2 2 3 2" xfId="43267"/>
    <cellStyle name="표준 5 5 10 2 2 4" xfId="30595"/>
    <cellStyle name="표준 5 5 10 2 3" xfId="8436"/>
    <cellStyle name="표준 5 5 10 2 3 2" xfId="21110"/>
    <cellStyle name="표준 5 5 10 2 3 2 2" xfId="46462"/>
    <cellStyle name="표준 5 5 10 2 3 3" xfId="33790"/>
    <cellStyle name="표준 5 5 10 2 4" xfId="14774"/>
    <cellStyle name="표준 5 5 10 2 4 2" xfId="40126"/>
    <cellStyle name="표준 5 5 10 2 5" xfId="27454"/>
    <cellStyle name="표준 5 5 10 3" xfId="5242"/>
    <cellStyle name="표준 5 5 10 3 2" xfId="11578"/>
    <cellStyle name="표준 5 5 10 3 2 2" xfId="24252"/>
    <cellStyle name="표준 5 5 10 3 2 2 2" xfId="49604"/>
    <cellStyle name="표준 5 5 10 3 2 3" xfId="36932"/>
    <cellStyle name="표준 5 5 10 3 3" xfId="17916"/>
    <cellStyle name="표준 5 5 10 3 3 2" xfId="43268"/>
    <cellStyle name="표준 5 5 10 3 4" xfId="30596"/>
    <cellStyle name="표준 5 5 10 4" xfId="8435"/>
    <cellStyle name="표준 5 5 10 4 2" xfId="21109"/>
    <cellStyle name="표준 5 5 10 4 2 2" xfId="46461"/>
    <cellStyle name="표준 5 5 10 4 3" xfId="33789"/>
    <cellStyle name="표준 5 5 10 5" xfId="14773"/>
    <cellStyle name="표준 5 5 10 5 2" xfId="40125"/>
    <cellStyle name="표준 5 5 10 6" xfId="27453"/>
    <cellStyle name="표준 5 5 11" xfId="2100"/>
    <cellStyle name="표준 5 5 11 2" xfId="2101"/>
    <cellStyle name="표준 5 5 11 2 2" xfId="5243"/>
    <cellStyle name="표준 5 5 11 2 2 2" xfId="11579"/>
    <cellStyle name="표준 5 5 11 2 2 2 2" xfId="24253"/>
    <cellStyle name="표준 5 5 11 2 2 2 2 2" xfId="49605"/>
    <cellStyle name="표준 5 5 11 2 2 2 3" xfId="36933"/>
    <cellStyle name="표준 5 5 11 2 2 3" xfId="17917"/>
    <cellStyle name="표준 5 5 11 2 2 3 2" xfId="43269"/>
    <cellStyle name="표준 5 5 11 2 2 4" xfId="30597"/>
    <cellStyle name="표준 5 5 11 2 3" xfId="8438"/>
    <cellStyle name="표준 5 5 11 2 3 2" xfId="21112"/>
    <cellStyle name="표준 5 5 11 2 3 2 2" xfId="46464"/>
    <cellStyle name="표준 5 5 11 2 3 3" xfId="33792"/>
    <cellStyle name="표준 5 5 11 2 4" xfId="14776"/>
    <cellStyle name="표준 5 5 11 2 4 2" xfId="40128"/>
    <cellStyle name="표준 5 5 11 2 5" xfId="27456"/>
    <cellStyle name="표준 5 5 11 3" xfId="5244"/>
    <cellStyle name="표준 5 5 11 3 2" xfId="11580"/>
    <cellStyle name="표준 5 5 11 3 2 2" xfId="24254"/>
    <cellStyle name="표준 5 5 11 3 2 2 2" xfId="49606"/>
    <cellStyle name="표준 5 5 11 3 2 3" xfId="36934"/>
    <cellStyle name="표준 5 5 11 3 3" xfId="17918"/>
    <cellStyle name="표준 5 5 11 3 3 2" xfId="43270"/>
    <cellStyle name="표준 5 5 11 3 4" xfId="30598"/>
    <cellStyle name="표준 5 5 11 4" xfId="8437"/>
    <cellStyle name="표준 5 5 11 4 2" xfId="21111"/>
    <cellStyle name="표준 5 5 11 4 2 2" xfId="46463"/>
    <cellStyle name="표준 5 5 11 4 3" xfId="33791"/>
    <cellStyle name="표준 5 5 11 5" xfId="14775"/>
    <cellStyle name="표준 5 5 11 5 2" xfId="40127"/>
    <cellStyle name="표준 5 5 11 6" xfId="27455"/>
    <cellStyle name="표준 5 5 12" xfId="2102"/>
    <cellStyle name="표준 5 5 12 2" xfId="2103"/>
    <cellStyle name="표준 5 5 12 2 2" xfId="5245"/>
    <cellStyle name="표준 5 5 12 2 2 2" xfId="11581"/>
    <cellStyle name="표준 5 5 12 2 2 2 2" xfId="24255"/>
    <cellStyle name="표준 5 5 12 2 2 2 2 2" xfId="49607"/>
    <cellStyle name="표준 5 5 12 2 2 2 3" xfId="36935"/>
    <cellStyle name="표준 5 5 12 2 2 3" xfId="17919"/>
    <cellStyle name="표준 5 5 12 2 2 3 2" xfId="43271"/>
    <cellStyle name="표준 5 5 12 2 2 4" xfId="30599"/>
    <cellStyle name="표준 5 5 12 2 3" xfId="8440"/>
    <cellStyle name="표준 5 5 12 2 3 2" xfId="21114"/>
    <cellStyle name="표준 5 5 12 2 3 2 2" xfId="46466"/>
    <cellStyle name="표준 5 5 12 2 3 3" xfId="33794"/>
    <cellStyle name="표준 5 5 12 2 4" xfId="14778"/>
    <cellStyle name="표준 5 5 12 2 4 2" xfId="40130"/>
    <cellStyle name="표준 5 5 12 2 5" xfId="27458"/>
    <cellStyle name="표준 5 5 12 3" xfId="5246"/>
    <cellStyle name="표준 5 5 12 3 2" xfId="11582"/>
    <cellStyle name="표준 5 5 12 3 2 2" xfId="24256"/>
    <cellStyle name="표준 5 5 12 3 2 2 2" xfId="49608"/>
    <cellStyle name="표준 5 5 12 3 2 3" xfId="36936"/>
    <cellStyle name="표준 5 5 12 3 3" xfId="17920"/>
    <cellStyle name="표준 5 5 12 3 3 2" xfId="43272"/>
    <cellStyle name="표준 5 5 12 3 4" xfId="30600"/>
    <cellStyle name="표준 5 5 12 4" xfId="8439"/>
    <cellStyle name="표준 5 5 12 4 2" xfId="21113"/>
    <cellStyle name="표준 5 5 12 4 2 2" xfId="46465"/>
    <cellStyle name="표준 5 5 12 4 3" xfId="33793"/>
    <cellStyle name="표준 5 5 12 5" xfId="14777"/>
    <cellStyle name="표준 5 5 12 5 2" xfId="40129"/>
    <cellStyle name="표준 5 5 12 6" xfId="27457"/>
    <cellStyle name="표준 5 5 13" xfId="2104"/>
    <cellStyle name="표준 5 5 13 2" xfId="2105"/>
    <cellStyle name="표준 5 5 13 2 2" xfId="5247"/>
    <cellStyle name="표준 5 5 13 2 2 2" xfId="11583"/>
    <cellStyle name="표준 5 5 13 2 2 2 2" xfId="24257"/>
    <cellStyle name="표준 5 5 13 2 2 2 2 2" xfId="49609"/>
    <cellStyle name="표준 5 5 13 2 2 2 3" xfId="36937"/>
    <cellStyle name="표준 5 5 13 2 2 3" xfId="17921"/>
    <cellStyle name="표준 5 5 13 2 2 3 2" xfId="43273"/>
    <cellStyle name="표준 5 5 13 2 2 4" xfId="30601"/>
    <cellStyle name="표준 5 5 13 2 3" xfId="8442"/>
    <cellStyle name="표준 5 5 13 2 3 2" xfId="21116"/>
    <cellStyle name="표준 5 5 13 2 3 2 2" xfId="46468"/>
    <cellStyle name="표준 5 5 13 2 3 3" xfId="33796"/>
    <cellStyle name="표준 5 5 13 2 4" xfId="14780"/>
    <cellStyle name="표준 5 5 13 2 4 2" xfId="40132"/>
    <cellStyle name="표준 5 5 13 2 5" xfId="27460"/>
    <cellStyle name="표준 5 5 13 3" xfId="5248"/>
    <cellStyle name="표준 5 5 13 3 2" xfId="11584"/>
    <cellStyle name="표준 5 5 13 3 2 2" xfId="24258"/>
    <cellStyle name="표준 5 5 13 3 2 2 2" xfId="49610"/>
    <cellStyle name="표준 5 5 13 3 2 3" xfId="36938"/>
    <cellStyle name="표준 5 5 13 3 3" xfId="17922"/>
    <cellStyle name="표준 5 5 13 3 3 2" xfId="43274"/>
    <cellStyle name="표준 5 5 13 3 4" xfId="30602"/>
    <cellStyle name="표준 5 5 13 4" xfId="8441"/>
    <cellStyle name="표준 5 5 13 4 2" xfId="21115"/>
    <cellStyle name="표준 5 5 13 4 2 2" xfId="46467"/>
    <cellStyle name="표준 5 5 13 4 3" xfId="33795"/>
    <cellStyle name="표준 5 5 13 5" xfId="14779"/>
    <cellStyle name="표준 5 5 13 5 2" xfId="40131"/>
    <cellStyle name="표준 5 5 13 6" xfId="27459"/>
    <cellStyle name="표준 5 5 14" xfId="2106"/>
    <cellStyle name="표준 5 5 14 2" xfId="2107"/>
    <cellStyle name="표준 5 5 14 2 2" xfId="5249"/>
    <cellStyle name="표준 5 5 14 2 2 2" xfId="11585"/>
    <cellStyle name="표준 5 5 14 2 2 2 2" xfId="24259"/>
    <cellStyle name="표준 5 5 14 2 2 2 2 2" xfId="49611"/>
    <cellStyle name="표준 5 5 14 2 2 2 3" xfId="36939"/>
    <cellStyle name="표준 5 5 14 2 2 3" xfId="17923"/>
    <cellStyle name="표준 5 5 14 2 2 3 2" xfId="43275"/>
    <cellStyle name="표준 5 5 14 2 2 4" xfId="30603"/>
    <cellStyle name="표준 5 5 14 2 3" xfId="8444"/>
    <cellStyle name="표준 5 5 14 2 3 2" xfId="21118"/>
    <cellStyle name="표준 5 5 14 2 3 2 2" xfId="46470"/>
    <cellStyle name="표준 5 5 14 2 3 3" xfId="33798"/>
    <cellStyle name="표준 5 5 14 2 4" xfId="14782"/>
    <cellStyle name="표준 5 5 14 2 4 2" xfId="40134"/>
    <cellStyle name="표준 5 5 14 2 5" xfId="27462"/>
    <cellStyle name="표준 5 5 14 3" xfId="5250"/>
    <cellStyle name="표준 5 5 14 3 2" xfId="11586"/>
    <cellStyle name="표준 5 5 14 3 2 2" xfId="24260"/>
    <cellStyle name="표준 5 5 14 3 2 2 2" xfId="49612"/>
    <cellStyle name="표준 5 5 14 3 2 3" xfId="36940"/>
    <cellStyle name="표준 5 5 14 3 3" xfId="17924"/>
    <cellStyle name="표준 5 5 14 3 3 2" xfId="43276"/>
    <cellStyle name="표준 5 5 14 3 4" xfId="30604"/>
    <cellStyle name="표준 5 5 14 4" xfId="8443"/>
    <cellStyle name="표준 5 5 14 4 2" xfId="21117"/>
    <cellStyle name="표준 5 5 14 4 2 2" xfId="46469"/>
    <cellStyle name="표준 5 5 14 4 3" xfId="33797"/>
    <cellStyle name="표준 5 5 14 5" xfId="14781"/>
    <cellStyle name="표준 5 5 14 5 2" xfId="40133"/>
    <cellStyle name="표준 5 5 14 6" xfId="27461"/>
    <cellStyle name="표준 5 5 15" xfId="2108"/>
    <cellStyle name="표준 5 5 15 2" xfId="2109"/>
    <cellStyle name="표준 5 5 15 2 2" xfId="5251"/>
    <cellStyle name="표준 5 5 15 2 2 2" xfId="11587"/>
    <cellStyle name="표준 5 5 15 2 2 2 2" xfId="24261"/>
    <cellStyle name="표준 5 5 15 2 2 2 2 2" xfId="49613"/>
    <cellStyle name="표준 5 5 15 2 2 2 3" xfId="36941"/>
    <cellStyle name="표준 5 5 15 2 2 3" xfId="17925"/>
    <cellStyle name="표준 5 5 15 2 2 3 2" xfId="43277"/>
    <cellStyle name="표준 5 5 15 2 2 4" xfId="30605"/>
    <cellStyle name="표준 5 5 15 2 3" xfId="8446"/>
    <cellStyle name="표준 5 5 15 2 3 2" xfId="21120"/>
    <cellStyle name="표준 5 5 15 2 3 2 2" xfId="46472"/>
    <cellStyle name="표준 5 5 15 2 3 3" xfId="33800"/>
    <cellStyle name="표준 5 5 15 2 4" xfId="14784"/>
    <cellStyle name="표준 5 5 15 2 4 2" xfId="40136"/>
    <cellStyle name="표준 5 5 15 2 5" xfId="27464"/>
    <cellStyle name="표준 5 5 15 3" xfId="5252"/>
    <cellStyle name="표준 5 5 15 3 2" xfId="11588"/>
    <cellStyle name="표준 5 5 15 3 2 2" xfId="24262"/>
    <cellStyle name="표준 5 5 15 3 2 2 2" xfId="49614"/>
    <cellStyle name="표준 5 5 15 3 2 3" xfId="36942"/>
    <cellStyle name="표준 5 5 15 3 3" xfId="17926"/>
    <cellStyle name="표준 5 5 15 3 3 2" xfId="43278"/>
    <cellStyle name="표준 5 5 15 3 4" xfId="30606"/>
    <cellStyle name="표준 5 5 15 4" xfId="8445"/>
    <cellStyle name="표준 5 5 15 4 2" xfId="21119"/>
    <cellStyle name="표준 5 5 15 4 2 2" xfId="46471"/>
    <cellStyle name="표준 5 5 15 4 3" xfId="33799"/>
    <cellStyle name="표준 5 5 15 5" xfId="14783"/>
    <cellStyle name="표준 5 5 15 5 2" xfId="40135"/>
    <cellStyle name="표준 5 5 15 6" xfId="27463"/>
    <cellStyle name="표준 5 5 16" xfId="2110"/>
    <cellStyle name="표준 5 5 16 2" xfId="2111"/>
    <cellStyle name="표준 5 5 16 2 2" xfId="5253"/>
    <cellStyle name="표준 5 5 16 2 2 2" xfId="11589"/>
    <cellStyle name="표준 5 5 16 2 2 2 2" xfId="24263"/>
    <cellStyle name="표준 5 5 16 2 2 2 2 2" xfId="49615"/>
    <cellStyle name="표준 5 5 16 2 2 2 3" xfId="36943"/>
    <cellStyle name="표준 5 5 16 2 2 3" xfId="17927"/>
    <cellStyle name="표준 5 5 16 2 2 3 2" xfId="43279"/>
    <cellStyle name="표준 5 5 16 2 2 4" xfId="30607"/>
    <cellStyle name="표준 5 5 16 2 3" xfId="8448"/>
    <cellStyle name="표준 5 5 16 2 3 2" xfId="21122"/>
    <cellStyle name="표준 5 5 16 2 3 2 2" xfId="46474"/>
    <cellStyle name="표준 5 5 16 2 3 3" xfId="33802"/>
    <cellStyle name="표준 5 5 16 2 4" xfId="14786"/>
    <cellStyle name="표준 5 5 16 2 4 2" xfId="40138"/>
    <cellStyle name="표준 5 5 16 2 5" xfId="27466"/>
    <cellStyle name="표준 5 5 16 3" xfId="5254"/>
    <cellStyle name="표준 5 5 16 3 2" xfId="11590"/>
    <cellStyle name="표준 5 5 16 3 2 2" xfId="24264"/>
    <cellStyle name="표준 5 5 16 3 2 2 2" xfId="49616"/>
    <cellStyle name="표준 5 5 16 3 2 3" xfId="36944"/>
    <cellStyle name="표준 5 5 16 3 3" xfId="17928"/>
    <cellStyle name="표준 5 5 16 3 3 2" xfId="43280"/>
    <cellStyle name="표준 5 5 16 3 4" xfId="30608"/>
    <cellStyle name="표준 5 5 16 4" xfId="8447"/>
    <cellStyle name="표준 5 5 16 4 2" xfId="21121"/>
    <cellStyle name="표준 5 5 16 4 2 2" xfId="46473"/>
    <cellStyle name="표준 5 5 16 4 3" xfId="33801"/>
    <cellStyle name="표준 5 5 16 5" xfId="14785"/>
    <cellStyle name="표준 5 5 16 5 2" xfId="40137"/>
    <cellStyle name="표준 5 5 16 6" xfId="27465"/>
    <cellStyle name="표준 5 5 17" xfId="2112"/>
    <cellStyle name="표준 5 5 17 2" xfId="2113"/>
    <cellStyle name="표준 5 5 17 2 2" xfId="5255"/>
    <cellStyle name="표준 5 5 17 2 2 2" xfId="11591"/>
    <cellStyle name="표준 5 5 17 2 2 2 2" xfId="24265"/>
    <cellStyle name="표준 5 5 17 2 2 2 2 2" xfId="49617"/>
    <cellStyle name="표준 5 5 17 2 2 2 3" xfId="36945"/>
    <cellStyle name="표준 5 5 17 2 2 3" xfId="17929"/>
    <cellStyle name="표준 5 5 17 2 2 3 2" xfId="43281"/>
    <cellStyle name="표준 5 5 17 2 2 4" xfId="30609"/>
    <cellStyle name="표준 5 5 17 2 3" xfId="8450"/>
    <cellStyle name="표준 5 5 17 2 3 2" xfId="21124"/>
    <cellStyle name="표준 5 5 17 2 3 2 2" xfId="46476"/>
    <cellStyle name="표준 5 5 17 2 3 3" xfId="33804"/>
    <cellStyle name="표준 5 5 17 2 4" xfId="14788"/>
    <cellStyle name="표준 5 5 17 2 4 2" xfId="40140"/>
    <cellStyle name="표준 5 5 17 2 5" xfId="27468"/>
    <cellStyle name="표준 5 5 17 3" xfId="5256"/>
    <cellStyle name="표준 5 5 17 3 2" xfId="11592"/>
    <cellStyle name="표준 5 5 17 3 2 2" xfId="24266"/>
    <cellStyle name="표준 5 5 17 3 2 2 2" xfId="49618"/>
    <cellStyle name="표준 5 5 17 3 2 3" xfId="36946"/>
    <cellStyle name="표준 5 5 17 3 3" xfId="17930"/>
    <cellStyle name="표준 5 5 17 3 3 2" xfId="43282"/>
    <cellStyle name="표준 5 5 17 3 4" xfId="30610"/>
    <cellStyle name="표준 5 5 17 4" xfId="8449"/>
    <cellStyle name="표준 5 5 17 4 2" xfId="21123"/>
    <cellStyle name="표준 5 5 17 4 2 2" xfId="46475"/>
    <cellStyle name="표준 5 5 17 4 3" xfId="33803"/>
    <cellStyle name="표준 5 5 17 5" xfId="14787"/>
    <cellStyle name="표준 5 5 17 5 2" xfId="40139"/>
    <cellStyle name="표준 5 5 17 6" xfId="27467"/>
    <cellStyle name="표준 5 5 18" xfId="2114"/>
    <cellStyle name="표준 5 5 18 2" xfId="2115"/>
    <cellStyle name="표준 5 5 18 2 2" xfId="5257"/>
    <cellStyle name="표준 5 5 18 2 2 2" xfId="11593"/>
    <cellStyle name="표준 5 5 18 2 2 2 2" xfId="24267"/>
    <cellStyle name="표준 5 5 18 2 2 2 2 2" xfId="49619"/>
    <cellStyle name="표준 5 5 18 2 2 2 3" xfId="36947"/>
    <cellStyle name="표준 5 5 18 2 2 3" xfId="17931"/>
    <cellStyle name="표준 5 5 18 2 2 3 2" xfId="43283"/>
    <cellStyle name="표준 5 5 18 2 2 4" xfId="30611"/>
    <cellStyle name="표준 5 5 18 2 3" xfId="8452"/>
    <cellStyle name="표준 5 5 18 2 3 2" xfId="21126"/>
    <cellStyle name="표준 5 5 18 2 3 2 2" xfId="46478"/>
    <cellStyle name="표준 5 5 18 2 3 3" xfId="33806"/>
    <cellStyle name="표준 5 5 18 2 4" xfId="14790"/>
    <cellStyle name="표준 5 5 18 2 4 2" xfId="40142"/>
    <cellStyle name="표준 5 5 18 2 5" xfId="27470"/>
    <cellStyle name="표준 5 5 18 3" xfId="5258"/>
    <cellStyle name="표준 5 5 18 3 2" xfId="11594"/>
    <cellStyle name="표준 5 5 18 3 2 2" xfId="24268"/>
    <cellStyle name="표준 5 5 18 3 2 2 2" xfId="49620"/>
    <cellStyle name="표준 5 5 18 3 2 3" xfId="36948"/>
    <cellStyle name="표준 5 5 18 3 3" xfId="17932"/>
    <cellStyle name="표준 5 5 18 3 3 2" xfId="43284"/>
    <cellStyle name="표준 5 5 18 3 4" xfId="30612"/>
    <cellStyle name="표준 5 5 18 4" xfId="8451"/>
    <cellStyle name="표준 5 5 18 4 2" xfId="21125"/>
    <cellStyle name="표준 5 5 18 4 2 2" xfId="46477"/>
    <cellStyle name="표준 5 5 18 4 3" xfId="33805"/>
    <cellStyle name="표준 5 5 18 5" xfId="14789"/>
    <cellStyle name="표준 5 5 18 5 2" xfId="40141"/>
    <cellStyle name="표준 5 5 18 6" xfId="27469"/>
    <cellStyle name="표준 5 5 19" xfId="2116"/>
    <cellStyle name="표준 5 5 19 2" xfId="2117"/>
    <cellStyle name="표준 5 5 19 2 2" xfId="5259"/>
    <cellStyle name="표준 5 5 19 2 2 2" xfId="11595"/>
    <cellStyle name="표준 5 5 19 2 2 2 2" xfId="24269"/>
    <cellStyle name="표준 5 5 19 2 2 2 2 2" xfId="49621"/>
    <cellStyle name="표준 5 5 19 2 2 2 3" xfId="36949"/>
    <cellStyle name="표준 5 5 19 2 2 3" xfId="17933"/>
    <cellStyle name="표준 5 5 19 2 2 3 2" xfId="43285"/>
    <cellStyle name="표준 5 5 19 2 2 4" xfId="30613"/>
    <cellStyle name="표준 5 5 19 2 3" xfId="8454"/>
    <cellStyle name="표준 5 5 19 2 3 2" xfId="21128"/>
    <cellStyle name="표준 5 5 19 2 3 2 2" xfId="46480"/>
    <cellStyle name="표준 5 5 19 2 3 3" xfId="33808"/>
    <cellStyle name="표준 5 5 19 2 4" xfId="14792"/>
    <cellStyle name="표준 5 5 19 2 4 2" xfId="40144"/>
    <cellStyle name="표준 5 5 19 2 5" xfId="27472"/>
    <cellStyle name="표준 5 5 19 3" xfId="5260"/>
    <cellStyle name="표준 5 5 19 3 2" xfId="11596"/>
    <cellStyle name="표준 5 5 19 3 2 2" xfId="24270"/>
    <cellStyle name="표준 5 5 19 3 2 2 2" xfId="49622"/>
    <cellStyle name="표준 5 5 19 3 2 3" xfId="36950"/>
    <cellStyle name="표준 5 5 19 3 3" xfId="17934"/>
    <cellStyle name="표준 5 5 19 3 3 2" xfId="43286"/>
    <cellStyle name="표준 5 5 19 3 4" xfId="30614"/>
    <cellStyle name="표준 5 5 19 4" xfId="8453"/>
    <cellStyle name="표준 5 5 19 4 2" xfId="21127"/>
    <cellStyle name="표준 5 5 19 4 2 2" xfId="46479"/>
    <cellStyle name="표준 5 5 19 4 3" xfId="33807"/>
    <cellStyle name="표준 5 5 19 5" xfId="14791"/>
    <cellStyle name="표준 5 5 19 5 2" xfId="40143"/>
    <cellStyle name="표준 5 5 19 6" xfId="27471"/>
    <cellStyle name="표준 5 5 2" xfId="2118"/>
    <cellStyle name="표준 5 5 2 2" xfId="2119"/>
    <cellStyle name="표준 5 5 2 2 2" xfId="5261"/>
    <cellStyle name="표준 5 5 2 2 2 2" xfId="11597"/>
    <cellStyle name="표준 5 5 2 2 2 2 2" xfId="24271"/>
    <cellStyle name="표준 5 5 2 2 2 2 2 2" xfId="49623"/>
    <cellStyle name="표준 5 5 2 2 2 2 3" xfId="36951"/>
    <cellStyle name="표준 5 5 2 2 2 3" xfId="17935"/>
    <cellStyle name="표준 5 5 2 2 2 3 2" xfId="43287"/>
    <cellStyle name="표준 5 5 2 2 2 4" xfId="30615"/>
    <cellStyle name="표준 5 5 2 2 3" xfId="8456"/>
    <cellStyle name="표준 5 5 2 2 3 2" xfId="21130"/>
    <cellStyle name="표준 5 5 2 2 3 2 2" xfId="46482"/>
    <cellStyle name="표준 5 5 2 2 3 3" xfId="33810"/>
    <cellStyle name="표준 5 5 2 2 4" xfId="14794"/>
    <cellStyle name="표준 5 5 2 2 4 2" xfId="40146"/>
    <cellStyle name="표준 5 5 2 2 5" xfId="27474"/>
    <cellStyle name="표준 5 5 2 3" xfId="5262"/>
    <cellStyle name="표준 5 5 2 3 2" xfId="11598"/>
    <cellStyle name="표준 5 5 2 3 2 2" xfId="24272"/>
    <cellStyle name="표준 5 5 2 3 2 2 2" xfId="49624"/>
    <cellStyle name="표준 5 5 2 3 2 3" xfId="36952"/>
    <cellStyle name="표준 5 5 2 3 3" xfId="17936"/>
    <cellStyle name="표준 5 5 2 3 3 2" xfId="43288"/>
    <cellStyle name="표준 5 5 2 3 4" xfId="30616"/>
    <cellStyle name="표준 5 5 2 4" xfId="8455"/>
    <cellStyle name="표준 5 5 2 4 2" xfId="21129"/>
    <cellStyle name="표준 5 5 2 4 2 2" xfId="46481"/>
    <cellStyle name="표준 5 5 2 4 3" xfId="33809"/>
    <cellStyle name="표준 5 5 2 5" xfId="14793"/>
    <cellStyle name="표준 5 5 2 5 2" xfId="40145"/>
    <cellStyle name="표준 5 5 2 6" xfId="27473"/>
    <cellStyle name="표준 5 5 20" xfId="2120"/>
    <cellStyle name="표준 5 5 20 2" xfId="2121"/>
    <cellStyle name="표준 5 5 20 2 2" xfId="5263"/>
    <cellStyle name="표준 5 5 20 2 2 2" xfId="11599"/>
    <cellStyle name="표준 5 5 20 2 2 2 2" xfId="24273"/>
    <cellStyle name="표준 5 5 20 2 2 2 2 2" xfId="49625"/>
    <cellStyle name="표준 5 5 20 2 2 2 3" xfId="36953"/>
    <cellStyle name="표준 5 5 20 2 2 3" xfId="17937"/>
    <cellStyle name="표준 5 5 20 2 2 3 2" xfId="43289"/>
    <cellStyle name="표준 5 5 20 2 2 4" xfId="30617"/>
    <cellStyle name="표준 5 5 20 2 3" xfId="8458"/>
    <cellStyle name="표준 5 5 20 2 3 2" xfId="21132"/>
    <cellStyle name="표준 5 5 20 2 3 2 2" xfId="46484"/>
    <cellStyle name="표준 5 5 20 2 3 3" xfId="33812"/>
    <cellStyle name="표준 5 5 20 2 4" xfId="14796"/>
    <cellStyle name="표준 5 5 20 2 4 2" xfId="40148"/>
    <cellStyle name="표준 5 5 20 2 5" xfId="27476"/>
    <cellStyle name="표준 5 5 20 3" xfId="5264"/>
    <cellStyle name="표준 5 5 20 3 2" xfId="11600"/>
    <cellStyle name="표준 5 5 20 3 2 2" xfId="24274"/>
    <cellStyle name="표준 5 5 20 3 2 2 2" xfId="49626"/>
    <cellStyle name="표준 5 5 20 3 2 3" xfId="36954"/>
    <cellStyle name="표준 5 5 20 3 3" xfId="17938"/>
    <cellStyle name="표준 5 5 20 3 3 2" xfId="43290"/>
    <cellStyle name="표준 5 5 20 3 4" xfId="30618"/>
    <cellStyle name="표준 5 5 20 4" xfId="8457"/>
    <cellStyle name="표준 5 5 20 4 2" xfId="21131"/>
    <cellStyle name="표준 5 5 20 4 2 2" xfId="46483"/>
    <cellStyle name="표준 5 5 20 4 3" xfId="33811"/>
    <cellStyle name="표준 5 5 20 5" xfId="14795"/>
    <cellStyle name="표준 5 5 20 5 2" xfId="40147"/>
    <cellStyle name="표준 5 5 20 6" xfId="27475"/>
    <cellStyle name="표준 5 5 21" xfId="2122"/>
    <cellStyle name="표준 5 5 21 2" xfId="2123"/>
    <cellStyle name="표준 5 5 21 2 2" xfId="5265"/>
    <cellStyle name="표준 5 5 21 2 2 2" xfId="11601"/>
    <cellStyle name="표준 5 5 21 2 2 2 2" xfId="24275"/>
    <cellStyle name="표준 5 5 21 2 2 2 2 2" xfId="49627"/>
    <cellStyle name="표준 5 5 21 2 2 2 3" xfId="36955"/>
    <cellStyle name="표준 5 5 21 2 2 3" xfId="17939"/>
    <cellStyle name="표준 5 5 21 2 2 3 2" xfId="43291"/>
    <cellStyle name="표준 5 5 21 2 2 4" xfId="30619"/>
    <cellStyle name="표준 5 5 21 2 3" xfId="8460"/>
    <cellStyle name="표준 5 5 21 2 3 2" xfId="21134"/>
    <cellStyle name="표준 5 5 21 2 3 2 2" xfId="46486"/>
    <cellStyle name="표준 5 5 21 2 3 3" xfId="33814"/>
    <cellStyle name="표준 5 5 21 2 4" xfId="14798"/>
    <cellStyle name="표준 5 5 21 2 4 2" xfId="40150"/>
    <cellStyle name="표준 5 5 21 2 5" xfId="27478"/>
    <cellStyle name="표준 5 5 21 3" xfId="5266"/>
    <cellStyle name="표준 5 5 21 3 2" xfId="11602"/>
    <cellStyle name="표준 5 5 21 3 2 2" xfId="24276"/>
    <cellStyle name="표준 5 5 21 3 2 2 2" xfId="49628"/>
    <cellStyle name="표준 5 5 21 3 2 3" xfId="36956"/>
    <cellStyle name="표준 5 5 21 3 3" xfId="17940"/>
    <cellStyle name="표준 5 5 21 3 3 2" xfId="43292"/>
    <cellStyle name="표준 5 5 21 3 4" xfId="30620"/>
    <cellStyle name="표준 5 5 21 4" xfId="8459"/>
    <cellStyle name="표준 5 5 21 4 2" xfId="21133"/>
    <cellStyle name="표준 5 5 21 4 2 2" xfId="46485"/>
    <cellStyle name="표준 5 5 21 4 3" xfId="33813"/>
    <cellStyle name="표준 5 5 21 5" xfId="14797"/>
    <cellStyle name="표준 5 5 21 5 2" xfId="40149"/>
    <cellStyle name="표준 5 5 21 6" xfId="27477"/>
    <cellStyle name="표준 5 5 22" xfId="2124"/>
    <cellStyle name="표준 5 5 22 2" xfId="2125"/>
    <cellStyle name="표준 5 5 22 2 2" xfId="5267"/>
    <cellStyle name="표준 5 5 22 2 2 2" xfId="11603"/>
    <cellStyle name="표준 5 5 22 2 2 2 2" xfId="24277"/>
    <cellStyle name="표준 5 5 22 2 2 2 2 2" xfId="49629"/>
    <cellStyle name="표준 5 5 22 2 2 2 3" xfId="36957"/>
    <cellStyle name="표준 5 5 22 2 2 3" xfId="17941"/>
    <cellStyle name="표준 5 5 22 2 2 3 2" xfId="43293"/>
    <cellStyle name="표준 5 5 22 2 2 4" xfId="30621"/>
    <cellStyle name="표준 5 5 22 2 3" xfId="8462"/>
    <cellStyle name="표준 5 5 22 2 3 2" xfId="21136"/>
    <cellStyle name="표준 5 5 22 2 3 2 2" xfId="46488"/>
    <cellStyle name="표준 5 5 22 2 3 3" xfId="33816"/>
    <cellStyle name="표준 5 5 22 2 4" xfId="14800"/>
    <cellStyle name="표준 5 5 22 2 4 2" xfId="40152"/>
    <cellStyle name="표준 5 5 22 2 5" xfId="27480"/>
    <cellStyle name="표준 5 5 22 3" xfId="5268"/>
    <cellStyle name="표준 5 5 22 3 2" xfId="11604"/>
    <cellStyle name="표준 5 5 22 3 2 2" xfId="24278"/>
    <cellStyle name="표준 5 5 22 3 2 2 2" xfId="49630"/>
    <cellStyle name="표준 5 5 22 3 2 3" xfId="36958"/>
    <cellStyle name="표준 5 5 22 3 3" xfId="17942"/>
    <cellStyle name="표준 5 5 22 3 3 2" xfId="43294"/>
    <cellStyle name="표준 5 5 22 3 4" xfId="30622"/>
    <cellStyle name="표준 5 5 22 4" xfId="8461"/>
    <cellStyle name="표준 5 5 22 4 2" xfId="21135"/>
    <cellStyle name="표준 5 5 22 4 2 2" xfId="46487"/>
    <cellStyle name="표준 5 5 22 4 3" xfId="33815"/>
    <cellStyle name="표준 5 5 22 5" xfId="14799"/>
    <cellStyle name="표준 5 5 22 5 2" xfId="40151"/>
    <cellStyle name="표준 5 5 22 6" xfId="27479"/>
    <cellStyle name="표준 5 5 23" xfId="2126"/>
    <cellStyle name="표준 5 5 23 2" xfId="2127"/>
    <cellStyle name="표준 5 5 23 2 2" xfId="5269"/>
    <cellStyle name="표준 5 5 23 2 2 2" xfId="11605"/>
    <cellStyle name="표준 5 5 23 2 2 2 2" xfId="24279"/>
    <cellStyle name="표준 5 5 23 2 2 2 2 2" xfId="49631"/>
    <cellStyle name="표준 5 5 23 2 2 2 3" xfId="36959"/>
    <cellStyle name="표준 5 5 23 2 2 3" xfId="17943"/>
    <cellStyle name="표준 5 5 23 2 2 3 2" xfId="43295"/>
    <cellStyle name="표준 5 5 23 2 2 4" xfId="30623"/>
    <cellStyle name="표준 5 5 23 2 3" xfId="8464"/>
    <cellStyle name="표준 5 5 23 2 3 2" xfId="21138"/>
    <cellStyle name="표준 5 5 23 2 3 2 2" xfId="46490"/>
    <cellStyle name="표준 5 5 23 2 3 3" xfId="33818"/>
    <cellStyle name="표준 5 5 23 2 4" xfId="14802"/>
    <cellStyle name="표준 5 5 23 2 4 2" xfId="40154"/>
    <cellStyle name="표준 5 5 23 2 5" xfId="27482"/>
    <cellStyle name="표준 5 5 23 3" xfId="5270"/>
    <cellStyle name="표준 5 5 23 3 2" xfId="11606"/>
    <cellStyle name="표준 5 5 23 3 2 2" xfId="24280"/>
    <cellStyle name="표준 5 5 23 3 2 2 2" xfId="49632"/>
    <cellStyle name="표준 5 5 23 3 2 3" xfId="36960"/>
    <cellStyle name="표준 5 5 23 3 3" xfId="17944"/>
    <cellStyle name="표준 5 5 23 3 3 2" xfId="43296"/>
    <cellStyle name="표준 5 5 23 3 4" xfId="30624"/>
    <cellStyle name="표준 5 5 23 4" xfId="8463"/>
    <cellStyle name="표준 5 5 23 4 2" xfId="21137"/>
    <cellStyle name="표준 5 5 23 4 2 2" xfId="46489"/>
    <cellStyle name="표준 5 5 23 4 3" xfId="33817"/>
    <cellStyle name="표준 5 5 23 5" xfId="14801"/>
    <cellStyle name="표준 5 5 23 5 2" xfId="40153"/>
    <cellStyle name="표준 5 5 23 6" xfId="27481"/>
    <cellStyle name="표준 5 5 24" xfId="2128"/>
    <cellStyle name="표준 5 5 24 2" xfId="2129"/>
    <cellStyle name="표준 5 5 24 2 2" xfId="5271"/>
    <cellStyle name="표준 5 5 24 2 2 2" xfId="11607"/>
    <cellStyle name="표준 5 5 24 2 2 2 2" xfId="24281"/>
    <cellStyle name="표준 5 5 24 2 2 2 2 2" xfId="49633"/>
    <cellStyle name="표준 5 5 24 2 2 2 3" xfId="36961"/>
    <cellStyle name="표준 5 5 24 2 2 3" xfId="17945"/>
    <cellStyle name="표준 5 5 24 2 2 3 2" xfId="43297"/>
    <cellStyle name="표준 5 5 24 2 2 4" xfId="30625"/>
    <cellStyle name="표준 5 5 24 2 3" xfId="8466"/>
    <cellStyle name="표준 5 5 24 2 3 2" xfId="21140"/>
    <cellStyle name="표준 5 5 24 2 3 2 2" xfId="46492"/>
    <cellStyle name="표준 5 5 24 2 3 3" xfId="33820"/>
    <cellStyle name="표준 5 5 24 2 4" xfId="14804"/>
    <cellStyle name="표준 5 5 24 2 4 2" xfId="40156"/>
    <cellStyle name="표준 5 5 24 2 5" xfId="27484"/>
    <cellStyle name="표준 5 5 24 3" xfId="5272"/>
    <cellStyle name="표준 5 5 24 3 2" xfId="11608"/>
    <cellStyle name="표준 5 5 24 3 2 2" xfId="24282"/>
    <cellStyle name="표준 5 5 24 3 2 2 2" xfId="49634"/>
    <cellStyle name="표준 5 5 24 3 2 3" xfId="36962"/>
    <cellStyle name="표준 5 5 24 3 3" xfId="17946"/>
    <cellStyle name="표준 5 5 24 3 3 2" xfId="43298"/>
    <cellStyle name="표준 5 5 24 3 4" xfId="30626"/>
    <cellStyle name="표준 5 5 24 4" xfId="8465"/>
    <cellStyle name="표준 5 5 24 4 2" xfId="21139"/>
    <cellStyle name="표준 5 5 24 4 2 2" xfId="46491"/>
    <cellStyle name="표준 5 5 24 4 3" xfId="33819"/>
    <cellStyle name="표준 5 5 24 5" xfId="14803"/>
    <cellStyle name="표준 5 5 24 5 2" xfId="40155"/>
    <cellStyle name="표준 5 5 24 6" xfId="27483"/>
    <cellStyle name="표준 5 5 25" xfId="2130"/>
    <cellStyle name="표준 5 5 25 2" xfId="2131"/>
    <cellStyle name="표준 5 5 25 2 2" xfId="5273"/>
    <cellStyle name="표준 5 5 25 2 2 2" xfId="11609"/>
    <cellStyle name="표준 5 5 25 2 2 2 2" xfId="24283"/>
    <cellStyle name="표준 5 5 25 2 2 2 2 2" xfId="49635"/>
    <cellStyle name="표준 5 5 25 2 2 2 3" xfId="36963"/>
    <cellStyle name="표준 5 5 25 2 2 3" xfId="17947"/>
    <cellStyle name="표준 5 5 25 2 2 3 2" xfId="43299"/>
    <cellStyle name="표준 5 5 25 2 2 4" xfId="30627"/>
    <cellStyle name="표준 5 5 25 2 3" xfId="8468"/>
    <cellStyle name="표준 5 5 25 2 3 2" xfId="21142"/>
    <cellStyle name="표준 5 5 25 2 3 2 2" xfId="46494"/>
    <cellStyle name="표준 5 5 25 2 3 3" xfId="33822"/>
    <cellStyle name="표준 5 5 25 2 4" xfId="14806"/>
    <cellStyle name="표준 5 5 25 2 4 2" xfId="40158"/>
    <cellStyle name="표준 5 5 25 2 5" xfId="27486"/>
    <cellStyle name="표준 5 5 25 3" xfId="5274"/>
    <cellStyle name="표준 5 5 25 3 2" xfId="11610"/>
    <cellStyle name="표준 5 5 25 3 2 2" xfId="24284"/>
    <cellStyle name="표준 5 5 25 3 2 2 2" xfId="49636"/>
    <cellStyle name="표준 5 5 25 3 2 3" xfId="36964"/>
    <cellStyle name="표준 5 5 25 3 3" xfId="17948"/>
    <cellStyle name="표준 5 5 25 3 3 2" xfId="43300"/>
    <cellStyle name="표준 5 5 25 3 4" xfId="30628"/>
    <cellStyle name="표준 5 5 25 4" xfId="8467"/>
    <cellStyle name="표준 5 5 25 4 2" xfId="21141"/>
    <cellStyle name="표준 5 5 25 4 2 2" xfId="46493"/>
    <cellStyle name="표준 5 5 25 4 3" xfId="33821"/>
    <cellStyle name="표준 5 5 25 5" xfId="14805"/>
    <cellStyle name="표준 5 5 25 5 2" xfId="40157"/>
    <cellStyle name="표준 5 5 25 6" xfId="27485"/>
    <cellStyle name="표준 5 5 26" xfId="2132"/>
    <cellStyle name="표준 5 5 26 2" xfId="2133"/>
    <cellStyle name="표준 5 5 26 2 2" xfId="5275"/>
    <cellStyle name="표준 5 5 26 2 2 2" xfId="11611"/>
    <cellStyle name="표준 5 5 26 2 2 2 2" xfId="24285"/>
    <cellStyle name="표준 5 5 26 2 2 2 2 2" xfId="49637"/>
    <cellStyle name="표준 5 5 26 2 2 2 3" xfId="36965"/>
    <cellStyle name="표준 5 5 26 2 2 3" xfId="17949"/>
    <cellStyle name="표준 5 5 26 2 2 3 2" xfId="43301"/>
    <cellStyle name="표준 5 5 26 2 2 4" xfId="30629"/>
    <cellStyle name="표준 5 5 26 2 3" xfId="8470"/>
    <cellStyle name="표준 5 5 26 2 3 2" xfId="21144"/>
    <cellStyle name="표준 5 5 26 2 3 2 2" xfId="46496"/>
    <cellStyle name="표준 5 5 26 2 3 3" xfId="33824"/>
    <cellStyle name="표준 5 5 26 2 4" xfId="14808"/>
    <cellStyle name="표준 5 5 26 2 4 2" xfId="40160"/>
    <cellStyle name="표준 5 5 26 2 5" xfId="27488"/>
    <cellStyle name="표준 5 5 26 3" xfId="5276"/>
    <cellStyle name="표준 5 5 26 3 2" xfId="11612"/>
    <cellStyle name="표준 5 5 26 3 2 2" xfId="24286"/>
    <cellStyle name="표준 5 5 26 3 2 2 2" xfId="49638"/>
    <cellStyle name="표준 5 5 26 3 2 3" xfId="36966"/>
    <cellStyle name="표준 5 5 26 3 3" xfId="17950"/>
    <cellStyle name="표준 5 5 26 3 3 2" xfId="43302"/>
    <cellStyle name="표준 5 5 26 3 4" xfId="30630"/>
    <cellStyle name="표준 5 5 26 4" xfId="8469"/>
    <cellStyle name="표준 5 5 26 4 2" xfId="21143"/>
    <cellStyle name="표준 5 5 26 4 2 2" xfId="46495"/>
    <cellStyle name="표준 5 5 26 4 3" xfId="33823"/>
    <cellStyle name="표준 5 5 26 5" xfId="14807"/>
    <cellStyle name="표준 5 5 26 5 2" xfId="40159"/>
    <cellStyle name="표준 5 5 26 6" xfId="27487"/>
    <cellStyle name="표준 5 5 27" xfId="2134"/>
    <cellStyle name="표준 5 5 27 2" xfId="2135"/>
    <cellStyle name="표준 5 5 27 2 2" xfId="5277"/>
    <cellStyle name="표준 5 5 27 2 2 2" xfId="11613"/>
    <cellStyle name="표준 5 5 27 2 2 2 2" xfId="24287"/>
    <cellStyle name="표준 5 5 27 2 2 2 2 2" xfId="49639"/>
    <cellStyle name="표준 5 5 27 2 2 2 3" xfId="36967"/>
    <cellStyle name="표준 5 5 27 2 2 3" xfId="17951"/>
    <cellStyle name="표준 5 5 27 2 2 3 2" xfId="43303"/>
    <cellStyle name="표준 5 5 27 2 2 4" xfId="30631"/>
    <cellStyle name="표준 5 5 27 2 3" xfId="8472"/>
    <cellStyle name="표준 5 5 27 2 3 2" xfId="21146"/>
    <cellStyle name="표준 5 5 27 2 3 2 2" xfId="46498"/>
    <cellStyle name="표준 5 5 27 2 3 3" xfId="33826"/>
    <cellStyle name="표준 5 5 27 2 4" xfId="14810"/>
    <cellStyle name="표준 5 5 27 2 4 2" xfId="40162"/>
    <cellStyle name="표준 5 5 27 2 5" xfId="27490"/>
    <cellStyle name="표준 5 5 27 3" xfId="5278"/>
    <cellStyle name="표준 5 5 27 3 2" xfId="11614"/>
    <cellStyle name="표준 5 5 27 3 2 2" xfId="24288"/>
    <cellStyle name="표준 5 5 27 3 2 2 2" xfId="49640"/>
    <cellStyle name="표준 5 5 27 3 2 3" xfId="36968"/>
    <cellStyle name="표준 5 5 27 3 3" xfId="17952"/>
    <cellStyle name="표준 5 5 27 3 3 2" xfId="43304"/>
    <cellStyle name="표준 5 5 27 3 4" xfId="30632"/>
    <cellStyle name="표준 5 5 27 4" xfId="8471"/>
    <cellStyle name="표준 5 5 27 4 2" xfId="21145"/>
    <cellStyle name="표준 5 5 27 4 2 2" xfId="46497"/>
    <cellStyle name="표준 5 5 27 4 3" xfId="33825"/>
    <cellStyle name="표준 5 5 27 5" xfId="14809"/>
    <cellStyle name="표준 5 5 27 5 2" xfId="40161"/>
    <cellStyle name="표준 5 5 27 6" xfId="27489"/>
    <cellStyle name="표준 5 5 28" xfId="2136"/>
    <cellStyle name="표준 5 5 28 2" xfId="2137"/>
    <cellStyle name="표준 5 5 28 2 2" xfId="5279"/>
    <cellStyle name="표준 5 5 28 2 2 2" xfId="11615"/>
    <cellStyle name="표준 5 5 28 2 2 2 2" xfId="24289"/>
    <cellStyle name="표준 5 5 28 2 2 2 2 2" xfId="49641"/>
    <cellStyle name="표준 5 5 28 2 2 2 3" xfId="36969"/>
    <cellStyle name="표준 5 5 28 2 2 3" xfId="17953"/>
    <cellStyle name="표준 5 5 28 2 2 3 2" xfId="43305"/>
    <cellStyle name="표준 5 5 28 2 2 4" xfId="30633"/>
    <cellStyle name="표준 5 5 28 2 3" xfId="8474"/>
    <cellStyle name="표준 5 5 28 2 3 2" xfId="21148"/>
    <cellStyle name="표준 5 5 28 2 3 2 2" xfId="46500"/>
    <cellStyle name="표준 5 5 28 2 3 3" xfId="33828"/>
    <cellStyle name="표준 5 5 28 2 4" xfId="14812"/>
    <cellStyle name="표준 5 5 28 2 4 2" xfId="40164"/>
    <cellStyle name="표준 5 5 28 2 5" xfId="27492"/>
    <cellStyle name="표준 5 5 28 3" xfId="5280"/>
    <cellStyle name="표준 5 5 28 3 2" xfId="11616"/>
    <cellStyle name="표준 5 5 28 3 2 2" xfId="24290"/>
    <cellStyle name="표준 5 5 28 3 2 2 2" xfId="49642"/>
    <cellStyle name="표준 5 5 28 3 2 3" xfId="36970"/>
    <cellStyle name="표준 5 5 28 3 3" xfId="17954"/>
    <cellStyle name="표준 5 5 28 3 3 2" xfId="43306"/>
    <cellStyle name="표준 5 5 28 3 4" xfId="30634"/>
    <cellStyle name="표준 5 5 28 4" xfId="8473"/>
    <cellStyle name="표준 5 5 28 4 2" xfId="21147"/>
    <cellStyle name="표준 5 5 28 4 2 2" xfId="46499"/>
    <cellStyle name="표준 5 5 28 4 3" xfId="33827"/>
    <cellStyle name="표준 5 5 28 5" xfId="14811"/>
    <cellStyle name="표준 5 5 28 5 2" xfId="40163"/>
    <cellStyle name="표준 5 5 28 6" xfId="27491"/>
    <cellStyle name="표준 5 5 29" xfId="2138"/>
    <cellStyle name="표준 5 5 29 2" xfId="2139"/>
    <cellStyle name="표준 5 5 29 2 2" xfId="5281"/>
    <cellStyle name="표준 5 5 29 2 2 2" xfId="11617"/>
    <cellStyle name="표준 5 5 29 2 2 2 2" xfId="24291"/>
    <cellStyle name="표준 5 5 29 2 2 2 2 2" xfId="49643"/>
    <cellStyle name="표준 5 5 29 2 2 2 3" xfId="36971"/>
    <cellStyle name="표준 5 5 29 2 2 3" xfId="17955"/>
    <cellStyle name="표준 5 5 29 2 2 3 2" xfId="43307"/>
    <cellStyle name="표준 5 5 29 2 2 4" xfId="30635"/>
    <cellStyle name="표준 5 5 29 2 3" xfId="8476"/>
    <cellStyle name="표준 5 5 29 2 3 2" xfId="21150"/>
    <cellStyle name="표준 5 5 29 2 3 2 2" xfId="46502"/>
    <cellStyle name="표준 5 5 29 2 3 3" xfId="33830"/>
    <cellStyle name="표준 5 5 29 2 4" xfId="14814"/>
    <cellStyle name="표준 5 5 29 2 4 2" xfId="40166"/>
    <cellStyle name="표준 5 5 29 2 5" xfId="27494"/>
    <cellStyle name="표준 5 5 29 3" xfId="5282"/>
    <cellStyle name="표준 5 5 29 3 2" xfId="11618"/>
    <cellStyle name="표준 5 5 29 3 2 2" xfId="24292"/>
    <cellStyle name="표준 5 5 29 3 2 2 2" xfId="49644"/>
    <cellStyle name="표준 5 5 29 3 2 3" xfId="36972"/>
    <cellStyle name="표준 5 5 29 3 3" xfId="17956"/>
    <cellStyle name="표준 5 5 29 3 3 2" xfId="43308"/>
    <cellStyle name="표준 5 5 29 3 4" xfId="30636"/>
    <cellStyle name="표준 5 5 29 4" xfId="8475"/>
    <cellStyle name="표준 5 5 29 4 2" xfId="21149"/>
    <cellStyle name="표준 5 5 29 4 2 2" xfId="46501"/>
    <cellStyle name="표준 5 5 29 4 3" xfId="33829"/>
    <cellStyle name="표준 5 5 29 5" xfId="14813"/>
    <cellStyle name="표준 5 5 29 5 2" xfId="40165"/>
    <cellStyle name="표준 5 5 29 6" xfId="27493"/>
    <cellStyle name="표준 5 5 3" xfId="2140"/>
    <cellStyle name="표준 5 5 3 2" xfId="2141"/>
    <cellStyle name="표준 5 5 3 2 2" xfId="5283"/>
    <cellStyle name="표준 5 5 3 2 2 2" xfId="11619"/>
    <cellStyle name="표준 5 5 3 2 2 2 2" xfId="24293"/>
    <cellStyle name="표준 5 5 3 2 2 2 2 2" xfId="49645"/>
    <cellStyle name="표준 5 5 3 2 2 2 3" xfId="36973"/>
    <cellStyle name="표준 5 5 3 2 2 3" xfId="17957"/>
    <cellStyle name="표준 5 5 3 2 2 3 2" xfId="43309"/>
    <cellStyle name="표준 5 5 3 2 2 4" xfId="30637"/>
    <cellStyle name="표준 5 5 3 2 3" xfId="8478"/>
    <cellStyle name="표준 5 5 3 2 3 2" xfId="21152"/>
    <cellStyle name="표준 5 5 3 2 3 2 2" xfId="46504"/>
    <cellStyle name="표준 5 5 3 2 3 3" xfId="33832"/>
    <cellStyle name="표준 5 5 3 2 4" xfId="14816"/>
    <cellStyle name="표준 5 5 3 2 4 2" xfId="40168"/>
    <cellStyle name="표준 5 5 3 2 5" xfId="27496"/>
    <cellStyle name="표준 5 5 3 3" xfId="5284"/>
    <cellStyle name="표준 5 5 3 3 2" xfId="11620"/>
    <cellStyle name="표준 5 5 3 3 2 2" xfId="24294"/>
    <cellStyle name="표준 5 5 3 3 2 2 2" xfId="49646"/>
    <cellStyle name="표준 5 5 3 3 2 3" xfId="36974"/>
    <cellStyle name="표준 5 5 3 3 3" xfId="17958"/>
    <cellStyle name="표준 5 5 3 3 3 2" xfId="43310"/>
    <cellStyle name="표준 5 5 3 3 4" xfId="30638"/>
    <cellStyle name="표준 5 5 3 4" xfId="8477"/>
    <cellStyle name="표준 5 5 3 4 2" xfId="21151"/>
    <cellStyle name="표준 5 5 3 4 2 2" xfId="46503"/>
    <cellStyle name="표준 5 5 3 4 3" xfId="33831"/>
    <cellStyle name="표준 5 5 3 5" xfId="14815"/>
    <cellStyle name="표준 5 5 3 5 2" xfId="40167"/>
    <cellStyle name="표준 5 5 3 6" xfId="27495"/>
    <cellStyle name="표준 5 5 30" xfId="2142"/>
    <cellStyle name="표준 5 5 30 2" xfId="2143"/>
    <cellStyle name="표준 5 5 30 2 2" xfId="5285"/>
    <cellStyle name="표준 5 5 30 2 2 2" xfId="11621"/>
    <cellStyle name="표준 5 5 30 2 2 2 2" xfId="24295"/>
    <cellStyle name="표준 5 5 30 2 2 2 2 2" xfId="49647"/>
    <cellStyle name="표준 5 5 30 2 2 2 3" xfId="36975"/>
    <cellStyle name="표준 5 5 30 2 2 3" xfId="17959"/>
    <cellStyle name="표준 5 5 30 2 2 3 2" xfId="43311"/>
    <cellStyle name="표준 5 5 30 2 2 4" xfId="30639"/>
    <cellStyle name="표준 5 5 30 2 3" xfId="8480"/>
    <cellStyle name="표준 5 5 30 2 3 2" xfId="21154"/>
    <cellStyle name="표준 5 5 30 2 3 2 2" xfId="46506"/>
    <cellStyle name="표준 5 5 30 2 3 3" xfId="33834"/>
    <cellStyle name="표준 5 5 30 2 4" xfId="14818"/>
    <cellStyle name="표준 5 5 30 2 4 2" xfId="40170"/>
    <cellStyle name="표준 5 5 30 2 5" xfId="27498"/>
    <cellStyle name="표준 5 5 30 3" xfId="5286"/>
    <cellStyle name="표준 5 5 30 3 2" xfId="11622"/>
    <cellStyle name="표준 5 5 30 3 2 2" xfId="24296"/>
    <cellStyle name="표준 5 5 30 3 2 2 2" xfId="49648"/>
    <cellStyle name="표준 5 5 30 3 2 3" xfId="36976"/>
    <cellStyle name="표준 5 5 30 3 3" xfId="17960"/>
    <cellStyle name="표준 5 5 30 3 3 2" xfId="43312"/>
    <cellStyle name="표준 5 5 30 3 4" xfId="30640"/>
    <cellStyle name="표준 5 5 30 4" xfId="8479"/>
    <cellStyle name="표준 5 5 30 4 2" xfId="21153"/>
    <cellStyle name="표준 5 5 30 4 2 2" xfId="46505"/>
    <cellStyle name="표준 5 5 30 4 3" xfId="33833"/>
    <cellStyle name="표준 5 5 30 5" xfId="14817"/>
    <cellStyle name="표준 5 5 30 5 2" xfId="40169"/>
    <cellStyle name="표준 5 5 30 6" xfId="27497"/>
    <cellStyle name="표준 5 5 31" xfId="2144"/>
    <cellStyle name="표준 5 5 31 2" xfId="2145"/>
    <cellStyle name="표준 5 5 31 2 2" xfId="5287"/>
    <cellStyle name="표준 5 5 31 2 2 2" xfId="11623"/>
    <cellStyle name="표준 5 5 31 2 2 2 2" xfId="24297"/>
    <cellStyle name="표준 5 5 31 2 2 2 2 2" xfId="49649"/>
    <cellStyle name="표준 5 5 31 2 2 2 3" xfId="36977"/>
    <cellStyle name="표준 5 5 31 2 2 3" xfId="17961"/>
    <cellStyle name="표준 5 5 31 2 2 3 2" xfId="43313"/>
    <cellStyle name="표준 5 5 31 2 2 4" xfId="30641"/>
    <cellStyle name="표준 5 5 31 2 3" xfId="8482"/>
    <cellStyle name="표준 5 5 31 2 3 2" xfId="21156"/>
    <cellStyle name="표준 5 5 31 2 3 2 2" xfId="46508"/>
    <cellStyle name="표준 5 5 31 2 3 3" xfId="33836"/>
    <cellStyle name="표준 5 5 31 2 4" xfId="14820"/>
    <cellStyle name="표준 5 5 31 2 4 2" xfId="40172"/>
    <cellStyle name="표준 5 5 31 2 5" xfId="27500"/>
    <cellStyle name="표준 5 5 31 3" xfId="5288"/>
    <cellStyle name="표준 5 5 31 3 2" xfId="11624"/>
    <cellStyle name="표준 5 5 31 3 2 2" xfId="24298"/>
    <cellStyle name="표준 5 5 31 3 2 2 2" xfId="49650"/>
    <cellStyle name="표준 5 5 31 3 2 3" xfId="36978"/>
    <cellStyle name="표준 5 5 31 3 3" xfId="17962"/>
    <cellStyle name="표준 5 5 31 3 3 2" xfId="43314"/>
    <cellStyle name="표준 5 5 31 3 4" xfId="30642"/>
    <cellStyle name="표준 5 5 31 4" xfId="8481"/>
    <cellStyle name="표준 5 5 31 4 2" xfId="21155"/>
    <cellStyle name="표준 5 5 31 4 2 2" xfId="46507"/>
    <cellStyle name="표준 5 5 31 4 3" xfId="33835"/>
    <cellStyle name="표준 5 5 31 5" xfId="14819"/>
    <cellStyle name="표준 5 5 31 5 2" xfId="40171"/>
    <cellStyle name="표준 5 5 31 6" xfId="27499"/>
    <cellStyle name="표준 5 5 32" xfId="2146"/>
    <cellStyle name="표준 5 5 32 2" xfId="2147"/>
    <cellStyle name="표준 5 5 32 2 2" xfId="5289"/>
    <cellStyle name="표준 5 5 32 2 2 2" xfId="11625"/>
    <cellStyle name="표준 5 5 32 2 2 2 2" xfId="24299"/>
    <cellStyle name="표준 5 5 32 2 2 2 2 2" xfId="49651"/>
    <cellStyle name="표준 5 5 32 2 2 2 3" xfId="36979"/>
    <cellStyle name="표준 5 5 32 2 2 3" xfId="17963"/>
    <cellStyle name="표준 5 5 32 2 2 3 2" xfId="43315"/>
    <cellStyle name="표준 5 5 32 2 2 4" xfId="30643"/>
    <cellStyle name="표준 5 5 32 2 3" xfId="8484"/>
    <cellStyle name="표준 5 5 32 2 3 2" xfId="21158"/>
    <cellStyle name="표준 5 5 32 2 3 2 2" xfId="46510"/>
    <cellStyle name="표준 5 5 32 2 3 3" xfId="33838"/>
    <cellStyle name="표준 5 5 32 2 4" xfId="14822"/>
    <cellStyle name="표준 5 5 32 2 4 2" xfId="40174"/>
    <cellStyle name="표준 5 5 32 2 5" xfId="27502"/>
    <cellStyle name="표준 5 5 32 3" xfId="5290"/>
    <cellStyle name="표준 5 5 32 3 2" xfId="11626"/>
    <cellStyle name="표준 5 5 32 3 2 2" xfId="24300"/>
    <cellStyle name="표준 5 5 32 3 2 2 2" xfId="49652"/>
    <cellStyle name="표준 5 5 32 3 2 3" xfId="36980"/>
    <cellStyle name="표준 5 5 32 3 3" xfId="17964"/>
    <cellStyle name="표준 5 5 32 3 3 2" xfId="43316"/>
    <cellStyle name="표준 5 5 32 3 4" xfId="30644"/>
    <cellStyle name="표준 5 5 32 4" xfId="8483"/>
    <cellStyle name="표준 5 5 32 4 2" xfId="21157"/>
    <cellStyle name="표준 5 5 32 4 2 2" xfId="46509"/>
    <cellStyle name="표준 5 5 32 4 3" xfId="33837"/>
    <cellStyle name="표준 5 5 32 5" xfId="14821"/>
    <cellStyle name="표준 5 5 32 5 2" xfId="40173"/>
    <cellStyle name="표준 5 5 32 6" xfId="27501"/>
    <cellStyle name="표준 5 5 33" xfId="2148"/>
    <cellStyle name="표준 5 5 33 2" xfId="2149"/>
    <cellStyle name="표준 5 5 33 2 2" xfId="5291"/>
    <cellStyle name="표준 5 5 33 2 2 2" xfId="11627"/>
    <cellStyle name="표준 5 5 33 2 2 2 2" xfId="24301"/>
    <cellStyle name="표준 5 5 33 2 2 2 2 2" xfId="49653"/>
    <cellStyle name="표준 5 5 33 2 2 2 3" xfId="36981"/>
    <cellStyle name="표준 5 5 33 2 2 3" xfId="17965"/>
    <cellStyle name="표준 5 5 33 2 2 3 2" xfId="43317"/>
    <cellStyle name="표준 5 5 33 2 2 4" xfId="30645"/>
    <cellStyle name="표준 5 5 33 2 3" xfId="8486"/>
    <cellStyle name="표준 5 5 33 2 3 2" xfId="21160"/>
    <cellStyle name="표준 5 5 33 2 3 2 2" xfId="46512"/>
    <cellStyle name="표준 5 5 33 2 3 3" xfId="33840"/>
    <cellStyle name="표준 5 5 33 2 4" xfId="14824"/>
    <cellStyle name="표준 5 5 33 2 4 2" xfId="40176"/>
    <cellStyle name="표준 5 5 33 2 5" xfId="27504"/>
    <cellStyle name="표준 5 5 33 3" xfId="5292"/>
    <cellStyle name="표준 5 5 33 3 2" xfId="11628"/>
    <cellStyle name="표준 5 5 33 3 2 2" xfId="24302"/>
    <cellStyle name="표준 5 5 33 3 2 2 2" xfId="49654"/>
    <cellStyle name="표준 5 5 33 3 2 3" xfId="36982"/>
    <cellStyle name="표준 5 5 33 3 3" xfId="17966"/>
    <cellStyle name="표준 5 5 33 3 3 2" xfId="43318"/>
    <cellStyle name="표준 5 5 33 3 4" xfId="30646"/>
    <cellStyle name="표준 5 5 33 4" xfId="8485"/>
    <cellStyle name="표준 5 5 33 4 2" xfId="21159"/>
    <cellStyle name="표준 5 5 33 4 2 2" xfId="46511"/>
    <cellStyle name="표준 5 5 33 4 3" xfId="33839"/>
    <cellStyle name="표준 5 5 33 5" xfId="14823"/>
    <cellStyle name="표준 5 5 33 5 2" xfId="40175"/>
    <cellStyle name="표준 5 5 33 6" xfId="27503"/>
    <cellStyle name="표준 5 5 34" xfId="2150"/>
    <cellStyle name="표준 5 5 34 2" xfId="5293"/>
    <cellStyle name="표준 5 5 34 2 2" xfId="11629"/>
    <cellStyle name="표준 5 5 34 2 2 2" xfId="24303"/>
    <cellStyle name="표준 5 5 34 2 2 2 2" xfId="49655"/>
    <cellStyle name="표준 5 5 34 2 2 3" xfId="36983"/>
    <cellStyle name="표준 5 5 34 2 3" xfId="17967"/>
    <cellStyle name="표준 5 5 34 2 3 2" xfId="43319"/>
    <cellStyle name="표준 5 5 34 2 4" xfId="30647"/>
    <cellStyle name="표준 5 5 34 3" xfId="8487"/>
    <cellStyle name="표준 5 5 34 3 2" xfId="21161"/>
    <cellStyle name="표준 5 5 34 3 2 2" xfId="46513"/>
    <cellStyle name="표준 5 5 34 3 3" xfId="33841"/>
    <cellStyle name="표준 5 5 34 4" xfId="14825"/>
    <cellStyle name="표준 5 5 34 4 2" xfId="40177"/>
    <cellStyle name="표준 5 5 34 5" xfId="27505"/>
    <cellStyle name="표준 5 5 35" xfId="5294"/>
    <cellStyle name="표준 5 5 35 2" xfId="11630"/>
    <cellStyle name="표준 5 5 35 2 2" xfId="24304"/>
    <cellStyle name="표준 5 5 35 2 2 2" xfId="49656"/>
    <cellStyle name="표준 5 5 35 2 3" xfId="36984"/>
    <cellStyle name="표준 5 5 35 3" xfId="17968"/>
    <cellStyle name="표준 5 5 35 3 2" xfId="43320"/>
    <cellStyle name="표준 5 5 35 4" xfId="30648"/>
    <cellStyle name="표준 5 5 36" xfId="6425"/>
    <cellStyle name="표준 5 5 36 2" xfId="19099"/>
    <cellStyle name="표준 5 5 36 2 2" xfId="44451"/>
    <cellStyle name="표준 5 5 36 3" xfId="31779"/>
    <cellStyle name="표준 5 5 37" xfId="12763"/>
    <cellStyle name="표준 5 5 37 2" xfId="38115"/>
    <cellStyle name="표준 5 5 38" xfId="25443"/>
    <cellStyle name="표준 5 5 4" xfId="2151"/>
    <cellStyle name="표준 5 5 4 2" xfId="2152"/>
    <cellStyle name="표준 5 5 4 2 2" xfId="5295"/>
    <cellStyle name="표준 5 5 4 2 2 2" xfId="11631"/>
    <cellStyle name="표준 5 5 4 2 2 2 2" xfId="24305"/>
    <cellStyle name="표준 5 5 4 2 2 2 2 2" xfId="49657"/>
    <cellStyle name="표준 5 5 4 2 2 2 3" xfId="36985"/>
    <cellStyle name="표준 5 5 4 2 2 3" xfId="17969"/>
    <cellStyle name="표준 5 5 4 2 2 3 2" xfId="43321"/>
    <cellStyle name="표준 5 5 4 2 2 4" xfId="30649"/>
    <cellStyle name="표준 5 5 4 2 3" xfId="8489"/>
    <cellStyle name="표준 5 5 4 2 3 2" xfId="21163"/>
    <cellStyle name="표준 5 5 4 2 3 2 2" xfId="46515"/>
    <cellStyle name="표준 5 5 4 2 3 3" xfId="33843"/>
    <cellStyle name="표준 5 5 4 2 4" xfId="14827"/>
    <cellStyle name="표준 5 5 4 2 4 2" xfId="40179"/>
    <cellStyle name="표준 5 5 4 2 5" xfId="27507"/>
    <cellStyle name="표준 5 5 4 3" xfId="5296"/>
    <cellStyle name="표준 5 5 4 3 2" xfId="11632"/>
    <cellStyle name="표준 5 5 4 3 2 2" xfId="24306"/>
    <cellStyle name="표준 5 5 4 3 2 2 2" xfId="49658"/>
    <cellStyle name="표준 5 5 4 3 2 3" xfId="36986"/>
    <cellStyle name="표준 5 5 4 3 3" xfId="17970"/>
    <cellStyle name="표준 5 5 4 3 3 2" xfId="43322"/>
    <cellStyle name="표준 5 5 4 3 4" xfId="30650"/>
    <cellStyle name="표준 5 5 4 4" xfId="8488"/>
    <cellStyle name="표준 5 5 4 4 2" xfId="21162"/>
    <cellStyle name="표준 5 5 4 4 2 2" xfId="46514"/>
    <cellStyle name="표준 5 5 4 4 3" xfId="33842"/>
    <cellStyle name="표준 5 5 4 5" xfId="14826"/>
    <cellStyle name="표준 5 5 4 5 2" xfId="40178"/>
    <cellStyle name="표준 5 5 4 6" xfId="27506"/>
    <cellStyle name="표준 5 5 5" xfId="2153"/>
    <cellStyle name="표준 5 5 5 2" xfId="2154"/>
    <cellStyle name="표준 5 5 5 2 2" xfId="5297"/>
    <cellStyle name="표준 5 5 5 2 2 2" xfId="11633"/>
    <cellStyle name="표준 5 5 5 2 2 2 2" xfId="24307"/>
    <cellStyle name="표준 5 5 5 2 2 2 2 2" xfId="49659"/>
    <cellStyle name="표준 5 5 5 2 2 2 3" xfId="36987"/>
    <cellStyle name="표준 5 5 5 2 2 3" xfId="17971"/>
    <cellStyle name="표준 5 5 5 2 2 3 2" xfId="43323"/>
    <cellStyle name="표준 5 5 5 2 2 4" xfId="30651"/>
    <cellStyle name="표준 5 5 5 2 3" xfId="8491"/>
    <cellStyle name="표준 5 5 5 2 3 2" xfId="21165"/>
    <cellStyle name="표준 5 5 5 2 3 2 2" xfId="46517"/>
    <cellStyle name="표준 5 5 5 2 3 3" xfId="33845"/>
    <cellStyle name="표준 5 5 5 2 4" xfId="14829"/>
    <cellStyle name="표준 5 5 5 2 4 2" xfId="40181"/>
    <cellStyle name="표준 5 5 5 2 5" xfId="27509"/>
    <cellStyle name="표준 5 5 5 3" xfId="5298"/>
    <cellStyle name="표준 5 5 5 3 2" xfId="11634"/>
    <cellStyle name="표준 5 5 5 3 2 2" xfId="24308"/>
    <cellStyle name="표준 5 5 5 3 2 2 2" xfId="49660"/>
    <cellStyle name="표준 5 5 5 3 2 3" xfId="36988"/>
    <cellStyle name="표준 5 5 5 3 3" xfId="17972"/>
    <cellStyle name="표준 5 5 5 3 3 2" xfId="43324"/>
    <cellStyle name="표준 5 5 5 3 4" xfId="30652"/>
    <cellStyle name="표준 5 5 5 4" xfId="8490"/>
    <cellStyle name="표준 5 5 5 4 2" xfId="21164"/>
    <cellStyle name="표준 5 5 5 4 2 2" xfId="46516"/>
    <cellStyle name="표준 5 5 5 4 3" xfId="33844"/>
    <cellStyle name="표준 5 5 5 5" xfId="14828"/>
    <cellStyle name="표준 5 5 5 5 2" xfId="40180"/>
    <cellStyle name="표준 5 5 5 6" xfId="27508"/>
    <cellStyle name="표준 5 5 6" xfId="2155"/>
    <cellStyle name="표준 5 5 6 2" xfId="2156"/>
    <cellStyle name="표준 5 5 6 2 2" xfId="5299"/>
    <cellStyle name="표준 5 5 6 2 2 2" xfId="11635"/>
    <cellStyle name="표준 5 5 6 2 2 2 2" xfId="24309"/>
    <cellStyle name="표준 5 5 6 2 2 2 2 2" xfId="49661"/>
    <cellStyle name="표준 5 5 6 2 2 2 3" xfId="36989"/>
    <cellStyle name="표준 5 5 6 2 2 3" xfId="17973"/>
    <cellStyle name="표준 5 5 6 2 2 3 2" xfId="43325"/>
    <cellStyle name="표준 5 5 6 2 2 4" xfId="30653"/>
    <cellStyle name="표준 5 5 6 2 3" xfId="8493"/>
    <cellStyle name="표준 5 5 6 2 3 2" xfId="21167"/>
    <cellStyle name="표준 5 5 6 2 3 2 2" xfId="46519"/>
    <cellStyle name="표준 5 5 6 2 3 3" xfId="33847"/>
    <cellStyle name="표준 5 5 6 2 4" xfId="14831"/>
    <cellStyle name="표준 5 5 6 2 4 2" xfId="40183"/>
    <cellStyle name="표준 5 5 6 2 5" xfId="27511"/>
    <cellStyle name="표준 5 5 6 3" xfId="5300"/>
    <cellStyle name="표준 5 5 6 3 2" xfId="11636"/>
    <cellStyle name="표준 5 5 6 3 2 2" xfId="24310"/>
    <cellStyle name="표준 5 5 6 3 2 2 2" xfId="49662"/>
    <cellStyle name="표준 5 5 6 3 2 3" xfId="36990"/>
    <cellStyle name="표준 5 5 6 3 3" xfId="17974"/>
    <cellStyle name="표준 5 5 6 3 3 2" xfId="43326"/>
    <cellStyle name="표준 5 5 6 3 4" xfId="30654"/>
    <cellStyle name="표준 5 5 6 4" xfId="8492"/>
    <cellStyle name="표준 5 5 6 4 2" xfId="21166"/>
    <cellStyle name="표준 5 5 6 4 2 2" xfId="46518"/>
    <cellStyle name="표준 5 5 6 4 3" xfId="33846"/>
    <cellStyle name="표준 5 5 6 5" xfId="14830"/>
    <cellStyle name="표준 5 5 6 5 2" xfId="40182"/>
    <cellStyle name="표준 5 5 6 6" xfId="27510"/>
    <cellStyle name="표준 5 5 7" xfId="2157"/>
    <cellStyle name="표준 5 5 7 2" xfId="2158"/>
    <cellStyle name="표준 5 5 7 2 2" xfId="5301"/>
    <cellStyle name="표준 5 5 7 2 2 2" xfId="11637"/>
    <cellStyle name="표준 5 5 7 2 2 2 2" xfId="24311"/>
    <cellStyle name="표준 5 5 7 2 2 2 2 2" xfId="49663"/>
    <cellStyle name="표준 5 5 7 2 2 2 3" xfId="36991"/>
    <cellStyle name="표준 5 5 7 2 2 3" xfId="17975"/>
    <cellStyle name="표준 5 5 7 2 2 3 2" xfId="43327"/>
    <cellStyle name="표준 5 5 7 2 2 4" xfId="30655"/>
    <cellStyle name="표준 5 5 7 2 3" xfId="8495"/>
    <cellStyle name="표준 5 5 7 2 3 2" xfId="21169"/>
    <cellStyle name="표준 5 5 7 2 3 2 2" xfId="46521"/>
    <cellStyle name="표준 5 5 7 2 3 3" xfId="33849"/>
    <cellStyle name="표준 5 5 7 2 4" xfId="14833"/>
    <cellStyle name="표준 5 5 7 2 4 2" xfId="40185"/>
    <cellStyle name="표준 5 5 7 2 5" xfId="27513"/>
    <cellStyle name="표준 5 5 7 3" xfId="5302"/>
    <cellStyle name="표준 5 5 7 3 2" xfId="11638"/>
    <cellStyle name="표준 5 5 7 3 2 2" xfId="24312"/>
    <cellStyle name="표준 5 5 7 3 2 2 2" xfId="49664"/>
    <cellStyle name="표준 5 5 7 3 2 3" xfId="36992"/>
    <cellStyle name="표준 5 5 7 3 3" xfId="17976"/>
    <cellStyle name="표준 5 5 7 3 3 2" xfId="43328"/>
    <cellStyle name="표준 5 5 7 3 4" xfId="30656"/>
    <cellStyle name="표준 5 5 7 4" xfId="8494"/>
    <cellStyle name="표준 5 5 7 4 2" xfId="21168"/>
    <cellStyle name="표준 5 5 7 4 2 2" xfId="46520"/>
    <cellStyle name="표준 5 5 7 4 3" xfId="33848"/>
    <cellStyle name="표준 5 5 7 5" xfId="14832"/>
    <cellStyle name="표준 5 5 7 5 2" xfId="40184"/>
    <cellStyle name="표준 5 5 7 6" xfId="27512"/>
    <cellStyle name="표준 5 5 8" xfId="2159"/>
    <cellStyle name="표준 5 5 8 2" xfId="2160"/>
    <cellStyle name="표준 5 5 8 2 2" xfId="5303"/>
    <cellStyle name="표준 5 5 8 2 2 2" xfId="11639"/>
    <cellStyle name="표준 5 5 8 2 2 2 2" xfId="24313"/>
    <cellStyle name="표준 5 5 8 2 2 2 2 2" xfId="49665"/>
    <cellStyle name="표준 5 5 8 2 2 2 3" xfId="36993"/>
    <cellStyle name="표준 5 5 8 2 2 3" xfId="17977"/>
    <cellStyle name="표준 5 5 8 2 2 3 2" xfId="43329"/>
    <cellStyle name="표준 5 5 8 2 2 4" xfId="30657"/>
    <cellStyle name="표준 5 5 8 2 3" xfId="8497"/>
    <cellStyle name="표준 5 5 8 2 3 2" xfId="21171"/>
    <cellStyle name="표준 5 5 8 2 3 2 2" xfId="46523"/>
    <cellStyle name="표준 5 5 8 2 3 3" xfId="33851"/>
    <cellStyle name="표준 5 5 8 2 4" xfId="14835"/>
    <cellStyle name="표준 5 5 8 2 4 2" xfId="40187"/>
    <cellStyle name="표준 5 5 8 2 5" xfId="27515"/>
    <cellStyle name="표준 5 5 8 3" xfId="5304"/>
    <cellStyle name="표준 5 5 8 3 2" xfId="11640"/>
    <cellStyle name="표준 5 5 8 3 2 2" xfId="24314"/>
    <cellStyle name="표준 5 5 8 3 2 2 2" xfId="49666"/>
    <cellStyle name="표준 5 5 8 3 2 3" xfId="36994"/>
    <cellStyle name="표준 5 5 8 3 3" xfId="17978"/>
    <cellStyle name="표준 5 5 8 3 3 2" xfId="43330"/>
    <cellStyle name="표준 5 5 8 3 4" xfId="30658"/>
    <cellStyle name="표준 5 5 8 4" xfId="8496"/>
    <cellStyle name="표준 5 5 8 4 2" xfId="21170"/>
    <cellStyle name="표준 5 5 8 4 2 2" xfId="46522"/>
    <cellStyle name="표준 5 5 8 4 3" xfId="33850"/>
    <cellStyle name="표준 5 5 8 5" xfId="14834"/>
    <cellStyle name="표준 5 5 8 5 2" xfId="40186"/>
    <cellStyle name="표준 5 5 8 6" xfId="27514"/>
    <cellStyle name="표준 5 5 9" xfId="2161"/>
    <cellStyle name="표준 5 5 9 2" xfId="2162"/>
    <cellStyle name="표준 5 5 9 2 2" xfId="5305"/>
    <cellStyle name="표준 5 5 9 2 2 2" xfId="11641"/>
    <cellStyle name="표준 5 5 9 2 2 2 2" xfId="24315"/>
    <cellStyle name="표준 5 5 9 2 2 2 2 2" xfId="49667"/>
    <cellStyle name="표준 5 5 9 2 2 2 3" xfId="36995"/>
    <cellStyle name="표준 5 5 9 2 2 3" xfId="17979"/>
    <cellStyle name="표준 5 5 9 2 2 3 2" xfId="43331"/>
    <cellStyle name="표준 5 5 9 2 2 4" xfId="30659"/>
    <cellStyle name="표준 5 5 9 2 3" xfId="8499"/>
    <cellStyle name="표준 5 5 9 2 3 2" xfId="21173"/>
    <cellStyle name="표준 5 5 9 2 3 2 2" xfId="46525"/>
    <cellStyle name="표준 5 5 9 2 3 3" xfId="33853"/>
    <cellStyle name="표준 5 5 9 2 4" xfId="14837"/>
    <cellStyle name="표준 5 5 9 2 4 2" xfId="40189"/>
    <cellStyle name="표준 5 5 9 2 5" xfId="27517"/>
    <cellStyle name="표준 5 5 9 3" xfId="5306"/>
    <cellStyle name="표준 5 5 9 3 2" xfId="11642"/>
    <cellStyle name="표준 5 5 9 3 2 2" xfId="24316"/>
    <cellStyle name="표준 5 5 9 3 2 2 2" xfId="49668"/>
    <cellStyle name="표준 5 5 9 3 2 3" xfId="36996"/>
    <cellStyle name="표준 5 5 9 3 3" xfId="17980"/>
    <cellStyle name="표준 5 5 9 3 3 2" xfId="43332"/>
    <cellStyle name="표준 5 5 9 3 4" xfId="30660"/>
    <cellStyle name="표준 5 5 9 4" xfId="8498"/>
    <cellStyle name="표준 5 5 9 4 2" xfId="21172"/>
    <cellStyle name="표준 5 5 9 4 2 2" xfId="46524"/>
    <cellStyle name="표준 5 5 9 4 3" xfId="33852"/>
    <cellStyle name="표준 5 5 9 5" xfId="14836"/>
    <cellStyle name="표준 5 5 9 5 2" xfId="40188"/>
    <cellStyle name="표준 5 5 9 6" xfId="27516"/>
    <cellStyle name="표준 5 6" xfId="88"/>
    <cellStyle name="표준 5 6 2" xfId="2163"/>
    <cellStyle name="표준 5 6 2 2" xfId="5307"/>
    <cellStyle name="표준 5 6 2 2 2" xfId="11643"/>
    <cellStyle name="표준 5 6 2 2 2 2" xfId="24317"/>
    <cellStyle name="표준 5 6 2 2 2 2 2" xfId="49669"/>
    <cellStyle name="표준 5 6 2 2 2 3" xfId="36997"/>
    <cellStyle name="표준 5 6 2 2 3" xfId="17981"/>
    <cellStyle name="표준 5 6 2 2 3 2" xfId="43333"/>
    <cellStyle name="표준 5 6 2 2 4" xfId="30661"/>
    <cellStyle name="표준 5 6 2 3" xfId="8500"/>
    <cellStyle name="표준 5 6 2 3 2" xfId="21174"/>
    <cellStyle name="표준 5 6 2 3 2 2" xfId="46526"/>
    <cellStyle name="표준 5 6 2 3 3" xfId="33854"/>
    <cellStyle name="표준 5 6 2 4" xfId="14838"/>
    <cellStyle name="표준 5 6 2 4 2" xfId="40190"/>
    <cellStyle name="표준 5 6 2 5" xfId="27518"/>
    <cellStyle name="표준 5 6 3" xfId="5308"/>
    <cellStyle name="표준 5 6 3 2" xfId="11644"/>
    <cellStyle name="표준 5 6 3 2 2" xfId="24318"/>
    <cellStyle name="표준 5 6 3 2 2 2" xfId="49670"/>
    <cellStyle name="표준 5 6 3 2 3" xfId="36998"/>
    <cellStyle name="표준 5 6 3 3" xfId="17982"/>
    <cellStyle name="표준 5 6 3 3 2" xfId="43334"/>
    <cellStyle name="표준 5 6 3 4" xfId="30662"/>
    <cellStyle name="표준 5 6 4" xfId="6426"/>
    <cellStyle name="표준 5 6 4 2" xfId="19100"/>
    <cellStyle name="표준 5 6 4 2 2" xfId="44452"/>
    <cellStyle name="표준 5 6 4 3" xfId="31780"/>
    <cellStyle name="표준 5 6 5" xfId="12764"/>
    <cellStyle name="표준 5 6 5 2" xfId="38116"/>
    <cellStyle name="표준 5 6 6" xfId="25444"/>
    <cellStyle name="표준 5 7" xfId="2164"/>
    <cellStyle name="표준 5 7 2" xfId="2165"/>
    <cellStyle name="표준 5 7 2 2" xfId="5309"/>
    <cellStyle name="표준 5 7 2 2 2" xfId="11645"/>
    <cellStyle name="표준 5 7 2 2 2 2" xfId="24319"/>
    <cellStyle name="표준 5 7 2 2 2 2 2" xfId="49671"/>
    <cellStyle name="표준 5 7 2 2 2 3" xfId="36999"/>
    <cellStyle name="표준 5 7 2 2 3" xfId="17983"/>
    <cellStyle name="표준 5 7 2 2 3 2" xfId="43335"/>
    <cellStyle name="표준 5 7 2 2 4" xfId="30663"/>
    <cellStyle name="표준 5 7 2 3" xfId="8502"/>
    <cellStyle name="표준 5 7 2 3 2" xfId="21176"/>
    <cellStyle name="표준 5 7 2 3 2 2" xfId="46528"/>
    <cellStyle name="표준 5 7 2 3 3" xfId="33856"/>
    <cellStyle name="표준 5 7 2 4" xfId="14840"/>
    <cellStyle name="표준 5 7 2 4 2" xfId="40192"/>
    <cellStyle name="표준 5 7 2 5" xfId="27520"/>
    <cellStyle name="표준 5 7 3" xfId="5310"/>
    <cellStyle name="표준 5 7 3 2" xfId="11646"/>
    <cellStyle name="표준 5 7 3 2 2" xfId="24320"/>
    <cellStyle name="표준 5 7 3 2 2 2" xfId="49672"/>
    <cellStyle name="표준 5 7 3 2 3" xfId="37000"/>
    <cellStyle name="표준 5 7 3 3" xfId="17984"/>
    <cellStyle name="표준 5 7 3 3 2" xfId="43336"/>
    <cellStyle name="표준 5 7 3 4" xfId="30664"/>
    <cellStyle name="표준 5 7 4" xfId="8501"/>
    <cellStyle name="표준 5 7 4 2" xfId="21175"/>
    <cellStyle name="표준 5 7 4 2 2" xfId="46527"/>
    <cellStyle name="표준 5 7 4 3" xfId="33855"/>
    <cellStyle name="표준 5 7 5" xfId="14839"/>
    <cellStyle name="표준 5 7 5 2" xfId="40191"/>
    <cellStyle name="표준 5 7 6" xfId="27519"/>
    <cellStyle name="표준 5 8" xfId="2166"/>
    <cellStyle name="표준 5 8 2" xfId="2167"/>
    <cellStyle name="표준 5 8 2 2" xfId="5311"/>
    <cellStyle name="표준 5 8 2 2 2" xfId="11647"/>
    <cellStyle name="표준 5 8 2 2 2 2" xfId="24321"/>
    <cellStyle name="표준 5 8 2 2 2 2 2" xfId="49673"/>
    <cellStyle name="표준 5 8 2 2 2 3" xfId="37001"/>
    <cellStyle name="표준 5 8 2 2 3" xfId="17985"/>
    <cellStyle name="표준 5 8 2 2 3 2" xfId="43337"/>
    <cellStyle name="표준 5 8 2 2 4" xfId="30665"/>
    <cellStyle name="표준 5 8 2 3" xfId="8504"/>
    <cellStyle name="표준 5 8 2 3 2" xfId="21178"/>
    <cellStyle name="표준 5 8 2 3 2 2" xfId="46530"/>
    <cellStyle name="표준 5 8 2 3 3" xfId="33858"/>
    <cellStyle name="표준 5 8 2 4" xfId="14842"/>
    <cellStyle name="표준 5 8 2 4 2" xfId="40194"/>
    <cellStyle name="표준 5 8 2 5" xfId="27522"/>
    <cellStyle name="표준 5 8 3" xfId="5312"/>
    <cellStyle name="표준 5 8 3 2" xfId="11648"/>
    <cellStyle name="표준 5 8 3 2 2" xfId="24322"/>
    <cellStyle name="표준 5 8 3 2 2 2" xfId="49674"/>
    <cellStyle name="표준 5 8 3 2 3" xfId="37002"/>
    <cellStyle name="표준 5 8 3 3" xfId="17986"/>
    <cellStyle name="표준 5 8 3 3 2" xfId="43338"/>
    <cellStyle name="표준 5 8 3 4" xfId="30666"/>
    <cellStyle name="표준 5 8 4" xfId="8503"/>
    <cellStyle name="표준 5 8 4 2" xfId="21177"/>
    <cellStyle name="표준 5 8 4 2 2" xfId="46529"/>
    <cellStyle name="표준 5 8 4 3" xfId="33857"/>
    <cellStyle name="표준 5 8 5" xfId="14841"/>
    <cellStyle name="표준 5 8 5 2" xfId="40193"/>
    <cellStyle name="표준 5 8 6" xfId="27521"/>
    <cellStyle name="표준 5 9" xfId="2168"/>
    <cellStyle name="표준 5 9 2" xfId="2169"/>
    <cellStyle name="표준 5 9 2 2" xfId="5313"/>
    <cellStyle name="표준 5 9 2 2 2" xfId="11649"/>
    <cellStyle name="표준 5 9 2 2 2 2" xfId="24323"/>
    <cellStyle name="표준 5 9 2 2 2 2 2" xfId="49675"/>
    <cellStyle name="표준 5 9 2 2 2 3" xfId="37003"/>
    <cellStyle name="표준 5 9 2 2 3" xfId="17987"/>
    <cellStyle name="표준 5 9 2 2 3 2" xfId="43339"/>
    <cellStyle name="표준 5 9 2 2 4" xfId="30667"/>
    <cellStyle name="표준 5 9 2 3" xfId="8506"/>
    <cellStyle name="표준 5 9 2 3 2" xfId="21180"/>
    <cellStyle name="표준 5 9 2 3 2 2" xfId="46532"/>
    <cellStyle name="표준 5 9 2 3 3" xfId="33860"/>
    <cellStyle name="표준 5 9 2 4" xfId="14844"/>
    <cellStyle name="표준 5 9 2 4 2" xfId="40196"/>
    <cellStyle name="표준 5 9 2 5" xfId="27524"/>
    <cellStyle name="표준 5 9 3" xfId="5314"/>
    <cellStyle name="표준 5 9 3 2" xfId="11650"/>
    <cellStyle name="표준 5 9 3 2 2" xfId="24324"/>
    <cellStyle name="표준 5 9 3 2 2 2" xfId="49676"/>
    <cellStyle name="표준 5 9 3 2 3" xfId="37004"/>
    <cellStyle name="표준 5 9 3 3" xfId="17988"/>
    <cellStyle name="표준 5 9 3 3 2" xfId="43340"/>
    <cellStyle name="표준 5 9 3 4" xfId="30668"/>
    <cellStyle name="표준 5 9 4" xfId="8505"/>
    <cellStyle name="표준 5 9 4 2" xfId="21179"/>
    <cellStyle name="표준 5 9 4 2 2" xfId="46531"/>
    <cellStyle name="표준 5 9 4 3" xfId="33859"/>
    <cellStyle name="표준 5 9 5" xfId="14843"/>
    <cellStyle name="표준 5 9 5 2" xfId="40195"/>
    <cellStyle name="표준 5 9 6" xfId="27523"/>
    <cellStyle name="표준 6" xfId="11"/>
    <cellStyle name="표준 6 10" xfId="2170"/>
    <cellStyle name="표준 6 10 2" xfId="2171"/>
    <cellStyle name="표준 6 10 2 2" xfId="5315"/>
    <cellStyle name="표준 6 10 2 2 2" xfId="11651"/>
    <cellStyle name="표준 6 10 2 2 2 2" xfId="24325"/>
    <cellStyle name="표준 6 10 2 2 2 2 2" xfId="49677"/>
    <cellStyle name="표준 6 10 2 2 2 3" xfId="37005"/>
    <cellStyle name="표준 6 10 2 2 3" xfId="17989"/>
    <cellStyle name="표준 6 10 2 2 3 2" xfId="43341"/>
    <cellStyle name="표준 6 10 2 2 4" xfId="30669"/>
    <cellStyle name="표준 6 10 2 3" xfId="8508"/>
    <cellStyle name="표준 6 10 2 3 2" xfId="21182"/>
    <cellStyle name="표준 6 10 2 3 2 2" xfId="46534"/>
    <cellStyle name="표준 6 10 2 3 3" xfId="33862"/>
    <cellStyle name="표준 6 10 2 4" xfId="14846"/>
    <cellStyle name="표준 6 10 2 4 2" xfId="40198"/>
    <cellStyle name="표준 6 10 2 5" xfId="27526"/>
    <cellStyle name="표준 6 10 3" xfId="5316"/>
    <cellStyle name="표준 6 10 3 2" xfId="11652"/>
    <cellStyle name="표준 6 10 3 2 2" xfId="24326"/>
    <cellStyle name="표준 6 10 3 2 2 2" xfId="49678"/>
    <cellStyle name="표준 6 10 3 2 3" xfId="37006"/>
    <cellStyle name="표준 6 10 3 3" xfId="17990"/>
    <cellStyle name="표준 6 10 3 3 2" xfId="43342"/>
    <cellStyle name="표준 6 10 3 4" xfId="30670"/>
    <cellStyle name="표준 6 10 4" xfId="8507"/>
    <cellStyle name="표준 6 10 4 2" xfId="21181"/>
    <cellStyle name="표준 6 10 4 2 2" xfId="46533"/>
    <cellStyle name="표준 6 10 4 3" xfId="33861"/>
    <cellStyle name="표준 6 10 5" xfId="14845"/>
    <cellStyle name="표준 6 10 5 2" xfId="40197"/>
    <cellStyle name="표준 6 10 6" xfId="27525"/>
    <cellStyle name="표준 6 11" xfId="2172"/>
    <cellStyle name="표준 6 11 2" xfId="2173"/>
    <cellStyle name="표준 6 11 2 2" xfId="5317"/>
    <cellStyle name="표준 6 11 2 2 2" xfId="11653"/>
    <cellStyle name="표준 6 11 2 2 2 2" xfId="24327"/>
    <cellStyle name="표준 6 11 2 2 2 2 2" xfId="49679"/>
    <cellStyle name="표준 6 11 2 2 2 3" xfId="37007"/>
    <cellStyle name="표준 6 11 2 2 3" xfId="17991"/>
    <cellStyle name="표준 6 11 2 2 3 2" xfId="43343"/>
    <cellStyle name="표준 6 11 2 2 4" xfId="30671"/>
    <cellStyle name="표준 6 11 2 3" xfId="8510"/>
    <cellStyle name="표준 6 11 2 3 2" xfId="21184"/>
    <cellStyle name="표준 6 11 2 3 2 2" xfId="46536"/>
    <cellStyle name="표준 6 11 2 3 3" xfId="33864"/>
    <cellStyle name="표준 6 11 2 4" xfId="14848"/>
    <cellStyle name="표준 6 11 2 4 2" xfId="40200"/>
    <cellStyle name="표준 6 11 2 5" xfId="27528"/>
    <cellStyle name="표준 6 11 3" xfId="5318"/>
    <cellStyle name="표준 6 11 3 2" xfId="11654"/>
    <cellStyle name="표준 6 11 3 2 2" xfId="24328"/>
    <cellStyle name="표준 6 11 3 2 2 2" xfId="49680"/>
    <cellStyle name="표준 6 11 3 2 3" xfId="37008"/>
    <cellStyle name="표준 6 11 3 3" xfId="17992"/>
    <cellStyle name="표준 6 11 3 3 2" xfId="43344"/>
    <cellStyle name="표준 6 11 3 4" xfId="30672"/>
    <cellStyle name="표준 6 11 4" xfId="8509"/>
    <cellStyle name="표준 6 11 4 2" xfId="21183"/>
    <cellStyle name="표준 6 11 4 2 2" xfId="46535"/>
    <cellStyle name="표준 6 11 4 3" xfId="33863"/>
    <cellStyle name="표준 6 11 5" xfId="14847"/>
    <cellStyle name="표준 6 11 5 2" xfId="40199"/>
    <cellStyle name="표준 6 11 6" xfId="27527"/>
    <cellStyle name="표준 6 12" xfId="2174"/>
    <cellStyle name="표준 6 12 2" xfId="2175"/>
    <cellStyle name="표준 6 12 2 2" xfId="5319"/>
    <cellStyle name="표준 6 12 2 2 2" xfId="11655"/>
    <cellStyle name="표준 6 12 2 2 2 2" xfId="24329"/>
    <cellStyle name="표준 6 12 2 2 2 2 2" xfId="49681"/>
    <cellStyle name="표준 6 12 2 2 2 3" xfId="37009"/>
    <cellStyle name="표준 6 12 2 2 3" xfId="17993"/>
    <cellStyle name="표준 6 12 2 2 3 2" xfId="43345"/>
    <cellStyle name="표준 6 12 2 2 4" xfId="30673"/>
    <cellStyle name="표준 6 12 2 3" xfId="8512"/>
    <cellStyle name="표준 6 12 2 3 2" xfId="21186"/>
    <cellStyle name="표준 6 12 2 3 2 2" xfId="46538"/>
    <cellStyle name="표준 6 12 2 3 3" xfId="33866"/>
    <cellStyle name="표준 6 12 2 4" xfId="14850"/>
    <cellStyle name="표준 6 12 2 4 2" xfId="40202"/>
    <cellStyle name="표준 6 12 2 5" xfId="27530"/>
    <cellStyle name="표준 6 12 3" xfId="5320"/>
    <cellStyle name="표준 6 12 3 2" xfId="11656"/>
    <cellStyle name="표준 6 12 3 2 2" xfId="24330"/>
    <cellStyle name="표준 6 12 3 2 2 2" xfId="49682"/>
    <cellStyle name="표준 6 12 3 2 3" xfId="37010"/>
    <cellStyle name="표준 6 12 3 3" xfId="17994"/>
    <cellStyle name="표준 6 12 3 3 2" xfId="43346"/>
    <cellStyle name="표준 6 12 3 4" xfId="30674"/>
    <cellStyle name="표준 6 12 4" xfId="8511"/>
    <cellStyle name="표준 6 12 4 2" xfId="21185"/>
    <cellStyle name="표준 6 12 4 2 2" xfId="46537"/>
    <cellStyle name="표준 6 12 4 3" xfId="33865"/>
    <cellStyle name="표준 6 12 5" xfId="14849"/>
    <cellStyle name="표준 6 12 5 2" xfId="40201"/>
    <cellStyle name="표준 6 12 6" xfId="27529"/>
    <cellStyle name="표준 6 13" xfId="2176"/>
    <cellStyle name="표준 6 13 2" xfId="2177"/>
    <cellStyle name="표준 6 13 2 2" xfId="5321"/>
    <cellStyle name="표준 6 13 2 2 2" xfId="11657"/>
    <cellStyle name="표준 6 13 2 2 2 2" xfId="24331"/>
    <cellStyle name="표준 6 13 2 2 2 2 2" xfId="49683"/>
    <cellStyle name="표준 6 13 2 2 2 3" xfId="37011"/>
    <cellStyle name="표준 6 13 2 2 3" xfId="17995"/>
    <cellStyle name="표준 6 13 2 2 3 2" xfId="43347"/>
    <cellStyle name="표준 6 13 2 2 4" xfId="30675"/>
    <cellStyle name="표준 6 13 2 3" xfId="8514"/>
    <cellStyle name="표준 6 13 2 3 2" xfId="21188"/>
    <cellStyle name="표준 6 13 2 3 2 2" xfId="46540"/>
    <cellStyle name="표준 6 13 2 3 3" xfId="33868"/>
    <cellStyle name="표준 6 13 2 4" xfId="14852"/>
    <cellStyle name="표준 6 13 2 4 2" xfId="40204"/>
    <cellStyle name="표준 6 13 2 5" xfId="27532"/>
    <cellStyle name="표준 6 13 3" xfId="5322"/>
    <cellStyle name="표준 6 13 3 2" xfId="11658"/>
    <cellStyle name="표준 6 13 3 2 2" xfId="24332"/>
    <cellStyle name="표준 6 13 3 2 2 2" xfId="49684"/>
    <cellStyle name="표준 6 13 3 2 3" xfId="37012"/>
    <cellStyle name="표준 6 13 3 3" xfId="17996"/>
    <cellStyle name="표준 6 13 3 3 2" xfId="43348"/>
    <cellStyle name="표준 6 13 3 4" xfId="30676"/>
    <cellStyle name="표준 6 13 4" xfId="8513"/>
    <cellStyle name="표준 6 13 4 2" xfId="21187"/>
    <cellStyle name="표준 6 13 4 2 2" xfId="46539"/>
    <cellStyle name="표준 6 13 4 3" xfId="33867"/>
    <cellStyle name="표준 6 13 5" xfId="14851"/>
    <cellStyle name="표준 6 13 5 2" xfId="40203"/>
    <cellStyle name="표준 6 13 6" xfId="27531"/>
    <cellStyle name="표준 6 14" xfId="2178"/>
    <cellStyle name="표준 6 14 2" xfId="2179"/>
    <cellStyle name="표준 6 14 2 2" xfId="5323"/>
    <cellStyle name="표준 6 14 2 2 2" xfId="11659"/>
    <cellStyle name="표준 6 14 2 2 2 2" xfId="24333"/>
    <cellStyle name="표준 6 14 2 2 2 2 2" xfId="49685"/>
    <cellStyle name="표준 6 14 2 2 2 3" xfId="37013"/>
    <cellStyle name="표준 6 14 2 2 3" xfId="17997"/>
    <cellStyle name="표준 6 14 2 2 3 2" xfId="43349"/>
    <cellStyle name="표준 6 14 2 2 4" xfId="30677"/>
    <cellStyle name="표준 6 14 2 3" xfId="8516"/>
    <cellStyle name="표준 6 14 2 3 2" xfId="21190"/>
    <cellStyle name="표준 6 14 2 3 2 2" xfId="46542"/>
    <cellStyle name="표준 6 14 2 3 3" xfId="33870"/>
    <cellStyle name="표준 6 14 2 4" xfId="14854"/>
    <cellStyle name="표준 6 14 2 4 2" xfId="40206"/>
    <cellStyle name="표준 6 14 2 5" xfId="27534"/>
    <cellStyle name="표준 6 14 3" xfId="5324"/>
    <cellStyle name="표준 6 14 3 2" xfId="11660"/>
    <cellStyle name="표준 6 14 3 2 2" xfId="24334"/>
    <cellStyle name="표준 6 14 3 2 2 2" xfId="49686"/>
    <cellStyle name="표준 6 14 3 2 3" xfId="37014"/>
    <cellStyle name="표준 6 14 3 3" xfId="17998"/>
    <cellStyle name="표준 6 14 3 3 2" xfId="43350"/>
    <cellStyle name="표준 6 14 3 4" xfId="30678"/>
    <cellStyle name="표준 6 14 4" xfId="8515"/>
    <cellStyle name="표준 6 14 4 2" xfId="21189"/>
    <cellStyle name="표준 6 14 4 2 2" xfId="46541"/>
    <cellStyle name="표준 6 14 4 3" xfId="33869"/>
    <cellStyle name="표준 6 14 5" xfId="14853"/>
    <cellStyle name="표준 6 14 5 2" xfId="40205"/>
    <cellStyle name="표준 6 14 6" xfId="27533"/>
    <cellStyle name="표준 6 15" xfId="2180"/>
    <cellStyle name="표준 6 15 2" xfId="2181"/>
    <cellStyle name="표준 6 15 2 2" xfId="5325"/>
    <cellStyle name="표준 6 15 2 2 2" xfId="11661"/>
    <cellStyle name="표준 6 15 2 2 2 2" xfId="24335"/>
    <cellStyle name="표준 6 15 2 2 2 2 2" xfId="49687"/>
    <cellStyle name="표준 6 15 2 2 2 3" xfId="37015"/>
    <cellStyle name="표준 6 15 2 2 3" xfId="17999"/>
    <cellStyle name="표준 6 15 2 2 3 2" xfId="43351"/>
    <cellStyle name="표준 6 15 2 2 4" xfId="30679"/>
    <cellStyle name="표준 6 15 2 3" xfId="8518"/>
    <cellStyle name="표준 6 15 2 3 2" xfId="21192"/>
    <cellStyle name="표준 6 15 2 3 2 2" xfId="46544"/>
    <cellStyle name="표준 6 15 2 3 3" xfId="33872"/>
    <cellStyle name="표준 6 15 2 4" xfId="14856"/>
    <cellStyle name="표준 6 15 2 4 2" xfId="40208"/>
    <cellStyle name="표준 6 15 2 5" xfId="27536"/>
    <cellStyle name="표준 6 15 3" xfId="5326"/>
    <cellStyle name="표준 6 15 3 2" xfId="11662"/>
    <cellStyle name="표준 6 15 3 2 2" xfId="24336"/>
    <cellStyle name="표준 6 15 3 2 2 2" xfId="49688"/>
    <cellStyle name="표준 6 15 3 2 3" xfId="37016"/>
    <cellStyle name="표준 6 15 3 3" xfId="18000"/>
    <cellStyle name="표준 6 15 3 3 2" xfId="43352"/>
    <cellStyle name="표준 6 15 3 4" xfId="30680"/>
    <cellStyle name="표준 6 15 4" xfId="8517"/>
    <cellStyle name="표준 6 15 4 2" xfId="21191"/>
    <cellStyle name="표준 6 15 4 2 2" xfId="46543"/>
    <cellStyle name="표준 6 15 4 3" xfId="33871"/>
    <cellStyle name="표준 6 15 5" xfId="14855"/>
    <cellStyle name="표준 6 15 5 2" xfId="40207"/>
    <cellStyle name="표준 6 15 6" xfId="27535"/>
    <cellStyle name="표준 6 16" xfId="2182"/>
    <cellStyle name="표준 6 16 2" xfId="2183"/>
    <cellStyle name="표준 6 16 2 2" xfId="5327"/>
    <cellStyle name="표준 6 16 2 2 2" xfId="11663"/>
    <cellStyle name="표준 6 16 2 2 2 2" xfId="24337"/>
    <cellStyle name="표준 6 16 2 2 2 2 2" xfId="49689"/>
    <cellStyle name="표준 6 16 2 2 2 3" xfId="37017"/>
    <cellStyle name="표준 6 16 2 2 3" xfId="18001"/>
    <cellStyle name="표준 6 16 2 2 3 2" xfId="43353"/>
    <cellStyle name="표준 6 16 2 2 4" xfId="30681"/>
    <cellStyle name="표준 6 16 2 3" xfId="8520"/>
    <cellStyle name="표준 6 16 2 3 2" xfId="21194"/>
    <cellStyle name="표준 6 16 2 3 2 2" xfId="46546"/>
    <cellStyle name="표준 6 16 2 3 3" xfId="33874"/>
    <cellStyle name="표준 6 16 2 4" xfId="14858"/>
    <cellStyle name="표준 6 16 2 4 2" xfId="40210"/>
    <cellStyle name="표준 6 16 2 5" xfId="27538"/>
    <cellStyle name="표준 6 16 3" xfId="5328"/>
    <cellStyle name="표준 6 16 3 2" xfId="11664"/>
    <cellStyle name="표준 6 16 3 2 2" xfId="24338"/>
    <cellStyle name="표준 6 16 3 2 2 2" xfId="49690"/>
    <cellStyle name="표준 6 16 3 2 3" xfId="37018"/>
    <cellStyle name="표준 6 16 3 3" xfId="18002"/>
    <cellStyle name="표준 6 16 3 3 2" xfId="43354"/>
    <cellStyle name="표준 6 16 3 4" xfId="30682"/>
    <cellStyle name="표준 6 16 4" xfId="8519"/>
    <cellStyle name="표준 6 16 4 2" xfId="21193"/>
    <cellStyle name="표준 6 16 4 2 2" xfId="46545"/>
    <cellStyle name="표준 6 16 4 3" xfId="33873"/>
    <cellStyle name="표준 6 16 5" xfId="14857"/>
    <cellStyle name="표준 6 16 5 2" xfId="40209"/>
    <cellStyle name="표준 6 16 6" xfId="27537"/>
    <cellStyle name="표준 6 17" xfId="2184"/>
    <cellStyle name="표준 6 17 2" xfId="2185"/>
    <cellStyle name="표준 6 17 2 2" xfId="5329"/>
    <cellStyle name="표준 6 17 2 2 2" xfId="11665"/>
    <cellStyle name="표준 6 17 2 2 2 2" xfId="24339"/>
    <cellStyle name="표준 6 17 2 2 2 2 2" xfId="49691"/>
    <cellStyle name="표준 6 17 2 2 2 3" xfId="37019"/>
    <cellStyle name="표준 6 17 2 2 3" xfId="18003"/>
    <cellStyle name="표준 6 17 2 2 3 2" xfId="43355"/>
    <cellStyle name="표준 6 17 2 2 4" xfId="30683"/>
    <cellStyle name="표준 6 17 2 3" xfId="8522"/>
    <cellStyle name="표준 6 17 2 3 2" xfId="21196"/>
    <cellStyle name="표준 6 17 2 3 2 2" xfId="46548"/>
    <cellStyle name="표준 6 17 2 3 3" xfId="33876"/>
    <cellStyle name="표준 6 17 2 4" xfId="14860"/>
    <cellStyle name="표준 6 17 2 4 2" xfId="40212"/>
    <cellStyle name="표준 6 17 2 5" xfId="27540"/>
    <cellStyle name="표준 6 17 3" xfId="5330"/>
    <cellStyle name="표준 6 17 3 2" xfId="11666"/>
    <cellStyle name="표준 6 17 3 2 2" xfId="24340"/>
    <cellStyle name="표준 6 17 3 2 2 2" xfId="49692"/>
    <cellStyle name="표준 6 17 3 2 3" xfId="37020"/>
    <cellStyle name="표준 6 17 3 3" xfId="18004"/>
    <cellStyle name="표준 6 17 3 3 2" xfId="43356"/>
    <cellStyle name="표준 6 17 3 4" xfId="30684"/>
    <cellStyle name="표준 6 17 4" xfId="8521"/>
    <cellStyle name="표준 6 17 4 2" xfId="21195"/>
    <cellStyle name="표준 6 17 4 2 2" xfId="46547"/>
    <cellStyle name="표준 6 17 4 3" xfId="33875"/>
    <cellStyle name="표준 6 17 5" xfId="14859"/>
    <cellStyle name="표준 6 17 5 2" xfId="40211"/>
    <cellStyle name="표준 6 17 6" xfId="27539"/>
    <cellStyle name="표준 6 18" xfId="2186"/>
    <cellStyle name="표준 6 18 2" xfId="2187"/>
    <cellStyle name="표준 6 18 2 2" xfId="5331"/>
    <cellStyle name="표준 6 18 2 2 2" xfId="11667"/>
    <cellStyle name="표준 6 18 2 2 2 2" xfId="24341"/>
    <cellStyle name="표준 6 18 2 2 2 2 2" xfId="49693"/>
    <cellStyle name="표준 6 18 2 2 2 3" xfId="37021"/>
    <cellStyle name="표준 6 18 2 2 3" xfId="18005"/>
    <cellStyle name="표준 6 18 2 2 3 2" xfId="43357"/>
    <cellStyle name="표준 6 18 2 2 4" xfId="30685"/>
    <cellStyle name="표준 6 18 2 3" xfId="8524"/>
    <cellStyle name="표준 6 18 2 3 2" xfId="21198"/>
    <cellStyle name="표준 6 18 2 3 2 2" xfId="46550"/>
    <cellStyle name="표준 6 18 2 3 3" xfId="33878"/>
    <cellStyle name="표준 6 18 2 4" xfId="14862"/>
    <cellStyle name="표준 6 18 2 4 2" xfId="40214"/>
    <cellStyle name="표준 6 18 2 5" xfId="27542"/>
    <cellStyle name="표준 6 18 3" xfId="5332"/>
    <cellStyle name="표준 6 18 3 2" xfId="11668"/>
    <cellStyle name="표준 6 18 3 2 2" xfId="24342"/>
    <cellStyle name="표준 6 18 3 2 2 2" xfId="49694"/>
    <cellStyle name="표준 6 18 3 2 3" xfId="37022"/>
    <cellStyle name="표준 6 18 3 3" xfId="18006"/>
    <cellStyle name="표준 6 18 3 3 2" xfId="43358"/>
    <cellStyle name="표준 6 18 3 4" xfId="30686"/>
    <cellStyle name="표준 6 18 4" xfId="8523"/>
    <cellStyle name="표준 6 18 4 2" xfId="21197"/>
    <cellStyle name="표준 6 18 4 2 2" xfId="46549"/>
    <cellStyle name="표준 6 18 4 3" xfId="33877"/>
    <cellStyle name="표준 6 18 5" xfId="14861"/>
    <cellStyle name="표준 6 18 5 2" xfId="40213"/>
    <cellStyle name="표준 6 18 6" xfId="27541"/>
    <cellStyle name="표준 6 19" xfId="2188"/>
    <cellStyle name="표준 6 19 2" xfId="2189"/>
    <cellStyle name="표준 6 19 2 2" xfId="5333"/>
    <cellStyle name="표준 6 19 2 2 2" xfId="11669"/>
    <cellStyle name="표준 6 19 2 2 2 2" xfId="24343"/>
    <cellStyle name="표준 6 19 2 2 2 2 2" xfId="49695"/>
    <cellStyle name="표준 6 19 2 2 2 3" xfId="37023"/>
    <cellStyle name="표준 6 19 2 2 3" xfId="18007"/>
    <cellStyle name="표준 6 19 2 2 3 2" xfId="43359"/>
    <cellStyle name="표준 6 19 2 2 4" xfId="30687"/>
    <cellStyle name="표준 6 19 2 3" xfId="8526"/>
    <cellStyle name="표준 6 19 2 3 2" xfId="21200"/>
    <cellStyle name="표준 6 19 2 3 2 2" xfId="46552"/>
    <cellStyle name="표준 6 19 2 3 3" xfId="33880"/>
    <cellStyle name="표준 6 19 2 4" xfId="14864"/>
    <cellStyle name="표준 6 19 2 4 2" xfId="40216"/>
    <cellStyle name="표준 6 19 2 5" xfId="27544"/>
    <cellStyle name="표준 6 19 3" xfId="5334"/>
    <cellStyle name="표준 6 19 3 2" xfId="11670"/>
    <cellStyle name="표준 6 19 3 2 2" xfId="24344"/>
    <cellStyle name="표준 6 19 3 2 2 2" xfId="49696"/>
    <cellStyle name="표준 6 19 3 2 3" xfId="37024"/>
    <cellStyle name="표준 6 19 3 3" xfId="18008"/>
    <cellStyle name="표준 6 19 3 3 2" xfId="43360"/>
    <cellStyle name="표준 6 19 3 4" xfId="30688"/>
    <cellStyle name="표준 6 19 4" xfId="8525"/>
    <cellStyle name="표준 6 19 4 2" xfId="21199"/>
    <cellStyle name="표준 6 19 4 2 2" xfId="46551"/>
    <cellStyle name="표준 6 19 4 3" xfId="33879"/>
    <cellStyle name="표준 6 19 5" xfId="14863"/>
    <cellStyle name="표준 6 19 5 2" xfId="40215"/>
    <cellStyle name="표준 6 19 6" xfId="27543"/>
    <cellStyle name="표준 6 2" xfId="16"/>
    <cellStyle name="표준 6 2 10" xfId="2190"/>
    <cellStyle name="표준 6 2 10 2" xfId="2191"/>
    <cellStyle name="표준 6 2 10 2 2" xfId="5335"/>
    <cellStyle name="표준 6 2 10 2 2 2" xfId="11671"/>
    <cellStyle name="표준 6 2 10 2 2 2 2" xfId="24345"/>
    <cellStyle name="표준 6 2 10 2 2 2 2 2" xfId="49697"/>
    <cellStyle name="표준 6 2 10 2 2 2 3" xfId="37025"/>
    <cellStyle name="표준 6 2 10 2 2 3" xfId="18009"/>
    <cellStyle name="표준 6 2 10 2 2 3 2" xfId="43361"/>
    <cellStyle name="표준 6 2 10 2 2 4" xfId="30689"/>
    <cellStyle name="표준 6 2 10 2 3" xfId="8528"/>
    <cellStyle name="표준 6 2 10 2 3 2" xfId="21202"/>
    <cellStyle name="표준 6 2 10 2 3 2 2" xfId="46554"/>
    <cellStyle name="표준 6 2 10 2 3 3" xfId="33882"/>
    <cellStyle name="표준 6 2 10 2 4" xfId="14866"/>
    <cellStyle name="표준 6 2 10 2 4 2" xfId="40218"/>
    <cellStyle name="표준 6 2 10 2 5" xfId="27546"/>
    <cellStyle name="표준 6 2 10 3" xfId="5336"/>
    <cellStyle name="표준 6 2 10 3 2" xfId="11672"/>
    <cellStyle name="표준 6 2 10 3 2 2" xfId="24346"/>
    <cellStyle name="표준 6 2 10 3 2 2 2" xfId="49698"/>
    <cellStyle name="표준 6 2 10 3 2 3" xfId="37026"/>
    <cellStyle name="표준 6 2 10 3 3" xfId="18010"/>
    <cellStyle name="표준 6 2 10 3 3 2" xfId="43362"/>
    <cellStyle name="표준 6 2 10 3 4" xfId="30690"/>
    <cellStyle name="표준 6 2 10 4" xfId="8527"/>
    <cellStyle name="표준 6 2 10 4 2" xfId="21201"/>
    <cellStyle name="표준 6 2 10 4 2 2" xfId="46553"/>
    <cellStyle name="표준 6 2 10 4 3" xfId="33881"/>
    <cellStyle name="표준 6 2 10 5" xfId="14865"/>
    <cellStyle name="표준 6 2 10 5 2" xfId="40217"/>
    <cellStyle name="표준 6 2 10 6" xfId="27545"/>
    <cellStyle name="표준 6 2 11" xfId="2192"/>
    <cellStyle name="표준 6 2 11 2" xfId="2193"/>
    <cellStyle name="표준 6 2 11 2 2" xfId="5337"/>
    <cellStyle name="표준 6 2 11 2 2 2" xfId="11673"/>
    <cellStyle name="표준 6 2 11 2 2 2 2" xfId="24347"/>
    <cellStyle name="표준 6 2 11 2 2 2 2 2" xfId="49699"/>
    <cellStyle name="표준 6 2 11 2 2 2 3" xfId="37027"/>
    <cellStyle name="표준 6 2 11 2 2 3" xfId="18011"/>
    <cellStyle name="표준 6 2 11 2 2 3 2" xfId="43363"/>
    <cellStyle name="표준 6 2 11 2 2 4" xfId="30691"/>
    <cellStyle name="표준 6 2 11 2 3" xfId="8530"/>
    <cellStyle name="표준 6 2 11 2 3 2" xfId="21204"/>
    <cellStyle name="표준 6 2 11 2 3 2 2" xfId="46556"/>
    <cellStyle name="표준 6 2 11 2 3 3" xfId="33884"/>
    <cellStyle name="표준 6 2 11 2 4" xfId="14868"/>
    <cellStyle name="표준 6 2 11 2 4 2" xfId="40220"/>
    <cellStyle name="표준 6 2 11 2 5" xfId="27548"/>
    <cellStyle name="표준 6 2 11 3" xfId="5338"/>
    <cellStyle name="표준 6 2 11 3 2" xfId="11674"/>
    <cellStyle name="표준 6 2 11 3 2 2" xfId="24348"/>
    <cellStyle name="표준 6 2 11 3 2 2 2" xfId="49700"/>
    <cellStyle name="표준 6 2 11 3 2 3" xfId="37028"/>
    <cellStyle name="표준 6 2 11 3 3" xfId="18012"/>
    <cellStyle name="표준 6 2 11 3 3 2" xfId="43364"/>
    <cellStyle name="표준 6 2 11 3 4" xfId="30692"/>
    <cellStyle name="표준 6 2 11 4" xfId="8529"/>
    <cellStyle name="표준 6 2 11 4 2" xfId="21203"/>
    <cellStyle name="표준 6 2 11 4 2 2" xfId="46555"/>
    <cellStyle name="표준 6 2 11 4 3" xfId="33883"/>
    <cellStyle name="표준 6 2 11 5" xfId="14867"/>
    <cellStyle name="표준 6 2 11 5 2" xfId="40219"/>
    <cellStyle name="표준 6 2 11 6" xfId="27547"/>
    <cellStyle name="표준 6 2 12" xfId="2194"/>
    <cellStyle name="표준 6 2 12 2" xfId="2195"/>
    <cellStyle name="표준 6 2 12 2 2" xfId="5339"/>
    <cellStyle name="표준 6 2 12 2 2 2" xfId="11675"/>
    <cellStyle name="표준 6 2 12 2 2 2 2" xfId="24349"/>
    <cellStyle name="표준 6 2 12 2 2 2 2 2" xfId="49701"/>
    <cellStyle name="표준 6 2 12 2 2 2 3" xfId="37029"/>
    <cellStyle name="표준 6 2 12 2 2 3" xfId="18013"/>
    <cellStyle name="표준 6 2 12 2 2 3 2" xfId="43365"/>
    <cellStyle name="표준 6 2 12 2 2 4" xfId="30693"/>
    <cellStyle name="표준 6 2 12 2 3" xfId="8532"/>
    <cellStyle name="표준 6 2 12 2 3 2" xfId="21206"/>
    <cellStyle name="표준 6 2 12 2 3 2 2" xfId="46558"/>
    <cellStyle name="표준 6 2 12 2 3 3" xfId="33886"/>
    <cellStyle name="표준 6 2 12 2 4" xfId="14870"/>
    <cellStyle name="표준 6 2 12 2 4 2" xfId="40222"/>
    <cellStyle name="표준 6 2 12 2 5" xfId="27550"/>
    <cellStyle name="표준 6 2 12 3" xfId="5340"/>
    <cellStyle name="표준 6 2 12 3 2" xfId="11676"/>
    <cellStyle name="표준 6 2 12 3 2 2" xfId="24350"/>
    <cellStyle name="표준 6 2 12 3 2 2 2" xfId="49702"/>
    <cellStyle name="표준 6 2 12 3 2 3" xfId="37030"/>
    <cellStyle name="표준 6 2 12 3 3" xfId="18014"/>
    <cellStyle name="표준 6 2 12 3 3 2" xfId="43366"/>
    <cellStyle name="표준 6 2 12 3 4" xfId="30694"/>
    <cellStyle name="표준 6 2 12 4" xfId="8531"/>
    <cellStyle name="표준 6 2 12 4 2" xfId="21205"/>
    <cellStyle name="표준 6 2 12 4 2 2" xfId="46557"/>
    <cellStyle name="표준 6 2 12 4 3" xfId="33885"/>
    <cellStyle name="표준 6 2 12 5" xfId="14869"/>
    <cellStyle name="표준 6 2 12 5 2" xfId="40221"/>
    <cellStyle name="표준 6 2 12 6" xfId="27549"/>
    <cellStyle name="표준 6 2 13" xfId="2196"/>
    <cellStyle name="표준 6 2 13 2" xfId="2197"/>
    <cellStyle name="표준 6 2 13 2 2" xfId="5341"/>
    <cellStyle name="표준 6 2 13 2 2 2" xfId="11677"/>
    <cellStyle name="표준 6 2 13 2 2 2 2" xfId="24351"/>
    <cellStyle name="표준 6 2 13 2 2 2 2 2" xfId="49703"/>
    <cellStyle name="표준 6 2 13 2 2 2 3" xfId="37031"/>
    <cellStyle name="표준 6 2 13 2 2 3" xfId="18015"/>
    <cellStyle name="표준 6 2 13 2 2 3 2" xfId="43367"/>
    <cellStyle name="표준 6 2 13 2 2 4" xfId="30695"/>
    <cellStyle name="표준 6 2 13 2 3" xfId="8534"/>
    <cellStyle name="표준 6 2 13 2 3 2" xfId="21208"/>
    <cellStyle name="표준 6 2 13 2 3 2 2" xfId="46560"/>
    <cellStyle name="표준 6 2 13 2 3 3" xfId="33888"/>
    <cellStyle name="표준 6 2 13 2 4" xfId="14872"/>
    <cellStyle name="표준 6 2 13 2 4 2" xfId="40224"/>
    <cellStyle name="표준 6 2 13 2 5" xfId="27552"/>
    <cellStyle name="표준 6 2 13 3" xfId="5342"/>
    <cellStyle name="표준 6 2 13 3 2" xfId="11678"/>
    <cellStyle name="표준 6 2 13 3 2 2" xfId="24352"/>
    <cellStyle name="표준 6 2 13 3 2 2 2" xfId="49704"/>
    <cellStyle name="표준 6 2 13 3 2 3" xfId="37032"/>
    <cellStyle name="표준 6 2 13 3 3" xfId="18016"/>
    <cellStyle name="표준 6 2 13 3 3 2" xfId="43368"/>
    <cellStyle name="표준 6 2 13 3 4" xfId="30696"/>
    <cellStyle name="표준 6 2 13 4" xfId="8533"/>
    <cellStyle name="표준 6 2 13 4 2" xfId="21207"/>
    <cellStyle name="표준 6 2 13 4 2 2" xfId="46559"/>
    <cellStyle name="표준 6 2 13 4 3" xfId="33887"/>
    <cellStyle name="표준 6 2 13 5" xfId="14871"/>
    <cellStyle name="표준 6 2 13 5 2" xfId="40223"/>
    <cellStyle name="표준 6 2 13 6" xfId="27551"/>
    <cellStyle name="표준 6 2 14" xfId="2198"/>
    <cellStyle name="표준 6 2 14 2" xfId="2199"/>
    <cellStyle name="표준 6 2 14 2 2" xfId="5343"/>
    <cellStyle name="표준 6 2 14 2 2 2" xfId="11679"/>
    <cellStyle name="표준 6 2 14 2 2 2 2" xfId="24353"/>
    <cellStyle name="표준 6 2 14 2 2 2 2 2" xfId="49705"/>
    <cellStyle name="표준 6 2 14 2 2 2 3" xfId="37033"/>
    <cellStyle name="표준 6 2 14 2 2 3" xfId="18017"/>
    <cellStyle name="표준 6 2 14 2 2 3 2" xfId="43369"/>
    <cellStyle name="표준 6 2 14 2 2 4" xfId="30697"/>
    <cellStyle name="표준 6 2 14 2 3" xfId="8536"/>
    <cellStyle name="표준 6 2 14 2 3 2" xfId="21210"/>
    <cellStyle name="표준 6 2 14 2 3 2 2" xfId="46562"/>
    <cellStyle name="표준 6 2 14 2 3 3" xfId="33890"/>
    <cellStyle name="표준 6 2 14 2 4" xfId="14874"/>
    <cellStyle name="표준 6 2 14 2 4 2" xfId="40226"/>
    <cellStyle name="표준 6 2 14 2 5" xfId="27554"/>
    <cellStyle name="표준 6 2 14 3" xfId="5344"/>
    <cellStyle name="표준 6 2 14 3 2" xfId="11680"/>
    <cellStyle name="표준 6 2 14 3 2 2" xfId="24354"/>
    <cellStyle name="표준 6 2 14 3 2 2 2" xfId="49706"/>
    <cellStyle name="표준 6 2 14 3 2 3" xfId="37034"/>
    <cellStyle name="표준 6 2 14 3 3" xfId="18018"/>
    <cellStyle name="표준 6 2 14 3 3 2" xfId="43370"/>
    <cellStyle name="표준 6 2 14 3 4" xfId="30698"/>
    <cellStyle name="표준 6 2 14 4" xfId="8535"/>
    <cellStyle name="표준 6 2 14 4 2" xfId="21209"/>
    <cellStyle name="표준 6 2 14 4 2 2" xfId="46561"/>
    <cellStyle name="표준 6 2 14 4 3" xfId="33889"/>
    <cellStyle name="표준 6 2 14 5" xfId="14873"/>
    <cellStyle name="표준 6 2 14 5 2" xfId="40225"/>
    <cellStyle name="표준 6 2 14 6" xfId="27553"/>
    <cellStyle name="표준 6 2 15" xfId="2200"/>
    <cellStyle name="표준 6 2 15 2" xfId="2201"/>
    <cellStyle name="표준 6 2 15 2 2" xfId="5345"/>
    <cellStyle name="표준 6 2 15 2 2 2" xfId="11681"/>
    <cellStyle name="표준 6 2 15 2 2 2 2" xfId="24355"/>
    <cellStyle name="표준 6 2 15 2 2 2 2 2" xfId="49707"/>
    <cellStyle name="표준 6 2 15 2 2 2 3" xfId="37035"/>
    <cellStyle name="표준 6 2 15 2 2 3" xfId="18019"/>
    <cellStyle name="표준 6 2 15 2 2 3 2" xfId="43371"/>
    <cellStyle name="표준 6 2 15 2 2 4" xfId="30699"/>
    <cellStyle name="표준 6 2 15 2 3" xfId="8538"/>
    <cellStyle name="표준 6 2 15 2 3 2" xfId="21212"/>
    <cellStyle name="표준 6 2 15 2 3 2 2" xfId="46564"/>
    <cellStyle name="표준 6 2 15 2 3 3" xfId="33892"/>
    <cellStyle name="표준 6 2 15 2 4" xfId="14876"/>
    <cellStyle name="표준 6 2 15 2 4 2" xfId="40228"/>
    <cellStyle name="표준 6 2 15 2 5" xfId="27556"/>
    <cellStyle name="표준 6 2 15 3" xfId="5346"/>
    <cellStyle name="표준 6 2 15 3 2" xfId="11682"/>
    <cellStyle name="표준 6 2 15 3 2 2" xfId="24356"/>
    <cellStyle name="표준 6 2 15 3 2 2 2" xfId="49708"/>
    <cellStyle name="표준 6 2 15 3 2 3" xfId="37036"/>
    <cellStyle name="표준 6 2 15 3 3" xfId="18020"/>
    <cellStyle name="표준 6 2 15 3 3 2" xfId="43372"/>
    <cellStyle name="표준 6 2 15 3 4" xfId="30700"/>
    <cellStyle name="표준 6 2 15 4" xfId="8537"/>
    <cellStyle name="표준 6 2 15 4 2" xfId="21211"/>
    <cellStyle name="표준 6 2 15 4 2 2" xfId="46563"/>
    <cellStyle name="표준 6 2 15 4 3" xfId="33891"/>
    <cellStyle name="표준 6 2 15 5" xfId="14875"/>
    <cellStyle name="표준 6 2 15 5 2" xfId="40227"/>
    <cellStyle name="표준 6 2 15 6" xfId="27555"/>
    <cellStyle name="표준 6 2 16" xfId="2202"/>
    <cellStyle name="표준 6 2 16 2" xfId="2203"/>
    <cellStyle name="표준 6 2 16 2 2" xfId="5347"/>
    <cellStyle name="표준 6 2 16 2 2 2" xfId="11683"/>
    <cellStyle name="표준 6 2 16 2 2 2 2" xfId="24357"/>
    <cellStyle name="표준 6 2 16 2 2 2 2 2" xfId="49709"/>
    <cellStyle name="표준 6 2 16 2 2 2 3" xfId="37037"/>
    <cellStyle name="표준 6 2 16 2 2 3" xfId="18021"/>
    <cellStyle name="표준 6 2 16 2 2 3 2" xfId="43373"/>
    <cellStyle name="표준 6 2 16 2 2 4" xfId="30701"/>
    <cellStyle name="표준 6 2 16 2 3" xfId="8540"/>
    <cellStyle name="표준 6 2 16 2 3 2" xfId="21214"/>
    <cellStyle name="표준 6 2 16 2 3 2 2" xfId="46566"/>
    <cellStyle name="표준 6 2 16 2 3 3" xfId="33894"/>
    <cellStyle name="표준 6 2 16 2 4" xfId="14878"/>
    <cellStyle name="표준 6 2 16 2 4 2" xfId="40230"/>
    <cellStyle name="표준 6 2 16 2 5" xfId="27558"/>
    <cellStyle name="표준 6 2 16 3" xfId="5348"/>
    <cellStyle name="표준 6 2 16 3 2" xfId="11684"/>
    <cellStyle name="표준 6 2 16 3 2 2" xfId="24358"/>
    <cellStyle name="표준 6 2 16 3 2 2 2" xfId="49710"/>
    <cellStyle name="표준 6 2 16 3 2 3" xfId="37038"/>
    <cellStyle name="표준 6 2 16 3 3" xfId="18022"/>
    <cellStyle name="표준 6 2 16 3 3 2" xfId="43374"/>
    <cellStyle name="표준 6 2 16 3 4" xfId="30702"/>
    <cellStyle name="표준 6 2 16 4" xfId="8539"/>
    <cellStyle name="표준 6 2 16 4 2" xfId="21213"/>
    <cellStyle name="표준 6 2 16 4 2 2" xfId="46565"/>
    <cellStyle name="표준 6 2 16 4 3" xfId="33893"/>
    <cellStyle name="표준 6 2 16 5" xfId="14877"/>
    <cellStyle name="표준 6 2 16 5 2" xfId="40229"/>
    <cellStyle name="표준 6 2 16 6" xfId="27557"/>
    <cellStyle name="표준 6 2 17" xfId="2204"/>
    <cellStyle name="표준 6 2 17 2" xfId="2205"/>
    <cellStyle name="표준 6 2 17 2 2" xfId="5349"/>
    <cellStyle name="표준 6 2 17 2 2 2" xfId="11685"/>
    <cellStyle name="표준 6 2 17 2 2 2 2" xfId="24359"/>
    <cellStyle name="표준 6 2 17 2 2 2 2 2" xfId="49711"/>
    <cellStyle name="표준 6 2 17 2 2 2 3" xfId="37039"/>
    <cellStyle name="표준 6 2 17 2 2 3" xfId="18023"/>
    <cellStyle name="표준 6 2 17 2 2 3 2" xfId="43375"/>
    <cellStyle name="표준 6 2 17 2 2 4" xfId="30703"/>
    <cellStyle name="표준 6 2 17 2 3" xfId="8542"/>
    <cellStyle name="표준 6 2 17 2 3 2" xfId="21216"/>
    <cellStyle name="표준 6 2 17 2 3 2 2" xfId="46568"/>
    <cellStyle name="표준 6 2 17 2 3 3" xfId="33896"/>
    <cellStyle name="표준 6 2 17 2 4" xfId="14880"/>
    <cellStyle name="표준 6 2 17 2 4 2" xfId="40232"/>
    <cellStyle name="표준 6 2 17 2 5" xfId="27560"/>
    <cellStyle name="표준 6 2 17 3" xfId="5350"/>
    <cellStyle name="표준 6 2 17 3 2" xfId="11686"/>
    <cellStyle name="표준 6 2 17 3 2 2" xfId="24360"/>
    <cellStyle name="표준 6 2 17 3 2 2 2" xfId="49712"/>
    <cellStyle name="표준 6 2 17 3 2 3" xfId="37040"/>
    <cellStyle name="표준 6 2 17 3 3" xfId="18024"/>
    <cellStyle name="표준 6 2 17 3 3 2" xfId="43376"/>
    <cellStyle name="표준 6 2 17 3 4" xfId="30704"/>
    <cellStyle name="표준 6 2 17 4" xfId="8541"/>
    <cellStyle name="표준 6 2 17 4 2" xfId="21215"/>
    <cellStyle name="표준 6 2 17 4 2 2" xfId="46567"/>
    <cellStyle name="표준 6 2 17 4 3" xfId="33895"/>
    <cellStyle name="표준 6 2 17 5" xfId="14879"/>
    <cellStyle name="표준 6 2 17 5 2" xfId="40231"/>
    <cellStyle name="표준 6 2 17 6" xfId="27559"/>
    <cellStyle name="표준 6 2 18" xfId="2206"/>
    <cellStyle name="표준 6 2 18 2" xfId="2207"/>
    <cellStyle name="표준 6 2 18 2 2" xfId="5351"/>
    <cellStyle name="표준 6 2 18 2 2 2" xfId="11687"/>
    <cellStyle name="표준 6 2 18 2 2 2 2" xfId="24361"/>
    <cellStyle name="표준 6 2 18 2 2 2 2 2" xfId="49713"/>
    <cellStyle name="표준 6 2 18 2 2 2 3" xfId="37041"/>
    <cellStyle name="표준 6 2 18 2 2 3" xfId="18025"/>
    <cellStyle name="표준 6 2 18 2 2 3 2" xfId="43377"/>
    <cellStyle name="표준 6 2 18 2 2 4" xfId="30705"/>
    <cellStyle name="표준 6 2 18 2 3" xfId="8544"/>
    <cellStyle name="표준 6 2 18 2 3 2" xfId="21218"/>
    <cellStyle name="표준 6 2 18 2 3 2 2" xfId="46570"/>
    <cellStyle name="표준 6 2 18 2 3 3" xfId="33898"/>
    <cellStyle name="표준 6 2 18 2 4" xfId="14882"/>
    <cellStyle name="표준 6 2 18 2 4 2" xfId="40234"/>
    <cellStyle name="표준 6 2 18 2 5" xfId="27562"/>
    <cellStyle name="표준 6 2 18 3" xfId="5352"/>
    <cellStyle name="표준 6 2 18 3 2" xfId="11688"/>
    <cellStyle name="표준 6 2 18 3 2 2" xfId="24362"/>
    <cellStyle name="표준 6 2 18 3 2 2 2" xfId="49714"/>
    <cellStyle name="표준 6 2 18 3 2 3" xfId="37042"/>
    <cellStyle name="표준 6 2 18 3 3" xfId="18026"/>
    <cellStyle name="표준 6 2 18 3 3 2" xfId="43378"/>
    <cellStyle name="표준 6 2 18 3 4" xfId="30706"/>
    <cellStyle name="표준 6 2 18 4" xfId="8543"/>
    <cellStyle name="표준 6 2 18 4 2" xfId="21217"/>
    <cellStyle name="표준 6 2 18 4 2 2" xfId="46569"/>
    <cellStyle name="표준 6 2 18 4 3" xfId="33897"/>
    <cellStyle name="표준 6 2 18 5" xfId="14881"/>
    <cellStyle name="표준 6 2 18 5 2" xfId="40233"/>
    <cellStyle name="표준 6 2 18 6" xfId="27561"/>
    <cellStyle name="표준 6 2 19" xfId="2208"/>
    <cellStyle name="표준 6 2 19 2" xfId="2209"/>
    <cellStyle name="표준 6 2 19 2 2" xfId="5353"/>
    <cellStyle name="표준 6 2 19 2 2 2" xfId="11689"/>
    <cellStyle name="표준 6 2 19 2 2 2 2" xfId="24363"/>
    <cellStyle name="표준 6 2 19 2 2 2 2 2" xfId="49715"/>
    <cellStyle name="표준 6 2 19 2 2 2 3" xfId="37043"/>
    <cellStyle name="표준 6 2 19 2 2 3" xfId="18027"/>
    <cellStyle name="표준 6 2 19 2 2 3 2" xfId="43379"/>
    <cellStyle name="표준 6 2 19 2 2 4" xfId="30707"/>
    <cellStyle name="표준 6 2 19 2 3" xfId="8546"/>
    <cellStyle name="표준 6 2 19 2 3 2" xfId="21220"/>
    <cellStyle name="표준 6 2 19 2 3 2 2" xfId="46572"/>
    <cellStyle name="표준 6 2 19 2 3 3" xfId="33900"/>
    <cellStyle name="표준 6 2 19 2 4" xfId="14884"/>
    <cellStyle name="표준 6 2 19 2 4 2" xfId="40236"/>
    <cellStyle name="표준 6 2 19 2 5" xfId="27564"/>
    <cellStyle name="표준 6 2 19 3" xfId="5354"/>
    <cellStyle name="표준 6 2 19 3 2" xfId="11690"/>
    <cellStyle name="표준 6 2 19 3 2 2" xfId="24364"/>
    <cellStyle name="표준 6 2 19 3 2 2 2" xfId="49716"/>
    <cellStyle name="표준 6 2 19 3 2 3" xfId="37044"/>
    <cellStyle name="표준 6 2 19 3 3" xfId="18028"/>
    <cellStyle name="표준 6 2 19 3 3 2" xfId="43380"/>
    <cellStyle name="표준 6 2 19 3 4" xfId="30708"/>
    <cellStyle name="표준 6 2 19 4" xfId="8545"/>
    <cellStyle name="표준 6 2 19 4 2" xfId="21219"/>
    <cellStyle name="표준 6 2 19 4 2 2" xfId="46571"/>
    <cellStyle name="표준 6 2 19 4 3" xfId="33899"/>
    <cellStyle name="표준 6 2 19 5" xfId="14883"/>
    <cellStyle name="표준 6 2 19 5 2" xfId="40235"/>
    <cellStyle name="표준 6 2 19 6" xfId="27563"/>
    <cellStyle name="표준 6 2 2" xfId="22"/>
    <cellStyle name="표준 6 2 2 10" xfId="2210"/>
    <cellStyle name="표준 6 2 2 10 2" xfId="2211"/>
    <cellStyle name="표준 6 2 2 10 2 2" xfId="5355"/>
    <cellStyle name="표준 6 2 2 10 2 2 2" xfId="11691"/>
    <cellStyle name="표준 6 2 2 10 2 2 2 2" xfId="24365"/>
    <cellStyle name="표준 6 2 2 10 2 2 2 2 2" xfId="49717"/>
    <cellStyle name="표준 6 2 2 10 2 2 2 3" xfId="37045"/>
    <cellStyle name="표준 6 2 2 10 2 2 3" xfId="18029"/>
    <cellStyle name="표준 6 2 2 10 2 2 3 2" xfId="43381"/>
    <cellStyle name="표준 6 2 2 10 2 2 4" xfId="30709"/>
    <cellStyle name="표준 6 2 2 10 2 3" xfId="8548"/>
    <cellStyle name="표준 6 2 2 10 2 3 2" xfId="21222"/>
    <cellStyle name="표준 6 2 2 10 2 3 2 2" xfId="46574"/>
    <cellStyle name="표준 6 2 2 10 2 3 3" xfId="33902"/>
    <cellStyle name="표준 6 2 2 10 2 4" xfId="14886"/>
    <cellStyle name="표준 6 2 2 10 2 4 2" xfId="40238"/>
    <cellStyle name="표준 6 2 2 10 2 5" xfId="27566"/>
    <cellStyle name="표준 6 2 2 10 3" xfId="5356"/>
    <cellStyle name="표준 6 2 2 10 3 2" xfId="11692"/>
    <cellStyle name="표준 6 2 2 10 3 2 2" xfId="24366"/>
    <cellStyle name="표준 6 2 2 10 3 2 2 2" xfId="49718"/>
    <cellStyle name="표준 6 2 2 10 3 2 3" xfId="37046"/>
    <cellStyle name="표준 6 2 2 10 3 3" xfId="18030"/>
    <cellStyle name="표준 6 2 2 10 3 3 2" xfId="43382"/>
    <cellStyle name="표준 6 2 2 10 3 4" xfId="30710"/>
    <cellStyle name="표준 6 2 2 10 4" xfId="8547"/>
    <cellStyle name="표준 6 2 2 10 4 2" xfId="21221"/>
    <cellStyle name="표준 6 2 2 10 4 2 2" xfId="46573"/>
    <cellStyle name="표준 6 2 2 10 4 3" xfId="33901"/>
    <cellStyle name="표준 6 2 2 10 5" xfId="14885"/>
    <cellStyle name="표준 6 2 2 10 5 2" xfId="40237"/>
    <cellStyle name="표준 6 2 2 10 6" xfId="27565"/>
    <cellStyle name="표준 6 2 2 11" xfId="2212"/>
    <cellStyle name="표준 6 2 2 11 2" xfId="2213"/>
    <cellStyle name="표준 6 2 2 11 2 2" xfId="5357"/>
    <cellStyle name="표준 6 2 2 11 2 2 2" xfId="11693"/>
    <cellStyle name="표준 6 2 2 11 2 2 2 2" xfId="24367"/>
    <cellStyle name="표준 6 2 2 11 2 2 2 2 2" xfId="49719"/>
    <cellStyle name="표준 6 2 2 11 2 2 2 3" xfId="37047"/>
    <cellStyle name="표준 6 2 2 11 2 2 3" xfId="18031"/>
    <cellStyle name="표준 6 2 2 11 2 2 3 2" xfId="43383"/>
    <cellStyle name="표준 6 2 2 11 2 2 4" xfId="30711"/>
    <cellStyle name="표준 6 2 2 11 2 3" xfId="8550"/>
    <cellStyle name="표준 6 2 2 11 2 3 2" xfId="21224"/>
    <cellStyle name="표준 6 2 2 11 2 3 2 2" xfId="46576"/>
    <cellStyle name="표준 6 2 2 11 2 3 3" xfId="33904"/>
    <cellStyle name="표준 6 2 2 11 2 4" xfId="14888"/>
    <cellStyle name="표준 6 2 2 11 2 4 2" xfId="40240"/>
    <cellStyle name="표준 6 2 2 11 2 5" xfId="27568"/>
    <cellStyle name="표준 6 2 2 11 3" xfId="5358"/>
    <cellStyle name="표준 6 2 2 11 3 2" xfId="11694"/>
    <cellStyle name="표준 6 2 2 11 3 2 2" xfId="24368"/>
    <cellStyle name="표준 6 2 2 11 3 2 2 2" xfId="49720"/>
    <cellStyle name="표준 6 2 2 11 3 2 3" xfId="37048"/>
    <cellStyle name="표준 6 2 2 11 3 3" xfId="18032"/>
    <cellStyle name="표준 6 2 2 11 3 3 2" xfId="43384"/>
    <cellStyle name="표준 6 2 2 11 3 4" xfId="30712"/>
    <cellStyle name="표준 6 2 2 11 4" xfId="8549"/>
    <cellStyle name="표준 6 2 2 11 4 2" xfId="21223"/>
    <cellStyle name="표준 6 2 2 11 4 2 2" xfId="46575"/>
    <cellStyle name="표준 6 2 2 11 4 3" xfId="33903"/>
    <cellStyle name="표준 6 2 2 11 5" xfId="14887"/>
    <cellStyle name="표준 6 2 2 11 5 2" xfId="40239"/>
    <cellStyle name="표준 6 2 2 11 6" xfId="27567"/>
    <cellStyle name="표준 6 2 2 12" xfId="2214"/>
    <cellStyle name="표준 6 2 2 12 2" xfId="2215"/>
    <cellStyle name="표준 6 2 2 12 2 2" xfId="5359"/>
    <cellStyle name="표준 6 2 2 12 2 2 2" xfId="11695"/>
    <cellStyle name="표준 6 2 2 12 2 2 2 2" xfId="24369"/>
    <cellStyle name="표준 6 2 2 12 2 2 2 2 2" xfId="49721"/>
    <cellStyle name="표준 6 2 2 12 2 2 2 3" xfId="37049"/>
    <cellStyle name="표준 6 2 2 12 2 2 3" xfId="18033"/>
    <cellStyle name="표준 6 2 2 12 2 2 3 2" xfId="43385"/>
    <cellStyle name="표준 6 2 2 12 2 2 4" xfId="30713"/>
    <cellStyle name="표준 6 2 2 12 2 3" xfId="8552"/>
    <cellStyle name="표준 6 2 2 12 2 3 2" xfId="21226"/>
    <cellStyle name="표준 6 2 2 12 2 3 2 2" xfId="46578"/>
    <cellStyle name="표준 6 2 2 12 2 3 3" xfId="33906"/>
    <cellStyle name="표준 6 2 2 12 2 4" xfId="14890"/>
    <cellStyle name="표준 6 2 2 12 2 4 2" xfId="40242"/>
    <cellStyle name="표준 6 2 2 12 2 5" xfId="27570"/>
    <cellStyle name="표준 6 2 2 12 3" xfId="5360"/>
    <cellStyle name="표준 6 2 2 12 3 2" xfId="11696"/>
    <cellStyle name="표준 6 2 2 12 3 2 2" xfId="24370"/>
    <cellStyle name="표준 6 2 2 12 3 2 2 2" xfId="49722"/>
    <cellStyle name="표준 6 2 2 12 3 2 3" xfId="37050"/>
    <cellStyle name="표준 6 2 2 12 3 3" xfId="18034"/>
    <cellStyle name="표준 6 2 2 12 3 3 2" xfId="43386"/>
    <cellStyle name="표준 6 2 2 12 3 4" xfId="30714"/>
    <cellStyle name="표준 6 2 2 12 4" xfId="8551"/>
    <cellStyle name="표준 6 2 2 12 4 2" xfId="21225"/>
    <cellStyle name="표준 6 2 2 12 4 2 2" xfId="46577"/>
    <cellStyle name="표준 6 2 2 12 4 3" xfId="33905"/>
    <cellStyle name="표준 6 2 2 12 5" xfId="14889"/>
    <cellStyle name="표준 6 2 2 12 5 2" xfId="40241"/>
    <cellStyle name="표준 6 2 2 12 6" xfId="27569"/>
    <cellStyle name="표준 6 2 2 13" xfId="2216"/>
    <cellStyle name="표준 6 2 2 13 2" xfId="2217"/>
    <cellStyle name="표준 6 2 2 13 2 2" xfId="5361"/>
    <cellStyle name="표준 6 2 2 13 2 2 2" xfId="11697"/>
    <cellStyle name="표준 6 2 2 13 2 2 2 2" xfId="24371"/>
    <cellStyle name="표준 6 2 2 13 2 2 2 2 2" xfId="49723"/>
    <cellStyle name="표준 6 2 2 13 2 2 2 3" xfId="37051"/>
    <cellStyle name="표준 6 2 2 13 2 2 3" xfId="18035"/>
    <cellStyle name="표준 6 2 2 13 2 2 3 2" xfId="43387"/>
    <cellStyle name="표준 6 2 2 13 2 2 4" xfId="30715"/>
    <cellStyle name="표준 6 2 2 13 2 3" xfId="8554"/>
    <cellStyle name="표준 6 2 2 13 2 3 2" xfId="21228"/>
    <cellStyle name="표준 6 2 2 13 2 3 2 2" xfId="46580"/>
    <cellStyle name="표준 6 2 2 13 2 3 3" xfId="33908"/>
    <cellStyle name="표준 6 2 2 13 2 4" xfId="14892"/>
    <cellStyle name="표준 6 2 2 13 2 4 2" xfId="40244"/>
    <cellStyle name="표준 6 2 2 13 2 5" xfId="27572"/>
    <cellStyle name="표준 6 2 2 13 3" xfId="5362"/>
    <cellStyle name="표준 6 2 2 13 3 2" xfId="11698"/>
    <cellStyle name="표준 6 2 2 13 3 2 2" xfId="24372"/>
    <cellStyle name="표준 6 2 2 13 3 2 2 2" xfId="49724"/>
    <cellStyle name="표준 6 2 2 13 3 2 3" xfId="37052"/>
    <cellStyle name="표준 6 2 2 13 3 3" xfId="18036"/>
    <cellStyle name="표준 6 2 2 13 3 3 2" xfId="43388"/>
    <cellStyle name="표준 6 2 2 13 3 4" xfId="30716"/>
    <cellStyle name="표준 6 2 2 13 4" xfId="8553"/>
    <cellStyle name="표준 6 2 2 13 4 2" xfId="21227"/>
    <cellStyle name="표준 6 2 2 13 4 2 2" xfId="46579"/>
    <cellStyle name="표준 6 2 2 13 4 3" xfId="33907"/>
    <cellStyle name="표준 6 2 2 13 5" xfId="14891"/>
    <cellStyle name="표준 6 2 2 13 5 2" xfId="40243"/>
    <cellStyle name="표준 6 2 2 13 6" xfId="27571"/>
    <cellStyle name="표준 6 2 2 14" xfId="2218"/>
    <cellStyle name="표준 6 2 2 14 2" xfId="2219"/>
    <cellStyle name="표준 6 2 2 14 2 2" xfId="5363"/>
    <cellStyle name="표준 6 2 2 14 2 2 2" xfId="11699"/>
    <cellStyle name="표준 6 2 2 14 2 2 2 2" xfId="24373"/>
    <cellStyle name="표준 6 2 2 14 2 2 2 2 2" xfId="49725"/>
    <cellStyle name="표준 6 2 2 14 2 2 2 3" xfId="37053"/>
    <cellStyle name="표준 6 2 2 14 2 2 3" xfId="18037"/>
    <cellStyle name="표준 6 2 2 14 2 2 3 2" xfId="43389"/>
    <cellStyle name="표준 6 2 2 14 2 2 4" xfId="30717"/>
    <cellStyle name="표준 6 2 2 14 2 3" xfId="8556"/>
    <cellStyle name="표준 6 2 2 14 2 3 2" xfId="21230"/>
    <cellStyle name="표준 6 2 2 14 2 3 2 2" xfId="46582"/>
    <cellStyle name="표준 6 2 2 14 2 3 3" xfId="33910"/>
    <cellStyle name="표준 6 2 2 14 2 4" xfId="14894"/>
    <cellStyle name="표준 6 2 2 14 2 4 2" xfId="40246"/>
    <cellStyle name="표준 6 2 2 14 2 5" xfId="27574"/>
    <cellStyle name="표준 6 2 2 14 3" xfId="5364"/>
    <cellStyle name="표준 6 2 2 14 3 2" xfId="11700"/>
    <cellStyle name="표준 6 2 2 14 3 2 2" xfId="24374"/>
    <cellStyle name="표준 6 2 2 14 3 2 2 2" xfId="49726"/>
    <cellStyle name="표준 6 2 2 14 3 2 3" xfId="37054"/>
    <cellStyle name="표준 6 2 2 14 3 3" xfId="18038"/>
    <cellStyle name="표준 6 2 2 14 3 3 2" xfId="43390"/>
    <cellStyle name="표준 6 2 2 14 3 4" xfId="30718"/>
    <cellStyle name="표준 6 2 2 14 4" xfId="8555"/>
    <cellStyle name="표준 6 2 2 14 4 2" xfId="21229"/>
    <cellStyle name="표준 6 2 2 14 4 2 2" xfId="46581"/>
    <cellStyle name="표준 6 2 2 14 4 3" xfId="33909"/>
    <cellStyle name="표준 6 2 2 14 5" xfId="14893"/>
    <cellStyle name="표준 6 2 2 14 5 2" xfId="40245"/>
    <cellStyle name="표준 6 2 2 14 6" xfId="27573"/>
    <cellStyle name="표준 6 2 2 15" xfId="2220"/>
    <cellStyle name="표준 6 2 2 15 2" xfId="2221"/>
    <cellStyle name="표준 6 2 2 15 2 2" xfId="5365"/>
    <cellStyle name="표준 6 2 2 15 2 2 2" xfId="11701"/>
    <cellStyle name="표준 6 2 2 15 2 2 2 2" xfId="24375"/>
    <cellStyle name="표준 6 2 2 15 2 2 2 2 2" xfId="49727"/>
    <cellStyle name="표준 6 2 2 15 2 2 2 3" xfId="37055"/>
    <cellStyle name="표준 6 2 2 15 2 2 3" xfId="18039"/>
    <cellStyle name="표준 6 2 2 15 2 2 3 2" xfId="43391"/>
    <cellStyle name="표준 6 2 2 15 2 2 4" xfId="30719"/>
    <cellStyle name="표준 6 2 2 15 2 3" xfId="8558"/>
    <cellStyle name="표준 6 2 2 15 2 3 2" xfId="21232"/>
    <cellStyle name="표준 6 2 2 15 2 3 2 2" xfId="46584"/>
    <cellStyle name="표준 6 2 2 15 2 3 3" xfId="33912"/>
    <cellStyle name="표준 6 2 2 15 2 4" xfId="14896"/>
    <cellStyle name="표준 6 2 2 15 2 4 2" xfId="40248"/>
    <cellStyle name="표준 6 2 2 15 2 5" xfId="27576"/>
    <cellStyle name="표준 6 2 2 15 3" xfId="5366"/>
    <cellStyle name="표준 6 2 2 15 3 2" xfId="11702"/>
    <cellStyle name="표준 6 2 2 15 3 2 2" xfId="24376"/>
    <cellStyle name="표준 6 2 2 15 3 2 2 2" xfId="49728"/>
    <cellStyle name="표준 6 2 2 15 3 2 3" xfId="37056"/>
    <cellStyle name="표준 6 2 2 15 3 3" xfId="18040"/>
    <cellStyle name="표준 6 2 2 15 3 3 2" xfId="43392"/>
    <cellStyle name="표준 6 2 2 15 3 4" xfId="30720"/>
    <cellStyle name="표준 6 2 2 15 4" xfId="8557"/>
    <cellStyle name="표준 6 2 2 15 4 2" xfId="21231"/>
    <cellStyle name="표준 6 2 2 15 4 2 2" xfId="46583"/>
    <cellStyle name="표준 6 2 2 15 4 3" xfId="33911"/>
    <cellStyle name="표준 6 2 2 15 5" xfId="14895"/>
    <cellStyle name="표준 6 2 2 15 5 2" xfId="40247"/>
    <cellStyle name="표준 6 2 2 15 6" xfId="27575"/>
    <cellStyle name="표준 6 2 2 16" xfId="2222"/>
    <cellStyle name="표준 6 2 2 16 2" xfId="2223"/>
    <cellStyle name="표준 6 2 2 16 2 2" xfId="5367"/>
    <cellStyle name="표준 6 2 2 16 2 2 2" xfId="11703"/>
    <cellStyle name="표준 6 2 2 16 2 2 2 2" xfId="24377"/>
    <cellStyle name="표준 6 2 2 16 2 2 2 2 2" xfId="49729"/>
    <cellStyle name="표준 6 2 2 16 2 2 2 3" xfId="37057"/>
    <cellStyle name="표준 6 2 2 16 2 2 3" xfId="18041"/>
    <cellStyle name="표준 6 2 2 16 2 2 3 2" xfId="43393"/>
    <cellStyle name="표준 6 2 2 16 2 2 4" xfId="30721"/>
    <cellStyle name="표준 6 2 2 16 2 3" xfId="8560"/>
    <cellStyle name="표준 6 2 2 16 2 3 2" xfId="21234"/>
    <cellStyle name="표준 6 2 2 16 2 3 2 2" xfId="46586"/>
    <cellStyle name="표준 6 2 2 16 2 3 3" xfId="33914"/>
    <cellStyle name="표준 6 2 2 16 2 4" xfId="14898"/>
    <cellStyle name="표준 6 2 2 16 2 4 2" xfId="40250"/>
    <cellStyle name="표준 6 2 2 16 2 5" xfId="27578"/>
    <cellStyle name="표준 6 2 2 16 3" xfId="5368"/>
    <cellStyle name="표준 6 2 2 16 3 2" xfId="11704"/>
    <cellStyle name="표준 6 2 2 16 3 2 2" xfId="24378"/>
    <cellStyle name="표준 6 2 2 16 3 2 2 2" xfId="49730"/>
    <cellStyle name="표준 6 2 2 16 3 2 3" xfId="37058"/>
    <cellStyle name="표준 6 2 2 16 3 3" xfId="18042"/>
    <cellStyle name="표준 6 2 2 16 3 3 2" xfId="43394"/>
    <cellStyle name="표준 6 2 2 16 3 4" xfId="30722"/>
    <cellStyle name="표준 6 2 2 16 4" xfId="8559"/>
    <cellStyle name="표준 6 2 2 16 4 2" xfId="21233"/>
    <cellStyle name="표준 6 2 2 16 4 2 2" xfId="46585"/>
    <cellStyle name="표준 6 2 2 16 4 3" xfId="33913"/>
    <cellStyle name="표준 6 2 2 16 5" xfId="14897"/>
    <cellStyle name="표준 6 2 2 16 5 2" xfId="40249"/>
    <cellStyle name="표준 6 2 2 16 6" xfId="27577"/>
    <cellStyle name="표준 6 2 2 17" xfId="2224"/>
    <cellStyle name="표준 6 2 2 17 2" xfId="2225"/>
    <cellStyle name="표준 6 2 2 17 2 2" xfId="5369"/>
    <cellStyle name="표준 6 2 2 17 2 2 2" xfId="11705"/>
    <cellStyle name="표준 6 2 2 17 2 2 2 2" xfId="24379"/>
    <cellStyle name="표준 6 2 2 17 2 2 2 2 2" xfId="49731"/>
    <cellStyle name="표준 6 2 2 17 2 2 2 3" xfId="37059"/>
    <cellStyle name="표준 6 2 2 17 2 2 3" xfId="18043"/>
    <cellStyle name="표준 6 2 2 17 2 2 3 2" xfId="43395"/>
    <cellStyle name="표준 6 2 2 17 2 2 4" xfId="30723"/>
    <cellStyle name="표준 6 2 2 17 2 3" xfId="8562"/>
    <cellStyle name="표준 6 2 2 17 2 3 2" xfId="21236"/>
    <cellStyle name="표준 6 2 2 17 2 3 2 2" xfId="46588"/>
    <cellStyle name="표준 6 2 2 17 2 3 3" xfId="33916"/>
    <cellStyle name="표준 6 2 2 17 2 4" xfId="14900"/>
    <cellStyle name="표준 6 2 2 17 2 4 2" xfId="40252"/>
    <cellStyle name="표준 6 2 2 17 2 5" xfId="27580"/>
    <cellStyle name="표준 6 2 2 17 3" xfId="5370"/>
    <cellStyle name="표준 6 2 2 17 3 2" xfId="11706"/>
    <cellStyle name="표준 6 2 2 17 3 2 2" xfId="24380"/>
    <cellStyle name="표준 6 2 2 17 3 2 2 2" xfId="49732"/>
    <cellStyle name="표준 6 2 2 17 3 2 3" xfId="37060"/>
    <cellStyle name="표준 6 2 2 17 3 3" xfId="18044"/>
    <cellStyle name="표준 6 2 2 17 3 3 2" xfId="43396"/>
    <cellStyle name="표준 6 2 2 17 3 4" xfId="30724"/>
    <cellStyle name="표준 6 2 2 17 4" xfId="8561"/>
    <cellStyle name="표준 6 2 2 17 4 2" xfId="21235"/>
    <cellStyle name="표준 6 2 2 17 4 2 2" xfId="46587"/>
    <cellStyle name="표준 6 2 2 17 4 3" xfId="33915"/>
    <cellStyle name="표준 6 2 2 17 5" xfId="14899"/>
    <cellStyle name="표준 6 2 2 17 5 2" xfId="40251"/>
    <cellStyle name="표준 6 2 2 17 6" xfId="27579"/>
    <cellStyle name="표준 6 2 2 18" xfId="2226"/>
    <cellStyle name="표준 6 2 2 18 2" xfId="2227"/>
    <cellStyle name="표준 6 2 2 18 2 2" xfId="5371"/>
    <cellStyle name="표준 6 2 2 18 2 2 2" xfId="11707"/>
    <cellStyle name="표준 6 2 2 18 2 2 2 2" xfId="24381"/>
    <cellStyle name="표준 6 2 2 18 2 2 2 2 2" xfId="49733"/>
    <cellStyle name="표준 6 2 2 18 2 2 2 3" xfId="37061"/>
    <cellStyle name="표준 6 2 2 18 2 2 3" xfId="18045"/>
    <cellStyle name="표준 6 2 2 18 2 2 3 2" xfId="43397"/>
    <cellStyle name="표준 6 2 2 18 2 2 4" xfId="30725"/>
    <cellStyle name="표준 6 2 2 18 2 3" xfId="8564"/>
    <cellStyle name="표준 6 2 2 18 2 3 2" xfId="21238"/>
    <cellStyle name="표준 6 2 2 18 2 3 2 2" xfId="46590"/>
    <cellStyle name="표준 6 2 2 18 2 3 3" xfId="33918"/>
    <cellStyle name="표준 6 2 2 18 2 4" xfId="14902"/>
    <cellStyle name="표준 6 2 2 18 2 4 2" xfId="40254"/>
    <cellStyle name="표준 6 2 2 18 2 5" xfId="27582"/>
    <cellStyle name="표준 6 2 2 18 3" xfId="5372"/>
    <cellStyle name="표준 6 2 2 18 3 2" xfId="11708"/>
    <cellStyle name="표준 6 2 2 18 3 2 2" xfId="24382"/>
    <cellStyle name="표준 6 2 2 18 3 2 2 2" xfId="49734"/>
    <cellStyle name="표준 6 2 2 18 3 2 3" xfId="37062"/>
    <cellStyle name="표준 6 2 2 18 3 3" xfId="18046"/>
    <cellStyle name="표준 6 2 2 18 3 3 2" xfId="43398"/>
    <cellStyle name="표준 6 2 2 18 3 4" xfId="30726"/>
    <cellStyle name="표준 6 2 2 18 4" xfId="8563"/>
    <cellStyle name="표준 6 2 2 18 4 2" xfId="21237"/>
    <cellStyle name="표준 6 2 2 18 4 2 2" xfId="46589"/>
    <cellStyle name="표준 6 2 2 18 4 3" xfId="33917"/>
    <cellStyle name="표준 6 2 2 18 5" xfId="14901"/>
    <cellStyle name="표준 6 2 2 18 5 2" xfId="40253"/>
    <cellStyle name="표준 6 2 2 18 6" xfId="27581"/>
    <cellStyle name="표준 6 2 2 19" xfId="2228"/>
    <cellStyle name="표준 6 2 2 19 2" xfId="2229"/>
    <cellStyle name="표준 6 2 2 19 2 2" xfId="5373"/>
    <cellStyle name="표준 6 2 2 19 2 2 2" xfId="11709"/>
    <cellStyle name="표준 6 2 2 19 2 2 2 2" xfId="24383"/>
    <cellStyle name="표준 6 2 2 19 2 2 2 2 2" xfId="49735"/>
    <cellStyle name="표준 6 2 2 19 2 2 2 3" xfId="37063"/>
    <cellStyle name="표준 6 2 2 19 2 2 3" xfId="18047"/>
    <cellStyle name="표준 6 2 2 19 2 2 3 2" xfId="43399"/>
    <cellStyle name="표준 6 2 2 19 2 2 4" xfId="30727"/>
    <cellStyle name="표준 6 2 2 19 2 3" xfId="8566"/>
    <cellStyle name="표준 6 2 2 19 2 3 2" xfId="21240"/>
    <cellStyle name="표준 6 2 2 19 2 3 2 2" xfId="46592"/>
    <cellStyle name="표준 6 2 2 19 2 3 3" xfId="33920"/>
    <cellStyle name="표준 6 2 2 19 2 4" xfId="14904"/>
    <cellStyle name="표준 6 2 2 19 2 4 2" xfId="40256"/>
    <cellStyle name="표준 6 2 2 19 2 5" xfId="27584"/>
    <cellStyle name="표준 6 2 2 19 3" xfId="5374"/>
    <cellStyle name="표준 6 2 2 19 3 2" xfId="11710"/>
    <cellStyle name="표준 6 2 2 19 3 2 2" xfId="24384"/>
    <cellStyle name="표준 6 2 2 19 3 2 2 2" xfId="49736"/>
    <cellStyle name="표준 6 2 2 19 3 2 3" xfId="37064"/>
    <cellStyle name="표준 6 2 2 19 3 3" xfId="18048"/>
    <cellStyle name="표준 6 2 2 19 3 3 2" xfId="43400"/>
    <cellStyle name="표준 6 2 2 19 3 4" xfId="30728"/>
    <cellStyle name="표준 6 2 2 19 4" xfId="8565"/>
    <cellStyle name="표준 6 2 2 19 4 2" xfId="21239"/>
    <cellStyle name="표준 6 2 2 19 4 2 2" xfId="46591"/>
    <cellStyle name="표준 6 2 2 19 4 3" xfId="33919"/>
    <cellStyle name="표준 6 2 2 19 5" xfId="14903"/>
    <cellStyle name="표준 6 2 2 19 5 2" xfId="40255"/>
    <cellStyle name="표준 6 2 2 19 6" xfId="27583"/>
    <cellStyle name="표준 6 2 2 2" xfId="34"/>
    <cellStyle name="표준 6 2 2 2 10" xfId="2230"/>
    <cellStyle name="표준 6 2 2 2 10 2" xfId="2231"/>
    <cellStyle name="표준 6 2 2 2 10 2 2" xfId="5375"/>
    <cellStyle name="표준 6 2 2 2 10 2 2 2" xfId="11711"/>
    <cellStyle name="표준 6 2 2 2 10 2 2 2 2" xfId="24385"/>
    <cellStyle name="표준 6 2 2 2 10 2 2 2 2 2" xfId="49737"/>
    <cellStyle name="표준 6 2 2 2 10 2 2 2 3" xfId="37065"/>
    <cellStyle name="표준 6 2 2 2 10 2 2 3" xfId="18049"/>
    <cellStyle name="표준 6 2 2 2 10 2 2 3 2" xfId="43401"/>
    <cellStyle name="표준 6 2 2 2 10 2 2 4" xfId="30729"/>
    <cellStyle name="표준 6 2 2 2 10 2 3" xfId="8568"/>
    <cellStyle name="표준 6 2 2 2 10 2 3 2" xfId="21242"/>
    <cellStyle name="표준 6 2 2 2 10 2 3 2 2" xfId="46594"/>
    <cellStyle name="표준 6 2 2 2 10 2 3 3" xfId="33922"/>
    <cellStyle name="표준 6 2 2 2 10 2 4" xfId="14906"/>
    <cellStyle name="표준 6 2 2 2 10 2 4 2" xfId="40258"/>
    <cellStyle name="표준 6 2 2 2 10 2 5" xfId="27586"/>
    <cellStyle name="표준 6 2 2 2 10 3" xfId="5376"/>
    <cellStyle name="표준 6 2 2 2 10 3 2" xfId="11712"/>
    <cellStyle name="표준 6 2 2 2 10 3 2 2" xfId="24386"/>
    <cellStyle name="표준 6 2 2 2 10 3 2 2 2" xfId="49738"/>
    <cellStyle name="표준 6 2 2 2 10 3 2 3" xfId="37066"/>
    <cellStyle name="표준 6 2 2 2 10 3 3" xfId="18050"/>
    <cellStyle name="표준 6 2 2 2 10 3 3 2" xfId="43402"/>
    <cellStyle name="표준 6 2 2 2 10 3 4" xfId="30730"/>
    <cellStyle name="표준 6 2 2 2 10 4" xfId="8567"/>
    <cellStyle name="표준 6 2 2 2 10 4 2" xfId="21241"/>
    <cellStyle name="표준 6 2 2 2 10 4 2 2" xfId="46593"/>
    <cellStyle name="표준 6 2 2 2 10 4 3" xfId="33921"/>
    <cellStyle name="표준 6 2 2 2 10 5" xfId="14905"/>
    <cellStyle name="표준 6 2 2 2 10 5 2" xfId="40257"/>
    <cellStyle name="표준 6 2 2 2 10 6" xfId="27585"/>
    <cellStyle name="표준 6 2 2 2 11" xfId="2232"/>
    <cellStyle name="표준 6 2 2 2 11 2" xfId="2233"/>
    <cellStyle name="표준 6 2 2 2 11 2 2" xfId="5377"/>
    <cellStyle name="표준 6 2 2 2 11 2 2 2" xfId="11713"/>
    <cellStyle name="표준 6 2 2 2 11 2 2 2 2" xfId="24387"/>
    <cellStyle name="표준 6 2 2 2 11 2 2 2 2 2" xfId="49739"/>
    <cellStyle name="표준 6 2 2 2 11 2 2 2 3" xfId="37067"/>
    <cellStyle name="표준 6 2 2 2 11 2 2 3" xfId="18051"/>
    <cellStyle name="표준 6 2 2 2 11 2 2 3 2" xfId="43403"/>
    <cellStyle name="표준 6 2 2 2 11 2 2 4" xfId="30731"/>
    <cellStyle name="표준 6 2 2 2 11 2 3" xfId="8570"/>
    <cellStyle name="표준 6 2 2 2 11 2 3 2" xfId="21244"/>
    <cellStyle name="표준 6 2 2 2 11 2 3 2 2" xfId="46596"/>
    <cellStyle name="표준 6 2 2 2 11 2 3 3" xfId="33924"/>
    <cellStyle name="표준 6 2 2 2 11 2 4" xfId="14908"/>
    <cellStyle name="표준 6 2 2 2 11 2 4 2" xfId="40260"/>
    <cellStyle name="표준 6 2 2 2 11 2 5" xfId="27588"/>
    <cellStyle name="표준 6 2 2 2 11 3" xfId="5378"/>
    <cellStyle name="표준 6 2 2 2 11 3 2" xfId="11714"/>
    <cellStyle name="표준 6 2 2 2 11 3 2 2" xfId="24388"/>
    <cellStyle name="표준 6 2 2 2 11 3 2 2 2" xfId="49740"/>
    <cellStyle name="표준 6 2 2 2 11 3 2 3" xfId="37068"/>
    <cellStyle name="표준 6 2 2 2 11 3 3" xfId="18052"/>
    <cellStyle name="표준 6 2 2 2 11 3 3 2" xfId="43404"/>
    <cellStyle name="표준 6 2 2 2 11 3 4" xfId="30732"/>
    <cellStyle name="표준 6 2 2 2 11 4" xfId="8569"/>
    <cellStyle name="표준 6 2 2 2 11 4 2" xfId="21243"/>
    <cellStyle name="표준 6 2 2 2 11 4 2 2" xfId="46595"/>
    <cellStyle name="표준 6 2 2 2 11 4 3" xfId="33923"/>
    <cellStyle name="표준 6 2 2 2 11 5" xfId="14907"/>
    <cellStyle name="표준 6 2 2 2 11 5 2" xfId="40259"/>
    <cellStyle name="표준 6 2 2 2 11 6" xfId="27587"/>
    <cellStyle name="표준 6 2 2 2 12" xfId="2234"/>
    <cellStyle name="표준 6 2 2 2 12 2" xfId="2235"/>
    <cellStyle name="표준 6 2 2 2 12 2 2" xfId="5379"/>
    <cellStyle name="표준 6 2 2 2 12 2 2 2" xfId="11715"/>
    <cellStyle name="표준 6 2 2 2 12 2 2 2 2" xfId="24389"/>
    <cellStyle name="표준 6 2 2 2 12 2 2 2 2 2" xfId="49741"/>
    <cellStyle name="표준 6 2 2 2 12 2 2 2 3" xfId="37069"/>
    <cellStyle name="표준 6 2 2 2 12 2 2 3" xfId="18053"/>
    <cellStyle name="표준 6 2 2 2 12 2 2 3 2" xfId="43405"/>
    <cellStyle name="표준 6 2 2 2 12 2 2 4" xfId="30733"/>
    <cellStyle name="표준 6 2 2 2 12 2 3" xfId="8572"/>
    <cellStyle name="표준 6 2 2 2 12 2 3 2" xfId="21246"/>
    <cellStyle name="표준 6 2 2 2 12 2 3 2 2" xfId="46598"/>
    <cellStyle name="표준 6 2 2 2 12 2 3 3" xfId="33926"/>
    <cellStyle name="표준 6 2 2 2 12 2 4" xfId="14910"/>
    <cellStyle name="표준 6 2 2 2 12 2 4 2" xfId="40262"/>
    <cellStyle name="표준 6 2 2 2 12 2 5" xfId="27590"/>
    <cellStyle name="표준 6 2 2 2 12 3" xfId="5380"/>
    <cellStyle name="표준 6 2 2 2 12 3 2" xfId="11716"/>
    <cellStyle name="표준 6 2 2 2 12 3 2 2" xfId="24390"/>
    <cellStyle name="표준 6 2 2 2 12 3 2 2 2" xfId="49742"/>
    <cellStyle name="표준 6 2 2 2 12 3 2 3" xfId="37070"/>
    <cellStyle name="표준 6 2 2 2 12 3 3" xfId="18054"/>
    <cellStyle name="표준 6 2 2 2 12 3 3 2" xfId="43406"/>
    <cellStyle name="표준 6 2 2 2 12 3 4" xfId="30734"/>
    <cellStyle name="표준 6 2 2 2 12 4" xfId="8571"/>
    <cellStyle name="표준 6 2 2 2 12 4 2" xfId="21245"/>
    <cellStyle name="표준 6 2 2 2 12 4 2 2" xfId="46597"/>
    <cellStyle name="표준 6 2 2 2 12 4 3" xfId="33925"/>
    <cellStyle name="표준 6 2 2 2 12 5" xfId="14909"/>
    <cellStyle name="표준 6 2 2 2 12 5 2" xfId="40261"/>
    <cellStyle name="표준 6 2 2 2 12 6" xfId="27589"/>
    <cellStyle name="표준 6 2 2 2 13" xfId="2236"/>
    <cellStyle name="표준 6 2 2 2 13 2" xfId="2237"/>
    <cellStyle name="표준 6 2 2 2 13 2 2" xfId="5381"/>
    <cellStyle name="표준 6 2 2 2 13 2 2 2" xfId="11717"/>
    <cellStyle name="표준 6 2 2 2 13 2 2 2 2" xfId="24391"/>
    <cellStyle name="표준 6 2 2 2 13 2 2 2 2 2" xfId="49743"/>
    <cellStyle name="표준 6 2 2 2 13 2 2 2 3" xfId="37071"/>
    <cellStyle name="표준 6 2 2 2 13 2 2 3" xfId="18055"/>
    <cellStyle name="표준 6 2 2 2 13 2 2 3 2" xfId="43407"/>
    <cellStyle name="표준 6 2 2 2 13 2 2 4" xfId="30735"/>
    <cellStyle name="표준 6 2 2 2 13 2 3" xfId="8574"/>
    <cellStyle name="표준 6 2 2 2 13 2 3 2" xfId="21248"/>
    <cellStyle name="표준 6 2 2 2 13 2 3 2 2" xfId="46600"/>
    <cellStyle name="표준 6 2 2 2 13 2 3 3" xfId="33928"/>
    <cellStyle name="표준 6 2 2 2 13 2 4" xfId="14912"/>
    <cellStyle name="표준 6 2 2 2 13 2 4 2" xfId="40264"/>
    <cellStyle name="표준 6 2 2 2 13 2 5" xfId="27592"/>
    <cellStyle name="표준 6 2 2 2 13 3" xfId="5382"/>
    <cellStyle name="표준 6 2 2 2 13 3 2" xfId="11718"/>
    <cellStyle name="표준 6 2 2 2 13 3 2 2" xfId="24392"/>
    <cellStyle name="표준 6 2 2 2 13 3 2 2 2" xfId="49744"/>
    <cellStyle name="표준 6 2 2 2 13 3 2 3" xfId="37072"/>
    <cellStyle name="표준 6 2 2 2 13 3 3" xfId="18056"/>
    <cellStyle name="표준 6 2 2 2 13 3 3 2" xfId="43408"/>
    <cellStyle name="표준 6 2 2 2 13 3 4" xfId="30736"/>
    <cellStyle name="표준 6 2 2 2 13 4" xfId="8573"/>
    <cellStyle name="표준 6 2 2 2 13 4 2" xfId="21247"/>
    <cellStyle name="표준 6 2 2 2 13 4 2 2" xfId="46599"/>
    <cellStyle name="표준 6 2 2 2 13 4 3" xfId="33927"/>
    <cellStyle name="표준 6 2 2 2 13 5" xfId="14911"/>
    <cellStyle name="표준 6 2 2 2 13 5 2" xfId="40263"/>
    <cellStyle name="표준 6 2 2 2 13 6" xfId="27591"/>
    <cellStyle name="표준 6 2 2 2 14" xfId="2238"/>
    <cellStyle name="표준 6 2 2 2 14 2" xfId="2239"/>
    <cellStyle name="표준 6 2 2 2 14 2 2" xfId="5383"/>
    <cellStyle name="표준 6 2 2 2 14 2 2 2" xfId="11719"/>
    <cellStyle name="표준 6 2 2 2 14 2 2 2 2" xfId="24393"/>
    <cellStyle name="표준 6 2 2 2 14 2 2 2 2 2" xfId="49745"/>
    <cellStyle name="표준 6 2 2 2 14 2 2 2 3" xfId="37073"/>
    <cellStyle name="표준 6 2 2 2 14 2 2 3" xfId="18057"/>
    <cellStyle name="표준 6 2 2 2 14 2 2 3 2" xfId="43409"/>
    <cellStyle name="표준 6 2 2 2 14 2 2 4" xfId="30737"/>
    <cellStyle name="표준 6 2 2 2 14 2 3" xfId="8576"/>
    <cellStyle name="표준 6 2 2 2 14 2 3 2" xfId="21250"/>
    <cellStyle name="표준 6 2 2 2 14 2 3 2 2" xfId="46602"/>
    <cellStyle name="표준 6 2 2 2 14 2 3 3" xfId="33930"/>
    <cellStyle name="표준 6 2 2 2 14 2 4" xfId="14914"/>
    <cellStyle name="표준 6 2 2 2 14 2 4 2" xfId="40266"/>
    <cellStyle name="표준 6 2 2 2 14 2 5" xfId="27594"/>
    <cellStyle name="표준 6 2 2 2 14 3" xfId="5384"/>
    <cellStyle name="표준 6 2 2 2 14 3 2" xfId="11720"/>
    <cellStyle name="표준 6 2 2 2 14 3 2 2" xfId="24394"/>
    <cellStyle name="표준 6 2 2 2 14 3 2 2 2" xfId="49746"/>
    <cellStyle name="표준 6 2 2 2 14 3 2 3" xfId="37074"/>
    <cellStyle name="표준 6 2 2 2 14 3 3" xfId="18058"/>
    <cellStyle name="표준 6 2 2 2 14 3 3 2" xfId="43410"/>
    <cellStyle name="표준 6 2 2 2 14 3 4" xfId="30738"/>
    <cellStyle name="표준 6 2 2 2 14 4" xfId="8575"/>
    <cellStyle name="표준 6 2 2 2 14 4 2" xfId="21249"/>
    <cellStyle name="표준 6 2 2 2 14 4 2 2" xfId="46601"/>
    <cellStyle name="표준 6 2 2 2 14 4 3" xfId="33929"/>
    <cellStyle name="표준 6 2 2 2 14 5" xfId="14913"/>
    <cellStyle name="표준 6 2 2 2 14 5 2" xfId="40265"/>
    <cellStyle name="표준 6 2 2 2 14 6" xfId="27593"/>
    <cellStyle name="표준 6 2 2 2 15" xfId="2240"/>
    <cellStyle name="표준 6 2 2 2 15 2" xfId="2241"/>
    <cellStyle name="표준 6 2 2 2 15 2 2" xfId="5385"/>
    <cellStyle name="표준 6 2 2 2 15 2 2 2" xfId="11721"/>
    <cellStyle name="표준 6 2 2 2 15 2 2 2 2" xfId="24395"/>
    <cellStyle name="표준 6 2 2 2 15 2 2 2 2 2" xfId="49747"/>
    <cellStyle name="표준 6 2 2 2 15 2 2 2 3" xfId="37075"/>
    <cellStyle name="표준 6 2 2 2 15 2 2 3" xfId="18059"/>
    <cellStyle name="표준 6 2 2 2 15 2 2 3 2" xfId="43411"/>
    <cellStyle name="표준 6 2 2 2 15 2 2 4" xfId="30739"/>
    <cellStyle name="표준 6 2 2 2 15 2 3" xfId="8578"/>
    <cellStyle name="표준 6 2 2 2 15 2 3 2" xfId="21252"/>
    <cellStyle name="표준 6 2 2 2 15 2 3 2 2" xfId="46604"/>
    <cellStyle name="표준 6 2 2 2 15 2 3 3" xfId="33932"/>
    <cellStyle name="표준 6 2 2 2 15 2 4" xfId="14916"/>
    <cellStyle name="표준 6 2 2 2 15 2 4 2" xfId="40268"/>
    <cellStyle name="표준 6 2 2 2 15 2 5" xfId="27596"/>
    <cellStyle name="표준 6 2 2 2 15 3" xfId="5386"/>
    <cellStyle name="표준 6 2 2 2 15 3 2" xfId="11722"/>
    <cellStyle name="표준 6 2 2 2 15 3 2 2" xfId="24396"/>
    <cellStyle name="표준 6 2 2 2 15 3 2 2 2" xfId="49748"/>
    <cellStyle name="표준 6 2 2 2 15 3 2 3" xfId="37076"/>
    <cellStyle name="표준 6 2 2 2 15 3 3" xfId="18060"/>
    <cellStyle name="표준 6 2 2 2 15 3 3 2" xfId="43412"/>
    <cellStyle name="표준 6 2 2 2 15 3 4" xfId="30740"/>
    <cellStyle name="표준 6 2 2 2 15 4" xfId="8577"/>
    <cellStyle name="표준 6 2 2 2 15 4 2" xfId="21251"/>
    <cellStyle name="표준 6 2 2 2 15 4 2 2" xfId="46603"/>
    <cellStyle name="표준 6 2 2 2 15 4 3" xfId="33931"/>
    <cellStyle name="표준 6 2 2 2 15 5" xfId="14915"/>
    <cellStyle name="표준 6 2 2 2 15 5 2" xfId="40267"/>
    <cellStyle name="표준 6 2 2 2 15 6" xfId="27595"/>
    <cellStyle name="표준 6 2 2 2 16" xfId="2242"/>
    <cellStyle name="표준 6 2 2 2 16 2" xfId="2243"/>
    <cellStyle name="표준 6 2 2 2 16 2 2" xfId="5387"/>
    <cellStyle name="표준 6 2 2 2 16 2 2 2" xfId="11723"/>
    <cellStyle name="표준 6 2 2 2 16 2 2 2 2" xfId="24397"/>
    <cellStyle name="표준 6 2 2 2 16 2 2 2 2 2" xfId="49749"/>
    <cellStyle name="표준 6 2 2 2 16 2 2 2 3" xfId="37077"/>
    <cellStyle name="표준 6 2 2 2 16 2 2 3" xfId="18061"/>
    <cellStyle name="표준 6 2 2 2 16 2 2 3 2" xfId="43413"/>
    <cellStyle name="표준 6 2 2 2 16 2 2 4" xfId="30741"/>
    <cellStyle name="표준 6 2 2 2 16 2 3" xfId="8580"/>
    <cellStyle name="표준 6 2 2 2 16 2 3 2" xfId="21254"/>
    <cellStyle name="표준 6 2 2 2 16 2 3 2 2" xfId="46606"/>
    <cellStyle name="표준 6 2 2 2 16 2 3 3" xfId="33934"/>
    <cellStyle name="표준 6 2 2 2 16 2 4" xfId="14918"/>
    <cellStyle name="표준 6 2 2 2 16 2 4 2" xfId="40270"/>
    <cellStyle name="표준 6 2 2 2 16 2 5" xfId="27598"/>
    <cellStyle name="표준 6 2 2 2 16 3" xfId="5388"/>
    <cellStyle name="표준 6 2 2 2 16 3 2" xfId="11724"/>
    <cellStyle name="표준 6 2 2 2 16 3 2 2" xfId="24398"/>
    <cellStyle name="표준 6 2 2 2 16 3 2 2 2" xfId="49750"/>
    <cellStyle name="표준 6 2 2 2 16 3 2 3" xfId="37078"/>
    <cellStyle name="표준 6 2 2 2 16 3 3" xfId="18062"/>
    <cellStyle name="표준 6 2 2 2 16 3 3 2" xfId="43414"/>
    <cellStyle name="표준 6 2 2 2 16 3 4" xfId="30742"/>
    <cellStyle name="표준 6 2 2 2 16 4" xfId="8579"/>
    <cellStyle name="표준 6 2 2 2 16 4 2" xfId="21253"/>
    <cellStyle name="표준 6 2 2 2 16 4 2 2" xfId="46605"/>
    <cellStyle name="표준 6 2 2 2 16 4 3" xfId="33933"/>
    <cellStyle name="표준 6 2 2 2 16 5" xfId="14917"/>
    <cellStyle name="표준 6 2 2 2 16 5 2" xfId="40269"/>
    <cellStyle name="표준 6 2 2 2 16 6" xfId="27597"/>
    <cellStyle name="표준 6 2 2 2 17" xfId="2244"/>
    <cellStyle name="표준 6 2 2 2 17 2" xfId="2245"/>
    <cellStyle name="표준 6 2 2 2 17 2 2" xfId="5389"/>
    <cellStyle name="표준 6 2 2 2 17 2 2 2" xfId="11725"/>
    <cellStyle name="표준 6 2 2 2 17 2 2 2 2" xfId="24399"/>
    <cellStyle name="표준 6 2 2 2 17 2 2 2 2 2" xfId="49751"/>
    <cellStyle name="표준 6 2 2 2 17 2 2 2 3" xfId="37079"/>
    <cellStyle name="표준 6 2 2 2 17 2 2 3" xfId="18063"/>
    <cellStyle name="표준 6 2 2 2 17 2 2 3 2" xfId="43415"/>
    <cellStyle name="표준 6 2 2 2 17 2 2 4" xfId="30743"/>
    <cellStyle name="표준 6 2 2 2 17 2 3" xfId="8582"/>
    <cellStyle name="표준 6 2 2 2 17 2 3 2" xfId="21256"/>
    <cellStyle name="표준 6 2 2 2 17 2 3 2 2" xfId="46608"/>
    <cellStyle name="표준 6 2 2 2 17 2 3 3" xfId="33936"/>
    <cellStyle name="표준 6 2 2 2 17 2 4" xfId="14920"/>
    <cellStyle name="표준 6 2 2 2 17 2 4 2" xfId="40272"/>
    <cellStyle name="표준 6 2 2 2 17 2 5" xfId="27600"/>
    <cellStyle name="표준 6 2 2 2 17 3" xfId="5390"/>
    <cellStyle name="표준 6 2 2 2 17 3 2" xfId="11726"/>
    <cellStyle name="표준 6 2 2 2 17 3 2 2" xfId="24400"/>
    <cellStyle name="표준 6 2 2 2 17 3 2 2 2" xfId="49752"/>
    <cellStyle name="표준 6 2 2 2 17 3 2 3" xfId="37080"/>
    <cellStyle name="표준 6 2 2 2 17 3 3" xfId="18064"/>
    <cellStyle name="표준 6 2 2 2 17 3 3 2" xfId="43416"/>
    <cellStyle name="표준 6 2 2 2 17 3 4" xfId="30744"/>
    <cellStyle name="표준 6 2 2 2 17 4" xfId="8581"/>
    <cellStyle name="표준 6 2 2 2 17 4 2" xfId="21255"/>
    <cellStyle name="표준 6 2 2 2 17 4 2 2" xfId="46607"/>
    <cellStyle name="표준 6 2 2 2 17 4 3" xfId="33935"/>
    <cellStyle name="표준 6 2 2 2 17 5" xfId="14919"/>
    <cellStyle name="표준 6 2 2 2 17 5 2" xfId="40271"/>
    <cellStyle name="표준 6 2 2 2 17 6" xfId="27599"/>
    <cellStyle name="표준 6 2 2 2 18" xfId="2246"/>
    <cellStyle name="표준 6 2 2 2 18 2" xfId="2247"/>
    <cellStyle name="표준 6 2 2 2 18 2 2" xfId="5391"/>
    <cellStyle name="표준 6 2 2 2 18 2 2 2" xfId="11727"/>
    <cellStyle name="표준 6 2 2 2 18 2 2 2 2" xfId="24401"/>
    <cellStyle name="표준 6 2 2 2 18 2 2 2 2 2" xfId="49753"/>
    <cellStyle name="표준 6 2 2 2 18 2 2 2 3" xfId="37081"/>
    <cellStyle name="표준 6 2 2 2 18 2 2 3" xfId="18065"/>
    <cellStyle name="표준 6 2 2 2 18 2 2 3 2" xfId="43417"/>
    <cellStyle name="표준 6 2 2 2 18 2 2 4" xfId="30745"/>
    <cellStyle name="표준 6 2 2 2 18 2 3" xfId="8584"/>
    <cellStyle name="표준 6 2 2 2 18 2 3 2" xfId="21258"/>
    <cellStyle name="표준 6 2 2 2 18 2 3 2 2" xfId="46610"/>
    <cellStyle name="표준 6 2 2 2 18 2 3 3" xfId="33938"/>
    <cellStyle name="표준 6 2 2 2 18 2 4" xfId="14922"/>
    <cellStyle name="표준 6 2 2 2 18 2 4 2" xfId="40274"/>
    <cellStyle name="표준 6 2 2 2 18 2 5" xfId="27602"/>
    <cellStyle name="표준 6 2 2 2 18 3" xfId="5392"/>
    <cellStyle name="표준 6 2 2 2 18 3 2" xfId="11728"/>
    <cellStyle name="표준 6 2 2 2 18 3 2 2" xfId="24402"/>
    <cellStyle name="표준 6 2 2 2 18 3 2 2 2" xfId="49754"/>
    <cellStyle name="표준 6 2 2 2 18 3 2 3" xfId="37082"/>
    <cellStyle name="표준 6 2 2 2 18 3 3" xfId="18066"/>
    <cellStyle name="표준 6 2 2 2 18 3 3 2" xfId="43418"/>
    <cellStyle name="표준 6 2 2 2 18 3 4" xfId="30746"/>
    <cellStyle name="표준 6 2 2 2 18 4" xfId="8583"/>
    <cellStyle name="표준 6 2 2 2 18 4 2" xfId="21257"/>
    <cellStyle name="표준 6 2 2 2 18 4 2 2" xfId="46609"/>
    <cellStyle name="표준 6 2 2 2 18 4 3" xfId="33937"/>
    <cellStyle name="표준 6 2 2 2 18 5" xfId="14921"/>
    <cellStyle name="표준 6 2 2 2 18 5 2" xfId="40273"/>
    <cellStyle name="표준 6 2 2 2 18 6" xfId="27601"/>
    <cellStyle name="표준 6 2 2 2 19" xfId="2248"/>
    <cellStyle name="표준 6 2 2 2 19 2" xfId="2249"/>
    <cellStyle name="표준 6 2 2 2 19 2 2" xfId="5393"/>
    <cellStyle name="표준 6 2 2 2 19 2 2 2" xfId="11729"/>
    <cellStyle name="표준 6 2 2 2 19 2 2 2 2" xfId="24403"/>
    <cellStyle name="표준 6 2 2 2 19 2 2 2 2 2" xfId="49755"/>
    <cellStyle name="표준 6 2 2 2 19 2 2 2 3" xfId="37083"/>
    <cellStyle name="표준 6 2 2 2 19 2 2 3" xfId="18067"/>
    <cellStyle name="표준 6 2 2 2 19 2 2 3 2" xfId="43419"/>
    <cellStyle name="표준 6 2 2 2 19 2 2 4" xfId="30747"/>
    <cellStyle name="표준 6 2 2 2 19 2 3" xfId="8586"/>
    <cellStyle name="표준 6 2 2 2 19 2 3 2" xfId="21260"/>
    <cellStyle name="표준 6 2 2 2 19 2 3 2 2" xfId="46612"/>
    <cellStyle name="표준 6 2 2 2 19 2 3 3" xfId="33940"/>
    <cellStyle name="표준 6 2 2 2 19 2 4" xfId="14924"/>
    <cellStyle name="표준 6 2 2 2 19 2 4 2" xfId="40276"/>
    <cellStyle name="표준 6 2 2 2 19 2 5" xfId="27604"/>
    <cellStyle name="표준 6 2 2 2 19 3" xfId="5394"/>
    <cellStyle name="표준 6 2 2 2 19 3 2" xfId="11730"/>
    <cellStyle name="표준 6 2 2 2 19 3 2 2" xfId="24404"/>
    <cellStyle name="표준 6 2 2 2 19 3 2 2 2" xfId="49756"/>
    <cellStyle name="표준 6 2 2 2 19 3 2 3" xfId="37084"/>
    <cellStyle name="표준 6 2 2 2 19 3 3" xfId="18068"/>
    <cellStyle name="표준 6 2 2 2 19 3 3 2" xfId="43420"/>
    <cellStyle name="표준 6 2 2 2 19 3 4" xfId="30748"/>
    <cellStyle name="표준 6 2 2 2 19 4" xfId="8585"/>
    <cellStyle name="표준 6 2 2 2 19 4 2" xfId="21259"/>
    <cellStyle name="표준 6 2 2 2 19 4 2 2" xfId="46611"/>
    <cellStyle name="표준 6 2 2 2 19 4 3" xfId="33939"/>
    <cellStyle name="표준 6 2 2 2 19 5" xfId="14923"/>
    <cellStyle name="표준 6 2 2 2 19 5 2" xfId="40275"/>
    <cellStyle name="표준 6 2 2 2 19 6" xfId="27603"/>
    <cellStyle name="표준 6 2 2 2 2" xfId="89"/>
    <cellStyle name="표준 6 2 2 2 2 10" xfId="2250"/>
    <cellStyle name="표준 6 2 2 2 2 10 2" xfId="2251"/>
    <cellStyle name="표준 6 2 2 2 2 10 2 2" xfId="5395"/>
    <cellStyle name="표준 6 2 2 2 2 10 2 2 2" xfId="11731"/>
    <cellStyle name="표준 6 2 2 2 2 10 2 2 2 2" xfId="24405"/>
    <cellStyle name="표준 6 2 2 2 2 10 2 2 2 2 2" xfId="49757"/>
    <cellStyle name="표준 6 2 2 2 2 10 2 2 2 3" xfId="37085"/>
    <cellStyle name="표준 6 2 2 2 2 10 2 2 3" xfId="18069"/>
    <cellStyle name="표준 6 2 2 2 2 10 2 2 3 2" xfId="43421"/>
    <cellStyle name="표준 6 2 2 2 2 10 2 2 4" xfId="30749"/>
    <cellStyle name="표준 6 2 2 2 2 10 2 3" xfId="8588"/>
    <cellStyle name="표준 6 2 2 2 2 10 2 3 2" xfId="21262"/>
    <cellStyle name="표준 6 2 2 2 2 10 2 3 2 2" xfId="46614"/>
    <cellStyle name="표준 6 2 2 2 2 10 2 3 3" xfId="33942"/>
    <cellStyle name="표준 6 2 2 2 2 10 2 4" xfId="14926"/>
    <cellStyle name="표준 6 2 2 2 2 10 2 4 2" xfId="40278"/>
    <cellStyle name="표준 6 2 2 2 2 10 2 5" xfId="27606"/>
    <cellStyle name="표준 6 2 2 2 2 10 3" xfId="5396"/>
    <cellStyle name="표준 6 2 2 2 2 10 3 2" xfId="11732"/>
    <cellStyle name="표준 6 2 2 2 2 10 3 2 2" xfId="24406"/>
    <cellStyle name="표준 6 2 2 2 2 10 3 2 2 2" xfId="49758"/>
    <cellStyle name="표준 6 2 2 2 2 10 3 2 3" xfId="37086"/>
    <cellStyle name="표준 6 2 2 2 2 10 3 3" xfId="18070"/>
    <cellStyle name="표준 6 2 2 2 2 10 3 3 2" xfId="43422"/>
    <cellStyle name="표준 6 2 2 2 2 10 3 4" xfId="30750"/>
    <cellStyle name="표준 6 2 2 2 2 10 4" xfId="8587"/>
    <cellStyle name="표준 6 2 2 2 2 10 4 2" xfId="21261"/>
    <cellStyle name="표준 6 2 2 2 2 10 4 2 2" xfId="46613"/>
    <cellStyle name="표준 6 2 2 2 2 10 4 3" xfId="33941"/>
    <cellStyle name="표준 6 2 2 2 2 10 5" xfId="14925"/>
    <cellStyle name="표준 6 2 2 2 2 10 5 2" xfId="40277"/>
    <cellStyle name="표준 6 2 2 2 2 10 6" xfId="27605"/>
    <cellStyle name="표준 6 2 2 2 2 11" xfId="2252"/>
    <cellStyle name="표준 6 2 2 2 2 11 2" xfId="2253"/>
    <cellStyle name="표준 6 2 2 2 2 11 2 2" xfId="5397"/>
    <cellStyle name="표준 6 2 2 2 2 11 2 2 2" xfId="11733"/>
    <cellStyle name="표준 6 2 2 2 2 11 2 2 2 2" xfId="24407"/>
    <cellStyle name="표준 6 2 2 2 2 11 2 2 2 2 2" xfId="49759"/>
    <cellStyle name="표준 6 2 2 2 2 11 2 2 2 3" xfId="37087"/>
    <cellStyle name="표준 6 2 2 2 2 11 2 2 3" xfId="18071"/>
    <cellStyle name="표준 6 2 2 2 2 11 2 2 3 2" xfId="43423"/>
    <cellStyle name="표준 6 2 2 2 2 11 2 2 4" xfId="30751"/>
    <cellStyle name="표준 6 2 2 2 2 11 2 3" xfId="8590"/>
    <cellStyle name="표준 6 2 2 2 2 11 2 3 2" xfId="21264"/>
    <cellStyle name="표준 6 2 2 2 2 11 2 3 2 2" xfId="46616"/>
    <cellStyle name="표준 6 2 2 2 2 11 2 3 3" xfId="33944"/>
    <cellStyle name="표준 6 2 2 2 2 11 2 4" xfId="14928"/>
    <cellStyle name="표준 6 2 2 2 2 11 2 4 2" xfId="40280"/>
    <cellStyle name="표준 6 2 2 2 2 11 2 5" xfId="27608"/>
    <cellStyle name="표준 6 2 2 2 2 11 3" xfId="5398"/>
    <cellStyle name="표준 6 2 2 2 2 11 3 2" xfId="11734"/>
    <cellStyle name="표준 6 2 2 2 2 11 3 2 2" xfId="24408"/>
    <cellStyle name="표준 6 2 2 2 2 11 3 2 2 2" xfId="49760"/>
    <cellStyle name="표준 6 2 2 2 2 11 3 2 3" xfId="37088"/>
    <cellStyle name="표준 6 2 2 2 2 11 3 3" xfId="18072"/>
    <cellStyle name="표준 6 2 2 2 2 11 3 3 2" xfId="43424"/>
    <cellStyle name="표준 6 2 2 2 2 11 3 4" xfId="30752"/>
    <cellStyle name="표준 6 2 2 2 2 11 4" xfId="8589"/>
    <cellStyle name="표준 6 2 2 2 2 11 4 2" xfId="21263"/>
    <cellStyle name="표준 6 2 2 2 2 11 4 2 2" xfId="46615"/>
    <cellStyle name="표준 6 2 2 2 2 11 4 3" xfId="33943"/>
    <cellStyle name="표준 6 2 2 2 2 11 5" xfId="14927"/>
    <cellStyle name="표준 6 2 2 2 2 11 5 2" xfId="40279"/>
    <cellStyle name="표준 6 2 2 2 2 11 6" xfId="27607"/>
    <cellStyle name="표준 6 2 2 2 2 12" xfId="2254"/>
    <cellStyle name="표준 6 2 2 2 2 12 2" xfId="2255"/>
    <cellStyle name="표준 6 2 2 2 2 12 2 2" xfId="5399"/>
    <cellStyle name="표준 6 2 2 2 2 12 2 2 2" xfId="11735"/>
    <cellStyle name="표준 6 2 2 2 2 12 2 2 2 2" xfId="24409"/>
    <cellStyle name="표준 6 2 2 2 2 12 2 2 2 2 2" xfId="49761"/>
    <cellStyle name="표준 6 2 2 2 2 12 2 2 2 3" xfId="37089"/>
    <cellStyle name="표준 6 2 2 2 2 12 2 2 3" xfId="18073"/>
    <cellStyle name="표준 6 2 2 2 2 12 2 2 3 2" xfId="43425"/>
    <cellStyle name="표준 6 2 2 2 2 12 2 2 4" xfId="30753"/>
    <cellStyle name="표준 6 2 2 2 2 12 2 3" xfId="8592"/>
    <cellStyle name="표준 6 2 2 2 2 12 2 3 2" xfId="21266"/>
    <cellStyle name="표준 6 2 2 2 2 12 2 3 2 2" xfId="46618"/>
    <cellStyle name="표준 6 2 2 2 2 12 2 3 3" xfId="33946"/>
    <cellStyle name="표준 6 2 2 2 2 12 2 4" xfId="14930"/>
    <cellStyle name="표준 6 2 2 2 2 12 2 4 2" xfId="40282"/>
    <cellStyle name="표준 6 2 2 2 2 12 2 5" xfId="27610"/>
    <cellStyle name="표준 6 2 2 2 2 12 3" xfId="5400"/>
    <cellStyle name="표준 6 2 2 2 2 12 3 2" xfId="11736"/>
    <cellStyle name="표준 6 2 2 2 2 12 3 2 2" xfId="24410"/>
    <cellStyle name="표준 6 2 2 2 2 12 3 2 2 2" xfId="49762"/>
    <cellStyle name="표준 6 2 2 2 2 12 3 2 3" xfId="37090"/>
    <cellStyle name="표준 6 2 2 2 2 12 3 3" xfId="18074"/>
    <cellStyle name="표준 6 2 2 2 2 12 3 3 2" xfId="43426"/>
    <cellStyle name="표준 6 2 2 2 2 12 3 4" xfId="30754"/>
    <cellStyle name="표준 6 2 2 2 2 12 4" xfId="8591"/>
    <cellStyle name="표준 6 2 2 2 2 12 4 2" xfId="21265"/>
    <cellStyle name="표준 6 2 2 2 2 12 4 2 2" xfId="46617"/>
    <cellStyle name="표준 6 2 2 2 2 12 4 3" xfId="33945"/>
    <cellStyle name="표준 6 2 2 2 2 12 5" xfId="14929"/>
    <cellStyle name="표준 6 2 2 2 2 12 5 2" xfId="40281"/>
    <cellStyle name="표준 6 2 2 2 2 12 6" xfId="27609"/>
    <cellStyle name="표준 6 2 2 2 2 13" xfId="2256"/>
    <cellStyle name="표준 6 2 2 2 2 13 2" xfId="2257"/>
    <cellStyle name="표준 6 2 2 2 2 13 2 2" xfId="5401"/>
    <cellStyle name="표준 6 2 2 2 2 13 2 2 2" xfId="11737"/>
    <cellStyle name="표준 6 2 2 2 2 13 2 2 2 2" xfId="24411"/>
    <cellStyle name="표준 6 2 2 2 2 13 2 2 2 2 2" xfId="49763"/>
    <cellStyle name="표준 6 2 2 2 2 13 2 2 2 3" xfId="37091"/>
    <cellStyle name="표준 6 2 2 2 2 13 2 2 3" xfId="18075"/>
    <cellStyle name="표준 6 2 2 2 2 13 2 2 3 2" xfId="43427"/>
    <cellStyle name="표준 6 2 2 2 2 13 2 2 4" xfId="30755"/>
    <cellStyle name="표준 6 2 2 2 2 13 2 3" xfId="8594"/>
    <cellStyle name="표준 6 2 2 2 2 13 2 3 2" xfId="21268"/>
    <cellStyle name="표준 6 2 2 2 2 13 2 3 2 2" xfId="46620"/>
    <cellStyle name="표준 6 2 2 2 2 13 2 3 3" xfId="33948"/>
    <cellStyle name="표준 6 2 2 2 2 13 2 4" xfId="14932"/>
    <cellStyle name="표준 6 2 2 2 2 13 2 4 2" xfId="40284"/>
    <cellStyle name="표준 6 2 2 2 2 13 2 5" xfId="27612"/>
    <cellStyle name="표준 6 2 2 2 2 13 3" xfId="5402"/>
    <cellStyle name="표준 6 2 2 2 2 13 3 2" xfId="11738"/>
    <cellStyle name="표준 6 2 2 2 2 13 3 2 2" xfId="24412"/>
    <cellStyle name="표준 6 2 2 2 2 13 3 2 2 2" xfId="49764"/>
    <cellStyle name="표준 6 2 2 2 2 13 3 2 3" xfId="37092"/>
    <cellStyle name="표준 6 2 2 2 2 13 3 3" xfId="18076"/>
    <cellStyle name="표준 6 2 2 2 2 13 3 3 2" xfId="43428"/>
    <cellStyle name="표준 6 2 2 2 2 13 3 4" xfId="30756"/>
    <cellStyle name="표준 6 2 2 2 2 13 4" xfId="8593"/>
    <cellStyle name="표준 6 2 2 2 2 13 4 2" xfId="21267"/>
    <cellStyle name="표준 6 2 2 2 2 13 4 2 2" xfId="46619"/>
    <cellStyle name="표준 6 2 2 2 2 13 4 3" xfId="33947"/>
    <cellStyle name="표준 6 2 2 2 2 13 5" xfId="14931"/>
    <cellStyle name="표준 6 2 2 2 2 13 5 2" xfId="40283"/>
    <cellStyle name="표준 6 2 2 2 2 13 6" xfId="27611"/>
    <cellStyle name="표준 6 2 2 2 2 14" xfId="2258"/>
    <cellStyle name="표준 6 2 2 2 2 14 2" xfId="2259"/>
    <cellStyle name="표준 6 2 2 2 2 14 2 2" xfId="5403"/>
    <cellStyle name="표준 6 2 2 2 2 14 2 2 2" xfId="11739"/>
    <cellStyle name="표준 6 2 2 2 2 14 2 2 2 2" xfId="24413"/>
    <cellStyle name="표준 6 2 2 2 2 14 2 2 2 2 2" xfId="49765"/>
    <cellStyle name="표준 6 2 2 2 2 14 2 2 2 3" xfId="37093"/>
    <cellStyle name="표준 6 2 2 2 2 14 2 2 3" xfId="18077"/>
    <cellStyle name="표준 6 2 2 2 2 14 2 2 3 2" xfId="43429"/>
    <cellStyle name="표준 6 2 2 2 2 14 2 2 4" xfId="30757"/>
    <cellStyle name="표준 6 2 2 2 2 14 2 3" xfId="8596"/>
    <cellStyle name="표준 6 2 2 2 2 14 2 3 2" xfId="21270"/>
    <cellStyle name="표준 6 2 2 2 2 14 2 3 2 2" xfId="46622"/>
    <cellStyle name="표준 6 2 2 2 2 14 2 3 3" xfId="33950"/>
    <cellStyle name="표준 6 2 2 2 2 14 2 4" xfId="14934"/>
    <cellStyle name="표준 6 2 2 2 2 14 2 4 2" xfId="40286"/>
    <cellStyle name="표준 6 2 2 2 2 14 2 5" xfId="27614"/>
    <cellStyle name="표준 6 2 2 2 2 14 3" xfId="5404"/>
    <cellStyle name="표준 6 2 2 2 2 14 3 2" xfId="11740"/>
    <cellStyle name="표준 6 2 2 2 2 14 3 2 2" xfId="24414"/>
    <cellStyle name="표준 6 2 2 2 2 14 3 2 2 2" xfId="49766"/>
    <cellStyle name="표준 6 2 2 2 2 14 3 2 3" xfId="37094"/>
    <cellStyle name="표준 6 2 2 2 2 14 3 3" xfId="18078"/>
    <cellStyle name="표준 6 2 2 2 2 14 3 3 2" xfId="43430"/>
    <cellStyle name="표준 6 2 2 2 2 14 3 4" xfId="30758"/>
    <cellStyle name="표준 6 2 2 2 2 14 4" xfId="8595"/>
    <cellStyle name="표준 6 2 2 2 2 14 4 2" xfId="21269"/>
    <cellStyle name="표준 6 2 2 2 2 14 4 2 2" xfId="46621"/>
    <cellStyle name="표준 6 2 2 2 2 14 4 3" xfId="33949"/>
    <cellStyle name="표준 6 2 2 2 2 14 5" xfId="14933"/>
    <cellStyle name="표준 6 2 2 2 2 14 5 2" xfId="40285"/>
    <cellStyle name="표준 6 2 2 2 2 14 6" xfId="27613"/>
    <cellStyle name="표준 6 2 2 2 2 15" xfId="2260"/>
    <cellStyle name="표준 6 2 2 2 2 15 2" xfId="2261"/>
    <cellStyle name="표준 6 2 2 2 2 15 2 2" xfId="5405"/>
    <cellStyle name="표준 6 2 2 2 2 15 2 2 2" xfId="11741"/>
    <cellStyle name="표준 6 2 2 2 2 15 2 2 2 2" xfId="24415"/>
    <cellStyle name="표준 6 2 2 2 2 15 2 2 2 2 2" xfId="49767"/>
    <cellStyle name="표준 6 2 2 2 2 15 2 2 2 3" xfId="37095"/>
    <cellStyle name="표준 6 2 2 2 2 15 2 2 3" xfId="18079"/>
    <cellStyle name="표준 6 2 2 2 2 15 2 2 3 2" xfId="43431"/>
    <cellStyle name="표준 6 2 2 2 2 15 2 2 4" xfId="30759"/>
    <cellStyle name="표준 6 2 2 2 2 15 2 3" xfId="8598"/>
    <cellStyle name="표준 6 2 2 2 2 15 2 3 2" xfId="21272"/>
    <cellStyle name="표준 6 2 2 2 2 15 2 3 2 2" xfId="46624"/>
    <cellStyle name="표준 6 2 2 2 2 15 2 3 3" xfId="33952"/>
    <cellStyle name="표준 6 2 2 2 2 15 2 4" xfId="14936"/>
    <cellStyle name="표준 6 2 2 2 2 15 2 4 2" xfId="40288"/>
    <cellStyle name="표준 6 2 2 2 2 15 2 5" xfId="27616"/>
    <cellStyle name="표준 6 2 2 2 2 15 3" xfId="5406"/>
    <cellStyle name="표준 6 2 2 2 2 15 3 2" xfId="11742"/>
    <cellStyle name="표준 6 2 2 2 2 15 3 2 2" xfId="24416"/>
    <cellStyle name="표준 6 2 2 2 2 15 3 2 2 2" xfId="49768"/>
    <cellStyle name="표준 6 2 2 2 2 15 3 2 3" xfId="37096"/>
    <cellStyle name="표준 6 2 2 2 2 15 3 3" xfId="18080"/>
    <cellStyle name="표준 6 2 2 2 2 15 3 3 2" xfId="43432"/>
    <cellStyle name="표준 6 2 2 2 2 15 3 4" xfId="30760"/>
    <cellStyle name="표준 6 2 2 2 2 15 4" xfId="8597"/>
    <cellStyle name="표준 6 2 2 2 2 15 4 2" xfId="21271"/>
    <cellStyle name="표준 6 2 2 2 2 15 4 2 2" xfId="46623"/>
    <cellStyle name="표준 6 2 2 2 2 15 4 3" xfId="33951"/>
    <cellStyle name="표준 6 2 2 2 2 15 5" xfId="14935"/>
    <cellStyle name="표준 6 2 2 2 2 15 5 2" xfId="40287"/>
    <cellStyle name="표준 6 2 2 2 2 15 6" xfId="27615"/>
    <cellStyle name="표준 6 2 2 2 2 16" xfId="2262"/>
    <cellStyle name="표준 6 2 2 2 2 16 2" xfId="2263"/>
    <cellStyle name="표준 6 2 2 2 2 16 2 2" xfId="5407"/>
    <cellStyle name="표준 6 2 2 2 2 16 2 2 2" xfId="11743"/>
    <cellStyle name="표준 6 2 2 2 2 16 2 2 2 2" xfId="24417"/>
    <cellStyle name="표준 6 2 2 2 2 16 2 2 2 2 2" xfId="49769"/>
    <cellStyle name="표준 6 2 2 2 2 16 2 2 2 3" xfId="37097"/>
    <cellStyle name="표준 6 2 2 2 2 16 2 2 3" xfId="18081"/>
    <cellStyle name="표준 6 2 2 2 2 16 2 2 3 2" xfId="43433"/>
    <cellStyle name="표준 6 2 2 2 2 16 2 2 4" xfId="30761"/>
    <cellStyle name="표준 6 2 2 2 2 16 2 3" xfId="8600"/>
    <cellStyle name="표준 6 2 2 2 2 16 2 3 2" xfId="21274"/>
    <cellStyle name="표준 6 2 2 2 2 16 2 3 2 2" xfId="46626"/>
    <cellStyle name="표준 6 2 2 2 2 16 2 3 3" xfId="33954"/>
    <cellStyle name="표준 6 2 2 2 2 16 2 4" xfId="14938"/>
    <cellStyle name="표준 6 2 2 2 2 16 2 4 2" xfId="40290"/>
    <cellStyle name="표준 6 2 2 2 2 16 2 5" xfId="27618"/>
    <cellStyle name="표준 6 2 2 2 2 16 3" xfId="5408"/>
    <cellStyle name="표준 6 2 2 2 2 16 3 2" xfId="11744"/>
    <cellStyle name="표준 6 2 2 2 2 16 3 2 2" xfId="24418"/>
    <cellStyle name="표준 6 2 2 2 2 16 3 2 2 2" xfId="49770"/>
    <cellStyle name="표준 6 2 2 2 2 16 3 2 3" xfId="37098"/>
    <cellStyle name="표준 6 2 2 2 2 16 3 3" xfId="18082"/>
    <cellStyle name="표준 6 2 2 2 2 16 3 3 2" xfId="43434"/>
    <cellStyle name="표준 6 2 2 2 2 16 3 4" xfId="30762"/>
    <cellStyle name="표준 6 2 2 2 2 16 4" xfId="8599"/>
    <cellStyle name="표준 6 2 2 2 2 16 4 2" xfId="21273"/>
    <cellStyle name="표준 6 2 2 2 2 16 4 2 2" xfId="46625"/>
    <cellStyle name="표준 6 2 2 2 2 16 4 3" xfId="33953"/>
    <cellStyle name="표준 6 2 2 2 2 16 5" xfId="14937"/>
    <cellStyle name="표준 6 2 2 2 2 16 5 2" xfId="40289"/>
    <cellStyle name="표준 6 2 2 2 2 16 6" xfId="27617"/>
    <cellStyle name="표준 6 2 2 2 2 17" xfId="2264"/>
    <cellStyle name="표준 6 2 2 2 2 17 2" xfId="2265"/>
    <cellStyle name="표준 6 2 2 2 2 17 2 2" xfId="5409"/>
    <cellStyle name="표준 6 2 2 2 2 17 2 2 2" xfId="11745"/>
    <cellStyle name="표준 6 2 2 2 2 17 2 2 2 2" xfId="24419"/>
    <cellStyle name="표준 6 2 2 2 2 17 2 2 2 2 2" xfId="49771"/>
    <cellStyle name="표준 6 2 2 2 2 17 2 2 2 3" xfId="37099"/>
    <cellStyle name="표준 6 2 2 2 2 17 2 2 3" xfId="18083"/>
    <cellStyle name="표준 6 2 2 2 2 17 2 2 3 2" xfId="43435"/>
    <cellStyle name="표준 6 2 2 2 2 17 2 2 4" xfId="30763"/>
    <cellStyle name="표준 6 2 2 2 2 17 2 3" xfId="8602"/>
    <cellStyle name="표준 6 2 2 2 2 17 2 3 2" xfId="21276"/>
    <cellStyle name="표준 6 2 2 2 2 17 2 3 2 2" xfId="46628"/>
    <cellStyle name="표준 6 2 2 2 2 17 2 3 3" xfId="33956"/>
    <cellStyle name="표준 6 2 2 2 2 17 2 4" xfId="14940"/>
    <cellStyle name="표준 6 2 2 2 2 17 2 4 2" xfId="40292"/>
    <cellStyle name="표준 6 2 2 2 2 17 2 5" xfId="27620"/>
    <cellStyle name="표준 6 2 2 2 2 17 3" xfId="5410"/>
    <cellStyle name="표준 6 2 2 2 2 17 3 2" xfId="11746"/>
    <cellStyle name="표준 6 2 2 2 2 17 3 2 2" xfId="24420"/>
    <cellStyle name="표준 6 2 2 2 2 17 3 2 2 2" xfId="49772"/>
    <cellStyle name="표준 6 2 2 2 2 17 3 2 3" xfId="37100"/>
    <cellStyle name="표준 6 2 2 2 2 17 3 3" xfId="18084"/>
    <cellStyle name="표준 6 2 2 2 2 17 3 3 2" xfId="43436"/>
    <cellStyle name="표준 6 2 2 2 2 17 3 4" xfId="30764"/>
    <cellStyle name="표준 6 2 2 2 2 17 4" xfId="8601"/>
    <cellStyle name="표준 6 2 2 2 2 17 4 2" xfId="21275"/>
    <cellStyle name="표준 6 2 2 2 2 17 4 2 2" xfId="46627"/>
    <cellStyle name="표준 6 2 2 2 2 17 4 3" xfId="33955"/>
    <cellStyle name="표준 6 2 2 2 2 17 5" xfId="14939"/>
    <cellStyle name="표준 6 2 2 2 2 17 5 2" xfId="40291"/>
    <cellStyle name="표준 6 2 2 2 2 17 6" xfId="27619"/>
    <cellStyle name="표준 6 2 2 2 2 18" xfId="2266"/>
    <cellStyle name="표준 6 2 2 2 2 18 2" xfId="2267"/>
    <cellStyle name="표준 6 2 2 2 2 18 2 2" xfId="5411"/>
    <cellStyle name="표준 6 2 2 2 2 18 2 2 2" xfId="11747"/>
    <cellStyle name="표준 6 2 2 2 2 18 2 2 2 2" xfId="24421"/>
    <cellStyle name="표준 6 2 2 2 2 18 2 2 2 2 2" xfId="49773"/>
    <cellStyle name="표준 6 2 2 2 2 18 2 2 2 3" xfId="37101"/>
    <cellStyle name="표준 6 2 2 2 2 18 2 2 3" xfId="18085"/>
    <cellStyle name="표준 6 2 2 2 2 18 2 2 3 2" xfId="43437"/>
    <cellStyle name="표준 6 2 2 2 2 18 2 2 4" xfId="30765"/>
    <cellStyle name="표준 6 2 2 2 2 18 2 3" xfId="8604"/>
    <cellStyle name="표준 6 2 2 2 2 18 2 3 2" xfId="21278"/>
    <cellStyle name="표준 6 2 2 2 2 18 2 3 2 2" xfId="46630"/>
    <cellStyle name="표준 6 2 2 2 2 18 2 3 3" xfId="33958"/>
    <cellStyle name="표준 6 2 2 2 2 18 2 4" xfId="14942"/>
    <cellStyle name="표준 6 2 2 2 2 18 2 4 2" xfId="40294"/>
    <cellStyle name="표준 6 2 2 2 2 18 2 5" xfId="27622"/>
    <cellStyle name="표준 6 2 2 2 2 18 3" xfId="5412"/>
    <cellStyle name="표준 6 2 2 2 2 18 3 2" xfId="11748"/>
    <cellStyle name="표준 6 2 2 2 2 18 3 2 2" xfId="24422"/>
    <cellStyle name="표준 6 2 2 2 2 18 3 2 2 2" xfId="49774"/>
    <cellStyle name="표준 6 2 2 2 2 18 3 2 3" xfId="37102"/>
    <cellStyle name="표준 6 2 2 2 2 18 3 3" xfId="18086"/>
    <cellStyle name="표준 6 2 2 2 2 18 3 3 2" xfId="43438"/>
    <cellStyle name="표준 6 2 2 2 2 18 3 4" xfId="30766"/>
    <cellStyle name="표준 6 2 2 2 2 18 4" xfId="8603"/>
    <cellStyle name="표준 6 2 2 2 2 18 4 2" xfId="21277"/>
    <cellStyle name="표준 6 2 2 2 2 18 4 2 2" xfId="46629"/>
    <cellStyle name="표준 6 2 2 2 2 18 4 3" xfId="33957"/>
    <cellStyle name="표준 6 2 2 2 2 18 5" xfId="14941"/>
    <cellStyle name="표준 6 2 2 2 2 18 5 2" xfId="40293"/>
    <cellStyle name="표준 6 2 2 2 2 18 6" xfId="27621"/>
    <cellStyle name="표준 6 2 2 2 2 19" xfId="2268"/>
    <cellStyle name="표준 6 2 2 2 2 19 2" xfId="2269"/>
    <cellStyle name="표준 6 2 2 2 2 19 2 2" xfId="5413"/>
    <cellStyle name="표준 6 2 2 2 2 19 2 2 2" xfId="11749"/>
    <cellStyle name="표준 6 2 2 2 2 19 2 2 2 2" xfId="24423"/>
    <cellStyle name="표준 6 2 2 2 2 19 2 2 2 2 2" xfId="49775"/>
    <cellStyle name="표준 6 2 2 2 2 19 2 2 2 3" xfId="37103"/>
    <cellStyle name="표준 6 2 2 2 2 19 2 2 3" xfId="18087"/>
    <cellStyle name="표준 6 2 2 2 2 19 2 2 3 2" xfId="43439"/>
    <cellStyle name="표준 6 2 2 2 2 19 2 2 4" xfId="30767"/>
    <cellStyle name="표준 6 2 2 2 2 19 2 3" xfId="8606"/>
    <cellStyle name="표준 6 2 2 2 2 19 2 3 2" xfId="21280"/>
    <cellStyle name="표준 6 2 2 2 2 19 2 3 2 2" xfId="46632"/>
    <cellStyle name="표준 6 2 2 2 2 19 2 3 3" xfId="33960"/>
    <cellStyle name="표준 6 2 2 2 2 19 2 4" xfId="14944"/>
    <cellStyle name="표준 6 2 2 2 2 19 2 4 2" xfId="40296"/>
    <cellStyle name="표준 6 2 2 2 2 19 2 5" xfId="27624"/>
    <cellStyle name="표준 6 2 2 2 2 19 3" xfId="5414"/>
    <cellStyle name="표준 6 2 2 2 2 19 3 2" xfId="11750"/>
    <cellStyle name="표준 6 2 2 2 2 19 3 2 2" xfId="24424"/>
    <cellStyle name="표준 6 2 2 2 2 19 3 2 2 2" xfId="49776"/>
    <cellStyle name="표준 6 2 2 2 2 19 3 2 3" xfId="37104"/>
    <cellStyle name="표준 6 2 2 2 2 19 3 3" xfId="18088"/>
    <cellStyle name="표준 6 2 2 2 2 19 3 3 2" xfId="43440"/>
    <cellStyle name="표준 6 2 2 2 2 19 3 4" xfId="30768"/>
    <cellStyle name="표준 6 2 2 2 2 19 4" xfId="8605"/>
    <cellStyle name="표준 6 2 2 2 2 19 4 2" xfId="21279"/>
    <cellStyle name="표준 6 2 2 2 2 19 4 2 2" xfId="46631"/>
    <cellStyle name="표준 6 2 2 2 2 19 4 3" xfId="33959"/>
    <cellStyle name="표준 6 2 2 2 2 19 5" xfId="14943"/>
    <cellStyle name="표준 6 2 2 2 2 19 5 2" xfId="40295"/>
    <cellStyle name="표준 6 2 2 2 2 19 6" xfId="27623"/>
    <cellStyle name="표준 6 2 2 2 2 2" xfId="2270"/>
    <cellStyle name="표준 6 2 2 2 2 2 2" xfId="2271"/>
    <cellStyle name="표준 6 2 2 2 2 2 2 2" xfId="5415"/>
    <cellStyle name="표준 6 2 2 2 2 2 2 2 2" xfId="11751"/>
    <cellStyle name="표준 6 2 2 2 2 2 2 2 2 2" xfId="24425"/>
    <cellStyle name="표준 6 2 2 2 2 2 2 2 2 2 2" xfId="49777"/>
    <cellStyle name="표준 6 2 2 2 2 2 2 2 2 3" xfId="37105"/>
    <cellStyle name="표준 6 2 2 2 2 2 2 2 3" xfId="18089"/>
    <cellStyle name="표준 6 2 2 2 2 2 2 2 3 2" xfId="43441"/>
    <cellStyle name="표준 6 2 2 2 2 2 2 2 4" xfId="30769"/>
    <cellStyle name="표준 6 2 2 2 2 2 2 3" xfId="8608"/>
    <cellStyle name="표준 6 2 2 2 2 2 2 3 2" xfId="21282"/>
    <cellStyle name="표준 6 2 2 2 2 2 2 3 2 2" xfId="46634"/>
    <cellStyle name="표준 6 2 2 2 2 2 2 3 3" xfId="33962"/>
    <cellStyle name="표준 6 2 2 2 2 2 2 4" xfId="14946"/>
    <cellStyle name="표준 6 2 2 2 2 2 2 4 2" xfId="40298"/>
    <cellStyle name="표준 6 2 2 2 2 2 2 5" xfId="27626"/>
    <cellStyle name="표준 6 2 2 2 2 2 3" xfId="5416"/>
    <cellStyle name="표준 6 2 2 2 2 2 3 2" xfId="11752"/>
    <cellStyle name="표준 6 2 2 2 2 2 3 2 2" xfId="24426"/>
    <cellStyle name="표준 6 2 2 2 2 2 3 2 2 2" xfId="49778"/>
    <cellStyle name="표준 6 2 2 2 2 2 3 2 3" xfId="37106"/>
    <cellStyle name="표준 6 2 2 2 2 2 3 3" xfId="18090"/>
    <cellStyle name="표준 6 2 2 2 2 2 3 3 2" xfId="43442"/>
    <cellStyle name="표준 6 2 2 2 2 2 3 4" xfId="30770"/>
    <cellStyle name="표준 6 2 2 2 2 2 4" xfId="8607"/>
    <cellStyle name="표준 6 2 2 2 2 2 4 2" xfId="21281"/>
    <cellStyle name="표준 6 2 2 2 2 2 4 2 2" xfId="46633"/>
    <cellStyle name="표준 6 2 2 2 2 2 4 3" xfId="33961"/>
    <cellStyle name="표준 6 2 2 2 2 2 5" xfId="14945"/>
    <cellStyle name="표준 6 2 2 2 2 2 5 2" xfId="40297"/>
    <cellStyle name="표준 6 2 2 2 2 2 6" xfId="27625"/>
    <cellStyle name="표준 6 2 2 2 2 20" xfId="2272"/>
    <cellStyle name="표준 6 2 2 2 2 20 2" xfId="2273"/>
    <cellStyle name="표준 6 2 2 2 2 20 2 2" xfId="5417"/>
    <cellStyle name="표준 6 2 2 2 2 20 2 2 2" xfId="11753"/>
    <cellStyle name="표준 6 2 2 2 2 20 2 2 2 2" xfId="24427"/>
    <cellStyle name="표준 6 2 2 2 2 20 2 2 2 2 2" xfId="49779"/>
    <cellStyle name="표준 6 2 2 2 2 20 2 2 2 3" xfId="37107"/>
    <cellStyle name="표준 6 2 2 2 2 20 2 2 3" xfId="18091"/>
    <cellStyle name="표준 6 2 2 2 2 20 2 2 3 2" xfId="43443"/>
    <cellStyle name="표준 6 2 2 2 2 20 2 2 4" xfId="30771"/>
    <cellStyle name="표준 6 2 2 2 2 20 2 3" xfId="8610"/>
    <cellStyle name="표준 6 2 2 2 2 20 2 3 2" xfId="21284"/>
    <cellStyle name="표준 6 2 2 2 2 20 2 3 2 2" xfId="46636"/>
    <cellStyle name="표준 6 2 2 2 2 20 2 3 3" xfId="33964"/>
    <cellStyle name="표준 6 2 2 2 2 20 2 4" xfId="14948"/>
    <cellStyle name="표준 6 2 2 2 2 20 2 4 2" xfId="40300"/>
    <cellStyle name="표준 6 2 2 2 2 20 2 5" xfId="27628"/>
    <cellStyle name="표준 6 2 2 2 2 20 3" xfId="5418"/>
    <cellStyle name="표준 6 2 2 2 2 20 3 2" xfId="11754"/>
    <cellStyle name="표준 6 2 2 2 2 20 3 2 2" xfId="24428"/>
    <cellStyle name="표준 6 2 2 2 2 20 3 2 2 2" xfId="49780"/>
    <cellStyle name="표준 6 2 2 2 2 20 3 2 3" xfId="37108"/>
    <cellStyle name="표준 6 2 2 2 2 20 3 3" xfId="18092"/>
    <cellStyle name="표준 6 2 2 2 2 20 3 3 2" xfId="43444"/>
    <cellStyle name="표준 6 2 2 2 2 20 3 4" xfId="30772"/>
    <cellStyle name="표준 6 2 2 2 2 20 4" xfId="8609"/>
    <cellStyle name="표준 6 2 2 2 2 20 4 2" xfId="21283"/>
    <cellStyle name="표준 6 2 2 2 2 20 4 2 2" xfId="46635"/>
    <cellStyle name="표준 6 2 2 2 2 20 4 3" xfId="33963"/>
    <cellStyle name="표준 6 2 2 2 2 20 5" xfId="14947"/>
    <cellStyle name="표준 6 2 2 2 2 20 5 2" xfId="40299"/>
    <cellStyle name="표준 6 2 2 2 2 20 6" xfId="27627"/>
    <cellStyle name="표준 6 2 2 2 2 21" xfId="2274"/>
    <cellStyle name="표준 6 2 2 2 2 21 2" xfId="2275"/>
    <cellStyle name="표준 6 2 2 2 2 21 2 2" xfId="5419"/>
    <cellStyle name="표준 6 2 2 2 2 21 2 2 2" xfId="11755"/>
    <cellStyle name="표준 6 2 2 2 2 21 2 2 2 2" xfId="24429"/>
    <cellStyle name="표준 6 2 2 2 2 21 2 2 2 2 2" xfId="49781"/>
    <cellStyle name="표준 6 2 2 2 2 21 2 2 2 3" xfId="37109"/>
    <cellStyle name="표준 6 2 2 2 2 21 2 2 3" xfId="18093"/>
    <cellStyle name="표준 6 2 2 2 2 21 2 2 3 2" xfId="43445"/>
    <cellStyle name="표준 6 2 2 2 2 21 2 2 4" xfId="30773"/>
    <cellStyle name="표준 6 2 2 2 2 21 2 3" xfId="8612"/>
    <cellStyle name="표준 6 2 2 2 2 21 2 3 2" xfId="21286"/>
    <cellStyle name="표준 6 2 2 2 2 21 2 3 2 2" xfId="46638"/>
    <cellStyle name="표준 6 2 2 2 2 21 2 3 3" xfId="33966"/>
    <cellStyle name="표준 6 2 2 2 2 21 2 4" xfId="14950"/>
    <cellStyle name="표준 6 2 2 2 2 21 2 4 2" xfId="40302"/>
    <cellStyle name="표준 6 2 2 2 2 21 2 5" xfId="27630"/>
    <cellStyle name="표준 6 2 2 2 2 21 3" xfId="5420"/>
    <cellStyle name="표준 6 2 2 2 2 21 3 2" xfId="11756"/>
    <cellStyle name="표준 6 2 2 2 2 21 3 2 2" xfId="24430"/>
    <cellStyle name="표준 6 2 2 2 2 21 3 2 2 2" xfId="49782"/>
    <cellStyle name="표준 6 2 2 2 2 21 3 2 3" xfId="37110"/>
    <cellStyle name="표준 6 2 2 2 2 21 3 3" xfId="18094"/>
    <cellStyle name="표준 6 2 2 2 2 21 3 3 2" xfId="43446"/>
    <cellStyle name="표준 6 2 2 2 2 21 3 4" xfId="30774"/>
    <cellStyle name="표준 6 2 2 2 2 21 4" xfId="8611"/>
    <cellStyle name="표준 6 2 2 2 2 21 4 2" xfId="21285"/>
    <cellStyle name="표준 6 2 2 2 2 21 4 2 2" xfId="46637"/>
    <cellStyle name="표준 6 2 2 2 2 21 4 3" xfId="33965"/>
    <cellStyle name="표준 6 2 2 2 2 21 5" xfId="14949"/>
    <cellStyle name="표준 6 2 2 2 2 21 5 2" xfId="40301"/>
    <cellStyle name="표준 6 2 2 2 2 21 6" xfId="27629"/>
    <cellStyle name="표준 6 2 2 2 2 22" xfId="2276"/>
    <cellStyle name="표준 6 2 2 2 2 22 2" xfId="2277"/>
    <cellStyle name="표준 6 2 2 2 2 22 2 2" xfId="5421"/>
    <cellStyle name="표준 6 2 2 2 2 22 2 2 2" xfId="11757"/>
    <cellStyle name="표준 6 2 2 2 2 22 2 2 2 2" xfId="24431"/>
    <cellStyle name="표준 6 2 2 2 2 22 2 2 2 2 2" xfId="49783"/>
    <cellStyle name="표준 6 2 2 2 2 22 2 2 2 3" xfId="37111"/>
    <cellStyle name="표준 6 2 2 2 2 22 2 2 3" xfId="18095"/>
    <cellStyle name="표준 6 2 2 2 2 22 2 2 3 2" xfId="43447"/>
    <cellStyle name="표준 6 2 2 2 2 22 2 2 4" xfId="30775"/>
    <cellStyle name="표준 6 2 2 2 2 22 2 3" xfId="8614"/>
    <cellStyle name="표준 6 2 2 2 2 22 2 3 2" xfId="21288"/>
    <cellStyle name="표준 6 2 2 2 2 22 2 3 2 2" xfId="46640"/>
    <cellStyle name="표준 6 2 2 2 2 22 2 3 3" xfId="33968"/>
    <cellStyle name="표준 6 2 2 2 2 22 2 4" xfId="14952"/>
    <cellStyle name="표준 6 2 2 2 2 22 2 4 2" xfId="40304"/>
    <cellStyle name="표준 6 2 2 2 2 22 2 5" xfId="27632"/>
    <cellStyle name="표준 6 2 2 2 2 22 3" xfId="5422"/>
    <cellStyle name="표준 6 2 2 2 2 22 3 2" xfId="11758"/>
    <cellStyle name="표준 6 2 2 2 2 22 3 2 2" xfId="24432"/>
    <cellStyle name="표준 6 2 2 2 2 22 3 2 2 2" xfId="49784"/>
    <cellStyle name="표준 6 2 2 2 2 22 3 2 3" xfId="37112"/>
    <cellStyle name="표준 6 2 2 2 2 22 3 3" xfId="18096"/>
    <cellStyle name="표준 6 2 2 2 2 22 3 3 2" xfId="43448"/>
    <cellStyle name="표준 6 2 2 2 2 22 3 4" xfId="30776"/>
    <cellStyle name="표준 6 2 2 2 2 22 4" xfId="8613"/>
    <cellStyle name="표준 6 2 2 2 2 22 4 2" xfId="21287"/>
    <cellStyle name="표준 6 2 2 2 2 22 4 2 2" xfId="46639"/>
    <cellStyle name="표준 6 2 2 2 2 22 4 3" xfId="33967"/>
    <cellStyle name="표준 6 2 2 2 2 22 5" xfId="14951"/>
    <cellStyle name="표준 6 2 2 2 2 22 5 2" xfId="40303"/>
    <cellStyle name="표준 6 2 2 2 2 22 6" xfId="27631"/>
    <cellStyle name="표준 6 2 2 2 2 23" xfId="2278"/>
    <cellStyle name="표준 6 2 2 2 2 23 2" xfId="2279"/>
    <cellStyle name="표준 6 2 2 2 2 23 2 2" xfId="5423"/>
    <cellStyle name="표준 6 2 2 2 2 23 2 2 2" xfId="11759"/>
    <cellStyle name="표준 6 2 2 2 2 23 2 2 2 2" xfId="24433"/>
    <cellStyle name="표준 6 2 2 2 2 23 2 2 2 2 2" xfId="49785"/>
    <cellStyle name="표준 6 2 2 2 2 23 2 2 2 3" xfId="37113"/>
    <cellStyle name="표준 6 2 2 2 2 23 2 2 3" xfId="18097"/>
    <cellStyle name="표준 6 2 2 2 2 23 2 2 3 2" xfId="43449"/>
    <cellStyle name="표준 6 2 2 2 2 23 2 2 4" xfId="30777"/>
    <cellStyle name="표준 6 2 2 2 2 23 2 3" xfId="8616"/>
    <cellStyle name="표준 6 2 2 2 2 23 2 3 2" xfId="21290"/>
    <cellStyle name="표준 6 2 2 2 2 23 2 3 2 2" xfId="46642"/>
    <cellStyle name="표준 6 2 2 2 2 23 2 3 3" xfId="33970"/>
    <cellStyle name="표준 6 2 2 2 2 23 2 4" xfId="14954"/>
    <cellStyle name="표준 6 2 2 2 2 23 2 4 2" xfId="40306"/>
    <cellStyle name="표준 6 2 2 2 2 23 2 5" xfId="27634"/>
    <cellStyle name="표준 6 2 2 2 2 23 3" xfId="5424"/>
    <cellStyle name="표준 6 2 2 2 2 23 3 2" xfId="11760"/>
    <cellStyle name="표준 6 2 2 2 2 23 3 2 2" xfId="24434"/>
    <cellStyle name="표준 6 2 2 2 2 23 3 2 2 2" xfId="49786"/>
    <cellStyle name="표준 6 2 2 2 2 23 3 2 3" xfId="37114"/>
    <cellStyle name="표준 6 2 2 2 2 23 3 3" xfId="18098"/>
    <cellStyle name="표준 6 2 2 2 2 23 3 3 2" xfId="43450"/>
    <cellStyle name="표준 6 2 2 2 2 23 3 4" xfId="30778"/>
    <cellStyle name="표준 6 2 2 2 2 23 4" xfId="8615"/>
    <cellStyle name="표준 6 2 2 2 2 23 4 2" xfId="21289"/>
    <cellStyle name="표준 6 2 2 2 2 23 4 2 2" xfId="46641"/>
    <cellStyle name="표준 6 2 2 2 2 23 4 3" xfId="33969"/>
    <cellStyle name="표준 6 2 2 2 2 23 5" xfId="14953"/>
    <cellStyle name="표준 6 2 2 2 2 23 5 2" xfId="40305"/>
    <cellStyle name="표준 6 2 2 2 2 23 6" xfId="27633"/>
    <cellStyle name="표준 6 2 2 2 2 24" xfId="2280"/>
    <cellStyle name="표준 6 2 2 2 2 24 2" xfId="2281"/>
    <cellStyle name="표준 6 2 2 2 2 24 2 2" xfId="5425"/>
    <cellStyle name="표준 6 2 2 2 2 24 2 2 2" xfId="11761"/>
    <cellStyle name="표준 6 2 2 2 2 24 2 2 2 2" xfId="24435"/>
    <cellStyle name="표준 6 2 2 2 2 24 2 2 2 2 2" xfId="49787"/>
    <cellStyle name="표준 6 2 2 2 2 24 2 2 2 3" xfId="37115"/>
    <cellStyle name="표준 6 2 2 2 2 24 2 2 3" xfId="18099"/>
    <cellStyle name="표준 6 2 2 2 2 24 2 2 3 2" xfId="43451"/>
    <cellStyle name="표준 6 2 2 2 2 24 2 2 4" xfId="30779"/>
    <cellStyle name="표준 6 2 2 2 2 24 2 3" xfId="8618"/>
    <cellStyle name="표준 6 2 2 2 2 24 2 3 2" xfId="21292"/>
    <cellStyle name="표준 6 2 2 2 2 24 2 3 2 2" xfId="46644"/>
    <cellStyle name="표준 6 2 2 2 2 24 2 3 3" xfId="33972"/>
    <cellStyle name="표준 6 2 2 2 2 24 2 4" xfId="14956"/>
    <cellStyle name="표준 6 2 2 2 2 24 2 4 2" xfId="40308"/>
    <cellStyle name="표준 6 2 2 2 2 24 2 5" xfId="27636"/>
    <cellStyle name="표준 6 2 2 2 2 24 3" xfId="5426"/>
    <cellStyle name="표준 6 2 2 2 2 24 3 2" xfId="11762"/>
    <cellStyle name="표준 6 2 2 2 2 24 3 2 2" xfId="24436"/>
    <cellStyle name="표준 6 2 2 2 2 24 3 2 2 2" xfId="49788"/>
    <cellStyle name="표준 6 2 2 2 2 24 3 2 3" xfId="37116"/>
    <cellStyle name="표준 6 2 2 2 2 24 3 3" xfId="18100"/>
    <cellStyle name="표준 6 2 2 2 2 24 3 3 2" xfId="43452"/>
    <cellStyle name="표준 6 2 2 2 2 24 3 4" xfId="30780"/>
    <cellStyle name="표준 6 2 2 2 2 24 4" xfId="8617"/>
    <cellStyle name="표준 6 2 2 2 2 24 4 2" xfId="21291"/>
    <cellStyle name="표준 6 2 2 2 2 24 4 2 2" xfId="46643"/>
    <cellStyle name="표준 6 2 2 2 2 24 4 3" xfId="33971"/>
    <cellStyle name="표준 6 2 2 2 2 24 5" xfId="14955"/>
    <cellStyle name="표준 6 2 2 2 2 24 5 2" xfId="40307"/>
    <cellStyle name="표준 6 2 2 2 2 24 6" xfId="27635"/>
    <cellStyle name="표준 6 2 2 2 2 25" xfId="2282"/>
    <cellStyle name="표준 6 2 2 2 2 25 2" xfId="2283"/>
    <cellStyle name="표준 6 2 2 2 2 25 2 2" xfId="5427"/>
    <cellStyle name="표준 6 2 2 2 2 25 2 2 2" xfId="11763"/>
    <cellStyle name="표준 6 2 2 2 2 25 2 2 2 2" xfId="24437"/>
    <cellStyle name="표준 6 2 2 2 2 25 2 2 2 2 2" xfId="49789"/>
    <cellStyle name="표준 6 2 2 2 2 25 2 2 2 3" xfId="37117"/>
    <cellStyle name="표준 6 2 2 2 2 25 2 2 3" xfId="18101"/>
    <cellStyle name="표준 6 2 2 2 2 25 2 2 3 2" xfId="43453"/>
    <cellStyle name="표준 6 2 2 2 2 25 2 2 4" xfId="30781"/>
    <cellStyle name="표준 6 2 2 2 2 25 2 3" xfId="8620"/>
    <cellStyle name="표준 6 2 2 2 2 25 2 3 2" xfId="21294"/>
    <cellStyle name="표준 6 2 2 2 2 25 2 3 2 2" xfId="46646"/>
    <cellStyle name="표준 6 2 2 2 2 25 2 3 3" xfId="33974"/>
    <cellStyle name="표준 6 2 2 2 2 25 2 4" xfId="14958"/>
    <cellStyle name="표준 6 2 2 2 2 25 2 4 2" xfId="40310"/>
    <cellStyle name="표준 6 2 2 2 2 25 2 5" xfId="27638"/>
    <cellStyle name="표준 6 2 2 2 2 25 3" xfId="5428"/>
    <cellStyle name="표준 6 2 2 2 2 25 3 2" xfId="11764"/>
    <cellStyle name="표준 6 2 2 2 2 25 3 2 2" xfId="24438"/>
    <cellStyle name="표준 6 2 2 2 2 25 3 2 2 2" xfId="49790"/>
    <cellStyle name="표준 6 2 2 2 2 25 3 2 3" xfId="37118"/>
    <cellStyle name="표준 6 2 2 2 2 25 3 3" xfId="18102"/>
    <cellStyle name="표준 6 2 2 2 2 25 3 3 2" xfId="43454"/>
    <cellStyle name="표준 6 2 2 2 2 25 3 4" xfId="30782"/>
    <cellStyle name="표준 6 2 2 2 2 25 4" xfId="8619"/>
    <cellStyle name="표준 6 2 2 2 2 25 4 2" xfId="21293"/>
    <cellStyle name="표준 6 2 2 2 2 25 4 2 2" xfId="46645"/>
    <cellStyle name="표준 6 2 2 2 2 25 4 3" xfId="33973"/>
    <cellStyle name="표준 6 2 2 2 2 25 5" xfId="14957"/>
    <cellStyle name="표준 6 2 2 2 2 25 5 2" xfId="40309"/>
    <cellStyle name="표준 6 2 2 2 2 25 6" xfId="27637"/>
    <cellStyle name="표준 6 2 2 2 2 26" xfId="2284"/>
    <cellStyle name="표준 6 2 2 2 2 26 2" xfId="2285"/>
    <cellStyle name="표준 6 2 2 2 2 26 2 2" xfId="5429"/>
    <cellStyle name="표준 6 2 2 2 2 26 2 2 2" xfId="11765"/>
    <cellStyle name="표준 6 2 2 2 2 26 2 2 2 2" xfId="24439"/>
    <cellStyle name="표준 6 2 2 2 2 26 2 2 2 2 2" xfId="49791"/>
    <cellStyle name="표준 6 2 2 2 2 26 2 2 2 3" xfId="37119"/>
    <cellStyle name="표준 6 2 2 2 2 26 2 2 3" xfId="18103"/>
    <cellStyle name="표준 6 2 2 2 2 26 2 2 3 2" xfId="43455"/>
    <cellStyle name="표준 6 2 2 2 2 26 2 2 4" xfId="30783"/>
    <cellStyle name="표준 6 2 2 2 2 26 2 3" xfId="8622"/>
    <cellStyle name="표준 6 2 2 2 2 26 2 3 2" xfId="21296"/>
    <cellStyle name="표준 6 2 2 2 2 26 2 3 2 2" xfId="46648"/>
    <cellStyle name="표준 6 2 2 2 2 26 2 3 3" xfId="33976"/>
    <cellStyle name="표준 6 2 2 2 2 26 2 4" xfId="14960"/>
    <cellStyle name="표준 6 2 2 2 2 26 2 4 2" xfId="40312"/>
    <cellStyle name="표준 6 2 2 2 2 26 2 5" xfId="27640"/>
    <cellStyle name="표준 6 2 2 2 2 26 3" xfId="5430"/>
    <cellStyle name="표준 6 2 2 2 2 26 3 2" xfId="11766"/>
    <cellStyle name="표준 6 2 2 2 2 26 3 2 2" xfId="24440"/>
    <cellStyle name="표준 6 2 2 2 2 26 3 2 2 2" xfId="49792"/>
    <cellStyle name="표준 6 2 2 2 2 26 3 2 3" xfId="37120"/>
    <cellStyle name="표준 6 2 2 2 2 26 3 3" xfId="18104"/>
    <cellStyle name="표준 6 2 2 2 2 26 3 3 2" xfId="43456"/>
    <cellStyle name="표준 6 2 2 2 2 26 3 4" xfId="30784"/>
    <cellStyle name="표준 6 2 2 2 2 26 4" xfId="8621"/>
    <cellStyle name="표준 6 2 2 2 2 26 4 2" xfId="21295"/>
    <cellStyle name="표준 6 2 2 2 2 26 4 2 2" xfId="46647"/>
    <cellStyle name="표준 6 2 2 2 2 26 4 3" xfId="33975"/>
    <cellStyle name="표준 6 2 2 2 2 26 5" xfId="14959"/>
    <cellStyle name="표준 6 2 2 2 2 26 5 2" xfId="40311"/>
    <cellStyle name="표준 6 2 2 2 2 26 6" xfId="27639"/>
    <cellStyle name="표준 6 2 2 2 2 27" xfId="2286"/>
    <cellStyle name="표준 6 2 2 2 2 27 2" xfId="2287"/>
    <cellStyle name="표준 6 2 2 2 2 27 2 2" xfId="5431"/>
    <cellStyle name="표준 6 2 2 2 2 27 2 2 2" xfId="11767"/>
    <cellStyle name="표준 6 2 2 2 2 27 2 2 2 2" xfId="24441"/>
    <cellStyle name="표준 6 2 2 2 2 27 2 2 2 2 2" xfId="49793"/>
    <cellStyle name="표준 6 2 2 2 2 27 2 2 2 3" xfId="37121"/>
    <cellStyle name="표준 6 2 2 2 2 27 2 2 3" xfId="18105"/>
    <cellStyle name="표준 6 2 2 2 2 27 2 2 3 2" xfId="43457"/>
    <cellStyle name="표준 6 2 2 2 2 27 2 2 4" xfId="30785"/>
    <cellStyle name="표준 6 2 2 2 2 27 2 3" xfId="8624"/>
    <cellStyle name="표준 6 2 2 2 2 27 2 3 2" xfId="21298"/>
    <cellStyle name="표준 6 2 2 2 2 27 2 3 2 2" xfId="46650"/>
    <cellStyle name="표준 6 2 2 2 2 27 2 3 3" xfId="33978"/>
    <cellStyle name="표준 6 2 2 2 2 27 2 4" xfId="14962"/>
    <cellStyle name="표준 6 2 2 2 2 27 2 4 2" xfId="40314"/>
    <cellStyle name="표준 6 2 2 2 2 27 2 5" xfId="27642"/>
    <cellStyle name="표준 6 2 2 2 2 27 3" xfId="5432"/>
    <cellStyle name="표준 6 2 2 2 2 27 3 2" xfId="11768"/>
    <cellStyle name="표준 6 2 2 2 2 27 3 2 2" xfId="24442"/>
    <cellStyle name="표준 6 2 2 2 2 27 3 2 2 2" xfId="49794"/>
    <cellStyle name="표준 6 2 2 2 2 27 3 2 3" xfId="37122"/>
    <cellStyle name="표준 6 2 2 2 2 27 3 3" xfId="18106"/>
    <cellStyle name="표준 6 2 2 2 2 27 3 3 2" xfId="43458"/>
    <cellStyle name="표준 6 2 2 2 2 27 3 4" xfId="30786"/>
    <cellStyle name="표준 6 2 2 2 2 27 4" xfId="8623"/>
    <cellStyle name="표준 6 2 2 2 2 27 4 2" xfId="21297"/>
    <cellStyle name="표준 6 2 2 2 2 27 4 2 2" xfId="46649"/>
    <cellStyle name="표준 6 2 2 2 2 27 4 3" xfId="33977"/>
    <cellStyle name="표준 6 2 2 2 2 27 5" xfId="14961"/>
    <cellStyle name="표준 6 2 2 2 2 27 5 2" xfId="40313"/>
    <cellStyle name="표준 6 2 2 2 2 27 6" xfId="27641"/>
    <cellStyle name="표준 6 2 2 2 2 28" xfId="2288"/>
    <cellStyle name="표준 6 2 2 2 2 28 2" xfId="2289"/>
    <cellStyle name="표준 6 2 2 2 2 28 2 2" xfId="5433"/>
    <cellStyle name="표준 6 2 2 2 2 28 2 2 2" xfId="11769"/>
    <cellStyle name="표준 6 2 2 2 2 28 2 2 2 2" xfId="24443"/>
    <cellStyle name="표준 6 2 2 2 2 28 2 2 2 2 2" xfId="49795"/>
    <cellStyle name="표준 6 2 2 2 2 28 2 2 2 3" xfId="37123"/>
    <cellStyle name="표준 6 2 2 2 2 28 2 2 3" xfId="18107"/>
    <cellStyle name="표준 6 2 2 2 2 28 2 2 3 2" xfId="43459"/>
    <cellStyle name="표준 6 2 2 2 2 28 2 2 4" xfId="30787"/>
    <cellStyle name="표준 6 2 2 2 2 28 2 3" xfId="8626"/>
    <cellStyle name="표준 6 2 2 2 2 28 2 3 2" xfId="21300"/>
    <cellStyle name="표준 6 2 2 2 2 28 2 3 2 2" xfId="46652"/>
    <cellStyle name="표준 6 2 2 2 2 28 2 3 3" xfId="33980"/>
    <cellStyle name="표준 6 2 2 2 2 28 2 4" xfId="14964"/>
    <cellStyle name="표준 6 2 2 2 2 28 2 4 2" xfId="40316"/>
    <cellStyle name="표준 6 2 2 2 2 28 2 5" xfId="27644"/>
    <cellStyle name="표준 6 2 2 2 2 28 3" xfId="5434"/>
    <cellStyle name="표준 6 2 2 2 2 28 3 2" xfId="11770"/>
    <cellStyle name="표준 6 2 2 2 2 28 3 2 2" xfId="24444"/>
    <cellStyle name="표준 6 2 2 2 2 28 3 2 2 2" xfId="49796"/>
    <cellStyle name="표준 6 2 2 2 2 28 3 2 3" xfId="37124"/>
    <cellStyle name="표준 6 2 2 2 2 28 3 3" xfId="18108"/>
    <cellStyle name="표준 6 2 2 2 2 28 3 3 2" xfId="43460"/>
    <cellStyle name="표준 6 2 2 2 2 28 3 4" xfId="30788"/>
    <cellStyle name="표준 6 2 2 2 2 28 4" xfId="8625"/>
    <cellStyle name="표준 6 2 2 2 2 28 4 2" xfId="21299"/>
    <cellStyle name="표준 6 2 2 2 2 28 4 2 2" xfId="46651"/>
    <cellStyle name="표준 6 2 2 2 2 28 4 3" xfId="33979"/>
    <cellStyle name="표준 6 2 2 2 2 28 5" xfId="14963"/>
    <cellStyle name="표준 6 2 2 2 2 28 5 2" xfId="40315"/>
    <cellStyle name="표준 6 2 2 2 2 28 6" xfId="27643"/>
    <cellStyle name="표준 6 2 2 2 2 29" xfId="2290"/>
    <cellStyle name="표준 6 2 2 2 2 29 2" xfId="2291"/>
    <cellStyle name="표준 6 2 2 2 2 29 2 2" xfId="5435"/>
    <cellStyle name="표준 6 2 2 2 2 29 2 2 2" xfId="11771"/>
    <cellStyle name="표준 6 2 2 2 2 29 2 2 2 2" xfId="24445"/>
    <cellStyle name="표준 6 2 2 2 2 29 2 2 2 2 2" xfId="49797"/>
    <cellStyle name="표준 6 2 2 2 2 29 2 2 2 3" xfId="37125"/>
    <cellStyle name="표준 6 2 2 2 2 29 2 2 3" xfId="18109"/>
    <cellStyle name="표준 6 2 2 2 2 29 2 2 3 2" xfId="43461"/>
    <cellStyle name="표준 6 2 2 2 2 29 2 2 4" xfId="30789"/>
    <cellStyle name="표준 6 2 2 2 2 29 2 3" xfId="8628"/>
    <cellStyle name="표준 6 2 2 2 2 29 2 3 2" xfId="21302"/>
    <cellStyle name="표준 6 2 2 2 2 29 2 3 2 2" xfId="46654"/>
    <cellStyle name="표준 6 2 2 2 2 29 2 3 3" xfId="33982"/>
    <cellStyle name="표준 6 2 2 2 2 29 2 4" xfId="14966"/>
    <cellStyle name="표준 6 2 2 2 2 29 2 4 2" xfId="40318"/>
    <cellStyle name="표준 6 2 2 2 2 29 2 5" xfId="27646"/>
    <cellStyle name="표준 6 2 2 2 2 29 3" xfId="5436"/>
    <cellStyle name="표준 6 2 2 2 2 29 3 2" xfId="11772"/>
    <cellStyle name="표준 6 2 2 2 2 29 3 2 2" xfId="24446"/>
    <cellStyle name="표준 6 2 2 2 2 29 3 2 2 2" xfId="49798"/>
    <cellStyle name="표준 6 2 2 2 2 29 3 2 3" xfId="37126"/>
    <cellStyle name="표준 6 2 2 2 2 29 3 3" xfId="18110"/>
    <cellStyle name="표준 6 2 2 2 2 29 3 3 2" xfId="43462"/>
    <cellStyle name="표준 6 2 2 2 2 29 3 4" xfId="30790"/>
    <cellStyle name="표준 6 2 2 2 2 29 4" xfId="8627"/>
    <cellStyle name="표준 6 2 2 2 2 29 4 2" xfId="21301"/>
    <cellStyle name="표준 6 2 2 2 2 29 4 2 2" xfId="46653"/>
    <cellStyle name="표준 6 2 2 2 2 29 4 3" xfId="33981"/>
    <cellStyle name="표준 6 2 2 2 2 29 5" xfId="14965"/>
    <cellStyle name="표준 6 2 2 2 2 29 5 2" xfId="40317"/>
    <cellStyle name="표준 6 2 2 2 2 29 6" xfId="27645"/>
    <cellStyle name="표준 6 2 2 2 2 3" xfId="2292"/>
    <cellStyle name="표준 6 2 2 2 2 3 2" xfId="2293"/>
    <cellStyle name="표준 6 2 2 2 2 3 2 2" xfId="5437"/>
    <cellStyle name="표준 6 2 2 2 2 3 2 2 2" xfId="11773"/>
    <cellStyle name="표준 6 2 2 2 2 3 2 2 2 2" xfId="24447"/>
    <cellStyle name="표준 6 2 2 2 2 3 2 2 2 2 2" xfId="49799"/>
    <cellStyle name="표준 6 2 2 2 2 3 2 2 2 3" xfId="37127"/>
    <cellStyle name="표준 6 2 2 2 2 3 2 2 3" xfId="18111"/>
    <cellStyle name="표준 6 2 2 2 2 3 2 2 3 2" xfId="43463"/>
    <cellStyle name="표준 6 2 2 2 2 3 2 2 4" xfId="30791"/>
    <cellStyle name="표준 6 2 2 2 2 3 2 3" xfId="8630"/>
    <cellStyle name="표준 6 2 2 2 2 3 2 3 2" xfId="21304"/>
    <cellStyle name="표준 6 2 2 2 2 3 2 3 2 2" xfId="46656"/>
    <cellStyle name="표준 6 2 2 2 2 3 2 3 3" xfId="33984"/>
    <cellStyle name="표준 6 2 2 2 2 3 2 4" xfId="14968"/>
    <cellStyle name="표준 6 2 2 2 2 3 2 4 2" xfId="40320"/>
    <cellStyle name="표준 6 2 2 2 2 3 2 5" xfId="27648"/>
    <cellStyle name="표준 6 2 2 2 2 3 3" xfId="5438"/>
    <cellStyle name="표준 6 2 2 2 2 3 3 2" xfId="11774"/>
    <cellStyle name="표준 6 2 2 2 2 3 3 2 2" xfId="24448"/>
    <cellStyle name="표준 6 2 2 2 2 3 3 2 2 2" xfId="49800"/>
    <cellStyle name="표준 6 2 2 2 2 3 3 2 3" xfId="37128"/>
    <cellStyle name="표준 6 2 2 2 2 3 3 3" xfId="18112"/>
    <cellStyle name="표준 6 2 2 2 2 3 3 3 2" xfId="43464"/>
    <cellStyle name="표준 6 2 2 2 2 3 3 4" xfId="30792"/>
    <cellStyle name="표준 6 2 2 2 2 3 4" xfId="8629"/>
    <cellStyle name="표준 6 2 2 2 2 3 4 2" xfId="21303"/>
    <cellStyle name="표준 6 2 2 2 2 3 4 2 2" xfId="46655"/>
    <cellStyle name="표준 6 2 2 2 2 3 4 3" xfId="33983"/>
    <cellStyle name="표준 6 2 2 2 2 3 5" xfId="14967"/>
    <cellStyle name="표준 6 2 2 2 2 3 5 2" xfId="40319"/>
    <cellStyle name="표준 6 2 2 2 2 3 6" xfId="27647"/>
    <cellStyle name="표준 6 2 2 2 2 30" xfId="2294"/>
    <cellStyle name="표준 6 2 2 2 2 30 2" xfId="2295"/>
    <cellStyle name="표준 6 2 2 2 2 30 2 2" xfId="5439"/>
    <cellStyle name="표준 6 2 2 2 2 30 2 2 2" xfId="11775"/>
    <cellStyle name="표준 6 2 2 2 2 30 2 2 2 2" xfId="24449"/>
    <cellStyle name="표준 6 2 2 2 2 30 2 2 2 2 2" xfId="49801"/>
    <cellStyle name="표준 6 2 2 2 2 30 2 2 2 3" xfId="37129"/>
    <cellStyle name="표준 6 2 2 2 2 30 2 2 3" xfId="18113"/>
    <cellStyle name="표준 6 2 2 2 2 30 2 2 3 2" xfId="43465"/>
    <cellStyle name="표준 6 2 2 2 2 30 2 2 4" xfId="30793"/>
    <cellStyle name="표준 6 2 2 2 2 30 2 3" xfId="8632"/>
    <cellStyle name="표준 6 2 2 2 2 30 2 3 2" xfId="21306"/>
    <cellStyle name="표준 6 2 2 2 2 30 2 3 2 2" xfId="46658"/>
    <cellStyle name="표준 6 2 2 2 2 30 2 3 3" xfId="33986"/>
    <cellStyle name="표준 6 2 2 2 2 30 2 4" xfId="14970"/>
    <cellStyle name="표준 6 2 2 2 2 30 2 4 2" xfId="40322"/>
    <cellStyle name="표준 6 2 2 2 2 30 2 5" xfId="27650"/>
    <cellStyle name="표준 6 2 2 2 2 30 3" xfId="5440"/>
    <cellStyle name="표준 6 2 2 2 2 30 3 2" xfId="11776"/>
    <cellStyle name="표준 6 2 2 2 2 30 3 2 2" xfId="24450"/>
    <cellStyle name="표준 6 2 2 2 2 30 3 2 2 2" xfId="49802"/>
    <cellStyle name="표준 6 2 2 2 2 30 3 2 3" xfId="37130"/>
    <cellStyle name="표준 6 2 2 2 2 30 3 3" xfId="18114"/>
    <cellStyle name="표준 6 2 2 2 2 30 3 3 2" xfId="43466"/>
    <cellStyle name="표준 6 2 2 2 2 30 3 4" xfId="30794"/>
    <cellStyle name="표준 6 2 2 2 2 30 4" xfId="8631"/>
    <cellStyle name="표준 6 2 2 2 2 30 4 2" xfId="21305"/>
    <cellStyle name="표준 6 2 2 2 2 30 4 2 2" xfId="46657"/>
    <cellStyle name="표준 6 2 2 2 2 30 4 3" xfId="33985"/>
    <cellStyle name="표준 6 2 2 2 2 30 5" xfId="14969"/>
    <cellStyle name="표준 6 2 2 2 2 30 5 2" xfId="40321"/>
    <cellStyle name="표준 6 2 2 2 2 30 6" xfId="27649"/>
    <cellStyle name="표준 6 2 2 2 2 31" xfId="2296"/>
    <cellStyle name="표준 6 2 2 2 2 31 2" xfId="2297"/>
    <cellStyle name="표준 6 2 2 2 2 31 2 2" xfId="5441"/>
    <cellStyle name="표준 6 2 2 2 2 31 2 2 2" xfId="11777"/>
    <cellStyle name="표준 6 2 2 2 2 31 2 2 2 2" xfId="24451"/>
    <cellStyle name="표준 6 2 2 2 2 31 2 2 2 2 2" xfId="49803"/>
    <cellStyle name="표준 6 2 2 2 2 31 2 2 2 3" xfId="37131"/>
    <cellStyle name="표준 6 2 2 2 2 31 2 2 3" xfId="18115"/>
    <cellStyle name="표준 6 2 2 2 2 31 2 2 3 2" xfId="43467"/>
    <cellStyle name="표준 6 2 2 2 2 31 2 2 4" xfId="30795"/>
    <cellStyle name="표준 6 2 2 2 2 31 2 3" xfId="8634"/>
    <cellStyle name="표준 6 2 2 2 2 31 2 3 2" xfId="21308"/>
    <cellStyle name="표준 6 2 2 2 2 31 2 3 2 2" xfId="46660"/>
    <cellStyle name="표준 6 2 2 2 2 31 2 3 3" xfId="33988"/>
    <cellStyle name="표준 6 2 2 2 2 31 2 4" xfId="14972"/>
    <cellStyle name="표준 6 2 2 2 2 31 2 4 2" xfId="40324"/>
    <cellStyle name="표준 6 2 2 2 2 31 2 5" xfId="27652"/>
    <cellStyle name="표준 6 2 2 2 2 31 3" xfId="5442"/>
    <cellStyle name="표준 6 2 2 2 2 31 3 2" xfId="11778"/>
    <cellStyle name="표준 6 2 2 2 2 31 3 2 2" xfId="24452"/>
    <cellStyle name="표준 6 2 2 2 2 31 3 2 2 2" xfId="49804"/>
    <cellStyle name="표준 6 2 2 2 2 31 3 2 3" xfId="37132"/>
    <cellStyle name="표준 6 2 2 2 2 31 3 3" xfId="18116"/>
    <cellStyle name="표준 6 2 2 2 2 31 3 3 2" xfId="43468"/>
    <cellStyle name="표준 6 2 2 2 2 31 3 4" xfId="30796"/>
    <cellStyle name="표준 6 2 2 2 2 31 4" xfId="8633"/>
    <cellStyle name="표준 6 2 2 2 2 31 4 2" xfId="21307"/>
    <cellStyle name="표준 6 2 2 2 2 31 4 2 2" xfId="46659"/>
    <cellStyle name="표준 6 2 2 2 2 31 4 3" xfId="33987"/>
    <cellStyle name="표준 6 2 2 2 2 31 5" xfId="14971"/>
    <cellStyle name="표준 6 2 2 2 2 31 5 2" xfId="40323"/>
    <cellStyle name="표준 6 2 2 2 2 31 6" xfId="27651"/>
    <cellStyle name="표준 6 2 2 2 2 32" xfId="2298"/>
    <cellStyle name="표준 6 2 2 2 2 32 2" xfId="2299"/>
    <cellStyle name="표준 6 2 2 2 2 32 2 2" xfId="5443"/>
    <cellStyle name="표준 6 2 2 2 2 32 2 2 2" xfId="11779"/>
    <cellStyle name="표준 6 2 2 2 2 32 2 2 2 2" xfId="24453"/>
    <cellStyle name="표준 6 2 2 2 2 32 2 2 2 2 2" xfId="49805"/>
    <cellStyle name="표준 6 2 2 2 2 32 2 2 2 3" xfId="37133"/>
    <cellStyle name="표준 6 2 2 2 2 32 2 2 3" xfId="18117"/>
    <cellStyle name="표준 6 2 2 2 2 32 2 2 3 2" xfId="43469"/>
    <cellStyle name="표준 6 2 2 2 2 32 2 2 4" xfId="30797"/>
    <cellStyle name="표준 6 2 2 2 2 32 2 3" xfId="8636"/>
    <cellStyle name="표준 6 2 2 2 2 32 2 3 2" xfId="21310"/>
    <cellStyle name="표준 6 2 2 2 2 32 2 3 2 2" xfId="46662"/>
    <cellStyle name="표준 6 2 2 2 2 32 2 3 3" xfId="33990"/>
    <cellStyle name="표준 6 2 2 2 2 32 2 4" xfId="14974"/>
    <cellStyle name="표준 6 2 2 2 2 32 2 4 2" xfId="40326"/>
    <cellStyle name="표준 6 2 2 2 2 32 2 5" xfId="27654"/>
    <cellStyle name="표준 6 2 2 2 2 32 3" xfId="5444"/>
    <cellStyle name="표준 6 2 2 2 2 32 3 2" xfId="11780"/>
    <cellStyle name="표준 6 2 2 2 2 32 3 2 2" xfId="24454"/>
    <cellStyle name="표준 6 2 2 2 2 32 3 2 2 2" xfId="49806"/>
    <cellStyle name="표준 6 2 2 2 2 32 3 2 3" xfId="37134"/>
    <cellStyle name="표준 6 2 2 2 2 32 3 3" xfId="18118"/>
    <cellStyle name="표준 6 2 2 2 2 32 3 3 2" xfId="43470"/>
    <cellStyle name="표준 6 2 2 2 2 32 3 4" xfId="30798"/>
    <cellStyle name="표준 6 2 2 2 2 32 4" xfId="8635"/>
    <cellStyle name="표준 6 2 2 2 2 32 4 2" xfId="21309"/>
    <cellStyle name="표준 6 2 2 2 2 32 4 2 2" xfId="46661"/>
    <cellStyle name="표준 6 2 2 2 2 32 4 3" xfId="33989"/>
    <cellStyle name="표준 6 2 2 2 2 32 5" xfId="14973"/>
    <cellStyle name="표준 6 2 2 2 2 32 5 2" xfId="40325"/>
    <cellStyle name="표준 6 2 2 2 2 32 6" xfId="27653"/>
    <cellStyle name="표준 6 2 2 2 2 33" xfId="2300"/>
    <cellStyle name="표준 6 2 2 2 2 33 2" xfId="2301"/>
    <cellStyle name="표준 6 2 2 2 2 33 2 2" xfId="5445"/>
    <cellStyle name="표준 6 2 2 2 2 33 2 2 2" xfId="11781"/>
    <cellStyle name="표준 6 2 2 2 2 33 2 2 2 2" xfId="24455"/>
    <cellStyle name="표준 6 2 2 2 2 33 2 2 2 2 2" xfId="49807"/>
    <cellStyle name="표준 6 2 2 2 2 33 2 2 2 3" xfId="37135"/>
    <cellStyle name="표준 6 2 2 2 2 33 2 2 3" xfId="18119"/>
    <cellStyle name="표준 6 2 2 2 2 33 2 2 3 2" xfId="43471"/>
    <cellStyle name="표준 6 2 2 2 2 33 2 2 4" xfId="30799"/>
    <cellStyle name="표준 6 2 2 2 2 33 2 3" xfId="8638"/>
    <cellStyle name="표준 6 2 2 2 2 33 2 3 2" xfId="21312"/>
    <cellStyle name="표준 6 2 2 2 2 33 2 3 2 2" xfId="46664"/>
    <cellStyle name="표준 6 2 2 2 2 33 2 3 3" xfId="33992"/>
    <cellStyle name="표준 6 2 2 2 2 33 2 4" xfId="14976"/>
    <cellStyle name="표준 6 2 2 2 2 33 2 4 2" xfId="40328"/>
    <cellStyle name="표준 6 2 2 2 2 33 2 5" xfId="27656"/>
    <cellStyle name="표준 6 2 2 2 2 33 3" xfId="5446"/>
    <cellStyle name="표준 6 2 2 2 2 33 3 2" xfId="11782"/>
    <cellStyle name="표준 6 2 2 2 2 33 3 2 2" xfId="24456"/>
    <cellStyle name="표준 6 2 2 2 2 33 3 2 2 2" xfId="49808"/>
    <cellStyle name="표준 6 2 2 2 2 33 3 2 3" xfId="37136"/>
    <cellStyle name="표준 6 2 2 2 2 33 3 3" xfId="18120"/>
    <cellStyle name="표준 6 2 2 2 2 33 3 3 2" xfId="43472"/>
    <cellStyle name="표준 6 2 2 2 2 33 3 4" xfId="30800"/>
    <cellStyle name="표준 6 2 2 2 2 33 4" xfId="8637"/>
    <cellStyle name="표준 6 2 2 2 2 33 4 2" xfId="21311"/>
    <cellStyle name="표준 6 2 2 2 2 33 4 2 2" xfId="46663"/>
    <cellStyle name="표준 6 2 2 2 2 33 4 3" xfId="33991"/>
    <cellStyle name="표준 6 2 2 2 2 33 5" xfId="14975"/>
    <cellStyle name="표준 6 2 2 2 2 33 5 2" xfId="40327"/>
    <cellStyle name="표준 6 2 2 2 2 33 6" xfId="27655"/>
    <cellStyle name="표준 6 2 2 2 2 34" xfId="2302"/>
    <cellStyle name="표준 6 2 2 2 2 34 2" xfId="5447"/>
    <cellStyle name="표준 6 2 2 2 2 34 2 2" xfId="11783"/>
    <cellStyle name="표준 6 2 2 2 2 34 2 2 2" xfId="24457"/>
    <cellStyle name="표준 6 2 2 2 2 34 2 2 2 2" xfId="49809"/>
    <cellStyle name="표준 6 2 2 2 2 34 2 2 3" xfId="37137"/>
    <cellStyle name="표준 6 2 2 2 2 34 2 3" xfId="18121"/>
    <cellStyle name="표준 6 2 2 2 2 34 2 3 2" xfId="43473"/>
    <cellStyle name="표준 6 2 2 2 2 34 2 4" xfId="30801"/>
    <cellStyle name="표준 6 2 2 2 2 34 3" xfId="8639"/>
    <cellStyle name="표준 6 2 2 2 2 34 3 2" xfId="21313"/>
    <cellStyle name="표준 6 2 2 2 2 34 3 2 2" xfId="46665"/>
    <cellStyle name="표준 6 2 2 2 2 34 3 3" xfId="33993"/>
    <cellStyle name="표준 6 2 2 2 2 34 4" xfId="14977"/>
    <cellStyle name="표준 6 2 2 2 2 34 4 2" xfId="40329"/>
    <cellStyle name="표준 6 2 2 2 2 34 5" xfId="27657"/>
    <cellStyle name="표준 6 2 2 2 2 35" xfId="5448"/>
    <cellStyle name="표준 6 2 2 2 2 35 2" xfId="11784"/>
    <cellStyle name="표준 6 2 2 2 2 35 2 2" xfId="24458"/>
    <cellStyle name="표준 6 2 2 2 2 35 2 2 2" xfId="49810"/>
    <cellStyle name="표준 6 2 2 2 2 35 2 3" xfId="37138"/>
    <cellStyle name="표준 6 2 2 2 2 35 3" xfId="18122"/>
    <cellStyle name="표준 6 2 2 2 2 35 3 2" xfId="43474"/>
    <cellStyle name="표준 6 2 2 2 2 35 4" xfId="30802"/>
    <cellStyle name="표준 6 2 2 2 2 36" xfId="6427"/>
    <cellStyle name="표준 6 2 2 2 2 36 2" xfId="19101"/>
    <cellStyle name="표준 6 2 2 2 2 36 2 2" xfId="44453"/>
    <cellStyle name="표준 6 2 2 2 2 36 3" xfId="31781"/>
    <cellStyle name="표준 6 2 2 2 2 37" xfId="12765"/>
    <cellStyle name="표준 6 2 2 2 2 37 2" xfId="38117"/>
    <cellStyle name="표준 6 2 2 2 2 38" xfId="25445"/>
    <cellStyle name="표준 6 2 2 2 2 4" xfId="2303"/>
    <cellStyle name="표준 6 2 2 2 2 4 2" xfId="2304"/>
    <cellStyle name="표준 6 2 2 2 2 4 2 2" xfId="5449"/>
    <cellStyle name="표준 6 2 2 2 2 4 2 2 2" xfId="11785"/>
    <cellStyle name="표준 6 2 2 2 2 4 2 2 2 2" xfId="24459"/>
    <cellStyle name="표준 6 2 2 2 2 4 2 2 2 2 2" xfId="49811"/>
    <cellStyle name="표준 6 2 2 2 2 4 2 2 2 3" xfId="37139"/>
    <cellStyle name="표준 6 2 2 2 2 4 2 2 3" xfId="18123"/>
    <cellStyle name="표준 6 2 2 2 2 4 2 2 3 2" xfId="43475"/>
    <cellStyle name="표준 6 2 2 2 2 4 2 2 4" xfId="30803"/>
    <cellStyle name="표준 6 2 2 2 2 4 2 3" xfId="8641"/>
    <cellStyle name="표준 6 2 2 2 2 4 2 3 2" xfId="21315"/>
    <cellStyle name="표준 6 2 2 2 2 4 2 3 2 2" xfId="46667"/>
    <cellStyle name="표준 6 2 2 2 2 4 2 3 3" xfId="33995"/>
    <cellStyle name="표준 6 2 2 2 2 4 2 4" xfId="14979"/>
    <cellStyle name="표준 6 2 2 2 2 4 2 4 2" xfId="40331"/>
    <cellStyle name="표준 6 2 2 2 2 4 2 5" xfId="27659"/>
    <cellStyle name="표준 6 2 2 2 2 4 3" xfId="5450"/>
    <cellStyle name="표준 6 2 2 2 2 4 3 2" xfId="11786"/>
    <cellStyle name="표준 6 2 2 2 2 4 3 2 2" xfId="24460"/>
    <cellStyle name="표준 6 2 2 2 2 4 3 2 2 2" xfId="49812"/>
    <cellStyle name="표준 6 2 2 2 2 4 3 2 3" xfId="37140"/>
    <cellStyle name="표준 6 2 2 2 2 4 3 3" xfId="18124"/>
    <cellStyle name="표준 6 2 2 2 2 4 3 3 2" xfId="43476"/>
    <cellStyle name="표준 6 2 2 2 2 4 3 4" xfId="30804"/>
    <cellStyle name="표준 6 2 2 2 2 4 4" xfId="8640"/>
    <cellStyle name="표준 6 2 2 2 2 4 4 2" xfId="21314"/>
    <cellStyle name="표준 6 2 2 2 2 4 4 2 2" xfId="46666"/>
    <cellStyle name="표준 6 2 2 2 2 4 4 3" xfId="33994"/>
    <cellStyle name="표준 6 2 2 2 2 4 5" xfId="14978"/>
    <cellStyle name="표준 6 2 2 2 2 4 5 2" xfId="40330"/>
    <cellStyle name="표준 6 2 2 2 2 4 6" xfId="27658"/>
    <cellStyle name="표준 6 2 2 2 2 5" xfId="2305"/>
    <cellStyle name="표준 6 2 2 2 2 5 2" xfId="2306"/>
    <cellStyle name="표준 6 2 2 2 2 5 2 2" xfId="5451"/>
    <cellStyle name="표준 6 2 2 2 2 5 2 2 2" xfId="11787"/>
    <cellStyle name="표준 6 2 2 2 2 5 2 2 2 2" xfId="24461"/>
    <cellStyle name="표준 6 2 2 2 2 5 2 2 2 2 2" xfId="49813"/>
    <cellStyle name="표준 6 2 2 2 2 5 2 2 2 3" xfId="37141"/>
    <cellStyle name="표준 6 2 2 2 2 5 2 2 3" xfId="18125"/>
    <cellStyle name="표준 6 2 2 2 2 5 2 2 3 2" xfId="43477"/>
    <cellStyle name="표준 6 2 2 2 2 5 2 2 4" xfId="30805"/>
    <cellStyle name="표준 6 2 2 2 2 5 2 3" xfId="8643"/>
    <cellStyle name="표준 6 2 2 2 2 5 2 3 2" xfId="21317"/>
    <cellStyle name="표준 6 2 2 2 2 5 2 3 2 2" xfId="46669"/>
    <cellStyle name="표준 6 2 2 2 2 5 2 3 3" xfId="33997"/>
    <cellStyle name="표준 6 2 2 2 2 5 2 4" xfId="14981"/>
    <cellStyle name="표준 6 2 2 2 2 5 2 4 2" xfId="40333"/>
    <cellStyle name="표준 6 2 2 2 2 5 2 5" xfId="27661"/>
    <cellStyle name="표준 6 2 2 2 2 5 3" xfId="5452"/>
    <cellStyle name="표준 6 2 2 2 2 5 3 2" xfId="11788"/>
    <cellStyle name="표준 6 2 2 2 2 5 3 2 2" xfId="24462"/>
    <cellStyle name="표준 6 2 2 2 2 5 3 2 2 2" xfId="49814"/>
    <cellStyle name="표준 6 2 2 2 2 5 3 2 3" xfId="37142"/>
    <cellStyle name="표준 6 2 2 2 2 5 3 3" xfId="18126"/>
    <cellStyle name="표준 6 2 2 2 2 5 3 3 2" xfId="43478"/>
    <cellStyle name="표준 6 2 2 2 2 5 3 4" xfId="30806"/>
    <cellStyle name="표준 6 2 2 2 2 5 4" xfId="8642"/>
    <cellStyle name="표준 6 2 2 2 2 5 4 2" xfId="21316"/>
    <cellStyle name="표준 6 2 2 2 2 5 4 2 2" xfId="46668"/>
    <cellStyle name="표준 6 2 2 2 2 5 4 3" xfId="33996"/>
    <cellStyle name="표준 6 2 2 2 2 5 5" xfId="14980"/>
    <cellStyle name="표준 6 2 2 2 2 5 5 2" xfId="40332"/>
    <cellStyle name="표준 6 2 2 2 2 5 6" xfId="27660"/>
    <cellStyle name="표준 6 2 2 2 2 6" xfId="2307"/>
    <cellStyle name="표준 6 2 2 2 2 6 2" xfId="2308"/>
    <cellStyle name="표준 6 2 2 2 2 6 2 2" xfId="5453"/>
    <cellStyle name="표준 6 2 2 2 2 6 2 2 2" xfId="11789"/>
    <cellStyle name="표준 6 2 2 2 2 6 2 2 2 2" xfId="24463"/>
    <cellStyle name="표준 6 2 2 2 2 6 2 2 2 2 2" xfId="49815"/>
    <cellStyle name="표준 6 2 2 2 2 6 2 2 2 3" xfId="37143"/>
    <cellStyle name="표준 6 2 2 2 2 6 2 2 3" xfId="18127"/>
    <cellStyle name="표준 6 2 2 2 2 6 2 2 3 2" xfId="43479"/>
    <cellStyle name="표준 6 2 2 2 2 6 2 2 4" xfId="30807"/>
    <cellStyle name="표준 6 2 2 2 2 6 2 3" xfId="8645"/>
    <cellStyle name="표준 6 2 2 2 2 6 2 3 2" xfId="21319"/>
    <cellStyle name="표준 6 2 2 2 2 6 2 3 2 2" xfId="46671"/>
    <cellStyle name="표준 6 2 2 2 2 6 2 3 3" xfId="33999"/>
    <cellStyle name="표준 6 2 2 2 2 6 2 4" xfId="14983"/>
    <cellStyle name="표준 6 2 2 2 2 6 2 4 2" xfId="40335"/>
    <cellStyle name="표준 6 2 2 2 2 6 2 5" xfId="27663"/>
    <cellStyle name="표준 6 2 2 2 2 6 3" xfId="5454"/>
    <cellStyle name="표준 6 2 2 2 2 6 3 2" xfId="11790"/>
    <cellStyle name="표준 6 2 2 2 2 6 3 2 2" xfId="24464"/>
    <cellStyle name="표준 6 2 2 2 2 6 3 2 2 2" xfId="49816"/>
    <cellStyle name="표준 6 2 2 2 2 6 3 2 3" xfId="37144"/>
    <cellStyle name="표준 6 2 2 2 2 6 3 3" xfId="18128"/>
    <cellStyle name="표준 6 2 2 2 2 6 3 3 2" xfId="43480"/>
    <cellStyle name="표준 6 2 2 2 2 6 3 4" xfId="30808"/>
    <cellStyle name="표준 6 2 2 2 2 6 4" xfId="8644"/>
    <cellStyle name="표준 6 2 2 2 2 6 4 2" xfId="21318"/>
    <cellStyle name="표준 6 2 2 2 2 6 4 2 2" xfId="46670"/>
    <cellStyle name="표준 6 2 2 2 2 6 4 3" xfId="33998"/>
    <cellStyle name="표준 6 2 2 2 2 6 5" xfId="14982"/>
    <cellStyle name="표준 6 2 2 2 2 6 5 2" xfId="40334"/>
    <cellStyle name="표준 6 2 2 2 2 6 6" xfId="27662"/>
    <cellStyle name="표준 6 2 2 2 2 7" xfId="2309"/>
    <cellStyle name="표준 6 2 2 2 2 7 2" xfId="2310"/>
    <cellStyle name="표준 6 2 2 2 2 7 2 2" xfId="5455"/>
    <cellStyle name="표준 6 2 2 2 2 7 2 2 2" xfId="11791"/>
    <cellStyle name="표준 6 2 2 2 2 7 2 2 2 2" xfId="24465"/>
    <cellStyle name="표준 6 2 2 2 2 7 2 2 2 2 2" xfId="49817"/>
    <cellStyle name="표준 6 2 2 2 2 7 2 2 2 3" xfId="37145"/>
    <cellStyle name="표준 6 2 2 2 2 7 2 2 3" xfId="18129"/>
    <cellStyle name="표준 6 2 2 2 2 7 2 2 3 2" xfId="43481"/>
    <cellStyle name="표준 6 2 2 2 2 7 2 2 4" xfId="30809"/>
    <cellStyle name="표준 6 2 2 2 2 7 2 3" xfId="8647"/>
    <cellStyle name="표준 6 2 2 2 2 7 2 3 2" xfId="21321"/>
    <cellStyle name="표준 6 2 2 2 2 7 2 3 2 2" xfId="46673"/>
    <cellStyle name="표준 6 2 2 2 2 7 2 3 3" xfId="34001"/>
    <cellStyle name="표준 6 2 2 2 2 7 2 4" xfId="14985"/>
    <cellStyle name="표준 6 2 2 2 2 7 2 4 2" xfId="40337"/>
    <cellStyle name="표준 6 2 2 2 2 7 2 5" xfId="27665"/>
    <cellStyle name="표준 6 2 2 2 2 7 3" xfId="5456"/>
    <cellStyle name="표준 6 2 2 2 2 7 3 2" xfId="11792"/>
    <cellStyle name="표준 6 2 2 2 2 7 3 2 2" xfId="24466"/>
    <cellStyle name="표준 6 2 2 2 2 7 3 2 2 2" xfId="49818"/>
    <cellStyle name="표준 6 2 2 2 2 7 3 2 3" xfId="37146"/>
    <cellStyle name="표준 6 2 2 2 2 7 3 3" xfId="18130"/>
    <cellStyle name="표준 6 2 2 2 2 7 3 3 2" xfId="43482"/>
    <cellStyle name="표준 6 2 2 2 2 7 3 4" xfId="30810"/>
    <cellStyle name="표준 6 2 2 2 2 7 4" xfId="8646"/>
    <cellStyle name="표준 6 2 2 2 2 7 4 2" xfId="21320"/>
    <cellStyle name="표준 6 2 2 2 2 7 4 2 2" xfId="46672"/>
    <cellStyle name="표준 6 2 2 2 2 7 4 3" xfId="34000"/>
    <cellStyle name="표준 6 2 2 2 2 7 5" xfId="14984"/>
    <cellStyle name="표준 6 2 2 2 2 7 5 2" xfId="40336"/>
    <cellStyle name="표준 6 2 2 2 2 7 6" xfId="27664"/>
    <cellStyle name="표준 6 2 2 2 2 8" xfId="2311"/>
    <cellStyle name="표준 6 2 2 2 2 8 2" xfId="2312"/>
    <cellStyle name="표준 6 2 2 2 2 8 2 2" xfId="5457"/>
    <cellStyle name="표준 6 2 2 2 2 8 2 2 2" xfId="11793"/>
    <cellStyle name="표준 6 2 2 2 2 8 2 2 2 2" xfId="24467"/>
    <cellStyle name="표준 6 2 2 2 2 8 2 2 2 2 2" xfId="49819"/>
    <cellStyle name="표준 6 2 2 2 2 8 2 2 2 3" xfId="37147"/>
    <cellStyle name="표준 6 2 2 2 2 8 2 2 3" xfId="18131"/>
    <cellStyle name="표준 6 2 2 2 2 8 2 2 3 2" xfId="43483"/>
    <cellStyle name="표준 6 2 2 2 2 8 2 2 4" xfId="30811"/>
    <cellStyle name="표준 6 2 2 2 2 8 2 3" xfId="8649"/>
    <cellStyle name="표준 6 2 2 2 2 8 2 3 2" xfId="21323"/>
    <cellStyle name="표준 6 2 2 2 2 8 2 3 2 2" xfId="46675"/>
    <cellStyle name="표준 6 2 2 2 2 8 2 3 3" xfId="34003"/>
    <cellStyle name="표준 6 2 2 2 2 8 2 4" xfId="14987"/>
    <cellStyle name="표준 6 2 2 2 2 8 2 4 2" xfId="40339"/>
    <cellStyle name="표준 6 2 2 2 2 8 2 5" xfId="27667"/>
    <cellStyle name="표준 6 2 2 2 2 8 3" xfId="5458"/>
    <cellStyle name="표준 6 2 2 2 2 8 3 2" xfId="11794"/>
    <cellStyle name="표준 6 2 2 2 2 8 3 2 2" xfId="24468"/>
    <cellStyle name="표준 6 2 2 2 2 8 3 2 2 2" xfId="49820"/>
    <cellStyle name="표준 6 2 2 2 2 8 3 2 3" xfId="37148"/>
    <cellStyle name="표준 6 2 2 2 2 8 3 3" xfId="18132"/>
    <cellStyle name="표준 6 2 2 2 2 8 3 3 2" xfId="43484"/>
    <cellStyle name="표준 6 2 2 2 2 8 3 4" xfId="30812"/>
    <cellStyle name="표준 6 2 2 2 2 8 4" xfId="8648"/>
    <cellStyle name="표준 6 2 2 2 2 8 4 2" xfId="21322"/>
    <cellStyle name="표준 6 2 2 2 2 8 4 2 2" xfId="46674"/>
    <cellStyle name="표준 6 2 2 2 2 8 4 3" xfId="34002"/>
    <cellStyle name="표준 6 2 2 2 2 8 5" xfId="14986"/>
    <cellStyle name="표준 6 2 2 2 2 8 5 2" xfId="40338"/>
    <cellStyle name="표준 6 2 2 2 2 8 6" xfId="27666"/>
    <cellStyle name="표준 6 2 2 2 2 9" xfId="2313"/>
    <cellStyle name="표준 6 2 2 2 2 9 2" xfId="2314"/>
    <cellStyle name="표준 6 2 2 2 2 9 2 2" xfId="5459"/>
    <cellStyle name="표준 6 2 2 2 2 9 2 2 2" xfId="11795"/>
    <cellStyle name="표준 6 2 2 2 2 9 2 2 2 2" xfId="24469"/>
    <cellStyle name="표준 6 2 2 2 2 9 2 2 2 2 2" xfId="49821"/>
    <cellStyle name="표준 6 2 2 2 2 9 2 2 2 3" xfId="37149"/>
    <cellStyle name="표준 6 2 2 2 2 9 2 2 3" xfId="18133"/>
    <cellStyle name="표준 6 2 2 2 2 9 2 2 3 2" xfId="43485"/>
    <cellStyle name="표준 6 2 2 2 2 9 2 2 4" xfId="30813"/>
    <cellStyle name="표준 6 2 2 2 2 9 2 3" xfId="8651"/>
    <cellStyle name="표준 6 2 2 2 2 9 2 3 2" xfId="21325"/>
    <cellStyle name="표준 6 2 2 2 2 9 2 3 2 2" xfId="46677"/>
    <cellStyle name="표준 6 2 2 2 2 9 2 3 3" xfId="34005"/>
    <cellStyle name="표준 6 2 2 2 2 9 2 4" xfId="14989"/>
    <cellStyle name="표준 6 2 2 2 2 9 2 4 2" xfId="40341"/>
    <cellStyle name="표준 6 2 2 2 2 9 2 5" xfId="27669"/>
    <cellStyle name="표준 6 2 2 2 2 9 3" xfId="5460"/>
    <cellStyle name="표준 6 2 2 2 2 9 3 2" xfId="11796"/>
    <cellStyle name="표준 6 2 2 2 2 9 3 2 2" xfId="24470"/>
    <cellStyle name="표준 6 2 2 2 2 9 3 2 2 2" xfId="49822"/>
    <cellStyle name="표준 6 2 2 2 2 9 3 2 3" xfId="37150"/>
    <cellStyle name="표준 6 2 2 2 2 9 3 3" xfId="18134"/>
    <cellStyle name="표준 6 2 2 2 2 9 3 3 2" xfId="43486"/>
    <cellStyle name="표준 6 2 2 2 2 9 3 4" xfId="30814"/>
    <cellStyle name="표준 6 2 2 2 2 9 4" xfId="8650"/>
    <cellStyle name="표준 6 2 2 2 2 9 4 2" xfId="21324"/>
    <cellStyle name="표준 6 2 2 2 2 9 4 2 2" xfId="46676"/>
    <cellStyle name="표준 6 2 2 2 2 9 4 3" xfId="34004"/>
    <cellStyle name="표준 6 2 2 2 2 9 5" xfId="14988"/>
    <cellStyle name="표준 6 2 2 2 2 9 5 2" xfId="40340"/>
    <cellStyle name="표준 6 2 2 2 2 9 6" xfId="27668"/>
    <cellStyle name="표준 6 2 2 2 20" xfId="2315"/>
    <cellStyle name="표준 6 2 2 2 20 2" xfId="2316"/>
    <cellStyle name="표준 6 2 2 2 20 2 2" xfId="5461"/>
    <cellStyle name="표준 6 2 2 2 20 2 2 2" xfId="11797"/>
    <cellStyle name="표준 6 2 2 2 20 2 2 2 2" xfId="24471"/>
    <cellStyle name="표준 6 2 2 2 20 2 2 2 2 2" xfId="49823"/>
    <cellStyle name="표준 6 2 2 2 20 2 2 2 3" xfId="37151"/>
    <cellStyle name="표준 6 2 2 2 20 2 2 3" xfId="18135"/>
    <cellStyle name="표준 6 2 2 2 20 2 2 3 2" xfId="43487"/>
    <cellStyle name="표준 6 2 2 2 20 2 2 4" xfId="30815"/>
    <cellStyle name="표준 6 2 2 2 20 2 3" xfId="8653"/>
    <cellStyle name="표준 6 2 2 2 20 2 3 2" xfId="21327"/>
    <cellStyle name="표준 6 2 2 2 20 2 3 2 2" xfId="46679"/>
    <cellStyle name="표준 6 2 2 2 20 2 3 3" xfId="34007"/>
    <cellStyle name="표준 6 2 2 2 20 2 4" xfId="14991"/>
    <cellStyle name="표준 6 2 2 2 20 2 4 2" xfId="40343"/>
    <cellStyle name="표준 6 2 2 2 20 2 5" xfId="27671"/>
    <cellStyle name="표준 6 2 2 2 20 3" xfId="5462"/>
    <cellStyle name="표준 6 2 2 2 20 3 2" xfId="11798"/>
    <cellStyle name="표준 6 2 2 2 20 3 2 2" xfId="24472"/>
    <cellStyle name="표준 6 2 2 2 20 3 2 2 2" xfId="49824"/>
    <cellStyle name="표준 6 2 2 2 20 3 2 3" xfId="37152"/>
    <cellStyle name="표준 6 2 2 2 20 3 3" xfId="18136"/>
    <cellStyle name="표준 6 2 2 2 20 3 3 2" xfId="43488"/>
    <cellStyle name="표준 6 2 2 2 20 3 4" xfId="30816"/>
    <cellStyle name="표준 6 2 2 2 20 4" xfId="8652"/>
    <cellStyle name="표준 6 2 2 2 20 4 2" xfId="21326"/>
    <cellStyle name="표준 6 2 2 2 20 4 2 2" xfId="46678"/>
    <cellStyle name="표준 6 2 2 2 20 4 3" xfId="34006"/>
    <cellStyle name="표준 6 2 2 2 20 5" xfId="14990"/>
    <cellStyle name="표준 6 2 2 2 20 5 2" xfId="40342"/>
    <cellStyle name="표준 6 2 2 2 20 6" xfId="27670"/>
    <cellStyle name="표준 6 2 2 2 21" xfId="2317"/>
    <cellStyle name="표준 6 2 2 2 21 2" xfId="2318"/>
    <cellStyle name="표준 6 2 2 2 21 2 2" xfId="5463"/>
    <cellStyle name="표준 6 2 2 2 21 2 2 2" xfId="11799"/>
    <cellStyle name="표준 6 2 2 2 21 2 2 2 2" xfId="24473"/>
    <cellStyle name="표준 6 2 2 2 21 2 2 2 2 2" xfId="49825"/>
    <cellStyle name="표준 6 2 2 2 21 2 2 2 3" xfId="37153"/>
    <cellStyle name="표준 6 2 2 2 21 2 2 3" xfId="18137"/>
    <cellStyle name="표준 6 2 2 2 21 2 2 3 2" xfId="43489"/>
    <cellStyle name="표준 6 2 2 2 21 2 2 4" xfId="30817"/>
    <cellStyle name="표준 6 2 2 2 21 2 3" xfId="8655"/>
    <cellStyle name="표준 6 2 2 2 21 2 3 2" xfId="21329"/>
    <cellStyle name="표준 6 2 2 2 21 2 3 2 2" xfId="46681"/>
    <cellStyle name="표준 6 2 2 2 21 2 3 3" xfId="34009"/>
    <cellStyle name="표준 6 2 2 2 21 2 4" xfId="14993"/>
    <cellStyle name="표준 6 2 2 2 21 2 4 2" xfId="40345"/>
    <cellStyle name="표준 6 2 2 2 21 2 5" xfId="27673"/>
    <cellStyle name="표준 6 2 2 2 21 3" xfId="5464"/>
    <cellStyle name="표준 6 2 2 2 21 3 2" xfId="11800"/>
    <cellStyle name="표준 6 2 2 2 21 3 2 2" xfId="24474"/>
    <cellStyle name="표준 6 2 2 2 21 3 2 2 2" xfId="49826"/>
    <cellStyle name="표준 6 2 2 2 21 3 2 3" xfId="37154"/>
    <cellStyle name="표준 6 2 2 2 21 3 3" xfId="18138"/>
    <cellStyle name="표준 6 2 2 2 21 3 3 2" xfId="43490"/>
    <cellStyle name="표준 6 2 2 2 21 3 4" xfId="30818"/>
    <cellStyle name="표준 6 2 2 2 21 4" xfId="8654"/>
    <cellStyle name="표준 6 2 2 2 21 4 2" xfId="21328"/>
    <cellStyle name="표준 6 2 2 2 21 4 2 2" xfId="46680"/>
    <cellStyle name="표준 6 2 2 2 21 4 3" xfId="34008"/>
    <cellStyle name="표준 6 2 2 2 21 5" xfId="14992"/>
    <cellStyle name="표준 6 2 2 2 21 5 2" xfId="40344"/>
    <cellStyle name="표준 6 2 2 2 21 6" xfId="27672"/>
    <cellStyle name="표준 6 2 2 2 22" xfId="2319"/>
    <cellStyle name="표준 6 2 2 2 22 2" xfId="2320"/>
    <cellStyle name="표준 6 2 2 2 22 2 2" xfId="5465"/>
    <cellStyle name="표준 6 2 2 2 22 2 2 2" xfId="11801"/>
    <cellStyle name="표준 6 2 2 2 22 2 2 2 2" xfId="24475"/>
    <cellStyle name="표준 6 2 2 2 22 2 2 2 2 2" xfId="49827"/>
    <cellStyle name="표준 6 2 2 2 22 2 2 2 3" xfId="37155"/>
    <cellStyle name="표준 6 2 2 2 22 2 2 3" xfId="18139"/>
    <cellStyle name="표준 6 2 2 2 22 2 2 3 2" xfId="43491"/>
    <cellStyle name="표준 6 2 2 2 22 2 2 4" xfId="30819"/>
    <cellStyle name="표준 6 2 2 2 22 2 3" xfId="8657"/>
    <cellStyle name="표준 6 2 2 2 22 2 3 2" xfId="21331"/>
    <cellStyle name="표준 6 2 2 2 22 2 3 2 2" xfId="46683"/>
    <cellStyle name="표준 6 2 2 2 22 2 3 3" xfId="34011"/>
    <cellStyle name="표준 6 2 2 2 22 2 4" xfId="14995"/>
    <cellStyle name="표준 6 2 2 2 22 2 4 2" xfId="40347"/>
    <cellStyle name="표준 6 2 2 2 22 2 5" xfId="27675"/>
    <cellStyle name="표준 6 2 2 2 22 3" xfId="5466"/>
    <cellStyle name="표준 6 2 2 2 22 3 2" xfId="11802"/>
    <cellStyle name="표준 6 2 2 2 22 3 2 2" xfId="24476"/>
    <cellStyle name="표준 6 2 2 2 22 3 2 2 2" xfId="49828"/>
    <cellStyle name="표준 6 2 2 2 22 3 2 3" xfId="37156"/>
    <cellStyle name="표준 6 2 2 2 22 3 3" xfId="18140"/>
    <cellStyle name="표준 6 2 2 2 22 3 3 2" xfId="43492"/>
    <cellStyle name="표준 6 2 2 2 22 3 4" xfId="30820"/>
    <cellStyle name="표준 6 2 2 2 22 4" xfId="8656"/>
    <cellStyle name="표준 6 2 2 2 22 4 2" xfId="21330"/>
    <cellStyle name="표준 6 2 2 2 22 4 2 2" xfId="46682"/>
    <cellStyle name="표준 6 2 2 2 22 4 3" xfId="34010"/>
    <cellStyle name="표준 6 2 2 2 22 5" xfId="14994"/>
    <cellStyle name="표준 6 2 2 2 22 5 2" xfId="40346"/>
    <cellStyle name="표준 6 2 2 2 22 6" xfId="27674"/>
    <cellStyle name="표준 6 2 2 2 23" xfId="2321"/>
    <cellStyle name="표준 6 2 2 2 23 2" xfId="2322"/>
    <cellStyle name="표준 6 2 2 2 23 2 2" xfId="5467"/>
    <cellStyle name="표준 6 2 2 2 23 2 2 2" xfId="11803"/>
    <cellStyle name="표준 6 2 2 2 23 2 2 2 2" xfId="24477"/>
    <cellStyle name="표준 6 2 2 2 23 2 2 2 2 2" xfId="49829"/>
    <cellStyle name="표준 6 2 2 2 23 2 2 2 3" xfId="37157"/>
    <cellStyle name="표준 6 2 2 2 23 2 2 3" xfId="18141"/>
    <cellStyle name="표준 6 2 2 2 23 2 2 3 2" xfId="43493"/>
    <cellStyle name="표준 6 2 2 2 23 2 2 4" xfId="30821"/>
    <cellStyle name="표준 6 2 2 2 23 2 3" xfId="8659"/>
    <cellStyle name="표준 6 2 2 2 23 2 3 2" xfId="21333"/>
    <cellStyle name="표준 6 2 2 2 23 2 3 2 2" xfId="46685"/>
    <cellStyle name="표준 6 2 2 2 23 2 3 3" xfId="34013"/>
    <cellStyle name="표준 6 2 2 2 23 2 4" xfId="14997"/>
    <cellStyle name="표준 6 2 2 2 23 2 4 2" xfId="40349"/>
    <cellStyle name="표준 6 2 2 2 23 2 5" xfId="27677"/>
    <cellStyle name="표준 6 2 2 2 23 3" xfId="5468"/>
    <cellStyle name="표준 6 2 2 2 23 3 2" xfId="11804"/>
    <cellStyle name="표준 6 2 2 2 23 3 2 2" xfId="24478"/>
    <cellStyle name="표준 6 2 2 2 23 3 2 2 2" xfId="49830"/>
    <cellStyle name="표준 6 2 2 2 23 3 2 3" xfId="37158"/>
    <cellStyle name="표준 6 2 2 2 23 3 3" xfId="18142"/>
    <cellStyle name="표준 6 2 2 2 23 3 3 2" xfId="43494"/>
    <cellStyle name="표준 6 2 2 2 23 3 4" xfId="30822"/>
    <cellStyle name="표준 6 2 2 2 23 4" xfId="8658"/>
    <cellStyle name="표준 6 2 2 2 23 4 2" xfId="21332"/>
    <cellStyle name="표준 6 2 2 2 23 4 2 2" xfId="46684"/>
    <cellStyle name="표준 6 2 2 2 23 4 3" xfId="34012"/>
    <cellStyle name="표준 6 2 2 2 23 5" xfId="14996"/>
    <cellStyle name="표준 6 2 2 2 23 5 2" xfId="40348"/>
    <cellStyle name="표준 6 2 2 2 23 6" xfId="27676"/>
    <cellStyle name="표준 6 2 2 2 24" xfId="2323"/>
    <cellStyle name="표준 6 2 2 2 24 2" xfId="2324"/>
    <cellStyle name="표준 6 2 2 2 24 2 2" xfId="5469"/>
    <cellStyle name="표준 6 2 2 2 24 2 2 2" xfId="11805"/>
    <cellStyle name="표준 6 2 2 2 24 2 2 2 2" xfId="24479"/>
    <cellStyle name="표준 6 2 2 2 24 2 2 2 2 2" xfId="49831"/>
    <cellStyle name="표준 6 2 2 2 24 2 2 2 3" xfId="37159"/>
    <cellStyle name="표준 6 2 2 2 24 2 2 3" xfId="18143"/>
    <cellStyle name="표준 6 2 2 2 24 2 2 3 2" xfId="43495"/>
    <cellStyle name="표준 6 2 2 2 24 2 2 4" xfId="30823"/>
    <cellStyle name="표준 6 2 2 2 24 2 3" xfId="8661"/>
    <cellStyle name="표준 6 2 2 2 24 2 3 2" xfId="21335"/>
    <cellStyle name="표준 6 2 2 2 24 2 3 2 2" xfId="46687"/>
    <cellStyle name="표준 6 2 2 2 24 2 3 3" xfId="34015"/>
    <cellStyle name="표준 6 2 2 2 24 2 4" xfId="14999"/>
    <cellStyle name="표준 6 2 2 2 24 2 4 2" xfId="40351"/>
    <cellStyle name="표준 6 2 2 2 24 2 5" xfId="27679"/>
    <cellStyle name="표준 6 2 2 2 24 3" xfId="5470"/>
    <cellStyle name="표준 6 2 2 2 24 3 2" xfId="11806"/>
    <cellStyle name="표준 6 2 2 2 24 3 2 2" xfId="24480"/>
    <cellStyle name="표준 6 2 2 2 24 3 2 2 2" xfId="49832"/>
    <cellStyle name="표준 6 2 2 2 24 3 2 3" xfId="37160"/>
    <cellStyle name="표준 6 2 2 2 24 3 3" xfId="18144"/>
    <cellStyle name="표준 6 2 2 2 24 3 3 2" xfId="43496"/>
    <cellStyle name="표준 6 2 2 2 24 3 4" xfId="30824"/>
    <cellStyle name="표준 6 2 2 2 24 4" xfId="8660"/>
    <cellStyle name="표준 6 2 2 2 24 4 2" xfId="21334"/>
    <cellStyle name="표준 6 2 2 2 24 4 2 2" xfId="46686"/>
    <cellStyle name="표준 6 2 2 2 24 4 3" xfId="34014"/>
    <cellStyle name="표준 6 2 2 2 24 5" xfId="14998"/>
    <cellStyle name="표준 6 2 2 2 24 5 2" xfId="40350"/>
    <cellStyle name="표준 6 2 2 2 24 6" xfId="27678"/>
    <cellStyle name="표준 6 2 2 2 25" xfId="2325"/>
    <cellStyle name="표준 6 2 2 2 25 2" xfId="2326"/>
    <cellStyle name="표준 6 2 2 2 25 2 2" xfId="5471"/>
    <cellStyle name="표준 6 2 2 2 25 2 2 2" xfId="11807"/>
    <cellStyle name="표준 6 2 2 2 25 2 2 2 2" xfId="24481"/>
    <cellStyle name="표준 6 2 2 2 25 2 2 2 2 2" xfId="49833"/>
    <cellStyle name="표준 6 2 2 2 25 2 2 2 3" xfId="37161"/>
    <cellStyle name="표준 6 2 2 2 25 2 2 3" xfId="18145"/>
    <cellStyle name="표준 6 2 2 2 25 2 2 3 2" xfId="43497"/>
    <cellStyle name="표준 6 2 2 2 25 2 2 4" xfId="30825"/>
    <cellStyle name="표준 6 2 2 2 25 2 3" xfId="8663"/>
    <cellStyle name="표준 6 2 2 2 25 2 3 2" xfId="21337"/>
    <cellStyle name="표준 6 2 2 2 25 2 3 2 2" xfId="46689"/>
    <cellStyle name="표준 6 2 2 2 25 2 3 3" xfId="34017"/>
    <cellStyle name="표준 6 2 2 2 25 2 4" xfId="15001"/>
    <cellStyle name="표준 6 2 2 2 25 2 4 2" xfId="40353"/>
    <cellStyle name="표준 6 2 2 2 25 2 5" xfId="27681"/>
    <cellStyle name="표준 6 2 2 2 25 3" xfId="5472"/>
    <cellStyle name="표준 6 2 2 2 25 3 2" xfId="11808"/>
    <cellStyle name="표준 6 2 2 2 25 3 2 2" xfId="24482"/>
    <cellStyle name="표준 6 2 2 2 25 3 2 2 2" xfId="49834"/>
    <cellStyle name="표준 6 2 2 2 25 3 2 3" xfId="37162"/>
    <cellStyle name="표준 6 2 2 2 25 3 3" xfId="18146"/>
    <cellStyle name="표준 6 2 2 2 25 3 3 2" xfId="43498"/>
    <cellStyle name="표준 6 2 2 2 25 3 4" xfId="30826"/>
    <cellStyle name="표준 6 2 2 2 25 4" xfId="8662"/>
    <cellStyle name="표준 6 2 2 2 25 4 2" xfId="21336"/>
    <cellStyle name="표준 6 2 2 2 25 4 2 2" xfId="46688"/>
    <cellStyle name="표준 6 2 2 2 25 4 3" xfId="34016"/>
    <cellStyle name="표준 6 2 2 2 25 5" xfId="15000"/>
    <cellStyle name="표준 6 2 2 2 25 5 2" xfId="40352"/>
    <cellStyle name="표준 6 2 2 2 25 6" xfId="27680"/>
    <cellStyle name="표준 6 2 2 2 26" xfId="2327"/>
    <cellStyle name="표준 6 2 2 2 26 2" xfId="2328"/>
    <cellStyle name="표준 6 2 2 2 26 2 2" xfId="5473"/>
    <cellStyle name="표준 6 2 2 2 26 2 2 2" xfId="11809"/>
    <cellStyle name="표준 6 2 2 2 26 2 2 2 2" xfId="24483"/>
    <cellStyle name="표준 6 2 2 2 26 2 2 2 2 2" xfId="49835"/>
    <cellStyle name="표준 6 2 2 2 26 2 2 2 3" xfId="37163"/>
    <cellStyle name="표준 6 2 2 2 26 2 2 3" xfId="18147"/>
    <cellStyle name="표준 6 2 2 2 26 2 2 3 2" xfId="43499"/>
    <cellStyle name="표준 6 2 2 2 26 2 2 4" xfId="30827"/>
    <cellStyle name="표준 6 2 2 2 26 2 3" xfId="8665"/>
    <cellStyle name="표준 6 2 2 2 26 2 3 2" xfId="21339"/>
    <cellStyle name="표준 6 2 2 2 26 2 3 2 2" xfId="46691"/>
    <cellStyle name="표준 6 2 2 2 26 2 3 3" xfId="34019"/>
    <cellStyle name="표준 6 2 2 2 26 2 4" xfId="15003"/>
    <cellStyle name="표준 6 2 2 2 26 2 4 2" xfId="40355"/>
    <cellStyle name="표준 6 2 2 2 26 2 5" xfId="27683"/>
    <cellStyle name="표준 6 2 2 2 26 3" xfId="5474"/>
    <cellStyle name="표준 6 2 2 2 26 3 2" xfId="11810"/>
    <cellStyle name="표준 6 2 2 2 26 3 2 2" xfId="24484"/>
    <cellStyle name="표준 6 2 2 2 26 3 2 2 2" xfId="49836"/>
    <cellStyle name="표준 6 2 2 2 26 3 2 3" xfId="37164"/>
    <cellStyle name="표준 6 2 2 2 26 3 3" xfId="18148"/>
    <cellStyle name="표준 6 2 2 2 26 3 3 2" xfId="43500"/>
    <cellStyle name="표준 6 2 2 2 26 3 4" xfId="30828"/>
    <cellStyle name="표준 6 2 2 2 26 4" xfId="8664"/>
    <cellStyle name="표준 6 2 2 2 26 4 2" xfId="21338"/>
    <cellStyle name="표준 6 2 2 2 26 4 2 2" xfId="46690"/>
    <cellStyle name="표준 6 2 2 2 26 4 3" xfId="34018"/>
    <cellStyle name="표준 6 2 2 2 26 5" xfId="15002"/>
    <cellStyle name="표준 6 2 2 2 26 5 2" xfId="40354"/>
    <cellStyle name="표준 6 2 2 2 26 6" xfId="27682"/>
    <cellStyle name="표준 6 2 2 2 27" xfId="2329"/>
    <cellStyle name="표준 6 2 2 2 27 2" xfId="2330"/>
    <cellStyle name="표준 6 2 2 2 27 2 2" xfId="5475"/>
    <cellStyle name="표준 6 2 2 2 27 2 2 2" xfId="11811"/>
    <cellStyle name="표준 6 2 2 2 27 2 2 2 2" xfId="24485"/>
    <cellStyle name="표준 6 2 2 2 27 2 2 2 2 2" xfId="49837"/>
    <cellStyle name="표준 6 2 2 2 27 2 2 2 3" xfId="37165"/>
    <cellStyle name="표준 6 2 2 2 27 2 2 3" xfId="18149"/>
    <cellStyle name="표준 6 2 2 2 27 2 2 3 2" xfId="43501"/>
    <cellStyle name="표준 6 2 2 2 27 2 2 4" xfId="30829"/>
    <cellStyle name="표준 6 2 2 2 27 2 3" xfId="8667"/>
    <cellStyle name="표준 6 2 2 2 27 2 3 2" xfId="21341"/>
    <cellStyle name="표준 6 2 2 2 27 2 3 2 2" xfId="46693"/>
    <cellStyle name="표준 6 2 2 2 27 2 3 3" xfId="34021"/>
    <cellStyle name="표준 6 2 2 2 27 2 4" xfId="15005"/>
    <cellStyle name="표준 6 2 2 2 27 2 4 2" xfId="40357"/>
    <cellStyle name="표준 6 2 2 2 27 2 5" xfId="27685"/>
    <cellStyle name="표준 6 2 2 2 27 3" xfId="5476"/>
    <cellStyle name="표준 6 2 2 2 27 3 2" xfId="11812"/>
    <cellStyle name="표준 6 2 2 2 27 3 2 2" xfId="24486"/>
    <cellStyle name="표준 6 2 2 2 27 3 2 2 2" xfId="49838"/>
    <cellStyle name="표준 6 2 2 2 27 3 2 3" xfId="37166"/>
    <cellStyle name="표준 6 2 2 2 27 3 3" xfId="18150"/>
    <cellStyle name="표준 6 2 2 2 27 3 3 2" xfId="43502"/>
    <cellStyle name="표준 6 2 2 2 27 3 4" xfId="30830"/>
    <cellStyle name="표준 6 2 2 2 27 4" xfId="8666"/>
    <cellStyle name="표준 6 2 2 2 27 4 2" xfId="21340"/>
    <cellStyle name="표준 6 2 2 2 27 4 2 2" xfId="46692"/>
    <cellStyle name="표준 6 2 2 2 27 4 3" xfId="34020"/>
    <cellStyle name="표준 6 2 2 2 27 5" xfId="15004"/>
    <cellStyle name="표준 6 2 2 2 27 5 2" xfId="40356"/>
    <cellStyle name="표준 6 2 2 2 27 6" xfId="27684"/>
    <cellStyle name="표준 6 2 2 2 28" xfId="2331"/>
    <cellStyle name="표준 6 2 2 2 28 2" xfId="2332"/>
    <cellStyle name="표준 6 2 2 2 28 2 2" xfId="5477"/>
    <cellStyle name="표준 6 2 2 2 28 2 2 2" xfId="11813"/>
    <cellStyle name="표준 6 2 2 2 28 2 2 2 2" xfId="24487"/>
    <cellStyle name="표준 6 2 2 2 28 2 2 2 2 2" xfId="49839"/>
    <cellStyle name="표준 6 2 2 2 28 2 2 2 3" xfId="37167"/>
    <cellStyle name="표준 6 2 2 2 28 2 2 3" xfId="18151"/>
    <cellStyle name="표준 6 2 2 2 28 2 2 3 2" xfId="43503"/>
    <cellStyle name="표준 6 2 2 2 28 2 2 4" xfId="30831"/>
    <cellStyle name="표준 6 2 2 2 28 2 3" xfId="8669"/>
    <cellStyle name="표준 6 2 2 2 28 2 3 2" xfId="21343"/>
    <cellStyle name="표준 6 2 2 2 28 2 3 2 2" xfId="46695"/>
    <cellStyle name="표준 6 2 2 2 28 2 3 3" xfId="34023"/>
    <cellStyle name="표준 6 2 2 2 28 2 4" xfId="15007"/>
    <cellStyle name="표준 6 2 2 2 28 2 4 2" xfId="40359"/>
    <cellStyle name="표준 6 2 2 2 28 2 5" xfId="27687"/>
    <cellStyle name="표준 6 2 2 2 28 3" xfId="5478"/>
    <cellStyle name="표준 6 2 2 2 28 3 2" xfId="11814"/>
    <cellStyle name="표준 6 2 2 2 28 3 2 2" xfId="24488"/>
    <cellStyle name="표준 6 2 2 2 28 3 2 2 2" xfId="49840"/>
    <cellStyle name="표준 6 2 2 2 28 3 2 3" xfId="37168"/>
    <cellStyle name="표준 6 2 2 2 28 3 3" xfId="18152"/>
    <cellStyle name="표준 6 2 2 2 28 3 3 2" xfId="43504"/>
    <cellStyle name="표준 6 2 2 2 28 3 4" xfId="30832"/>
    <cellStyle name="표준 6 2 2 2 28 4" xfId="8668"/>
    <cellStyle name="표준 6 2 2 2 28 4 2" xfId="21342"/>
    <cellStyle name="표준 6 2 2 2 28 4 2 2" xfId="46694"/>
    <cellStyle name="표준 6 2 2 2 28 4 3" xfId="34022"/>
    <cellStyle name="표준 6 2 2 2 28 5" xfId="15006"/>
    <cellStyle name="표준 6 2 2 2 28 5 2" xfId="40358"/>
    <cellStyle name="표준 6 2 2 2 28 6" xfId="27686"/>
    <cellStyle name="표준 6 2 2 2 29" xfId="2333"/>
    <cellStyle name="표준 6 2 2 2 29 2" xfId="2334"/>
    <cellStyle name="표준 6 2 2 2 29 2 2" xfId="5479"/>
    <cellStyle name="표준 6 2 2 2 29 2 2 2" xfId="11815"/>
    <cellStyle name="표준 6 2 2 2 29 2 2 2 2" xfId="24489"/>
    <cellStyle name="표준 6 2 2 2 29 2 2 2 2 2" xfId="49841"/>
    <cellStyle name="표준 6 2 2 2 29 2 2 2 3" xfId="37169"/>
    <cellStyle name="표준 6 2 2 2 29 2 2 3" xfId="18153"/>
    <cellStyle name="표준 6 2 2 2 29 2 2 3 2" xfId="43505"/>
    <cellStyle name="표준 6 2 2 2 29 2 2 4" xfId="30833"/>
    <cellStyle name="표준 6 2 2 2 29 2 3" xfId="8671"/>
    <cellStyle name="표준 6 2 2 2 29 2 3 2" xfId="21345"/>
    <cellStyle name="표준 6 2 2 2 29 2 3 2 2" xfId="46697"/>
    <cellStyle name="표준 6 2 2 2 29 2 3 3" xfId="34025"/>
    <cellStyle name="표준 6 2 2 2 29 2 4" xfId="15009"/>
    <cellStyle name="표준 6 2 2 2 29 2 4 2" xfId="40361"/>
    <cellStyle name="표준 6 2 2 2 29 2 5" xfId="27689"/>
    <cellStyle name="표준 6 2 2 2 29 3" xfId="5480"/>
    <cellStyle name="표준 6 2 2 2 29 3 2" xfId="11816"/>
    <cellStyle name="표준 6 2 2 2 29 3 2 2" xfId="24490"/>
    <cellStyle name="표준 6 2 2 2 29 3 2 2 2" xfId="49842"/>
    <cellStyle name="표준 6 2 2 2 29 3 2 3" xfId="37170"/>
    <cellStyle name="표준 6 2 2 2 29 3 3" xfId="18154"/>
    <cellStyle name="표준 6 2 2 2 29 3 3 2" xfId="43506"/>
    <cellStyle name="표준 6 2 2 2 29 3 4" xfId="30834"/>
    <cellStyle name="표준 6 2 2 2 29 4" xfId="8670"/>
    <cellStyle name="표준 6 2 2 2 29 4 2" xfId="21344"/>
    <cellStyle name="표준 6 2 2 2 29 4 2 2" xfId="46696"/>
    <cellStyle name="표준 6 2 2 2 29 4 3" xfId="34024"/>
    <cellStyle name="표준 6 2 2 2 29 5" xfId="15008"/>
    <cellStyle name="표준 6 2 2 2 29 5 2" xfId="40360"/>
    <cellStyle name="표준 6 2 2 2 29 6" xfId="27688"/>
    <cellStyle name="표준 6 2 2 2 3" xfId="90"/>
    <cellStyle name="표준 6 2 2 2 3 2" xfId="2335"/>
    <cellStyle name="표준 6 2 2 2 3 2 2" xfId="5481"/>
    <cellStyle name="표준 6 2 2 2 3 2 2 2" xfId="11817"/>
    <cellStyle name="표준 6 2 2 2 3 2 2 2 2" xfId="24491"/>
    <cellStyle name="표준 6 2 2 2 3 2 2 2 2 2" xfId="49843"/>
    <cellStyle name="표준 6 2 2 2 3 2 2 2 3" xfId="37171"/>
    <cellStyle name="표준 6 2 2 2 3 2 2 3" xfId="18155"/>
    <cellStyle name="표준 6 2 2 2 3 2 2 3 2" xfId="43507"/>
    <cellStyle name="표준 6 2 2 2 3 2 2 4" xfId="30835"/>
    <cellStyle name="표준 6 2 2 2 3 2 3" xfId="8672"/>
    <cellStyle name="표준 6 2 2 2 3 2 3 2" xfId="21346"/>
    <cellStyle name="표준 6 2 2 2 3 2 3 2 2" xfId="46698"/>
    <cellStyle name="표준 6 2 2 2 3 2 3 3" xfId="34026"/>
    <cellStyle name="표준 6 2 2 2 3 2 4" xfId="15010"/>
    <cellStyle name="표준 6 2 2 2 3 2 4 2" xfId="40362"/>
    <cellStyle name="표준 6 2 2 2 3 2 5" xfId="27690"/>
    <cellStyle name="표준 6 2 2 2 3 3" xfId="5482"/>
    <cellStyle name="표준 6 2 2 2 3 3 2" xfId="11818"/>
    <cellStyle name="표준 6 2 2 2 3 3 2 2" xfId="24492"/>
    <cellStyle name="표준 6 2 2 2 3 3 2 2 2" xfId="49844"/>
    <cellStyle name="표준 6 2 2 2 3 3 2 3" xfId="37172"/>
    <cellStyle name="표준 6 2 2 2 3 3 3" xfId="18156"/>
    <cellStyle name="표준 6 2 2 2 3 3 3 2" xfId="43508"/>
    <cellStyle name="표준 6 2 2 2 3 3 4" xfId="30836"/>
    <cellStyle name="표준 6 2 2 2 3 4" xfId="6428"/>
    <cellStyle name="표준 6 2 2 2 3 4 2" xfId="19102"/>
    <cellStyle name="표준 6 2 2 2 3 4 2 2" xfId="44454"/>
    <cellStyle name="표준 6 2 2 2 3 4 3" xfId="31782"/>
    <cellStyle name="표준 6 2 2 2 3 5" xfId="12766"/>
    <cellStyle name="표준 6 2 2 2 3 5 2" xfId="38118"/>
    <cellStyle name="표준 6 2 2 2 3 6" xfId="25446"/>
    <cellStyle name="표준 6 2 2 2 30" xfId="2336"/>
    <cellStyle name="표준 6 2 2 2 30 2" xfId="2337"/>
    <cellStyle name="표준 6 2 2 2 30 2 2" xfId="5483"/>
    <cellStyle name="표준 6 2 2 2 30 2 2 2" xfId="11819"/>
    <cellStyle name="표준 6 2 2 2 30 2 2 2 2" xfId="24493"/>
    <cellStyle name="표준 6 2 2 2 30 2 2 2 2 2" xfId="49845"/>
    <cellStyle name="표준 6 2 2 2 30 2 2 2 3" xfId="37173"/>
    <cellStyle name="표준 6 2 2 2 30 2 2 3" xfId="18157"/>
    <cellStyle name="표준 6 2 2 2 30 2 2 3 2" xfId="43509"/>
    <cellStyle name="표준 6 2 2 2 30 2 2 4" xfId="30837"/>
    <cellStyle name="표준 6 2 2 2 30 2 3" xfId="8674"/>
    <cellStyle name="표준 6 2 2 2 30 2 3 2" xfId="21348"/>
    <cellStyle name="표준 6 2 2 2 30 2 3 2 2" xfId="46700"/>
    <cellStyle name="표준 6 2 2 2 30 2 3 3" xfId="34028"/>
    <cellStyle name="표준 6 2 2 2 30 2 4" xfId="15012"/>
    <cellStyle name="표준 6 2 2 2 30 2 4 2" xfId="40364"/>
    <cellStyle name="표준 6 2 2 2 30 2 5" xfId="27692"/>
    <cellStyle name="표준 6 2 2 2 30 3" xfId="5484"/>
    <cellStyle name="표준 6 2 2 2 30 3 2" xfId="11820"/>
    <cellStyle name="표준 6 2 2 2 30 3 2 2" xfId="24494"/>
    <cellStyle name="표준 6 2 2 2 30 3 2 2 2" xfId="49846"/>
    <cellStyle name="표준 6 2 2 2 30 3 2 3" xfId="37174"/>
    <cellStyle name="표준 6 2 2 2 30 3 3" xfId="18158"/>
    <cellStyle name="표준 6 2 2 2 30 3 3 2" xfId="43510"/>
    <cellStyle name="표준 6 2 2 2 30 3 4" xfId="30838"/>
    <cellStyle name="표준 6 2 2 2 30 4" xfId="8673"/>
    <cellStyle name="표준 6 2 2 2 30 4 2" xfId="21347"/>
    <cellStyle name="표준 6 2 2 2 30 4 2 2" xfId="46699"/>
    <cellStyle name="표준 6 2 2 2 30 4 3" xfId="34027"/>
    <cellStyle name="표준 6 2 2 2 30 5" xfId="15011"/>
    <cellStyle name="표준 6 2 2 2 30 5 2" xfId="40363"/>
    <cellStyle name="표준 6 2 2 2 30 6" xfId="27691"/>
    <cellStyle name="표준 6 2 2 2 31" xfId="2338"/>
    <cellStyle name="표준 6 2 2 2 31 2" xfId="2339"/>
    <cellStyle name="표준 6 2 2 2 31 2 2" xfId="5485"/>
    <cellStyle name="표준 6 2 2 2 31 2 2 2" xfId="11821"/>
    <cellStyle name="표준 6 2 2 2 31 2 2 2 2" xfId="24495"/>
    <cellStyle name="표준 6 2 2 2 31 2 2 2 2 2" xfId="49847"/>
    <cellStyle name="표준 6 2 2 2 31 2 2 2 3" xfId="37175"/>
    <cellStyle name="표준 6 2 2 2 31 2 2 3" xfId="18159"/>
    <cellStyle name="표준 6 2 2 2 31 2 2 3 2" xfId="43511"/>
    <cellStyle name="표준 6 2 2 2 31 2 2 4" xfId="30839"/>
    <cellStyle name="표준 6 2 2 2 31 2 3" xfId="8676"/>
    <cellStyle name="표준 6 2 2 2 31 2 3 2" xfId="21350"/>
    <cellStyle name="표준 6 2 2 2 31 2 3 2 2" xfId="46702"/>
    <cellStyle name="표준 6 2 2 2 31 2 3 3" xfId="34030"/>
    <cellStyle name="표준 6 2 2 2 31 2 4" xfId="15014"/>
    <cellStyle name="표준 6 2 2 2 31 2 4 2" xfId="40366"/>
    <cellStyle name="표준 6 2 2 2 31 2 5" xfId="27694"/>
    <cellStyle name="표준 6 2 2 2 31 3" xfId="5486"/>
    <cellStyle name="표준 6 2 2 2 31 3 2" xfId="11822"/>
    <cellStyle name="표준 6 2 2 2 31 3 2 2" xfId="24496"/>
    <cellStyle name="표준 6 2 2 2 31 3 2 2 2" xfId="49848"/>
    <cellStyle name="표준 6 2 2 2 31 3 2 3" xfId="37176"/>
    <cellStyle name="표준 6 2 2 2 31 3 3" xfId="18160"/>
    <cellStyle name="표준 6 2 2 2 31 3 3 2" xfId="43512"/>
    <cellStyle name="표준 6 2 2 2 31 3 4" xfId="30840"/>
    <cellStyle name="표준 6 2 2 2 31 4" xfId="8675"/>
    <cellStyle name="표준 6 2 2 2 31 4 2" xfId="21349"/>
    <cellStyle name="표준 6 2 2 2 31 4 2 2" xfId="46701"/>
    <cellStyle name="표준 6 2 2 2 31 4 3" xfId="34029"/>
    <cellStyle name="표준 6 2 2 2 31 5" xfId="15013"/>
    <cellStyle name="표준 6 2 2 2 31 5 2" xfId="40365"/>
    <cellStyle name="표준 6 2 2 2 31 6" xfId="27693"/>
    <cellStyle name="표준 6 2 2 2 32" xfId="2340"/>
    <cellStyle name="표준 6 2 2 2 32 2" xfId="2341"/>
    <cellStyle name="표준 6 2 2 2 32 2 2" xfId="5487"/>
    <cellStyle name="표준 6 2 2 2 32 2 2 2" xfId="11823"/>
    <cellStyle name="표준 6 2 2 2 32 2 2 2 2" xfId="24497"/>
    <cellStyle name="표준 6 2 2 2 32 2 2 2 2 2" xfId="49849"/>
    <cellStyle name="표준 6 2 2 2 32 2 2 2 3" xfId="37177"/>
    <cellStyle name="표준 6 2 2 2 32 2 2 3" xfId="18161"/>
    <cellStyle name="표준 6 2 2 2 32 2 2 3 2" xfId="43513"/>
    <cellStyle name="표준 6 2 2 2 32 2 2 4" xfId="30841"/>
    <cellStyle name="표준 6 2 2 2 32 2 3" xfId="8678"/>
    <cellStyle name="표준 6 2 2 2 32 2 3 2" xfId="21352"/>
    <cellStyle name="표준 6 2 2 2 32 2 3 2 2" xfId="46704"/>
    <cellStyle name="표준 6 2 2 2 32 2 3 3" xfId="34032"/>
    <cellStyle name="표준 6 2 2 2 32 2 4" xfId="15016"/>
    <cellStyle name="표준 6 2 2 2 32 2 4 2" xfId="40368"/>
    <cellStyle name="표준 6 2 2 2 32 2 5" xfId="27696"/>
    <cellStyle name="표준 6 2 2 2 32 3" xfId="5488"/>
    <cellStyle name="표준 6 2 2 2 32 3 2" xfId="11824"/>
    <cellStyle name="표준 6 2 2 2 32 3 2 2" xfId="24498"/>
    <cellStyle name="표준 6 2 2 2 32 3 2 2 2" xfId="49850"/>
    <cellStyle name="표준 6 2 2 2 32 3 2 3" xfId="37178"/>
    <cellStyle name="표준 6 2 2 2 32 3 3" xfId="18162"/>
    <cellStyle name="표준 6 2 2 2 32 3 3 2" xfId="43514"/>
    <cellStyle name="표준 6 2 2 2 32 3 4" xfId="30842"/>
    <cellStyle name="표준 6 2 2 2 32 4" xfId="8677"/>
    <cellStyle name="표준 6 2 2 2 32 4 2" xfId="21351"/>
    <cellStyle name="표준 6 2 2 2 32 4 2 2" xfId="46703"/>
    <cellStyle name="표준 6 2 2 2 32 4 3" xfId="34031"/>
    <cellStyle name="표준 6 2 2 2 32 5" xfId="15015"/>
    <cellStyle name="표준 6 2 2 2 32 5 2" xfId="40367"/>
    <cellStyle name="표준 6 2 2 2 32 6" xfId="27695"/>
    <cellStyle name="표준 6 2 2 2 33" xfId="2342"/>
    <cellStyle name="표준 6 2 2 2 33 2" xfId="2343"/>
    <cellStyle name="표준 6 2 2 2 33 2 2" xfId="5489"/>
    <cellStyle name="표준 6 2 2 2 33 2 2 2" xfId="11825"/>
    <cellStyle name="표준 6 2 2 2 33 2 2 2 2" xfId="24499"/>
    <cellStyle name="표준 6 2 2 2 33 2 2 2 2 2" xfId="49851"/>
    <cellStyle name="표준 6 2 2 2 33 2 2 2 3" xfId="37179"/>
    <cellStyle name="표준 6 2 2 2 33 2 2 3" xfId="18163"/>
    <cellStyle name="표준 6 2 2 2 33 2 2 3 2" xfId="43515"/>
    <cellStyle name="표준 6 2 2 2 33 2 2 4" xfId="30843"/>
    <cellStyle name="표준 6 2 2 2 33 2 3" xfId="8680"/>
    <cellStyle name="표준 6 2 2 2 33 2 3 2" xfId="21354"/>
    <cellStyle name="표준 6 2 2 2 33 2 3 2 2" xfId="46706"/>
    <cellStyle name="표준 6 2 2 2 33 2 3 3" xfId="34034"/>
    <cellStyle name="표준 6 2 2 2 33 2 4" xfId="15018"/>
    <cellStyle name="표준 6 2 2 2 33 2 4 2" xfId="40370"/>
    <cellStyle name="표준 6 2 2 2 33 2 5" xfId="27698"/>
    <cellStyle name="표준 6 2 2 2 33 3" xfId="5490"/>
    <cellStyle name="표준 6 2 2 2 33 3 2" xfId="11826"/>
    <cellStyle name="표준 6 2 2 2 33 3 2 2" xfId="24500"/>
    <cellStyle name="표준 6 2 2 2 33 3 2 2 2" xfId="49852"/>
    <cellStyle name="표준 6 2 2 2 33 3 2 3" xfId="37180"/>
    <cellStyle name="표준 6 2 2 2 33 3 3" xfId="18164"/>
    <cellStyle name="표준 6 2 2 2 33 3 3 2" xfId="43516"/>
    <cellStyle name="표준 6 2 2 2 33 3 4" xfId="30844"/>
    <cellStyle name="표준 6 2 2 2 33 4" xfId="8679"/>
    <cellStyle name="표준 6 2 2 2 33 4 2" xfId="21353"/>
    <cellStyle name="표준 6 2 2 2 33 4 2 2" xfId="46705"/>
    <cellStyle name="표준 6 2 2 2 33 4 3" xfId="34033"/>
    <cellStyle name="표준 6 2 2 2 33 5" xfId="15017"/>
    <cellStyle name="표준 6 2 2 2 33 5 2" xfId="40369"/>
    <cellStyle name="표준 6 2 2 2 33 6" xfId="27697"/>
    <cellStyle name="표준 6 2 2 2 34" xfId="2344"/>
    <cellStyle name="표준 6 2 2 2 34 2" xfId="2345"/>
    <cellStyle name="표준 6 2 2 2 34 2 2" xfId="5491"/>
    <cellStyle name="표준 6 2 2 2 34 2 2 2" xfId="11827"/>
    <cellStyle name="표준 6 2 2 2 34 2 2 2 2" xfId="24501"/>
    <cellStyle name="표준 6 2 2 2 34 2 2 2 2 2" xfId="49853"/>
    <cellStyle name="표준 6 2 2 2 34 2 2 2 3" xfId="37181"/>
    <cellStyle name="표준 6 2 2 2 34 2 2 3" xfId="18165"/>
    <cellStyle name="표준 6 2 2 2 34 2 2 3 2" xfId="43517"/>
    <cellStyle name="표준 6 2 2 2 34 2 2 4" xfId="30845"/>
    <cellStyle name="표준 6 2 2 2 34 2 3" xfId="8682"/>
    <cellStyle name="표준 6 2 2 2 34 2 3 2" xfId="21356"/>
    <cellStyle name="표준 6 2 2 2 34 2 3 2 2" xfId="46708"/>
    <cellStyle name="표준 6 2 2 2 34 2 3 3" xfId="34036"/>
    <cellStyle name="표준 6 2 2 2 34 2 4" xfId="15020"/>
    <cellStyle name="표준 6 2 2 2 34 2 4 2" xfId="40372"/>
    <cellStyle name="표준 6 2 2 2 34 2 5" xfId="27700"/>
    <cellStyle name="표준 6 2 2 2 34 3" xfId="5492"/>
    <cellStyle name="표준 6 2 2 2 34 3 2" xfId="11828"/>
    <cellStyle name="표준 6 2 2 2 34 3 2 2" xfId="24502"/>
    <cellStyle name="표준 6 2 2 2 34 3 2 2 2" xfId="49854"/>
    <cellStyle name="표준 6 2 2 2 34 3 2 3" xfId="37182"/>
    <cellStyle name="표준 6 2 2 2 34 3 3" xfId="18166"/>
    <cellStyle name="표준 6 2 2 2 34 3 3 2" xfId="43518"/>
    <cellStyle name="표준 6 2 2 2 34 3 4" xfId="30846"/>
    <cellStyle name="표준 6 2 2 2 34 4" xfId="8681"/>
    <cellStyle name="표준 6 2 2 2 34 4 2" xfId="21355"/>
    <cellStyle name="표준 6 2 2 2 34 4 2 2" xfId="46707"/>
    <cellStyle name="표준 6 2 2 2 34 4 3" xfId="34035"/>
    <cellStyle name="표준 6 2 2 2 34 5" xfId="15019"/>
    <cellStyle name="표준 6 2 2 2 34 5 2" xfId="40371"/>
    <cellStyle name="표준 6 2 2 2 34 6" xfId="27699"/>
    <cellStyle name="표준 6 2 2 2 35" xfId="2346"/>
    <cellStyle name="표준 6 2 2 2 35 2" xfId="5493"/>
    <cellStyle name="표준 6 2 2 2 35 2 2" xfId="11829"/>
    <cellStyle name="표준 6 2 2 2 35 2 2 2" xfId="24503"/>
    <cellStyle name="표준 6 2 2 2 35 2 2 2 2" xfId="49855"/>
    <cellStyle name="표준 6 2 2 2 35 2 2 3" xfId="37183"/>
    <cellStyle name="표준 6 2 2 2 35 2 3" xfId="18167"/>
    <cellStyle name="표준 6 2 2 2 35 2 3 2" xfId="43519"/>
    <cellStyle name="표준 6 2 2 2 35 2 4" xfId="30847"/>
    <cellStyle name="표준 6 2 2 2 35 3" xfId="8683"/>
    <cellStyle name="표준 6 2 2 2 35 3 2" xfId="21357"/>
    <cellStyle name="표준 6 2 2 2 35 3 2 2" xfId="46709"/>
    <cellStyle name="표준 6 2 2 2 35 3 3" xfId="34037"/>
    <cellStyle name="표준 6 2 2 2 35 4" xfId="15021"/>
    <cellStyle name="표준 6 2 2 2 35 4 2" xfId="40373"/>
    <cellStyle name="표준 6 2 2 2 35 5" xfId="27701"/>
    <cellStyle name="표준 6 2 2 2 36" xfId="5494"/>
    <cellStyle name="표준 6 2 2 2 36 2" xfId="11830"/>
    <cellStyle name="표준 6 2 2 2 36 2 2" xfId="24504"/>
    <cellStyle name="표준 6 2 2 2 36 2 2 2" xfId="49856"/>
    <cellStyle name="표준 6 2 2 2 36 2 3" xfId="37184"/>
    <cellStyle name="표준 6 2 2 2 36 3" xfId="18168"/>
    <cellStyle name="표준 6 2 2 2 36 3 2" xfId="43520"/>
    <cellStyle name="표준 6 2 2 2 36 4" xfId="30848"/>
    <cellStyle name="표준 6 2 2 2 37" xfId="6394"/>
    <cellStyle name="표준 6 2 2 2 37 2" xfId="19068"/>
    <cellStyle name="표준 6 2 2 2 37 2 2" xfId="44420"/>
    <cellStyle name="표준 6 2 2 2 37 3" xfId="31748"/>
    <cellStyle name="표준 6 2 2 2 38" xfId="12732"/>
    <cellStyle name="표준 6 2 2 2 38 2" xfId="38084"/>
    <cellStyle name="표준 6 2 2 2 39" xfId="25412"/>
    <cellStyle name="표준 6 2 2 2 4" xfId="2347"/>
    <cellStyle name="표준 6 2 2 2 4 2" xfId="2348"/>
    <cellStyle name="표준 6 2 2 2 4 2 2" xfId="5495"/>
    <cellStyle name="표준 6 2 2 2 4 2 2 2" xfId="11831"/>
    <cellStyle name="표준 6 2 2 2 4 2 2 2 2" xfId="24505"/>
    <cellStyle name="표준 6 2 2 2 4 2 2 2 2 2" xfId="49857"/>
    <cellStyle name="표준 6 2 2 2 4 2 2 2 3" xfId="37185"/>
    <cellStyle name="표준 6 2 2 2 4 2 2 3" xfId="18169"/>
    <cellStyle name="표준 6 2 2 2 4 2 2 3 2" xfId="43521"/>
    <cellStyle name="표준 6 2 2 2 4 2 2 4" xfId="30849"/>
    <cellStyle name="표준 6 2 2 2 4 2 3" xfId="8685"/>
    <cellStyle name="표준 6 2 2 2 4 2 3 2" xfId="21359"/>
    <cellStyle name="표준 6 2 2 2 4 2 3 2 2" xfId="46711"/>
    <cellStyle name="표준 6 2 2 2 4 2 3 3" xfId="34039"/>
    <cellStyle name="표준 6 2 2 2 4 2 4" xfId="15023"/>
    <cellStyle name="표준 6 2 2 2 4 2 4 2" xfId="40375"/>
    <cellStyle name="표준 6 2 2 2 4 2 5" xfId="27703"/>
    <cellStyle name="표준 6 2 2 2 4 3" xfId="5496"/>
    <cellStyle name="표준 6 2 2 2 4 3 2" xfId="11832"/>
    <cellStyle name="표준 6 2 2 2 4 3 2 2" xfId="24506"/>
    <cellStyle name="표준 6 2 2 2 4 3 2 2 2" xfId="49858"/>
    <cellStyle name="표준 6 2 2 2 4 3 2 3" xfId="37186"/>
    <cellStyle name="표준 6 2 2 2 4 3 3" xfId="18170"/>
    <cellStyle name="표준 6 2 2 2 4 3 3 2" xfId="43522"/>
    <cellStyle name="표준 6 2 2 2 4 3 4" xfId="30850"/>
    <cellStyle name="표준 6 2 2 2 4 4" xfId="8684"/>
    <cellStyle name="표준 6 2 2 2 4 4 2" xfId="21358"/>
    <cellStyle name="표준 6 2 2 2 4 4 2 2" xfId="46710"/>
    <cellStyle name="표준 6 2 2 2 4 4 3" xfId="34038"/>
    <cellStyle name="표준 6 2 2 2 4 5" xfId="15022"/>
    <cellStyle name="표준 6 2 2 2 4 5 2" xfId="40374"/>
    <cellStyle name="표준 6 2 2 2 4 6" xfId="27702"/>
    <cellStyle name="표준 6 2 2 2 5" xfId="2349"/>
    <cellStyle name="표준 6 2 2 2 5 2" xfId="2350"/>
    <cellStyle name="표준 6 2 2 2 5 2 2" xfId="5497"/>
    <cellStyle name="표준 6 2 2 2 5 2 2 2" xfId="11833"/>
    <cellStyle name="표준 6 2 2 2 5 2 2 2 2" xfId="24507"/>
    <cellStyle name="표준 6 2 2 2 5 2 2 2 2 2" xfId="49859"/>
    <cellStyle name="표준 6 2 2 2 5 2 2 2 3" xfId="37187"/>
    <cellStyle name="표준 6 2 2 2 5 2 2 3" xfId="18171"/>
    <cellStyle name="표준 6 2 2 2 5 2 2 3 2" xfId="43523"/>
    <cellStyle name="표준 6 2 2 2 5 2 2 4" xfId="30851"/>
    <cellStyle name="표준 6 2 2 2 5 2 3" xfId="8687"/>
    <cellStyle name="표준 6 2 2 2 5 2 3 2" xfId="21361"/>
    <cellStyle name="표준 6 2 2 2 5 2 3 2 2" xfId="46713"/>
    <cellStyle name="표준 6 2 2 2 5 2 3 3" xfId="34041"/>
    <cellStyle name="표준 6 2 2 2 5 2 4" xfId="15025"/>
    <cellStyle name="표준 6 2 2 2 5 2 4 2" xfId="40377"/>
    <cellStyle name="표준 6 2 2 2 5 2 5" xfId="27705"/>
    <cellStyle name="표준 6 2 2 2 5 3" xfId="5498"/>
    <cellStyle name="표준 6 2 2 2 5 3 2" xfId="11834"/>
    <cellStyle name="표준 6 2 2 2 5 3 2 2" xfId="24508"/>
    <cellStyle name="표준 6 2 2 2 5 3 2 2 2" xfId="49860"/>
    <cellStyle name="표준 6 2 2 2 5 3 2 3" xfId="37188"/>
    <cellStyle name="표준 6 2 2 2 5 3 3" xfId="18172"/>
    <cellStyle name="표준 6 2 2 2 5 3 3 2" xfId="43524"/>
    <cellStyle name="표준 6 2 2 2 5 3 4" xfId="30852"/>
    <cellStyle name="표준 6 2 2 2 5 4" xfId="8686"/>
    <cellStyle name="표준 6 2 2 2 5 4 2" xfId="21360"/>
    <cellStyle name="표준 6 2 2 2 5 4 2 2" xfId="46712"/>
    <cellStyle name="표준 6 2 2 2 5 4 3" xfId="34040"/>
    <cellStyle name="표준 6 2 2 2 5 5" xfId="15024"/>
    <cellStyle name="표준 6 2 2 2 5 5 2" xfId="40376"/>
    <cellStyle name="표준 6 2 2 2 5 6" xfId="27704"/>
    <cellStyle name="표준 6 2 2 2 6" xfId="2351"/>
    <cellStyle name="표준 6 2 2 2 6 2" xfId="2352"/>
    <cellStyle name="표준 6 2 2 2 6 2 2" xfId="5499"/>
    <cellStyle name="표준 6 2 2 2 6 2 2 2" xfId="11835"/>
    <cellStyle name="표준 6 2 2 2 6 2 2 2 2" xfId="24509"/>
    <cellStyle name="표준 6 2 2 2 6 2 2 2 2 2" xfId="49861"/>
    <cellStyle name="표준 6 2 2 2 6 2 2 2 3" xfId="37189"/>
    <cellStyle name="표준 6 2 2 2 6 2 2 3" xfId="18173"/>
    <cellStyle name="표준 6 2 2 2 6 2 2 3 2" xfId="43525"/>
    <cellStyle name="표준 6 2 2 2 6 2 2 4" xfId="30853"/>
    <cellStyle name="표준 6 2 2 2 6 2 3" xfId="8689"/>
    <cellStyle name="표준 6 2 2 2 6 2 3 2" xfId="21363"/>
    <cellStyle name="표준 6 2 2 2 6 2 3 2 2" xfId="46715"/>
    <cellStyle name="표준 6 2 2 2 6 2 3 3" xfId="34043"/>
    <cellStyle name="표준 6 2 2 2 6 2 4" xfId="15027"/>
    <cellStyle name="표준 6 2 2 2 6 2 4 2" xfId="40379"/>
    <cellStyle name="표준 6 2 2 2 6 2 5" xfId="27707"/>
    <cellStyle name="표준 6 2 2 2 6 3" xfId="5500"/>
    <cellStyle name="표준 6 2 2 2 6 3 2" xfId="11836"/>
    <cellStyle name="표준 6 2 2 2 6 3 2 2" xfId="24510"/>
    <cellStyle name="표준 6 2 2 2 6 3 2 2 2" xfId="49862"/>
    <cellStyle name="표준 6 2 2 2 6 3 2 3" xfId="37190"/>
    <cellStyle name="표준 6 2 2 2 6 3 3" xfId="18174"/>
    <cellStyle name="표준 6 2 2 2 6 3 3 2" xfId="43526"/>
    <cellStyle name="표준 6 2 2 2 6 3 4" xfId="30854"/>
    <cellStyle name="표준 6 2 2 2 6 4" xfId="8688"/>
    <cellStyle name="표준 6 2 2 2 6 4 2" xfId="21362"/>
    <cellStyle name="표준 6 2 2 2 6 4 2 2" xfId="46714"/>
    <cellStyle name="표준 6 2 2 2 6 4 3" xfId="34042"/>
    <cellStyle name="표준 6 2 2 2 6 5" xfId="15026"/>
    <cellStyle name="표준 6 2 2 2 6 5 2" xfId="40378"/>
    <cellStyle name="표준 6 2 2 2 6 6" xfId="27706"/>
    <cellStyle name="표준 6 2 2 2 7" xfId="2353"/>
    <cellStyle name="표준 6 2 2 2 7 2" xfId="2354"/>
    <cellStyle name="표준 6 2 2 2 7 2 2" xfId="5501"/>
    <cellStyle name="표준 6 2 2 2 7 2 2 2" xfId="11837"/>
    <cellStyle name="표준 6 2 2 2 7 2 2 2 2" xfId="24511"/>
    <cellStyle name="표준 6 2 2 2 7 2 2 2 2 2" xfId="49863"/>
    <cellStyle name="표준 6 2 2 2 7 2 2 2 3" xfId="37191"/>
    <cellStyle name="표준 6 2 2 2 7 2 2 3" xfId="18175"/>
    <cellStyle name="표준 6 2 2 2 7 2 2 3 2" xfId="43527"/>
    <cellStyle name="표준 6 2 2 2 7 2 2 4" xfId="30855"/>
    <cellStyle name="표준 6 2 2 2 7 2 3" xfId="8691"/>
    <cellStyle name="표준 6 2 2 2 7 2 3 2" xfId="21365"/>
    <cellStyle name="표준 6 2 2 2 7 2 3 2 2" xfId="46717"/>
    <cellStyle name="표준 6 2 2 2 7 2 3 3" xfId="34045"/>
    <cellStyle name="표준 6 2 2 2 7 2 4" xfId="15029"/>
    <cellStyle name="표준 6 2 2 2 7 2 4 2" xfId="40381"/>
    <cellStyle name="표준 6 2 2 2 7 2 5" xfId="27709"/>
    <cellStyle name="표준 6 2 2 2 7 3" xfId="5502"/>
    <cellStyle name="표준 6 2 2 2 7 3 2" xfId="11838"/>
    <cellStyle name="표준 6 2 2 2 7 3 2 2" xfId="24512"/>
    <cellStyle name="표준 6 2 2 2 7 3 2 2 2" xfId="49864"/>
    <cellStyle name="표준 6 2 2 2 7 3 2 3" xfId="37192"/>
    <cellStyle name="표준 6 2 2 2 7 3 3" xfId="18176"/>
    <cellStyle name="표준 6 2 2 2 7 3 3 2" xfId="43528"/>
    <cellStyle name="표준 6 2 2 2 7 3 4" xfId="30856"/>
    <cellStyle name="표준 6 2 2 2 7 4" xfId="8690"/>
    <cellStyle name="표준 6 2 2 2 7 4 2" xfId="21364"/>
    <cellStyle name="표준 6 2 2 2 7 4 2 2" xfId="46716"/>
    <cellStyle name="표준 6 2 2 2 7 4 3" xfId="34044"/>
    <cellStyle name="표준 6 2 2 2 7 5" xfId="15028"/>
    <cellStyle name="표준 6 2 2 2 7 5 2" xfId="40380"/>
    <cellStyle name="표준 6 2 2 2 7 6" xfId="27708"/>
    <cellStyle name="표준 6 2 2 2 8" xfId="2355"/>
    <cellStyle name="표준 6 2 2 2 8 2" xfId="2356"/>
    <cellStyle name="표준 6 2 2 2 8 2 2" xfId="5503"/>
    <cellStyle name="표준 6 2 2 2 8 2 2 2" xfId="11839"/>
    <cellStyle name="표준 6 2 2 2 8 2 2 2 2" xfId="24513"/>
    <cellStyle name="표준 6 2 2 2 8 2 2 2 2 2" xfId="49865"/>
    <cellStyle name="표준 6 2 2 2 8 2 2 2 3" xfId="37193"/>
    <cellStyle name="표준 6 2 2 2 8 2 2 3" xfId="18177"/>
    <cellStyle name="표준 6 2 2 2 8 2 2 3 2" xfId="43529"/>
    <cellStyle name="표준 6 2 2 2 8 2 2 4" xfId="30857"/>
    <cellStyle name="표준 6 2 2 2 8 2 3" xfId="8693"/>
    <cellStyle name="표준 6 2 2 2 8 2 3 2" xfId="21367"/>
    <cellStyle name="표준 6 2 2 2 8 2 3 2 2" xfId="46719"/>
    <cellStyle name="표준 6 2 2 2 8 2 3 3" xfId="34047"/>
    <cellStyle name="표준 6 2 2 2 8 2 4" xfId="15031"/>
    <cellStyle name="표준 6 2 2 2 8 2 4 2" xfId="40383"/>
    <cellStyle name="표준 6 2 2 2 8 2 5" xfId="27711"/>
    <cellStyle name="표준 6 2 2 2 8 3" xfId="5504"/>
    <cellStyle name="표준 6 2 2 2 8 3 2" xfId="11840"/>
    <cellStyle name="표준 6 2 2 2 8 3 2 2" xfId="24514"/>
    <cellStyle name="표준 6 2 2 2 8 3 2 2 2" xfId="49866"/>
    <cellStyle name="표준 6 2 2 2 8 3 2 3" xfId="37194"/>
    <cellStyle name="표준 6 2 2 2 8 3 3" xfId="18178"/>
    <cellStyle name="표준 6 2 2 2 8 3 3 2" xfId="43530"/>
    <cellStyle name="표준 6 2 2 2 8 3 4" xfId="30858"/>
    <cellStyle name="표준 6 2 2 2 8 4" xfId="8692"/>
    <cellStyle name="표준 6 2 2 2 8 4 2" xfId="21366"/>
    <cellStyle name="표준 6 2 2 2 8 4 2 2" xfId="46718"/>
    <cellStyle name="표준 6 2 2 2 8 4 3" xfId="34046"/>
    <cellStyle name="표준 6 2 2 2 8 5" xfId="15030"/>
    <cellStyle name="표준 6 2 2 2 8 5 2" xfId="40382"/>
    <cellStyle name="표준 6 2 2 2 8 6" xfId="27710"/>
    <cellStyle name="표준 6 2 2 2 9" xfId="2357"/>
    <cellStyle name="표준 6 2 2 2 9 2" xfId="2358"/>
    <cellStyle name="표준 6 2 2 2 9 2 2" xfId="5505"/>
    <cellStyle name="표준 6 2 2 2 9 2 2 2" xfId="11841"/>
    <cellStyle name="표준 6 2 2 2 9 2 2 2 2" xfId="24515"/>
    <cellStyle name="표준 6 2 2 2 9 2 2 2 2 2" xfId="49867"/>
    <cellStyle name="표준 6 2 2 2 9 2 2 2 3" xfId="37195"/>
    <cellStyle name="표준 6 2 2 2 9 2 2 3" xfId="18179"/>
    <cellStyle name="표준 6 2 2 2 9 2 2 3 2" xfId="43531"/>
    <cellStyle name="표준 6 2 2 2 9 2 2 4" xfId="30859"/>
    <cellStyle name="표준 6 2 2 2 9 2 3" xfId="8695"/>
    <cellStyle name="표준 6 2 2 2 9 2 3 2" xfId="21369"/>
    <cellStyle name="표준 6 2 2 2 9 2 3 2 2" xfId="46721"/>
    <cellStyle name="표준 6 2 2 2 9 2 3 3" xfId="34049"/>
    <cellStyle name="표준 6 2 2 2 9 2 4" xfId="15033"/>
    <cellStyle name="표준 6 2 2 2 9 2 4 2" xfId="40385"/>
    <cellStyle name="표준 6 2 2 2 9 2 5" xfId="27713"/>
    <cellStyle name="표준 6 2 2 2 9 3" xfId="5506"/>
    <cellStyle name="표준 6 2 2 2 9 3 2" xfId="11842"/>
    <cellStyle name="표준 6 2 2 2 9 3 2 2" xfId="24516"/>
    <cellStyle name="표준 6 2 2 2 9 3 2 2 2" xfId="49868"/>
    <cellStyle name="표준 6 2 2 2 9 3 2 3" xfId="37196"/>
    <cellStyle name="표준 6 2 2 2 9 3 3" xfId="18180"/>
    <cellStyle name="표준 6 2 2 2 9 3 3 2" xfId="43532"/>
    <cellStyle name="표준 6 2 2 2 9 3 4" xfId="30860"/>
    <cellStyle name="표준 6 2 2 2 9 4" xfId="8694"/>
    <cellStyle name="표준 6 2 2 2 9 4 2" xfId="21368"/>
    <cellStyle name="표준 6 2 2 2 9 4 2 2" xfId="46720"/>
    <cellStyle name="표준 6 2 2 2 9 4 3" xfId="34048"/>
    <cellStyle name="표준 6 2 2 2 9 5" xfId="15032"/>
    <cellStyle name="표준 6 2 2 2 9 5 2" xfId="40384"/>
    <cellStyle name="표준 6 2 2 2 9 6" xfId="27712"/>
    <cellStyle name="표준 6 2 2 20" xfId="2359"/>
    <cellStyle name="표준 6 2 2 20 2" xfId="2360"/>
    <cellStyle name="표준 6 2 2 20 2 2" xfId="5507"/>
    <cellStyle name="표준 6 2 2 20 2 2 2" xfId="11843"/>
    <cellStyle name="표준 6 2 2 20 2 2 2 2" xfId="24517"/>
    <cellStyle name="표준 6 2 2 20 2 2 2 2 2" xfId="49869"/>
    <cellStyle name="표준 6 2 2 20 2 2 2 3" xfId="37197"/>
    <cellStyle name="표준 6 2 2 20 2 2 3" xfId="18181"/>
    <cellStyle name="표준 6 2 2 20 2 2 3 2" xfId="43533"/>
    <cellStyle name="표준 6 2 2 20 2 2 4" xfId="30861"/>
    <cellStyle name="표준 6 2 2 20 2 3" xfId="8697"/>
    <cellStyle name="표준 6 2 2 20 2 3 2" xfId="21371"/>
    <cellStyle name="표준 6 2 2 20 2 3 2 2" xfId="46723"/>
    <cellStyle name="표준 6 2 2 20 2 3 3" xfId="34051"/>
    <cellStyle name="표준 6 2 2 20 2 4" xfId="15035"/>
    <cellStyle name="표준 6 2 2 20 2 4 2" xfId="40387"/>
    <cellStyle name="표준 6 2 2 20 2 5" xfId="27715"/>
    <cellStyle name="표준 6 2 2 20 3" xfId="5508"/>
    <cellStyle name="표준 6 2 2 20 3 2" xfId="11844"/>
    <cellStyle name="표준 6 2 2 20 3 2 2" xfId="24518"/>
    <cellStyle name="표준 6 2 2 20 3 2 2 2" xfId="49870"/>
    <cellStyle name="표준 6 2 2 20 3 2 3" xfId="37198"/>
    <cellStyle name="표준 6 2 2 20 3 3" xfId="18182"/>
    <cellStyle name="표준 6 2 2 20 3 3 2" xfId="43534"/>
    <cellStyle name="표준 6 2 2 20 3 4" xfId="30862"/>
    <cellStyle name="표준 6 2 2 20 4" xfId="8696"/>
    <cellStyle name="표준 6 2 2 20 4 2" xfId="21370"/>
    <cellStyle name="표준 6 2 2 20 4 2 2" xfId="46722"/>
    <cellStyle name="표준 6 2 2 20 4 3" xfId="34050"/>
    <cellStyle name="표준 6 2 2 20 5" xfId="15034"/>
    <cellStyle name="표준 6 2 2 20 5 2" xfId="40386"/>
    <cellStyle name="표준 6 2 2 20 6" xfId="27714"/>
    <cellStyle name="표준 6 2 2 21" xfId="2361"/>
    <cellStyle name="표준 6 2 2 21 2" xfId="2362"/>
    <cellStyle name="표준 6 2 2 21 2 2" xfId="5509"/>
    <cellStyle name="표준 6 2 2 21 2 2 2" xfId="11845"/>
    <cellStyle name="표준 6 2 2 21 2 2 2 2" xfId="24519"/>
    <cellStyle name="표준 6 2 2 21 2 2 2 2 2" xfId="49871"/>
    <cellStyle name="표준 6 2 2 21 2 2 2 3" xfId="37199"/>
    <cellStyle name="표준 6 2 2 21 2 2 3" xfId="18183"/>
    <cellStyle name="표준 6 2 2 21 2 2 3 2" xfId="43535"/>
    <cellStyle name="표준 6 2 2 21 2 2 4" xfId="30863"/>
    <cellStyle name="표준 6 2 2 21 2 3" xfId="8699"/>
    <cellStyle name="표준 6 2 2 21 2 3 2" xfId="21373"/>
    <cellStyle name="표준 6 2 2 21 2 3 2 2" xfId="46725"/>
    <cellStyle name="표준 6 2 2 21 2 3 3" xfId="34053"/>
    <cellStyle name="표준 6 2 2 21 2 4" xfId="15037"/>
    <cellStyle name="표준 6 2 2 21 2 4 2" xfId="40389"/>
    <cellStyle name="표준 6 2 2 21 2 5" xfId="27717"/>
    <cellStyle name="표준 6 2 2 21 3" xfId="5510"/>
    <cellStyle name="표준 6 2 2 21 3 2" xfId="11846"/>
    <cellStyle name="표준 6 2 2 21 3 2 2" xfId="24520"/>
    <cellStyle name="표준 6 2 2 21 3 2 2 2" xfId="49872"/>
    <cellStyle name="표준 6 2 2 21 3 2 3" xfId="37200"/>
    <cellStyle name="표준 6 2 2 21 3 3" xfId="18184"/>
    <cellStyle name="표준 6 2 2 21 3 3 2" xfId="43536"/>
    <cellStyle name="표준 6 2 2 21 3 4" xfId="30864"/>
    <cellStyle name="표준 6 2 2 21 4" xfId="8698"/>
    <cellStyle name="표준 6 2 2 21 4 2" xfId="21372"/>
    <cellStyle name="표준 6 2 2 21 4 2 2" xfId="46724"/>
    <cellStyle name="표준 6 2 2 21 4 3" xfId="34052"/>
    <cellStyle name="표준 6 2 2 21 5" xfId="15036"/>
    <cellStyle name="표준 6 2 2 21 5 2" xfId="40388"/>
    <cellStyle name="표준 6 2 2 21 6" xfId="27716"/>
    <cellStyle name="표준 6 2 2 22" xfId="2363"/>
    <cellStyle name="표준 6 2 2 22 2" xfId="2364"/>
    <cellStyle name="표준 6 2 2 22 2 2" xfId="5511"/>
    <cellStyle name="표준 6 2 2 22 2 2 2" xfId="11847"/>
    <cellStyle name="표준 6 2 2 22 2 2 2 2" xfId="24521"/>
    <cellStyle name="표준 6 2 2 22 2 2 2 2 2" xfId="49873"/>
    <cellStyle name="표준 6 2 2 22 2 2 2 3" xfId="37201"/>
    <cellStyle name="표준 6 2 2 22 2 2 3" xfId="18185"/>
    <cellStyle name="표준 6 2 2 22 2 2 3 2" xfId="43537"/>
    <cellStyle name="표준 6 2 2 22 2 2 4" xfId="30865"/>
    <cellStyle name="표준 6 2 2 22 2 3" xfId="8701"/>
    <cellStyle name="표준 6 2 2 22 2 3 2" xfId="21375"/>
    <cellStyle name="표준 6 2 2 22 2 3 2 2" xfId="46727"/>
    <cellStyle name="표준 6 2 2 22 2 3 3" xfId="34055"/>
    <cellStyle name="표준 6 2 2 22 2 4" xfId="15039"/>
    <cellStyle name="표준 6 2 2 22 2 4 2" xfId="40391"/>
    <cellStyle name="표준 6 2 2 22 2 5" xfId="27719"/>
    <cellStyle name="표준 6 2 2 22 3" xfId="5512"/>
    <cellStyle name="표준 6 2 2 22 3 2" xfId="11848"/>
    <cellStyle name="표준 6 2 2 22 3 2 2" xfId="24522"/>
    <cellStyle name="표준 6 2 2 22 3 2 2 2" xfId="49874"/>
    <cellStyle name="표준 6 2 2 22 3 2 3" xfId="37202"/>
    <cellStyle name="표준 6 2 2 22 3 3" xfId="18186"/>
    <cellStyle name="표준 6 2 2 22 3 3 2" xfId="43538"/>
    <cellStyle name="표준 6 2 2 22 3 4" xfId="30866"/>
    <cellStyle name="표준 6 2 2 22 4" xfId="8700"/>
    <cellStyle name="표준 6 2 2 22 4 2" xfId="21374"/>
    <cellStyle name="표준 6 2 2 22 4 2 2" xfId="46726"/>
    <cellStyle name="표준 6 2 2 22 4 3" xfId="34054"/>
    <cellStyle name="표준 6 2 2 22 5" xfId="15038"/>
    <cellStyle name="표준 6 2 2 22 5 2" xfId="40390"/>
    <cellStyle name="표준 6 2 2 22 6" xfId="27718"/>
    <cellStyle name="표준 6 2 2 23" xfId="2365"/>
    <cellStyle name="표준 6 2 2 23 2" xfId="2366"/>
    <cellStyle name="표준 6 2 2 23 2 2" xfId="5513"/>
    <cellStyle name="표준 6 2 2 23 2 2 2" xfId="11849"/>
    <cellStyle name="표준 6 2 2 23 2 2 2 2" xfId="24523"/>
    <cellStyle name="표준 6 2 2 23 2 2 2 2 2" xfId="49875"/>
    <cellStyle name="표준 6 2 2 23 2 2 2 3" xfId="37203"/>
    <cellStyle name="표준 6 2 2 23 2 2 3" xfId="18187"/>
    <cellStyle name="표준 6 2 2 23 2 2 3 2" xfId="43539"/>
    <cellStyle name="표준 6 2 2 23 2 2 4" xfId="30867"/>
    <cellStyle name="표준 6 2 2 23 2 3" xfId="8703"/>
    <cellStyle name="표준 6 2 2 23 2 3 2" xfId="21377"/>
    <cellStyle name="표준 6 2 2 23 2 3 2 2" xfId="46729"/>
    <cellStyle name="표준 6 2 2 23 2 3 3" xfId="34057"/>
    <cellStyle name="표준 6 2 2 23 2 4" xfId="15041"/>
    <cellStyle name="표준 6 2 2 23 2 4 2" xfId="40393"/>
    <cellStyle name="표준 6 2 2 23 2 5" xfId="27721"/>
    <cellStyle name="표준 6 2 2 23 3" xfId="5514"/>
    <cellStyle name="표준 6 2 2 23 3 2" xfId="11850"/>
    <cellStyle name="표준 6 2 2 23 3 2 2" xfId="24524"/>
    <cellStyle name="표준 6 2 2 23 3 2 2 2" xfId="49876"/>
    <cellStyle name="표준 6 2 2 23 3 2 3" xfId="37204"/>
    <cellStyle name="표준 6 2 2 23 3 3" xfId="18188"/>
    <cellStyle name="표준 6 2 2 23 3 3 2" xfId="43540"/>
    <cellStyle name="표준 6 2 2 23 3 4" xfId="30868"/>
    <cellStyle name="표준 6 2 2 23 4" xfId="8702"/>
    <cellStyle name="표준 6 2 2 23 4 2" xfId="21376"/>
    <cellStyle name="표준 6 2 2 23 4 2 2" xfId="46728"/>
    <cellStyle name="표준 6 2 2 23 4 3" xfId="34056"/>
    <cellStyle name="표준 6 2 2 23 5" xfId="15040"/>
    <cellStyle name="표준 6 2 2 23 5 2" xfId="40392"/>
    <cellStyle name="표준 6 2 2 23 6" xfId="27720"/>
    <cellStyle name="표준 6 2 2 24" xfId="2367"/>
    <cellStyle name="표준 6 2 2 24 2" xfId="2368"/>
    <cellStyle name="표준 6 2 2 24 2 2" xfId="5515"/>
    <cellStyle name="표준 6 2 2 24 2 2 2" xfId="11851"/>
    <cellStyle name="표준 6 2 2 24 2 2 2 2" xfId="24525"/>
    <cellStyle name="표준 6 2 2 24 2 2 2 2 2" xfId="49877"/>
    <cellStyle name="표준 6 2 2 24 2 2 2 3" xfId="37205"/>
    <cellStyle name="표준 6 2 2 24 2 2 3" xfId="18189"/>
    <cellStyle name="표준 6 2 2 24 2 2 3 2" xfId="43541"/>
    <cellStyle name="표준 6 2 2 24 2 2 4" xfId="30869"/>
    <cellStyle name="표준 6 2 2 24 2 3" xfId="8705"/>
    <cellStyle name="표준 6 2 2 24 2 3 2" xfId="21379"/>
    <cellStyle name="표준 6 2 2 24 2 3 2 2" xfId="46731"/>
    <cellStyle name="표준 6 2 2 24 2 3 3" xfId="34059"/>
    <cellStyle name="표준 6 2 2 24 2 4" xfId="15043"/>
    <cellStyle name="표준 6 2 2 24 2 4 2" xfId="40395"/>
    <cellStyle name="표준 6 2 2 24 2 5" xfId="27723"/>
    <cellStyle name="표준 6 2 2 24 3" xfId="5516"/>
    <cellStyle name="표준 6 2 2 24 3 2" xfId="11852"/>
    <cellStyle name="표준 6 2 2 24 3 2 2" xfId="24526"/>
    <cellStyle name="표준 6 2 2 24 3 2 2 2" xfId="49878"/>
    <cellStyle name="표준 6 2 2 24 3 2 3" xfId="37206"/>
    <cellStyle name="표준 6 2 2 24 3 3" xfId="18190"/>
    <cellStyle name="표준 6 2 2 24 3 3 2" xfId="43542"/>
    <cellStyle name="표준 6 2 2 24 3 4" xfId="30870"/>
    <cellStyle name="표준 6 2 2 24 4" xfId="8704"/>
    <cellStyle name="표준 6 2 2 24 4 2" xfId="21378"/>
    <cellStyle name="표준 6 2 2 24 4 2 2" xfId="46730"/>
    <cellStyle name="표준 6 2 2 24 4 3" xfId="34058"/>
    <cellStyle name="표준 6 2 2 24 5" xfId="15042"/>
    <cellStyle name="표준 6 2 2 24 5 2" xfId="40394"/>
    <cellStyle name="표준 6 2 2 24 6" xfId="27722"/>
    <cellStyle name="표준 6 2 2 25" xfId="2369"/>
    <cellStyle name="표준 6 2 2 25 2" xfId="2370"/>
    <cellStyle name="표준 6 2 2 25 2 2" xfId="5517"/>
    <cellStyle name="표준 6 2 2 25 2 2 2" xfId="11853"/>
    <cellStyle name="표준 6 2 2 25 2 2 2 2" xfId="24527"/>
    <cellStyle name="표준 6 2 2 25 2 2 2 2 2" xfId="49879"/>
    <cellStyle name="표준 6 2 2 25 2 2 2 3" xfId="37207"/>
    <cellStyle name="표준 6 2 2 25 2 2 3" xfId="18191"/>
    <cellStyle name="표준 6 2 2 25 2 2 3 2" xfId="43543"/>
    <cellStyle name="표준 6 2 2 25 2 2 4" xfId="30871"/>
    <cellStyle name="표준 6 2 2 25 2 3" xfId="8707"/>
    <cellStyle name="표준 6 2 2 25 2 3 2" xfId="21381"/>
    <cellStyle name="표준 6 2 2 25 2 3 2 2" xfId="46733"/>
    <cellStyle name="표준 6 2 2 25 2 3 3" xfId="34061"/>
    <cellStyle name="표준 6 2 2 25 2 4" xfId="15045"/>
    <cellStyle name="표준 6 2 2 25 2 4 2" xfId="40397"/>
    <cellStyle name="표준 6 2 2 25 2 5" xfId="27725"/>
    <cellStyle name="표준 6 2 2 25 3" xfId="5518"/>
    <cellStyle name="표준 6 2 2 25 3 2" xfId="11854"/>
    <cellStyle name="표준 6 2 2 25 3 2 2" xfId="24528"/>
    <cellStyle name="표준 6 2 2 25 3 2 2 2" xfId="49880"/>
    <cellStyle name="표준 6 2 2 25 3 2 3" xfId="37208"/>
    <cellStyle name="표준 6 2 2 25 3 3" xfId="18192"/>
    <cellStyle name="표준 6 2 2 25 3 3 2" xfId="43544"/>
    <cellStyle name="표준 6 2 2 25 3 4" xfId="30872"/>
    <cellStyle name="표준 6 2 2 25 4" xfId="8706"/>
    <cellStyle name="표준 6 2 2 25 4 2" xfId="21380"/>
    <cellStyle name="표준 6 2 2 25 4 2 2" xfId="46732"/>
    <cellStyle name="표준 6 2 2 25 4 3" xfId="34060"/>
    <cellStyle name="표준 6 2 2 25 5" xfId="15044"/>
    <cellStyle name="표준 6 2 2 25 5 2" xfId="40396"/>
    <cellStyle name="표준 6 2 2 25 6" xfId="27724"/>
    <cellStyle name="표준 6 2 2 26" xfId="2371"/>
    <cellStyle name="표준 6 2 2 26 2" xfId="2372"/>
    <cellStyle name="표준 6 2 2 26 2 2" xfId="5519"/>
    <cellStyle name="표준 6 2 2 26 2 2 2" xfId="11855"/>
    <cellStyle name="표준 6 2 2 26 2 2 2 2" xfId="24529"/>
    <cellStyle name="표준 6 2 2 26 2 2 2 2 2" xfId="49881"/>
    <cellStyle name="표준 6 2 2 26 2 2 2 3" xfId="37209"/>
    <cellStyle name="표준 6 2 2 26 2 2 3" xfId="18193"/>
    <cellStyle name="표준 6 2 2 26 2 2 3 2" xfId="43545"/>
    <cellStyle name="표준 6 2 2 26 2 2 4" xfId="30873"/>
    <cellStyle name="표준 6 2 2 26 2 3" xfId="8709"/>
    <cellStyle name="표준 6 2 2 26 2 3 2" xfId="21383"/>
    <cellStyle name="표준 6 2 2 26 2 3 2 2" xfId="46735"/>
    <cellStyle name="표준 6 2 2 26 2 3 3" xfId="34063"/>
    <cellStyle name="표준 6 2 2 26 2 4" xfId="15047"/>
    <cellStyle name="표준 6 2 2 26 2 4 2" xfId="40399"/>
    <cellStyle name="표준 6 2 2 26 2 5" xfId="27727"/>
    <cellStyle name="표준 6 2 2 26 3" xfId="5520"/>
    <cellStyle name="표준 6 2 2 26 3 2" xfId="11856"/>
    <cellStyle name="표준 6 2 2 26 3 2 2" xfId="24530"/>
    <cellStyle name="표준 6 2 2 26 3 2 2 2" xfId="49882"/>
    <cellStyle name="표준 6 2 2 26 3 2 3" xfId="37210"/>
    <cellStyle name="표준 6 2 2 26 3 3" xfId="18194"/>
    <cellStyle name="표준 6 2 2 26 3 3 2" xfId="43546"/>
    <cellStyle name="표준 6 2 2 26 3 4" xfId="30874"/>
    <cellStyle name="표준 6 2 2 26 4" xfId="8708"/>
    <cellStyle name="표준 6 2 2 26 4 2" xfId="21382"/>
    <cellStyle name="표준 6 2 2 26 4 2 2" xfId="46734"/>
    <cellStyle name="표준 6 2 2 26 4 3" xfId="34062"/>
    <cellStyle name="표준 6 2 2 26 5" xfId="15046"/>
    <cellStyle name="표준 6 2 2 26 5 2" xfId="40398"/>
    <cellStyle name="표준 6 2 2 26 6" xfId="27726"/>
    <cellStyle name="표준 6 2 2 27" xfId="2373"/>
    <cellStyle name="표준 6 2 2 27 2" xfId="2374"/>
    <cellStyle name="표준 6 2 2 27 2 2" xfId="5521"/>
    <cellStyle name="표준 6 2 2 27 2 2 2" xfId="11857"/>
    <cellStyle name="표준 6 2 2 27 2 2 2 2" xfId="24531"/>
    <cellStyle name="표준 6 2 2 27 2 2 2 2 2" xfId="49883"/>
    <cellStyle name="표준 6 2 2 27 2 2 2 3" xfId="37211"/>
    <cellStyle name="표준 6 2 2 27 2 2 3" xfId="18195"/>
    <cellStyle name="표준 6 2 2 27 2 2 3 2" xfId="43547"/>
    <cellStyle name="표준 6 2 2 27 2 2 4" xfId="30875"/>
    <cellStyle name="표준 6 2 2 27 2 3" xfId="8711"/>
    <cellStyle name="표준 6 2 2 27 2 3 2" xfId="21385"/>
    <cellStyle name="표준 6 2 2 27 2 3 2 2" xfId="46737"/>
    <cellStyle name="표준 6 2 2 27 2 3 3" xfId="34065"/>
    <cellStyle name="표준 6 2 2 27 2 4" xfId="15049"/>
    <cellStyle name="표준 6 2 2 27 2 4 2" xfId="40401"/>
    <cellStyle name="표준 6 2 2 27 2 5" xfId="27729"/>
    <cellStyle name="표준 6 2 2 27 3" xfId="5522"/>
    <cellStyle name="표준 6 2 2 27 3 2" xfId="11858"/>
    <cellStyle name="표준 6 2 2 27 3 2 2" xfId="24532"/>
    <cellStyle name="표준 6 2 2 27 3 2 2 2" xfId="49884"/>
    <cellStyle name="표준 6 2 2 27 3 2 3" xfId="37212"/>
    <cellStyle name="표준 6 2 2 27 3 3" xfId="18196"/>
    <cellStyle name="표준 6 2 2 27 3 3 2" xfId="43548"/>
    <cellStyle name="표준 6 2 2 27 3 4" xfId="30876"/>
    <cellStyle name="표준 6 2 2 27 4" xfId="8710"/>
    <cellStyle name="표준 6 2 2 27 4 2" xfId="21384"/>
    <cellStyle name="표준 6 2 2 27 4 2 2" xfId="46736"/>
    <cellStyle name="표준 6 2 2 27 4 3" xfId="34064"/>
    <cellStyle name="표준 6 2 2 27 5" xfId="15048"/>
    <cellStyle name="표준 6 2 2 27 5 2" xfId="40400"/>
    <cellStyle name="표준 6 2 2 27 6" xfId="27728"/>
    <cellStyle name="표준 6 2 2 28" xfId="2375"/>
    <cellStyle name="표준 6 2 2 28 2" xfId="2376"/>
    <cellStyle name="표준 6 2 2 28 2 2" xfId="5523"/>
    <cellStyle name="표준 6 2 2 28 2 2 2" xfId="11859"/>
    <cellStyle name="표준 6 2 2 28 2 2 2 2" xfId="24533"/>
    <cellStyle name="표준 6 2 2 28 2 2 2 2 2" xfId="49885"/>
    <cellStyle name="표준 6 2 2 28 2 2 2 3" xfId="37213"/>
    <cellStyle name="표준 6 2 2 28 2 2 3" xfId="18197"/>
    <cellStyle name="표준 6 2 2 28 2 2 3 2" xfId="43549"/>
    <cellStyle name="표준 6 2 2 28 2 2 4" xfId="30877"/>
    <cellStyle name="표준 6 2 2 28 2 3" xfId="8713"/>
    <cellStyle name="표준 6 2 2 28 2 3 2" xfId="21387"/>
    <cellStyle name="표준 6 2 2 28 2 3 2 2" xfId="46739"/>
    <cellStyle name="표준 6 2 2 28 2 3 3" xfId="34067"/>
    <cellStyle name="표준 6 2 2 28 2 4" xfId="15051"/>
    <cellStyle name="표준 6 2 2 28 2 4 2" xfId="40403"/>
    <cellStyle name="표준 6 2 2 28 2 5" xfId="27731"/>
    <cellStyle name="표준 6 2 2 28 3" xfId="5524"/>
    <cellStyle name="표준 6 2 2 28 3 2" xfId="11860"/>
    <cellStyle name="표준 6 2 2 28 3 2 2" xfId="24534"/>
    <cellStyle name="표준 6 2 2 28 3 2 2 2" xfId="49886"/>
    <cellStyle name="표준 6 2 2 28 3 2 3" xfId="37214"/>
    <cellStyle name="표준 6 2 2 28 3 3" xfId="18198"/>
    <cellStyle name="표준 6 2 2 28 3 3 2" xfId="43550"/>
    <cellStyle name="표준 6 2 2 28 3 4" xfId="30878"/>
    <cellStyle name="표준 6 2 2 28 4" xfId="8712"/>
    <cellStyle name="표준 6 2 2 28 4 2" xfId="21386"/>
    <cellStyle name="표준 6 2 2 28 4 2 2" xfId="46738"/>
    <cellStyle name="표준 6 2 2 28 4 3" xfId="34066"/>
    <cellStyle name="표준 6 2 2 28 5" xfId="15050"/>
    <cellStyle name="표준 6 2 2 28 5 2" xfId="40402"/>
    <cellStyle name="표준 6 2 2 28 6" xfId="27730"/>
    <cellStyle name="표준 6 2 2 29" xfId="2377"/>
    <cellStyle name="표준 6 2 2 29 2" xfId="2378"/>
    <cellStyle name="표준 6 2 2 29 2 2" xfId="5525"/>
    <cellStyle name="표준 6 2 2 29 2 2 2" xfId="11861"/>
    <cellStyle name="표준 6 2 2 29 2 2 2 2" xfId="24535"/>
    <cellStyle name="표준 6 2 2 29 2 2 2 2 2" xfId="49887"/>
    <cellStyle name="표준 6 2 2 29 2 2 2 3" xfId="37215"/>
    <cellStyle name="표준 6 2 2 29 2 2 3" xfId="18199"/>
    <cellStyle name="표준 6 2 2 29 2 2 3 2" xfId="43551"/>
    <cellStyle name="표준 6 2 2 29 2 2 4" xfId="30879"/>
    <cellStyle name="표준 6 2 2 29 2 3" xfId="8715"/>
    <cellStyle name="표준 6 2 2 29 2 3 2" xfId="21389"/>
    <cellStyle name="표준 6 2 2 29 2 3 2 2" xfId="46741"/>
    <cellStyle name="표준 6 2 2 29 2 3 3" xfId="34069"/>
    <cellStyle name="표준 6 2 2 29 2 4" xfId="15053"/>
    <cellStyle name="표준 6 2 2 29 2 4 2" xfId="40405"/>
    <cellStyle name="표준 6 2 2 29 2 5" xfId="27733"/>
    <cellStyle name="표준 6 2 2 29 3" xfId="5526"/>
    <cellStyle name="표준 6 2 2 29 3 2" xfId="11862"/>
    <cellStyle name="표준 6 2 2 29 3 2 2" xfId="24536"/>
    <cellStyle name="표준 6 2 2 29 3 2 2 2" xfId="49888"/>
    <cellStyle name="표준 6 2 2 29 3 2 3" xfId="37216"/>
    <cellStyle name="표준 6 2 2 29 3 3" xfId="18200"/>
    <cellStyle name="표준 6 2 2 29 3 3 2" xfId="43552"/>
    <cellStyle name="표준 6 2 2 29 3 4" xfId="30880"/>
    <cellStyle name="표준 6 2 2 29 4" xfId="8714"/>
    <cellStyle name="표준 6 2 2 29 4 2" xfId="21388"/>
    <cellStyle name="표준 6 2 2 29 4 2 2" xfId="46740"/>
    <cellStyle name="표준 6 2 2 29 4 3" xfId="34068"/>
    <cellStyle name="표준 6 2 2 29 5" xfId="15052"/>
    <cellStyle name="표준 6 2 2 29 5 2" xfId="40404"/>
    <cellStyle name="표준 6 2 2 29 6" xfId="27732"/>
    <cellStyle name="표준 6 2 2 3" xfId="91"/>
    <cellStyle name="표준 6 2 2 3 10" xfId="2379"/>
    <cellStyle name="표준 6 2 2 3 10 2" xfId="2380"/>
    <cellStyle name="표준 6 2 2 3 10 2 2" xfId="5527"/>
    <cellStyle name="표준 6 2 2 3 10 2 2 2" xfId="11863"/>
    <cellStyle name="표준 6 2 2 3 10 2 2 2 2" xfId="24537"/>
    <cellStyle name="표준 6 2 2 3 10 2 2 2 2 2" xfId="49889"/>
    <cellStyle name="표준 6 2 2 3 10 2 2 2 3" xfId="37217"/>
    <cellStyle name="표준 6 2 2 3 10 2 2 3" xfId="18201"/>
    <cellStyle name="표준 6 2 2 3 10 2 2 3 2" xfId="43553"/>
    <cellStyle name="표준 6 2 2 3 10 2 2 4" xfId="30881"/>
    <cellStyle name="표준 6 2 2 3 10 2 3" xfId="8717"/>
    <cellStyle name="표준 6 2 2 3 10 2 3 2" xfId="21391"/>
    <cellStyle name="표준 6 2 2 3 10 2 3 2 2" xfId="46743"/>
    <cellStyle name="표준 6 2 2 3 10 2 3 3" xfId="34071"/>
    <cellStyle name="표준 6 2 2 3 10 2 4" xfId="15055"/>
    <cellStyle name="표준 6 2 2 3 10 2 4 2" xfId="40407"/>
    <cellStyle name="표준 6 2 2 3 10 2 5" xfId="27735"/>
    <cellStyle name="표준 6 2 2 3 10 3" xfId="5528"/>
    <cellStyle name="표준 6 2 2 3 10 3 2" xfId="11864"/>
    <cellStyle name="표준 6 2 2 3 10 3 2 2" xfId="24538"/>
    <cellStyle name="표준 6 2 2 3 10 3 2 2 2" xfId="49890"/>
    <cellStyle name="표준 6 2 2 3 10 3 2 3" xfId="37218"/>
    <cellStyle name="표준 6 2 2 3 10 3 3" xfId="18202"/>
    <cellStyle name="표준 6 2 2 3 10 3 3 2" xfId="43554"/>
    <cellStyle name="표준 6 2 2 3 10 3 4" xfId="30882"/>
    <cellStyle name="표준 6 2 2 3 10 4" xfId="8716"/>
    <cellStyle name="표준 6 2 2 3 10 4 2" xfId="21390"/>
    <cellStyle name="표준 6 2 2 3 10 4 2 2" xfId="46742"/>
    <cellStyle name="표준 6 2 2 3 10 4 3" xfId="34070"/>
    <cellStyle name="표준 6 2 2 3 10 5" xfId="15054"/>
    <cellStyle name="표준 6 2 2 3 10 5 2" xfId="40406"/>
    <cellStyle name="표준 6 2 2 3 10 6" xfId="27734"/>
    <cellStyle name="표준 6 2 2 3 11" xfId="2381"/>
    <cellStyle name="표준 6 2 2 3 11 2" xfId="2382"/>
    <cellStyle name="표준 6 2 2 3 11 2 2" xfId="5529"/>
    <cellStyle name="표준 6 2 2 3 11 2 2 2" xfId="11865"/>
    <cellStyle name="표준 6 2 2 3 11 2 2 2 2" xfId="24539"/>
    <cellStyle name="표준 6 2 2 3 11 2 2 2 2 2" xfId="49891"/>
    <cellStyle name="표준 6 2 2 3 11 2 2 2 3" xfId="37219"/>
    <cellStyle name="표준 6 2 2 3 11 2 2 3" xfId="18203"/>
    <cellStyle name="표준 6 2 2 3 11 2 2 3 2" xfId="43555"/>
    <cellStyle name="표준 6 2 2 3 11 2 2 4" xfId="30883"/>
    <cellStyle name="표준 6 2 2 3 11 2 3" xfId="8719"/>
    <cellStyle name="표준 6 2 2 3 11 2 3 2" xfId="21393"/>
    <cellStyle name="표준 6 2 2 3 11 2 3 2 2" xfId="46745"/>
    <cellStyle name="표준 6 2 2 3 11 2 3 3" xfId="34073"/>
    <cellStyle name="표준 6 2 2 3 11 2 4" xfId="15057"/>
    <cellStyle name="표준 6 2 2 3 11 2 4 2" xfId="40409"/>
    <cellStyle name="표준 6 2 2 3 11 2 5" xfId="27737"/>
    <cellStyle name="표준 6 2 2 3 11 3" xfId="5530"/>
    <cellStyle name="표준 6 2 2 3 11 3 2" xfId="11866"/>
    <cellStyle name="표준 6 2 2 3 11 3 2 2" xfId="24540"/>
    <cellStyle name="표준 6 2 2 3 11 3 2 2 2" xfId="49892"/>
    <cellStyle name="표준 6 2 2 3 11 3 2 3" xfId="37220"/>
    <cellStyle name="표준 6 2 2 3 11 3 3" xfId="18204"/>
    <cellStyle name="표준 6 2 2 3 11 3 3 2" xfId="43556"/>
    <cellStyle name="표준 6 2 2 3 11 3 4" xfId="30884"/>
    <cellStyle name="표준 6 2 2 3 11 4" xfId="8718"/>
    <cellStyle name="표준 6 2 2 3 11 4 2" xfId="21392"/>
    <cellStyle name="표준 6 2 2 3 11 4 2 2" xfId="46744"/>
    <cellStyle name="표준 6 2 2 3 11 4 3" xfId="34072"/>
    <cellStyle name="표준 6 2 2 3 11 5" xfId="15056"/>
    <cellStyle name="표준 6 2 2 3 11 5 2" xfId="40408"/>
    <cellStyle name="표준 6 2 2 3 11 6" xfId="27736"/>
    <cellStyle name="표준 6 2 2 3 12" xfId="2383"/>
    <cellStyle name="표준 6 2 2 3 12 2" xfId="2384"/>
    <cellStyle name="표준 6 2 2 3 12 2 2" xfId="5531"/>
    <cellStyle name="표준 6 2 2 3 12 2 2 2" xfId="11867"/>
    <cellStyle name="표준 6 2 2 3 12 2 2 2 2" xfId="24541"/>
    <cellStyle name="표준 6 2 2 3 12 2 2 2 2 2" xfId="49893"/>
    <cellStyle name="표준 6 2 2 3 12 2 2 2 3" xfId="37221"/>
    <cellStyle name="표준 6 2 2 3 12 2 2 3" xfId="18205"/>
    <cellStyle name="표준 6 2 2 3 12 2 2 3 2" xfId="43557"/>
    <cellStyle name="표준 6 2 2 3 12 2 2 4" xfId="30885"/>
    <cellStyle name="표준 6 2 2 3 12 2 3" xfId="8721"/>
    <cellStyle name="표준 6 2 2 3 12 2 3 2" xfId="21395"/>
    <cellStyle name="표준 6 2 2 3 12 2 3 2 2" xfId="46747"/>
    <cellStyle name="표준 6 2 2 3 12 2 3 3" xfId="34075"/>
    <cellStyle name="표준 6 2 2 3 12 2 4" xfId="15059"/>
    <cellStyle name="표준 6 2 2 3 12 2 4 2" xfId="40411"/>
    <cellStyle name="표준 6 2 2 3 12 2 5" xfId="27739"/>
    <cellStyle name="표준 6 2 2 3 12 3" xfId="5532"/>
    <cellStyle name="표준 6 2 2 3 12 3 2" xfId="11868"/>
    <cellStyle name="표준 6 2 2 3 12 3 2 2" xfId="24542"/>
    <cellStyle name="표준 6 2 2 3 12 3 2 2 2" xfId="49894"/>
    <cellStyle name="표준 6 2 2 3 12 3 2 3" xfId="37222"/>
    <cellStyle name="표준 6 2 2 3 12 3 3" xfId="18206"/>
    <cellStyle name="표준 6 2 2 3 12 3 3 2" xfId="43558"/>
    <cellStyle name="표준 6 2 2 3 12 3 4" xfId="30886"/>
    <cellStyle name="표준 6 2 2 3 12 4" xfId="8720"/>
    <cellStyle name="표준 6 2 2 3 12 4 2" xfId="21394"/>
    <cellStyle name="표준 6 2 2 3 12 4 2 2" xfId="46746"/>
    <cellStyle name="표준 6 2 2 3 12 4 3" xfId="34074"/>
    <cellStyle name="표준 6 2 2 3 12 5" xfId="15058"/>
    <cellStyle name="표준 6 2 2 3 12 5 2" xfId="40410"/>
    <cellStyle name="표준 6 2 2 3 12 6" xfId="27738"/>
    <cellStyle name="표준 6 2 2 3 13" xfId="2385"/>
    <cellStyle name="표준 6 2 2 3 13 2" xfId="2386"/>
    <cellStyle name="표준 6 2 2 3 13 2 2" xfId="5533"/>
    <cellStyle name="표준 6 2 2 3 13 2 2 2" xfId="11869"/>
    <cellStyle name="표준 6 2 2 3 13 2 2 2 2" xfId="24543"/>
    <cellStyle name="표준 6 2 2 3 13 2 2 2 2 2" xfId="49895"/>
    <cellStyle name="표준 6 2 2 3 13 2 2 2 3" xfId="37223"/>
    <cellStyle name="표준 6 2 2 3 13 2 2 3" xfId="18207"/>
    <cellStyle name="표준 6 2 2 3 13 2 2 3 2" xfId="43559"/>
    <cellStyle name="표준 6 2 2 3 13 2 2 4" xfId="30887"/>
    <cellStyle name="표준 6 2 2 3 13 2 3" xfId="8723"/>
    <cellStyle name="표준 6 2 2 3 13 2 3 2" xfId="21397"/>
    <cellStyle name="표준 6 2 2 3 13 2 3 2 2" xfId="46749"/>
    <cellStyle name="표준 6 2 2 3 13 2 3 3" xfId="34077"/>
    <cellStyle name="표준 6 2 2 3 13 2 4" xfId="15061"/>
    <cellStyle name="표준 6 2 2 3 13 2 4 2" xfId="40413"/>
    <cellStyle name="표준 6 2 2 3 13 2 5" xfId="27741"/>
    <cellStyle name="표준 6 2 2 3 13 3" xfId="5534"/>
    <cellStyle name="표준 6 2 2 3 13 3 2" xfId="11870"/>
    <cellStyle name="표준 6 2 2 3 13 3 2 2" xfId="24544"/>
    <cellStyle name="표준 6 2 2 3 13 3 2 2 2" xfId="49896"/>
    <cellStyle name="표준 6 2 2 3 13 3 2 3" xfId="37224"/>
    <cellStyle name="표준 6 2 2 3 13 3 3" xfId="18208"/>
    <cellStyle name="표준 6 2 2 3 13 3 3 2" xfId="43560"/>
    <cellStyle name="표준 6 2 2 3 13 3 4" xfId="30888"/>
    <cellStyle name="표준 6 2 2 3 13 4" xfId="8722"/>
    <cellStyle name="표준 6 2 2 3 13 4 2" xfId="21396"/>
    <cellStyle name="표준 6 2 2 3 13 4 2 2" xfId="46748"/>
    <cellStyle name="표준 6 2 2 3 13 4 3" xfId="34076"/>
    <cellStyle name="표준 6 2 2 3 13 5" xfId="15060"/>
    <cellStyle name="표준 6 2 2 3 13 5 2" xfId="40412"/>
    <cellStyle name="표준 6 2 2 3 13 6" xfId="27740"/>
    <cellStyle name="표준 6 2 2 3 14" xfId="2387"/>
    <cellStyle name="표준 6 2 2 3 14 2" xfId="2388"/>
    <cellStyle name="표준 6 2 2 3 14 2 2" xfId="5535"/>
    <cellStyle name="표준 6 2 2 3 14 2 2 2" xfId="11871"/>
    <cellStyle name="표준 6 2 2 3 14 2 2 2 2" xfId="24545"/>
    <cellStyle name="표준 6 2 2 3 14 2 2 2 2 2" xfId="49897"/>
    <cellStyle name="표준 6 2 2 3 14 2 2 2 3" xfId="37225"/>
    <cellStyle name="표준 6 2 2 3 14 2 2 3" xfId="18209"/>
    <cellStyle name="표준 6 2 2 3 14 2 2 3 2" xfId="43561"/>
    <cellStyle name="표준 6 2 2 3 14 2 2 4" xfId="30889"/>
    <cellStyle name="표준 6 2 2 3 14 2 3" xfId="8725"/>
    <cellStyle name="표준 6 2 2 3 14 2 3 2" xfId="21399"/>
    <cellStyle name="표준 6 2 2 3 14 2 3 2 2" xfId="46751"/>
    <cellStyle name="표준 6 2 2 3 14 2 3 3" xfId="34079"/>
    <cellStyle name="표준 6 2 2 3 14 2 4" xfId="15063"/>
    <cellStyle name="표준 6 2 2 3 14 2 4 2" xfId="40415"/>
    <cellStyle name="표준 6 2 2 3 14 2 5" xfId="27743"/>
    <cellStyle name="표준 6 2 2 3 14 3" xfId="5536"/>
    <cellStyle name="표준 6 2 2 3 14 3 2" xfId="11872"/>
    <cellStyle name="표준 6 2 2 3 14 3 2 2" xfId="24546"/>
    <cellStyle name="표준 6 2 2 3 14 3 2 2 2" xfId="49898"/>
    <cellStyle name="표준 6 2 2 3 14 3 2 3" xfId="37226"/>
    <cellStyle name="표준 6 2 2 3 14 3 3" xfId="18210"/>
    <cellStyle name="표준 6 2 2 3 14 3 3 2" xfId="43562"/>
    <cellStyle name="표준 6 2 2 3 14 3 4" xfId="30890"/>
    <cellStyle name="표준 6 2 2 3 14 4" xfId="8724"/>
    <cellStyle name="표준 6 2 2 3 14 4 2" xfId="21398"/>
    <cellStyle name="표준 6 2 2 3 14 4 2 2" xfId="46750"/>
    <cellStyle name="표준 6 2 2 3 14 4 3" xfId="34078"/>
    <cellStyle name="표준 6 2 2 3 14 5" xfId="15062"/>
    <cellStyle name="표준 6 2 2 3 14 5 2" xfId="40414"/>
    <cellStyle name="표준 6 2 2 3 14 6" xfId="27742"/>
    <cellStyle name="표준 6 2 2 3 15" xfId="2389"/>
    <cellStyle name="표준 6 2 2 3 15 2" xfId="2390"/>
    <cellStyle name="표준 6 2 2 3 15 2 2" xfId="5537"/>
    <cellStyle name="표준 6 2 2 3 15 2 2 2" xfId="11873"/>
    <cellStyle name="표준 6 2 2 3 15 2 2 2 2" xfId="24547"/>
    <cellStyle name="표준 6 2 2 3 15 2 2 2 2 2" xfId="49899"/>
    <cellStyle name="표준 6 2 2 3 15 2 2 2 3" xfId="37227"/>
    <cellStyle name="표준 6 2 2 3 15 2 2 3" xfId="18211"/>
    <cellStyle name="표준 6 2 2 3 15 2 2 3 2" xfId="43563"/>
    <cellStyle name="표준 6 2 2 3 15 2 2 4" xfId="30891"/>
    <cellStyle name="표준 6 2 2 3 15 2 3" xfId="8727"/>
    <cellStyle name="표준 6 2 2 3 15 2 3 2" xfId="21401"/>
    <cellStyle name="표준 6 2 2 3 15 2 3 2 2" xfId="46753"/>
    <cellStyle name="표준 6 2 2 3 15 2 3 3" xfId="34081"/>
    <cellStyle name="표준 6 2 2 3 15 2 4" xfId="15065"/>
    <cellStyle name="표준 6 2 2 3 15 2 4 2" xfId="40417"/>
    <cellStyle name="표준 6 2 2 3 15 2 5" xfId="27745"/>
    <cellStyle name="표준 6 2 2 3 15 3" xfId="5538"/>
    <cellStyle name="표준 6 2 2 3 15 3 2" xfId="11874"/>
    <cellStyle name="표준 6 2 2 3 15 3 2 2" xfId="24548"/>
    <cellStyle name="표준 6 2 2 3 15 3 2 2 2" xfId="49900"/>
    <cellStyle name="표준 6 2 2 3 15 3 2 3" xfId="37228"/>
    <cellStyle name="표준 6 2 2 3 15 3 3" xfId="18212"/>
    <cellStyle name="표준 6 2 2 3 15 3 3 2" xfId="43564"/>
    <cellStyle name="표준 6 2 2 3 15 3 4" xfId="30892"/>
    <cellStyle name="표준 6 2 2 3 15 4" xfId="8726"/>
    <cellStyle name="표준 6 2 2 3 15 4 2" xfId="21400"/>
    <cellStyle name="표준 6 2 2 3 15 4 2 2" xfId="46752"/>
    <cellStyle name="표준 6 2 2 3 15 4 3" xfId="34080"/>
    <cellStyle name="표준 6 2 2 3 15 5" xfId="15064"/>
    <cellStyle name="표준 6 2 2 3 15 5 2" xfId="40416"/>
    <cellStyle name="표준 6 2 2 3 15 6" xfId="27744"/>
    <cellStyle name="표준 6 2 2 3 16" xfId="2391"/>
    <cellStyle name="표준 6 2 2 3 16 2" xfId="2392"/>
    <cellStyle name="표준 6 2 2 3 16 2 2" xfId="5539"/>
    <cellStyle name="표준 6 2 2 3 16 2 2 2" xfId="11875"/>
    <cellStyle name="표준 6 2 2 3 16 2 2 2 2" xfId="24549"/>
    <cellStyle name="표준 6 2 2 3 16 2 2 2 2 2" xfId="49901"/>
    <cellStyle name="표준 6 2 2 3 16 2 2 2 3" xfId="37229"/>
    <cellStyle name="표준 6 2 2 3 16 2 2 3" xfId="18213"/>
    <cellStyle name="표준 6 2 2 3 16 2 2 3 2" xfId="43565"/>
    <cellStyle name="표준 6 2 2 3 16 2 2 4" xfId="30893"/>
    <cellStyle name="표준 6 2 2 3 16 2 3" xfId="8729"/>
    <cellStyle name="표준 6 2 2 3 16 2 3 2" xfId="21403"/>
    <cellStyle name="표준 6 2 2 3 16 2 3 2 2" xfId="46755"/>
    <cellStyle name="표준 6 2 2 3 16 2 3 3" xfId="34083"/>
    <cellStyle name="표준 6 2 2 3 16 2 4" xfId="15067"/>
    <cellStyle name="표준 6 2 2 3 16 2 4 2" xfId="40419"/>
    <cellStyle name="표준 6 2 2 3 16 2 5" xfId="27747"/>
    <cellStyle name="표준 6 2 2 3 16 3" xfId="5540"/>
    <cellStyle name="표준 6 2 2 3 16 3 2" xfId="11876"/>
    <cellStyle name="표준 6 2 2 3 16 3 2 2" xfId="24550"/>
    <cellStyle name="표준 6 2 2 3 16 3 2 2 2" xfId="49902"/>
    <cellStyle name="표준 6 2 2 3 16 3 2 3" xfId="37230"/>
    <cellStyle name="표준 6 2 2 3 16 3 3" xfId="18214"/>
    <cellStyle name="표준 6 2 2 3 16 3 3 2" xfId="43566"/>
    <cellStyle name="표준 6 2 2 3 16 3 4" xfId="30894"/>
    <cellStyle name="표준 6 2 2 3 16 4" xfId="8728"/>
    <cellStyle name="표준 6 2 2 3 16 4 2" xfId="21402"/>
    <cellStyle name="표준 6 2 2 3 16 4 2 2" xfId="46754"/>
    <cellStyle name="표준 6 2 2 3 16 4 3" xfId="34082"/>
    <cellStyle name="표준 6 2 2 3 16 5" xfId="15066"/>
    <cellStyle name="표준 6 2 2 3 16 5 2" xfId="40418"/>
    <cellStyle name="표준 6 2 2 3 16 6" xfId="27746"/>
    <cellStyle name="표준 6 2 2 3 17" xfId="2393"/>
    <cellStyle name="표준 6 2 2 3 17 2" xfId="2394"/>
    <cellStyle name="표준 6 2 2 3 17 2 2" xfId="5541"/>
    <cellStyle name="표준 6 2 2 3 17 2 2 2" xfId="11877"/>
    <cellStyle name="표준 6 2 2 3 17 2 2 2 2" xfId="24551"/>
    <cellStyle name="표준 6 2 2 3 17 2 2 2 2 2" xfId="49903"/>
    <cellStyle name="표준 6 2 2 3 17 2 2 2 3" xfId="37231"/>
    <cellStyle name="표준 6 2 2 3 17 2 2 3" xfId="18215"/>
    <cellStyle name="표준 6 2 2 3 17 2 2 3 2" xfId="43567"/>
    <cellStyle name="표준 6 2 2 3 17 2 2 4" xfId="30895"/>
    <cellStyle name="표준 6 2 2 3 17 2 3" xfId="8731"/>
    <cellStyle name="표준 6 2 2 3 17 2 3 2" xfId="21405"/>
    <cellStyle name="표준 6 2 2 3 17 2 3 2 2" xfId="46757"/>
    <cellStyle name="표준 6 2 2 3 17 2 3 3" xfId="34085"/>
    <cellStyle name="표준 6 2 2 3 17 2 4" xfId="15069"/>
    <cellStyle name="표준 6 2 2 3 17 2 4 2" xfId="40421"/>
    <cellStyle name="표준 6 2 2 3 17 2 5" xfId="27749"/>
    <cellStyle name="표준 6 2 2 3 17 3" xfId="5542"/>
    <cellStyle name="표준 6 2 2 3 17 3 2" xfId="11878"/>
    <cellStyle name="표준 6 2 2 3 17 3 2 2" xfId="24552"/>
    <cellStyle name="표준 6 2 2 3 17 3 2 2 2" xfId="49904"/>
    <cellStyle name="표준 6 2 2 3 17 3 2 3" xfId="37232"/>
    <cellStyle name="표준 6 2 2 3 17 3 3" xfId="18216"/>
    <cellStyle name="표준 6 2 2 3 17 3 3 2" xfId="43568"/>
    <cellStyle name="표준 6 2 2 3 17 3 4" xfId="30896"/>
    <cellStyle name="표준 6 2 2 3 17 4" xfId="8730"/>
    <cellStyle name="표준 6 2 2 3 17 4 2" xfId="21404"/>
    <cellStyle name="표준 6 2 2 3 17 4 2 2" xfId="46756"/>
    <cellStyle name="표준 6 2 2 3 17 4 3" xfId="34084"/>
    <cellStyle name="표준 6 2 2 3 17 5" xfId="15068"/>
    <cellStyle name="표준 6 2 2 3 17 5 2" xfId="40420"/>
    <cellStyle name="표준 6 2 2 3 17 6" xfId="27748"/>
    <cellStyle name="표준 6 2 2 3 18" xfId="2395"/>
    <cellStyle name="표준 6 2 2 3 18 2" xfId="2396"/>
    <cellStyle name="표준 6 2 2 3 18 2 2" xfId="5543"/>
    <cellStyle name="표준 6 2 2 3 18 2 2 2" xfId="11879"/>
    <cellStyle name="표준 6 2 2 3 18 2 2 2 2" xfId="24553"/>
    <cellStyle name="표준 6 2 2 3 18 2 2 2 2 2" xfId="49905"/>
    <cellStyle name="표준 6 2 2 3 18 2 2 2 3" xfId="37233"/>
    <cellStyle name="표준 6 2 2 3 18 2 2 3" xfId="18217"/>
    <cellStyle name="표준 6 2 2 3 18 2 2 3 2" xfId="43569"/>
    <cellStyle name="표준 6 2 2 3 18 2 2 4" xfId="30897"/>
    <cellStyle name="표준 6 2 2 3 18 2 3" xfId="8733"/>
    <cellStyle name="표준 6 2 2 3 18 2 3 2" xfId="21407"/>
    <cellStyle name="표준 6 2 2 3 18 2 3 2 2" xfId="46759"/>
    <cellStyle name="표준 6 2 2 3 18 2 3 3" xfId="34087"/>
    <cellStyle name="표준 6 2 2 3 18 2 4" xfId="15071"/>
    <cellStyle name="표준 6 2 2 3 18 2 4 2" xfId="40423"/>
    <cellStyle name="표준 6 2 2 3 18 2 5" xfId="27751"/>
    <cellStyle name="표준 6 2 2 3 18 3" xfId="5544"/>
    <cellStyle name="표준 6 2 2 3 18 3 2" xfId="11880"/>
    <cellStyle name="표준 6 2 2 3 18 3 2 2" xfId="24554"/>
    <cellStyle name="표준 6 2 2 3 18 3 2 2 2" xfId="49906"/>
    <cellStyle name="표준 6 2 2 3 18 3 2 3" xfId="37234"/>
    <cellStyle name="표준 6 2 2 3 18 3 3" xfId="18218"/>
    <cellStyle name="표준 6 2 2 3 18 3 3 2" xfId="43570"/>
    <cellStyle name="표준 6 2 2 3 18 3 4" xfId="30898"/>
    <cellStyle name="표준 6 2 2 3 18 4" xfId="8732"/>
    <cellStyle name="표준 6 2 2 3 18 4 2" xfId="21406"/>
    <cellStyle name="표준 6 2 2 3 18 4 2 2" xfId="46758"/>
    <cellStyle name="표준 6 2 2 3 18 4 3" xfId="34086"/>
    <cellStyle name="표준 6 2 2 3 18 5" xfId="15070"/>
    <cellStyle name="표준 6 2 2 3 18 5 2" xfId="40422"/>
    <cellStyle name="표준 6 2 2 3 18 6" xfId="27750"/>
    <cellStyle name="표준 6 2 2 3 19" xfId="2397"/>
    <cellStyle name="표준 6 2 2 3 19 2" xfId="2398"/>
    <cellStyle name="표준 6 2 2 3 19 2 2" xfId="5545"/>
    <cellStyle name="표준 6 2 2 3 19 2 2 2" xfId="11881"/>
    <cellStyle name="표준 6 2 2 3 19 2 2 2 2" xfId="24555"/>
    <cellStyle name="표준 6 2 2 3 19 2 2 2 2 2" xfId="49907"/>
    <cellStyle name="표준 6 2 2 3 19 2 2 2 3" xfId="37235"/>
    <cellStyle name="표준 6 2 2 3 19 2 2 3" xfId="18219"/>
    <cellStyle name="표준 6 2 2 3 19 2 2 3 2" xfId="43571"/>
    <cellStyle name="표준 6 2 2 3 19 2 2 4" xfId="30899"/>
    <cellStyle name="표준 6 2 2 3 19 2 3" xfId="8735"/>
    <cellStyle name="표준 6 2 2 3 19 2 3 2" xfId="21409"/>
    <cellStyle name="표준 6 2 2 3 19 2 3 2 2" xfId="46761"/>
    <cellStyle name="표준 6 2 2 3 19 2 3 3" xfId="34089"/>
    <cellStyle name="표준 6 2 2 3 19 2 4" xfId="15073"/>
    <cellStyle name="표준 6 2 2 3 19 2 4 2" xfId="40425"/>
    <cellStyle name="표준 6 2 2 3 19 2 5" xfId="27753"/>
    <cellStyle name="표준 6 2 2 3 19 3" xfId="5546"/>
    <cellStyle name="표준 6 2 2 3 19 3 2" xfId="11882"/>
    <cellStyle name="표준 6 2 2 3 19 3 2 2" xfId="24556"/>
    <cellStyle name="표준 6 2 2 3 19 3 2 2 2" xfId="49908"/>
    <cellStyle name="표준 6 2 2 3 19 3 2 3" xfId="37236"/>
    <cellStyle name="표준 6 2 2 3 19 3 3" xfId="18220"/>
    <cellStyle name="표준 6 2 2 3 19 3 3 2" xfId="43572"/>
    <cellStyle name="표준 6 2 2 3 19 3 4" xfId="30900"/>
    <cellStyle name="표준 6 2 2 3 19 4" xfId="8734"/>
    <cellStyle name="표준 6 2 2 3 19 4 2" xfId="21408"/>
    <cellStyle name="표준 6 2 2 3 19 4 2 2" xfId="46760"/>
    <cellStyle name="표준 6 2 2 3 19 4 3" xfId="34088"/>
    <cellStyle name="표준 6 2 2 3 19 5" xfId="15072"/>
    <cellStyle name="표준 6 2 2 3 19 5 2" xfId="40424"/>
    <cellStyle name="표준 6 2 2 3 19 6" xfId="27752"/>
    <cellStyle name="표준 6 2 2 3 2" xfId="2399"/>
    <cellStyle name="표준 6 2 2 3 2 2" xfId="2400"/>
    <cellStyle name="표준 6 2 2 3 2 2 2" xfId="5547"/>
    <cellStyle name="표준 6 2 2 3 2 2 2 2" xfId="11883"/>
    <cellStyle name="표준 6 2 2 3 2 2 2 2 2" xfId="24557"/>
    <cellStyle name="표준 6 2 2 3 2 2 2 2 2 2" xfId="49909"/>
    <cellStyle name="표준 6 2 2 3 2 2 2 2 3" xfId="37237"/>
    <cellStyle name="표준 6 2 2 3 2 2 2 3" xfId="18221"/>
    <cellStyle name="표준 6 2 2 3 2 2 2 3 2" xfId="43573"/>
    <cellStyle name="표준 6 2 2 3 2 2 2 4" xfId="30901"/>
    <cellStyle name="표준 6 2 2 3 2 2 3" xfId="8737"/>
    <cellStyle name="표준 6 2 2 3 2 2 3 2" xfId="21411"/>
    <cellStyle name="표준 6 2 2 3 2 2 3 2 2" xfId="46763"/>
    <cellStyle name="표준 6 2 2 3 2 2 3 3" xfId="34091"/>
    <cellStyle name="표준 6 2 2 3 2 2 4" xfId="15075"/>
    <cellStyle name="표준 6 2 2 3 2 2 4 2" xfId="40427"/>
    <cellStyle name="표준 6 2 2 3 2 2 5" xfId="27755"/>
    <cellStyle name="표준 6 2 2 3 2 3" xfId="5548"/>
    <cellStyle name="표준 6 2 2 3 2 3 2" xfId="11884"/>
    <cellStyle name="표준 6 2 2 3 2 3 2 2" xfId="24558"/>
    <cellStyle name="표준 6 2 2 3 2 3 2 2 2" xfId="49910"/>
    <cellStyle name="표준 6 2 2 3 2 3 2 3" xfId="37238"/>
    <cellStyle name="표준 6 2 2 3 2 3 3" xfId="18222"/>
    <cellStyle name="표준 6 2 2 3 2 3 3 2" xfId="43574"/>
    <cellStyle name="표준 6 2 2 3 2 3 4" xfId="30902"/>
    <cellStyle name="표준 6 2 2 3 2 4" xfId="8736"/>
    <cellStyle name="표준 6 2 2 3 2 4 2" xfId="21410"/>
    <cellStyle name="표준 6 2 2 3 2 4 2 2" xfId="46762"/>
    <cellStyle name="표준 6 2 2 3 2 4 3" xfId="34090"/>
    <cellStyle name="표준 6 2 2 3 2 5" xfId="15074"/>
    <cellStyle name="표준 6 2 2 3 2 5 2" xfId="40426"/>
    <cellStyle name="표준 6 2 2 3 2 6" xfId="27754"/>
    <cellStyle name="표준 6 2 2 3 20" xfId="2401"/>
    <cellStyle name="표준 6 2 2 3 20 2" xfId="2402"/>
    <cellStyle name="표준 6 2 2 3 20 2 2" xfId="5549"/>
    <cellStyle name="표준 6 2 2 3 20 2 2 2" xfId="11885"/>
    <cellStyle name="표준 6 2 2 3 20 2 2 2 2" xfId="24559"/>
    <cellStyle name="표준 6 2 2 3 20 2 2 2 2 2" xfId="49911"/>
    <cellStyle name="표준 6 2 2 3 20 2 2 2 3" xfId="37239"/>
    <cellStyle name="표준 6 2 2 3 20 2 2 3" xfId="18223"/>
    <cellStyle name="표준 6 2 2 3 20 2 2 3 2" xfId="43575"/>
    <cellStyle name="표준 6 2 2 3 20 2 2 4" xfId="30903"/>
    <cellStyle name="표준 6 2 2 3 20 2 3" xfId="8739"/>
    <cellStyle name="표준 6 2 2 3 20 2 3 2" xfId="21413"/>
    <cellStyle name="표준 6 2 2 3 20 2 3 2 2" xfId="46765"/>
    <cellStyle name="표준 6 2 2 3 20 2 3 3" xfId="34093"/>
    <cellStyle name="표준 6 2 2 3 20 2 4" xfId="15077"/>
    <cellStyle name="표준 6 2 2 3 20 2 4 2" xfId="40429"/>
    <cellStyle name="표준 6 2 2 3 20 2 5" xfId="27757"/>
    <cellStyle name="표준 6 2 2 3 20 3" xfId="5550"/>
    <cellStyle name="표준 6 2 2 3 20 3 2" xfId="11886"/>
    <cellStyle name="표준 6 2 2 3 20 3 2 2" xfId="24560"/>
    <cellStyle name="표준 6 2 2 3 20 3 2 2 2" xfId="49912"/>
    <cellStyle name="표준 6 2 2 3 20 3 2 3" xfId="37240"/>
    <cellStyle name="표준 6 2 2 3 20 3 3" xfId="18224"/>
    <cellStyle name="표준 6 2 2 3 20 3 3 2" xfId="43576"/>
    <cellStyle name="표준 6 2 2 3 20 3 4" xfId="30904"/>
    <cellStyle name="표준 6 2 2 3 20 4" xfId="8738"/>
    <cellStyle name="표준 6 2 2 3 20 4 2" xfId="21412"/>
    <cellStyle name="표준 6 2 2 3 20 4 2 2" xfId="46764"/>
    <cellStyle name="표준 6 2 2 3 20 4 3" xfId="34092"/>
    <cellStyle name="표준 6 2 2 3 20 5" xfId="15076"/>
    <cellStyle name="표준 6 2 2 3 20 5 2" xfId="40428"/>
    <cellStyle name="표준 6 2 2 3 20 6" xfId="27756"/>
    <cellStyle name="표준 6 2 2 3 21" xfId="2403"/>
    <cellStyle name="표준 6 2 2 3 21 2" xfId="2404"/>
    <cellStyle name="표준 6 2 2 3 21 2 2" xfId="5551"/>
    <cellStyle name="표준 6 2 2 3 21 2 2 2" xfId="11887"/>
    <cellStyle name="표준 6 2 2 3 21 2 2 2 2" xfId="24561"/>
    <cellStyle name="표준 6 2 2 3 21 2 2 2 2 2" xfId="49913"/>
    <cellStyle name="표준 6 2 2 3 21 2 2 2 3" xfId="37241"/>
    <cellStyle name="표준 6 2 2 3 21 2 2 3" xfId="18225"/>
    <cellStyle name="표준 6 2 2 3 21 2 2 3 2" xfId="43577"/>
    <cellStyle name="표준 6 2 2 3 21 2 2 4" xfId="30905"/>
    <cellStyle name="표준 6 2 2 3 21 2 3" xfId="8741"/>
    <cellStyle name="표준 6 2 2 3 21 2 3 2" xfId="21415"/>
    <cellStyle name="표준 6 2 2 3 21 2 3 2 2" xfId="46767"/>
    <cellStyle name="표준 6 2 2 3 21 2 3 3" xfId="34095"/>
    <cellStyle name="표준 6 2 2 3 21 2 4" xfId="15079"/>
    <cellStyle name="표준 6 2 2 3 21 2 4 2" xfId="40431"/>
    <cellStyle name="표준 6 2 2 3 21 2 5" xfId="27759"/>
    <cellStyle name="표준 6 2 2 3 21 3" xfId="5552"/>
    <cellStyle name="표준 6 2 2 3 21 3 2" xfId="11888"/>
    <cellStyle name="표준 6 2 2 3 21 3 2 2" xfId="24562"/>
    <cellStyle name="표준 6 2 2 3 21 3 2 2 2" xfId="49914"/>
    <cellStyle name="표준 6 2 2 3 21 3 2 3" xfId="37242"/>
    <cellStyle name="표준 6 2 2 3 21 3 3" xfId="18226"/>
    <cellStyle name="표준 6 2 2 3 21 3 3 2" xfId="43578"/>
    <cellStyle name="표준 6 2 2 3 21 3 4" xfId="30906"/>
    <cellStyle name="표준 6 2 2 3 21 4" xfId="8740"/>
    <cellStyle name="표준 6 2 2 3 21 4 2" xfId="21414"/>
    <cellStyle name="표준 6 2 2 3 21 4 2 2" xfId="46766"/>
    <cellStyle name="표준 6 2 2 3 21 4 3" xfId="34094"/>
    <cellStyle name="표준 6 2 2 3 21 5" xfId="15078"/>
    <cellStyle name="표준 6 2 2 3 21 5 2" xfId="40430"/>
    <cellStyle name="표준 6 2 2 3 21 6" xfId="27758"/>
    <cellStyle name="표준 6 2 2 3 22" xfId="2405"/>
    <cellStyle name="표준 6 2 2 3 22 2" xfId="2406"/>
    <cellStyle name="표준 6 2 2 3 22 2 2" xfId="5553"/>
    <cellStyle name="표준 6 2 2 3 22 2 2 2" xfId="11889"/>
    <cellStyle name="표준 6 2 2 3 22 2 2 2 2" xfId="24563"/>
    <cellStyle name="표준 6 2 2 3 22 2 2 2 2 2" xfId="49915"/>
    <cellStyle name="표준 6 2 2 3 22 2 2 2 3" xfId="37243"/>
    <cellStyle name="표준 6 2 2 3 22 2 2 3" xfId="18227"/>
    <cellStyle name="표준 6 2 2 3 22 2 2 3 2" xfId="43579"/>
    <cellStyle name="표준 6 2 2 3 22 2 2 4" xfId="30907"/>
    <cellStyle name="표준 6 2 2 3 22 2 3" xfId="8743"/>
    <cellStyle name="표준 6 2 2 3 22 2 3 2" xfId="21417"/>
    <cellStyle name="표준 6 2 2 3 22 2 3 2 2" xfId="46769"/>
    <cellStyle name="표준 6 2 2 3 22 2 3 3" xfId="34097"/>
    <cellStyle name="표준 6 2 2 3 22 2 4" xfId="15081"/>
    <cellStyle name="표준 6 2 2 3 22 2 4 2" xfId="40433"/>
    <cellStyle name="표준 6 2 2 3 22 2 5" xfId="27761"/>
    <cellStyle name="표준 6 2 2 3 22 3" xfId="5554"/>
    <cellStyle name="표준 6 2 2 3 22 3 2" xfId="11890"/>
    <cellStyle name="표준 6 2 2 3 22 3 2 2" xfId="24564"/>
    <cellStyle name="표준 6 2 2 3 22 3 2 2 2" xfId="49916"/>
    <cellStyle name="표준 6 2 2 3 22 3 2 3" xfId="37244"/>
    <cellStyle name="표준 6 2 2 3 22 3 3" xfId="18228"/>
    <cellStyle name="표준 6 2 2 3 22 3 3 2" xfId="43580"/>
    <cellStyle name="표준 6 2 2 3 22 3 4" xfId="30908"/>
    <cellStyle name="표준 6 2 2 3 22 4" xfId="8742"/>
    <cellStyle name="표준 6 2 2 3 22 4 2" xfId="21416"/>
    <cellStyle name="표준 6 2 2 3 22 4 2 2" xfId="46768"/>
    <cellStyle name="표준 6 2 2 3 22 4 3" xfId="34096"/>
    <cellStyle name="표준 6 2 2 3 22 5" xfId="15080"/>
    <cellStyle name="표준 6 2 2 3 22 5 2" xfId="40432"/>
    <cellStyle name="표준 6 2 2 3 22 6" xfId="27760"/>
    <cellStyle name="표준 6 2 2 3 23" xfId="2407"/>
    <cellStyle name="표준 6 2 2 3 23 2" xfId="2408"/>
    <cellStyle name="표준 6 2 2 3 23 2 2" xfId="5555"/>
    <cellStyle name="표준 6 2 2 3 23 2 2 2" xfId="11891"/>
    <cellStyle name="표준 6 2 2 3 23 2 2 2 2" xfId="24565"/>
    <cellStyle name="표준 6 2 2 3 23 2 2 2 2 2" xfId="49917"/>
    <cellStyle name="표준 6 2 2 3 23 2 2 2 3" xfId="37245"/>
    <cellStyle name="표준 6 2 2 3 23 2 2 3" xfId="18229"/>
    <cellStyle name="표준 6 2 2 3 23 2 2 3 2" xfId="43581"/>
    <cellStyle name="표준 6 2 2 3 23 2 2 4" xfId="30909"/>
    <cellStyle name="표준 6 2 2 3 23 2 3" xfId="8745"/>
    <cellStyle name="표준 6 2 2 3 23 2 3 2" xfId="21419"/>
    <cellStyle name="표준 6 2 2 3 23 2 3 2 2" xfId="46771"/>
    <cellStyle name="표준 6 2 2 3 23 2 3 3" xfId="34099"/>
    <cellStyle name="표준 6 2 2 3 23 2 4" xfId="15083"/>
    <cellStyle name="표준 6 2 2 3 23 2 4 2" xfId="40435"/>
    <cellStyle name="표준 6 2 2 3 23 2 5" xfId="27763"/>
    <cellStyle name="표준 6 2 2 3 23 3" xfId="5556"/>
    <cellStyle name="표준 6 2 2 3 23 3 2" xfId="11892"/>
    <cellStyle name="표준 6 2 2 3 23 3 2 2" xfId="24566"/>
    <cellStyle name="표준 6 2 2 3 23 3 2 2 2" xfId="49918"/>
    <cellStyle name="표준 6 2 2 3 23 3 2 3" xfId="37246"/>
    <cellStyle name="표준 6 2 2 3 23 3 3" xfId="18230"/>
    <cellStyle name="표준 6 2 2 3 23 3 3 2" xfId="43582"/>
    <cellStyle name="표준 6 2 2 3 23 3 4" xfId="30910"/>
    <cellStyle name="표준 6 2 2 3 23 4" xfId="8744"/>
    <cellStyle name="표준 6 2 2 3 23 4 2" xfId="21418"/>
    <cellStyle name="표준 6 2 2 3 23 4 2 2" xfId="46770"/>
    <cellStyle name="표준 6 2 2 3 23 4 3" xfId="34098"/>
    <cellStyle name="표준 6 2 2 3 23 5" xfId="15082"/>
    <cellStyle name="표준 6 2 2 3 23 5 2" xfId="40434"/>
    <cellStyle name="표준 6 2 2 3 23 6" xfId="27762"/>
    <cellStyle name="표준 6 2 2 3 24" xfId="2409"/>
    <cellStyle name="표준 6 2 2 3 24 2" xfId="2410"/>
    <cellStyle name="표준 6 2 2 3 24 2 2" xfId="5557"/>
    <cellStyle name="표준 6 2 2 3 24 2 2 2" xfId="11893"/>
    <cellStyle name="표준 6 2 2 3 24 2 2 2 2" xfId="24567"/>
    <cellStyle name="표준 6 2 2 3 24 2 2 2 2 2" xfId="49919"/>
    <cellStyle name="표준 6 2 2 3 24 2 2 2 3" xfId="37247"/>
    <cellStyle name="표준 6 2 2 3 24 2 2 3" xfId="18231"/>
    <cellStyle name="표준 6 2 2 3 24 2 2 3 2" xfId="43583"/>
    <cellStyle name="표준 6 2 2 3 24 2 2 4" xfId="30911"/>
    <cellStyle name="표준 6 2 2 3 24 2 3" xfId="8747"/>
    <cellStyle name="표준 6 2 2 3 24 2 3 2" xfId="21421"/>
    <cellStyle name="표준 6 2 2 3 24 2 3 2 2" xfId="46773"/>
    <cellStyle name="표준 6 2 2 3 24 2 3 3" xfId="34101"/>
    <cellStyle name="표준 6 2 2 3 24 2 4" xfId="15085"/>
    <cellStyle name="표준 6 2 2 3 24 2 4 2" xfId="40437"/>
    <cellStyle name="표준 6 2 2 3 24 2 5" xfId="27765"/>
    <cellStyle name="표준 6 2 2 3 24 3" xfId="5558"/>
    <cellStyle name="표준 6 2 2 3 24 3 2" xfId="11894"/>
    <cellStyle name="표준 6 2 2 3 24 3 2 2" xfId="24568"/>
    <cellStyle name="표준 6 2 2 3 24 3 2 2 2" xfId="49920"/>
    <cellStyle name="표준 6 2 2 3 24 3 2 3" xfId="37248"/>
    <cellStyle name="표준 6 2 2 3 24 3 3" xfId="18232"/>
    <cellStyle name="표준 6 2 2 3 24 3 3 2" xfId="43584"/>
    <cellStyle name="표준 6 2 2 3 24 3 4" xfId="30912"/>
    <cellStyle name="표준 6 2 2 3 24 4" xfId="8746"/>
    <cellStyle name="표준 6 2 2 3 24 4 2" xfId="21420"/>
    <cellStyle name="표준 6 2 2 3 24 4 2 2" xfId="46772"/>
    <cellStyle name="표준 6 2 2 3 24 4 3" xfId="34100"/>
    <cellStyle name="표준 6 2 2 3 24 5" xfId="15084"/>
    <cellStyle name="표준 6 2 2 3 24 5 2" xfId="40436"/>
    <cellStyle name="표준 6 2 2 3 24 6" xfId="27764"/>
    <cellStyle name="표준 6 2 2 3 25" xfId="2411"/>
    <cellStyle name="표준 6 2 2 3 25 2" xfId="2412"/>
    <cellStyle name="표준 6 2 2 3 25 2 2" xfId="5559"/>
    <cellStyle name="표준 6 2 2 3 25 2 2 2" xfId="11895"/>
    <cellStyle name="표준 6 2 2 3 25 2 2 2 2" xfId="24569"/>
    <cellStyle name="표준 6 2 2 3 25 2 2 2 2 2" xfId="49921"/>
    <cellStyle name="표준 6 2 2 3 25 2 2 2 3" xfId="37249"/>
    <cellStyle name="표준 6 2 2 3 25 2 2 3" xfId="18233"/>
    <cellStyle name="표준 6 2 2 3 25 2 2 3 2" xfId="43585"/>
    <cellStyle name="표준 6 2 2 3 25 2 2 4" xfId="30913"/>
    <cellStyle name="표준 6 2 2 3 25 2 3" xfId="8749"/>
    <cellStyle name="표준 6 2 2 3 25 2 3 2" xfId="21423"/>
    <cellStyle name="표준 6 2 2 3 25 2 3 2 2" xfId="46775"/>
    <cellStyle name="표준 6 2 2 3 25 2 3 3" xfId="34103"/>
    <cellStyle name="표준 6 2 2 3 25 2 4" xfId="15087"/>
    <cellStyle name="표준 6 2 2 3 25 2 4 2" xfId="40439"/>
    <cellStyle name="표준 6 2 2 3 25 2 5" xfId="27767"/>
    <cellStyle name="표준 6 2 2 3 25 3" xfId="5560"/>
    <cellStyle name="표준 6 2 2 3 25 3 2" xfId="11896"/>
    <cellStyle name="표준 6 2 2 3 25 3 2 2" xfId="24570"/>
    <cellStyle name="표준 6 2 2 3 25 3 2 2 2" xfId="49922"/>
    <cellStyle name="표준 6 2 2 3 25 3 2 3" xfId="37250"/>
    <cellStyle name="표준 6 2 2 3 25 3 3" xfId="18234"/>
    <cellStyle name="표준 6 2 2 3 25 3 3 2" xfId="43586"/>
    <cellStyle name="표준 6 2 2 3 25 3 4" xfId="30914"/>
    <cellStyle name="표준 6 2 2 3 25 4" xfId="8748"/>
    <cellStyle name="표준 6 2 2 3 25 4 2" xfId="21422"/>
    <cellStyle name="표준 6 2 2 3 25 4 2 2" xfId="46774"/>
    <cellStyle name="표준 6 2 2 3 25 4 3" xfId="34102"/>
    <cellStyle name="표준 6 2 2 3 25 5" xfId="15086"/>
    <cellStyle name="표준 6 2 2 3 25 5 2" xfId="40438"/>
    <cellStyle name="표준 6 2 2 3 25 6" xfId="27766"/>
    <cellStyle name="표준 6 2 2 3 26" xfId="2413"/>
    <cellStyle name="표준 6 2 2 3 26 2" xfId="2414"/>
    <cellStyle name="표준 6 2 2 3 26 2 2" xfId="5561"/>
    <cellStyle name="표준 6 2 2 3 26 2 2 2" xfId="11897"/>
    <cellStyle name="표준 6 2 2 3 26 2 2 2 2" xfId="24571"/>
    <cellStyle name="표준 6 2 2 3 26 2 2 2 2 2" xfId="49923"/>
    <cellStyle name="표준 6 2 2 3 26 2 2 2 3" xfId="37251"/>
    <cellStyle name="표준 6 2 2 3 26 2 2 3" xfId="18235"/>
    <cellStyle name="표준 6 2 2 3 26 2 2 3 2" xfId="43587"/>
    <cellStyle name="표준 6 2 2 3 26 2 2 4" xfId="30915"/>
    <cellStyle name="표준 6 2 2 3 26 2 3" xfId="8751"/>
    <cellStyle name="표준 6 2 2 3 26 2 3 2" xfId="21425"/>
    <cellStyle name="표준 6 2 2 3 26 2 3 2 2" xfId="46777"/>
    <cellStyle name="표준 6 2 2 3 26 2 3 3" xfId="34105"/>
    <cellStyle name="표준 6 2 2 3 26 2 4" xfId="15089"/>
    <cellStyle name="표준 6 2 2 3 26 2 4 2" xfId="40441"/>
    <cellStyle name="표준 6 2 2 3 26 2 5" xfId="27769"/>
    <cellStyle name="표준 6 2 2 3 26 3" xfId="5562"/>
    <cellStyle name="표준 6 2 2 3 26 3 2" xfId="11898"/>
    <cellStyle name="표준 6 2 2 3 26 3 2 2" xfId="24572"/>
    <cellStyle name="표준 6 2 2 3 26 3 2 2 2" xfId="49924"/>
    <cellStyle name="표준 6 2 2 3 26 3 2 3" xfId="37252"/>
    <cellStyle name="표준 6 2 2 3 26 3 3" xfId="18236"/>
    <cellStyle name="표준 6 2 2 3 26 3 3 2" xfId="43588"/>
    <cellStyle name="표준 6 2 2 3 26 3 4" xfId="30916"/>
    <cellStyle name="표준 6 2 2 3 26 4" xfId="8750"/>
    <cellStyle name="표준 6 2 2 3 26 4 2" xfId="21424"/>
    <cellStyle name="표준 6 2 2 3 26 4 2 2" xfId="46776"/>
    <cellStyle name="표준 6 2 2 3 26 4 3" xfId="34104"/>
    <cellStyle name="표준 6 2 2 3 26 5" xfId="15088"/>
    <cellStyle name="표준 6 2 2 3 26 5 2" xfId="40440"/>
    <cellStyle name="표준 6 2 2 3 26 6" xfId="27768"/>
    <cellStyle name="표준 6 2 2 3 27" xfId="2415"/>
    <cellStyle name="표준 6 2 2 3 27 2" xfId="2416"/>
    <cellStyle name="표준 6 2 2 3 27 2 2" xfId="5563"/>
    <cellStyle name="표준 6 2 2 3 27 2 2 2" xfId="11899"/>
    <cellStyle name="표준 6 2 2 3 27 2 2 2 2" xfId="24573"/>
    <cellStyle name="표준 6 2 2 3 27 2 2 2 2 2" xfId="49925"/>
    <cellStyle name="표준 6 2 2 3 27 2 2 2 3" xfId="37253"/>
    <cellStyle name="표준 6 2 2 3 27 2 2 3" xfId="18237"/>
    <cellStyle name="표준 6 2 2 3 27 2 2 3 2" xfId="43589"/>
    <cellStyle name="표준 6 2 2 3 27 2 2 4" xfId="30917"/>
    <cellStyle name="표준 6 2 2 3 27 2 3" xfId="8753"/>
    <cellStyle name="표준 6 2 2 3 27 2 3 2" xfId="21427"/>
    <cellStyle name="표준 6 2 2 3 27 2 3 2 2" xfId="46779"/>
    <cellStyle name="표준 6 2 2 3 27 2 3 3" xfId="34107"/>
    <cellStyle name="표준 6 2 2 3 27 2 4" xfId="15091"/>
    <cellStyle name="표준 6 2 2 3 27 2 4 2" xfId="40443"/>
    <cellStyle name="표준 6 2 2 3 27 2 5" xfId="27771"/>
    <cellStyle name="표준 6 2 2 3 27 3" xfId="5564"/>
    <cellStyle name="표준 6 2 2 3 27 3 2" xfId="11900"/>
    <cellStyle name="표준 6 2 2 3 27 3 2 2" xfId="24574"/>
    <cellStyle name="표준 6 2 2 3 27 3 2 2 2" xfId="49926"/>
    <cellStyle name="표준 6 2 2 3 27 3 2 3" xfId="37254"/>
    <cellStyle name="표준 6 2 2 3 27 3 3" xfId="18238"/>
    <cellStyle name="표준 6 2 2 3 27 3 3 2" xfId="43590"/>
    <cellStyle name="표준 6 2 2 3 27 3 4" xfId="30918"/>
    <cellStyle name="표준 6 2 2 3 27 4" xfId="8752"/>
    <cellStyle name="표준 6 2 2 3 27 4 2" xfId="21426"/>
    <cellStyle name="표준 6 2 2 3 27 4 2 2" xfId="46778"/>
    <cellStyle name="표준 6 2 2 3 27 4 3" xfId="34106"/>
    <cellStyle name="표준 6 2 2 3 27 5" xfId="15090"/>
    <cellStyle name="표준 6 2 2 3 27 5 2" xfId="40442"/>
    <cellStyle name="표준 6 2 2 3 27 6" xfId="27770"/>
    <cellStyle name="표준 6 2 2 3 28" xfId="2417"/>
    <cellStyle name="표준 6 2 2 3 28 2" xfId="2418"/>
    <cellStyle name="표준 6 2 2 3 28 2 2" xfId="5565"/>
    <cellStyle name="표준 6 2 2 3 28 2 2 2" xfId="11901"/>
    <cellStyle name="표준 6 2 2 3 28 2 2 2 2" xfId="24575"/>
    <cellStyle name="표준 6 2 2 3 28 2 2 2 2 2" xfId="49927"/>
    <cellStyle name="표준 6 2 2 3 28 2 2 2 3" xfId="37255"/>
    <cellStyle name="표준 6 2 2 3 28 2 2 3" xfId="18239"/>
    <cellStyle name="표준 6 2 2 3 28 2 2 3 2" xfId="43591"/>
    <cellStyle name="표준 6 2 2 3 28 2 2 4" xfId="30919"/>
    <cellStyle name="표준 6 2 2 3 28 2 3" xfId="8755"/>
    <cellStyle name="표준 6 2 2 3 28 2 3 2" xfId="21429"/>
    <cellStyle name="표준 6 2 2 3 28 2 3 2 2" xfId="46781"/>
    <cellStyle name="표준 6 2 2 3 28 2 3 3" xfId="34109"/>
    <cellStyle name="표준 6 2 2 3 28 2 4" xfId="15093"/>
    <cellStyle name="표준 6 2 2 3 28 2 4 2" xfId="40445"/>
    <cellStyle name="표준 6 2 2 3 28 2 5" xfId="27773"/>
    <cellStyle name="표준 6 2 2 3 28 3" xfId="5566"/>
    <cellStyle name="표준 6 2 2 3 28 3 2" xfId="11902"/>
    <cellStyle name="표준 6 2 2 3 28 3 2 2" xfId="24576"/>
    <cellStyle name="표준 6 2 2 3 28 3 2 2 2" xfId="49928"/>
    <cellStyle name="표준 6 2 2 3 28 3 2 3" xfId="37256"/>
    <cellStyle name="표준 6 2 2 3 28 3 3" xfId="18240"/>
    <cellStyle name="표준 6 2 2 3 28 3 3 2" xfId="43592"/>
    <cellStyle name="표준 6 2 2 3 28 3 4" xfId="30920"/>
    <cellStyle name="표준 6 2 2 3 28 4" xfId="8754"/>
    <cellStyle name="표준 6 2 2 3 28 4 2" xfId="21428"/>
    <cellStyle name="표준 6 2 2 3 28 4 2 2" xfId="46780"/>
    <cellStyle name="표준 6 2 2 3 28 4 3" xfId="34108"/>
    <cellStyle name="표준 6 2 2 3 28 5" xfId="15092"/>
    <cellStyle name="표준 6 2 2 3 28 5 2" xfId="40444"/>
    <cellStyle name="표준 6 2 2 3 28 6" xfId="27772"/>
    <cellStyle name="표준 6 2 2 3 29" xfId="2419"/>
    <cellStyle name="표준 6 2 2 3 29 2" xfId="2420"/>
    <cellStyle name="표준 6 2 2 3 29 2 2" xfId="5567"/>
    <cellStyle name="표준 6 2 2 3 29 2 2 2" xfId="11903"/>
    <cellStyle name="표준 6 2 2 3 29 2 2 2 2" xfId="24577"/>
    <cellStyle name="표준 6 2 2 3 29 2 2 2 2 2" xfId="49929"/>
    <cellStyle name="표준 6 2 2 3 29 2 2 2 3" xfId="37257"/>
    <cellStyle name="표준 6 2 2 3 29 2 2 3" xfId="18241"/>
    <cellStyle name="표준 6 2 2 3 29 2 2 3 2" xfId="43593"/>
    <cellStyle name="표준 6 2 2 3 29 2 2 4" xfId="30921"/>
    <cellStyle name="표준 6 2 2 3 29 2 3" xfId="8757"/>
    <cellStyle name="표준 6 2 2 3 29 2 3 2" xfId="21431"/>
    <cellStyle name="표준 6 2 2 3 29 2 3 2 2" xfId="46783"/>
    <cellStyle name="표준 6 2 2 3 29 2 3 3" xfId="34111"/>
    <cellStyle name="표준 6 2 2 3 29 2 4" xfId="15095"/>
    <cellStyle name="표준 6 2 2 3 29 2 4 2" xfId="40447"/>
    <cellStyle name="표준 6 2 2 3 29 2 5" xfId="27775"/>
    <cellStyle name="표준 6 2 2 3 29 3" xfId="5568"/>
    <cellStyle name="표준 6 2 2 3 29 3 2" xfId="11904"/>
    <cellStyle name="표준 6 2 2 3 29 3 2 2" xfId="24578"/>
    <cellStyle name="표준 6 2 2 3 29 3 2 2 2" xfId="49930"/>
    <cellStyle name="표준 6 2 2 3 29 3 2 3" xfId="37258"/>
    <cellStyle name="표준 6 2 2 3 29 3 3" xfId="18242"/>
    <cellStyle name="표준 6 2 2 3 29 3 3 2" xfId="43594"/>
    <cellStyle name="표준 6 2 2 3 29 3 4" xfId="30922"/>
    <cellStyle name="표준 6 2 2 3 29 4" xfId="8756"/>
    <cellStyle name="표준 6 2 2 3 29 4 2" xfId="21430"/>
    <cellStyle name="표준 6 2 2 3 29 4 2 2" xfId="46782"/>
    <cellStyle name="표준 6 2 2 3 29 4 3" xfId="34110"/>
    <cellStyle name="표준 6 2 2 3 29 5" xfId="15094"/>
    <cellStyle name="표준 6 2 2 3 29 5 2" xfId="40446"/>
    <cellStyle name="표준 6 2 2 3 29 6" xfId="27774"/>
    <cellStyle name="표준 6 2 2 3 3" xfId="2421"/>
    <cellStyle name="표준 6 2 2 3 3 2" xfId="2422"/>
    <cellStyle name="표준 6 2 2 3 3 2 2" xfId="5569"/>
    <cellStyle name="표준 6 2 2 3 3 2 2 2" xfId="11905"/>
    <cellStyle name="표준 6 2 2 3 3 2 2 2 2" xfId="24579"/>
    <cellStyle name="표준 6 2 2 3 3 2 2 2 2 2" xfId="49931"/>
    <cellStyle name="표준 6 2 2 3 3 2 2 2 3" xfId="37259"/>
    <cellStyle name="표준 6 2 2 3 3 2 2 3" xfId="18243"/>
    <cellStyle name="표준 6 2 2 3 3 2 2 3 2" xfId="43595"/>
    <cellStyle name="표준 6 2 2 3 3 2 2 4" xfId="30923"/>
    <cellStyle name="표준 6 2 2 3 3 2 3" xfId="8759"/>
    <cellStyle name="표준 6 2 2 3 3 2 3 2" xfId="21433"/>
    <cellStyle name="표준 6 2 2 3 3 2 3 2 2" xfId="46785"/>
    <cellStyle name="표준 6 2 2 3 3 2 3 3" xfId="34113"/>
    <cellStyle name="표준 6 2 2 3 3 2 4" xfId="15097"/>
    <cellStyle name="표준 6 2 2 3 3 2 4 2" xfId="40449"/>
    <cellStyle name="표준 6 2 2 3 3 2 5" xfId="27777"/>
    <cellStyle name="표준 6 2 2 3 3 3" xfId="5570"/>
    <cellStyle name="표준 6 2 2 3 3 3 2" xfId="11906"/>
    <cellStyle name="표준 6 2 2 3 3 3 2 2" xfId="24580"/>
    <cellStyle name="표준 6 2 2 3 3 3 2 2 2" xfId="49932"/>
    <cellStyle name="표준 6 2 2 3 3 3 2 3" xfId="37260"/>
    <cellStyle name="표준 6 2 2 3 3 3 3" xfId="18244"/>
    <cellStyle name="표준 6 2 2 3 3 3 3 2" xfId="43596"/>
    <cellStyle name="표준 6 2 2 3 3 3 4" xfId="30924"/>
    <cellStyle name="표준 6 2 2 3 3 4" xfId="8758"/>
    <cellStyle name="표준 6 2 2 3 3 4 2" xfId="21432"/>
    <cellStyle name="표준 6 2 2 3 3 4 2 2" xfId="46784"/>
    <cellStyle name="표준 6 2 2 3 3 4 3" xfId="34112"/>
    <cellStyle name="표준 6 2 2 3 3 5" xfId="15096"/>
    <cellStyle name="표준 6 2 2 3 3 5 2" xfId="40448"/>
    <cellStyle name="표준 6 2 2 3 3 6" xfId="27776"/>
    <cellStyle name="표준 6 2 2 3 30" xfId="2423"/>
    <cellStyle name="표준 6 2 2 3 30 2" xfId="2424"/>
    <cellStyle name="표준 6 2 2 3 30 2 2" xfId="5571"/>
    <cellStyle name="표준 6 2 2 3 30 2 2 2" xfId="11907"/>
    <cellStyle name="표준 6 2 2 3 30 2 2 2 2" xfId="24581"/>
    <cellStyle name="표준 6 2 2 3 30 2 2 2 2 2" xfId="49933"/>
    <cellStyle name="표준 6 2 2 3 30 2 2 2 3" xfId="37261"/>
    <cellStyle name="표준 6 2 2 3 30 2 2 3" xfId="18245"/>
    <cellStyle name="표준 6 2 2 3 30 2 2 3 2" xfId="43597"/>
    <cellStyle name="표준 6 2 2 3 30 2 2 4" xfId="30925"/>
    <cellStyle name="표준 6 2 2 3 30 2 3" xfId="8761"/>
    <cellStyle name="표준 6 2 2 3 30 2 3 2" xfId="21435"/>
    <cellStyle name="표준 6 2 2 3 30 2 3 2 2" xfId="46787"/>
    <cellStyle name="표준 6 2 2 3 30 2 3 3" xfId="34115"/>
    <cellStyle name="표준 6 2 2 3 30 2 4" xfId="15099"/>
    <cellStyle name="표준 6 2 2 3 30 2 4 2" xfId="40451"/>
    <cellStyle name="표준 6 2 2 3 30 2 5" xfId="27779"/>
    <cellStyle name="표준 6 2 2 3 30 3" xfId="5572"/>
    <cellStyle name="표준 6 2 2 3 30 3 2" xfId="11908"/>
    <cellStyle name="표준 6 2 2 3 30 3 2 2" xfId="24582"/>
    <cellStyle name="표준 6 2 2 3 30 3 2 2 2" xfId="49934"/>
    <cellStyle name="표준 6 2 2 3 30 3 2 3" xfId="37262"/>
    <cellStyle name="표준 6 2 2 3 30 3 3" xfId="18246"/>
    <cellStyle name="표준 6 2 2 3 30 3 3 2" xfId="43598"/>
    <cellStyle name="표준 6 2 2 3 30 3 4" xfId="30926"/>
    <cellStyle name="표준 6 2 2 3 30 4" xfId="8760"/>
    <cellStyle name="표준 6 2 2 3 30 4 2" xfId="21434"/>
    <cellStyle name="표준 6 2 2 3 30 4 2 2" xfId="46786"/>
    <cellStyle name="표준 6 2 2 3 30 4 3" xfId="34114"/>
    <cellStyle name="표준 6 2 2 3 30 5" xfId="15098"/>
    <cellStyle name="표준 6 2 2 3 30 5 2" xfId="40450"/>
    <cellStyle name="표준 6 2 2 3 30 6" xfId="27778"/>
    <cellStyle name="표준 6 2 2 3 31" xfId="2425"/>
    <cellStyle name="표준 6 2 2 3 31 2" xfId="2426"/>
    <cellStyle name="표준 6 2 2 3 31 2 2" xfId="5573"/>
    <cellStyle name="표준 6 2 2 3 31 2 2 2" xfId="11909"/>
    <cellStyle name="표준 6 2 2 3 31 2 2 2 2" xfId="24583"/>
    <cellStyle name="표준 6 2 2 3 31 2 2 2 2 2" xfId="49935"/>
    <cellStyle name="표준 6 2 2 3 31 2 2 2 3" xfId="37263"/>
    <cellStyle name="표준 6 2 2 3 31 2 2 3" xfId="18247"/>
    <cellStyle name="표준 6 2 2 3 31 2 2 3 2" xfId="43599"/>
    <cellStyle name="표준 6 2 2 3 31 2 2 4" xfId="30927"/>
    <cellStyle name="표준 6 2 2 3 31 2 3" xfId="8763"/>
    <cellStyle name="표준 6 2 2 3 31 2 3 2" xfId="21437"/>
    <cellStyle name="표준 6 2 2 3 31 2 3 2 2" xfId="46789"/>
    <cellStyle name="표준 6 2 2 3 31 2 3 3" xfId="34117"/>
    <cellStyle name="표준 6 2 2 3 31 2 4" xfId="15101"/>
    <cellStyle name="표준 6 2 2 3 31 2 4 2" xfId="40453"/>
    <cellStyle name="표준 6 2 2 3 31 2 5" xfId="27781"/>
    <cellStyle name="표준 6 2 2 3 31 3" xfId="5574"/>
    <cellStyle name="표준 6 2 2 3 31 3 2" xfId="11910"/>
    <cellStyle name="표준 6 2 2 3 31 3 2 2" xfId="24584"/>
    <cellStyle name="표준 6 2 2 3 31 3 2 2 2" xfId="49936"/>
    <cellStyle name="표준 6 2 2 3 31 3 2 3" xfId="37264"/>
    <cellStyle name="표준 6 2 2 3 31 3 3" xfId="18248"/>
    <cellStyle name="표준 6 2 2 3 31 3 3 2" xfId="43600"/>
    <cellStyle name="표준 6 2 2 3 31 3 4" xfId="30928"/>
    <cellStyle name="표준 6 2 2 3 31 4" xfId="8762"/>
    <cellStyle name="표준 6 2 2 3 31 4 2" xfId="21436"/>
    <cellStyle name="표준 6 2 2 3 31 4 2 2" xfId="46788"/>
    <cellStyle name="표준 6 2 2 3 31 4 3" xfId="34116"/>
    <cellStyle name="표준 6 2 2 3 31 5" xfId="15100"/>
    <cellStyle name="표준 6 2 2 3 31 5 2" xfId="40452"/>
    <cellStyle name="표준 6 2 2 3 31 6" xfId="27780"/>
    <cellStyle name="표준 6 2 2 3 32" xfId="2427"/>
    <cellStyle name="표준 6 2 2 3 32 2" xfId="2428"/>
    <cellStyle name="표준 6 2 2 3 32 2 2" xfId="5575"/>
    <cellStyle name="표준 6 2 2 3 32 2 2 2" xfId="11911"/>
    <cellStyle name="표준 6 2 2 3 32 2 2 2 2" xfId="24585"/>
    <cellStyle name="표준 6 2 2 3 32 2 2 2 2 2" xfId="49937"/>
    <cellStyle name="표준 6 2 2 3 32 2 2 2 3" xfId="37265"/>
    <cellStyle name="표준 6 2 2 3 32 2 2 3" xfId="18249"/>
    <cellStyle name="표준 6 2 2 3 32 2 2 3 2" xfId="43601"/>
    <cellStyle name="표준 6 2 2 3 32 2 2 4" xfId="30929"/>
    <cellStyle name="표준 6 2 2 3 32 2 3" xfId="8765"/>
    <cellStyle name="표준 6 2 2 3 32 2 3 2" xfId="21439"/>
    <cellStyle name="표준 6 2 2 3 32 2 3 2 2" xfId="46791"/>
    <cellStyle name="표준 6 2 2 3 32 2 3 3" xfId="34119"/>
    <cellStyle name="표준 6 2 2 3 32 2 4" xfId="15103"/>
    <cellStyle name="표준 6 2 2 3 32 2 4 2" xfId="40455"/>
    <cellStyle name="표준 6 2 2 3 32 2 5" xfId="27783"/>
    <cellStyle name="표준 6 2 2 3 32 3" xfId="5576"/>
    <cellStyle name="표준 6 2 2 3 32 3 2" xfId="11912"/>
    <cellStyle name="표준 6 2 2 3 32 3 2 2" xfId="24586"/>
    <cellStyle name="표준 6 2 2 3 32 3 2 2 2" xfId="49938"/>
    <cellStyle name="표준 6 2 2 3 32 3 2 3" xfId="37266"/>
    <cellStyle name="표준 6 2 2 3 32 3 3" xfId="18250"/>
    <cellStyle name="표준 6 2 2 3 32 3 3 2" xfId="43602"/>
    <cellStyle name="표준 6 2 2 3 32 3 4" xfId="30930"/>
    <cellStyle name="표준 6 2 2 3 32 4" xfId="8764"/>
    <cellStyle name="표준 6 2 2 3 32 4 2" xfId="21438"/>
    <cellStyle name="표준 6 2 2 3 32 4 2 2" xfId="46790"/>
    <cellStyle name="표준 6 2 2 3 32 4 3" xfId="34118"/>
    <cellStyle name="표준 6 2 2 3 32 5" xfId="15102"/>
    <cellStyle name="표준 6 2 2 3 32 5 2" xfId="40454"/>
    <cellStyle name="표준 6 2 2 3 32 6" xfId="27782"/>
    <cellStyle name="표준 6 2 2 3 33" xfId="2429"/>
    <cellStyle name="표준 6 2 2 3 33 2" xfId="2430"/>
    <cellStyle name="표준 6 2 2 3 33 2 2" xfId="5577"/>
    <cellStyle name="표준 6 2 2 3 33 2 2 2" xfId="11913"/>
    <cellStyle name="표준 6 2 2 3 33 2 2 2 2" xfId="24587"/>
    <cellStyle name="표준 6 2 2 3 33 2 2 2 2 2" xfId="49939"/>
    <cellStyle name="표준 6 2 2 3 33 2 2 2 3" xfId="37267"/>
    <cellStyle name="표준 6 2 2 3 33 2 2 3" xfId="18251"/>
    <cellStyle name="표준 6 2 2 3 33 2 2 3 2" xfId="43603"/>
    <cellStyle name="표준 6 2 2 3 33 2 2 4" xfId="30931"/>
    <cellStyle name="표준 6 2 2 3 33 2 3" xfId="8767"/>
    <cellStyle name="표준 6 2 2 3 33 2 3 2" xfId="21441"/>
    <cellStyle name="표준 6 2 2 3 33 2 3 2 2" xfId="46793"/>
    <cellStyle name="표준 6 2 2 3 33 2 3 3" xfId="34121"/>
    <cellStyle name="표준 6 2 2 3 33 2 4" xfId="15105"/>
    <cellStyle name="표준 6 2 2 3 33 2 4 2" xfId="40457"/>
    <cellStyle name="표준 6 2 2 3 33 2 5" xfId="27785"/>
    <cellStyle name="표준 6 2 2 3 33 3" xfId="5578"/>
    <cellStyle name="표준 6 2 2 3 33 3 2" xfId="11914"/>
    <cellStyle name="표준 6 2 2 3 33 3 2 2" xfId="24588"/>
    <cellStyle name="표준 6 2 2 3 33 3 2 2 2" xfId="49940"/>
    <cellStyle name="표준 6 2 2 3 33 3 2 3" xfId="37268"/>
    <cellStyle name="표준 6 2 2 3 33 3 3" xfId="18252"/>
    <cellStyle name="표준 6 2 2 3 33 3 3 2" xfId="43604"/>
    <cellStyle name="표준 6 2 2 3 33 3 4" xfId="30932"/>
    <cellStyle name="표준 6 2 2 3 33 4" xfId="8766"/>
    <cellStyle name="표준 6 2 2 3 33 4 2" xfId="21440"/>
    <cellStyle name="표준 6 2 2 3 33 4 2 2" xfId="46792"/>
    <cellStyle name="표준 6 2 2 3 33 4 3" xfId="34120"/>
    <cellStyle name="표준 6 2 2 3 33 5" xfId="15104"/>
    <cellStyle name="표준 6 2 2 3 33 5 2" xfId="40456"/>
    <cellStyle name="표준 6 2 2 3 33 6" xfId="27784"/>
    <cellStyle name="표준 6 2 2 3 34" xfId="2431"/>
    <cellStyle name="표준 6 2 2 3 34 2" xfId="5579"/>
    <cellStyle name="표준 6 2 2 3 34 2 2" xfId="11915"/>
    <cellStyle name="표준 6 2 2 3 34 2 2 2" xfId="24589"/>
    <cellStyle name="표준 6 2 2 3 34 2 2 2 2" xfId="49941"/>
    <cellStyle name="표준 6 2 2 3 34 2 2 3" xfId="37269"/>
    <cellStyle name="표준 6 2 2 3 34 2 3" xfId="18253"/>
    <cellStyle name="표준 6 2 2 3 34 2 3 2" xfId="43605"/>
    <cellStyle name="표준 6 2 2 3 34 2 4" xfId="30933"/>
    <cellStyle name="표준 6 2 2 3 34 3" xfId="8768"/>
    <cellStyle name="표준 6 2 2 3 34 3 2" xfId="21442"/>
    <cellStyle name="표준 6 2 2 3 34 3 2 2" xfId="46794"/>
    <cellStyle name="표준 6 2 2 3 34 3 3" xfId="34122"/>
    <cellStyle name="표준 6 2 2 3 34 4" xfId="15106"/>
    <cellStyle name="표준 6 2 2 3 34 4 2" xfId="40458"/>
    <cellStyle name="표준 6 2 2 3 34 5" xfId="27786"/>
    <cellStyle name="표준 6 2 2 3 35" xfId="5580"/>
    <cellStyle name="표준 6 2 2 3 35 2" xfId="11916"/>
    <cellStyle name="표준 6 2 2 3 35 2 2" xfId="24590"/>
    <cellStyle name="표준 6 2 2 3 35 2 2 2" xfId="49942"/>
    <cellStyle name="표준 6 2 2 3 35 2 3" xfId="37270"/>
    <cellStyle name="표준 6 2 2 3 35 3" xfId="18254"/>
    <cellStyle name="표준 6 2 2 3 35 3 2" xfId="43606"/>
    <cellStyle name="표준 6 2 2 3 35 4" xfId="30934"/>
    <cellStyle name="표준 6 2 2 3 36" xfId="6429"/>
    <cellStyle name="표준 6 2 2 3 36 2" xfId="19103"/>
    <cellStyle name="표준 6 2 2 3 36 2 2" xfId="44455"/>
    <cellStyle name="표준 6 2 2 3 36 3" xfId="31783"/>
    <cellStyle name="표준 6 2 2 3 37" xfId="12767"/>
    <cellStyle name="표준 6 2 2 3 37 2" xfId="38119"/>
    <cellStyle name="표준 6 2 2 3 38" xfId="25447"/>
    <cellStyle name="표준 6 2 2 3 4" xfId="2432"/>
    <cellStyle name="표준 6 2 2 3 4 2" xfId="2433"/>
    <cellStyle name="표준 6 2 2 3 4 2 2" xfId="5581"/>
    <cellStyle name="표준 6 2 2 3 4 2 2 2" xfId="11917"/>
    <cellStyle name="표준 6 2 2 3 4 2 2 2 2" xfId="24591"/>
    <cellStyle name="표준 6 2 2 3 4 2 2 2 2 2" xfId="49943"/>
    <cellStyle name="표준 6 2 2 3 4 2 2 2 3" xfId="37271"/>
    <cellStyle name="표준 6 2 2 3 4 2 2 3" xfId="18255"/>
    <cellStyle name="표준 6 2 2 3 4 2 2 3 2" xfId="43607"/>
    <cellStyle name="표준 6 2 2 3 4 2 2 4" xfId="30935"/>
    <cellStyle name="표준 6 2 2 3 4 2 3" xfId="8770"/>
    <cellStyle name="표준 6 2 2 3 4 2 3 2" xfId="21444"/>
    <cellStyle name="표준 6 2 2 3 4 2 3 2 2" xfId="46796"/>
    <cellStyle name="표준 6 2 2 3 4 2 3 3" xfId="34124"/>
    <cellStyle name="표준 6 2 2 3 4 2 4" xfId="15108"/>
    <cellStyle name="표준 6 2 2 3 4 2 4 2" xfId="40460"/>
    <cellStyle name="표준 6 2 2 3 4 2 5" xfId="27788"/>
    <cellStyle name="표준 6 2 2 3 4 3" xfId="5582"/>
    <cellStyle name="표준 6 2 2 3 4 3 2" xfId="11918"/>
    <cellStyle name="표준 6 2 2 3 4 3 2 2" xfId="24592"/>
    <cellStyle name="표준 6 2 2 3 4 3 2 2 2" xfId="49944"/>
    <cellStyle name="표준 6 2 2 3 4 3 2 3" xfId="37272"/>
    <cellStyle name="표준 6 2 2 3 4 3 3" xfId="18256"/>
    <cellStyle name="표준 6 2 2 3 4 3 3 2" xfId="43608"/>
    <cellStyle name="표준 6 2 2 3 4 3 4" xfId="30936"/>
    <cellStyle name="표준 6 2 2 3 4 4" xfId="8769"/>
    <cellStyle name="표준 6 2 2 3 4 4 2" xfId="21443"/>
    <cellStyle name="표준 6 2 2 3 4 4 2 2" xfId="46795"/>
    <cellStyle name="표준 6 2 2 3 4 4 3" xfId="34123"/>
    <cellStyle name="표준 6 2 2 3 4 5" xfId="15107"/>
    <cellStyle name="표준 6 2 2 3 4 5 2" xfId="40459"/>
    <cellStyle name="표준 6 2 2 3 4 6" xfId="27787"/>
    <cellStyle name="표준 6 2 2 3 5" xfId="2434"/>
    <cellStyle name="표준 6 2 2 3 5 2" xfId="2435"/>
    <cellStyle name="표준 6 2 2 3 5 2 2" xfId="5583"/>
    <cellStyle name="표준 6 2 2 3 5 2 2 2" xfId="11919"/>
    <cellStyle name="표준 6 2 2 3 5 2 2 2 2" xfId="24593"/>
    <cellStyle name="표준 6 2 2 3 5 2 2 2 2 2" xfId="49945"/>
    <cellStyle name="표준 6 2 2 3 5 2 2 2 3" xfId="37273"/>
    <cellStyle name="표준 6 2 2 3 5 2 2 3" xfId="18257"/>
    <cellStyle name="표준 6 2 2 3 5 2 2 3 2" xfId="43609"/>
    <cellStyle name="표준 6 2 2 3 5 2 2 4" xfId="30937"/>
    <cellStyle name="표준 6 2 2 3 5 2 3" xfId="8772"/>
    <cellStyle name="표준 6 2 2 3 5 2 3 2" xfId="21446"/>
    <cellStyle name="표준 6 2 2 3 5 2 3 2 2" xfId="46798"/>
    <cellStyle name="표준 6 2 2 3 5 2 3 3" xfId="34126"/>
    <cellStyle name="표준 6 2 2 3 5 2 4" xfId="15110"/>
    <cellStyle name="표준 6 2 2 3 5 2 4 2" xfId="40462"/>
    <cellStyle name="표준 6 2 2 3 5 2 5" xfId="27790"/>
    <cellStyle name="표준 6 2 2 3 5 3" xfId="5584"/>
    <cellStyle name="표준 6 2 2 3 5 3 2" xfId="11920"/>
    <cellStyle name="표준 6 2 2 3 5 3 2 2" xfId="24594"/>
    <cellStyle name="표준 6 2 2 3 5 3 2 2 2" xfId="49946"/>
    <cellStyle name="표준 6 2 2 3 5 3 2 3" xfId="37274"/>
    <cellStyle name="표준 6 2 2 3 5 3 3" xfId="18258"/>
    <cellStyle name="표준 6 2 2 3 5 3 3 2" xfId="43610"/>
    <cellStyle name="표준 6 2 2 3 5 3 4" xfId="30938"/>
    <cellStyle name="표준 6 2 2 3 5 4" xfId="8771"/>
    <cellStyle name="표준 6 2 2 3 5 4 2" xfId="21445"/>
    <cellStyle name="표준 6 2 2 3 5 4 2 2" xfId="46797"/>
    <cellStyle name="표준 6 2 2 3 5 4 3" xfId="34125"/>
    <cellStyle name="표준 6 2 2 3 5 5" xfId="15109"/>
    <cellStyle name="표준 6 2 2 3 5 5 2" xfId="40461"/>
    <cellStyle name="표준 6 2 2 3 5 6" xfId="27789"/>
    <cellStyle name="표준 6 2 2 3 6" xfId="2436"/>
    <cellStyle name="표준 6 2 2 3 6 2" xfId="2437"/>
    <cellStyle name="표준 6 2 2 3 6 2 2" xfId="5585"/>
    <cellStyle name="표준 6 2 2 3 6 2 2 2" xfId="11921"/>
    <cellStyle name="표준 6 2 2 3 6 2 2 2 2" xfId="24595"/>
    <cellStyle name="표준 6 2 2 3 6 2 2 2 2 2" xfId="49947"/>
    <cellStyle name="표준 6 2 2 3 6 2 2 2 3" xfId="37275"/>
    <cellStyle name="표준 6 2 2 3 6 2 2 3" xfId="18259"/>
    <cellStyle name="표준 6 2 2 3 6 2 2 3 2" xfId="43611"/>
    <cellStyle name="표준 6 2 2 3 6 2 2 4" xfId="30939"/>
    <cellStyle name="표준 6 2 2 3 6 2 3" xfId="8774"/>
    <cellStyle name="표준 6 2 2 3 6 2 3 2" xfId="21448"/>
    <cellStyle name="표준 6 2 2 3 6 2 3 2 2" xfId="46800"/>
    <cellStyle name="표준 6 2 2 3 6 2 3 3" xfId="34128"/>
    <cellStyle name="표준 6 2 2 3 6 2 4" xfId="15112"/>
    <cellStyle name="표준 6 2 2 3 6 2 4 2" xfId="40464"/>
    <cellStyle name="표준 6 2 2 3 6 2 5" xfId="27792"/>
    <cellStyle name="표준 6 2 2 3 6 3" xfId="5586"/>
    <cellStyle name="표준 6 2 2 3 6 3 2" xfId="11922"/>
    <cellStyle name="표준 6 2 2 3 6 3 2 2" xfId="24596"/>
    <cellStyle name="표준 6 2 2 3 6 3 2 2 2" xfId="49948"/>
    <cellStyle name="표준 6 2 2 3 6 3 2 3" xfId="37276"/>
    <cellStyle name="표준 6 2 2 3 6 3 3" xfId="18260"/>
    <cellStyle name="표준 6 2 2 3 6 3 3 2" xfId="43612"/>
    <cellStyle name="표준 6 2 2 3 6 3 4" xfId="30940"/>
    <cellStyle name="표준 6 2 2 3 6 4" xfId="8773"/>
    <cellStyle name="표준 6 2 2 3 6 4 2" xfId="21447"/>
    <cellStyle name="표준 6 2 2 3 6 4 2 2" xfId="46799"/>
    <cellStyle name="표준 6 2 2 3 6 4 3" xfId="34127"/>
    <cellStyle name="표준 6 2 2 3 6 5" xfId="15111"/>
    <cellStyle name="표준 6 2 2 3 6 5 2" xfId="40463"/>
    <cellStyle name="표준 6 2 2 3 6 6" xfId="27791"/>
    <cellStyle name="표준 6 2 2 3 7" xfId="2438"/>
    <cellStyle name="표준 6 2 2 3 7 2" xfId="2439"/>
    <cellStyle name="표준 6 2 2 3 7 2 2" xfId="5587"/>
    <cellStyle name="표준 6 2 2 3 7 2 2 2" xfId="11923"/>
    <cellStyle name="표준 6 2 2 3 7 2 2 2 2" xfId="24597"/>
    <cellStyle name="표준 6 2 2 3 7 2 2 2 2 2" xfId="49949"/>
    <cellStyle name="표준 6 2 2 3 7 2 2 2 3" xfId="37277"/>
    <cellStyle name="표준 6 2 2 3 7 2 2 3" xfId="18261"/>
    <cellStyle name="표준 6 2 2 3 7 2 2 3 2" xfId="43613"/>
    <cellStyle name="표준 6 2 2 3 7 2 2 4" xfId="30941"/>
    <cellStyle name="표준 6 2 2 3 7 2 3" xfId="8776"/>
    <cellStyle name="표준 6 2 2 3 7 2 3 2" xfId="21450"/>
    <cellStyle name="표준 6 2 2 3 7 2 3 2 2" xfId="46802"/>
    <cellStyle name="표준 6 2 2 3 7 2 3 3" xfId="34130"/>
    <cellStyle name="표준 6 2 2 3 7 2 4" xfId="15114"/>
    <cellStyle name="표준 6 2 2 3 7 2 4 2" xfId="40466"/>
    <cellStyle name="표준 6 2 2 3 7 2 5" xfId="27794"/>
    <cellStyle name="표준 6 2 2 3 7 3" xfId="5588"/>
    <cellStyle name="표준 6 2 2 3 7 3 2" xfId="11924"/>
    <cellStyle name="표준 6 2 2 3 7 3 2 2" xfId="24598"/>
    <cellStyle name="표준 6 2 2 3 7 3 2 2 2" xfId="49950"/>
    <cellStyle name="표준 6 2 2 3 7 3 2 3" xfId="37278"/>
    <cellStyle name="표준 6 2 2 3 7 3 3" xfId="18262"/>
    <cellStyle name="표준 6 2 2 3 7 3 3 2" xfId="43614"/>
    <cellStyle name="표준 6 2 2 3 7 3 4" xfId="30942"/>
    <cellStyle name="표준 6 2 2 3 7 4" xfId="8775"/>
    <cellStyle name="표준 6 2 2 3 7 4 2" xfId="21449"/>
    <cellStyle name="표준 6 2 2 3 7 4 2 2" xfId="46801"/>
    <cellStyle name="표준 6 2 2 3 7 4 3" xfId="34129"/>
    <cellStyle name="표준 6 2 2 3 7 5" xfId="15113"/>
    <cellStyle name="표준 6 2 2 3 7 5 2" xfId="40465"/>
    <cellStyle name="표준 6 2 2 3 7 6" xfId="27793"/>
    <cellStyle name="표준 6 2 2 3 8" xfId="2440"/>
    <cellStyle name="표준 6 2 2 3 8 2" xfId="2441"/>
    <cellStyle name="표준 6 2 2 3 8 2 2" xfId="5589"/>
    <cellStyle name="표준 6 2 2 3 8 2 2 2" xfId="11925"/>
    <cellStyle name="표준 6 2 2 3 8 2 2 2 2" xfId="24599"/>
    <cellStyle name="표준 6 2 2 3 8 2 2 2 2 2" xfId="49951"/>
    <cellStyle name="표준 6 2 2 3 8 2 2 2 3" xfId="37279"/>
    <cellStyle name="표준 6 2 2 3 8 2 2 3" xfId="18263"/>
    <cellStyle name="표준 6 2 2 3 8 2 2 3 2" xfId="43615"/>
    <cellStyle name="표준 6 2 2 3 8 2 2 4" xfId="30943"/>
    <cellStyle name="표준 6 2 2 3 8 2 3" xfId="8778"/>
    <cellStyle name="표준 6 2 2 3 8 2 3 2" xfId="21452"/>
    <cellStyle name="표준 6 2 2 3 8 2 3 2 2" xfId="46804"/>
    <cellStyle name="표준 6 2 2 3 8 2 3 3" xfId="34132"/>
    <cellStyle name="표준 6 2 2 3 8 2 4" xfId="15116"/>
    <cellStyle name="표준 6 2 2 3 8 2 4 2" xfId="40468"/>
    <cellStyle name="표준 6 2 2 3 8 2 5" xfId="27796"/>
    <cellStyle name="표준 6 2 2 3 8 3" xfId="5590"/>
    <cellStyle name="표준 6 2 2 3 8 3 2" xfId="11926"/>
    <cellStyle name="표준 6 2 2 3 8 3 2 2" xfId="24600"/>
    <cellStyle name="표준 6 2 2 3 8 3 2 2 2" xfId="49952"/>
    <cellStyle name="표준 6 2 2 3 8 3 2 3" xfId="37280"/>
    <cellStyle name="표준 6 2 2 3 8 3 3" xfId="18264"/>
    <cellStyle name="표준 6 2 2 3 8 3 3 2" xfId="43616"/>
    <cellStyle name="표준 6 2 2 3 8 3 4" xfId="30944"/>
    <cellStyle name="표준 6 2 2 3 8 4" xfId="8777"/>
    <cellStyle name="표준 6 2 2 3 8 4 2" xfId="21451"/>
    <cellStyle name="표준 6 2 2 3 8 4 2 2" xfId="46803"/>
    <cellStyle name="표준 6 2 2 3 8 4 3" xfId="34131"/>
    <cellStyle name="표준 6 2 2 3 8 5" xfId="15115"/>
    <cellStyle name="표준 6 2 2 3 8 5 2" xfId="40467"/>
    <cellStyle name="표준 6 2 2 3 8 6" xfId="27795"/>
    <cellStyle name="표준 6 2 2 3 9" xfId="2442"/>
    <cellStyle name="표준 6 2 2 3 9 2" xfId="2443"/>
    <cellStyle name="표준 6 2 2 3 9 2 2" xfId="5591"/>
    <cellStyle name="표준 6 2 2 3 9 2 2 2" xfId="11927"/>
    <cellStyle name="표준 6 2 2 3 9 2 2 2 2" xfId="24601"/>
    <cellStyle name="표준 6 2 2 3 9 2 2 2 2 2" xfId="49953"/>
    <cellStyle name="표준 6 2 2 3 9 2 2 2 3" xfId="37281"/>
    <cellStyle name="표준 6 2 2 3 9 2 2 3" xfId="18265"/>
    <cellStyle name="표준 6 2 2 3 9 2 2 3 2" xfId="43617"/>
    <cellStyle name="표준 6 2 2 3 9 2 2 4" xfId="30945"/>
    <cellStyle name="표준 6 2 2 3 9 2 3" xfId="8780"/>
    <cellStyle name="표준 6 2 2 3 9 2 3 2" xfId="21454"/>
    <cellStyle name="표준 6 2 2 3 9 2 3 2 2" xfId="46806"/>
    <cellStyle name="표준 6 2 2 3 9 2 3 3" xfId="34134"/>
    <cellStyle name="표준 6 2 2 3 9 2 4" xfId="15118"/>
    <cellStyle name="표준 6 2 2 3 9 2 4 2" xfId="40470"/>
    <cellStyle name="표준 6 2 2 3 9 2 5" xfId="27798"/>
    <cellStyle name="표준 6 2 2 3 9 3" xfId="5592"/>
    <cellStyle name="표준 6 2 2 3 9 3 2" xfId="11928"/>
    <cellStyle name="표준 6 2 2 3 9 3 2 2" xfId="24602"/>
    <cellStyle name="표준 6 2 2 3 9 3 2 2 2" xfId="49954"/>
    <cellStyle name="표준 6 2 2 3 9 3 2 3" xfId="37282"/>
    <cellStyle name="표준 6 2 2 3 9 3 3" xfId="18266"/>
    <cellStyle name="표준 6 2 2 3 9 3 3 2" xfId="43618"/>
    <cellStyle name="표준 6 2 2 3 9 3 4" xfId="30946"/>
    <cellStyle name="표준 6 2 2 3 9 4" xfId="8779"/>
    <cellStyle name="표준 6 2 2 3 9 4 2" xfId="21453"/>
    <cellStyle name="표준 6 2 2 3 9 4 2 2" xfId="46805"/>
    <cellStyle name="표준 6 2 2 3 9 4 3" xfId="34133"/>
    <cellStyle name="표준 6 2 2 3 9 5" xfId="15117"/>
    <cellStyle name="표준 6 2 2 3 9 5 2" xfId="40469"/>
    <cellStyle name="표준 6 2 2 3 9 6" xfId="27797"/>
    <cellStyle name="표준 6 2 2 30" xfId="2444"/>
    <cellStyle name="표준 6 2 2 30 2" xfId="2445"/>
    <cellStyle name="표준 6 2 2 30 2 2" xfId="5593"/>
    <cellStyle name="표준 6 2 2 30 2 2 2" xfId="11929"/>
    <cellStyle name="표준 6 2 2 30 2 2 2 2" xfId="24603"/>
    <cellStyle name="표준 6 2 2 30 2 2 2 2 2" xfId="49955"/>
    <cellStyle name="표준 6 2 2 30 2 2 2 3" xfId="37283"/>
    <cellStyle name="표준 6 2 2 30 2 2 3" xfId="18267"/>
    <cellStyle name="표준 6 2 2 30 2 2 3 2" xfId="43619"/>
    <cellStyle name="표준 6 2 2 30 2 2 4" xfId="30947"/>
    <cellStyle name="표준 6 2 2 30 2 3" xfId="8782"/>
    <cellStyle name="표준 6 2 2 30 2 3 2" xfId="21456"/>
    <cellStyle name="표준 6 2 2 30 2 3 2 2" xfId="46808"/>
    <cellStyle name="표준 6 2 2 30 2 3 3" xfId="34136"/>
    <cellStyle name="표준 6 2 2 30 2 4" xfId="15120"/>
    <cellStyle name="표준 6 2 2 30 2 4 2" xfId="40472"/>
    <cellStyle name="표준 6 2 2 30 2 5" xfId="27800"/>
    <cellStyle name="표준 6 2 2 30 3" xfId="5594"/>
    <cellStyle name="표준 6 2 2 30 3 2" xfId="11930"/>
    <cellStyle name="표준 6 2 2 30 3 2 2" xfId="24604"/>
    <cellStyle name="표준 6 2 2 30 3 2 2 2" xfId="49956"/>
    <cellStyle name="표준 6 2 2 30 3 2 3" xfId="37284"/>
    <cellStyle name="표준 6 2 2 30 3 3" xfId="18268"/>
    <cellStyle name="표준 6 2 2 30 3 3 2" xfId="43620"/>
    <cellStyle name="표준 6 2 2 30 3 4" xfId="30948"/>
    <cellStyle name="표준 6 2 2 30 4" xfId="8781"/>
    <cellStyle name="표준 6 2 2 30 4 2" xfId="21455"/>
    <cellStyle name="표준 6 2 2 30 4 2 2" xfId="46807"/>
    <cellStyle name="표준 6 2 2 30 4 3" xfId="34135"/>
    <cellStyle name="표준 6 2 2 30 5" xfId="15119"/>
    <cellStyle name="표준 6 2 2 30 5 2" xfId="40471"/>
    <cellStyle name="표준 6 2 2 30 6" xfId="27799"/>
    <cellStyle name="표준 6 2 2 31" xfId="2446"/>
    <cellStyle name="표준 6 2 2 31 2" xfId="2447"/>
    <cellStyle name="표준 6 2 2 31 2 2" xfId="5595"/>
    <cellStyle name="표준 6 2 2 31 2 2 2" xfId="11931"/>
    <cellStyle name="표준 6 2 2 31 2 2 2 2" xfId="24605"/>
    <cellStyle name="표준 6 2 2 31 2 2 2 2 2" xfId="49957"/>
    <cellStyle name="표준 6 2 2 31 2 2 2 3" xfId="37285"/>
    <cellStyle name="표준 6 2 2 31 2 2 3" xfId="18269"/>
    <cellStyle name="표준 6 2 2 31 2 2 3 2" xfId="43621"/>
    <cellStyle name="표준 6 2 2 31 2 2 4" xfId="30949"/>
    <cellStyle name="표준 6 2 2 31 2 3" xfId="8784"/>
    <cellStyle name="표준 6 2 2 31 2 3 2" xfId="21458"/>
    <cellStyle name="표준 6 2 2 31 2 3 2 2" xfId="46810"/>
    <cellStyle name="표준 6 2 2 31 2 3 3" xfId="34138"/>
    <cellStyle name="표준 6 2 2 31 2 4" xfId="15122"/>
    <cellStyle name="표준 6 2 2 31 2 4 2" xfId="40474"/>
    <cellStyle name="표준 6 2 2 31 2 5" xfId="27802"/>
    <cellStyle name="표준 6 2 2 31 3" xfId="5596"/>
    <cellStyle name="표준 6 2 2 31 3 2" xfId="11932"/>
    <cellStyle name="표준 6 2 2 31 3 2 2" xfId="24606"/>
    <cellStyle name="표준 6 2 2 31 3 2 2 2" xfId="49958"/>
    <cellStyle name="표준 6 2 2 31 3 2 3" xfId="37286"/>
    <cellStyle name="표준 6 2 2 31 3 3" xfId="18270"/>
    <cellStyle name="표준 6 2 2 31 3 3 2" xfId="43622"/>
    <cellStyle name="표준 6 2 2 31 3 4" xfId="30950"/>
    <cellStyle name="표준 6 2 2 31 4" xfId="8783"/>
    <cellStyle name="표준 6 2 2 31 4 2" xfId="21457"/>
    <cellStyle name="표준 6 2 2 31 4 2 2" xfId="46809"/>
    <cellStyle name="표준 6 2 2 31 4 3" xfId="34137"/>
    <cellStyle name="표준 6 2 2 31 5" xfId="15121"/>
    <cellStyle name="표준 6 2 2 31 5 2" xfId="40473"/>
    <cellStyle name="표준 6 2 2 31 6" xfId="27801"/>
    <cellStyle name="표준 6 2 2 32" xfId="2448"/>
    <cellStyle name="표준 6 2 2 32 2" xfId="2449"/>
    <cellStyle name="표준 6 2 2 32 2 2" xfId="5597"/>
    <cellStyle name="표준 6 2 2 32 2 2 2" xfId="11933"/>
    <cellStyle name="표준 6 2 2 32 2 2 2 2" xfId="24607"/>
    <cellStyle name="표준 6 2 2 32 2 2 2 2 2" xfId="49959"/>
    <cellStyle name="표준 6 2 2 32 2 2 2 3" xfId="37287"/>
    <cellStyle name="표준 6 2 2 32 2 2 3" xfId="18271"/>
    <cellStyle name="표준 6 2 2 32 2 2 3 2" xfId="43623"/>
    <cellStyle name="표준 6 2 2 32 2 2 4" xfId="30951"/>
    <cellStyle name="표준 6 2 2 32 2 3" xfId="8786"/>
    <cellStyle name="표준 6 2 2 32 2 3 2" xfId="21460"/>
    <cellStyle name="표준 6 2 2 32 2 3 2 2" xfId="46812"/>
    <cellStyle name="표준 6 2 2 32 2 3 3" xfId="34140"/>
    <cellStyle name="표준 6 2 2 32 2 4" xfId="15124"/>
    <cellStyle name="표준 6 2 2 32 2 4 2" xfId="40476"/>
    <cellStyle name="표준 6 2 2 32 2 5" xfId="27804"/>
    <cellStyle name="표준 6 2 2 32 3" xfId="5598"/>
    <cellStyle name="표준 6 2 2 32 3 2" xfId="11934"/>
    <cellStyle name="표준 6 2 2 32 3 2 2" xfId="24608"/>
    <cellStyle name="표준 6 2 2 32 3 2 2 2" xfId="49960"/>
    <cellStyle name="표준 6 2 2 32 3 2 3" xfId="37288"/>
    <cellStyle name="표준 6 2 2 32 3 3" xfId="18272"/>
    <cellStyle name="표준 6 2 2 32 3 3 2" xfId="43624"/>
    <cellStyle name="표준 6 2 2 32 3 4" xfId="30952"/>
    <cellStyle name="표준 6 2 2 32 4" xfId="8785"/>
    <cellStyle name="표준 6 2 2 32 4 2" xfId="21459"/>
    <cellStyle name="표준 6 2 2 32 4 2 2" xfId="46811"/>
    <cellStyle name="표준 6 2 2 32 4 3" xfId="34139"/>
    <cellStyle name="표준 6 2 2 32 5" xfId="15123"/>
    <cellStyle name="표준 6 2 2 32 5 2" xfId="40475"/>
    <cellStyle name="표준 6 2 2 32 6" xfId="27803"/>
    <cellStyle name="표준 6 2 2 33" xfId="2450"/>
    <cellStyle name="표준 6 2 2 33 2" xfId="2451"/>
    <cellStyle name="표준 6 2 2 33 2 2" xfId="5599"/>
    <cellStyle name="표준 6 2 2 33 2 2 2" xfId="11935"/>
    <cellStyle name="표준 6 2 2 33 2 2 2 2" xfId="24609"/>
    <cellStyle name="표준 6 2 2 33 2 2 2 2 2" xfId="49961"/>
    <cellStyle name="표준 6 2 2 33 2 2 2 3" xfId="37289"/>
    <cellStyle name="표준 6 2 2 33 2 2 3" xfId="18273"/>
    <cellStyle name="표준 6 2 2 33 2 2 3 2" xfId="43625"/>
    <cellStyle name="표준 6 2 2 33 2 2 4" xfId="30953"/>
    <cellStyle name="표준 6 2 2 33 2 3" xfId="8788"/>
    <cellStyle name="표준 6 2 2 33 2 3 2" xfId="21462"/>
    <cellStyle name="표준 6 2 2 33 2 3 2 2" xfId="46814"/>
    <cellStyle name="표준 6 2 2 33 2 3 3" xfId="34142"/>
    <cellStyle name="표준 6 2 2 33 2 4" xfId="15126"/>
    <cellStyle name="표준 6 2 2 33 2 4 2" xfId="40478"/>
    <cellStyle name="표준 6 2 2 33 2 5" xfId="27806"/>
    <cellStyle name="표준 6 2 2 33 3" xfId="5600"/>
    <cellStyle name="표준 6 2 2 33 3 2" xfId="11936"/>
    <cellStyle name="표준 6 2 2 33 3 2 2" xfId="24610"/>
    <cellStyle name="표준 6 2 2 33 3 2 2 2" xfId="49962"/>
    <cellStyle name="표준 6 2 2 33 3 2 3" xfId="37290"/>
    <cellStyle name="표준 6 2 2 33 3 3" xfId="18274"/>
    <cellStyle name="표준 6 2 2 33 3 3 2" xfId="43626"/>
    <cellStyle name="표준 6 2 2 33 3 4" xfId="30954"/>
    <cellStyle name="표준 6 2 2 33 4" xfId="8787"/>
    <cellStyle name="표준 6 2 2 33 4 2" xfId="21461"/>
    <cellStyle name="표준 6 2 2 33 4 2 2" xfId="46813"/>
    <cellStyle name="표준 6 2 2 33 4 3" xfId="34141"/>
    <cellStyle name="표준 6 2 2 33 5" xfId="15125"/>
    <cellStyle name="표준 6 2 2 33 5 2" xfId="40477"/>
    <cellStyle name="표준 6 2 2 33 6" xfId="27805"/>
    <cellStyle name="표준 6 2 2 34" xfId="2452"/>
    <cellStyle name="표준 6 2 2 34 2" xfId="2453"/>
    <cellStyle name="표준 6 2 2 34 2 2" xfId="5601"/>
    <cellStyle name="표준 6 2 2 34 2 2 2" xfId="11937"/>
    <cellStyle name="표준 6 2 2 34 2 2 2 2" xfId="24611"/>
    <cellStyle name="표준 6 2 2 34 2 2 2 2 2" xfId="49963"/>
    <cellStyle name="표준 6 2 2 34 2 2 2 3" xfId="37291"/>
    <cellStyle name="표준 6 2 2 34 2 2 3" xfId="18275"/>
    <cellStyle name="표준 6 2 2 34 2 2 3 2" xfId="43627"/>
    <cellStyle name="표준 6 2 2 34 2 2 4" xfId="30955"/>
    <cellStyle name="표준 6 2 2 34 2 3" xfId="8790"/>
    <cellStyle name="표준 6 2 2 34 2 3 2" xfId="21464"/>
    <cellStyle name="표준 6 2 2 34 2 3 2 2" xfId="46816"/>
    <cellStyle name="표준 6 2 2 34 2 3 3" xfId="34144"/>
    <cellStyle name="표준 6 2 2 34 2 4" xfId="15128"/>
    <cellStyle name="표준 6 2 2 34 2 4 2" xfId="40480"/>
    <cellStyle name="표준 6 2 2 34 2 5" xfId="27808"/>
    <cellStyle name="표준 6 2 2 34 3" xfId="5602"/>
    <cellStyle name="표준 6 2 2 34 3 2" xfId="11938"/>
    <cellStyle name="표준 6 2 2 34 3 2 2" xfId="24612"/>
    <cellStyle name="표준 6 2 2 34 3 2 2 2" xfId="49964"/>
    <cellStyle name="표준 6 2 2 34 3 2 3" xfId="37292"/>
    <cellStyle name="표준 6 2 2 34 3 3" xfId="18276"/>
    <cellStyle name="표준 6 2 2 34 3 3 2" xfId="43628"/>
    <cellStyle name="표준 6 2 2 34 3 4" xfId="30956"/>
    <cellStyle name="표준 6 2 2 34 4" xfId="8789"/>
    <cellStyle name="표준 6 2 2 34 4 2" xfId="21463"/>
    <cellStyle name="표준 6 2 2 34 4 2 2" xfId="46815"/>
    <cellStyle name="표준 6 2 2 34 4 3" xfId="34143"/>
    <cellStyle name="표준 6 2 2 34 5" xfId="15127"/>
    <cellStyle name="표준 6 2 2 34 5 2" xfId="40479"/>
    <cellStyle name="표준 6 2 2 34 6" xfId="27807"/>
    <cellStyle name="표준 6 2 2 35" xfId="2454"/>
    <cellStyle name="표준 6 2 2 35 2" xfId="2455"/>
    <cellStyle name="표준 6 2 2 35 2 2" xfId="5603"/>
    <cellStyle name="표준 6 2 2 35 2 2 2" xfId="11939"/>
    <cellStyle name="표준 6 2 2 35 2 2 2 2" xfId="24613"/>
    <cellStyle name="표준 6 2 2 35 2 2 2 2 2" xfId="49965"/>
    <cellStyle name="표준 6 2 2 35 2 2 2 3" xfId="37293"/>
    <cellStyle name="표준 6 2 2 35 2 2 3" xfId="18277"/>
    <cellStyle name="표준 6 2 2 35 2 2 3 2" xfId="43629"/>
    <cellStyle name="표준 6 2 2 35 2 2 4" xfId="30957"/>
    <cellStyle name="표준 6 2 2 35 2 3" xfId="8792"/>
    <cellStyle name="표준 6 2 2 35 2 3 2" xfId="21466"/>
    <cellStyle name="표준 6 2 2 35 2 3 2 2" xfId="46818"/>
    <cellStyle name="표준 6 2 2 35 2 3 3" xfId="34146"/>
    <cellStyle name="표준 6 2 2 35 2 4" xfId="15130"/>
    <cellStyle name="표준 6 2 2 35 2 4 2" xfId="40482"/>
    <cellStyle name="표준 6 2 2 35 2 5" xfId="27810"/>
    <cellStyle name="표준 6 2 2 35 3" xfId="5604"/>
    <cellStyle name="표준 6 2 2 35 3 2" xfId="11940"/>
    <cellStyle name="표준 6 2 2 35 3 2 2" xfId="24614"/>
    <cellStyle name="표준 6 2 2 35 3 2 2 2" xfId="49966"/>
    <cellStyle name="표준 6 2 2 35 3 2 3" xfId="37294"/>
    <cellStyle name="표준 6 2 2 35 3 3" xfId="18278"/>
    <cellStyle name="표준 6 2 2 35 3 3 2" xfId="43630"/>
    <cellStyle name="표준 6 2 2 35 3 4" xfId="30958"/>
    <cellStyle name="표준 6 2 2 35 4" xfId="8791"/>
    <cellStyle name="표준 6 2 2 35 4 2" xfId="21465"/>
    <cellStyle name="표준 6 2 2 35 4 2 2" xfId="46817"/>
    <cellStyle name="표준 6 2 2 35 4 3" xfId="34145"/>
    <cellStyle name="표준 6 2 2 35 5" xfId="15129"/>
    <cellStyle name="표준 6 2 2 35 5 2" xfId="40481"/>
    <cellStyle name="표준 6 2 2 35 6" xfId="27809"/>
    <cellStyle name="표준 6 2 2 36" xfId="2456"/>
    <cellStyle name="표준 6 2 2 36 2" xfId="5605"/>
    <cellStyle name="표준 6 2 2 36 2 2" xfId="11941"/>
    <cellStyle name="표준 6 2 2 36 2 2 2" xfId="24615"/>
    <cellStyle name="표준 6 2 2 36 2 2 2 2" xfId="49967"/>
    <cellStyle name="표준 6 2 2 36 2 2 3" xfId="37295"/>
    <cellStyle name="표준 6 2 2 36 2 3" xfId="18279"/>
    <cellStyle name="표준 6 2 2 36 2 3 2" xfId="43631"/>
    <cellStyle name="표준 6 2 2 36 2 4" xfId="30959"/>
    <cellStyle name="표준 6 2 2 36 3" xfId="8793"/>
    <cellStyle name="표준 6 2 2 36 3 2" xfId="21467"/>
    <cellStyle name="표준 6 2 2 36 3 2 2" xfId="46819"/>
    <cellStyle name="표준 6 2 2 36 3 3" xfId="34147"/>
    <cellStyle name="표준 6 2 2 36 4" xfId="15131"/>
    <cellStyle name="표준 6 2 2 36 4 2" xfId="40483"/>
    <cellStyle name="표준 6 2 2 36 5" xfId="27811"/>
    <cellStyle name="표준 6 2 2 37" xfId="5606"/>
    <cellStyle name="표준 6 2 2 37 2" xfId="11942"/>
    <cellStyle name="표준 6 2 2 37 2 2" xfId="24616"/>
    <cellStyle name="표준 6 2 2 37 2 2 2" xfId="49968"/>
    <cellStyle name="표준 6 2 2 37 2 3" xfId="37296"/>
    <cellStyle name="표준 6 2 2 37 3" xfId="18280"/>
    <cellStyle name="표준 6 2 2 37 3 2" xfId="43632"/>
    <cellStyle name="표준 6 2 2 37 4" xfId="30960"/>
    <cellStyle name="표준 6 2 2 38" xfId="6382"/>
    <cellStyle name="표준 6 2 2 38 2" xfId="19056"/>
    <cellStyle name="표준 6 2 2 38 2 2" xfId="44408"/>
    <cellStyle name="표준 6 2 2 38 3" xfId="31736"/>
    <cellStyle name="표준 6 2 2 39" xfId="12720"/>
    <cellStyle name="표준 6 2 2 39 2" xfId="38072"/>
    <cellStyle name="표준 6 2 2 4" xfId="92"/>
    <cellStyle name="표준 6 2 2 4 2" xfId="2457"/>
    <cellStyle name="표준 6 2 2 4 2 2" xfId="5607"/>
    <cellStyle name="표준 6 2 2 4 2 2 2" xfId="11943"/>
    <cellStyle name="표준 6 2 2 4 2 2 2 2" xfId="24617"/>
    <cellStyle name="표준 6 2 2 4 2 2 2 2 2" xfId="49969"/>
    <cellStyle name="표준 6 2 2 4 2 2 2 3" xfId="37297"/>
    <cellStyle name="표준 6 2 2 4 2 2 3" xfId="18281"/>
    <cellStyle name="표준 6 2 2 4 2 2 3 2" xfId="43633"/>
    <cellStyle name="표준 6 2 2 4 2 2 4" xfId="30961"/>
    <cellStyle name="표준 6 2 2 4 2 3" xfId="8794"/>
    <cellStyle name="표준 6 2 2 4 2 3 2" xfId="21468"/>
    <cellStyle name="표준 6 2 2 4 2 3 2 2" xfId="46820"/>
    <cellStyle name="표준 6 2 2 4 2 3 3" xfId="34148"/>
    <cellStyle name="표준 6 2 2 4 2 4" xfId="15132"/>
    <cellStyle name="표준 6 2 2 4 2 4 2" xfId="40484"/>
    <cellStyle name="표준 6 2 2 4 2 5" xfId="27812"/>
    <cellStyle name="표준 6 2 2 4 3" xfId="5608"/>
    <cellStyle name="표준 6 2 2 4 3 2" xfId="11944"/>
    <cellStyle name="표준 6 2 2 4 3 2 2" xfId="24618"/>
    <cellStyle name="표준 6 2 2 4 3 2 2 2" xfId="49970"/>
    <cellStyle name="표준 6 2 2 4 3 2 3" xfId="37298"/>
    <cellStyle name="표준 6 2 2 4 3 3" xfId="18282"/>
    <cellStyle name="표준 6 2 2 4 3 3 2" xfId="43634"/>
    <cellStyle name="표준 6 2 2 4 3 4" xfId="30962"/>
    <cellStyle name="표준 6 2 2 4 4" xfId="6430"/>
    <cellStyle name="표준 6 2 2 4 4 2" xfId="19104"/>
    <cellStyle name="표준 6 2 2 4 4 2 2" xfId="44456"/>
    <cellStyle name="표준 6 2 2 4 4 3" xfId="31784"/>
    <cellStyle name="표준 6 2 2 4 5" xfId="12768"/>
    <cellStyle name="표준 6 2 2 4 5 2" xfId="38120"/>
    <cellStyle name="표준 6 2 2 4 6" xfId="25448"/>
    <cellStyle name="표준 6 2 2 40" xfId="25400"/>
    <cellStyle name="표준 6 2 2 5" xfId="2458"/>
    <cellStyle name="표준 6 2 2 5 2" xfId="2459"/>
    <cellStyle name="표준 6 2 2 5 2 2" xfId="5609"/>
    <cellStyle name="표준 6 2 2 5 2 2 2" xfId="11945"/>
    <cellStyle name="표준 6 2 2 5 2 2 2 2" xfId="24619"/>
    <cellStyle name="표준 6 2 2 5 2 2 2 2 2" xfId="49971"/>
    <cellStyle name="표준 6 2 2 5 2 2 2 3" xfId="37299"/>
    <cellStyle name="표준 6 2 2 5 2 2 3" xfId="18283"/>
    <cellStyle name="표준 6 2 2 5 2 2 3 2" xfId="43635"/>
    <cellStyle name="표준 6 2 2 5 2 2 4" xfId="30963"/>
    <cellStyle name="표준 6 2 2 5 2 3" xfId="8796"/>
    <cellStyle name="표준 6 2 2 5 2 3 2" xfId="21470"/>
    <cellStyle name="표준 6 2 2 5 2 3 2 2" xfId="46822"/>
    <cellStyle name="표준 6 2 2 5 2 3 3" xfId="34150"/>
    <cellStyle name="표준 6 2 2 5 2 4" xfId="15134"/>
    <cellStyle name="표준 6 2 2 5 2 4 2" xfId="40486"/>
    <cellStyle name="표준 6 2 2 5 2 5" xfId="27814"/>
    <cellStyle name="표준 6 2 2 5 3" xfId="5610"/>
    <cellStyle name="표준 6 2 2 5 3 2" xfId="11946"/>
    <cellStyle name="표준 6 2 2 5 3 2 2" xfId="24620"/>
    <cellStyle name="표준 6 2 2 5 3 2 2 2" xfId="49972"/>
    <cellStyle name="표준 6 2 2 5 3 2 3" xfId="37300"/>
    <cellStyle name="표준 6 2 2 5 3 3" xfId="18284"/>
    <cellStyle name="표준 6 2 2 5 3 3 2" xfId="43636"/>
    <cellStyle name="표준 6 2 2 5 3 4" xfId="30964"/>
    <cellStyle name="표준 6 2 2 5 4" xfId="8795"/>
    <cellStyle name="표준 6 2 2 5 4 2" xfId="21469"/>
    <cellStyle name="표준 6 2 2 5 4 2 2" xfId="46821"/>
    <cellStyle name="표준 6 2 2 5 4 3" xfId="34149"/>
    <cellStyle name="표준 6 2 2 5 5" xfId="15133"/>
    <cellStyle name="표준 6 2 2 5 5 2" xfId="40485"/>
    <cellStyle name="표준 6 2 2 5 6" xfId="27813"/>
    <cellStyle name="표준 6 2 2 6" xfId="2460"/>
    <cellStyle name="표준 6 2 2 6 2" xfId="2461"/>
    <cellStyle name="표준 6 2 2 6 2 2" xfId="5611"/>
    <cellStyle name="표준 6 2 2 6 2 2 2" xfId="11947"/>
    <cellStyle name="표준 6 2 2 6 2 2 2 2" xfId="24621"/>
    <cellStyle name="표준 6 2 2 6 2 2 2 2 2" xfId="49973"/>
    <cellStyle name="표준 6 2 2 6 2 2 2 3" xfId="37301"/>
    <cellStyle name="표준 6 2 2 6 2 2 3" xfId="18285"/>
    <cellStyle name="표준 6 2 2 6 2 2 3 2" xfId="43637"/>
    <cellStyle name="표준 6 2 2 6 2 2 4" xfId="30965"/>
    <cellStyle name="표준 6 2 2 6 2 3" xfId="8798"/>
    <cellStyle name="표준 6 2 2 6 2 3 2" xfId="21472"/>
    <cellStyle name="표준 6 2 2 6 2 3 2 2" xfId="46824"/>
    <cellStyle name="표준 6 2 2 6 2 3 3" xfId="34152"/>
    <cellStyle name="표준 6 2 2 6 2 4" xfId="15136"/>
    <cellStyle name="표준 6 2 2 6 2 4 2" xfId="40488"/>
    <cellStyle name="표준 6 2 2 6 2 5" xfId="27816"/>
    <cellStyle name="표준 6 2 2 6 3" xfId="5612"/>
    <cellStyle name="표준 6 2 2 6 3 2" xfId="11948"/>
    <cellStyle name="표준 6 2 2 6 3 2 2" xfId="24622"/>
    <cellStyle name="표준 6 2 2 6 3 2 2 2" xfId="49974"/>
    <cellStyle name="표준 6 2 2 6 3 2 3" xfId="37302"/>
    <cellStyle name="표준 6 2 2 6 3 3" xfId="18286"/>
    <cellStyle name="표준 6 2 2 6 3 3 2" xfId="43638"/>
    <cellStyle name="표준 6 2 2 6 3 4" xfId="30966"/>
    <cellStyle name="표준 6 2 2 6 4" xfId="8797"/>
    <cellStyle name="표준 6 2 2 6 4 2" xfId="21471"/>
    <cellStyle name="표준 6 2 2 6 4 2 2" xfId="46823"/>
    <cellStyle name="표준 6 2 2 6 4 3" xfId="34151"/>
    <cellStyle name="표준 6 2 2 6 5" xfId="15135"/>
    <cellStyle name="표준 6 2 2 6 5 2" xfId="40487"/>
    <cellStyle name="표준 6 2 2 6 6" xfId="27815"/>
    <cellStyle name="표준 6 2 2 7" xfId="2462"/>
    <cellStyle name="표준 6 2 2 7 2" xfId="2463"/>
    <cellStyle name="표준 6 2 2 7 2 2" xfId="5613"/>
    <cellStyle name="표준 6 2 2 7 2 2 2" xfId="11949"/>
    <cellStyle name="표준 6 2 2 7 2 2 2 2" xfId="24623"/>
    <cellStyle name="표준 6 2 2 7 2 2 2 2 2" xfId="49975"/>
    <cellStyle name="표준 6 2 2 7 2 2 2 3" xfId="37303"/>
    <cellStyle name="표준 6 2 2 7 2 2 3" xfId="18287"/>
    <cellStyle name="표준 6 2 2 7 2 2 3 2" xfId="43639"/>
    <cellStyle name="표준 6 2 2 7 2 2 4" xfId="30967"/>
    <cellStyle name="표준 6 2 2 7 2 3" xfId="8800"/>
    <cellStyle name="표준 6 2 2 7 2 3 2" xfId="21474"/>
    <cellStyle name="표준 6 2 2 7 2 3 2 2" xfId="46826"/>
    <cellStyle name="표준 6 2 2 7 2 3 3" xfId="34154"/>
    <cellStyle name="표준 6 2 2 7 2 4" xfId="15138"/>
    <cellStyle name="표준 6 2 2 7 2 4 2" xfId="40490"/>
    <cellStyle name="표준 6 2 2 7 2 5" xfId="27818"/>
    <cellStyle name="표준 6 2 2 7 3" xfId="5614"/>
    <cellStyle name="표준 6 2 2 7 3 2" xfId="11950"/>
    <cellStyle name="표준 6 2 2 7 3 2 2" xfId="24624"/>
    <cellStyle name="표준 6 2 2 7 3 2 2 2" xfId="49976"/>
    <cellStyle name="표준 6 2 2 7 3 2 3" xfId="37304"/>
    <cellStyle name="표준 6 2 2 7 3 3" xfId="18288"/>
    <cellStyle name="표준 6 2 2 7 3 3 2" xfId="43640"/>
    <cellStyle name="표준 6 2 2 7 3 4" xfId="30968"/>
    <cellStyle name="표준 6 2 2 7 4" xfId="8799"/>
    <cellStyle name="표준 6 2 2 7 4 2" xfId="21473"/>
    <cellStyle name="표준 6 2 2 7 4 2 2" xfId="46825"/>
    <cellStyle name="표준 6 2 2 7 4 3" xfId="34153"/>
    <cellStyle name="표준 6 2 2 7 5" xfId="15137"/>
    <cellStyle name="표준 6 2 2 7 5 2" xfId="40489"/>
    <cellStyle name="표준 6 2 2 7 6" xfId="27817"/>
    <cellStyle name="표준 6 2 2 8" xfId="2464"/>
    <cellStyle name="표준 6 2 2 8 2" xfId="2465"/>
    <cellStyle name="표준 6 2 2 8 2 2" xfId="5615"/>
    <cellStyle name="표준 6 2 2 8 2 2 2" xfId="11951"/>
    <cellStyle name="표준 6 2 2 8 2 2 2 2" xfId="24625"/>
    <cellStyle name="표준 6 2 2 8 2 2 2 2 2" xfId="49977"/>
    <cellStyle name="표준 6 2 2 8 2 2 2 3" xfId="37305"/>
    <cellStyle name="표준 6 2 2 8 2 2 3" xfId="18289"/>
    <cellStyle name="표준 6 2 2 8 2 2 3 2" xfId="43641"/>
    <cellStyle name="표준 6 2 2 8 2 2 4" xfId="30969"/>
    <cellStyle name="표준 6 2 2 8 2 3" xfId="8802"/>
    <cellStyle name="표준 6 2 2 8 2 3 2" xfId="21476"/>
    <cellStyle name="표준 6 2 2 8 2 3 2 2" xfId="46828"/>
    <cellStyle name="표준 6 2 2 8 2 3 3" xfId="34156"/>
    <cellStyle name="표준 6 2 2 8 2 4" xfId="15140"/>
    <cellStyle name="표준 6 2 2 8 2 4 2" xfId="40492"/>
    <cellStyle name="표준 6 2 2 8 2 5" xfId="27820"/>
    <cellStyle name="표준 6 2 2 8 3" xfId="5616"/>
    <cellStyle name="표준 6 2 2 8 3 2" xfId="11952"/>
    <cellStyle name="표준 6 2 2 8 3 2 2" xfId="24626"/>
    <cellStyle name="표준 6 2 2 8 3 2 2 2" xfId="49978"/>
    <cellStyle name="표준 6 2 2 8 3 2 3" xfId="37306"/>
    <cellStyle name="표준 6 2 2 8 3 3" xfId="18290"/>
    <cellStyle name="표준 6 2 2 8 3 3 2" xfId="43642"/>
    <cellStyle name="표준 6 2 2 8 3 4" xfId="30970"/>
    <cellStyle name="표준 6 2 2 8 4" xfId="8801"/>
    <cellStyle name="표준 6 2 2 8 4 2" xfId="21475"/>
    <cellStyle name="표준 6 2 2 8 4 2 2" xfId="46827"/>
    <cellStyle name="표준 6 2 2 8 4 3" xfId="34155"/>
    <cellStyle name="표준 6 2 2 8 5" xfId="15139"/>
    <cellStyle name="표준 6 2 2 8 5 2" xfId="40491"/>
    <cellStyle name="표준 6 2 2 8 6" xfId="27819"/>
    <cellStyle name="표준 6 2 2 9" xfId="2466"/>
    <cellStyle name="표준 6 2 2 9 2" xfId="2467"/>
    <cellStyle name="표준 6 2 2 9 2 2" xfId="5617"/>
    <cellStyle name="표준 6 2 2 9 2 2 2" xfId="11953"/>
    <cellStyle name="표준 6 2 2 9 2 2 2 2" xfId="24627"/>
    <cellStyle name="표준 6 2 2 9 2 2 2 2 2" xfId="49979"/>
    <cellStyle name="표준 6 2 2 9 2 2 2 3" xfId="37307"/>
    <cellStyle name="표준 6 2 2 9 2 2 3" xfId="18291"/>
    <cellStyle name="표준 6 2 2 9 2 2 3 2" xfId="43643"/>
    <cellStyle name="표준 6 2 2 9 2 2 4" xfId="30971"/>
    <cellStyle name="표준 6 2 2 9 2 3" xfId="8804"/>
    <cellStyle name="표준 6 2 2 9 2 3 2" xfId="21478"/>
    <cellStyle name="표준 6 2 2 9 2 3 2 2" xfId="46830"/>
    <cellStyle name="표준 6 2 2 9 2 3 3" xfId="34158"/>
    <cellStyle name="표준 6 2 2 9 2 4" xfId="15142"/>
    <cellStyle name="표준 6 2 2 9 2 4 2" xfId="40494"/>
    <cellStyle name="표준 6 2 2 9 2 5" xfId="27822"/>
    <cellStyle name="표준 6 2 2 9 3" xfId="5618"/>
    <cellStyle name="표준 6 2 2 9 3 2" xfId="11954"/>
    <cellStyle name="표준 6 2 2 9 3 2 2" xfId="24628"/>
    <cellStyle name="표준 6 2 2 9 3 2 2 2" xfId="49980"/>
    <cellStyle name="표준 6 2 2 9 3 2 3" xfId="37308"/>
    <cellStyle name="표준 6 2 2 9 3 3" xfId="18292"/>
    <cellStyle name="표준 6 2 2 9 3 3 2" xfId="43644"/>
    <cellStyle name="표준 6 2 2 9 3 4" xfId="30972"/>
    <cellStyle name="표준 6 2 2 9 4" xfId="8803"/>
    <cellStyle name="표준 6 2 2 9 4 2" xfId="21477"/>
    <cellStyle name="표준 6 2 2 9 4 2 2" xfId="46829"/>
    <cellStyle name="표준 6 2 2 9 4 3" xfId="34157"/>
    <cellStyle name="표준 6 2 2 9 5" xfId="15141"/>
    <cellStyle name="표준 6 2 2 9 5 2" xfId="40493"/>
    <cellStyle name="표준 6 2 2 9 6" xfId="27821"/>
    <cellStyle name="표준 6 2 20" xfId="2468"/>
    <cellStyle name="표준 6 2 20 2" xfId="2469"/>
    <cellStyle name="표준 6 2 20 2 2" xfId="5619"/>
    <cellStyle name="표준 6 2 20 2 2 2" xfId="11955"/>
    <cellStyle name="표준 6 2 20 2 2 2 2" xfId="24629"/>
    <cellStyle name="표준 6 2 20 2 2 2 2 2" xfId="49981"/>
    <cellStyle name="표준 6 2 20 2 2 2 3" xfId="37309"/>
    <cellStyle name="표준 6 2 20 2 2 3" xfId="18293"/>
    <cellStyle name="표준 6 2 20 2 2 3 2" xfId="43645"/>
    <cellStyle name="표준 6 2 20 2 2 4" xfId="30973"/>
    <cellStyle name="표준 6 2 20 2 3" xfId="8806"/>
    <cellStyle name="표준 6 2 20 2 3 2" xfId="21480"/>
    <cellStyle name="표준 6 2 20 2 3 2 2" xfId="46832"/>
    <cellStyle name="표준 6 2 20 2 3 3" xfId="34160"/>
    <cellStyle name="표준 6 2 20 2 4" xfId="15144"/>
    <cellStyle name="표준 6 2 20 2 4 2" xfId="40496"/>
    <cellStyle name="표준 6 2 20 2 5" xfId="27824"/>
    <cellStyle name="표준 6 2 20 3" xfId="5620"/>
    <cellStyle name="표준 6 2 20 3 2" xfId="11956"/>
    <cellStyle name="표준 6 2 20 3 2 2" xfId="24630"/>
    <cellStyle name="표준 6 2 20 3 2 2 2" xfId="49982"/>
    <cellStyle name="표준 6 2 20 3 2 3" xfId="37310"/>
    <cellStyle name="표준 6 2 20 3 3" xfId="18294"/>
    <cellStyle name="표준 6 2 20 3 3 2" xfId="43646"/>
    <cellStyle name="표준 6 2 20 3 4" xfId="30974"/>
    <cellStyle name="표준 6 2 20 4" xfId="8805"/>
    <cellStyle name="표준 6 2 20 4 2" xfId="21479"/>
    <cellStyle name="표준 6 2 20 4 2 2" xfId="46831"/>
    <cellStyle name="표준 6 2 20 4 3" xfId="34159"/>
    <cellStyle name="표준 6 2 20 5" xfId="15143"/>
    <cellStyle name="표준 6 2 20 5 2" xfId="40495"/>
    <cellStyle name="표준 6 2 20 6" xfId="27823"/>
    <cellStyle name="표준 6 2 21" xfId="2470"/>
    <cellStyle name="표준 6 2 21 2" xfId="2471"/>
    <cellStyle name="표준 6 2 21 2 2" xfId="5621"/>
    <cellStyle name="표준 6 2 21 2 2 2" xfId="11957"/>
    <cellStyle name="표준 6 2 21 2 2 2 2" xfId="24631"/>
    <cellStyle name="표준 6 2 21 2 2 2 2 2" xfId="49983"/>
    <cellStyle name="표준 6 2 21 2 2 2 3" xfId="37311"/>
    <cellStyle name="표준 6 2 21 2 2 3" xfId="18295"/>
    <cellStyle name="표준 6 2 21 2 2 3 2" xfId="43647"/>
    <cellStyle name="표준 6 2 21 2 2 4" xfId="30975"/>
    <cellStyle name="표준 6 2 21 2 3" xfId="8808"/>
    <cellStyle name="표준 6 2 21 2 3 2" xfId="21482"/>
    <cellStyle name="표준 6 2 21 2 3 2 2" xfId="46834"/>
    <cellStyle name="표준 6 2 21 2 3 3" xfId="34162"/>
    <cellStyle name="표준 6 2 21 2 4" xfId="15146"/>
    <cellStyle name="표준 6 2 21 2 4 2" xfId="40498"/>
    <cellStyle name="표준 6 2 21 2 5" xfId="27826"/>
    <cellStyle name="표준 6 2 21 3" xfId="5622"/>
    <cellStyle name="표준 6 2 21 3 2" xfId="11958"/>
    <cellStyle name="표준 6 2 21 3 2 2" xfId="24632"/>
    <cellStyle name="표준 6 2 21 3 2 2 2" xfId="49984"/>
    <cellStyle name="표준 6 2 21 3 2 3" xfId="37312"/>
    <cellStyle name="표준 6 2 21 3 3" xfId="18296"/>
    <cellStyle name="표준 6 2 21 3 3 2" xfId="43648"/>
    <cellStyle name="표준 6 2 21 3 4" xfId="30976"/>
    <cellStyle name="표준 6 2 21 4" xfId="8807"/>
    <cellStyle name="표준 6 2 21 4 2" xfId="21481"/>
    <cellStyle name="표준 6 2 21 4 2 2" xfId="46833"/>
    <cellStyle name="표준 6 2 21 4 3" xfId="34161"/>
    <cellStyle name="표준 6 2 21 5" xfId="15145"/>
    <cellStyle name="표준 6 2 21 5 2" xfId="40497"/>
    <cellStyle name="표준 6 2 21 6" xfId="27825"/>
    <cellStyle name="표준 6 2 22" xfId="2472"/>
    <cellStyle name="표준 6 2 22 2" xfId="2473"/>
    <cellStyle name="표준 6 2 22 2 2" xfId="5623"/>
    <cellStyle name="표준 6 2 22 2 2 2" xfId="11959"/>
    <cellStyle name="표준 6 2 22 2 2 2 2" xfId="24633"/>
    <cellStyle name="표준 6 2 22 2 2 2 2 2" xfId="49985"/>
    <cellStyle name="표준 6 2 22 2 2 2 3" xfId="37313"/>
    <cellStyle name="표준 6 2 22 2 2 3" xfId="18297"/>
    <cellStyle name="표준 6 2 22 2 2 3 2" xfId="43649"/>
    <cellStyle name="표준 6 2 22 2 2 4" xfId="30977"/>
    <cellStyle name="표준 6 2 22 2 3" xfId="8810"/>
    <cellStyle name="표준 6 2 22 2 3 2" xfId="21484"/>
    <cellStyle name="표준 6 2 22 2 3 2 2" xfId="46836"/>
    <cellStyle name="표준 6 2 22 2 3 3" xfId="34164"/>
    <cellStyle name="표준 6 2 22 2 4" xfId="15148"/>
    <cellStyle name="표준 6 2 22 2 4 2" xfId="40500"/>
    <cellStyle name="표준 6 2 22 2 5" xfId="27828"/>
    <cellStyle name="표준 6 2 22 3" xfId="5624"/>
    <cellStyle name="표준 6 2 22 3 2" xfId="11960"/>
    <cellStyle name="표준 6 2 22 3 2 2" xfId="24634"/>
    <cellStyle name="표준 6 2 22 3 2 2 2" xfId="49986"/>
    <cellStyle name="표준 6 2 22 3 2 3" xfId="37314"/>
    <cellStyle name="표준 6 2 22 3 3" xfId="18298"/>
    <cellStyle name="표준 6 2 22 3 3 2" xfId="43650"/>
    <cellStyle name="표준 6 2 22 3 4" xfId="30978"/>
    <cellStyle name="표준 6 2 22 4" xfId="8809"/>
    <cellStyle name="표준 6 2 22 4 2" xfId="21483"/>
    <cellStyle name="표준 6 2 22 4 2 2" xfId="46835"/>
    <cellStyle name="표준 6 2 22 4 3" xfId="34163"/>
    <cellStyle name="표준 6 2 22 5" xfId="15147"/>
    <cellStyle name="표준 6 2 22 5 2" xfId="40499"/>
    <cellStyle name="표준 6 2 22 6" xfId="27827"/>
    <cellStyle name="표준 6 2 23" xfId="2474"/>
    <cellStyle name="표준 6 2 23 2" xfId="2475"/>
    <cellStyle name="표준 6 2 23 2 2" xfId="5625"/>
    <cellStyle name="표준 6 2 23 2 2 2" xfId="11961"/>
    <cellStyle name="표준 6 2 23 2 2 2 2" xfId="24635"/>
    <cellStyle name="표준 6 2 23 2 2 2 2 2" xfId="49987"/>
    <cellStyle name="표준 6 2 23 2 2 2 3" xfId="37315"/>
    <cellStyle name="표준 6 2 23 2 2 3" xfId="18299"/>
    <cellStyle name="표준 6 2 23 2 2 3 2" xfId="43651"/>
    <cellStyle name="표준 6 2 23 2 2 4" xfId="30979"/>
    <cellStyle name="표준 6 2 23 2 3" xfId="8812"/>
    <cellStyle name="표준 6 2 23 2 3 2" xfId="21486"/>
    <cellStyle name="표준 6 2 23 2 3 2 2" xfId="46838"/>
    <cellStyle name="표준 6 2 23 2 3 3" xfId="34166"/>
    <cellStyle name="표준 6 2 23 2 4" xfId="15150"/>
    <cellStyle name="표준 6 2 23 2 4 2" xfId="40502"/>
    <cellStyle name="표준 6 2 23 2 5" xfId="27830"/>
    <cellStyle name="표준 6 2 23 3" xfId="5626"/>
    <cellStyle name="표준 6 2 23 3 2" xfId="11962"/>
    <cellStyle name="표준 6 2 23 3 2 2" xfId="24636"/>
    <cellStyle name="표준 6 2 23 3 2 2 2" xfId="49988"/>
    <cellStyle name="표준 6 2 23 3 2 3" xfId="37316"/>
    <cellStyle name="표준 6 2 23 3 3" xfId="18300"/>
    <cellStyle name="표준 6 2 23 3 3 2" xfId="43652"/>
    <cellStyle name="표준 6 2 23 3 4" xfId="30980"/>
    <cellStyle name="표준 6 2 23 4" xfId="8811"/>
    <cellStyle name="표준 6 2 23 4 2" xfId="21485"/>
    <cellStyle name="표준 6 2 23 4 2 2" xfId="46837"/>
    <cellStyle name="표준 6 2 23 4 3" xfId="34165"/>
    <cellStyle name="표준 6 2 23 5" xfId="15149"/>
    <cellStyle name="표준 6 2 23 5 2" xfId="40501"/>
    <cellStyle name="표준 6 2 23 6" xfId="27829"/>
    <cellStyle name="표준 6 2 24" xfId="2476"/>
    <cellStyle name="표준 6 2 24 2" xfId="2477"/>
    <cellStyle name="표준 6 2 24 2 2" xfId="5627"/>
    <cellStyle name="표준 6 2 24 2 2 2" xfId="11963"/>
    <cellStyle name="표준 6 2 24 2 2 2 2" xfId="24637"/>
    <cellStyle name="표준 6 2 24 2 2 2 2 2" xfId="49989"/>
    <cellStyle name="표준 6 2 24 2 2 2 3" xfId="37317"/>
    <cellStyle name="표준 6 2 24 2 2 3" xfId="18301"/>
    <cellStyle name="표준 6 2 24 2 2 3 2" xfId="43653"/>
    <cellStyle name="표준 6 2 24 2 2 4" xfId="30981"/>
    <cellStyle name="표준 6 2 24 2 3" xfId="8814"/>
    <cellStyle name="표준 6 2 24 2 3 2" xfId="21488"/>
    <cellStyle name="표준 6 2 24 2 3 2 2" xfId="46840"/>
    <cellStyle name="표준 6 2 24 2 3 3" xfId="34168"/>
    <cellStyle name="표준 6 2 24 2 4" xfId="15152"/>
    <cellStyle name="표준 6 2 24 2 4 2" xfId="40504"/>
    <cellStyle name="표준 6 2 24 2 5" xfId="27832"/>
    <cellStyle name="표준 6 2 24 3" xfId="5628"/>
    <cellStyle name="표준 6 2 24 3 2" xfId="11964"/>
    <cellStyle name="표준 6 2 24 3 2 2" xfId="24638"/>
    <cellStyle name="표준 6 2 24 3 2 2 2" xfId="49990"/>
    <cellStyle name="표준 6 2 24 3 2 3" xfId="37318"/>
    <cellStyle name="표준 6 2 24 3 3" xfId="18302"/>
    <cellStyle name="표준 6 2 24 3 3 2" xfId="43654"/>
    <cellStyle name="표준 6 2 24 3 4" xfId="30982"/>
    <cellStyle name="표준 6 2 24 4" xfId="8813"/>
    <cellStyle name="표준 6 2 24 4 2" xfId="21487"/>
    <cellStyle name="표준 6 2 24 4 2 2" xfId="46839"/>
    <cellStyle name="표준 6 2 24 4 3" xfId="34167"/>
    <cellStyle name="표준 6 2 24 5" xfId="15151"/>
    <cellStyle name="표준 6 2 24 5 2" xfId="40503"/>
    <cellStyle name="표준 6 2 24 6" xfId="27831"/>
    <cellStyle name="표준 6 2 25" xfId="2478"/>
    <cellStyle name="표준 6 2 25 2" xfId="2479"/>
    <cellStyle name="표준 6 2 25 2 2" xfId="5629"/>
    <cellStyle name="표준 6 2 25 2 2 2" xfId="11965"/>
    <cellStyle name="표준 6 2 25 2 2 2 2" xfId="24639"/>
    <cellStyle name="표준 6 2 25 2 2 2 2 2" xfId="49991"/>
    <cellStyle name="표준 6 2 25 2 2 2 3" xfId="37319"/>
    <cellStyle name="표준 6 2 25 2 2 3" xfId="18303"/>
    <cellStyle name="표준 6 2 25 2 2 3 2" xfId="43655"/>
    <cellStyle name="표준 6 2 25 2 2 4" xfId="30983"/>
    <cellStyle name="표준 6 2 25 2 3" xfId="8816"/>
    <cellStyle name="표준 6 2 25 2 3 2" xfId="21490"/>
    <cellStyle name="표준 6 2 25 2 3 2 2" xfId="46842"/>
    <cellStyle name="표준 6 2 25 2 3 3" xfId="34170"/>
    <cellStyle name="표준 6 2 25 2 4" xfId="15154"/>
    <cellStyle name="표준 6 2 25 2 4 2" xfId="40506"/>
    <cellStyle name="표준 6 2 25 2 5" xfId="27834"/>
    <cellStyle name="표준 6 2 25 3" xfId="5630"/>
    <cellStyle name="표준 6 2 25 3 2" xfId="11966"/>
    <cellStyle name="표준 6 2 25 3 2 2" xfId="24640"/>
    <cellStyle name="표준 6 2 25 3 2 2 2" xfId="49992"/>
    <cellStyle name="표준 6 2 25 3 2 3" xfId="37320"/>
    <cellStyle name="표준 6 2 25 3 3" xfId="18304"/>
    <cellStyle name="표준 6 2 25 3 3 2" xfId="43656"/>
    <cellStyle name="표준 6 2 25 3 4" xfId="30984"/>
    <cellStyle name="표준 6 2 25 4" xfId="8815"/>
    <cellStyle name="표준 6 2 25 4 2" xfId="21489"/>
    <cellStyle name="표준 6 2 25 4 2 2" xfId="46841"/>
    <cellStyle name="표준 6 2 25 4 3" xfId="34169"/>
    <cellStyle name="표준 6 2 25 5" xfId="15153"/>
    <cellStyle name="표준 6 2 25 5 2" xfId="40505"/>
    <cellStyle name="표준 6 2 25 6" xfId="27833"/>
    <cellStyle name="표준 6 2 26" xfId="2480"/>
    <cellStyle name="표준 6 2 26 2" xfId="2481"/>
    <cellStyle name="표준 6 2 26 2 2" xfId="5631"/>
    <cellStyle name="표준 6 2 26 2 2 2" xfId="11967"/>
    <cellStyle name="표준 6 2 26 2 2 2 2" xfId="24641"/>
    <cellStyle name="표준 6 2 26 2 2 2 2 2" xfId="49993"/>
    <cellStyle name="표준 6 2 26 2 2 2 3" xfId="37321"/>
    <cellStyle name="표준 6 2 26 2 2 3" xfId="18305"/>
    <cellStyle name="표준 6 2 26 2 2 3 2" xfId="43657"/>
    <cellStyle name="표준 6 2 26 2 2 4" xfId="30985"/>
    <cellStyle name="표준 6 2 26 2 3" xfId="8818"/>
    <cellStyle name="표준 6 2 26 2 3 2" xfId="21492"/>
    <cellStyle name="표준 6 2 26 2 3 2 2" xfId="46844"/>
    <cellStyle name="표준 6 2 26 2 3 3" xfId="34172"/>
    <cellStyle name="표준 6 2 26 2 4" xfId="15156"/>
    <cellStyle name="표준 6 2 26 2 4 2" xfId="40508"/>
    <cellStyle name="표준 6 2 26 2 5" xfId="27836"/>
    <cellStyle name="표준 6 2 26 3" xfId="5632"/>
    <cellStyle name="표준 6 2 26 3 2" xfId="11968"/>
    <cellStyle name="표준 6 2 26 3 2 2" xfId="24642"/>
    <cellStyle name="표준 6 2 26 3 2 2 2" xfId="49994"/>
    <cellStyle name="표준 6 2 26 3 2 3" xfId="37322"/>
    <cellStyle name="표준 6 2 26 3 3" xfId="18306"/>
    <cellStyle name="표준 6 2 26 3 3 2" xfId="43658"/>
    <cellStyle name="표준 6 2 26 3 4" xfId="30986"/>
    <cellStyle name="표준 6 2 26 4" xfId="8817"/>
    <cellStyle name="표준 6 2 26 4 2" xfId="21491"/>
    <cellStyle name="표준 6 2 26 4 2 2" xfId="46843"/>
    <cellStyle name="표준 6 2 26 4 3" xfId="34171"/>
    <cellStyle name="표준 6 2 26 5" xfId="15155"/>
    <cellStyle name="표준 6 2 26 5 2" xfId="40507"/>
    <cellStyle name="표준 6 2 26 6" xfId="27835"/>
    <cellStyle name="표준 6 2 27" xfId="2482"/>
    <cellStyle name="표준 6 2 27 2" xfId="2483"/>
    <cellStyle name="표준 6 2 27 2 2" xfId="5633"/>
    <cellStyle name="표준 6 2 27 2 2 2" xfId="11969"/>
    <cellStyle name="표준 6 2 27 2 2 2 2" xfId="24643"/>
    <cellStyle name="표준 6 2 27 2 2 2 2 2" xfId="49995"/>
    <cellStyle name="표준 6 2 27 2 2 2 3" xfId="37323"/>
    <cellStyle name="표준 6 2 27 2 2 3" xfId="18307"/>
    <cellStyle name="표준 6 2 27 2 2 3 2" xfId="43659"/>
    <cellStyle name="표준 6 2 27 2 2 4" xfId="30987"/>
    <cellStyle name="표준 6 2 27 2 3" xfId="8820"/>
    <cellStyle name="표준 6 2 27 2 3 2" xfId="21494"/>
    <cellStyle name="표준 6 2 27 2 3 2 2" xfId="46846"/>
    <cellStyle name="표준 6 2 27 2 3 3" xfId="34174"/>
    <cellStyle name="표준 6 2 27 2 4" xfId="15158"/>
    <cellStyle name="표준 6 2 27 2 4 2" xfId="40510"/>
    <cellStyle name="표준 6 2 27 2 5" xfId="27838"/>
    <cellStyle name="표준 6 2 27 3" xfId="5634"/>
    <cellStyle name="표준 6 2 27 3 2" xfId="11970"/>
    <cellStyle name="표준 6 2 27 3 2 2" xfId="24644"/>
    <cellStyle name="표준 6 2 27 3 2 2 2" xfId="49996"/>
    <cellStyle name="표준 6 2 27 3 2 3" xfId="37324"/>
    <cellStyle name="표준 6 2 27 3 3" xfId="18308"/>
    <cellStyle name="표준 6 2 27 3 3 2" xfId="43660"/>
    <cellStyle name="표준 6 2 27 3 4" xfId="30988"/>
    <cellStyle name="표준 6 2 27 4" xfId="8819"/>
    <cellStyle name="표준 6 2 27 4 2" xfId="21493"/>
    <cellStyle name="표준 6 2 27 4 2 2" xfId="46845"/>
    <cellStyle name="표준 6 2 27 4 3" xfId="34173"/>
    <cellStyle name="표준 6 2 27 5" xfId="15157"/>
    <cellStyle name="표준 6 2 27 5 2" xfId="40509"/>
    <cellStyle name="표준 6 2 27 6" xfId="27837"/>
    <cellStyle name="표준 6 2 28" xfId="2484"/>
    <cellStyle name="표준 6 2 28 2" xfId="2485"/>
    <cellStyle name="표준 6 2 28 2 2" xfId="5635"/>
    <cellStyle name="표준 6 2 28 2 2 2" xfId="11971"/>
    <cellStyle name="표준 6 2 28 2 2 2 2" xfId="24645"/>
    <cellStyle name="표준 6 2 28 2 2 2 2 2" xfId="49997"/>
    <cellStyle name="표준 6 2 28 2 2 2 3" xfId="37325"/>
    <cellStyle name="표준 6 2 28 2 2 3" xfId="18309"/>
    <cellStyle name="표준 6 2 28 2 2 3 2" xfId="43661"/>
    <cellStyle name="표준 6 2 28 2 2 4" xfId="30989"/>
    <cellStyle name="표준 6 2 28 2 3" xfId="8822"/>
    <cellStyle name="표준 6 2 28 2 3 2" xfId="21496"/>
    <cellStyle name="표준 6 2 28 2 3 2 2" xfId="46848"/>
    <cellStyle name="표준 6 2 28 2 3 3" xfId="34176"/>
    <cellStyle name="표준 6 2 28 2 4" xfId="15160"/>
    <cellStyle name="표준 6 2 28 2 4 2" xfId="40512"/>
    <cellStyle name="표준 6 2 28 2 5" xfId="27840"/>
    <cellStyle name="표준 6 2 28 3" xfId="5636"/>
    <cellStyle name="표준 6 2 28 3 2" xfId="11972"/>
    <cellStyle name="표준 6 2 28 3 2 2" xfId="24646"/>
    <cellStyle name="표준 6 2 28 3 2 2 2" xfId="49998"/>
    <cellStyle name="표준 6 2 28 3 2 3" xfId="37326"/>
    <cellStyle name="표준 6 2 28 3 3" xfId="18310"/>
    <cellStyle name="표준 6 2 28 3 3 2" xfId="43662"/>
    <cellStyle name="표준 6 2 28 3 4" xfId="30990"/>
    <cellStyle name="표준 6 2 28 4" xfId="8821"/>
    <cellStyle name="표준 6 2 28 4 2" xfId="21495"/>
    <cellStyle name="표준 6 2 28 4 2 2" xfId="46847"/>
    <cellStyle name="표준 6 2 28 4 3" xfId="34175"/>
    <cellStyle name="표준 6 2 28 5" xfId="15159"/>
    <cellStyle name="표준 6 2 28 5 2" xfId="40511"/>
    <cellStyle name="표준 6 2 28 6" xfId="27839"/>
    <cellStyle name="표준 6 2 29" xfId="2486"/>
    <cellStyle name="표준 6 2 29 2" xfId="2487"/>
    <cellStyle name="표준 6 2 29 2 2" xfId="5637"/>
    <cellStyle name="표준 6 2 29 2 2 2" xfId="11973"/>
    <cellStyle name="표준 6 2 29 2 2 2 2" xfId="24647"/>
    <cellStyle name="표준 6 2 29 2 2 2 2 2" xfId="49999"/>
    <cellStyle name="표준 6 2 29 2 2 2 3" xfId="37327"/>
    <cellStyle name="표준 6 2 29 2 2 3" xfId="18311"/>
    <cellStyle name="표준 6 2 29 2 2 3 2" xfId="43663"/>
    <cellStyle name="표준 6 2 29 2 2 4" xfId="30991"/>
    <cellStyle name="표준 6 2 29 2 3" xfId="8824"/>
    <cellStyle name="표준 6 2 29 2 3 2" xfId="21498"/>
    <cellStyle name="표준 6 2 29 2 3 2 2" xfId="46850"/>
    <cellStyle name="표준 6 2 29 2 3 3" xfId="34178"/>
    <cellStyle name="표준 6 2 29 2 4" xfId="15162"/>
    <cellStyle name="표준 6 2 29 2 4 2" xfId="40514"/>
    <cellStyle name="표준 6 2 29 2 5" xfId="27842"/>
    <cellStyle name="표준 6 2 29 3" xfId="5638"/>
    <cellStyle name="표준 6 2 29 3 2" xfId="11974"/>
    <cellStyle name="표준 6 2 29 3 2 2" xfId="24648"/>
    <cellStyle name="표준 6 2 29 3 2 2 2" xfId="50000"/>
    <cellStyle name="표준 6 2 29 3 2 3" xfId="37328"/>
    <cellStyle name="표준 6 2 29 3 3" xfId="18312"/>
    <cellStyle name="표준 6 2 29 3 3 2" xfId="43664"/>
    <cellStyle name="표준 6 2 29 3 4" xfId="30992"/>
    <cellStyle name="표준 6 2 29 4" xfId="8823"/>
    <cellStyle name="표준 6 2 29 4 2" xfId="21497"/>
    <cellStyle name="표준 6 2 29 4 2 2" xfId="46849"/>
    <cellStyle name="표준 6 2 29 4 3" xfId="34177"/>
    <cellStyle name="표준 6 2 29 5" xfId="15161"/>
    <cellStyle name="표준 6 2 29 5 2" xfId="40513"/>
    <cellStyle name="표준 6 2 29 6" xfId="27841"/>
    <cellStyle name="표준 6 2 3" xfId="28"/>
    <cellStyle name="표준 6 2 3 10" xfId="2488"/>
    <cellStyle name="표준 6 2 3 10 2" xfId="2489"/>
    <cellStyle name="표준 6 2 3 10 2 2" xfId="5639"/>
    <cellStyle name="표준 6 2 3 10 2 2 2" xfId="11975"/>
    <cellStyle name="표준 6 2 3 10 2 2 2 2" xfId="24649"/>
    <cellStyle name="표준 6 2 3 10 2 2 2 2 2" xfId="50001"/>
    <cellStyle name="표준 6 2 3 10 2 2 2 3" xfId="37329"/>
    <cellStyle name="표준 6 2 3 10 2 2 3" xfId="18313"/>
    <cellStyle name="표준 6 2 3 10 2 2 3 2" xfId="43665"/>
    <cellStyle name="표준 6 2 3 10 2 2 4" xfId="30993"/>
    <cellStyle name="표준 6 2 3 10 2 3" xfId="8826"/>
    <cellStyle name="표준 6 2 3 10 2 3 2" xfId="21500"/>
    <cellStyle name="표준 6 2 3 10 2 3 2 2" xfId="46852"/>
    <cellStyle name="표준 6 2 3 10 2 3 3" xfId="34180"/>
    <cellStyle name="표준 6 2 3 10 2 4" xfId="15164"/>
    <cellStyle name="표준 6 2 3 10 2 4 2" xfId="40516"/>
    <cellStyle name="표준 6 2 3 10 2 5" xfId="27844"/>
    <cellStyle name="표준 6 2 3 10 3" xfId="5640"/>
    <cellStyle name="표준 6 2 3 10 3 2" xfId="11976"/>
    <cellStyle name="표준 6 2 3 10 3 2 2" xfId="24650"/>
    <cellStyle name="표준 6 2 3 10 3 2 2 2" xfId="50002"/>
    <cellStyle name="표준 6 2 3 10 3 2 3" xfId="37330"/>
    <cellStyle name="표준 6 2 3 10 3 3" xfId="18314"/>
    <cellStyle name="표준 6 2 3 10 3 3 2" xfId="43666"/>
    <cellStyle name="표준 6 2 3 10 3 4" xfId="30994"/>
    <cellStyle name="표준 6 2 3 10 4" xfId="8825"/>
    <cellStyle name="표준 6 2 3 10 4 2" xfId="21499"/>
    <cellStyle name="표준 6 2 3 10 4 2 2" xfId="46851"/>
    <cellStyle name="표준 6 2 3 10 4 3" xfId="34179"/>
    <cellStyle name="표준 6 2 3 10 5" xfId="15163"/>
    <cellStyle name="표준 6 2 3 10 5 2" xfId="40515"/>
    <cellStyle name="표준 6 2 3 10 6" xfId="27843"/>
    <cellStyle name="표준 6 2 3 11" xfId="2490"/>
    <cellStyle name="표준 6 2 3 11 2" xfId="2491"/>
    <cellStyle name="표준 6 2 3 11 2 2" xfId="5641"/>
    <cellStyle name="표준 6 2 3 11 2 2 2" xfId="11977"/>
    <cellStyle name="표준 6 2 3 11 2 2 2 2" xfId="24651"/>
    <cellStyle name="표준 6 2 3 11 2 2 2 2 2" xfId="50003"/>
    <cellStyle name="표준 6 2 3 11 2 2 2 3" xfId="37331"/>
    <cellStyle name="표준 6 2 3 11 2 2 3" xfId="18315"/>
    <cellStyle name="표준 6 2 3 11 2 2 3 2" xfId="43667"/>
    <cellStyle name="표준 6 2 3 11 2 2 4" xfId="30995"/>
    <cellStyle name="표준 6 2 3 11 2 3" xfId="8828"/>
    <cellStyle name="표준 6 2 3 11 2 3 2" xfId="21502"/>
    <cellStyle name="표준 6 2 3 11 2 3 2 2" xfId="46854"/>
    <cellStyle name="표준 6 2 3 11 2 3 3" xfId="34182"/>
    <cellStyle name="표준 6 2 3 11 2 4" xfId="15166"/>
    <cellStyle name="표준 6 2 3 11 2 4 2" xfId="40518"/>
    <cellStyle name="표준 6 2 3 11 2 5" xfId="27846"/>
    <cellStyle name="표준 6 2 3 11 3" xfId="5642"/>
    <cellStyle name="표준 6 2 3 11 3 2" xfId="11978"/>
    <cellStyle name="표준 6 2 3 11 3 2 2" xfId="24652"/>
    <cellStyle name="표준 6 2 3 11 3 2 2 2" xfId="50004"/>
    <cellStyle name="표준 6 2 3 11 3 2 3" xfId="37332"/>
    <cellStyle name="표준 6 2 3 11 3 3" xfId="18316"/>
    <cellStyle name="표준 6 2 3 11 3 3 2" xfId="43668"/>
    <cellStyle name="표준 6 2 3 11 3 4" xfId="30996"/>
    <cellStyle name="표준 6 2 3 11 4" xfId="8827"/>
    <cellStyle name="표준 6 2 3 11 4 2" xfId="21501"/>
    <cellStyle name="표준 6 2 3 11 4 2 2" xfId="46853"/>
    <cellStyle name="표준 6 2 3 11 4 3" xfId="34181"/>
    <cellStyle name="표준 6 2 3 11 5" xfId="15165"/>
    <cellStyle name="표준 6 2 3 11 5 2" xfId="40517"/>
    <cellStyle name="표준 6 2 3 11 6" xfId="27845"/>
    <cellStyle name="표준 6 2 3 12" xfId="2492"/>
    <cellStyle name="표준 6 2 3 12 2" xfId="2493"/>
    <cellStyle name="표준 6 2 3 12 2 2" xfId="5643"/>
    <cellStyle name="표준 6 2 3 12 2 2 2" xfId="11979"/>
    <cellStyle name="표준 6 2 3 12 2 2 2 2" xfId="24653"/>
    <cellStyle name="표준 6 2 3 12 2 2 2 2 2" xfId="50005"/>
    <cellStyle name="표준 6 2 3 12 2 2 2 3" xfId="37333"/>
    <cellStyle name="표준 6 2 3 12 2 2 3" xfId="18317"/>
    <cellStyle name="표준 6 2 3 12 2 2 3 2" xfId="43669"/>
    <cellStyle name="표준 6 2 3 12 2 2 4" xfId="30997"/>
    <cellStyle name="표준 6 2 3 12 2 3" xfId="8830"/>
    <cellStyle name="표준 6 2 3 12 2 3 2" xfId="21504"/>
    <cellStyle name="표준 6 2 3 12 2 3 2 2" xfId="46856"/>
    <cellStyle name="표준 6 2 3 12 2 3 3" xfId="34184"/>
    <cellStyle name="표준 6 2 3 12 2 4" xfId="15168"/>
    <cellStyle name="표준 6 2 3 12 2 4 2" xfId="40520"/>
    <cellStyle name="표준 6 2 3 12 2 5" xfId="27848"/>
    <cellStyle name="표준 6 2 3 12 3" xfId="5644"/>
    <cellStyle name="표준 6 2 3 12 3 2" xfId="11980"/>
    <cellStyle name="표준 6 2 3 12 3 2 2" xfId="24654"/>
    <cellStyle name="표준 6 2 3 12 3 2 2 2" xfId="50006"/>
    <cellStyle name="표준 6 2 3 12 3 2 3" xfId="37334"/>
    <cellStyle name="표준 6 2 3 12 3 3" xfId="18318"/>
    <cellStyle name="표준 6 2 3 12 3 3 2" xfId="43670"/>
    <cellStyle name="표준 6 2 3 12 3 4" xfId="30998"/>
    <cellStyle name="표준 6 2 3 12 4" xfId="8829"/>
    <cellStyle name="표준 6 2 3 12 4 2" xfId="21503"/>
    <cellStyle name="표준 6 2 3 12 4 2 2" xfId="46855"/>
    <cellStyle name="표준 6 2 3 12 4 3" xfId="34183"/>
    <cellStyle name="표준 6 2 3 12 5" xfId="15167"/>
    <cellStyle name="표준 6 2 3 12 5 2" xfId="40519"/>
    <cellStyle name="표준 6 2 3 12 6" xfId="27847"/>
    <cellStyle name="표준 6 2 3 13" xfId="2494"/>
    <cellStyle name="표준 6 2 3 13 2" xfId="2495"/>
    <cellStyle name="표준 6 2 3 13 2 2" xfId="5645"/>
    <cellStyle name="표준 6 2 3 13 2 2 2" xfId="11981"/>
    <cellStyle name="표준 6 2 3 13 2 2 2 2" xfId="24655"/>
    <cellStyle name="표준 6 2 3 13 2 2 2 2 2" xfId="50007"/>
    <cellStyle name="표준 6 2 3 13 2 2 2 3" xfId="37335"/>
    <cellStyle name="표준 6 2 3 13 2 2 3" xfId="18319"/>
    <cellStyle name="표준 6 2 3 13 2 2 3 2" xfId="43671"/>
    <cellStyle name="표준 6 2 3 13 2 2 4" xfId="30999"/>
    <cellStyle name="표준 6 2 3 13 2 3" xfId="8832"/>
    <cellStyle name="표준 6 2 3 13 2 3 2" xfId="21506"/>
    <cellStyle name="표준 6 2 3 13 2 3 2 2" xfId="46858"/>
    <cellStyle name="표준 6 2 3 13 2 3 3" xfId="34186"/>
    <cellStyle name="표준 6 2 3 13 2 4" xfId="15170"/>
    <cellStyle name="표준 6 2 3 13 2 4 2" xfId="40522"/>
    <cellStyle name="표준 6 2 3 13 2 5" xfId="27850"/>
    <cellStyle name="표준 6 2 3 13 3" xfId="5646"/>
    <cellStyle name="표준 6 2 3 13 3 2" xfId="11982"/>
    <cellStyle name="표준 6 2 3 13 3 2 2" xfId="24656"/>
    <cellStyle name="표준 6 2 3 13 3 2 2 2" xfId="50008"/>
    <cellStyle name="표준 6 2 3 13 3 2 3" xfId="37336"/>
    <cellStyle name="표준 6 2 3 13 3 3" xfId="18320"/>
    <cellStyle name="표준 6 2 3 13 3 3 2" xfId="43672"/>
    <cellStyle name="표준 6 2 3 13 3 4" xfId="31000"/>
    <cellStyle name="표준 6 2 3 13 4" xfId="8831"/>
    <cellStyle name="표준 6 2 3 13 4 2" xfId="21505"/>
    <cellStyle name="표준 6 2 3 13 4 2 2" xfId="46857"/>
    <cellStyle name="표준 6 2 3 13 4 3" xfId="34185"/>
    <cellStyle name="표준 6 2 3 13 5" xfId="15169"/>
    <cellStyle name="표준 6 2 3 13 5 2" xfId="40521"/>
    <cellStyle name="표준 6 2 3 13 6" xfId="27849"/>
    <cellStyle name="표준 6 2 3 14" xfId="2496"/>
    <cellStyle name="표준 6 2 3 14 2" xfId="2497"/>
    <cellStyle name="표준 6 2 3 14 2 2" xfId="5647"/>
    <cellStyle name="표준 6 2 3 14 2 2 2" xfId="11983"/>
    <cellStyle name="표준 6 2 3 14 2 2 2 2" xfId="24657"/>
    <cellStyle name="표준 6 2 3 14 2 2 2 2 2" xfId="50009"/>
    <cellStyle name="표준 6 2 3 14 2 2 2 3" xfId="37337"/>
    <cellStyle name="표준 6 2 3 14 2 2 3" xfId="18321"/>
    <cellStyle name="표준 6 2 3 14 2 2 3 2" xfId="43673"/>
    <cellStyle name="표준 6 2 3 14 2 2 4" xfId="31001"/>
    <cellStyle name="표준 6 2 3 14 2 3" xfId="8834"/>
    <cellStyle name="표준 6 2 3 14 2 3 2" xfId="21508"/>
    <cellStyle name="표준 6 2 3 14 2 3 2 2" xfId="46860"/>
    <cellStyle name="표준 6 2 3 14 2 3 3" xfId="34188"/>
    <cellStyle name="표준 6 2 3 14 2 4" xfId="15172"/>
    <cellStyle name="표준 6 2 3 14 2 4 2" xfId="40524"/>
    <cellStyle name="표준 6 2 3 14 2 5" xfId="27852"/>
    <cellStyle name="표준 6 2 3 14 3" xfId="5648"/>
    <cellStyle name="표준 6 2 3 14 3 2" xfId="11984"/>
    <cellStyle name="표준 6 2 3 14 3 2 2" xfId="24658"/>
    <cellStyle name="표준 6 2 3 14 3 2 2 2" xfId="50010"/>
    <cellStyle name="표준 6 2 3 14 3 2 3" xfId="37338"/>
    <cellStyle name="표준 6 2 3 14 3 3" xfId="18322"/>
    <cellStyle name="표준 6 2 3 14 3 3 2" xfId="43674"/>
    <cellStyle name="표준 6 2 3 14 3 4" xfId="31002"/>
    <cellStyle name="표준 6 2 3 14 4" xfId="8833"/>
    <cellStyle name="표준 6 2 3 14 4 2" xfId="21507"/>
    <cellStyle name="표준 6 2 3 14 4 2 2" xfId="46859"/>
    <cellStyle name="표준 6 2 3 14 4 3" xfId="34187"/>
    <cellStyle name="표준 6 2 3 14 5" xfId="15171"/>
    <cellStyle name="표준 6 2 3 14 5 2" xfId="40523"/>
    <cellStyle name="표준 6 2 3 14 6" xfId="27851"/>
    <cellStyle name="표준 6 2 3 15" xfId="2498"/>
    <cellStyle name="표준 6 2 3 15 2" xfId="2499"/>
    <cellStyle name="표준 6 2 3 15 2 2" xfId="5649"/>
    <cellStyle name="표준 6 2 3 15 2 2 2" xfId="11985"/>
    <cellStyle name="표준 6 2 3 15 2 2 2 2" xfId="24659"/>
    <cellStyle name="표준 6 2 3 15 2 2 2 2 2" xfId="50011"/>
    <cellStyle name="표준 6 2 3 15 2 2 2 3" xfId="37339"/>
    <cellStyle name="표준 6 2 3 15 2 2 3" xfId="18323"/>
    <cellStyle name="표준 6 2 3 15 2 2 3 2" xfId="43675"/>
    <cellStyle name="표준 6 2 3 15 2 2 4" xfId="31003"/>
    <cellStyle name="표준 6 2 3 15 2 3" xfId="8836"/>
    <cellStyle name="표준 6 2 3 15 2 3 2" xfId="21510"/>
    <cellStyle name="표준 6 2 3 15 2 3 2 2" xfId="46862"/>
    <cellStyle name="표준 6 2 3 15 2 3 3" xfId="34190"/>
    <cellStyle name="표준 6 2 3 15 2 4" xfId="15174"/>
    <cellStyle name="표준 6 2 3 15 2 4 2" xfId="40526"/>
    <cellStyle name="표준 6 2 3 15 2 5" xfId="27854"/>
    <cellStyle name="표준 6 2 3 15 3" xfId="5650"/>
    <cellStyle name="표준 6 2 3 15 3 2" xfId="11986"/>
    <cellStyle name="표준 6 2 3 15 3 2 2" xfId="24660"/>
    <cellStyle name="표준 6 2 3 15 3 2 2 2" xfId="50012"/>
    <cellStyle name="표준 6 2 3 15 3 2 3" xfId="37340"/>
    <cellStyle name="표준 6 2 3 15 3 3" xfId="18324"/>
    <cellStyle name="표준 6 2 3 15 3 3 2" xfId="43676"/>
    <cellStyle name="표준 6 2 3 15 3 4" xfId="31004"/>
    <cellStyle name="표준 6 2 3 15 4" xfId="8835"/>
    <cellStyle name="표준 6 2 3 15 4 2" xfId="21509"/>
    <cellStyle name="표준 6 2 3 15 4 2 2" xfId="46861"/>
    <cellStyle name="표준 6 2 3 15 4 3" xfId="34189"/>
    <cellStyle name="표준 6 2 3 15 5" xfId="15173"/>
    <cellStyle name="표준 6 2 3 15 5 2" xfId="40525"/>
    <cellStyle name="표준 6 2 3 15 6" xfId="27853"/>
    <cellStyle name="표준 6 2 3 16" xfId="2500"/>
    <cellStyle name="표준 6 2 3 16 2" xfId="2501"/>
    <cellStyle name="표준 6 2 3 16 2 2" xfId="5651"/>
    <cellStyle name="표준 6 2 3 16 2 2 2" xfId="11987"/>
    <cellStyle name="표준 6 2 3 16 2 2 2 2" xfId="24661"/>
    <cellStyle name="표준 6 2 3 16 2 2 2 2 2" xfId="50013"/>
    <cellStyle name="표준 6 2 3 16 2 2 2 3" xfId="37341"/>
    <cellStyle name="표준 6 2 3 16 2 2 3" xfId="18325"/>
    <cellStyle name="표준 6 2 3 16 2 2 3 2" xfId="43677"/>
    <cellStyle name="표준 6 2 3 16 2 2 4" xfId="31005"/>
    <cellStyle name="표준 6 2 3 16 2 3" xfId="8838"/>
    <cellStyle name="표준 6 2 3 16 2 3 2" xfId="21512"/>
    <cellStyle name="표준 6 2 3 16 2 3 2 2" xfId="46864"/>
    <cellStyle name="표준 6 2 3 16 2 3 3" xfId="34192"/>
    <cellStyle name="표준 6 2 3 16 2 4" xfId="15176"/>
    <cellStyle name="표준 6 2 3 16 2 4 2" xfId="40528"/>
    <cellStyle name="표준 6 2 3 16 2 5" xfId="27856"/>
    <cellStyle name="표준 6 2 3 16 3" xfId="5652"/>
    <cellStyle name="표준 6 2 3 16 3 2" xfId="11988"/>
    <cellStyle name="표준 6 2 3 16 3 2 2" xfId="24662"/>
    <cellStyle name="표준 6 2 3 16 3 2 2 2" xfId="50014"/>
    <cellStyle name="표준 6 2 3 16 3 2 3" xfId="37342"/>
    <cellStyle name="표준 6 2 3 16 3 3" xfId="18326"/>
    <cellStyle name="표준 6 2 3 16 3 3 2" xfId="43678"/>
    <cellStyle name="표준 6 2 3 16 3 4" xfId="31006"/>
    <cellStyle name="표준 6 2 3 16 4" xfId="8837"/>
    <cellStyle name="표준 6 2 3 16 4 2" xfId="21511"/>
    <cellStyle name="표준 6 2 3 16 4 2 2" xfId="46863"/>
    <cellStyle name="표준 6 2 3 16 4 3" xfId="34191"/>
    <cellStyle name="표준 6 2 3 16 5" xfId="15175"/>
    <cellStyle name="표준 6 2 3 16 5 2" xfId="40527"/>
    <cellStyle name="표준 6 2 3 16 6" xfId="27855"/>
    <cellStyle name="표준 6 2 3 17" xfId="2502"/>
    <cellStyle name="표준 6 2 3 17 2" xfId="2503"/>
    <cellStyle name="표준 6 2 3 17 2 2" xfId="5653"/>
    <cellStyle name="표준 6 2 3 17 2 2 2" xfId="11989"/>
    <cellStyle name="표준 6 2 3 17 2 2 2 2" xfId="24663"/>
    <cellStyle name="표준 6 2 3 17 2 2 2 2 2" xfId="50015"/>
    <cellStyle name="표준 6 2 3 17 2 2 2 3" xfId="37343"/>
    <cellStyle name="표준 6 2 3 17 2 2 3" xfId="18327"/>
    <cellStyle name="표준 6 2 3 17 2 2 3 2" xfId="43679"/>
    <cellStyle name="표준 6 2 3 17 2 2 4" xfId="31007"/>
    <cellStyle name="표준 6 2 3 17 2 3" xfId="8840"/>
    <cellStyle name="표준 6 2 3 17 2 3 2" xfId="21514"/>
    <cellStyle name="표준 6 2 3 17 2 3 2 2" xfId="46866"/>
    <cellStyle name="표준 6 2 3 17 2 3 3" xfId="34194"/>
    <cellStyle name="표준 6 2 3 17 2 4" xfId="15178"/>
    <cellStyle name="표준 6 2 3 17 2 4 2" xfId="40530"/>
    <cellStyle name="표준 6 2 3 17 2 5" xfId="27858"/>
    <cellStyle name="표준 6 2 3 17 3" xfId="5654"/>
    <cellStyle name="표준 6 2 3 17 3 2" xfId="11990"/>
    <cellStyle name="표준 6 2 3 17 3 2 2" xfId="24664"/>
    <cellStyle name="표준 6 2 3 17 3 2 2 2" xfId="50016"/>
    <cellStyle name="표준 6 2 3 17 3 2 3" xfId="37344"/>
    <cellStyle name="표준 6 2 3 17 3 3" xfId="18328"/>
    <cellStyle name="표준 6 2 3 17 3 3 2" xfId="43680"/>
    <cellStyle name="표준 6 2 3 17 3 4" xfId="31008"/>
    <cellStyle name="표준 6 2 3 17 4" xfId="8839"/>
    <cellStyle name="표준 6 2 3 17 4 2" xfId="21513"/>
    <cellStyle name="표준 6 2 3 17 4 2 2" xfId="46865"/>
    <cellStyle name="표준 6 2 3 17 4 3" xfId="34193"/>
    <cellStyle name="표준 6 2 3 17 5" xfId="15177"/>
    <cellStyle name="표준 6 2 3 17 5 2" xfId="40529"/>
    <cellStyle name="표준 6 2 3 17 6" xfId="27857"/>
    <cellStyle name="표준 6 2 3 18" xfId="2504"/>
    <cellStyle name="표준 6 2 3 18 2" xfId="2505"/>
    <cellStyle name="표준 6 2 3 18 2 2" xfId="5655"/>
    <cellStyle name="표준 6 2 3 18 2 2 2" xfId="11991"/>
    <cellStyle name="표준 6 2 3 18 2 2 2 2" xfId="24665"/>
    <cellStyle name="표준 6 2 3 18 2 2 2 2 2" xfId="50017"/>
    <cellStyle name="표준 6 2 3 18 2 2 2 3" xfId="37345"/>
    <cellStyle name="표준 6 2 3 18 2 2 3" xfId="18329"/>
    <cellStyle name="표준 6 2 3 18 2 2 3 2" xfId="43681"/>
    <cellStyle name="표준 6 2 3 18 2 2 4" xfId="31009"/>
    <cellStyle name="표준 6 2 3 18 2 3" xfId="8842"/>
    <cellStyle name="표준 6 2 3 18 2 3 2" xfId="21516"/>
    <cellStyle name="표준 6 2 3 18 2 3 2 2" xfId="46868"/>
    <cellStyle name="표준 6 2 3 18 2 3 3" xfId="34196"/>
    <cellStyle name="표준 6 2 3 18 2 4" xfId="15180"/>
    <cellStyle name="표준 6 2 3 18 2 4 2" xfId="40532"/>
    <cellStyle name="표준 6 2 3 18 2 5" xfId="27860"/>
    <cellStyle name="표준 6 2 3 18 3" xfId="5656"/>
    <cellStyle name="표준 6 2 3 18 3 2" xfId="11992"/>
    <cellStyle name="표준 6 2 3 18 3 2 2" xfId="24666"/>
    <cellStyle name="표준 6 2 3 18 3 2 2 2" xfId="50018"/>
    <cellStyle name="표준 6 2 3 18 3 2 3" xfId="37346"/>
    <cellStyle name="표준 6 2 3 18 3 3" xfId="18330"/>
    <cellStyle name="표준 6 2 3 18 3 3 2" xfId="43682"/>
    <cellStyle name="표준 6 2 3 18 3 4" xfId="31010"/>
    <cellStyle name="표준 6 2 3 18 4" xfId="8841"/>
    <cellStyle name="표준 6 2 3 18 4 2" xfId="21515"/>
    <cellStyle name="표준 6 2 3 18 4 2 2" xfId="46867"/>
    <cellStyle name="표준 6 2 3 18 4 3" xfId="34195"/>
    <cellStyle name="표준 6 2 3 18 5" xfId="15179"/>
    <cellStyle name="표준 6 2 3 18 5 2" xfId="40531"/>
    <cellStyle name="표준 6 2 3 18 6" xfId="27859"/>
    <cellStyle name="표준 6 2 3 19" xfId="2506"/>
    <cellStyle name="표준 6 2 3 19 2" xfId="2507"/>
    <cellStyle name="표준 6 2 3 19 2 2" xfId="5657"/>
    <cellStyle name="표준 6 2 3 19 2 2 2" xfId="11993"/>
    <cellStyle name="표준 6 2 3 19 2 2 2 2" xfId="24667"/>
    <cellStyle name="표준 6 2 3 19 2 2 2 2 2" xfId="50019"/>
    <cellStyle name="표준 6 2 3 19 2 2 2 3" xfId="37347"/>
    <cellStyle name="표준 6 2 3 19 2 2 3" xfId="18331"/>
    <cellStyle name="표준 6 2 3 19 2 2 3 2" xfId="43683"/>
    <cellStyle name="표준 6 2 3 19 2 2 4" xfId="31011"/>
    <cellStyle name="표준 6 2 3 19 2 3" xfId="8844"/>
    <cellStyle name="표준 6 2 3 19 2 3 2" xfId="21518"/>
    <cellStyle name="표준 6 2 3 19 2 3 2 2" xfId="46870"/>
    <cellStyle name="표준 6 2 3 19 2 3 3" xfId="34198"/>
    <cellStyle name="표준 6 2 3 19 2 4" xfId="15182"/>
    <cellStyle name="표준 6 2 3 19 2 4 2" xfId="40534"/>
    <cellStyle name="표준 6 2 3 19 2 5" xfId="27862"/>
    <cellStyle name="표준 6 2 3 19 3" xfId="5658"/>
    <cellStyle name="표준 6 2 3 19 3 2" xfId="11994"/>
    <cellStyle name="표준 6 2 3 19 3 2 2" xfId="24668"/>
    <cellStyle name="표준 6 2 3 19 3 2 2 2" xfId="50020"/>
    <cellStyle name="표준 6 2 3 19 3 2 3" xfId="37348"/>
    <cellStyle name="표준 6 2 3 19 3 3" xfId="18332"/>
    <cellStyle name="표준 6 2 3 19 3 3 2" xfId="43684"/>
    <cellStyle name="표준 6 2 3 19 3 4" xfId="31012"/>
    <cellStyle name="표준 6 2 3 19 4" xfId="8843"/>
    <cellStyle name="표준 6 2 3 19 4 2" xfId="21517"/>
    <cellStyle name="표준 6 2 3 19 4 2 2" xfId="46869"/>
    <cellStyle name="표준 6 2 3 19 4 3" xfId="34197"/>
    <cellStyle name="표준 6 2 3 19 5" xfId="15181"/>
    <cellStyle name="표준 6 2 3 19 5 2" xfId="40533"/>
    <cellStyle name="표준 6 2 3 19 6" xfId="27861"/>
    <cellStyle name="표준 6 2 3 2" xfId="93"/>
    <cellStyle name="표준 6 2 3 2 10" xfId="2508"/>
    <cellStyle name="표준 6 2 3 2 10 2" xfId="2509"/>
    <cellStyle name="표준 6 2 3 2 10 2 2" xfId="5659"/>
    <cellStyle name="표준 6 2 3 2 10 2 2 2" xfId="11995"/>
    <cellStyle name="표준 6 2 3 2 10 2 2 2 2" xfId="24669"/>
    <cellStyle name="표준 6 2 3 2 10 2 2 2 2 2" xfId="50021"/>
    <cellStyle name="표준 6 2 3 2 10 2 2 2 3" xfId="37349"/>
    <cellStyle name="표준 6 2 3 2 10 2 2 3" xfId="18333"/>
    <cellStyle name="표준 6 2 3 2 10 2 2 3 2" xfId="43685"/>
    <cellStyle name="표준 6 2 3 2 10 2 2 4" xfId="31013"/>
    <cellStyle name="표준 6 2 3 2 10 2 3" xfId="8846"/>
    <cellStyle name="표준 6 2 3 2 10 2 3 2" xfId="21520"/>
    <cellStyle name="표준 6 2 3 2 10 2 3 2 2" xfId="46872"/>
    <cellStyle name="표준 6 2 3 2 10 2 3 3" xfId="34200"/>
    <cellStyle name="표준 6 2 3 2 10 2 4" xfId="15184"/>
    <cellStyle name="표준 6 2 3 2 10 2 4 2" xfId="40536"/>
    <cellStyle name="표준 6 2 3 2 10 2 5" xfId="27864"/>
    <cellStyle name="표준 6 2 3 2 10 3" xfId="5660"/>
    <cellStyle name="표준 6 2 3 2 10 3 2" xfId="11996"/>
    <cellStyle name="표준 6 2 3 2 10 3 2 2" xfId="24670"/>
    <cellStyle name="표준 6 2 3 2 10 3 2 2 2" xfId="50022"/>
    <cellStyle name="표준 6 2 3 2 10 3 2 3" xfId="37350"/>
    <cellStyle name="표준 6 2 3 2 10 3 3" xfId="18334"/>
    <cellStyle name="표준 6 2 3 2 10 3 3 2" xfId="43686"/>
    <cellStyle name="표준 6 2 3 2 10 3 4" xfId="31014"/>
    <cellStyle name="표준 6 2 3 2 10 4" xfId="8845"/>
    <cellStyle name="표준 6 2 3 2 10 4 2" xfId="21519"/>
    <cellStyle name="표준 6 2 3 2 10 4 2 2" xfId="46871"/>
    <cellStyle name="표준 6 2 3 2 10 4 3" xfId="34199"/>
    <cellStyle name="표준 6 2 3 2 10 5" xfId="15183"/>
    <cellStyle name="표준 6 2 3 2 10 5 2" xfId="40535"/>
    <cellStyle name="표준 6 2 3 2 10 6" xfId="27863"/>
    <cellStyle name="표준 6 2 3 2 11" xfId="2510"/>
    <cellStyle name="표준 6 2 3 2 11 2" xfId="2511"/>
    <cellStyle name="표준 6 2 3 2 11 2 2" xfId="5661"/>
    <cellStyle name="표준 6 2 3 2 11 2 2 2" xfId="11997"/>
    <cellStyle name="표준 6 2 3 2 11 2 2 2 2" xfId="24671"/>
    <cellStyle name="표준 6 2 3 2 11 2 2 2 2 2" xfId="50023"/>
    <cellStyle name="표준 6 2 3 2 11 2 2 2 3" xfId="37351"/>
    <cellStyle name="표준 6 2 3 2 11 2 2 3" xfId="18335"/>
    <cellStyle name="표준 6 2 3 2 11 2 2 3 2" xfId="43687"/>
    <cellStyle name="표준 6 2 3 2 11 2 2 4" xfId="31015"/>
    <cellStyle name="표준 6 2 3 2 11 2 3" xfId="8848"/>
    <cellStyle name="표준 6 2 3 2 11 2 3 2" xfId="21522"/>
    <cellStyle name="표준 6 2 3 2 11 2 3 2 2" xfId="46874"/>
    <cellStyle name="표준 6 2 3 2 11 2 3 3" xfId="34202"/>
    <cellStyle name="표준 6 2 3 2 11 2 4" xfId="15186"/>
    <cellStyle name="표준 6 2 3 2 11 2 4 2" xfId="40538"/>
    <cellStyle name="표준 6 2 3 2 11 2 5" xfId="27866"/>
    <cellStyle name="표준 6 2 3 2 11 3" xfId="5662"/>
    <cellStyle name="표준 6 2 3 2 11 3 2" xfId="11998"/>
    <cellStyle name="표준 6 2 3 2 11 3 2 2" xfId="24672"/>
    <cellStyle name="표준 6 2 3 2 11 3 2 2 2" xfId="50024"/>
    <cellStyle name="표준 6 2 3 2 11 3 2 3" xfId="37352"/>
    <cellStyle name="표준 6 2 3 2 11 3 3" xfId="18336"/>
    <cellStyle name="표준 6 2 3 2 11 3 3 2" xfId="43688"/>
    <cellStyle name="표준 6 2 3 2 11 3 4" xfId="31016"/>
    <cellStyle name="표준 6 2 3 2 11 4" xfId="8847"/>
    <cellStyle name="표준 6 2 3 2 11 4 2" xfId="21521"/>
    <cellStyle name="표준 6 2 3 2 11 4 2 2" xfId="46873"/>
    <cellStyle name="표준 6 2 3 2 11 4 3" xfId="34201"/>
    <cellStyle name="표준 6 2 3 2 11 5" xfId="15185"/>
    <cellStyle name="표준 6 2 3 2 11 5 2" xfId="40537"/>
    <cellStyle name="표준 6 2 3 2 11 6" xfId="27865"/>
    <cellStyle name="표준 6 2 3 2 12" xfId="2512"/>
    <cellStyle name="표준 6 2 3 2 12 2" xfId="2513"/>
    <cellStyle name="표준 6 2 3 2 12 2 2" xfId="5663"/>
    <cellStyle name="표준 6 2 3 2 12 2 2 2" xfId="11999"/>
    <cellStyle name="표준 6 2 3 2 12 2 2 2 2" xfId="24673"/>
    <cellStyle name="표준 6 2 3 2 12 2 2 2 2 2" xfId="50025"/>
    <cellStyle name="표준 6 2 3 2 12 2 2 2 3" xfId="37353"/>
    <cellStyle name="표준 6 2 3 2 12 2 2 3" xfId="18337"/>
    <cellStyle name="표준 6 2 3 2 12 2 2 3 2" xfId="43689"/>
    <cellStyle name="표준 6 2 3 2 12 2 2 4" xfId="31017"/>
    <cellStyle name="표준 6 2 3 2 12 2 3" xfId="8850"/>
    <cellStyle name="표준 6 2 3 2 12 2 3 2" xfId="21524"/>
    <cellStyle name="표준 6 2 3 2 12 2 3 2 2" xfId="46876"/>
    <cellStyle name="표준 6 2 3 2 12 2 3 3" xfId="34204"/>
    <cellStyle name="표준 6 2 3 2 12 2 4" xfId="15188"/>
    <cellStyle name="표준 6 2 3 2 12 2 4 2" xfId="40540"/>
    <cellStyle name="표준 6 2 3 2 12 2 5" xfId="27868"/>
    <cellStyle name="표준 6 2 3 2 12 3" xfId="5664"/>
    <cellStyle name="표준 6 2 3 2 12 3 2" xfId="12000"/>
    <cellStyle name="표준 6 2 3 2 12 3 2 2" xfId="24674"/>
    <cellStyle name="표준 6 2 3 2 12 3 2 2 2" xfId="50026"/>
    <cellStyle name="표준 6 2 3 2 12 3 2 3" xfId="37354"/>
    <cellStyle name="표준 6 2 3 2 12 3 3" xfId="18338"/>
    <cellStyle name="표준 6 2 3 2 12 3 3 2" xfId="43690"/>
    <cellStyle name="표준 6 2 3 2 12 3 4" xfId="31018"/>
    <cellStyle name="표준 6 2 3 2 12 4" xfId="8849"/>
    <cellStyle name="표준 6 2 3 2 12 4 2" xfId="21523"/>
    <cellStyle name="표준 6 2 3 2 12 4 2 2" xfId="46875"/>
    <cellStyle name="표준 6 2 3 2 12 4 3" xfId="34203"/>
    <cellStyle name="표준 6 2 3 2 12 5" xfId="15187"/>
    <cellStyle name="표준 6 2 3 2 12 5 2" xfId="40539"/>
    <cellStyle name="표준 6 2 3 2 12 6" xfId="27867"/>
    <cellStyle name="표준 6 2 3 2 13" xfId="2514"/>
    <cellStyle name="표준 6 2 3 2 13 2" xfId="2515"/>
    <cellStyle name="표준 6 2 3 2 13 2 2" xfId="5665"/>
    <cellStyle name="표준 6 2 3 2 13 2 2 2" xfId="12001"/>
    <cellStyle name="표준 6 2 3 2 13 2 2 2 2" xfId="24675"/>
    <cellStyle name="표준 6 2 3 2 13 2 2 2 2 2" xfId="50027"/>
    <cellStyle name="표준 6 2 3 2 13 2 2 2 3" xfId="37355"/>
    <cellStyle name="표준 6 2 3 2 13 2 2 3" xfId="18339"/>
    <cellStyle name="표준 6 2 3 2 13 2 2 3 2" xfId="43691"/>
    <cellStyle name="표준 6 2 3 2 13 2 2 4" xfId="31019"/>
    <cellStyle name="표준 6 2 3 2 13 2 3" xfId="8852"/>
    <cellStyle name="표준 6 2 3 2 13 2 3 2" xfId="21526"/>
    <cellStyle name="표준 6 2 3 2 13 2 3 2 2" xfId="46878"/>
    <cellStyle name="표준 6 2 3 2 13 2 3 3" xfId="34206"/>
    <cellStyle name="표준 6 2 3 2 13 2 4" xfId="15190"/>
    <cellStyle name="표준 6 2 3 2 13 2 4 2" xfId="40542"/>
    <cellStyle name="표준 6 2 3 2 13 2 5" xfId="27870"/>
    <cellStyle name="표준 6 2 3 2 13 3" xfId="5666"/>
    <cellStyle name="표준 6 2 3 2 13 3 2" xfId="12002"/>
    <cellStyle name="표준 6 2 3 2 13 3 2 2" xfId="24676"/>
    <cellStyle name="표준 6 2 3 2 13 3 2 2 2" xfId="50028"/>
    <cellStyle name="표준 6 2 3 2 13 3 2 3" xfId="37356"/>
    <cellStyle name="표준 6 2 3 2 13 3 3" xfId="18340"/>
    <cellStyle name="표준 6 2 3 2 13 3 3 2" xfId="43692"/>
    <cellStyle name="표준 6 2 3 2 13 3 4" xfId="31020"/>
    <cellStyle name="표준 6 2 3 2 13 4" xfId="8851"/>
    <cellStyle name="표준 6 2 3 2 13 4 2" xfId="21525"/>
    <cellStyle name="표준 6 2 3 2 13 4 2 2" xfId="46877"/>
    <cellStyle name="표준 6 2 3 2 13 4 3" xfId="34205"/>
    <cellStyle name="표준 6 2 3 2 13 5" xfId="15189"/>
    <cellStyle name="표준 6 2 3 2 13 5 2" xfId="40541"/>
    <cellStyle name="표준 6 2 3 2 13 6" xfId="27869"/>
    <cellStyle name="표준 6 2 3 2 14" xfId="2516"/>
    <cellStyle name="표준 6 2 3 2 14 2" xfId="2517"/>
    <cellStyle name="표준 6 2 3 2 14 2 2" xfId="5667"/>
    <cellStyle name="표준 6 2 3 2 14 2 2 2" xfId="12003"/>
    <cellStyle name="표준 6 2 3 2 14 2 2 2 2" xfId="24677"/>
    <cellStyle name="표준 6 2 3 2 14 2 2 2 2 2" xfId="50029"/>
    <cellStyle name="표준 6 2 3 2 14 2 2 2 3" xfId="37357"/>
    <cellStyle name="표준 6 2 3 2 14 2 2 3" xfId="18341"/>
    <cellStyle name="표준 6 2 3 2 14 2 2 3 2" xfId="43693"/>
    <cellStyle name="표준 6 2 3 2 14 2 2 4" xfId="31021"/>
    <cellStyle name="표준 6 2 3 2 14 2 3" xfId="8854"/>
    <cellStyle name="표준 6 2 3 2 14 2 3 2" xfId="21528"/>
    <cellStyle name="표준 6 2 3 2 14 2 3 2 2" xfId="46880"/>
    <cellStyle name="표준 6 2 3 2 14 2 3 3" xfId="34208"/>
    <cellStyle name="표준 6 2 3 2 14 2 4" xfId="15192"/>
    <cellStyle name="표준 6 2 3 2 14 2 4 2" xfId="40544"/>
    <cellStyle name="표준 6 2 3 2 14 2 5" xfId="27872"/>
    <cellStyle name="표준 6 2 3 2 14 3" xfId="5668"/>
    <cellStyle name="표준 6 2 3 2 14 3 2" xfId="12004"/>
    <cellStyle name="표준 6 2 3 2 14 3 2 2" xfId="24678"/>
    <cellStyle name="표준 6 2 3 2 14 3 2 2 2" xfId="50030"/>
    <cellStyle name="표준 6 2 3 2 14 3 2 3" xfId="37358"/>
    <cellStyle name="표준 6 2 3 2 14 3 3" xfId="18342"/>
    <cellStyle name="표준 6 2 3 2 14 3 3 2" xfId="43694"/>
    <cellStyle name="표준 6 2 3 2 14 3 4" xfId="31022"/>
    <cellStyle name="표준 6 2 3 2 14 4" xfId="8853"/>
    <cellStyle name="표준 6 2 3 2 14 4 2" xfId="21527"/>
    <cellStyle name="표준 6 2 3 2 14 4 2 2" xfId="46879"/>
    <cellStyle name="표준 6 2 3 2 14 4 3" xfId="34207"/>
    <cellStyle name="표준 6 2 3 2 14 5" xfId="15191"/>
    <cellStyle name="표준 6 2 3 2 14 5 2" xfId="40543"/>
    <cellStyle name="표준 6 2 3 2 14 6" xfId="27871"/>
    <cellStyle name="표준 6 2 3 2 15" xfId="2518"/>
    <cellStyle name="표준 6 2 3 2 15 2" xfId="2519"/>
    <cellStyle name="표준 6 2 3 2 15 2 2" xfId="5669"/>
    <cellStyle name="표준 6 2 3 2 15 2 2 2" xfId="12005"/>
    <cellStyle name="표준 6 2 3 2 15 2 2 2 2" xfId="24679"/>
    <cellStyle name="표준 6 2 3 2 15 2 2 2 2 2" xfId="50031"/>
    <cellStyle name="표준 6 2 3 2 15 2 2 2 3" xfId="37359"/>
    <cellStyle name="표준 6 2 3 2 15 2 2 3" xfId="18343"/>
    <cellStyle name="표준 6 2 3 2 15 2 2 3 2" xfId="43695"/>
    <cellStyle name="표준 6 2 3 2 15 2 2 4" xfId="31023"/>
    <cellStyle name="표준 6 2 3 2 15 2 3" xfId="8856"/>
    <cellStyle name="표준 6 2 3 2 15 2 3 2" xfId="21530"/>
    <cellStyle name="표준 6 2 3 2 15 2 3 2 2" xfId="46882"/>
    <cellStyle name="표준 6 2 3 2 15 2 3 3" xfId="34210"/>
    <cellStyle name="표준 6 2 3 2 15 2 4" xfId="15194"/>
    <cellStyle name="표준 6 2 3 2 15 2 4 2" xfId="40546"/>
    <cellStyle name="표준 6 2 3 2 15 2 5" xfId="27874"/>
    <cellStyle name="표준 6 2 3 2 15 3" xfId="5670"/>
    <cellStyle name="표준 6 2 3 2 15 3 2" xfId="12006"/>
    <cellStyle name="표준 6 2 3 2 15 3 2 2" xfId="24680"/>
    <cellStyle name="표준 6 2 3 2 15 3 2 2 2" xfId="50032"/>
    <cellStyle name="표준 6 2 3 2 15 3 2 3" xfId="37360"/>
    <cellStyle name="표준 6 2 3 2 15 3 3" xfId="18344"/>
    <cellStyle name="표준 6 2 3 2 15 3 3 2" xfId="43696"/>
    <cellStyle name="표준 6 2 3 2 15 3 4" xfId="31024"/>
    <cellStyle name="표준 6 2 3 2 15 4" xfId="8855"/>
    <cellStyle name="표준 6 2 3 2 15 4 2" xfId="21529"/>
    <cellStyle name="표준 6 2 3 2 15 4 2 2" xfId="46881"/>
    <cellStyle name="표준 6 2 3 2 15 4 3" xfId="34209"/>
    <cellStyle name="표준 6 2 3 2 15 5" xfId="15193"/>
    <cellStyle name="표준 6 2 3 2 15 5 2" xfId="40545"/>
    <cellStyle name="표준 6 2 3 2 15 6" xfId="27873"/>
    <cellStyle name="표준 6 2 3 2 16" xfId="2520"/>
    <cellStyle name="표준 6 2 3 2 16 2" xfId="2521"/>
    <cellStyle name="표준 6 2 3 2 16 2 2" xfId="5671"/>
    <cellStyle name="표준 6 2 3 2 16 2 2 2" xfId="12007"/>
    <cellStyle name="표준 6 2 3 2 16 2 2 2 2" xfId="24681"/>
    <cellStyle name="표준 6 2 3 2 16 2 2 2 2 2" xfId="50033"/>
    <cellStyle name="표준 6 2 3 2 16 2 2 2 3" xfId="37361"/>
    <cellStyle name="표준 6 2 3 2 16 2 2 3" xfId="18345"/>
    <cellStyle name="표준 6 2 3 2 16 2 2 3 2" xfId="43697"/>
    <cellStyle name="표준 6 2 3 2 16 2 2 4" xfId="31025"/>
    <cellStyle name="표준 6 2 3 2 16 2 3" xfId="8858"/>
    <cellStyle name="표준 6 2 3 2 16 2 3 2" xfId="21532"/>
    <cellStyle name="표준 6 2 3 2 16 2 3 2 2" xfId="46884"/>
    <cellStyle name="표준 6 2 3 2 16 2 3 3" xfId="34212"/>
    <cellStyle name="표준 6 2 3 2 16 2 4" xfId="15196"/>
    <cellStyle name="표준 6 2 3 2 16 2 4 2" xfId="40548"/>
    <cellStyle name="표준 6 2 3 2 16 2 5" xfId="27876"/>
    <cellStyle name="표준 6 2 3 2 16 3" xfId="5672"/>
    <cellStyle name="표준 6 2 3 2 16 3 2" xfId="12008"/>
    <cellStyle name="표준 6 2 3 2 16 3 2 2" xfId="24682"/>
    <cellStyle name="표준 6 2 3 2 16 3 2 2 2" xfId="50034"/>
    <cellStyle name="표준 6 2 3 2 16 3 2 3" xfId="37362"/>
    <cellStyle name="표준 6 2 3 2 16 3 3" xfId="18346"/>
    <cellStyle name="표준 6 2 3 2 16 3 3 2" xfId="43698"/>
    <cellStyle name="표준 6 2 3 2 16 3 4" xfId="31026"/>
    <cellStyle name="표준 6 2 3 2 16 4" xfId="8857"/>
    <cellStyle name="표준 6 2 3 2 16 4 2" xfId="21531"/>
    <cellStyle name="표준 6 2 3 2 16 4 2 2" xfId="46883"/>
    <cellStyle name="표준 6 2 3 2 16 4 3" xfId="34211"/>
    <cellStyle name="표준 6 2 3 2 16 5" xfId="15195"/>
    <cellStyle name="표준 6 2 3 2 16 5 2" xfId="40547"/>
    <cellStyle name="표준 6 2 3 2 16 6" xfId="27875"/>
    <cellStyle name="표준 6 2 3 2 17" xfId="2522"/>
    <cellStyle name="표준 6 2 3 2 17 2" xfId="2523"/>
    <cellStyle name="표준 6 2 3 2 17 2 2" xfId="5673"/>
    <cellStyle name="표준 6 2 3 2 17 2 2 2" xfId="12009"/>
    <cellStyle name="표준 6 2 3 2 17 2 2 2 2" xfId="24683"/>
    <cellStyle name="표준 6 2 3 2 17 2 2 2 2 2" xfId="50035"/>
    <cellStyle name="표준 6 2 3 2 17 2 2 2 3" xfId="37363"/>
    <cellStyle name="표준 6 2 3 2 17 2 2 3" xfId="18347"/>
    <cellStyle name="표준 6 2 3 2 17 2 2 3 2" xfId="43699"/>
    <cellStyle name="표준 6 2 3 2 17 2 2 4" xfId="31027"/>
    <cellStyle name="표준 6 2 3 2 17 2 3" xfId="8860"/>
    <cellStyle name="표준 6 2 3 2 17 2 3 2" xfId="21534"/>
    <cellStyle name="표준 6 2 3 2 17 2 3 2 2" xfId="46886"/>
    <cellStyle name="표준 6 2 3 2 17 2 3 3" xfId="34214"/>
    <cellStyle name="표준 6 2 3 2 17 2 4" xfId="15198"/>
    <cellStyle name="표준 6 2 3 2 17 2 4 2" xfId="40550"/>
    <cellStyle name="표준 6 2 3 2 17 2 5" xfId="27878"/>
    <cellStyle name="표준 6 2 3 2 17 3" xfId="5674"/>
    <cellStyle name="표준 6 2 3 2 17 3 2" xfId="12010"/>
    <cellStyle name="표준 6 2 3 2 17 3 2 2" xfId="24684"/>
    <cellStyle name="표준 6 2 3 2 17 3 2 2 2" xfId="50036"/>
    <cellStyle name="표준 6 2 3 2 17 3 2 3" xfId="37364"/>
    <cellStyle name="표준 6 2 3 2 17 3 3" xfId="18348"/>
    <cellStyle name="표준 6 2 3 2 17 3 3 2" xfId="43700"/>
    <cellStyle name="표준 6 2 3 2 17 3 4" xfId="31028"/>
    <cellStyle name="표준 6 2 3 2 17 4" xfId="8859"/>
    <cellStyle name="표준 6 2 3 2 17 4 2" xfId="21533"/>
    <cellStyle name="표준 6 2 3 2 17 4 2 2" xfId="46885"/>
    <cellStyle name="표준 6 2 3 2 17 4 3" xfId="34213"/>
    <cellStyle name="표준 6 2 3 2 17 5" xfId="15197"/>
    <cellStyle name="표준 6 2 3 2 17 5 2" xfId="40549"/>
    <cellStyle name="표준 6 2 3 2 17 6" xfId="27877"/>
    <cellStyle name="표준 6 2 3 2 18" xfId="2524"/>
    <cellStyle name="표준 6 2 3 2 18 2" xfId="2525"/>
    <cellStyle name="표준 6 2 3 2 18 2 2" xfId="5675"/>
    <cellStyle name="표준 6 2 3 2 18 2 2 2" xfId="12011"/>
    <cellStyle name="표준 6 2 3 2 18 2 2 2 2" xfId="24685"/>
    <cellStyle name="표준 6 2 3 2 18 2 2 2 2 2" xfId="50037"/>
    <cellStyle name="표준 6 2 3 2 18 2 2 2 3" xfId="37365"/>
    <cellStyle name="표준 6 2 3 2 18 2 2 3" xfId="18349"/>
    <cellStyle name="표준 6 2 3 2 18 2 2 3 2" xfId="43701"/>
    <cellStyle name="표준 6 2 3 2 18 2 2 4" xfId="31029"/>
    <cellStyle name="표준 6 2 3 2 18 2 3" xfId="8862"/>
    <cellStyle name="표준 6 2 3 2 18 2 3 2" xfId="21536"/>
    <cellStyle name="표준 6 2 3 2 18 2 3 2 2" xfId="46888"/>
    <cellStyle name="표준 6 2 3 2 18 2 3 3" xfId="34216"/>
    <cellStyle name="표준 6 2 3 2 18 2 4" xfId="15200"/>
    <cellStyle name="표준 6 2 3 2 18 2 4 2" xfId="40552"/>
    <cellStyle name="표준 6 2 3 2 18 2 5" xfId="27880"/>
    <cellStyle name="표준 6 2 3 2 18 3" xfId="5676"/>
    <cellStyle name="표준 6 2 3 2 18 3 2" xfId="12012"/>
    <cellStyle name="표준 6 2 3 2 18 3 2 2" xfId="24686"/>
    <cellStyle name="표준 6 2 3 2 18 3 2 2 2" xfId="50038"/>
    <cellStyle name="표준 6 2 3 2 18 3 2 3" xfId="37366"/>
    <cellStyle name="표준 6 2 3 2 18 3 3" xfId="18350"/>
    <cellStyle name="표준 6 2 3 2 18 3 3 2" xfId="43702"/>
    <cellStyle name="표준 6 2 3 2 18 3 4" xfId="31030"/>
    <cellStyle name="표준 6 2 3 2 18 4" xfId="8861"/>
    <cellStyle name="표준 6 2 3 2 18 4 2" xfId="21535"/>
    <cellStyle name="표준 6 2 3 2 18 4 2 2" xfId="46887"/>
    <cellStyle name="표준 6 2 3 2 18 4 3" xfId="34215"/>
    <cellStyle name="표준 6 2 3 2 18 5" xfId="15199"/>
    <cellStyle name="표준 6 2 3 2 18 5 2" xfId="40551"/>
    <cellStyle name="표준 6 2 3 2 18 6" xfId="27879"/>
    <cellStyle name="표준 6 2 3 2 19" xfId="2526"/>
    <cellStyle name="표준 6 2 3 2 19 2" xfId="2527"/>
    <cellStyle name="표준 6 2 3 2 19 2 2" xfId="5677"/>
    <cellStyle name="표준 6 2 3 2 19 2 2 2" xfId="12013"/>
    <cellStyle name="표준 6 2 3 2 19 2 2 2 2" xfId="24687"/>
    <cellStyle name="표준 6 2 3 2 19 2 2 2 2 2" xfId="50039"/>
    <cellStyle name="표준 6 2 3 2 19 2 2 2 3" xfId="37367"/>
    <cellStyle name="표준 6 2 3 2 19 2 2 3" xfId="18351"/>
    <cellStyle name="표준 6 2 3 2 19 2 2 3 2" xfId="43703"/>
    <cellStyle name="표준 6 2 3 2 19 2 2 4" xfId="31031"/>
    <cellStyle name="표준 6 2 3 2 19 2 3" xfId="8864"/>
    <cellStyle name="표준 6 2 3 2 19 2 3 2" xfId="21538"/>
    <cellStyle name="표준 6 2 3 2 19 2 3 2 2" xfId="46890"/>
    <cellStyle name="표준 6 2 3 2 19 2 3 3" xfId="34218"/>
    <cellStyle name="표준 6 2 3 2 19 2 4" xfId="15202"/>
    <cellStyle name="표준 6 2 3 2 19 2 4 2" xfId="40554"/>
    <cellStyle name="표준 6 2 3 2 19 2 5" xfId="27882"/>
    <cellStyle name="표준 6 2 3 2 19 3" xfId="5678"/>
    <cellStyle name="표준 6 2 3 2 19 3 2" xfId="12014"/>
    <cellStyle name="표준 6 2 3 2 19 3 2 2" xfId="24688"/>
    <cellStyle name="표준 6 2 3 2 19 3 2 2 2" xfId="50040"/>
    <cellStyle name="표준 6 2 3 2 19 3 2 3" xfId="37368"/>
    <cellStyle name="표준 6 2 3 2 19 3 3" xfId="18352"/>
    <cellStyle name="표준 6 2 3 2 19 3 3 2" xfId="43704"/>
    <cellStyle name="표준 6 2 3 2 19 3 4" xfId="31032"/>
    <cellStyle name="표준 6 2 3 2 19 4" xfId="8863"/>
    <cellStyle name="표준 6 2 3 2 19 4 2" xfId="21537"/>
    <cellStyle name="표준 6 2 3 2 19 4 2 2" xfId="46889"/>
    <cellStyle name="표준 6 2 3 2 19 4 3" xfId="34217"/>
    <cellStyle name="표준 6 2 3 2 19 5" xfId="15201"/>
    <cellStyle name="표준 6 2 3 2 19 5 2" xfId="40553"/>
    <cellStyle name="표준 6 2 3 2 19 6" xfId="27881"/>
    <cellStyle name="표준 6 2 3 2 2" xfId="2528"/>
    <cellStyle name="표준 6 2 3 2 2 2" xfId="2529"/>
    <cellStyle name="표준 6 2 3 2 2 2 2" xfId="5679"/>
    <cellStyle name="표준 6 2 3 2 2 2 2 2" xfId="12015"/>
    <cellStyle name="표준 6 2 3 2 2 2 2 2 2" xfId="24689"/>
    <cellStyle name="표준 6 2 3 2 2 2 2 2 2 2" xfId="50041"/>
    <cellStyle name="표준 6 2 3 2 2 2 2 2 3" xfId="37369"/>
    <cellStyle name="표준 6 2 3 2 2 2 2 3" xfId="18353"/>
    <cellStyle name="표준 6 2 3 2 2 2 2 3 2" xfId="43705"/>
    <cellStyle name="표준 6 2 3 2 2 2 2 4" xfId="31033"/>
    <cellStyle name="표준 6 2 3 2 2 2 3" xfId="8866"/>
    <cellStyle name="표준 6 2 3 2 2 2 3 2" xfId="21540"/>
    <cellStyle name="표준 6 2 3 2 2 2 3 2 2" xfId="46892"/>
    <cellStyle name="표준 6 2 3 2 2 2 3 3" xfId="34220"/>
    <cellStyle name="표준 6 2 3 2 2 2 4" xfId="15204"/>
    <cellStyle name="표준 6 2 3 2 2 2 4 2" xfId="40556"/>
    <cellStyle name="표준 6 2 3 2 2 2 5" xfId="27884"/>
    <cellStyle name="표준 6 2 3 2 2 3" xfId="5680"/>
    <cellStyle name="표준 6 2 3 2 2 3 2" xfId="12016"/>
    <cellStyle name="표준 6 2 3 2 2 3 2 2" xfId="24690"/>
    <cellStyle name="표준 6 2 3 2 2 3 2 2 2" xfId="50042"/>
    <cellStyle name="표준 6 2 3 2 2 3 2 3" xfId="37370"/>
    <cellStyle name="표준 6 2 3 2 2 3 3" xfId="18354"/>
    <cellStyle name="표준 6 2 3 2 2 3 3 2" xfId="43706"/>
    <cellStyle name="표준 6 2 3 2 2 3 4" xfId="31034"/>
    <cellStyle name="표준 6 2 3 2 2 4" xfId="8865"/>
    <cellStyle name="표준 6 2 3 2 2 4 2" xfId="21539"/>
    <cellStyle name="표준 6 2 3 2 2 4 2 2" xfId="46891"/>
    <cellStyle name="표준 6 2 3 2 2 4 3" xfId="34219"/>
    <cellStyle name="표준 6 2 3 2 2 5" xfId="15203"/>
    <cellStyle name="표준 6 2 3 2 2 5 2" xfId="40555"/>
    <cellStyle name="표준 6 2 3 2 2 6" xfId="27883"/>
    <cellStyle name="표준 6 2 3 2 20" xfId="2530"/>
    <cellStyle name="표준 6 2 3 2 20 2" xfId="2531"/>
    <cellStyle name="표준 6 2 3 2 20 2 2" xfId="5681"/>
    <cellStyle name="표준 6 2 3 2 20 2 2 2" xfId="12017"/>
    <cellStyle name="표준 6 2 3 2 20 2 2 2 2" xfId="24691"/>
    <cellStyle name="표준 6 2 3 2 20 2 2 2 2 2" xfId="50043"/>
    <cellStyle name="표준 6 2 3 2 20 2 2 2 3" xfId="37371"/>
    <cellStyle name="표준 6 2 3 2 20 2 2 3" xfId="18355"/>
    <cellStyle name="표준 6 2 3 2 20 2 2 3 2" xfId="43707"/>
    <cellStyle name="표준 6 2 3 2 20 2 2 4" xfId="31035"/>
    <cellStyle name="표준 6 2 3 2 20 2 3" xfId="8868"/>
    <cellStyle name="표준 6 2 3 2 20 2 3 2" xfId="21542"/>
    <cellStyle name="표준 6 2 3 2 20 2 3 2 2" xfId="46894"/>
    <cellStyle name="표준 6 2 3 2 20 2 3 3" xfId="34222"/>
    <cellStyle name="표준 6 2 3 2 20 2 4" xfId="15206"/>
    <cellStyle name="표준 6 2 3 2 20 2 4 2" xfId="40558"/>
    <cellStyle name="표준 6 2 3 2 20 2 5" xfId="27886"/>
    <cellStyle name="표준 6 2 3 2 20 3" xfId="5682"/>
    <cellStyle name="표준 6 2 3 2 20 3 2" xfId="12018"/>
    <cellStyle name="표준 6 2 3 2 20 3 2 2" xfId="24692"/>
    <cellStyle name="표준 6 2 3 2 20 3 2 2 2" xfId="50044"/>
    <cellStyle name="표준 6 2 3 2 20 3 2 3" xfId="37372"/>
    <cellStyle name="표준 6 2 3 2 20 3 3" xfId="18356"/>
    <cellStyle name="표준 6 2 3 2 20 3 3 2" xfId="43708"/>
    <cellStyle name="표준 6 2 3 2 20 3 4" xfId="31036"/>
    <cellStyle name="표준 6 2 3 2 20 4" xfId="8867"/>
    <cellStyle name="표준 6 2 3 2 20 4 2" xfId="21541"/>
    <cellStyle name="표준 6 2 3 2 20 4 2 2" xfId="46893"/>
    <cellStyle name="표준 6 2 3 2 20 4 3" xfId="34221"/>
    <cellStyle name="표준 6 2 3 2 20 5" xfId="15205"/>
    <cellStyle name="표준 6 2 3 2 20 5 2" xfId="40557"/>
    <cellStyle name="표준 6 2 3 2 20 6" xfId="27885"/>
    <cellStyle name="표준 6 2 3 2 21" xfId="2532"/>
    <cellStyle name="표준 6 2 3 2 21 2" xfId="2533"/>
    <cellStyle name="표준 6 2 3 2 21 2 2" xfId="5683"/>
    <cellStyle name="표준 6 2 3 2 21 2 2 2" xfId="12019"/>
    <cellStyle name="표준 6 2 3 2 21 2 2 2 2" xfId="24693"/>
    <cellStyle name="표준 6 2 3 2 21 2 2 2 2 2" xfId="50045"/>
    <cellStyle name="표준 6 2 3 2 21 2 2 2 3" xfId="37373"/>
    <cellStyle name="표준 6 2 3 2 21 2 2 3" xfId="18357"/>
    <cellStyle name="표준 6 2 3 2 21 2 2 3 2" xfId="43709"/>
    <cellStyle name="표준 6 2 3 2 21 2 2 4" xfId="31037"/>
    <cellStyle name="표준 6 2 3 2 21 2 3" xfId="8870"/>
    <cellStyle name="표준 6 2 3 2 21 2 3 2" xfId="21544"/>
    <cellStyle name="표준 6 2 3 2 21 2 3 2 2" xfId="46896"/>
    <cellStyle name="표준 6 2 3 2 21 2 3 3" xfId="34224"/>
    <cellStyle name="표준 6 2 3 2 21 2 4" xfId="15208"/>
    <cellStyle name="표준 6 2 3 2 21 2 4 2" xfId="40560"/>
    <cellStyle name="표준 6 2 3 2 21 2 5" xfId="27888"/>
    <cellStyle name="표준 6 2 3 2 21 3" xfId="5684"/>
    <cellStyle name="표준 6 2 3 2 21 3 2" xfId="12020"/>
    <cellStyle name="표준 6 2 3 2 21 3 2 2" xfId="24694"/>
    <cellStyle name="표준 6 2 3 2 21 3 2 2 2" xfId="50046"/>
    <cellStyle name="표준 6 2 3 2 21 3 2 3" xfId="37374"/>
    <cellStyle name="표준 6 2 3 2 21 3 3" xfId="18358"/>
    <cellStyle name="표준 6 2 3 2 21 3 3 2" xfId="43710"/>
    <cellStyle name="표준 6 2 3 2 21 3 4" xfId="31038"/>
    <cellStyle name="표준 6 2 3 2 21 4" xfId="8869"/>
    <cellStyle name="표준 6 2 3 2 21 4 2" xfId="21543"/>
    <cellStyle name="표준 6 2 3 2 21 4 2 2" xfId="46895"/>
    <cellStyle name="표준 6 2 3 2 21 4 3" xfId="34223"/>
    <cellStyle name="표준 6 2 3 2 21 5" xfId="15207"/>
    <cellStyle name="표준 6 2 3 2 21 5 2" xfId="40559"/>
    <cellStyle name="표준 6 2 3 2 21 6" xfId="27887"/>
    <cellStyle name="표준 6 2 3 2 22" xfId="2534"/>
    <cellStyle name="표준 6 2 3 2 22 2" xfId="2535"/>
    <cellStyle name="표준 6 2 3 2 22 2 2" xfId="5685"/>
    <cellStyle name="표준 6 2 3 2 22 2 2 2" xfId="12021"/>
    <cellStyle name="표준 6 2 3 2 22 2 2 2 2" xfId="24695"/>
    <cellStyle name="표준 6 2 3 2 22 2 2 2 2 2" xfId="50047"/>
    <cellStyle name="표준 6 2 3 2 22 2 2 2 3" xfId="37375"/>
    <cellStyle name="표준 6 2 3 2 22 2 2 3" xfId="18359"/>
    <cellStyle name="표준 6 2 3 2 22 2 2 3 2" xfId="43711"/>
    <cellStyle name="표준 6 2 3 2 22 2 2 4" xfId="31039"/>
    <cellStyle name="표준 6 2 3 2 22 2 3" xfId="8872"/>
    <cellStyle name="표준 6 2 3 2 22 2 3 2" xfId="21546"/>
    <cellStyle name="표준 6 2 3 2 22 2 3 2 2" xfId="46898"/>
    <cellStyle name="표준 6 2 3 2 22 2 3 3" xfId="34226"/>
    <cellStyle name="표준 6 2 3 2 22 2 4" xfId="15210"/>
    <cellStyle name="표준 6 2 3 2 22 2 4 2" xfId="40562"/>
    <cellStyle name="표준 6 2 3 2 22 2 5" xfId="27890"/>
    <cellStyle name="표준 6 2 3 2 22 3" xfId="5686"/>
    <cellStyle name="표준 6 2 3 2 22 3 2" xfId="12022"/>
    <cellStyle name="표준 6 2 3 2 22 3 2 2" xfId="24696"/>
    <cellStyle name="표준 6 2 3 2 22 3 2 2 2" xfId="50048"/>
    <cellStyle name="표준 6 2 3 2 22 3 2 3" xfId="37376"/>
    <cellStyle name="표준 6 2 3 2 22 3 3" xfId="18360"/>
    <cellStyle name="표준 6 2 3 2 22 3 3 2" xfId="43712"/>
    <cellStyle name="표준 6 2 3 2 22 3 4" xfId="31040"/>
    <cellStyle name="표준 6 2 3 2 22 4" xfId="8871"/>
    <cellStyle name="표준 6 2 3 2 22 4 2" xfId="21545"/>
    <cellStyle name="표준 6 2 3 2 22 4 2 2" xfId="46897"/>
    <cellStyle name="표준 6 2 3 2 22 4 3" xfId="34225"/>
    <cellStyle name="표준 6 2 3 2 22 5" xfId="15209"/>
    <cellStyle name="표준 6 2 3 2 22 5 2" xfId="40561"/>
    <cellStyle name="표준 6 2 3 2 22 6" xfId="27889"/>
    <cellStyle name="표준 6 2 3 2 23" xfId="2536"/>
    <cellStyle name="표준 6 2 3 2 23 2" xfId="2537"/>
    <cellStyle name="표준 6 2 3 2 23 2 2" xfId="5687"/>
    <cellStyle name="표준 6 2 3 2 23 2 2 2" xfId="12023"/>
    <cellStyle name="표준 6 2 3 2 23 2 2 2 2" xfId="24697"/>
    <cellStyle name="표준 6 2 3 2 23 2 2 2 2 2" xfId="50049"/>
    <cellStyle name="표준 6 2 3 2 23 2 2 2 3" xfId="37377"/>
    <cellStyle name="표준 6 2 3 2 23 2 2 3" xfId="18361"/>
    <cellStyle name="표준 6 2 3 2 23 2 2 3 2" xfId="43713"/>
    <cellStyle name="표준 6 2 3 2 23 2 2 4" xfId="31041"/>
    <cellStyle name="표준 6 2 3 2 23 2 3" xfId="8874"/>
    <cellStyle name="표준 6 2 3 2 23 2 3 2" xfId="21548"/>
    <cellStyle name="표준 6 2 3 2 23 2 3 2 2" xfId="46900"/>
    <cellStyle name="표준 6 2 3 2 23 2 3 3" xfId="34228"/>
    <cellStyle name="표준 6 2 3 2 23 2 4" xfId="15212"/>
    <cellStyle name="표준 6 2 3 2 23 2 4 2" xfId="40564"/>
    <cellStyle name="표준 6 2 3 2 23 2 5" xfId="27892"/>
    <cellStyle name="표준 6 2 3 2 23 3" xfId="5688"/>
    <cellStyle name="표준 6 2 3 2 23 3 2" xfId="12024"/>
    <cellStyle name="표준 6 2 3 2 23 3 2 2" xfId="24698"/>
    <cellStyle name="표준 6 2 3 2 23 3 2 2 2" xfId="50050"/>
    <cellStyle name="표준 6 2 3 2 23 3 2 3" xfId="37378"/>
    <cellStyle name="표준 6 2 3 2 23 3 3" xfId="18362"/>
    <cellStyle name="표준 6 2 3 2 23 3 3 2" xfId="43714"/>
    <cellStyle name="표준 6 2 3 2 23 3 4" xfId="31042"/>
    <cellStyle name="표준 6 2 3 2 23 4" xfId="8873"/>
    <cellStyle name="표준 6 2 3 2 23 4 2" xfId="21547"/>
    <cellStyle name="표준 6 2 3 2 23 4 2 2" xfId="46899"/>
    <cellStyle name="표준 6 2 3 2 23 4 3" xfId="34227"/>
    <cellStyle name="표준 6 2 3 2 23 5" xfId="15211"/>
    <cellStyle name="표준 6 2 3 2 23 5 2" xfId="40563"/>
    <cellStyle name="표준 6 2 3 2 23 6" xfId="27891"/>
    <cellStyle name="표준 6 2 3 2 24" xfId="2538"/>
    <cellStyle name="표준 6 2 3 2 24 2" xfId="2539"/>
    <cellStyle name="표준 6 2 3 2 24 2 2" xfId="5689"/>
    <cellStyle name="표준 6 2 3 2 24 2 2 2" xfId="12025"/>
    <cellStyle name="표준 6 2 3 2 24 2 2 2 2" xfId="24699"/>
    <cellStyle name="표준 6 2 3 2 24 2 2 2 2 2" xfId="50051"/>
    <cellStyle name="표준 6 2 3 2 24 2 2 2 3" xfId="37379"/>
    <cellStyle name="표준 6 2 3 2 24 2 2 3" xfId="18363"/>
    <cellStyle name="표준 6 2 3 2 24 2 2 3 2" xfId="43715"/>
    <cellStyle name="표준 6 2 3 2 24 2 2 4" xfId="31043"/>
    <cellStyle name="표준 6 2 3 2 24 2 3" xfId="8876"/>
    <cellStyle name="표준 6 2 3 2 24 2 3 2" xfId="21550"/>
    <cellStyle name="표준 6 2 3 2 24 2 3 2 2" xfId="46902"/>
    <cellStyle name="표준 6 2 3 2 24 2 3 3" xfId="34230"/>
    <cellStyle name="표준 6 2 3 2 24 2 4" xfId="15214"/>
    <cellStyle name="표준 6 2 3 2 24 2 4 2" xfId="40566"/>
    <cellStyle name="표준 6 2 3 2 24 2 5" xfId="27894"/>
    <cellStyle name="표준 6 2 3 2 24 3" xfId="5690"/>
    <cellStyle name="표준 6 2 3 2 24 3 2" xfId="12026"/>
    <cellStyle name="표준 6 2 3 2 24 3 2 2" xfId="24700"/>
    <cellStyle name="표준 6 2 3 2 24 3 2 2 2" xfId="50052"/>
    <cellStyle name="표준 6 2 3 2 24 3 2 3" xfId="37380"/>
    <cellStyle name="표준 6 2 3 2 24 3 3" xfId="18364"/>
    <cellStyle name="표준 6 2 3 2 24 3 3 2" xfId="43716"/>
    <cellStyle name="표준 6 2 3 2 24 3 4" xfId="31044"/>
    <cellStyle name="표준 6 2 3 2 24 4" xfId="8875"/>
    <cellStyle name="표준 6 2 3 2 24 4 2" xfId="21549"/>
    <cellStyle name="표준 6 2 3 2 24 4 2 2" xfId="46901"/>
    <cellStyle name="표준 6 2 3 2 24 4 3" xfId="34229"/>
    <cellStyle name="표준 6 2 3 2 24 5" xfId="15213"/>
    <cellStyle name="표준 6 2 3 2 24 5 2" xfId="40565"/>
    <cellStyle name="표준 6 2 3 2 24 6" xfId="27893"/>
    <cellStyle name="표준 6 2 3 2 25" xfId="2540"/>
    <cellStyle name="표준 6 2 3 2 25 2" xfId="2541"/>
    <cellStyle name="표준 6 2 3 2 25 2 2" xfId="5691"/>
    <cellStyle name="표준 6 2 3 2 25 2 2 2" xfId="12027"/>
    <cellStyle name="표준 6 2 3 2 25 2 2 2 2" xfId="24701"/>
    <cellStyle name="표준 6 2 3 2 25 2 2 2 2 2" xfId="50053"/>
    <cellStyle name="표준 6 2 3 2 25 2 2 2 3" xfId="37381"/>
    <cellStyle name="표준 6 2 3 2 25 2 2 3" xfId="18365"/>
    <cellStyle name="표준 6 2 3 2 25 2 2 3 2" xfId="43717"/>
    <cellStyle name="표준 6 2 3 2 25 2 2 4" xfId="31045"/>
    <cellStyle name="표준 6 2 3 2 25 2 3" xfId="8878"/>
    <cellStyle name="표준 6 2 3 2 25 2 3 2" xfId="21552"/>
    <cellStyle name="표준 6 2 3 2 25 2 3 2 2" xfId="46904"/>
    <cellStyle name="표준 6 2 3 2 25 2 3 3" xfId="34232"/>
    <cellStyle name="표준 6 2 3 2 25 2 4" xfId="15216"/>
    <cellStyle name="표준 6 2 3 2 25 2 4 2" xfId="40568"/>
    <cellStyle name="표준 6 2 3 2 25 2 5" xfId="27896"/>
    <cellStyle name="표준 6 2 3 2 25 3" xfId="5692"/>
    <cellStyle name="표준 6 2 3 2 25 3 2" xfId="12028"/>
    <cellStyle name="표준 6 2 3 2 25 3 2 2" xfId="24702"/>
    <cellStyle name="표준 6 2 3 2 25 3 2 2 2" xfId="50054"/>
    <cellStyle name="표준 6 2 3 2 25 3 2 3" xfId="37382"/>
    <cellStyle name="표준 6 2 3 2 25 3 3" xfId="18366"/>
    <cellStyle name="표준 6 2 3 2 25 3 3 2" xfId="43718"/>
    <cellStyle name="표준 6 2 3 2 25 3 4" xfId="31046"/>
    <cellStyle name="표준 6 2 3 2 25 4" xfId="8877"/>
    <cellStyle name="표준 6 2 3 2 25 4 2" xfId="21551"/>
    <cellStyle name="표준 6 2 3 2 25 4 2 2" xfId="46903"/>
    <cellStyle name="표준 6 2 3 2 25 4 3" xfId="34231"/>
    <cellStyle name="표준 6 2 3 2 25 5" xfId="15215"/>
    <cellStyle name="표준 6 2 3 2 25 5 2" xfId="40567"/>
    <cellStyle name="표준 6 2 3 2 25 6" xfId="27895"/>
    <cellStyle name="표준 6 2 3 2 26" xfId="2542"/>
    <cellStyle name="표준 6 2 3 2 26 2" xfId="2543"/>
    <cellStyle name="표준 6 2 3 2 26 2 2" xfId="5693"/>
    <cellStyle name="표준 6 2 3 2 26 2 2 2" xfId="12029"/>
    <cellStyle name="표준 6 2 3 2 26 2 2 2 2" xfId="24703"/>
    <cellStyle name="표준 6 2 3 2 26 2 2 2 2 2" xfId="50055"/>
    <cellStyle name="표준 6 2 3 2 26 2 2 2 3" xfId="37383"/>
    <cellStyle name="표준 6 2 3 2 26 2 2 3" xfId="18367"/>
    <cellStyle name="표준 6 2 3 2 26 2 2 3 2" xfId="43719"/>
    <cellStyle name="표준 6 2 3 2 26 2 2 4" xfId="31047"/>
    <cellStyle name="표준 6 2 3 2 26 2 3" xfId="8880"/>
    <cellStyle name="표준 6 2 3 2 26 2 3 2" xfId="21554"/>
    <cellStyle name="표준 6 2 3 2 26 2 3 2 2" xfId="46906"/>
    <cellStyle name="표준 6 2 3 2 26 2 3 3" xfId="34234"/>
    <cellStyle name="표준 6 2 3 2 26 2 4" xfId="15218"/>
    <cellStyle name="표준 6 2 3 2 26 2 4 2" xfId="40570"/>
    <cellStyle name="표준 6 2 3 2 26 2 5" xfId="27898"/>
    <cellStyle name="표준 6 2 3 2 26 3" xfId="5694"/>
    <cellStyle name="표준 6 2 3 2 26 3 2" xfId="12030"/>
    <cellStyle name="표준 6 2 3 2 26 3 2 2" xfId="24704"/>
    <cellStyle name="표준 6 2 3 2 26 3 2 2 2" xfId="50056"/>
    <cellStyle name="표준 6 2 3 2 26 3 2 3" xfId="37384"/>
    <cellStyle name="표준 6 2 3 2 26 3 3" xfId="18368"/>
    <cellStyle name="표준 6 2 3 2 26 3 3 2" xfId="43720"/>
    <cellStyle name="표준 6 2 3 2 26 3 4" xfId="31048"/>
    <cellStyle name="표준 6 2 3 2 26 4" xfId="8879"/>
    <cellStyle name="표준 6 2 3 2 26 4 2" xfId="21553"/>
    <cellStyle name="표준 6 2 3 2 26 4 2 2" xfId="46905"/>
    <cellStyle name="표준 6 2 3 2 26 4 3" xfId="34233"/>
    <cellStyle name="표준 6 2 3 2 26 5" xfId="15217"/>
    <cellStyle name="표준 6 2 3 2 26 5 2" xfId="40569"/>
    <cellStyle name="표준 6 2 3 2 26 6" xfId="27897"/>
    <cellStyle name="표준 6 2 3 2 27" xfId="2544"/>
    <cellStyle name="표준 6 2 3 2 27 2" xfId="2545"/>
    <cellStyle name="표준 6 2 3 2 27 2 2" xfId="5695"/>
    <cellStyle name="표준 6 2 3 2 27 2 2 2" xfId="12031"/>
    <cellStyle name="표준 6 2 3 2 27 2 2 2 2" xfId="24705"/>
    <cellStyle name="표준 6 2 3 2 27 2 2 2 2 2" xfId="50057"/>
    <cellStyle name="표준 6 2 3 2 27 2 2 2 3" xfId="37385"/>
    <cellStyle name="표준 6 2 3 2 27 2 2 3" xfId="18369"/>
    <cellStyle name="표준 6 2 3 2 27 2 2 3 2" xfId="43721"/>
    <cellStyle name="표준 6 2 3 2 27 2 2 4" xfId="31049"/>
    <cellStyle name="표준 6 2 3 2 27 2 3" xfId="8882"/>
    <cellStyle name="표준 6 2 3 2 27 2 3 2" xfId="21556"/>
    <cellStyle name="표준 6 2 3 2 27 2 3 2 2" xfId="46908"/>
    <cellStyle name="표준 6 2 3 2 27 2 3 3" xfId="34236"/>
    <cellStyle name="표준 6 2 3 2 27 2 4" xfId="15220"/>
    <cellStyle name="표준 6 2 3 2 27 2 4 2" xfId="40572"/>
    <cellStyle name="표준 6 2 3 2 27 2 5" xfId="27900"/>
    <cellStyle name="표준 6 2 3 2 27 3" xfId="5696"/>
    <cellStyle name="표준 6 2 3 2 27 3 2" xfId="12032"/>
    <cellStyle name="표준 6 2 3 2 27 3 2 2" xfId="24706"/>
    <cellStyle name="표준 6 2 3 2 27 3 2 2 2" xfId="50058"/>
    <cellStyle name="표준 6 2 3 2 27 3 2 3" xfId="37386"/>
    <cellStyle name="표준 6 2 3 2 27 3 3" xfId="18370"/>
    <cellStyle name="표준 6 2 3 2 27 3 3 2" xfId="43722"/>
    <cellStyle name="표준 6 2 3 2 27 3 4" xfId="31050"/>
    <cellStyle name="표준 6 2 3 2 27 4" xfId="8881"/>
    <cellStyle name="표준 6 2 3 2 27 4 2" xfId="21555"/>
    <cellStyle name="표준 6 2 3 2 27 4 2 2" xfId="46907"/>
    <cellStyle name="표준 6 2 3 2 27 4 3" xfId="34235"/>
    <cellStyle name="표준 6 2 3 2 27 5" xfId="15219"/>
    <cellStyle name="표준 6 2 3 2 27 5 2" xfId="40571"/>
    <cellStyle name="표준 6 2 3 2 27 6" xfId="27899"/>
    <cellStyle name="표준 6 2 3 2 28" xfId="2546"/>
    <cellStyle name="표준 6 2 3 2 28 2" xfId="2547"/>
    <cellStyle name="표준 6 2 3 2 28 2 2" xfId="5697"/>
    <cellStyle name="표준 6 2 3 2 28 2 2 2" xfId="12033"/>
    <cellStyle name="표준 6 2 3 2 28 2 2 2 2" xfId="24707"/>
    <cellStyle name="표준 6 2 3 2 28 2 2 2 2 2" xfId="50059"/>
    <cellStyle name="표준 6 2 3 2 28 2 2 2 3" xfId="37387"/>
    <cellStyle name="표준 6 2 3 2 28 2 2 3" xfId="18371"/>
    <cellStyle name="표준 6 2 3 2 28 2 2 3 2" xfId="43723"/>
    <cellStyle name="표준 6 2 3 2 28 2 2 4" xfId="31051"/>
    <cellStyle name="표준 6 2 3 2 28 2 3" xfId="8884"/>
    <cellStyle name="표준 6 2 3 2 28 2 3 2" xfId="21558"/>
    <cellStyle name="표준 6 2 3 2 28 2 3 2 2" xfId="46910"/>
    <cellStyle name="표준 6 2 3 2 28 2 3 3" xfId="34238"/>
    <cellStyle name="표준 6 2 3 2 28 2 4" xfId="15222"/>
    <cellStyle name="표준 6 2 3 2 28 2 4 2" xfId="40574"/>
    <cellStyle name="표준 6 2 3 2 28 2 5" xfId="27902"/>
    <cellStyle name="표준 6 2 3 2 28 3" xfId="5698"/>
    <cellStyle name="표준 6 2 3 2 28 3 2" xfId="12034"/>
    <cellStyle name="표준 6 2 3 2 28 3 2 2" xfId="24708"/>
    <cellStyle name="표준 6 2 3 2 28 3 2 2 2" xfId="50060"/>
    <cellStyle name="표준 6 2 3 2 28 3 2 3" xfId="37388"/>
    <cellStyle name="표준 6 2 3 2 28 3 3" xfId="18372"/>
    <cellStyle name="표준 6 2 3 2 28 3 3 2" xfId="43724"/>
    <cellStyle name="표준 6 2 3 2 28 3 4" xfId="31052"/>
    <cellStyle name="표준 6 2 3 2 28 4" xfId="8883"/>
    <cellStyle name="표준 6 2 3 2 28 4 2" xfId="21557"/>
    <cellStyle name="표준 6 2 3 2 28 4 2 2" xfId="46909"/>
    <cellStyle name="표준 6 2 3 2 28 4 3" xfId="34237"/>
    <cellStyle name="표준 6 2 3 2 28 5" xfId="15221"/>
    <cellStyle name="표준 6 2 3 2 28 5 2" xfId="40573"/>
    <cellStyle name="표준 6 2 3 2 28 6" xfId="27901"/>
    <cellStyle name="표준 6 2 3 2 29" xfId="2548"/>
    <cellStyle name="표준 6 2 3 2 29 2" xfId="2549"/>
    <cellStyle name="표준 6 2 3 2 29 2 2" xfId="5699"/>
    <cellStyle name="표준 6 2 3 2 29 2 2 2" xfId="12035"/>
    <cellStyle name="표준 6 2 3 2 29 2 2 2 2" xfId="24709"/>
    <cellStyle name="표준 6 2 3 2 29 2 2 2 2 2" xfId="50061"/>
    <cellStyle name="표준 6 2 3 2 29 2 2 2 3" xfId="37389"/>
    <cellStyle name="표준 6 2 3 2 29 2 2 3" xfId="18373"/>
    <cellStyle name="표준 6 2 3 2 29 2 2 3 2" xfId="43725"/>
    <cellStyle name="표준 6 2 3 2 29 2 2 4" xfId="31053"/>
    <cellStyle name="표준 6 2 3 2 29 2 3" xfId="8886"/>
    <cellStyle name="표준 6 2 3 2 29 2 3 2" xfId="21560"/>
    <cellStyle name="표준 6 2 3 2 29 2 3 2 2" xfId="46912"/>
    <cellStyle name="표준 6 2 3 2 29 2 3 3" xfId="34240"/>
    <cellStyle name="표준 6 2 3 2 29 2 4" xfId="15224"/>
    <cellStyle name="표준 6 2 3 2 29 2 4 2" xfId="40576"/>
    <cellStyle name="표준 6 2 3 2 29 2 5" xfId="27904"/>
    <cellStyle name="표준 6 2 3 2 29 3" xfId="5700"/>
    <cellStyle name="표준 6 2 3 2 29 3 2" xfId="12036"/>
    <cellStyle name="표준 6 2 3 2 29 3 2 2" xfId="24710"/>
    <cellStyle name="표준 6 2 3 2 29 3 2 2 2" xfId="50062"/>
    <cellStyle name="표준 6 2 3 2 29 3 2 3" xfId="37390"/>
    <cellStyle name="표준 6 2 3 2 29 3 3" xfId="18374"/>
    <cellStyle name="표준 6 2 3 2 29 3 3 2" xfId="43726"/>
    <cellStyle name="표준 6 2 3 2 29 3 4" xfId="31054"/>
    <cellStyle name="표준 6 2 3 2 29 4" xfId="8885"/>
    <cellStyle name="표준 6 2 3 2 29 4 2" xfId="21559"/>
    <cellStyle name="표준 6 2 3 2 29 4 2 2" xfId="46911"/>
    <cellStyle name="표준 6 2 3 2 29 4 3" xfId="34239"/>
    <cellStyle name="표준 6 2 3 2 29 5" xfId="15223"/>
    <cellStyle name="표준 6 2 3 2 29 5 2" xfId="40575"/>
    <cellStyle name="표준 6 2 3 2 29 6" xfId="27903"/>
    <cellStyle name="표준 6 2 3 2 3" xfId="2550"/>
    <cellStyle name="표준 6 2 3 2 3 2" xfId="2551"/>
    <cellStyle name="표준 6 2 3 2 3 2 2" xfId="5701"/>
    <cellStyle name="표준 6 2 3 2 3 2 2 2" xfId="12037"/>
    <cellStyle name="표준 6 2 3 2 3 2 2 2 2" xfId="24711"/>
    <cellStyle name="표준 6 2 3 2 3 2 2 2 2 2" xfId="50063"/>
    <cellStyle name="표준 6 2 3 2 3 2 2 2 3" xfId="37391"/>
    <cellStyle name="표준 6 2 3 2 3 2 2 3" xfId="18375"/>
    <cellStyle name="표준 6 2 3 2 3 2 2 3 2" xfId="43727"/>
    <cellStyle name="표준 6 2 3 2 3 2 2 4" xfId="31055"/>
    <cellStyle name="표준 6 2 3 2 3 2 3" xfId="8888"/>
    <cellStyle name="표준 6 2 3 2 3 2 3 2" xfId="21562"/>
    <cellStyle name="표준 6 2 3 2 3 2 3 2 2" xfId="46914"/>
    <cellStyle name="표준 6 2 3 2 3 2 3 3" xfId="34242"/>
    <cellStyle name="표준 6 2 3 2 3 2 4" xfId="15226"/>
    <cellStyle name="표준 6 2 3 2 3 2 4 2" xfId="40578"/>
    <cellStyle name="표준 6 2 3 2 3 2 5" xfId="27906"/>
    <cellStyle name="표준 6 2 3 2 3 3" xfId="5702"/>
    <cellStyle name="표준 6 2 3 2 3 3 2" xfId="12038"/>
    <cellStyle name="표준 6 2 3 2 3 3 2 2" xfId="24712"/>
    <cellStyle name="표준 6 2 3 2 3 3 2 2 2" xfId="50064"/>
    <cellStyle name="표준 6 2 3 2 3 3 2 3" xfId="37392"/>
    <cellStyle name="표준 6 2 3 2 3 3 3" xfId="18376"/>
    <cellStyle name="표준 6 2 3 2 3 3 3 2" xfId="43728"/>
    <cellStyle name="표준 6 2 3 2 3 3 4" xfId="31056"/>
    <cellStyle name="표준 6 2 3 2 3 4" xfId="8887"/>
    <cellStyle name="표준 6 2 3 2 3 4 2" xfId="21561"/>
    <cellStyle name="표준 6 2 3 2 3 4 2 2" xfId="46913"/>
    <cellStyle name="표준 6 2 3 2 3 4 3" xfId="34241"/>
    <cellStyle name="표준 6 2 3 2 3 5" xfId="15225"/>
    <cellStyle name="표준 6 2 3 2 3 5 2" xfId="40577"/>
    <cellStyle name="표준 6 2 3 2 3 6" xfId="27905"/>
    <cellStyle name="표준 6 2 3 2 30" xfId="2552"/>
    <cellStyle name="표준 6 2 3 2 30 2" xfId="2553"/>
    <cellStyle name="표준 6 2 3 2 30 2 2" xfId="5703"/>
    <cellStyle name="표준 6 2 3 2 30 2 2 2" xfId="12039"/>
    <cellStyle name="표준 6 2 3 2 30 2 2 2 2" xfId="24713"/>
    <cellStyle name="표준 6 2 3 2 30 2 2 2 2 2" xfId="50065"/>
    <cellStyle name="표준 6 2 3 2 30 2 2 2 3" xfId="37393"/>
    <cellStyle name="표준 6 2 3 2 30 2 2 3" xfId="18377"/>
    <cellStyle name="표준 6 2 3 2 30 2 2 3 2" xfId="43729"/>
    <cellStyle name="표준 6 2 3 2 30 2 2 4" xfId="31057"/>
    <cellStyle name="표준 6 2 3 2 30 2 3" xfId="8890"/>
    <cellStyle name="표준 6 2 3 2 30 2 3 2" xfId="21564"/>
    <cellStyle name="표준 6 2 3 2 30 2 3 2 2" xfId="46916"/>
    <cellStyle name="표준 6 2 3 2 30 2 3 3" xfId="34244"/>
    <cellStyle name="표준 6 2 3 2 30 2 4" xfId="15228"/>
    <cellStyle name="표준 6 2 3 2 30 2 4 2" xfId="40580"/>
    <cellStyle name="표준 6 2 3 2 30 2 5" xfId="27908"/>
    <cellStyle name="표준 6 2 3 2 30 3" xfId="5704"/>
    <cellStyle name="표준 6 2 3 2 30 3 2" xfId="12040"/>
    <cellStyle name="표준 6 2 3 2 30 3 2 2" xfId="24714"/>
    <cellStyle name="표준 6 2 3 2 30 3 2 2 2" xfId="50066"/>
    <cellStyle name="표준 6 2 3 2 30 3 2 3" xfId="37394"/>
    <cellStyle name="표준 6 2 3 2 30 3 3" xfId="18378"/>
    <cellStyle name="표준 6 2 3 2 30 3 3 2" xfId="43730"/>
    <cellStyle name="표준 6 2 3 2 30 3 4" xfId="31058"/>
    <cellStyle name="표준 6 2 3 2 30 4" xfId="8889"/>
    <cellStyle name="표준 6 2 3 2 30 4 2" xfId="21563"/>
    <cellStyle name="표준 6 2 3 2 30 4 2 2" xfId="46915"/>
    <cellStyle name="표준 6 2 3 2 30 4 3" xfId="34243"/>
    <cellStyle name="표준 6 2 3 2 30 5" xfId="15227"/>
    <cellStyle name="표준 6 2 3 2 30 5 2" xfId="40579"/>
    <cellStyle name="표준 6 2 3 2 30 6" xfId="27907"/>
    <cellStyle name="표준 6 2 3 2 31" xfId="2554"/>
    <cellStyle name="표준 6 2 3 2 31 2" xfId="2555"/>
    <cellStyle name="표준 6 2 3 2 31 2 2" xfId="5705"/>
    <cellStyle name="표준 6 2 3 2 31 2 2 2" xfId="12041"/>
    <cellStyle name="표준 6 2 3 2 31 2 2 2 2" xfId="24715"/>
    <cellStyle name="표준 6 2 3 2 31 2 2 2 2 2" xfId="50067"/>
    <cellStyle name="표준 6 2 3 2 31 2 2 2 3" xfId="37395"/>
    <cellStyle name="표준 6 2 3 2 31 2 2 3" xfId="18379"/>
    <cellStyle name="표준 6 2 3 2 31 2 2 3 2" xfId="43731"/>
    <cellStyle name="표준 6 2 3 2 31 2 2 4" xfId="31059"/>
    <cellStyle name="표준 6 2 3 2 31 2 3" xfId="8892"/>
    <cellStyle name="표준 6 2 3 2 31 2 3 2" xfId="21566"/>
    <cellStyle name="표준 6 2 3 2 31 2 3 2 2" xfId="46918"/>
    <cellStyle name="표준 6 2 3 2 31 2 3 3" xfId="34246"/>
    <cellStyle name="표준 6 2 3 2 31 2 4" xfId="15230"/>
    <cellStyle name="표준 6 2 3 2 31 2 4 2" xfId="40582"/>
    <cellStyle name="표준 6 2 3 2 31 2 5" xfId="27910"/>
    <cellStyle name="표준 6 2 3 2 31 3" xfId="5706"/>
    <cellStyle name="표준 6 2 3 2 31 3 2" xfId="12042"/>
    <cellStyle name="표준 6 2 3 2 31 3 2 2" xfId="24716"/>
    <cellStyle name="표준 6 2 3 2 31 3 2 2 2" xfId="50068"/>
    <cellStyle name="표준 6 2 3 2 31 3 2 3" xfId="37396"/>
    <cellStyle name="표준 6 2 3 2 31 3 3" xfId="18380"/>
    <cellStyle name="표준 6 2 3 2 31 3 3 2" xfId="43732"/>
    <cellStyle name="표준 6 2 3 2 31 3 4" xfId="31060"/>
    <cellStyle name="표준 6 2 3 2 31 4" xfId="8891"/>
    <cellStyle name="표준 6 2 3 2 31 4 2" xfId="21565"/>
    <cellStyle name="표준 6 2 3 2 31 4 2 2" xfId="46917"/>
    <cellStyle name="표준 6 2 3 2 31 4 3" xfId="34245"/>
    <cellStyle name="표준 6 2 3 2 31 5" xfId="15229"/>
    <cellStyle name="표준 6 2 3 2 31 5 2" xfId="40581"/>
    <cellStyle name="표준 6 2 3 2 31 6" xfId="27909"/>
    <cellStyle name="표준 6 2 3 2 32" xfId="2556"/>
    <cellStyle name="표준 6 2 3 2 32 2" xfId="2557"/>
    <cellStyle name="표준 6 2 3 2 32 2 2" xfId="5707"/>
    <cellStyle name="표준 6 2 3 2 32 2 2 2" xfId="12043"/>
    <cellStyle name="표준 6 2 3 2 32 2 2 2 2" xfId="24717"/>
    <cellStyle name="표준 6 2 3 2 32 2 2 2 2 2" xfId="50069"/>
    <cellStyle name="표준 6 2 3 2 32 2 2 2 3" xfId="37397"/>
    <cellStyle name="표준 6 2 3 2 32 2 2 3" xfId="18381"/>
    <cellStyle name="표준 6 2 3 2 32 2 2 3 2" xfId="43733"/>
    <cellStyle name="표준 6 2 3 2 32 2 2 4" xfId="31061"/>
    <cellStyle name="표준 6 2 3 2 32 2 3" xfId="8894"/>
    <cellStyle name="표준 6 2 3 2 32 2 3 2" xfId="21568"/>
    <cellStyle name="표준 6 2 3 2 32 2 3 2 2" xfId="46920"/>
    <cellStyle name="표준 6 2 3 2 32 2 3 3" xfId="34248"/>
    <cellStyle name="표준 6 2 3 2 32 2 4" xfId="15232"/>
    <cellStyle name="표준 6 2 3 2 32 2 4 2" xfId="40584"/>
    <cellStyle name="표준 6 2 3 2 32 2 5" xfId="27912"/>
    <cellStyle name="표준 6 2 3 2 32 3" xfId="5708"/>
    <cellStyle name="표준 6 2 3 2 32 3 2" xfId="12044"/>
    <cellStyle name="표준 6 2 3 2 32 3 2 2" xfId="24718"/>
    <cellStyle name="표준 6 2 3 2 32 3 2 2 2" xfId="50070"/>
    <cellStyle name="표준 6 2 3 2 32 3 2 3" xfId="37398"/>
    <cellStyle name="표준 6 2 3 2 32 3 3" xfId="18382"/>
    <cellStyle name="표준 6 2 3 2 32 3 3 2" xfId="43734"/>
    <cellStyle name="표준 6 2 3 2 32 3 4" xfId="31062"/>
    <cellStyle name="표준 6 2 3 2 32 4" xfId="8893"/>
    <cellStyle name="표준 6 2 3 2 32 4 2" xfId="21567"/>
    <cellStyle name="표준 6 2 3 2 32 4 2 2" xfId="46919"/>
    <cellStyle name="표준 6 2 3 2 32 4 3" xfId="34247"/>
    <cellStyle name="표준 6 2 3 2 32 5" xfId="15231"/>
    <cellStyle name="표준 6 2 3 2 32 5 2" xfId="40583"/>
    <cellStyle name="표준 6 2 3 2 32 6" xfId="27911"/>
    <cellStyle name="표준 6 2 3 2 33" xfId="2558"/>
    <cellStyle name="표준 6 2 3 2 33 2" xfId="2559"/>
    <cellStyle name="표준 6 2 3 2 33 2 2" xfId="5709"/>
    <cellStyle name="표준 6 2 3 2 33 2 2 2" xfId="12045"/>
    <cellStyle name="표준 6 2 3 2 33 2 2 2 2" xfId="24719"/>
    <cellStyle name="표준 6 2 3 2 33 2 2 2 2 2" xfId="50071"/>
    <cellStyle name="표준 6 2 3 2 33 2 2 2 3" xfId="37399"/>
    <cellStyle name="표준 6 2 3 2 33 2 2 3" xfId="18383"/>
    <cellStyle name="표준 6 2 3 2 33 2 2 3 2" xfId="43735"/>
    <cellStyle name="표준 6 2 3 2 33 2 2 4" xfId="31063"/>
    <cellStyle name="표준 6 2 3 2 33 2 3" xfId="8896"/>
    <cellStyle name="표준 6 2 3 2 33 2 3 2" xfId="21570"/>
    <cellStyle name="표준 6 2 3 2 33 2 3 2 2" xfId="46922"/>
    <cellStyle name="표준 6 2 3 2 33 2 3 3" xfId="34250"/>
    <cellStyle name="표준 6 2 3 2 33 2 4" xfId="15234"/>
    <cellStyle name="표준 6 2 3 2 33 2 4 2" xfId="40586"/>
    <cellStyle name="표준 6 2 3 2 33 2 5" xfId="27914"/>
    <cellStyle name="표준 6 2 3 2 33 3" xfId="5710"/>
    <cellStyle name="표준 6 2 3 2 33 3 2" xfId="12046"/>
    <cellStyle name="표준 6 2 3 2 33 3 2 2" xfId="24720"/>
    <cellStyle name="표준 6 2 3 2 33 3 2 2 2" xfId="50072"/>
    <cellStyle name="표준 6 2 3 2 33 3 2 3" xfId="37400"/>
    <cellStyle name="표준 6 2 3 2 33 3 3" xfId="18384"/>
    <cellStyle name="표준 6 2 3 2 33 3 3 2" xfId="43736"/>
    <cellStyle name="표준 6 2 3 2 33 3 4" xfId="31064"/>
    <cellStyle name="표준 6 2 3 2 33 4" xfId="8895"/>
    <cellStyle name="표준 6 2 3 2 33 4 2" xfId="21569"/>
    <cellStyle name="표준 6 2 3 2 33 4 2 2" xfId="46921"/>
    <cellStyle name="표준 6 2 3 2 33 4 3" xfId="34249"/>
    <cellStyle name="표준 6 2 3 2 33 5" xfId="15233"/>
    <cellStyle name="표준 6 2 3 2 33 5 2" xfId="40585"/>
    <cellStyle name="표준 6 2 3 2 33 6" xfId="27913"/>
    <cellStyle name="표준 6 2 3 2 34" xfId="2560"/>
    <cellStyle name="표준 6 2 3 2 34 2" xfId="5711"/>
    <cellStyle name="표준 6 2 3 2 34 2 2" xfId="12047"/>
    <cellStyle name="표준 6 2 3 2 34 2 2 2" xfId="24721"/>
    <cellStyle name="표준 6 2 3 2 34 2 2 2 2" xfId="50073"/>
    <cellStyle name="표준 6 2 3 2 34 2 2 3" xfId="37401"/>
    <cellStyle name="표준 6 2 3 2 34 2 3" xfId="18385"/>
    <cellStyle name="표준 6 2 3 2 34 2 3 2" xfId="43737"/>
    <cellStyle name="표준 6 2 3 2 34 2 4" xfId="31065"/>
    <cellStyle name="표준 6 2 3 2 34 3" xfId="8897"/>
    <cellStyle name="표준 6 2 3 2 34 3 2" xfId="21571"/>
    <cellStyle name="표준 6 2 3 2 34 3 2 2" xfId="46923"/>
    <cellStyle name="표준 6 2 3 2 34 3 3" xfId="34251"/>
    <cellStyle name="표준 6 2 3 2 34 4" xfId="15235"/>
    <cellStyle name="표준 6 2 3 2 34 4 2" xfId="40587"/>
    <cellStyle name="표준 6 2 3 2 34 5" xfId="27915"/>
    <cellStyle name="표준 6 2 3 2 35" xfId="5712"/>
    <cellStyle name="표준 6 2 3 2 35 2" xfId="12048"/>
    <cellStyle name="표준 6 2 3 2 35 2 2" xfId="24722"/>
    <cellStyle name="표준 6 2 3 2 35 2 2 2" xfId="50074"/>
    <cellStyle name="표준 6 2 3 2 35 2 3" xfId="37402"/>
    <cellStyle name="표준 6 2 3 2 35 3" xfId="18386"/>
    <cellStyle name="표준 6 2 3 2 35 3 2" xfId="43738"/>
    <cellStyle name="표준 6 2 3 2 35 4" xfId="31066"/>
    <cellStyle name="표준 6 2 3 2 36" xfId="6431"/>
    <cellStyle name="표준 6 2 3 2 36 2" xfId="19105"/>
    <cellStyle name="표준 6 2 3 2 36 2 2" xfId="44457"/>
    <cellStyle name="표준 6 2 3 2 36 3" xfId="31785"/>
    <cellStyle name="표준 6 2 3 2 37" xfId="12769"/>
    <cellStyle name="표준 6 2 3 2 37 2" xfId="38121"/>
    <cellStyle name="표준 6 2 3 2 38" xfId="25449"/>
    <cellStyle name="표준 6 2 3 2 4" xfId="2561"/>
    <cellStyle name="표준 6 2 3 2 4 2" xfId="2562"/>
    <cellStyle name="표준 6 2 3 2 4 2 2" xfId="5713"/>
    <cellStyle name="표준 6 2 3 2 4 2 2 2" xfId="12049"/>
    <cellStyle name="표준 6 2 3 2 4 2 2 2 2" xfId="24723"/>
    <cellStyle name="표준 6 2 3 2 4 2 2 2 2 2" xfId="50075"/>
    <cellStyle name="표준 6 2 3 2 4 2 2 2 3" xfId="37403"/>
    <cellStyle name="표준 6 2 3 2 4 2 2 3" xfId="18387"/>
    <cellStyle name="표준 6 2 3 2 4 2 2 3 2" xfId="43739"/>
    <cellStyle name="표준 6 2 3 2 4 2 2 4" xfId="31067"/>
    <cellStyle name="표준 6 2 3 2 4 2 3" xfId="8899"/>
    <cellStyle name="표준 6 2 3 2 4 2 3 2" xfId="21573"/>
    <cellStyle name="표준 6 2 3 2 4 2 3 2 2" xfId="46925"/>
    <cellStyle name="표준 6 2 3 2 4 2 3 3" xfId="34253"/>
    <cellStyle name="표준 6 2 3 2 4 2 4" xfId="15237"/>
    <cellStyle name="표준 6 2 3 2 4 2 4 2" xfId="40589"/>
    <cellStyle name="표준 6 2 3 2 4 2 5" xfId="27917"/>
    <cellStyle name="표준 6 2 3 2 4 3" xfId="5714"/>
    <cellStyle name="표준 6 2 3 2 4 3 2" xfId="12050"/>
    <cellStyle name="표준 6 2 3 2 4 3 2 2" xfId="24724"/>
    <cellStyle name="표준 6 2 3 2 4 3 2 2 2" xfId="50076"/>
    <cellStyle name="표준 6 2 3 2 4 3 2 3" xfId="37404"/>
    <cellStyle name="표준 6 2 3 2 4 3 3" xfId="18388"/>
    <cellStyle name="표준 6 2 3 2 4 3 3 2" xfId="43740"/>
    <cellStyle name="표준 6 2 3 2 4 3 4" xfId="31068"/>
    <cellStyle name="표준 6 2 3 2 4 4" xfId="8898"/>
    <cellStyle name="표준 6 2 3 2 4 4 2" xfId="21572"/>
    <cellStyle name="표준 6 2 3 2 4 4 2 2" xfId="46924"/>
    <cellStyle name="표준 6 2 3 2 4 4 3" xfId="34252"/>
    <cellStyle name="표준 6 2 3 2 4 5" xfId="15236"/>
    <cellStyle name="표준 6 2 3 2 4 5 2" xfId="40588"/>
    <cellStyle name="표준 6 2 3 2 4 6" xfId="27916"/>
    <cellStyle name="표준 6 2 3 2 5" xfId="2563"/>
    <cellStyle name="표준 6 2 3 2 5 2" xfId="2564"/>
    <cellStyle name="표준 6 2 3 2 5 2 2" xfId="5715"/>
    <cellStyle name="표준 6 2 3 2 5 2 2 2" xfId="12051"/>
    <cellStyle name="표준 6 2 3 2 5 2 2 2 2" xfId="24725"/>
    <cellStyle name="표준 6 2 3 2 5 2 2 2 2 2" xfId="50077"/>
    <cellStyle name="표준 6 2 3 2 5 2 2 2 3" xfId="37405"/>
    <cellStyle name="표준 6 2 3 2 5 2 2 3" xfId="18389"/>
    <cellStyle name="표준 6 2 3 2 5 2 2 3 2" xfId="43741"/>
    <cellStyle name="표준 6 2 3 2 5 2 2 4" xfId="31069"/>
    <cellStyle name="표준 6 2 3 2 5 2 3" xfId="8901"/>
    <cellStyle name="표준 6 2 3 2 5 2 3 2" xfId="21575"/>
    <cellStyle name="표준 6 2 3 2 5 2 3 2 2" xfId="46927"/>
    <cellStyle name="표준 6 2 3 2 5 2 3 3" xfId="34255"/>
    <cellStyle name="표준 6 2 3 2 5 2 4" xfId="15239"/>
    <cellStyle name="표준 6 2 3 2 5 2 4 2" xfId="40591"/>
    <cellStyle name="표준 6 2 3 2 5 2 5" xfId="27919"/>
    <cellStyle name="표준 6 2 3 2 5 3" xfId="5716"/>
    <cellStyle name="표준 6 2 3 2 5 3 2" xfId="12052"/>
    <cellStyle name="표준 6 2 3 2 5 3 2 2" xfId="24726"/>
    <cellStyle name="표준 6 2 3 2 5 3 2 2 2" xfId="50078"/>
    <cellStyle name="표준 6 2 3 2 5 3 2 3" xfId="37406"/>
    <cellStyle name="표준 6 2 3 2 5 3 3" xfId="18390"/>
    <cellStyle name="표준 6 2 3 2 5 3 3 2" xfId="43742"/>
    <cellStyle name="표준 6 2 3 2 5 3 4" xfId="31070"/>
    <cellStyle name="표준 6 2 3 2 5 4" xfId="8900"/>
    <cellStyle name="표준 6 2 3 2 5 4 2" xfId="21574"/>
    <cellStyle name="표준 6 2 3 2 5 4 2 2" xfId="46926"/>
    <cellStyle name="표준 6 2 3 2 5 4 3" xfId="34254"/>
    <cellStyle name="표준 6 2 3 2 5 5" xfId="15238"/>
    <cellStyle name="표준 6 2 3 2 5 5 2" xfId="40590"/>
    <cellStyle name="표준 6 2 3 2 5 6" xfId="27918"/>
    <cellStyle name="표준 6 2 3 2 6" xfId="2565"/>
    <cellStyle name="표준 6 2 3 2 6 2" xfId="2566"/>
    <cellStyle name="표준 6 2 3 2 6 2 2" xfId="5717"/>
    <cellStyle name="표준 6 2 3 2 6 2 2 2" xfId="12053"/>
    <cellStyle name="표준 6 2 3 2 6 2 2 2 2" xfId="24727"/>
    <cellStyle name="표준 6 2 3 2 6 2 2 2 2 2" xfId="50079"/>
    <cellStyle name="표준 6 2 3 2 6 2 2 2 3" xfId="37407"/>
    <cellStyle name="표준 6 2 3 2 6 2 2 3" xfId="18391"/>
    <cellStyle name="표준 6 2 3 2 6 2 2 3 2" xfId="43743"/>
    <cellStyle name="표준 6 2 3 2 6 2 2 4" xfId="31071"/>
    <cellStyle name="표준 6 2 3 2 6 2 3" xfId="8903"/>
    <cellStyle name="표준 6 2 3 2 6 2 3 2" xfId="21577"/>
    <cellStyle name="표준 6 2 3 2 6 2 3 2 2" xfId="46929"/>
    <cellStyle name="표준 6 2 3 2 6 2 3 3" xfId="34257"/>
    <cellStyle name="표준 6 2 3 2 6 2 4" xfId="15241"/>
    <cellStyle name="표준 6 2 3 2 6 2 4 2" xfId="40593"/>
    <cellStyle name="표준 6 2 3 2 6 2 5" xfId="27921"/>
    <cellStyle name="표준 6 2 3 2 6 3" xfId="5718"/>
    <cellStyle name="표준 6 2 3 2 6 3 2" xfId="12054"/>
    <cellStyle name="표준 6 2 3 2 6 3 2 2" xfId="24728"/>
    <cellStyle name="표준 6 2 3 2 6 3 2 2 2" xfId="50080"/>
    <cellStyle name="표준 6 2 3 2 6 3 2 3" xfId="37408"/>
    <cellStyle name="표준 6 2 3 2 6 3 3" xfId="18392"/>
    <cellStyle name="표준 6 2 3 2 6 3 3 2" xfId="43744"/>
    <cellStyle name="표준 6 2 3 2 6 3 4" xfId="31072"/>
    <cellStyle name="표준 6 2 3 2 6 4" xfId="8902"/>
    <cellStyle name="표준 6 2 3 2 6 4 2" xfId="21576"/>
    <cellStyle name="표준 6 2 3 2 6 4 2 2" xfId="46928"/>
    <cellStyle name="표준 6 2 3 2 6 4 3" xfId="34256"/>
    <cellStyle name="표준 6 2 3 2 6 5" xfId="15240"/>
    <cellStyle name="표준 6 2 3 2 6 5 2" xfId="40592"/>
    <cellStyle name="표준 6 2 3 2 6 6" xfId="27920"/>
    <cellStyle name="표준 6 2 3 2 7" xfId="2567"/>
    <cellStyle name="표준 6 2 3 2 7 2" xfId="2568"/>
    <cellStyle name="표준 6 2 3 2 7 2 2" xfId="5719"/>
    <cellStyle name="표준 6 2 3 2 7 2 2 2" xfId="12055"/>
    <cellStyle name="표준 6 2 3 2 7 2 2 2 2" xfId="24729"/>
    <cellStyle name="표준 6 2 3 2 7 2 2 2 2 2" xfId="50081"/>
    <cellStyle name="표준 6 2 3 2 7 2 2 2 3" xfId="37409"/>
    <cellStyle name="표준 6 2 3 2 7 2 2 3" xfId="18393"/>
    <cellStyle name="표준 6 2 3 2 7 2 2 3 2" xfId="43745"/>
    <cellStyle name="표준 6 2 3 2 7 2 2 4" xfId="31073"/>
    <cellStyle name="표준 6 2 3 2 7 2 3" xfId="8905"/>
    <cellStyle name="표준 6 2 3 2 7 2 3 2" xfId="21579"/>
    <cellStyle name="표준 6 2 3 2 7 2 3 2 2" xfId="46931"/>
    <cellStyle name="표준 6 2 3 2 7 2 3 3" xfId="34259"/>
    <cellStyle name="표준 6 2 3 2 7 2 4" xfId="15243"/>
    <cellStyle name="표준 6 2 3 2 7 2 4 2" xfId="40595"/>
    <cellStyle name="표준 6 2 3 2 7 2 5" xfId="27923"/>
    <cellStyle name="표준 6 2 3 2 7 3" xfId="5720"/>
    <cellStyle name="표준 6 2 3 2 7 3 2" xfId="12056"/>
    <cellStyle name="표준 6 2 3 2 7 3 2 2" xfId="24730"/>
    <cellStyle name="표준 6 2 3 2 7 3 2 2 2" xfId="50082"/>
    <cellStyle name="표준 6 2 3 2 7 3 2 3" xfId="37410"/>
    <cellStyle name="표준 6 2 3 2 7 3 3" xfId="18394"/>
    <cellStyle name="표준 6 2 3 2 7 3 3 2" xfId="43746"/>
    <cellStyle name="표준 6 2 3 2 7 3 4" xfId="31074"/>
    <cellStyle name="표준 6 2 3 2 7 4" xfId="8904"/>
    <cellStyle name="표준 6 2 3 2 7 4 2" xfId="21578"/>
    <cellStyle name="표준 6 2 3 2 7 4 2 2" xfId="46930"/>
    <cellStyle name="표준 6 2 3 2 7 4 3" xfId="34258"/>
    <cellStyle name="표준 6 2 3 2 7 5" xfId="15242"/>
    <cellStyle name="표준 6 2 3 2 7 5 2" xfId="40594"/>
    <cellStyle name="표준 6 2 3 2 7 6" xfId="27922"/>
    <cellStyle name="표준 6 2 3 2 8" xfId="2569"/>
    <cellStyle name="표준 6 2 3 2 8 2" xfId="2570"/>
    <cellStyle name="표준 6 2 3 2 8 2 2" xfId="5721"/>
    <cellStyle name="표준 6 2 3 2 8 2 2 2" xfId="12057"/>
    <cellStyle name="표준 6 2 3 2 8 2 2 2 2" xfId="24731"/>
    <cellStyle name="표준 6 2 3 2 8 2 2 2 2 2" xfId="50083"/>
    <cellStyle name="표준 6 2 3 2 8 2 2 2 3" xfId="37411"/>
    <cellStyle name="표준 6 2 3 2 8 2 2 3" xfId="18395"/>
    <cellStyle name="표준 6 2 3 2 8 2 2 3 2" xfId="43747"/>
    <cellStyle name="표준 6 2 3 2 8 2 2 4" xfId="31075"/>
    <cellStyle name="표준 6 2 3 2 8 2 3" xfId="8907"/>
    <cellStyle name="표준 6 2 3 2 8 2 3 2" xfId="21581"/>
    <cellStyle name="표준 6 2 3 2 8 2 3 2 2" xfId="46933"/>
    <cellStyle name="표준 6 2 3 2 8 2 3 3" xfId="34261"/>
    <cellStyle name="표준 6 2 3 2 8 2 4" xfId="15245"/>
    <cellStyle name="표준 6 2 3 2 8 2 4 2" xfId="40597"/>
    <cellStyle name="표준 6 2 3 2 8 2 5" xfId="27925"/>
    <cellStyle name="표준 6 2 3 2 8 3" xfId="5722"/>
    <cellStyle name="표준 6 2 3 2 8 3 2" xfId="12058"/>
    <cellStyle name="표준 6 2 3 2 8 3 2 2" xfId="24732"/>
    <cellStyle name="표준 6 2 3 2 8 3 2 2 2" xfId="50084"/>
    <cellStyle name="표준 6 2 3 2 8 3 2 3" xfId="37412"/>
    <cellStyle name="표준 6 2 3 2 8 3 3" xfId="18396"/>
    <cellStyle name="표준 6 2 3 2 8 3 3 2" xfId="43748"/>
    <cellStyle name="표준 6 2 3 2 8 3 4" xfId="31076"/>
    <cellStyle name="표준 6 2 3 2 8 4" xfId="8906"/>
    <cellStyle name="표준 6 2 3 2 8 4 2" xfId="21580"/>
    <cellStyle name="표준 6 2 3 2 8 4 2 2" xfId="46932"/>
    <cellStyle name="표준 6 2 3 2 8 4 3" xfId="34260"/>
    <cellStyle name="표준 6 2 3 2 8 5" xfId="15244"/>
    <cellStyle name="표준 6 2 3 2 8 5 2" xfId="40596"/>
    <cellStyle name="표준 6 2 3 2 8 6" xfId="27924"/>
    <cellStyle name="표준 6 2 3 2 9" xfId="2571"/>
    <cellStyle name="표준 6 2 3 2 9 2" xfId="2572"/>
    <cellStyle name="표준 6 2 3 2 9 2 2" xfId="5723"/>
    <cellStyle name="표준 6 2 3 2 9 2 2 2" xfId="12059"/>
    <cellStyle name="표준 6 2 3 2 9 2 2 2 2" xfId="24733"/>
    <cellStyle name="표준 6 2 3 2 9 2 2 2 2 2" xfId="50085"/>
    <cellStyle name="표준 6 2 3 2 9 2 2 2 3" xfId="37413"/>
    <cellStyle name="표준 6 2 3 2 9 2 2 3" xfId="18397"/>
    <cellStyle name="표준 6 2 3 2 9 2 2 3 2" xfId="43749"/>
    <cellStyle name="표준 6 2 3 2 9 2 2 4" xfId="31077"/>
    <cellStyle name="표준 6 2 3 2 9 2 3" xfId="8909"/>
    <cellStyle name="표준 6 2 3 2 9 2 3 2" xfId="21583"/>
    <cellStyle name="표준 6 2 3 2 9 2 3 2 2" xfId="46935"/>
    <cellStyle name="표준 6 2 3 2 9 2 3 3" xfId="34263"/>
    <cellStyle name="표준 6 2 3 2 9 2 4" xfId="15247"/>
    <cellStyle name="표준 6 2 3 2 9 2 4 2" xfId="40599"/>
    <cellStyle name="표준 6 2 3 2 9 2 5" xfId="27927"/>
    <cellStyle name="표준 6 2 3 2 9 3" xfId="5724"/>
    <cellStyle name="표준 6 2 3 2 9 3 2" xfId="12060"/>
    <cellStyle name="표준 6 2 3 2 9 3 2 2" xfId="24734"/>
    <cellStyle name="표준 6 2 3 2 9 3 2 2 2" xfId="50086"/>
    <cellStyle name="표준 6 2 3 2 9 3 2 3" xfId="37414"/>
    <cellStyle name="표준 6 2 3 2 9 3 3" xfId="18398"/>
    <cellStyle name="표준 6 2 3 2 9 3 3 2" xfId="43750"/>
    <cellStyle name="표준 6 2 3 2 9 3 4" xfId="31078"/>
    <cellStyle name="표준 6 2 3 2 9 4" xfId="8908"/>
    <cellStyle name="표준 6 2 3 2 9 4 2" xfId="21582"/>
    <cellStyle name="표준 6 2 3 2 9 4 2 2" xfId="46934"/>
    <cellStyle name="표준 6 2 3 2 9 4 3" xfId="34262"/>
    <cellStyle name="표준 6 2 3 2 9 5" xfId="15246"/>
    <cellStyle name="표준 6 2 3 2 9 5 2" xfId="40598"/>
    <cellStyle name="표준 6 2 3 2 9 6" xfId="27926"/>
    <cellStyle name="표준 6 2 3 20" xfId="2573"/>
    <cellStyle name="표준 6 2 3 20 2" xfId="2574"/>
    <cellStyle name="표준 6 2 3 20 2 2" xfId="5725"/>
    <cellStyle name="표준 6 2 3 20 2 2 2" xfId="12061"/>
    <cellStyle name="표준 6 2 3 20 2 2 2 2" xfId="24735"/>
    <cellStyle name="표준 6 2 3 20 2 2 2 2 2" xfId="50087"/>
    <cellStyle name="표준 6 2 3 20 2 2 2 3" xfId="37415"/>
    <cellStyle name="표준 6 2 3 20 2 2 3" xfId="18399"/>
    <cellStyle name="표준 6 2 3 20 2 2 3 2" xfId="43751"/>
    <cellStyle name="표준 6 2 3 20 2 2 4" xfId="31079"/>
    <cellStyle name="표준 6 2 3 20 2 3" xfId="8911"/>
    <cellStyle name="표준 6 2 3 20 2 3 2" xfId="21585"/>
    <cellStyle name="표준 6 2 3 20 2 3 2 2" xfId="46937"/>
    <cellStyle name="표준 6 2 3 20 2 3 3" xfId="34265"/>
    <cellStyle name="표준 6 2 3 20 2 4" xfId="15249"/>
    <cellStyle name="표준 6 2 3 20 2 4 2" xfId="40601"/>
    <cellStyle name="표준 6 2 3 20 2 5" xfId="27929"/>
    <cellStyle name="표준 6 2 3 20 3" xfId="5726"/>
    <cellStyle name="표준 6 2 3 20 3 2" xfId="12062"/>
    <cellStyle name="표준 6 2 3 20 3 2 2" xfId="24736"/>
    <cellStyle name="표준 6 2 3 20 3 2 2 2" xfId="50088"/>
    <cellStyle name="표준 6 2 3 20 3 2 3" xfId="37416"/>
    <cellStyle name="표준 6 2 3 20 3 3" xfId="18400"/>
    <cellStyle name="표준 6 2 3 20 3 3 2" xfId="43752"/>
    <cellStyle name="표준 6 2 3 20 3 4" xfId="31080"/>
    <cellStyle name="표준 6 2 3 20 4" xfId="8910"/>
    <cellStyle name="표준 6 2 3 20 4 2" xfId="21584"/>
    <cellStyle name="표준 6 2 3 20 4 2 2" xfId="46936"/>
    <cellStyle name="표준 6 2 3 20 4 3" xfId="34264"/>
    <cellStyle name="표준 6 2 3 20 5" xfId="15248"/>
    <cellStyle name="표준 6 2 3 20 5 2" xfId="40600"/>
    <cellStyle name="표준 6 2 3 20 6" xfId="27928"/>
    <cellStyle name="표준 6 2 3 21" xfId="2575"/>
    <cellStyle name="표준 6 2 3 21 2" xfId="2576"/>
    <cellStyle name="표준 6 2 3 21 2 2" xfId="5727"/>
    <cellStyle name="표준 6 2 3 21 2 2 2" xfId="12063"/>
    <cellStyle name="표준 6 2 3 21 2 2 2 2" xfId="24737"/>
    <cellStyle name="표준 6 2 3 21 2 2 2 2 2" xfId="50089"/>
    <cellStyle name="표준 6 2 3 21 2 2 2 3" xfId="37417"/>
    <cellStyle name="표준 6 2 3 21 2 2 3" xfId="18401"/>
    <cellStyle name="표준 6 2 3 21 2 2 3 2" xfId="43753"/>
    <cellStyle name="표준 6 2 3 21 2 2 4" xfId="31081"/>
    <cellStyle name="표준 6 2 3 21 2 3" xfId="8913"/>
    <cellStyle name="표준 6 2 3 21 2 3 2" xfId="21587"/>
    <cellStyle name="표준 6 2 3 21 2 3 2 2" xfId="46939"/>
    <cellStyle name="표준 6 2 3 21 2 3 3" xfId="34267"/>
    <cellStyle name="표준 6 2 3 21 2 4" xfId="15251"/>
    <cellStyle name="표준 6 2 3 21 2 4 2" xfId="40603"/>
    <cellStyle name="표준 6 2 3 21 2 5" xfId="27931"/>
    <cellStyle name="표준 6 2 3 21 3" xfId="5728"/>
    <cellStyle name="표준 6 2 3 21 3 2" xfId="12064"/>
    <cellStyle name="표준 6 2 3 21 3 2 2" xfId="24738"/>
    <cellStyle name="표준 6 2 3 21 3 2 2 2" xfId="50090"/>
    <cellStyle name="표준 6 2 3 21 3 2 3" xfId="37418"/>
    <cellStyle name="표준 6 2 3 21 3 3" xfId="18402"/>
    <cellStyle name="표준 6 2 3 21 3 3 2" xfId="43754"/>
    <cellStyle name="표준 6 2 3 21 3 4" xfId="31082"/>
    <cellStyle name="표준 6 2 3 21 4" xfId="8912"/>
    <cellStyle name="표준 6 2 3 21 4 2" xfId="21586"/>
    <cellStyle name="표준 6 2 3 21 4 2 2" xfId="46938"/>
    <cellStyle name="표준 6 2 3 21 4 3" xfId="34266"/>
    <cellStyle name="표준 6 2 3 21 5" xfId="15250"/>
    <cellStyle name="표준 6 2 3 21 5 2" xfId="40602"/>
    <cellStyle name="표준 6 2 3 21 6" xfId="27930"/>
    <cellStyle name="표준 6 2 3 22" xfId="2577"/>
    <cellStyle name="표준 6 2 3 22 2" xfId="2578"/>
    <cellStyle name="표준 6 2 3 22 2 2" xfId="5729"/>
    <cellStyle name="표준 6 2 3 22 2 2 2" xfId="12065"/>
    <cellStyle name="표준 6 2 3 22 2 2 2 2" xfId="24739"/>
    <cellStyle name="표준 6 2 3 22 2 2 2 2 2" xfId="50091"/>
    <cellStyle name="표준 6 2 3 22 2 2 2 3" xfId="37419"/>
    <cellStyle name="표준 6 2 3 22 2 2 3" xfId="18403"/>
    <cellStyle name="표준 6 2 3 22 2 2 3 2" xfId="43755"/>
    <cellStyle name="표준 6 2 3 22 2 2 4" xfId="31083"/>
    <cellStyle name="표준 6 2 3 22 2 3" xfId="8915"/>
    <cellStyle name="표준 6 2 3 22 2 3 2" xfId="21589"/>
    <cellStyle name="표준 6 2 3 22 2 3 2 2" xfId="46941"/>
    <cellStyle name="표준 6 2 3 22 2 3 3" xfId="34269"/>
    <cellStyle name="표준 6 2 3 22 2 4" xfId="15253"/>
    <cellStyle name="표준 6 2 3 22 2 4 2" xfId="40605"/>
    <cellStyle name="표준 6 2 3 22 2 5" xfId="27933"/>
    <cellStyle name="표준 6 2 3 22 3" xfId="5730"/>
    <cellStyle name="표준 6 2 3 22 3 2" xfId="12066"/>
    <cellStyle name="표준 6 2 3 22 3 2 2" xfId="24740"/>
    <cellStyle name="표준 6 2 3 22 3 2 2 2" xfId="50092"/>
    <cellStyle name="표준 6 2 3 22 3 2 3" xfId="37420"/>
    <cellStyle name="표준 6 2 3 22 3 3" xfId="18404"/>
    <cellStyle name="표준 6 2 3 22 3 3 2" xfId="43756"/>
    <cellStyle name="표준 6 2 3 22 3 4" xfId="31084"/>
    <cellStyle name="표준 6 2 3 22 4" xfId="8914"/>
    <cellStyle name="표준 6 2 3 22 4 2" xfId="21588"/>
    <cellStyle name="표준 6 2 3 22 4 2 2" xfId="46940"/>
    <cellStyle name="표준 6 2 3 22 4 3" xfId="34268"/>
    <cellStyle name="표준 6 2 3 22 5" xfId="15252"/>
    <cellStyle name="표준 6 2 3 22 5 2" xfId="40604"/>
    <cellStyle name="표준 6 2 3 22 6" xfId="27932"/>
    <cellStyle name="표준 6 2 3 23" xfId="2579"/>
    <cellStyle name="표준 6 2 3 23 2" xfId="2580"/>
    <cellStyle name="표준 6 2 3 23 2 2" xfId="5731"/>
    <cellStyle name="표준 6 2 3 23 2 2 2" xfId="12067"/>
    <cellStyle name="표준 6 2 3 23 2 2 2 2" xfId="24741"/>
    <cellStyle name="표준 6 2 3 23 2 2 2 2 2" xfId="50093"/>
    <cellStyle name="표준 6 2 3 23 2 2 2 3" xfId="37421"/>
    <cellStyle name="표준 6 2 3 23 2 2 3" xfId="18405"/>
    <cellStyle name="표준 6 2 3 23 2 2 3 2" xfId="43757"/>
    <cellStyle name="표준 6 2 3 23 2 2 4" xfId="31085"/>
    <cellStyle name="표준 6 2 3 23 2 3" xfId="8917"/>
    <cellStyle name="표준 6 2 3 23 2 3 2" xfId="21591"/>
    <cellStyle name="표준 6 2 3 23 2 3 2 2" xfId="46943"/>
    <cellStyle name="표준 6 2 3 23 2 3 3" xfId="34271"/>
    <cellStyle name="표준 6 2 3 23 2 4" xfId="15255"/>
    <cellStyle name="표준 6 2 3 23 2 4 2" xfId="40607"/>
    <cellStyle name="표준 6 2 3 23 2 5" xfId="27935"/>
    <cellStyle name="표준 6 2 3 23 3" xfId="5732"/>
    <cellStyle name="표준 6 2 3 23 3 2" xfId="12068"/>
    <cellStyle name="표준 6 2 3 23 3 2 2" xfId="24742"/>
    <cellStyle name="표준 6 2 3 23 3 2 2 2" xfId="50094"/>
    <cellStyle name="표준 6 2 3 23 3 2 3" xfId="37422"/>
    <cellStyle name="표준 6 2 3 23 3 3" xfId="18406"/>
    <cellStyle name="표준 6 2 3 23 3 3 2" xfId="43758"/>
    <cellStyle name="표준 6 2 3 23 3 4" xfId="31086"/>
    <cellStyle name="표준 6 2 3 23 4" xfId="8916"/>
    <cellStyle name="표준 6 2 3 23 4 2" xfId="21590"/>
    <cellStyle name="표준 6 2 3 23 4 2 2" xfId="46942"/>
    <cellStyle name="표준 6 2 3 23 4 3" xfId="34270"/>
    <cellStyle name="표준 6 2 3 23 5" xfId="15254"/>
    <cellStyle name="표준 6 2 3 23 5 2" xfId="40606"/>
    <cellStyle name="표준 6 2 3 23 6" xfId="27934"/>
    <cellStyle name="표준 6 2 3 24" xfId="2581"/>
    <cellStyle name="표준 6 2 3 24 2" xfId="2582"/>
    <cellStyle name="표준 6 2 3 24 2 2" xfId="5733"/>
    <cellStyle name="표준 6 2 3 24 2 2 2" xfId="12069"/>
    <cellStyle name="표준 6 2 3 24 2 2 2 2" xfId="24743"/>
    <cellStyle name="표준 6 2 3 24 2 2 2 2 2" xfId="50095"/>
    <cellStyle name="표준 6 2 3 24 2 2 2 3" xfId="37423"/>
    <cellStyle name="표준 6 2 3 24 2 2 3" xfId="18407"/>
    <cellStyle name="표준 6 2 3 24 2 2 3 2" xfId="43759"/>
    <cellStyle name="표준 6 2 3 24 2 2 4" xfId="31087"/>
    <cellStyle name="표준 6 2 3 24 2 3" xfId="8919"/>
    <cellStyle name="표준 6 2 3 24 2 3 2" xfId="21593"/>
    <cellStyle name="표준 6 2 3 24 2 3 2 2" xfId="46945"/>
    <cellStyle name="표준 6 2 3 24 2 3 3" xfId="34273"/>
    <cellStyle name="표준 6 2 3 24 2 4" xfId="15257"/>
    <cellStyle name="표준 6 2 3 24 2 4 2" xfId="40609"/>
    <cellStyle name="표준 6 2 3 24 2 5" xfId="27937"/>
    <cellStyle name="표준 6 2 3 24 3" xfId="5734"/>
    <cellStyle name="표준 6 2 3 24 3 2" xfId="12070"/>
    <cellStyle name="표준 6 2 3 24 3 2 2" xfId="24744"/>
    <cellStyle name="표준 6 2 3 24 3 2 2 2" xfId="50096"/>
    <cellStyle name="표준 6 2 3 24 3 2 3" xfId="37424"/>
    <cellStyle name="표준 6 2 3 24 3 3" xfId="18408"/>
    <cellStyle name="표준 6 2 3 24 3 3 2" xfId="43760"/>
    <cellStyle name="표준 6 2 3 24 3 4" xfId="31088"/>
    <cellStyle name="표준 6 2 3 24 4" xfId="8918"/>
    <cellStyle name="표준 6 2 3 24 4 2" xfId="21592"/>
    <cellStyle name="표준 6 2 3 24 4 2 2" xfId="46944"/>
    <cellStyle name="표준 6 2 3 24 4 3" xfId="34272"/>
    <cellStyle name="표준 6 2 3 24 5" xfId="15256"/>
    <cellStyle name="표준 6 2 3 24 5 2" xfId="40608"/>
    <cellStyle name="표준 6 2 3 24 6" xfId="27936"/>
    <cellStyle name="표준 6 2 3 25" xfId="2583"/>
    <cellStyle name="표준 6 2 3 25 2" xfId="2584"/>
    <cellStyle name="표준 6 2 3 25 2 2" xfId="5735"/>
    <cellStyle name="표준 6 2 3 25 2 2 2" xfId="12071"/>
    <cellStyle name="표준 6 2 3 25 2 2 2 2" xfId="24745"/>
    <cellStyle name="표준 6 2 3 25 2 2 2 2 2" xfId="50097"/>
    <cellStyle name="표준 6 2 3 25 2 2 2 3" xfId="37425"/>
    <cellStyle name="표준 6 2 3 25 2 2 3" xfId="18409"/>
    <cellStyle name="표준 6 2 3 25 2 2 3 2" xfId="43761"/>
    <cellStyle name="표준 6 2 3 25 2 2 4" xfId="31089"/>
    <cellStyle name="표준 6 2 3 25 2 3" xfId="8921"/>
    <cellStyle name="표준 6 2 3 25 2 3 2" xfId="21595"/>
    <cellStyle name="표준 6 2 3 25 2 3 2 2" xfId="46947"/>
    <cellStyle name="표준 6 2 3 25 2 3 3" xfId="34275"/>
    <cellStyle name="표준 6 2 3 25 2 4" xfId="15259"/>
    <cellStyle name="표준 6 2 3 25 2 4 2" xfId="40611"/>
    <cellStyle name="표준 6 2 3 25 2 5" xfId="27939"/>
    <cellStyle name="표준 6 2 3 25 3" xfId="5736"/>
    <cellStyle name="표준 6 2 3 25 3 2" xfId="12072"/>
    <cellStyle name="표준 6 2 3 25 3 2 2" xfId="24746"/>
    <cellStyle name="표준 6 2 3 25 3 2 2 2" xfId="50098"/>
    <cellStyle name="표준 6 2 3 25 3 2 3" xfId="37426"/>
    <cellStyle name="표준 6 2 3 25 3 3" xfId="18410"/>
    <cellStyle name="표준 6 2 3 25 3 3 2" xfId="43762"/>
    <cellStyle name="표준 6 2 3 25 3 4" xfId="31090"/>
    <cellStyle name="표준 6 2 3 25 4" xfId="8920"/>
    <cellStyle name="표준 6 2 3 25 4 2" xfId="21594"/>
    <cellStyle name="표준 6 2 3 25 4 2 2" xfId="46946"/>
    <cellStyle name="표준 6 2 3 25 4 3" xfId="34274"/>
    <cellStyle name="표준 6 2 3 25 5" xfId="15258"/>
    <cellStyle name="표준 6 2 3 25 5 2" xfId="40610"/>
    <cellStyle name="표준 6 2 3 25 6" xfId="27938"/>
    <cellStyle name="표준 6 2 3 26" xfId="2585"/>
    <cellStyle name="표준 6 2 3 26 2" xfId="2586"/>
    <cellStyle name="표준 6 2 3 26 2 2" xfId="5737"/>
    <cellStyle name="표준 6 2 3 26 2 2 2" xfId="12073"/>
    <cellStyle name="표준 6 2 3 26 2 2 2 2" xfId="24747"/>
    <cellStyle name="표준 6 2 3 26 2 2 2 2 2" xfId="50099"/>
    <cellStyle name="표준 6 2 3 26 2 2 2 3" xfId="37427"/>
    <cellStyle name="표준 6 2 3 26 2 2 3" xfId="18411"/>
    <cellStyle name="표준 6 2 3 26 2 2 3 2" xfId="43763"/>
    <cellStyle name="표준 6 2 3 26 2 2 4" xfId="31091"/>
    <cellStyle name="표준 6 2 3 26 2 3" xfId="8923"/>
    <cellStyle name="표준 6 2 3 26 2 3 2" xfId="21597"/>
    <cellStyle name="표준 6 2 3 26 2 3 2 2" xfId="46949"/>
    <cellStyle name="표준 6 2 3 26 2 3 3" xfId="34277"/>
    <cellStyle name="표준 6 2 3 26 2 4" xfId="15261"/>
    <cellStyle name="표준 6 2 3 26 2 4 2" xfId="40613"/>
    <cellStyle name="표준 6 2 3 26 2 5" xfId="27941"/>
    <cellStyle name="표준 6 2 3 26 3" xfId="5738"/>
    <cellStyle name="표준 6 2 3 26 3 2" xfId="12074"/>
    <cellStyle name="표준 6 2 3 26 3 2 2" xfId="24748"/>
    <cellStyle name="표준 6 2 3 26 3 2 2 2" xfId="50100"/>
    <cellStyle name="표준 6 2 3 26 3 2 3" xfId="37428"/>
    <cellStyle name="표준 6 2 3 26 3 3" xfId="18412"/>
    <cellStyle name="표준 6 2 3 26 3 3 2" xfId="43764"/>
    <cellStyle name="표준 6 2 3 26 3 4" xfId="31092"/>
    <cellStyle name="표준 6 2 3 26 4" xfId="8922"/>
    <cellStyle name="표준 6 2 3 26 4 2" xfId="21596"/>
    <cellStyle name="표준 6 2 3 26 4 2 2" xfId="46948"/>
    <cellStyle name="표준 6 2 3 26 4 3" xfId="34276"/>
    <cellStyle name="표준 6 2 3 26 5" xfId="15260"/>
    <cellStyle name="표준 6 2 3 26 5 2" xfId="40612"/>
    <cellStyle name="표준 6 2 3 26 6" xfId="27940"/>
    <cellStyle name="표준 6 2 3 27" xfId="2587"/>
    <cellStyle name="표준 6 2 3 27 2" xfId="2588"/>
    <cellStyle name="표준 6 2 3 27 2 2" xfId="5739"/>
    <cellStyle name="표준 6 2 3 27 2 2 2" xfId="12075"/>
    <cellStyle name="표준 6 2 3 27 2 2 2 2" xfId="24749"/>
    <cellStyle name="표준 6 2 3 27 2 2 2 2 2" xfId="50101"/>
    <cellStyle name="표준 6 2 3 27 2 2 2 3" xfId="37429"/>
    <cellStyle name="표준 6 2 3 27 2 2 3" xfId="18413"/>
    <cellStyle name="표준 6 2 3 27 2 2 3 2" xfId="43765"/>
    <cellStyle name="표준 6 2 3 27 2 2 4" xfId="31093"/>
    <cellStyle name="표준 6 2 3 27 2 3" xfId="8925"/>
    <cellStyle name="표준 6 2 3 27 2 3 2" xfId="21599"/>
    <cellStyle name="표준 6 2 3 27 2 3 2 2" xfId="46951"/>
    <cellStyle name="표준 6 2 3 27 2 3 3" xfId="34279"/>
    <cellStyle name="표준 6 2 3 27 2 4" xfId="15263"/>
    <cellStyle name="표준 6 2 3 27 2 4 2" xfId="40615"/>
    <cellStyle name="표준 6 2 3 27 2 5" xfId="27943"/>
    <cellStyle name="표준 6 2 3 27 3" xfId="5740"/>
    <cellStyle name="표준 6 2 3 27 3 2" xfId="12076"/>
    <cellStyle name="표준 6 2 3 27 3 2 2" xfId="24750"/>
    <cellStyle name="표준 6 2 3 27 3 2 2 2" xfId="50102"/>
    <cellStyle name="표준 6 2 3 27 3 2 3" xfId="37430"/>
    <cellStyle name="표준 6 2 3 27 3 3" xfId="18414"/>
    <cellStyle name="표준 6 2 3 27 3 3 2" xfId="43766"/>
    <cellStyle name="표준 6 2 3 27 3 4" xfId="31094"/>
    <cellStyle name="표준 6 2 3 27 4" xfId="8924"/>
    <cellStyle name="표준 6 2 3 27 4 2" xfId="21598"/>
    <cellStyle name="표준 6 2 3 27 4 2 2" xfId="46950"/>
    <cellStyle name="표준 6 2 3 27 4 3" xfId="34278"/>
    <cellStyle name="표준 6 2 3 27 5" xfId="15262"/>
    <cellStyle name="표준 6 2 3 27 5 2" xfId="40614"/>
    <cellStyle name="표준 6 2 3 27 6" xfId="27942"/>
    <cellStyle name="표준 6 2 3 28" xfId="2589"/>
    <cellStyle name="표준 6 2 3 28 2" xfId="2590"/>
    <cellStyle name="표준 6 2 3 28 2 2" xfId="5741"/>
    <cellStyle name="표준 6 2 3 28 2 2 2" xfId="12077"/>
    <cellStyle name="표준 6 2 3 28 2 2 2 2" xfId="24751"/>
    <cellStyle name="표준 6 2 3 28 2 2 2 2 2" xfId="50103"/>
    <cellStyle name="표준 6 2 3 28 2 2 2 3" xfId="37431"/>
    <cellStyle name="표준 6 2 3 28 2 2 3" xfId="18415"/>
    <cellStyle name="표준 6 2 3 28 2 2 3 2" xfId="43767"/>
    <cellStyle name="표준 6 2 3 28 2 2 4" xfId="31095"/>
    <cellStyle name="표준 6 2 3 28 2 3" xfId="8927"/>
    <cellStyle name="표준 6 2 3 28 2 3 2" xfId="21601"/>
    <cellStyle name="표준 6 2 3 28 2 3 2 2" xfId="46953"/>
    <cellStyle name="표준 6 2 3 28 2 3 3" xfId="34281"/>
    <cellStyle name="표준 6 2 3 28 2 4" xfId="15265"/>
    <cellStyle name="표준 6 2 3 28 2 4 2" xfId="40617"/>
    <cellStyle name="표준 6 2 3 28 2 5" xfId="27945"/>
    <cellStyle name="표준 6 2 3 28 3" xfId="5742"/>
    <cellStyle name="표준 6 2 3 28 3 2" xfId="12078"/>
    <cellStyle name="표준 6 2 3 28 3 2 2" xfId="24752"/>
    <cellStyle name="표준 6 2 3 28 3 2 2 2" xfId="50104"/>
    <cellStyle name="표준 6 2 3 28 3 2 3" xfId="37432"/>
    <cellStyle name="표준 6 2 3 28 3 3" xfId="18416"/>
    <cellStyle name="표준 6 2 3 28 3 3 2" xfId="43768"/>
    <cellStyle name="표준 6 2 3 28 3 4" xfId="31096"/>
    <cellStyle name="표준 6 2 3 28 4" xfId="8926"/>
    <cellStyle name="표준 6 2 3 28 4 2" xfId="21600"/>
    <cellStyle name="표준 6 2 3 28 4 2 2" xfId="46952"/>
    <cellStyle name="표준 6 2 3 28 4 3" xfId="34280"/>
    <cellStyle name="표준 6 2 3 28 5" xfId="15264"/>
    <cellStyle name="표준 6 2 3 28 5 2" xfId="40616"/>
    <cellStyle name="표준 6 2 3 28 6" xfId="27944"/>
    <cellStyle name="표준 6 2 3 29" xfId="2591"/>
    <cellStyle name="표준 6 2 3 29 2" xfId="2592"/>
    <cellStyle name="표준 6 2 3 29 2 2" xfId="5743"/>
    <cellStyle name="표준 6 2 3 29 2 2 2" xfId="12079"/>
    <cellStyle name="표준 6 2 3 29 2 2 2 2" xfId="24753"/>
    <cellStyle name="표준 6 2 3 29 2 2 2 2 2" xfId="50105"/>
    <cellStyle name="표준 6 2 3 29 2 2 2 3" xfId="37433"/>
    <cellStyle name="표준 6 2 3 29 2 2 3" xfId="18417"/>
    <cellStyle name="표준 6 2 3 29 2 2 3 2" xfId="43769"/>
    <cellStyle name="표준 6 2 3 29 2 2 4" xfId="31097"/>
    <cellStyle name="표준 6 2 3 29 2 3" xfId="8929"/>
    <cellStyle name="표준 6 2 3 29 2 3 2" xfId="21603"/>
    <cellStyle name="표준 6 2 3 29 2 3 2 2" xfId="46955"/>
    <cellStyle name="표준 6 2 3 29 2 3 3" xfId="34283"/>
    <cellStyle name="표준 6 2 3 29 2 4" xfId="15267"/>
    <cellStyle name="표준 6 2 3 29 2 4 2" xfId="40619"/>
    <cellStyle name="표준 6 2 3 29 2 5" xfId="27947"/>
    <cellStyle name="표준 6 2 3 29 3" xfId="5744"/>
    <cellStyle name="표준 6 2 3 29 3 2" xfId="12080"/>
    <cellStyle name="표준 6 2 3 29 3 2 2" xfId="24754"/>
    <cellStyle name="표준 6 2 3 29 3 2 2 2" xfId="50106"/>
    <cellStyle name="표준 6 2 3 29 3 2 3" xfId="37434"/>
    <cellStyle name="표준 6 2 3 29 3 3" xfId="18418"/>
    <cellStyle name="표준 6 2 3 29 3 3 2" xfId="43770"/>
    <cellStyle name="표준 6 2 3 29 3 4" xfId="31098"/>
    <cellStyle name="표준 6 2 3 29 4" xfId="8928"/>
    <cellStyle name="표준 6 2 3 29 4 2" xfId="21602"/>
    <cellStyle name="표준 6 2 3 29 4 2 2" xfId="46954"/>
    <cellStyle name="표준 6 2 3 29 4 3" xfId="34282"/>
    <cellStyle name="표준 6 2 3 29 5" xfId="15266"/>
    <cellStyle name="표준 6 2 3 29 5 2" xfId="40618"/>
    <cellStyle name="표준 6 2 3 29 6" xfId="27946"/>
    <cellStyle name="표준 6 2 3 3" xfId="94"/>
    <cellStyle name="표준 6 2 3 3 2" xfId="2593"/>
    <cellStyle name="표준 6 2 3 3 2 2" xfId="5745"/>
    <cellStyle name="표준 6 2 3 3 2 2 2" xfId="12081"/>
    <cellStyle name="표준 6 2 3 3 2 2 2 2" xfId="24755"/>
    <cellStyle name="표준 6 2 3 3 2 2 2 2 2" xfId="50107"/>
    <cellStyle name="표준 6 2 3 3 2 2 2 3" xfId="37435"/>
    <cellStyle name="표준 6 2 3 3 2 2 3" xfId="18419"/>
    <cellStyle name="표준 6 2 3 3 2 2 3 2" xfId="43771"/>
    <cellStyle name="표준 6 2 3 3 2 2 4" xfId="31099"/>
    <cellStyle name="표준 6 2 3 3 2 3" xfId="8930"/>
    <cellStyle name="표준 6 2 3 3 2 3 2" xfId="21604"/>
    <cellStyle name="표준 6 2 3 3 2 3 2 2" xfId="46956"/>
    <cellStyle name="표준 6 2 3 3 2 3 3" xfId="34284"/>
    <cellStyle name="표준 6 2 3 3 2 4" xfId="15268"/>
    <cellStyle name="표준 6 2 3 3 2 4 2" xfId="40620"/>
    <cellStyle name="표준 6 2 3 3 2 5" xfId="27948"/>
    <cellStyle name="표준 6 2 3 3 3" xfId="5746"/>
    <cellStyle name="표준 6 2 3 3 3 2" xfId="12082"/>
    <cellStyle name="표준 6 2 3 3 3 2 2" xfId="24756"/>
    <cellStyle name="표준 6 2 3 3 3 2 2 2" xfId="50108"/>
    <cellStyle name="표준 6 2 3 3 3 2 3" xfId="37436"/>
    <cellStyle name="표준 6 2 3 3 3 3" xfId="18420"/>
    <cellStyle name="표준 6 2 3 3 3 3 2" xfId="43772"/>
    <cellStyle name="표준 6 2 3 3 3 4" xfId="31100"/>
    <cellStyle name="표준 6 2 3 3 4" xfId="6432"/>
    <cellStyle name="표준 6 2 3 3 4 2" xfId="19106"/>
    <cellStyle name="표준 6 2 3 3 4 2 2" xfId="44458"/>
    <cellStyle name="표준 6 2 3 3 4 3" xfId="31786"/>
    <cellStyle name="표준 6 2 3 3 5" xfId="12770"/>
    <cellStyle name="표준 6 2 3 3 5 2" xfId="38122"/>
    <cellStyle name="표준 6 2 3 3 6" xfId="25450"/>
    <cellStyle name="표준 6 2 3 30" xfId="2594"/>
    <cellStyle name="표준 6 2 3 30 2" xfId="2595"/>
    <cellStyle name="표준 6 2 3 30 2 2" xfId="5747"/>
    <cellStyle name="표준 6 2 3 30 2 2 2" xfId="12083"/>
    <cellStyle name="표준 6 2 3 30 2 2 2 2" xfId="24757"/>
    <cellStyle name="표준 6 2 3 30 2 2 2 2 2" xfId="50109"/>
    <cellStyle name="표준 6 2 3 30 2 2 2 3" xfId="37437"/>
    <cellStyle name="표준 6 2 3 30 2 2 3" xfId="18421"/>
    <cellStyle name="표준 6 2 3 30 2 2 3 2" xfId="43773"/>
    <cellStyle name="표준 6 2 3 30 2 2 4" xfId="31101"/>
    <cellStyle name="표준 6 2 3 30 2 3" xfId="8932"/>
    <cellStyle name="표준 6 2 3 30 2 3 2" xfId="21606"/>
    <cellStyle name="표준 6 2 3 30 2 3 2 2" xfId="46958"/>
    <cellStyle name="표준 6 2 3 30 2 3 3" xfId="34286"/>
    <cellStyle name="표준 6 2 3 30 2 4" xfId="15270"/>
    <cellStyle name="표준 6 2 3 30 2 4 2" xfId="40622"/>
    <cellStyle name="표준 6 2 3 30 2 5" xfId="27950"/>
    <cellStyle name="표준 6 2 3 30 3" xfId="5748"/>
    <cellStyle name="표준 6 2 3 30 3 2" xfId="12084"/>
    <cellStyle name="표준 6 2 3 30 3 2 2" xfId="24758"/>
    <cellStyle name="표준 6 2 3 30 3 2 2 2" xfId="50110"/>
    <cellStyle name="표준 6 2 3 30 3 2 3" xfId="37438"/>
    <cellStyle name="표준 6 2 3 30 3 3" xfId="18422"/>
    <cellStyle name="표준 6 2 3 30 3 3 2" xfId="43774"/>
    <cellStyle name="표준 6 2 3 30 3 4" xfId="31102"/>
    <cellStyle name="표준 6 2 3 30 4" xfId="8931"/>
    <cellStyle name="표준 6 2 3 30 4 2" xfId="21605"/>
    <cellStyle name="표준 6 2 3 30 4 2 2" xfId="46957"/>
    <cellStyle name="표준 6 2 3 30 4 3" xfId="34285"/>
    <cellStyle name="표준 6 2 3 30 5" xfId="15269"/>
    <cellStyle name="표준 6 2 3 30 5 2" xfId="40621"/>
    <cellStyle name="표준 6 2 3 30 6" xfId="27949"/>
    <cellStyle name="표준 6 2 3 31" xfId="2596"/>
    <cellStyle name="표준 6 2 3 31 2" xfId="2597"/>
    <cellStyle name="표준 6 2 3 31 2 2" xfId="5749"/>
    <cellStyle name="표준 6 2 3 31 2 2 2" xfId="12085"/>
    <cellStyle name="표준 6 2 3 31 2 2 2 2" xfId="24759"/>
    <cellStyle name="표준 6 2 3 31 2 2 2 2 2" xfId="50111"/>
    <cellStyle name="표준 6 2 3 31 2 2 2 3" xfId="37439"/>
    <cellStyle name="표준 6 2 3 31 2 2 3" xfId="18423"/>
    <cellStyle name="표준 6 2 3 31 2 2 3 2" xfId="43775"/>
    <cellStyle name="표준 6 2 3 31 2 2 4" xfId="31103"/>
    <cellStyle name="표준 6 2 3 31 2 3" xfId="8934"/>
    <cellStyle name="표준 6 2 3 31 2 3 2" xfId="21608"/>
    <cellStyle name="표준 6 2 3 31 2 3 2 2" xfId="46960"/>
    <cellStyle name="표준 6 2 3 31 2 3 3" xfId="34288"/>
    <cellStyle name="표준 6 2 3 31 2 4" xfId="15272"/>
    <cellStyle name="표준 6 2 3 31 2 4 2" xfId="40624"/>
    <cellStyle name="표준 6 2 3 31 2 5" xfId="27952"/>
    <cellStyle name="표준 6 2 3 31 3" xfId="5750"/>
    <cellStyle name="표준 6 2 3 31 3 2" xfId="12086"/>
    <cellStyle name="표준 6 2 3 31 3 2 2" xfId="24760"/>
    <cellStyle name="표준 6 2 3 31 3 2 2 2" xfId="50112"/>
    <cellStyle name="표준 6 2 3 31 3 2 3" xfId="37440"/>
    <cellStyle name="표준 6 2 3 31 3 3" xfId="18424"/>
    <cellStyle name="표준 6 2 3 31 3 3 2" xfId="43776"/>
    <cellStyle name="표준 6 2 3 31 3 4" xfId="31104"/>
    <cellStyle name="표준 6 2 3 31 4" xfId="8933"/>
    <cellStyle name="표준 6 2 3 31 4 2" xfId="21607"/>
    <cellStyle name="표준 6 2 3 31 4 2 2" xfId="46959"/>
    <cellStyle name="표준 6 2 3 31 4 3" xfId="34287"/>
    <cellStyle name="표준 6 2 3 31 5" xfId="15271"/>
    <cellStyle name="표준 6 2 3 31 5 2" xfId="40623"/>
    <cellStyle name="표준 6 2 3 31 6" xfId="27951"/>
    <cellStyle name="표준 6 2 3 32" xfId="2598"/>
    <cellStyle name="표준 6 2 3 32 2" xfId="2599"/>
    <cellStyle name="표준 6 2 3 32 2 2" xfId="5751"/>
    <cellStyle name="표준 6 2 3 32 2 2 2" xfId="12087"/>
    <cellStyle name="표준 6 2 3 32 2 2 2 2" xfId="24761"/>
    <cellStyle name="표준 6 2 3 32 2 2 2 2 2" xfId="50113"/>
    <cellStyle name="표준 6 2 3 32 2 2 2 3" xfId="37441"/>
    <cellStyle name="표준 6 2 3 32 2 2 3" xfId="18425"/>
    <cellStyle name="표준 6 2 3 32 2 2 3 2" xfId="43777"/>
    <cellStyle name="표준 6 2 3 32 2 2 4" xfId="31105"/>
    <cellStyle name="표준 6 2 3 32 2 3" xfId="8936"/>
    <cellStyle name="표준 6 2 3 32 2 3 2" xfId="21610"/>
    <cellStyle name="표준 6 2 3 32 2 3 2 2" xfId="46962"/>
    <cellStyle name="표준 6 2 3 32 2 3 3" xfId="34290"/>
    <cellStyle name="표준 6 2 3 32 2 4" xfId="15274"/>
    <cellStyle name="표준 6 2 3 32 2 4 2" xfId="40626"/>
    <cellStyle name="표준 6 2 3 32 2 5" xfId="27954"/>
    <cellStyle name="표준 6 2 3 32 3" xfId="5752"/>
    <cellStyle name="표준 6 2 3 32 3 2" xfId="12088"/>
    <cellStyle name="표준 6 2 3 32 3 2 2" xfId="24762"/>
    <cellStyle name="표준 6 2 3 32 3 2 2 2" xfId="50114"/>
    <cellStyle name="표준 6 2 3 32 3 2 3" xfId="37442"/>
    <cellStyle name="표준 6 2 3 32 3 3" xfId="18426"/>
    <cellStyle name="표준 6 2 3 32 3 3 2" xfId="43778"/>
    <cellStyle name="표준 6 2 3 32 3 4" xfId="31106"/>
    <cellStyle name="표준 6 2 3 32 4" xfId="8935"/>
    <cellStyle name="표준 6 2 3 32 4 2" xfId="21609"/>
    <cellStyle name="표준 6 2 3 32 4 2 2" xfId="46961"/>
    <cellStyle name="표준 6 2 3 32 4 3" xfId="34289"/>
    <cellStyle name="표준 6 2 3 32 5" xfId="15273"/>
    <cellStyle name="표준 6 2 3 32 5 2" xfId="40625"/>
    <cellStyle name="표준 6 2 3 32 6" xfId="27953"/>
    <cellStyle name="표준 6 2 3 33" xfId="2600"/>
    <cellStyle name="표준 6 2 3 33 2" xfId="2601"/>
    <cellStyle name="표준 6 2 3 33 2 2" xfId="5753"/>
    <cellStyle name="표준 6 2 3 33 2 2 2" xfId="12089"/>
    <cellStyle name="표준 6 2 3 33 2 2 2 2" xfId="24763"/>
    <cellStyle name="표준 6 2 3 33 2 2 2 2 2" xfId="50115"/>
    <cellStyle name="표준 6 2 3 33 2 2 2 3" xfId="37443"/>
    <cellStyle name="표준 6 2 3 33 2 2 3" xfId="18427"/>
    <cellStyle name="표준 6 2 3 33 2 2 3 2" xfId="43779"/>
    <cellStyle name="표준 6 2 3 33 2 2 4" xfId="31107"/>
    <cellStyle name="표준 6 2 3 33 2 3" xfId="8938"/>
    <cellStyle name="표준 6 2 3 33 2 3 2" xfId="21612"/>
    <cellStyle name="표준 6 2 3 33 2 3 2 2" xfId="46964"/>
    <cellStyle name="표준 6 2 3 33 2 3 3" xfId="34292"/>
    <cellStyle name="표준 6 2 3 33 2 4" xfId="15276"/>
    <cellStyle name="표준 6 2 3 33 2 4 2" xfId="40628"/>
    <cellStyle name="표준 6 2 3 33 2 5" xfId="27956"/>
    <cellStyle name="표준 6 2 3 33 3" xfId="5754"/>
    <cellStyle name="표준 6 2 3 33 3 2" xfId="12090"/>
    <cellStyle name="표준 6 2 3 33 3 2 2" xfId="24764"/>
    <cellStyle name="표준 6 2 3 33 3 2 2 2" xfId="50116"/>
    <cellStyle name="표준 6 2 3 33 3 2 3" xfId="37444"/>
    <cellStyle name="표준 6 2 3 33 3 3" xfId="18428"/>
    <cellStyle name="표준 6 2 3 33 3 3 2" xfId="43780"/>
    <cellStyle name="표준 6 2 3 33 3 4" xfId="31108"/>
    <cellStyle name="표준 6 2 3 33 4" xfId="8937"/>
    <cellStyle name="표준 6 2 3 33 4 2" xfId="21611"/>
    <cellStyle name="표준 6 2 3 33 4 2 2" xfId="46963"/>
    <cellStyle name="표준 6 2 3 33 4 3" xfId="34291"/>
    <cellStyle name="표준 6 2 3 33 5" xfId="15275"/>
    <cellStyle name="표준 6 2 3 33 5 2" xfId="40627"/>
    <cellStyle name="표준 6 2 3 33 6" xfId="27955"/>
    <cellStyle name="표준 6 2 3 34" xfId="2602"/>
    <cellStyle name="표준 6 2 3 34 2" xfId="2603"/>
    <cellStyle name="표준 6 2 3 34 2 2" xfId="5755"/>
    <cellStyle name="표준 6 2 3 34 2 2 2" xfId="12091"/>
    <cellStyle name="표준 6 2 3 34 2 2 2 2" xfId="24765"/>
    <cellStyle name="표준 6 2 3 34 2 2 2 2 2" xfId="50117"/>
    <cellStyle name="표준 6 2 3 34 2 2 2 3" xfId="37445"/>
    <cellStyle name="표준 6 2 3 34 2 2 3" xfId="18429"/>
    <cellStyle name="표준 6 2 3 34 2 2 3 2" xfId="43781"/>
    <cellStyle name="표준 6 2 3 34 2 2 4" xfId="31109"/>
    <cellStyle name="표준 6 2 3 34 2 3" xfId="8940"/>
    <cellStyle name="표준 6 2 3 34 2 3 2" xfId="21614"/>
    <cellStyle name="표준 6 2 3 34 2 3 2 2" xfId="46966"/>
    <cellStyle name="표준 6 2 3 34 2 3 3" xfId="34294"/>
    <cellStyle name="표준 6 2 3 34 2 4" xfId="15278"/>
    <cellStyle name="표준 6 2 3 34 2 4 2" xfId="40630"/>
    <cellStyle name="표준 6 2 3 34 2 5" xfId="27958"/>
    <cellStyle name="표준 6 2 3 34 3" xfId="5756"/>
    <cellStyle name="표준 6 2 3 34 3 2" xfId="12092"/>
    <cellStyle name="표준 6 2 3 34 3 2 2" xfId="24766"/>
    <cellStyle name="표준 6 2 3 34 3 2 2 2" xfId="50118"/>
    <cellStyle name="표준 6 2 3 34 3 2 3" xfId="37446"/>
    <cellStyle name="표준 6 2 3 34 3 3" xfId="18430"/>
    <cellStyle name="표준 6 2 3 34 3 3 2" xfId="43782"/>
    <cellStyle name="표준 6 2 3 34 3 4" xfId="31110"/>
    <cellStyle name="표준 6 2 3 34 4" xfId="8939"/>
    <cellStyle name="표준 6 2 3 34 4 2" xfId="21613"/>
    <cellStyle name="표준 6 2 3 34 4 2 2" xfId="46965"/>
    <cellStyle name="표준 6 2 3 34 4 3" xfId="34293"/>
    <cellStyle name="표준 6 2 3 34 5" xfId="15277"/>
    <cellStyle name="표준 6 2 3 34 5 2" xfId="40629"/>
    <cellStyle name="표준 6 2 3 34 6" xfId="27957"/>
    <cellStyle name="표준 6 2 3 35" xfId="2604"/>
    <cellStyle name="표준 6 2 3 35 2" xfId="5757"/>
    <cellStyle name="표준 6 2 3 35 2 2" xfId="12093"/>
    <cellStyle name="표준 6 2 3 35 2 2 2" xfId="24767"/>
    <cellStyle name="표준 6 2 3 35 2 2 2 2" xfId="50119"/>
    <cellStyle name="표준 6 2 3 35 2 2 3" xfId="37447"/>
    <cellStyle name="표준 6 2 3 35 2 3" xfId="18431"/>
    <cellStyle name="표준 6 2 3 35 2 3 2" xfId="43783"/>
    <cellStyle name="표준 6 2 3 35 2 4" xfId="31111"/>
    <cellStyle name="표준 6 2 3 35 3" xfId="8941"/>
    <cellStyle name="표준 6 2 3 35 3 2" xfId="21615"/>
    <cellStyle name="표준 6 2 3 35 3 2 2" xfId="46967"/>
    <cellStyle name="표준 6 2 3 35 3 3" xfId="34295"/>
    <cellStyle name="표준 6 2 3 35 4" xfId="15279"/>
    <cellStyle name="표준 6 2 3 35 4 2" xfId="40631"/>
    <cellStyle name="표준 6 2 3 35 5" xfId="27959"/>
    <cellStyle name="표준 6 2 3 36" xfId="5758"/>
    <cellStyle name="표준 6 2 3 36 2" xfId="12094"/>
    <cellStyle name="표준 6 2 3 36 2 2" xfId="24768"/>
    <cellStyle name="표준 6 2 3 36 2 2 2" xfId="50120"/>
    <cellStyle name="표준 6 2 3 36 2 3" xfId="37448"/>
    <cellStyle name="표준 6 2 3 36 3" xfId="18432"/>
    <cellStyle name="표준 6 2 3 36 3 2" xfId="43784"/>
    <cellStyle name="표준 6 2 3 36 4" xfId="31112"/>
    <cellStyle name="표준 6 2 3 37" xfId="6388"/>
    <cellStyle name="표준 6 2 3 37 2" xfId="19062"/>
    <cellStyle name="표준 6 2 3 37 2 2" xfId="44414"/>
    <cellStyle name="표준 6 2 3 37 3" xfId="31742"/>
    <cellStyle name="표준 6 2 3 38" xfId="12726"/>
    <cellStyle name="표준 6 2 3 38 2" xfId="38078"/>
    <cellStyle name="표준 6 2 3 39" xfId="25406"/>
    <cellStyle name="표준 6 2 3 4" xfId="2605"/>
    <cellStyle name="표준 6 2 3 4 2" xfId="2606"/>
    <cellStyle name="표준 6 2 3 4 2 2" xfId="5759"/>
    <cellStyle name="표준 6 2 3 4 2 2 2" xfId="12095"/>
    <cellStyle name="표준 6 2 3 4 2 2 2 2" xfId="24769"/>
    <cellStyle name="표준 6 2 3 4 2 2 2 2 2" xfId="50121"/>
    <cellStyle name="표준 6 2 3 4 2 2 2 3" xfId="37449"/>
    <cellStyle name="표준 6 2 3 4 2 2 3" xfId="18433"/>
    <cellStyle name="표준 6 2 3 4 2 2 3 2" xfId="43785"/>
    <cellStyle name="표준 6 2 3 4 2 2 4" xfId="31113"/>
    <cellStyle name="표준 6 2 3 4 2 3" xfId="8943"/>
    <cellStyle name="표준 6 2 3 4 2 3 2" xfId="21617"/>
    <cellStyle name="표준 6 2 3 4 2 3 2 2" xfId="46969"/>
    <cellStyle name="표준 6 2 3 4 2 3 3" xfId="34297"/>
    <cellStyle name="표준 6 2 3 4 2 4" xfId="15281"/>
    <cellStyle name="표준 6 2 3 4 2 4 2" xfId="40633"/>
    <cellStyle name="표준 6 2 3 4 2 5" xfId="27961"/>
    <cellStyle name="표준 6 2 3 4 3" xfId="5760"/>
    <cellStyle name="표준 6 2 3 4 3 2" xfId="12096"/>
    <cellStyle name="표준 6 2 3 4 3 2 2" xfId="24770"/>
    <cellStyle name="표준 6 2 3 4 3 2 2 2" xfId="50122"/>
    <cellStyle name="표준 6 2 3 4 3 2 3" xfId="37450"/>
    <cellStyle name="표준 6 2 3 4 3 3" xfId="18434"/>
    <cellStyle name="표준 6 2 3 4 3 3 2" xfId="43786"/>
    <cellStyle name="표준 6 2 3 4 3 4" xfId="31114"/>
    <cellStyle name="표준 6 2 3 4 4" xfId="8942"/>
    <cellStyle name="표준 6 2 3 4 4 2" xfId="21616"/>
    <cellStyle name="표준 6 2 3 4 4 2 2" xfId="46968"/>
    <cellStyle name="표준 6 2 3 4 4 3" xfId="34296"/>
    <cellStyle name="표준 6 2 3 4 5" xfId="15280"/>
    <cellStyle name="표준 6 2 3 4 5 2" xfId="40632"/>
    <cellStyle name="표준 6 2 3 4 6" xfId="27960"/>
    <cellStyle name="표준 6 2 3 5" xfId="2607"/>
    <cellStyle name="표준 6 2 3 5 2" xfId="2608"/>
    <cellStyle name="표준 6 2 3 5 2 2" xfId="5761"/>
    <cellStyle name="표준 6 2 3 5 2 2 2" xfId="12097"/>
    <cellStyle name="표준 6 2 3 5 2 2 2 2" xfId="24771"/>
    <cellStyle name="표준 6 2 3 5 2 2 2 2 2" xfId="50123"/>
    <cellStyle name="표준 6 2 3 5 2 2 2 3" xfId="37451"/>
    <cellStyle name="표준 6 2 3 5 2 2 3" xfId="18435"/>
    <cellStyle name="표준 6 2 3 5 2 2 3 2" xfId="43787"/>
    <cellStyle name="표준 6 2 3 5 2 2 4" xfId="31115"/>
    <cellStyle name="표준 6 2 3 5 2 3" xfId="8945"/>
    <cellStyle name="표준 6 2 3 5 2 3 2" xfId="21619"/>
    <cellStyle name="표준 6 2 3 5 2 3 2 2" xfId="46971"/>
    <cellStyle name="표준 6 2 3 5 2 3 3" xfId="34299"/>
    <cellStyle name="표준 6 2 3 5 2 4" xfId="15283"/>
    <cellStyle name="표준 6 2 3 5 2 4 2" xfId="40635"/>
    <cellStyle name="표준 6 2 3 5 2 5" xfId="27963"/>
    <cellStyle name="표준 6 2 3 5 3" xfId="5762"/>
    <cellStyle name="표준 6 2 3 5 3 2" xfId="12098"/>
    <cellStyle name="표준 6 2 3 5 3 2 2" xfId="24772"/>
    <cellStyle name="표준 6 2 3 5 3 2 2 2" xfId="50124"/>
    <cellStyle name="표준 6 2 3 5 3 2 3" xfId="37452"/>
    <cellStyle name="표준 6 2 3 5 3 3" xfId="18436"/>
    <cellStyle name="표준 6 2 3 5 3 3 2" xfId="43788"/>
    <cellStyle name="표준 6 2 3 5 3 4" xfId="31116"/>
    <cellStyle name="표준 6 2 3 5 4" xfId="8944"/>
    <cellStyle name="표준 6 2 3 5 4 2" xfId="21618"/>
    <cellStyle name="표준 6 2 3 5 4 2 2" xfId="46970"/>
    <cellStyle name="표준 6 2 3 5 4 3" xfId="34298"/>
    <cellStyle name="표준 6 2 3 5 5" xfId="15282"/>
    <cellStyle name="표준 6 2 3 5 5 2" xfId="40634"/>
    <cellStyle name="표준 6 2 3 5 6" xfId="27962"/>
    <cellStyle name="표준 6 2 3 6" xfId="2609"/>
    <cellStyle name="표준 6 2 3 6 2" xfId="2610"/>
    <cellStyle name="표준 6 2 3 6 2 2" xfId="5763"/>
    <cellStyle name="표준 6 2 3 6 2 2 2" xfId="12099"/>
    <cellStyle name="표준 6 2 3 6 2 2 2 2" xfId="24773"/>
    <cellStyle name="표준 6 2 3 6 2 2 2 2 2" xfId="50125"/>
    <cellStyle name="표준 6 2 3 6 2 2 2 3" xfId="37453"/>
    <cellStyle name="표준 6 2 3 6 2 2 3" xfId="18437"/>
    <cellStyle name="표준 6 2 3 6 2 2 3 2" xfId="43789"/>
    <cellStyle name="표준 6 2 3 6 2 2 4" xfId="31117"/>
    <cellStyle name="표준 6 2 3 6 2 3" xfId="8947"/>
    <cellStyle name="표준 6 2 3 6 2 3 2" xfId="21621"/>
    <cellStyle name="표준 6 2 3 6 2 3 2 2" xfId="46973"/>
    <cellStyle name="표준 6 2 3 6 2 3 3" xfId="34301"/>
    <cellStyle name="표준 6 2 3 6 2 4" xfId="15285"/>
    <cellStyle name="표준 6 2 3 6 2 4 2" xfId="40637"/>
    <cellStyle name="표준 6 2 3 6 2 5" xfId="27965"/>
    <cellStyle name="표준 6 2 3 6 3" xfId="5764"/>
    <cellStyle name="표준 6 2 3 6 3 2" xfId="12100"/>
    <cellStyle name="표준 6 2 3 6 3 2 2" xfId="24774"/>
    <cellStyle name="표준 6 2 3 6 3 2 2 2" xfId="50126"/>
    <cellStyle name="표준 6 2 3 6 3 2 3" xfId="37454"/>
    <cellStyle name="표준 6 2 3 6 3 3" xfId="18438"/>
    <cellStyle name="표준 6 2 3 6 3 3 2" xfId="43790"/>
    <cellStyle name="표준 6 2 3 6 3 4" xfId="31118"/>
    <cellStyle name="표준 6 2 3 6 4" xfId="8946"/>
    <cellStyle name="표준 6 2 3 6 4 2" xfId="21620"/>
    <cellStyle name="표준 6 2 3 6 4 2 2" xfId="46972"/>
    <cellStyle name="표준 6 2 3 6 4 3" xfId="34300"/>
    <cellStyle name="표준 6 2 3 6 5" xfId="15284"/>
    <cellStyle name="표준 6 2 3 6 5 2" xfId="40636"/>
    <cellStyle name="표준 6 2 3 6 6" xfId="27964"/>
    <cellStyle name="표준 6 2 3 7" xfId="2611"/>
    <cellStyle name="표준 6 2 3 7 2" xfId="2612"/>
    <cellStyle name="표준 6 2 3 7 2 2" xfId="5765"/>
    <cellStyle name="표준 6 2 3 7 2 2 2" xfId="12101"/>
    <cellStyle name="표준 6 2 3 7 2 2 2 2" xfId="24775"/>
    <cellStyle name="표준 6 2 3 7 2 2 2 2 2" xfId="50127"/>
    <cellStyle name="표준 6 2 3 7 2 2 2 3" xfId="37455"/>
    <cellStyle name="표준 6 2 3 7 2 2 3" xfId="18439"/>
    <cellStyle name="표준 6 2 3 7 2 2 3 2" xfId="43791"/>
    <cellStyle name="표준 6 2 3 7 2 2 4" xfId="31119"/>
    <cellStyle name="표준 6 2 3 7 2 3" xfId="8949"/>
    <cellStyle name="표준 6 2 3 7 2 3 2" xfId="21623"/>
    <cellStyle name="표준 6 2 3 7 2 3 2 2" xfId="46975"/>
    <cellStyle name="표준 6 2 3 7 2 3 3" xfId="34303"/>
    <cellStyle name="표준 6 2 3 7 2 4" xfId="15287"/>
    <cellStyle name="표준 6 2 3 7 2 4 2" xfId="40639"/>
    <cellStyle name="표준 6 2 3 7 2 5" xfId="27967"/>
    <cellStyle name="표준 6 2 3 7 3" xfId="5766"/>
    <cellStyle name="표준 6 2 3 7 3 2" xfId="12102"/>
    <cellStyle name="표준 6 2 3 7 3 2 2" xfId="24776"/>
    <cellStyle name="표준 6 2 3 7 3 2 2 2" xfId="50128"/>
    <cellStyle name="표준 6 2 3 7 3 2 3" xfId="37456"/>
    <cellStyle name="표준 6 2 3 7 3 3" xfId="18440"/>
    <cellStyle name="표준 6 2 3 7 3 3 2" xfId="43792"/>
    <cellStyle name="표준 6 2 3 7 3 4" xfId="31120"/>
    <cellStyle name="표준 6 2 3 7 4" xfId="8948"/>
    <cellStyle name="표준 6 2 3 7 4 2" xfId="21622"/>
    <cellStyle name="표준 6 2 3 7 4 2 2" xfId="46974"/>
    <cellStyle name="표준 6 2 3 7 4 3" xfId="34302"/>
    <cellStyle name="표준 6 2 3 7 5" xfId="15286"/>
    <cellStyle name="표준 6 2 3 7 5 2" xfId="40638"/>
    <cellStyle name="표준 6 2 3 7 6" xfId="27966"/>
    <cellStyle name="표준 6 2 3 8" xfId="2613"/>
    <cellStyle name="표준 6 2 3 8 2" xfId="2614"/>
    <cellStyle name="표준 6 2 3 8 2 2" xfId="5767"/>
    <cellStyle name="표준 6 2 3 8 2 2 2" xfId="12103"/>
    <cellStyle name="표준 6 2 3 8 2 2 2 2" xfId="24777"/>
    <cellStyle name="표준 6 2 3 8 2 2 2 2 2" xfId="50129"/>
    <cellStyle name="표준 6 2 3 8 2 2 2 3" xfId="37457"/>
    <cellStyle name="표준 6 2 3 8 2 2 3" xfId="18441"/>
    <cellStyle name="표준 6 2 3 8 2 2 3 2" xfId="43793"/>
    <cellStyle name="표준 6 2 3 8 2 2 4" xfId="31121"/>
    <cellStyle name="표준 6 2 3 8 2 3" xfId="8951"/>
    <cellStyle name="표준 6 2 3 8 2 3 2" xfId="21625"/>
    <cellStyle name="표준 6 2 3 8 2 3 2 2" xfId="46977"/>
    <cellStyle name="표준 6 2 3 8 2 3 3" xfId="34305"/>
    <cellStyle name="표준 6 2 3 8 2 4" xfId="15289"/>
    <cellStyle name="표준 6 2 3 8 2 4 2" xfId="40641"/>
    <cellStyle name="표준 6 2 3 8 2 5" xfId="27969"/>
    <cellStyle name="표준 6 2 3 8 3" xfId="5768"/>
    <cellStyle name="표준 6 2 3 8 3 2" xfId="12104"/>
    <cellStyle name="표준 6 2 3 8 3 2 2" xfId="24778"/>
    <cellStyle name="표준 6 2 3 8 3 2 2 2" xfId="50130"/>
    <cellStyle name="표준 6 2 3 8 3 2 3" xfId="37458"/>
    <cellStyle name="표준 6 2 3 8 3 3" xfId="18442"/>
    <cellStyle name="표준 6 2 3 8 3 3 2" xfId="43794"/>
    <cellStyle name="표준 6 2 3 8 3 4" xfId="31122"/>
    <cellStyle name="표준 6 2 3 8 4" xfId="8950"/>
    <cellStyle name="표준 6 2 3 8 4 2" xfId="21624"/>
    <cellStyle name="표준 6 2 3 8 4 2 2" xfId="46976"/>
    <cellStyle name="표준 6 2 3 8 4 3" xfId="34304"/>
    <cellStyle name="표준 6 2 3 8 5" xfId="15288"/>
    <cellStyle name="표준 6 2 3 8 5 2" xfId="40640"/>
    <cellStyle name="표준 6 2 3 8 6" xfId="27968"/>
    <cellStyle name="표준 6 2 3 9" xfId="2615"/>
    <cellStyle name="표준 6 2 3 9 2" xfId="2616"/>
    <cellStyle name="표준 6 2 3 9 2 2" xfId="5769"/>
    <cellStyle name="표준 6 2 3 9 2 2 2" xfId="12105"/>
    <cellStyle name="표준 6 2 3 9 2 2 2 2" xfId="24779"/>
    <cellStyle name="표준 6 2 3 9 2 2 2 2 2" xfId="50131"/>
    <cellStyle name="표준 6 2 3 9 2 2 2 3" xfId="37459"/>
    <cellStyle name="표준 6 2 3 9 2 2 3" xfId="18443"/>
    <cellStyle name="표준 6 2 3 9 2 2 3 2" xfId="43795"/>
    <cellStyle name="표준 6 2 3 9 2 2 4" xfId="31123"/>
    <cellStyle name="표준 6 2 3 9 2 3" xfId="8953"/>
    <cellStyle name="표준 6 2 3 9 2 3 2" xfId="21627"/>
    <cellStyle name="표준 6 2 3 9 2 3 2 2" xfId="46979"/>
    <cellStyle name="표준 6 2 3 9 2 3 3" xfId="34307"/>
    <cellStyle name="표준 6 2 3 9 2 4" xfId="15291"/>
    <cellStyle name="표준 6 2 3 9 2 4 2" xfId="40643"/>
    <cellStyle name="표준 6 2 3 9 2 5" xfId="27971"/>
    <cellStyle name="표준 6 2 3 9 3" xfId="5770"/>
    <cellStyle name="표준 6 2 3 9 3 2" xfId="12106"/>
    <cellStyle name="표준 6 2 3 9 3 2 2" xfId="24780"/>
    <cellStyle name="표준 6 2 3 9 3 2 2 2" xfId="50132"/>
    <cellStyle name="표준 6 2 3 9 3 2 3" xfId="37460"/>
    <cellStyle name="표준 6 2 3 9 3 3" xfId="18444"/>
    <cellStyle name="표준 6 2 3 9 3 3 2" xfId="43796"/>
    <cellStyle name="표준 6 2 3 9 3 4" xfId="31124"/>
    <cellStyle name="표준 6 2 3 9 4" xfId="8952"/>
    <cellStyle name="표준 6 2 3 9 4 2" xfId="21626"/>
    <cellStyle name="표준 6 2 3 9 4 2 2" xfId="46978"/>
    <cellStyle name="표준 6 2 3 9 4 3" xfId="34306"/>
    <cellStyle name="표준 6 2 3 9 5" xfId="15290"/>
    <cellStyle name="표준 6 2 3 9 5 2" xfId="40642"/>
    <cellStyle name="표준 6 2 3 9 6" xfId="27970"/>
    <cellStyle name="표준 6 2 30" xfId="2617"/>
    <cellStyle name="표준 6 2 30 2" xfId="2618"/>
    <cellStyle name="표준 6 2 30 2 2" xfId="5771"/>
    <cellStyle name="표준 6 2 30 2 2 2" xfId="12107"/>
    <cellStyle name="표준 6 2 30 2 2 2 2" xfId="24781"/>
    <cellStyle name="표준 6 2 30 2 2 2 2 2" xfId="50133"/>
    <cellStyle name="표준 6 2 30 2 2 2 3" xfId="37461"/>
    <cellStyle name="표준 6 2 30 2 2 3" xfId="18445"/>
    <cellStyle name="표준 6 2 30 2 2 3 2" xfId="43797"/>
    <cellStyle name="표준 6 2 30 2 2 4" xfId="31125"/>
    <cellStyle name="표준 6 2 30 2 3" xfId="8955"/>
    <cellStyle name="표준 6 2 30 2 3 2" xfId="21629"/>
    <cellStyle name="표준 6 2 30 2 3 2 2" xfId="46981"/>
    <cellStyle name="표준 6 2 30 2 3 3" xfId="34309"/>
    <cellStyle name="표준 6 2 30 2 4" xfId="15293"/>
    <cellStyle name="표준 6 2 30 2 4 2" xfId="40645"/>
    <cellStyle name="표준 6 2 30 2 5" xfId="27973"/>
    <cellStyle name="표준 6 2 30 3" xfId="5772"/>
    <cellStyle name="표준 6 2 30 3 2" xfId="12108"/>
    <cellStyle name="표준 6 2 30 3 2 2" xfId="24782"/>
    <cellStyle name="표준 6 2 30 3 2 2 2" xfId="50134"/>
    <cellStyle name="표준 6 2 30 3 2 3" xfId="37462"/>
    <cellStyle name="표준 6 2 30 3 3" xfId="18446"/>
    <cellStyle name="표준 6 2 30 3 3 2" xfId="43798"/>
    <cellStyle name="표준 6 2 30 3 4" xfId="31126"/>
    <cellStyle name="표준 6 2 30 4" xfId="8954"/>
    <cellStyle name="표준 6 2 30 4 2" xfId="21628"/>
    <cellStyle name="표준 6 2 30 4 2 2" xfId="46980"/>
    <cellStyle name="표준 6 2 30 4 3" xfId="34308"/>
    <cellStyle name="표준 6 2 30 5" xfId="15292"/>
    <cellStyle name="표준 6 2 30 5 2" xfId="40644"/>
    <cellStyle name="표준 6 2 30 6" xfId="27972"/>
    <cellStyle name="표준 6 2 31" xfId="2619"/>
    <cellStyle name="표준 6 2 31 2" xfId="2620"/>
    <cellStyle name="표준 6 2 31 2 2" xfId="5773"/>
    <cellStyle name="표준 6 2 31 2 2 2" xfId="12109"/>
    <cellStyle name="표준 6 2 31 2 2 2 2" xfId="24783"/>
    <cellStyle name="표준 6 2 31 2 2 2 2 2" xfId="50135"/>
    <cellStyle name="표준 6 2 31 2 2 2 3" xfId="37463"/>
    <cellStyle name="표준 6 2 31 2 2 3" xfId="18447"/>
    <cellStyle name="표준 6 2 31 2 2 3 2" xfId="43799"/>
    <cellStyle name="표준 6 2 31 2 2 4" xfId="31127"/>
    <cellStyle name="표준 6 2 31 2 3" xfId="8957"/>
    <cellStyle name="표준 6 2 31 2 3 2" xfId="21631"/>
    <cellStyle name="표준 6 2 31 2 3 2 2" xfId="46983"/>
    <cellStyle name="표준 6 2 31 2 3 3" xfId="34311"/>
    <cellStyle name="표준 6 2 31 2 4" xfId="15295"/>
    <cellStyle name="표준 6 2 31 2 4 2" xfId="40647"/>
    <cellStyle name="표준 6 2 31 2 5" xfId="27975"/>
    <cellStyle name="표준 6 2 31 3" xfId="5774"/>
    <cellStyle name="표준 6 2 31 3 2" xfId="12110"/>
    <cellStyle name="표준 6 2 31 3 2 2" xfId="24784"/>
    <cellStyle name="표준 6 2 31 3 2 2 2" xfId="50136"/>
    <cellStyle name="표준 6 2 31 3 2 3" xfId="37464"/>
    <cellStyle name="표준 6 2 31 3 3" xfId="18448"/>
    <cellStyle name="표준 6 2 31 3 3 2" xfId="43800"/>
    <cellStyle name="표준 6 2 31 3 4" xfId="31128"/>
    <cellStyle name="표준 6 2 31 4" xfId="8956"/>
    <cellStyle name="표준 6 2 31 4 2" xfId="21630"/>
    <cellStyle name="표준 6 2 31 4 2 2" xfId="46982"/>
    <cellStyle name="표준 6 2 31 4 3" xfId="34310"/>
    <cellStyle name="표준 6 2 31 5" xfId="15294"/>
    <cellStyle name="표준 6 2 31 5 2" xfId="40646"/>
    <cellStyle name="표준 6 2 31 6" xfId="27974"/>
    <cellStyle name="표준 6 2 32" xfId="2621"/>
    <cellStyle name="표준 6 2 32 2" xfId="2622"/>
    <cellStyle name="표준 6 2 32 2 2" xfId="5775"/>
    <cellStyle name="표준 6 2 32 2 2 2" xfId="12111"/>
    <cellStyle name="표준 6 2 32 2 2 2 2" xfId="24785"/>
    <cellStyle name="표준 6 2 32 2 2 2 2 2" xfId="50137"/>
    <cellStyle name="표준 6 2 32 2 2 2 3" xfId="37465"/>
    <cellStyle name="표준 6 2 32 2 2 3" xfId="18449"/>
    <cellStyle name="표준 6 2 32 2 2 3 2" xfId="43801"/>
    <cellStyle name="표준 6 2 32 2 2 4" xfId="31129"/>
    <cellStyle name="표준 6 2 32 2 3" xfId="8959"/>
    <cellStyle name="표준 6 2 32 2 3 2" xfId="21633"/>
    <cellStyle name="표준 6 2 32 2 3 2 2" xfId="46985"/>
    <cellStyle name="표준 6 2 32 2 3 3" xfId="34313"/>
    <cellStyle name="표준 6 2 32 2 4" xfId="15297"/>
    <cellStyle name="표준 6 2 32 2 4 2" xfId="40649"/>
    <cellStyle name="표준 6 2 32 2 5" xfId="27977"/>
    <cellStyle name="표준 6 2 32 3" xfId="5776"/>
    <cellStyle name="표준 6 2 32 3 2" xfId="12112"/>
    <cellStyle name="표준 6 2 32 3 2 2" xfId="24786"/>
    <cellStyle name="표준 6 2 32 3 2 2 2" xfId="50138"/>
    <cellStyle name="표준 6 2 32 3 2 3" xfId="37466"/>
    <cellStyle name="표준 6 2 32 3 3" xfId="18450"/>
    <cellStyle name="표준 6 2 32 3 3 2" xfId="43802"/>
    <cellStyle name="표준 6 2 32 3 4" xfId="31130"/>
    <cellStyle name="표준 6 2 32 4" xfId="8958"/>
    <cellStyle name="표준 6 2 32 4 2" xfId="21632"/>
    <cellStyle name="표준 6 2 32 4 2 2" xfId="46984"/>
    <cellStyle name="표준 6 2 32 4 3" xfId="34312"/>
    <cellStyle name="표준 6 2 32 5" xfId="15296"/>
    <cellStyle name="표준 6 2 32 5 2" xfId="40648"/>
    <cellStyle name="표준 6 2 32 6" xfId="27976"/>
    <cellStyle name="표준 6 2 33" xfId="2623"/>
    <cellStyle name="표준 6 2 33 2" xfId="2624"/>
    <cellStyle name="표준 6 2 33 2 2" xfId="5777"/>
    <cellStyle name="표준 6 2 33 2 2 2" xfId="12113"/>
    <cellStyle name="표준 6 2 33 2 2 2 2" xfId="24787"/>
    <cellStyle name="표준 6 2 33 2 2 2 2 2" xfId="50139"/>
    <cellStyle name="표준 6 2 33 2 2 2 3" xfId="37467"/>
    <cellStyle name="표준 6 2 33 2 2 3" xfId="18451"/>
    <cellStyle name="표준 6 2 33 2 2 3 2" xfId="43803"/>
    <cellStyle name="표준 6 2 33 2 2 4" xfId="31131"/>
    <cellStyle name="표준 6 2 33 2 3" xfId="8961"/>
    <cellStyle name="표준 6 2 33 2 3 2" xfId="21635"/>
    <cellStyle name="표준 6 2 33 2 3 2 2" xfId="46987"/>
    <cellStyle name="표준 6 2 33 2 3 3" xfId="34315"/>
    <cellStyle name="표준 6 2 33 2 4" xfId="15299"/>
    <cellStyle name="표준 6 2 33 2 4 2" xfId="40651"/>
    <cellStyle name="표준 6 2 33 2 5" xfId="27979"/>
    <cellStyle name="표준 6 2 33 3" xfId="5778"/>
    <cellStyle name="표준 6 2 33 3 2" xfId="12114"/>
    <cellStyle name="표준 6 2 33 3 2 2" xfId="24788"/>
    <cellStyle name="표준 6 2 33 3 2 2 2" xfId="50140"/>
    <cellStyle name="표준 6 2 33 3 2 3" xfId="37468"/>
    <cellStyle name="표준 6 2 33 3 3" xfId="18452"/>
    <cellStyle name="표준 6 2 33 3 3 2" xfId="43804"/>
    <cellStyle name="표준 6 2 33 3 4" xfId="31132"/>
    <cellStyle name="표준 6 2 33 4" xfId="8960"/>
    <cellStyle name="표준 6 2 33 4 2" xfId="21634"/>
    <cellStyle name="표준 6 2 33 4 2 2" xfId="46986"/>
    <cellStyle name="표준 6 2 33 4 3" xfId="34314"/>
    <cellStyle name="표준 6 2 33 5" xfId="15298"/>
    <cellStyle name="표준 6 2 33 5 2" xfId="40650"/>
    <cellStyle name="표준 6 2 33 6" xfId="27978"/>
    <cellStyle name="표준 6 2 34" xfId="2625"/>
    <cellStyle name="표준 6 2 34 2" xfId="2626"/>
    <cellStyle name="표준 6 2 34 2 2" xfId="5779"/>
    <cellStyle name="표준 6 2 34 2 2 2" xfId="12115"/>
    <cellStyle name="표준 6 2 34 2 2 2 2" xfId="24789"/>
    <cellStyle name="표준 6 2 34 2 2 2 2 2" xfId="50141"/>
    <cellStyle name="표준 6 2 34 2 2 2 3" xfId="37469"/>
    <cellStyle name="표준 6 2 34 2 2 3" xfId="18453"/>
    <cellStyle name="표준 6 2 34 2 2 3 2" xfId="43805"/>
    <cellStyle name="표준 6 2 34 2 2 4" xfId="31133"/>
    <cellStyle name="표준 6 2 34 2 3" xfId="8963"/>
    <cellStyle name="표준 6 2 34 2 3 2" xfId="21637"/>
    <cellStyle name="표준 6 2 34 2 3 2 2" xfId="46989"/>
    <cellStyle name="표준 6 2 34 2 3 3" xfId="34317"/>
    <cellStyle name="표준 6 2 34 2 4" xfId="15301"/>
    <cellStyle name="표준 6 2 34 2 4 2" xfId="40653"/>
    <cellStyle name="표준 6 2 34 2 5" xfId="27981"/>
    <cellStyle name="표준 6 2 34 3" xfId="5780"/>
    <cellStyle name="표준 6 2 34 3 2" xfId="12116"/>
    <cellStyle name="표준 6 2 34 3 2 2" xfId="24790"/>
    <cellStyle name="표준 6 2 34 3 2 2 2" xfId="50142"/>
    <cellStyle name="표준 6 2 34 3 2 3" xfId="37470"/>
    <cellStyle name="표준 6 2 34 3 3" xfId="18454"/>
    <cellStyle name="표준 6 2 34 3 3 2" xfId="43806"/>
    <cellStyle name="표준 6 2 34 3 4" xfId="31134"/>
    <cellStyle name="표준 6 2 34 4" xfId="8962"/>
    <cellStyle name="표준 6 2 34 4 2" xfId="21636"/>
    <cellStyle name="표준 6 2 34 4 2 2" xfId="46988"/>
    <cellStyle name="표준 6 2 34 4 3" xfId="34316"/>
    <cellStyle name="표준 6 2 34 5" xfId="15300"/>
    <cellStyle name="표준 6 2 34 5 2" xfId="40652"/>
    <cellStyle name="표준 6 2 34 6" xfId="27980"/>
    <cellStyle name="표준 6 2 35" xfId="2627"/>
    <cellStyle name="표준 6 2 35 2" xfId="2628"/>
    <cellStyle name="표준 6 2 35 2 2" xfId="5781"/>
    <cellStyle name="표준 6 2 35 2 2 2" xfId="12117"/>
    <cellStyle name="표준 6 2 35 2 2 2 2" xfId="24791"/>
    <cellStyle name="표준 6 2 35 2 2 2 2 2" xfId="50143"/>
    <cellStyle name="표준 6 2 35 2 2 2 3" xfId="37471"/>
    <cellStyle name="표준 6 2 35 2 2 3" xfId="18455"/>
    <cellStyle name="표준 6 2 35 2 2 3 2" xfId="43807"/>
    <cellStyle name="표준 6 2 35 2 2 4" xfId="31135"/>
    <cellStyle name="표준 6 2 35 2 3" xfId="8965"/>
    <cellStyle name="표준 6 2 35 2 3 2" xfId="21639"/>
    <cellStyle name="표준 6 2 35 2 3 2 2" xfId="46991"/>
    <cellStyle name="표준 6 2 35 2 3 3" xfId="34319"/>
    <cellStyle name="표준 6 2 35 2 4" xfId="15303"/>
    <cellStyle name="표준 6 2 35 2 4 2" xfId="40655"/>
    <cellStyle name="표준 6 2 35 2 5" xfId="27983"/>
    <cellStyle name="표준 6 2 35 3" xfId="5782"/>
    <cellStyle name="표준 6 2 35 3 2" xfId="12118"/>
    <cellStyle name="표준 6 2 35 3 2 2" xfId="24792"/>
    <cellStyle name="표준 6 2 35 3 2 2 2" xfId="50144"/>
    <cellStyle name="표준 6 2 35 3 2 3" xfId="37472"/>
    <cellStyle name="표준 6 2 35 3 3" xfId="18456"/>
    <cellStyle name="표준 6 2 35 3 3 2" xfId="43808"/>
    <cellStyle name="표준 6 2 35 3 4" xfId="31136"/>
    <cellStyle name="표준 6 2 35 4" xfId="8964"/>
    <cellStyle name="표준 6 2 35 4 2" xfId="21638"/>
    <cellStyle name="표준 6 2 35 4 2 2" xfId="46990"/>
    <cellStyle name="표준 6 2 35 4 3" xfId="34318"/>
    <cellStyle name="표준 6 2 35 5" xfId="15302"/>
    <cellStyle name="표준 6 2 35 5 2" xfId="40654"/>
    <cellStyle name="표준 6 2 35 6" xfId="27982"/>
    <cellStyle name="표준 6 2 36" xfId="2629"/>
    <cellStyle name="표준 6 2 36 2" xfId="2630"/>
    <cellStyle name="표준 6 2 36 2 2" xfId="5783"/>
    <cellStyle name="표준 6 2 36 2 2 2" xfId="12119"/>
    <cellStyle name="표준 6 2 36 2 2 2 2" xfId="24793"/>
    <cellStyle name="표준 6 2 36 2 2 2 2 2" xfId="50145"/>
    <cellStyle name="표준 6 2 36 2 2 2 3" xfId="37473"/>
    <cellStyle name="표준 6 2 36 2 2 3" xfId="18457"/>
    <cellStyle name="표준 6 2 36 2 2 3 2" xfId="43809"/>
    <cellStyle name="표준 6 2 36 2 2 4" xfId="31137"/>
    <cellStyle name="표준 6 2 36 2 3" xfId="8967"/>
    <cellStyle name="표준 6 2 36 2 3 2" xfId="21641"/>
    <cellStyle name="표준 6 2 36 2 3 2 2" xfId="46993"/>
    <cellStyle name="표준 6 2 36 2 3 3" xfId="34321"/>
    <cellStyle name="표준 6 2 36 2 4" xfId="15305"/>
    <cellStyle name="표준 6 2 36 2 4 2" xfId="40657"/>
    <cellStyle name="표준 6 2 36 2 5" xfId="27985"/>
    <cellStyle name="표준 6 2 36 3" xfId="5784"/>
    <cellStyle name="표준 6 2 36 3 2" xfId="12120"/>
    <cellStyle name="표준 6 2 36 3 2 2" xfId="24794"/>
    <cellStyle name="표준 6 2 36 3 2 2 2" xfId="50146"/>
    <cellStyle name="표준 6 2 36 3 2 3" xfId="37474"/>
    <cellStyle name="표준 6 2 36 3 3" xfId="18458"/>
    <cellStyle name="표준 6 2 36 3 3 2" xfId="43810"/>
    <cellStyle name="표준 6 2 36 3 4" xfId="31138"/>
    <cellStyle name="표준 6 2 36 4" xfId="8966"/>
    <cellStyle name="표준 6 2 36 4 2" xfId="21640"/>
    <cellStyle name="표준 6 2 36 4 2 2" xfId="46992"/>
    <cellStyle name="표준 6 2 36 4 3" xfId="34320"/>
    <cellStyle name="표준 6 2 36 5" xfId="15304"/>
    <cellStyle name="표준 6 2 36 5 2" xfId="40656"/>
    <cellStyle name="표준 6 2 36 6" xfId="27984"/>
    <cellStyle name="표준 6 2 37" xfId="2631"/>
    <cellStyle name="표준 6 2 37 2" xfId="5785"/>
    <cellStyle name="표준 6 2 37 2 2" xfId="12121"/>
    <cellStyle name="표준 6 2 37 2 2 2" xfId="24795"/>
    <cellStyle name="표준 6 2 37 2 2 2 2" xfId="50147"/>
    <cellStyle name="표준 6 2 37 2 2 3" xfId="37475"/>
    <cellStyle name="표준 6 2 37 2 3" xfId="18459"/>
    <cellStyle name="표준 6 2 37 2 3 2" xfId="43811"/>
    <cellStyle name="표준 6 2 37 2 4" xfId="31139"/>
    <cellStyle name="표준 6 2 37 3" xfId="8968"/>
    <cellStyle name="표준 6 2 37 3 2" xfId="21642"/>
    <cellStyle name="표준 6 2 37 3 2 2" xfId="46994"/>
    <cellStyle name="표준 6 2 37 3 3" xfId="34322"/>
    <cellStyle name="표준 6 2 37 4" xfId="15306"/>
    <cellStyle name="표준 6 2 37 4 2" xfId="40658"/>
    <cellStyle name="표준 6 2 37 5" xfId="27986"/>
    <cellStyle name="표준 6 2 38" xfId="5786"/>
    <cellStyle name="표준 6 2 38 2" xfId="12122"/>
    <cellStyle name="표준 6 2 38 2 2" xfId="24796"/>
    <cellStyle name="표준 6 2 38 2 2 2" xfId="50148"/>
    <cellStyle name="표준 6 2 38 2 3" xfId="37476"/>
    <cellStyle name="표준 6 2 38 3" xfId="18460"/>
    <cellStyle name="표준 6 2 38 3 2" xfId="43812"/>
    <cellStyle name="표준 6 2 38 4" xfId="31140"/>
    <cellStyle name="표준 6 2 39" xfId="6376"/>
    <cellStyle name="표준 6 2 39 2" xfId="19050"/>
    <cellStyle name="표준 6 2 39 2 2" xfId="44402"/>
    <cellStyle name="표준 6 2 39 3" xfId="31730"/>
    <cellStyle name="표준 6 2 4" xfId="95"/>
    <cellStyle name="표준 6 2 4 10" xfId="2632"/>
    <cellStyle name="표준 6 2 4 10 2" xfId="2633"/>
    <cellStyle name="표준 6 2 4 10 2 2" xfId="5787"/>
    <cellStyle name="표준 6 2 4 10 2 2 2" xfId="12123"/>
    <cellStyle name="표준 6 2 4 10 2 2 2 2" xfId="24797"/>
    <cellStyle name="표준 6 2 4 10 2 2 2 2 2" xfId="50149"/>
    <cellStyle name="표준 6 2 4 10 2 2 2 3" xfId="37477"/>
    <cellStyle name="표준 6 2 4 10 2 2 3" xfId="18461"/>
    <cellStyle name="표준 6 2 4 10 2 2 3 2" xfId="43813"/>
    <cellStyle name="표준 6 2 4 10 2 2 4" xfId="31141"/>
    <cellStyle name="표준 6 2 4 10 2 3" xfId="8970"/>
    <cellStyle name="표준 6 2 4 10 2 3 2" xfId="21644"/>
    <cellStyle name="표준 6 2 4 10 2 3 2 2" xfId="46996"/>
    <cellStyle name="표준 6 2 4 10 2 3 3" xfId="34324"/>
    <cellStyle name="표준 6 2 4 10 2 4" xfId="15308"/>
    <cellStyle name="표준 6 2 4 10 2 4 2" xfId="40660"/>
    <cellStyle name="표준 6 2 4 10 2 5" xfId="27988"/>
    <cellStyle name="표준 6 2 4 10 3" xfId="5788"/>
    <cellStyle name="표준 6 2 4 10 3 2" xfId="12124"/>
    <cellStyle name="표준 6 2 4 10 3 2 2" xfId="24798"/>
    <cellStyle name="표준 6 2 4 10 3 2 2 2" xfId="50150"/>
    <cellStyle name="표준 6 2 4 10 3 2 3" xfId="37478"/>
    <cellStyle name="표준 6 2 4 10 3 3" xfId="18462"/>
    <cellStyle name="표준 6 2 4 10 3 3 2" xfId="43814"/>
    <cellStyle name="표준 6 2 4 10 3 4" xfId="31142"/>
    <cellStyle name="표준 6 2 4 10 4" xfId="8969"/>
    <cellStyle name="표준 6 2 4 10 4 2" xfId="21643"/>
    <cellStyle name="표준 6 2 4 10 4 2 2" xfId="46995"/>
    <cellStyle name="표준 6 2 4 10 4 3" xfId="34323"/>
    <cellStyle name="표준 6 2 4 10 5" xfId="15307"/>
    <cellStyle name="표준 6 2 4 10 5 2" xfId="40659"/>
    <cellStyle name="표준 6 2 4 10 6" xfId="27987"/>
    <cellStyle name="표준 6 2 4 11" xfId="2634"/>
    <cellStyle name="표준 6 2 4 11 2" xfId="2635"/>
    <cellStyle name="표준 6 2 4 11 2 2" xfId="5789"/>
    <cellStyle name="표준 6 2 4 11 2 2 2" xfId="12125"/>
    <cellStyle name="표준 6 2 4 11 2 2 2 2" xfId="24799"/>
    <cellStyle name="표준 6 2 4 11 2 2 2 2 2" xfId="50151"/>
    <cellStyle name="표준 6 2 4 11 2 2 2 3" xfId="37479"/>
    <cellStyle name="표준 6 2 4 11 2 2 3" xfId="18463"/>
    <cellStyle name="표준 6 2 4 11 2 2 3 2" xfId="43815"/>
    <cellStyle name="표준 6 2 4 11 2 2 4" xfId="31143"/>
    <cellStyle name="표준 6 2 4 11 2 3" xfId="8972"/>
    <cellStyle name="표준 6 2 4 11 2 3 2" xfId="21646"/>
    <cellStyle name="표준 6 2 4 11 2 3 2 2" xfId="46998"/>
    <cellStyle name="표준 6 2 4 11 2 3 3" xfId="34326"/>
    <cellStyle name="표준 6 2 4 11 2 4" xfId="15310"/>
    <cellStyle name="표준 6 2 4 11 2 4 2" xfId="40662"/>
    <cellStyle name="표준 6 2 4 11 2 5" xfId="27990"/>
    <cellStyle name="표준 6 2 4 11 3" xfId="5790"/>
    <cellStyle name="표준 6 2 4 11 3 2" xfId="12126"/>
    <cellStyle name="표준 6 2 4 11 3 2 2" xfId="24800"/>
    <cellStyle name="표준 6 2 4 11 3 2 2 2" xfId="50152"/>
    <cellStyle name="표준 6 2 4 11 3 2 3" xfId="37480"/>
    <cellStyle name="표준 6 2 4 11 3 3" xfId="18464"/>
    <cellStyle name="표준 6 2 4 11 3 3 2" xfId="43816"/>
    <cellStyle name="표준 6 2 4 11 3 4" xfId="31144"/>
    <cellStyle name="표준 6 2 4 11 4" xfId="8971"/>
    <cellStyle name="표준 6 2 4 11 4 2" xfId="21645"/>
    <cellStyle name="표준 6 2 4 11 4 2 2" xfId="46997"/>
    <cellStyle name="표준 6 2 4 11 4 3" xfId="34325"/>
    <cellStyle name="표준 6 2 4 11 5" xfId="15309"/>
    <cellStyle name="표준 6 2 4 11 5 2" xfId="40661"/>
    <cellStyle name="표준 6 2 4 11 6" xfId="27989"/>
    <cellStyle name="표준 6 2 4 12" xfId="2636"/>
    <cellStyle name="표준 6 2 4 12 2" xfId="2637"/>
    <cellStyle name="표준 6 2 4 12 2 2" xfId="5791"/>
    <cellStyle name="표준 6 2 4 12 2 2 2" xfId="12127"/>
    <cellStyle name="표준 6 2 4 12 2 2 2 2" xfId="24801"/>
    <cellStyle name="표준 6 2 4 12 2 2 2 2 2" xfId="50153"/>
    <cellStyle name="표준 6 2 4 12 2 2 2 3" xfId="37481"/>
    <cellStyle name="표준 6 2 4 12 2 2 3" xfId="18465"/>
    <cellStyle name="표준 6 2 4 12 2 2 3 2" xfId="43817"/>
    <cellStyle name="표준 6 2 4 12 2 2 4" xfId="31145"/>
    <cellStyle name="표준 6 2 4 12 2 3" xfId="8974"/>
    <cellStyle name="표준 6 2 4 12 2 3 2" xfId="21648"/>
    <cellStyle name="표준 6 2 4 12 2 3 2 2" xfId="47000"/>
    <cellStyle name="표준 6 2 4 12 2 3 3" xfId="34328"/>
    <cellStyle name="표준 6 2 4 12 2 4" xfId="15312"/>
    <cellStyle name="표준 6 2 4 12 2 4 2" xfId="40664"/>
    <cellStyle name="표준 6 2 4 12 2 5" xfId="27992"/>
    <cellStyle name="표준 6 2 4 12 3" xfId="5792"/>
    <cellStyle name="표준 6 2 4 12 3 2" xfId="12128"/>
    <cellStyle name="표준 6 2 4 12 3 2 2" xfId="24802"/>
    <cellStyle name="표준 6 2 4 12 3 2 2 2" xfId="50154"/>
    <cellStyle name="표준 6 2 4 12 3 2 3" xfId="37482"/>
    <cellStyle name="표준 6 2 4 12 3 3" xfId="18466"/>
    <cellStyle name="표준 6 2 4 12 3 3 2" xfId="43818"/>
    <cellStyle name="표준 6 2 4 12 3 4" xfId="31146"/>
    <cellStyle name="표준 6 2 4 12 4" xfId="8973"/>
    <cellStyle name="표준 6 2 4 12 4 2" xfId="21647"/>
    <cellStyle name="표준 6 2 4 12 4 2 2" xfId="46999"/>
    <cellStyle name="표준 6 2 4 12 4 3" xfId="34327"/>
    <cellStyle name="표준 6 2 4 12 5" xfId="15311"/>
    <cellStyle name="표준 6 2 4 12 5 2" xfId="40663"/>
    <cellStyle name="표준 6 2 4 12 6" xfId="27991"/>
    <cellStyle name="표준 6 2 4 13" xfId="2638"/>
    <cellStyle name="표준 6 2 4 13 2" xfId="2639"/>
    <cellStyle name="표준 6 2 4 13 2 2" xfId="5793"/>
    <cellStyle name="표준 6 2 4 13 2 2 2" xfId="12129"/>
    <cellStyle name="표준 6 2 4 13 2 2 2 2" xfId="24803"/>
    <cellStyle name="표준 6 2 4 13 2 2 2 2 2" xfId="50155"/>
    <cellStyle name="표준 6 2 4 13 2 2 2 3" xfId="37483"/>
    <cellStyle name="표준 6 2 4 13 2 2 3" xfId="18467"/>
    <cellStyle name="표준 6 2 4 13 2 2 3 2" xfId="43819"/>
    <cellStyle name="표준 6 2 4 13 2 2 4" xfId="31147"/>
    <cellStyle name="표준 6 2 4 13 2 3" xfId="8976"/>
    <cellStyle name="표준 6 2 4 13 2 3 2" xfId="21650"/>
    <cellStyle name="표준 6 2 4 13 2 3 2 2" xfId="47002"/>
    <cellStyle name="표준 6 2 4 13 2 3 3" xfId="34330"/>
    <cellStyle name="표준 6 2 4 13 2 4" xfId="15314"/>
    <cellStyle name="표준 6 2 4 13 2 4 2" xfId="40666"/>
    <cellStyle name="표준 6 2 4 13 2 5" xfId="27994"/>
    <cellStyle name="표준 6 2 4 13 3" xfId="5794"/>
    <cellStyle name="표준 6 2 4 13 3 2" xfId="12130"/>
    <cellStyle name="표준 6 2 4 13 3 2 2" xfId="24804"/>
    <cellStyle name="표준 6 2 4 13 3 2 2 2" xfId="50156"/>
    <cellStyle name="표준 6 2 4 13 3 2 3" xfId="37484"/>
    <cellStyle name="표준 6 2 4 13 3 3" xfId="18468"/>
    <cellStyle name="표준 6 2 4 13 3 3 2" xfId="43820"/>
    <cellStyle name="표준 6 2 4 13 3 4" xfId="31148"/>
    <cellStyle name="표준 6 2 4 13 4" xfId="8975"/>
    <cellStyle name="표준 6 2 4 13 4 2" xfId="21649"/>
    <cellStyle name="표준 6 2 4 13 4 2 2" xfId="47001"/>
    <cellStyle name="표준 6 2 4 13 4 3" xfId="34329"/>
    <cellStyle name="표준 6 2 4 13 5" xfId="15313"/>
    <cellStyle name="표준 6 2 4 13 5 2" xfId="40665"/>
    <cellStyle name="표준 6 2 4 13 6" xfId="27993"/>
    <cellStyle name="표준 6 2 4 14" xfId="2640"/>
    <cellStyle name="표준 6 2 4 14 2" xfId="2641"/>
    <cellStyle name="표준 6 2 4 14 2 2" xfId="5795"/>
    <cellStyle name="표준 6 2 4 14 2 2 2" xfId="12131"/>
    <cellStyle name="표준 6 2 4 14 2 2 2 2" xfId="24805"/>
    <cellStyle name="표준 6 2 4 14 2 2 2 2 2" xfId="50157"/>
    <cellStyle name="표준 6 2 4 14 2 2 2 3" xfId="37485"/>
    <cellStyle name="표준 6 2 4 14 2 2 3" xfId="18469"/>
    <cellStyle name="표준 6 2 4 14 2 2 3 2" xfId="43821"/>
    <cellStyle name="표준 6 2 4 14 2 2 4" xfId="31149"/>
    <cellStyle name="표준 6 2 4 14 2 3" xfId="8978"/>
    <cellStyle name="표준 6 2 4 14 2 3 2" xfId="21652"/>
    <cellStyle name="표준 6 2 4 14 2 3 2 2" xfId="47004"/>
    <cellStyle name="표준 6 2 4 14 2 3 3" xfId="34332"/>
    <cellStyle name="표준 6 2 4 14 2 4" xfId="15316"/>
    <cellStyle name="표준 6 2 4 14 2 4 2" xfId="40668"/>
    <cellStyle name="표준 6 2 4 14 2 5" xfId="27996"/>
    <cellStyle name="표준 6 2 4 14 3" xfId="5796"/>
    <cellStyle name="표준 6 2 4 14 3 2" xfId="12132"/>
    <cellStyle name="표준 6 2 4 14 3 2 2" xfId="24806"/>
    <cellStyle name="표준 6 2 4 14 3 2 2 2" xfId="50158"/>
    <cellStyle name="표준 6 2 4 14 3 2 3" xfId="37486"/>
    <cellStyle name="표준 6 2 4 14 3 3" xfId="18470"/>
    <cellStyle name="표준 6 2 4 14 3 3 2" xfId="43822"/>
    <cellStyle name="표준 6 2 4 14 3 4" xfId="31150"/>
    <cellStyle name="표준 6 2 4 14 4" xfId="8977"/>
    <cellStyle name="표준 6 2 4 14 4 2" xfId="21651"/>
    <cellStyle name="표준 6 2 4 14 4 2 2" xfId="47003"/>
    <cellStyle name="표준 6 2 4 14 4 3" xfId="34331"/>
    <cellStyle name="표준 6 2 4 14 5" xfId="15315"/>
    <cellStyle name="표준 6 2 4 14 5 2" xfId="40667"/>
    <cellStyle name="표준 6 2 4 14 6" xfId="27995"/>
    <cellStyle name="표준 6 2 4 15" xfId="2642"/>
    <cellStyle name="표준 6 2 4 15 2" xfId="2643"/>
    <cellStyle name="표준 6 2 4 15 2 2" xfId="5797"/>
    <cellStyle name="표준 6 2 4 15 2 2 2" xfId="12133"/>
    <cellStyle name="표준 6 2 4 15 2 2 2 2" xfId="24807"/>
    <cellStyle name="표준 6 2 4 15 2 2 2 2 2" xfId="50159"/>
    <cellStyle name="표준 6 2 4 15 2 2 2 3" xfId="37487"/>
    <cellStyle name="표준 6 2 4 15 2 2 3" xfId="18471"/>
    <cellStyle name="표준 6 2 4 15 2 2 3 2" xfId="43823"/>
    <cellStyle name="표준 6 2 4 15 2 2 4" xfId="31151"/>
    <cellStyle name="표준 6 2 4 15 2 3" xfId="8980"/>
    <cellStyle name="표준 6 2 4 15 2 3 2" xfId="21654"/>
    <cellStyle name="표준 6 2 4 15 2 3 2 2" xfId="47006"/>
    <cellStyle name="표준 6 2 4 15 2 3 3" xfId="34334"/>
    <cellStyle name="표준 6 2 4 15 2 4" xfId="15318"/>
    <cellStyle name="표준 6 2 4 15 2 4 2" xfId="40670"/>
    <cellStyle name="표준 6 2 4 15 2 5" xfId="27998"/>
    <cellStyle name="표준 6 2 4 15 3" xfId="5798"/>
    <cellStyle name="표준 6 2 4 15 3 2" xfId="12134"/>
    <cellStyle name="표준 6 2 4 15 3 2 2" xfId="24808"/>
    <cellStyle name="표준 6 2 4 15 3 2 2 2" xfId="50160"/>
    <cellStyle name="표준 6 2 4 15 3 2 3" xfId="37488"/>
    <cellStyle name="표준 6 2 4 15 3 3" xfId="18472"/>
    <cellStyle name="표준 6 2 4 15 3 3 2" xfId="43824"/>
    <cellStyle name="표준 6 2 4 15 3 4" xfId="31152"/>
    <cellStyle name="표준 6 2 4 15 4" xfId="8979"/>
    <cellStyle name="표준 6 2 4 15 4 2" xfId="21653"/>
    <cellStyle name="표준 6 2 4 15 4 2 2" xfId="47005"/>
    <cellStyle name="표준 6 2 4 15 4 3" xfId="34333"/>
    <cellStyle name="표준 6 2 4 15 5" xfId="15317"/>
    <cellStyle name="표준 6 2 4 15 5 2" xfId="40669"/>
    <cellStyle name="표준 6 2 4 15 6" xfId="27997"/>
    <cellStyle name="표준 6 2 4 16" xfId="2644"/>
    <cellStyle name="표준 6 2 4 16 2" xfId="2645"/>
    <cellStyle name="표준 6 2 4 16 2 2" xfId="5799"/>
    <cellStyle name="표준 6 2 4 16 2 2 2" xfId="12135"/>
    <cellStyle name="표준 6 2 4 16 2 2 2 2" xfId="24809"/>
    <cellStyle name="표준 6 2 4 16 2 2 2 2 2" xfId="50161"/>
    <cellStyle name="표준 6 2 4 16 2 2 2 3" xfId="37489"/>
    <cellStyle name="표준 6 2 4 16 2 2 3" xfId="18473"/>
    <cellStyle name="표준 6 2 4 16 2 2 3 2" xfId="43825"/>
    <cellStyle name="표준 6 2 4 16 2 2 4" xfId="31153"/>
    <cellStyle name="표준 6 2 4 16 2 3" xfId="8982"/>
    <cellStyle name="표준 6 2 4 16 2 3 2" xfId="21656"/>
    <cellStyle name="표준 6 2 4 16 2 3 2 2" xfId="47008"/>
    <cellStyle name="표준 6 2 4 16 2 3 3" xfId="34336"/>
    <cellStyle name="표준 6 2 4 16 2 4" xfId="15320"/>
    <cellStyle name="표준 6 2 4 16 2 4 2" xfId="40672"/>
    <cellStyle name="표준 6 2 4 16 2 5" xfId="28000"/>
    <cellStyle name="표준 6 2 4 16 3" xfId="5800"/>
    <cellStyle name="표준 6 2 4 16 3 2" xfId="12136"/>
    <cellStyle name="표준 6 2 4 16 3 2 2" xfId="24810"/>
    <cellStyle name="표준 6 2 4 16 3 2 2 2" xfId="50162"/>
    <cellStyle name="표준 6 2 4 16 3 2 3" xfId="37490"/>
    <cellStyle name="표준 6 2 4 16 3 3" xfId="18474"/>
    <cellStyle name="표준 6 2 4 16 3 3 2" xfId="43826"/>
    <cellStyle name="표준 6 2 4 16 3 4" xfId="31154"/>
    <cellStyle name="표준 6 2 4 16 4" xfId="8981"/>
    <cellStyle name="표준 6 2 4 16 4 2" xfId="21655"/>
    <cellStyle name="표준 6 2 4 16 4 2 2" xfId="47007"/>
    <cellStyle name="표준 6 2 4 16 4 3" xfId="34335"/>
    <cellStyle name="표준 6 2 4 16 5" xfId="15319"/>
    <cellStyle name="표준 6 2 4 16 5 2" xfId="40671"/>
    <cellStyle name="표준 6 2 4 16 6" xfId="27999"/>
    <cellStyle name="표준 6 2 4 17" xfId="2646"/>
    <cellStyle name="표준 6 2 4 17 2" xfId="2647"/>
    <cellStyle name="표준 6 2 4 17 2 2" xfId="5801"/>
    <cellStyle name="표준 6 2 4 17 2 2 2" xfId="12137"/>
    <cellStyle name="표준 6 2 4 17 2 2 2 2" xfId="24811"/>
    <cellStyle name="표준 6 2 4 17 2 2 2 2 2" xfId="50163"/>
    <cellStyle name="표준 6 2 4 17 2 2 2 3" xfId="37491"/>
    <cellStyle name="표준 6 2 4 17 2 2 3" xfId="18475"/>
    <cellStyle name="표준 6 2 4 17 2 2 3 2" xfId="43827"/>
    <cellStyle name="표준 6 2 4 17 2 2 4" xfId="31155"/>
    <cellStyle name="표준 6 2 4 17 2 3" xfId="8984"/>
    <cellStyle name="표준 6 2 4 17 2 3 2" xfId="21658"/>
    <cellStyle name="표준 6 2 4 17 2 3 2 2" xfId="47010"/>
    <cellStyle name="표준 6 2 4 17 2 3 3" xfId="34338"/>
    <cellStyle name="표준 6 2 4 17 2 4" xfId="15322"/>
    <cellStyle name="표준 6 2 4 17 2 4 2" xfId="40674"/>
    <cellStyle name="표준 6 2 4 17 2 5" xfId="28002"/>
    <cellStyle name="표준 6 2 4 17 3" xfId="5802"/>
    <cellStyle name="표준 6 2 4 17 3 2" xfId="12138"/>
    <cellStyle name="표준 6 2 4 17 3 2 2" xfId="24812"/>
    <cellStyle name="표준 6 2 4 17 3 2 2 2" xfId="50164"/>
    <cellStyle name="표준 6 2 4 17 3 2 3" xfId="37492"/>
    <cellStyle name="표준 6 2 4 17 3 3" xfId="18476"/>
    <cellStyle name="표준 6 2 4 17 3 3 2" xfId="43828"/>
    <cellStyle name="표준 6 2 4 17 3 4" xfId="31156"/>
    <cellStyle name="표준 6 2 4 17 4" xfId="8983"/>
    <cellStyle name="표준 6 2 4 17 4 2" xfId="21657"/>
    <cellStyle name="표준 6 2 4 17 4 2 2" xfId="47009"/>
    <cellStyle name="표준 6 2 4 17 4 3" xfId="34337"/>
    <cellStyle name="표준 6 2 4 17 5" xfId="15321"/>
    <cellStyle name="표준 6 2 4 17 5 2" xfId="40673"/>
    <cellStyle name="표준 6 2 4 17 6" xfId="28001"/>
    <cellStyle name="표준 6 2 4 18" xfId="2648"/>
    <cellStyle name="표준 6 2 4 18 2" xfId="2649"/>
    <cellStyle name="표준 6 2 4 18 2 2" xfId="5803"/>
    <cellStyle name="표준 6 2 4 18 2 2 2" xfId="12139"/>
    <cellStyle name="표준 6 2 4 18 2 2 2 2" xfId="24813"/>
    <cellStyle name="표준 6 2 4 18 2 2 2 2 2" xfId="50165"/>
    <cellStyle name="표준 6 2 4 18 2 2 2 3" xfId="37493"/>
    <cellStyle name="표준 6 2 4 18 2 2 3" xfId="18477"/>
    <cellStyle name="표준 6 2 4 18 2 2 3 2" xfId="43829"/>
    <cellStyle name="표준 6 2 4 18 2 2 4" xfId="31157"/>
    <cellStyle name="표준 6 2 4 18 2 3" xfId="8986"/>
    <cellStyle name="표준 6 2 4 18 2 3 2" xfId="21660"/>
    <cellStyle name="표준 6 2 4 18 2 3 2 2" xfId="47012"/>
    <cellStyle name="표준 6 2 4 18 2 3 3" xfId="34340"/>
    <cellStyle name="표준 6 2 4 18 2 4" xfId="15324"/>
    <cellStyle name="표준 6 2 4 18 2 4 2" xfId="40676"/>
    <cellStyle name="표준 6 2 4 18 2 5" xfId="28004"/>
    <cellStyle name="표준 6 2 4 18 3" xfId="5804"/>
    <cellStyle name="표준 6 2 4 18 3 2" xfId="12140"/>
    <cellStyle name="표준 6 2 4 18 3 2 2" xfId="24814"/>
    <cellStyle name="표준 6 2 4 18 3 2 2 2" xfId="50166"/>
    <cellStyle name="표준 6 2 4 18 3 2 3" xfId="37494"/>
    <cellStyle name="표준 6 2 4 18 3 3" xfId="18478"/>
    <cellStyle name="표준 6 2 4 18 3 3 2" xfId="43830"/>
    <cellStyle name="표준 6 2 4 18 3 4" xfId="31158"/>
    <cellStyle name="표준 6 2 4 18 4" xfId="8985"/>
    <cellStyle name="표준 6 2 4 18 4 2" xfId="21659"/>
    <cellStyle name="표준 6 2 4 18 4 2 2" xfId="47011"/>
    <cellStyle name="표준 6 2 4 18 4 3" xfId="34339"/>
    <cellStyle name="표준 6 2 4 18 5" xfId="15323"/>
    <cellStyle name="표준 6 2 4 18 5 2" xfId="40675"/>
    <cellStyle name="표준 6 2 4 18 6" xfId="28003"/>
    <cellStyle name="표준 6 2 4 19" xfId="2650"/>
    <cellStyle name="표준 6 2 4 19 2" xfId="2651"/>
    <cellStyle name="표준 6 2 4 19 2 2" xfId="5805"/>
    <cellStyle name="표준 6 2 4 19 2 2 2" xfId="12141"/>
    <cellStyle name="표준 6 2 4 19 2 2 2 2" xfId="24815"/>
    <cellStyle name="표준 6 2 4 19 2 2 2 2 2" xfId="50167"/>
    <cellStyle name="표준 6 2 4 19 2 2 2 3" xfId="37495"/>
    <cellStyle name="표준 6 2 4 19 2 2 3" xfId="18479"/>
    <cellStyle name="표준 6 2 4 19 2 2 3 2" xfId="43831"/>
    <cellStyle name="표준 6 2 4 19 2 2 4" xfId="31159"/>
    <cellStyle name="표준 6 2 4 19 2 3" xfId="8988"/>
    <cellStyle name="표준 6 2 4 19 2 3 2" xfId="21662"/>
    <cellStyle name="표준 6 2 4 19 2 3 2 2" xfId="47014"/>
    <cellStyle name="표준 6 2 4 19 2 3 3" xfId="34342"/>
    <cellStyle name="표준 6 2 4 19 2 4" xfId="15326"/>
    <cellStyle name="표준 6 2 4 19 2 4 2" xfId="40678"/>
    <cellStyle name="표준 6 2 4 19 2 5" xfId="28006"/>
    <cellStyle name="표준 6 2 4 19 3" xfId="5806"/>
    <cellStyle name="표준 6 2 4 19 3 2" xfId="12142"/>
    <cellStyle name="표준 6 2 4 19 3 2 2" xfId="24816"/>
    <cellStyle name="표준 6 2 4 19 3 2 2 2" xfId="50168"/>
    <cellStyle name="표준 6 2 4 19 3 2 3" xfId="37496"/>
    <cellStyle name="표준 6 2 4 19 3 3" xfId="18480"/>
    <cellStyle name="표준 6 2 4 19 3 3 2" xfId="43832"/>
    <cellStyle name="표준 6 2 4 19 3 4" xfId="31160"/>
    <cellStyle name="표준 6 2 4 19 4" xfId="8987"/>
    <cellStyle name="표준 6 2 4 19 4 2" xfId="21661"/>
    <cellStyle name="표준 6 2 4 19 4 2 2" xfId="47013"/>
    <cellStyle name="표준 6 2 4 19 4 3" xfId="34341"/>
    <cellStyle name="표준 6 2 4 19 5" xfId="15325"/>
    <cellStyle name="표준 6 2 4 19 5 2" xfId="40677"/>
    <cellStyle name="표준 6 2 4 19 6" xfId="28005"/>
    <cellStyle name="표준 6 2 4 2" xfId="2652"/>
    <cellStyle name="표준 6 2 4 2 2" xfId="2653"/>
    <cellStyle name="표준 6 2 4 2 2 2" xfId="5807"/>
    <cellStyle name="표준 6 2 4 2 2 2 2" xfId="12143"/>
    <cellStyle name="표준 6 2 4 2 2 2 2 2" xfId="24817"/>
    <cellStyle name="표준 6 2 4 2 2 2 2 2 2" xfId="50169"/>
    <cellStyle name="표준 6 2 4 2 2 2 2 3" xfId="37497"/>
    <cellStyle name="표준 6 2 4 2 2 2 3" xfId="18481"/>
    <cellStyle name="표준 6 2 4 2 2 2 3 2" xfId="43833"/>
    <cellStyle name="표준 6 2 4 2 2 2 4" xfId="31161"/>
    <cellStyle name="표준 6 2 4 2 2 3" xfId="8990"/>
    <cellStyle name="표준 6 2 4 2 2 3 2" xfId="21664"/>
    <cellStyle name="표준 6 2 4 2 2 3 2 2" xfId="47016"/>
    <cellStyle name="표준 6 2 4 2 2 3 3" xfId="34344"/>
    <cellStyle name="표준 6 2 4 2 2 4" xfId="15328"/>
    <cellStyle name="표준 6 2 4 2 2 4 2" xfId="40680"/>
    <cellStyle name="표준 6 2 4 2 2 5" xfId="28008"/>
    <cellStyle name="표준 6 2 4 2 3" xfId="5808"/>
    <cellStyle name="표준 6 2 4 2 3 2" xfId="12144"/>
    <cellStyle name="표준 6 2 4 2 3 2 2" xfId="24818"/>
    <cellStyle name="표준 6 2 4 2 3 2 2 2" xfId="50170"/>
    <cellStyle name="표준 6 2 4 2 3 2 3" xfId="37498"/>
    <cellStyle name="표준 6 2 4 2 3 3" xfId="18482"/>
    <cellStyle name="표준 6 2 4 2 3 3 2" xfId="43834"/>
    <cellStyle name="표준 6 2 4 2 3 4" xfId="31162"/>
    <cellStyle name="표준 6 2 4 2 4" xfId="8989"/>
    <cellStyle name="표준 6 2 4 2 4 2" xfId="21663"/>
    <cellStyle name="표준 6 2 4 2 4 2 2" xfId="47015"/>
    <cellStyle name="표준 6 2 4 2 4 3" xfId="34343"/>
    <cellStyle name="표준 6 2 4 2 5" xfId="15327"/>
    <cellStyle name="표준 6 2 4 2 5 2" xfId="40679"/>
    <cellStyle name="표준 6 2 4 2 6" xfId="28007"/>
    <cellStyle name="표준 6 2 4 20" xfId="2654"/>
    <cellStyle name="표준 6 2 4 20 2" xfId="2655"/>
    <cellStyle name="표준 6 2 4 20 2 2" xfId="5809"/>
    <cellStyle name="표준 6 2 4 20 2 2 2" xfId="12145"/>
    <cellStyle name="표준 6 2 4 20 2 2 2 2" xfId="24819"/>
    <cellStyle name="표준 6 2 4 20 2 2 2 2 2" xfId="50171"/>
    <cellStyle name="표준 6 2 4 20 2 2 2 3" xfId="37499"/>
    <cellStyle name="표준 6 2 4 20 2 2 3" xfId="18483"/>
    <cellStyle name="표준 6 2 4 20 2 2 3 2" xfId="43835"/>
    <cellStyle name="표준 6 2 4 20 2 2 4" xfId="31163"/>
    <cellStyle name="표준 6 2 4 20 2 3" xfId="8992"/>
    <cellStyle name="표준 6 2 4 20 2 3 2" xfId="21666"/>
    <cellStyle name="표준 6 2 4 20 2 3 2 2" xfId="47018"/>
    <cellStyle name="표준 6 2 4 20 2 3 3" xfId="34346"/>
    <cellStyle name="표준 6 2 4 20 2 4" xfId="15330"/>
    <cellStyle name="표준 6 2 4 20 2 4 2" xfId="40682"/>
    <cellStyle name="표준 6 2 4 20 2 5" xfId="28010"/>
    <cellStyle name="표준 6 2 4 20 3" xfId="5810"/>
    <cellStyle name="표준 6 2 4 20 3 2" xfId="12146"/>
    <cellStyle name="표준 6 2 4 20 3 2 2" xfId="24820"/>
    <cellStyle name="표준 6 2 4 20 3 2 2 2" xfId="50172"/>
    <cellStyle name="표준 6 2 4 20 3 2 3" xfId="37500"/>
    <cellStyle name="표준 6 2 4 20 3 3" xfId="18484"/>
    <cellStyle name="표준 6 2 4 20 3 3 2" xfId="43836"/>
    <cellStyle name="표준 6 2 4 20 3 4" xfId="31164"/>
    <cellStyle name="표준 6 2 4 20 4" xfId="8991"/>
    <cellStyle name="표준 6 2 4 20 4 2" xfId="21665"/>
    <cellStyle name="표준 6 2 4 20 4 2 2" xfId="47017"/>
    <cellStyle name="표준 6 2 4 20 4 3" xfId="34345"/>
    <cellStyle name="표준 6 2 4 20 5" xfId="15329"/>
    <cellStyle name="표준 6 2 4 20 5 2" xfId="40681"/>
    <cellStyle name="표준 6 2 4 20 6" xfId="28009"/>
    <cellStyle name="표준 6 2 4 21" xfId="2656"/>
    <cellStyle name="표준 6 2 4 21 2" xfId="2657"/>
    <cellStyle name="표준 6 2 4 21 2 2" xfId="5811"/>
    <cellStyle name="표준 6 2 4 21 2 2 2" xfId="12147"/>
    <cellStyle name="표준 6 2 4 21 2 2 2 2" xfId="24821"/>
    <cellStyle name="표준 6 2 4 21 2 2 2 2 2" xfId="50173"/>
    <cellStyle name="표준 6 2 4 21 2 2 2 3" xfId="37501"/>
    <cellStyle name="표준 6 2 4 21 2 2 3" xfId="18485"/>
    <cellStyle name="표준 6 2 4 21 2 2 3 2" xfId="43837"/>
    <cellStyle name="표준 6 2 4 21 2 2 4" xfId="31165"/>
    <cellStyle name="표준 6 2 4 21 2 3" xfId="8994"/>
    <cellStyle name="표준 6 2 4 21 2 3 2" xfId="21668"/>
    <cellStyle name="표준 6 2 4 21 2 3 2 2" xfId="47020"/>
    <cellStyle name="표준 6 2 4 21 2 3 3" xfId="34348"/>
    <cellStyle name="표준 6 2 4 21 2 4" xfId="15332"/>
    <cellStyle name="표준 6 2 4 21 2 4 2" xfId="40684"/>
    <cellStyle name="표준 6 2 4 21 2 5" xfId="28012"/>
    <cellStyle name="표준 6 2 4 21 3" xfId="5812"/>
    <cellStyle name="표준 6 2 4 21 3 2" xfId="12148"/>
    <cellStyle name="표준 6 2 4 21 3 2 2" xfId="24822"/>
    <cellStyle name="표준 6 2 4 21 3 2 2 2" xfId="50174"/>
    <cellStyle name="표준 6 2 4 21 3 2 3" xfId="37502"/>
    <cellStyle name="표준 6 2 4 21 3 3" xfId="18486"/>
    <cellStyle name="표준 6 2 4 21 3 3 2" xfId="43838"/>
    <cellStyle name="표준 6 2 4 21 3 4" xfId="31166"/>
    <cellStyle name="표준 6 2 4 21 4" xfId="8993"/>
    <cellStyle name="표준 6 2 4 21 4 2" xfId="21667"/>
    <cellStyle name="표준 6 2 4 21 4 2 2" xfId="47019"/>
    <cellStyle name="표준 6 2 4 21 4 3" xfId="34347"/>
    <cellStyle name="표준 6 2 4 21 5" xfId="15331"/>
    <cellStyle name="표준 6 2 4 21 5 2" xfId="40683"/>
    <cellStyle name="표준 6 2 4 21 6" xfId="28011"/>
    <cellStyle name="표준 6 2 4 22" xfId="2658"/>
    <cellStyle name="표준 6 2 4 22 2" xfId="2659"/>
    <cellStyle name="표준 6 2 4 22 2 2" xfId="5813"/>
    <cellStyle name="표준 6 2 4 22 2 2 2" xfId="12149"/>
    <cellStyle name="표준 6 2 4 22 2 2 2 2" xfId="24823"/>
    <cellStyle name="표준 6 2 4 22 2 2 2 2 2" xfId="50175"/>
    <cellStyle name="표준 6 2 4 22 2 2 2 3" xfId="37503"/>
    <cellStyle name="표준 6 2 4 22 2 2 3" xfId="18487"/>
    <cellStyle name="표준 6 2 4 22 2 2 3 2" xfId="43839"/>
    <cellStyle name="표준 6 2 4 22 2 2 4" xfId="31167"/>
    <cellStyle name="표준 6 2 4 22 2 3" xfId="8996"/>
    <cellStyle name="표준 6 2 4 22 2 3 2" xfId="21670"/>
    <cellStyle name="표준 6 2 4 22 2 3 2 2" xfId="47022"/>
    <cellStyle name="표준 6 2 4 22 2 3 3" xfId="34350"/>
    <cellStyle name="표준 6 2 4 22 2 4" xfId="15334"/>
    <cellStyle name="표준 6 2 4 22 2 4 2" xfId="40686"/>
    <cellStyle name="표준 6 2 4 22 2 5" xfId="28014"/>
    <cellStyle name="표준 6 2 4 22 3" xfId="5814"/>
    <cellStyle name="표준 6 2 4 22 3 2" xfId="12150"/>
    <cellStyle name="표준 6 2 4 22 3 2 2" xfId="24824"/>
    <cellStyle name="표준 6 2 4 22 3 2 2 2" xfId="50176"/>
    <cellStyle name="표준 6 2 4 22 3 2 3" xfId="37504"/>
    <cellStyle name="표준 6 2 4 22 3 3" xfId="18488"/>
    <cellStyle name="표준 6 2 4 22 3 3 2" xfId="43840"/>
    <cellStyle name="표준 6 2 4 22 3 4" xfId="31168"/>
    <cellStyle name="표준 6 2 4 22 4" xfId="8995"/>
    <cellStyle name="표준 6 2 4 22 4 2" xfId="21669"/>
    <cellStyle name="표준 6 2 4 22 4 2 2" xfId="47021"/>
    <cellStyle name="표준 6 2 4 22 4 3" xfId="34349"/>
    <cellStyle name="표준 6 2 4 22 5" xfId="15333"/>
    <cellStyle name="표준 6 2 4 22 5 2" xfId="40685"/>
    <cellStyle name="표준 6 2 4 22 6" xfId="28013"/>
    <cellStyle name="표준 6 2 4 23" xfId="2660"/>
    <cellStyle name="표준 6 2 4 23 2" xfId="2661"/>
    <cellStyle name="표준 6 2 4 23 2 2" xfId="5815"/>
    <cellStyle name="표준 6 2 4 23 2 2 2" xfId="12151"/>
    <cellStyle name="표준 6 2 4 23 2 2 2 2" xfId="24825"/>
    <cellStyle name="표준 6 2 4 23 2 2 2 2 2" xfId="50177"/>
    <cellStyle name="표준 6 2 4 23 2 2 2 3" xfId="37505"/>
    <cellStyle name="표준 6 2 4 23 2 2 3" xfId="18489"/>
    <cellStyle name="표준 6 2 4 23 2 2 3 2" xfId="43841"/>
    <cellStyle name="표준 6 2 4 23 2 2 4" xfId="31169"/>
    <cellStyle name="표준 6 2 4 23 2 3" xfId="8998"/>
    <cellStyle name="표준 6 2 4 23 2 3 2" xfId="21672"/>
    <cellStyle name="표준 6 2 4 23 2 3 2 2" xfId="47024"/>
    <cellStyle name="표준 6 2 4 23 2 3 3" xfId="34352"/>
    <cellStyle name="표준 6 2 4 23 2 4" xfId="15336"/>
    <cellStyle name="표준 6 2 4 23 2 4 2" xfId="40688"/>
    <cellStyle name="표준 6 2 4 23 2 5" xfId="28016"/>
    <cellStyle name="표준 6 2 4 23 3" xfId="5816"/>
    <cellStyle name="표준 6 2 4 23 3 2" xfId="12152"/>
    <cellStyle name="표준 6 2 4 23 3 2 2" xfId="24826"/>
    <cellStyle name="표준 6 2 4 23 3 2 2 2" xfId="50178"/>
    <cellStyle name="표준 6 2 4 23 3 2 3" xfId="37506"/>
    <cellStyle name="표준 6 2 4 23 3 3" xfId="18490"/>
    <cellStyle name="표준 6 2 4 23 3 3 2" xfId="43842"/>
    <cellStyle name="표준 6 2 4 23 3 4" xfId="31170"/>
    <cellStyle name="표준 6 2 4 23 4" xfId="8997"/>
    <cellStyle name="표준 6 2 4 23 4 2" xfId="21671"/>
    <cellStyle name="표준 6 2 4 23 4 2 2" xfId="47023"/>
    <cellStyle name="표준 6 2 4 23 4 3" xfId="34351"/>
    <cellStyle name="표준 6 2 4 23 5" xfId="15335"/>
    <cellStyle name="표준 6 2 4 23 5 2" xfId="40687"/>
    <cellStyle name="표준 6 2 4 23 6" xfId="28015"/>
    <cellStyle name="표준 6 2 4 24" xfId="2662"/>
    <cellStyle name="표준 6 2 4 24 2" xfId="2663"/>
    <cellStyle name="표준 6 2 4 24 2 2" xfId="5817"/>
    <cellStyle name="표준 6 2 4 24 2 2 2" xfId="12153"/>
    <cellStyle name="표준 6 2 4 24 2 2 2 2" xfId="24827"/>
    <cellStyle name="표준 6 2 4 24 2 2 2 2 2" xfId="50179"/>
    <cellStyle name="표준 6 2 4 24 2 2 2 3" xfId="37507"/>
    <cellStyle name="표준 6 2 4 24 2 2 3" xfId="18491"/>
    <cellStyle name="표준 6 2 4 24 2 2 3 2" xfId="43843"/>
    <cellStyle name="표준 6 2 4 24 2 2 4" xfId="31171"/>
    <cellStyle name="표준 6 2 4 24 2 3" xfId="9000"/>
    <cellStyle name="표준 6 2 4 24 2 3 2" xfId="21674"/>
    <cellStyle name="표준 6 2 4 24 2 3 2 2" xfId="47026"/>
    <cellStyle name="표준 6 2 4 24 2 3 3" xfId="34354"/>
    <cellStyle name="표준 6 2 4 24 2 4" xfId="15338"/>
    <cellStyle name="표준 6 2 4 24 2 4 2" xfId="40690"/>
    <cellStyle name="표준 6 2 4 24 2 5" xfId="28018"/>
    <cellStyle name="표준 6 2 4 24 3" xfId="5818"/>
    <cellStyle name="표준 6 2 4 24 3 2" xfId="12154"/>
    <cellStyle name="표준 6 2 4 24 3 2 2" xfId="24828"/>
    <cellStyle name="표준 6 2 4 24 3 2 2 2" xfId="50180"/>
    <cellStyle name="표준 6 2 4 24 3 2 3" xfId="37508"/>
    <cellStyle name="표준 6 2 4 24 3 3" xfId="18492"/>
    <cellStyle name="표준 6 2 4 24 3 3 2" xfId="43844"/>
    <cellStyle name="표준 6 2 4 24 3 4" xfId="31172"/>
    <cellStyle name="표준 6 2 4 24 4" xfId="8999"/>
    <cellStyle name="표준 6 2 4 24 4 2" xfId="21673"/>
    <cellStyle name="표준 6 2 4 24 4 2 2" xfId="47025"/>
    <cellStyle name="표준 6 2 4 24 4 3" xfId="34353"/>
    <cellStyle name="표준 6 2 4 24 5" xfId="15337"/>
    <cellStyle name="표준 6 2 4 24 5 2" xfId="40689"/>
    <cellStyle name="표준 6 2 4 24 6" xfId="28017"/>
    <cellStyle name="표준 6 2 4 25" xfId="2664"/>
    <cellStyle name="표준 6 2 4 25 2" xfId="2665"/>
    <cellStyle name="표준 6 2 4 25 2 2" xfId="5819"/>
    <cellStyle name="표준 6 2 4 25 2 2 2" xfId="12155"/>
    <cellStyle name="표준 6 2 4 25 2 2 2 2" xfId="24829"/>
    <cellStyle name="표준 6 2 4 25 2 2 2 2 2" xfId="50181"/>
    <cellStyle name="표준 6 2 4 25 2 2 2 3" xfId="37509"/>
    <cellStyle name="표준 6 2 4 25 2 2 3" xfId="18493"/>
    <cellStyle name="표준 6 2 4 25 2 2 3 2" xfId="43845"/>
    <cellStyle name="표준 6 2 4 25 2 2 4" xfId="31173"/>
    <cellStyle name="표준 6 2 4 25 2 3" xfId="9002"/>
    <cellStyle name="표준 6 2 4 25 2 3 2" xfId="21676"/>
    <cellStyle name="표준 6 2 4 25 2 3 2 2" xfId="47028"/>
    <cellStyle name="표준 6 2 4 25 2 3 3" xfId="34356"/>
    <cellStyle name="표준 6 2 4 25 2 4" xfId="15340"/>
    <cellStyle name="표준 6 2 4 25 2 4 2" xfId="40692"/>
    <cellStyle name="표준 6 2 4 25 2 5" xfId="28020"/>
    <cellStyle name="표준 6 2 4 25 3" xfId="5820"/>
    <cellStyle name="표준 6 2 4 25 3 2" xfId="12156"/>
    <cellStyle name="표준 6 2 4 25 3 2 2" xfId="24830"/>
    <cellStyle name="표준 6 2 4 25 3 2 2 2" xfId="50182"/>
    <cellStyle name="표준 6 2 4 25 3 2 3" xfId="37510"/>
    <cellStyle name="표준 6 2 4 25 3 3" xfId="18494"/>
    <cellStyle name="표준 6 2 4 25 3 3 2" xfId="43846"/>
    <cellStyle name="표준 6 2 4 25 3 4" xfId="31174"/>
    <cellStyle name="표준 6 2 4 25 4" xfId="9001"/>
    <cellStyle name="표준 6 2 4 25 4 2" xfId="21675"/>
    <cellStyle name="표준 6 2 4 25 4 2 2" xfId="47027"/>
    <cellStyle name="표준 6 2 4 25 4 3" xfId="34355"/>
    <cellStyle name="표준 6 2 4 25 5" xfId="15339"/>
    <cellStyle name="표준 6 2 4 25 5 2" xfId="40691"/>
    <cellStyle name="표준 6 2 4 25 6" xfId="28019"/>
    <cellStyle name="표준 6 2 4 26" xfId="2666"/>
    <cellStyle name="표준 6 2 4 26 2" xfId="2667"/>
    <cellStyle name="표준 6 2 4 26 2 2" xfId="5821"/>
    <cellStyle name="표준 6 2 4 26 2 2 2" xfId="12157"/>
    <cellStyle name="표준 6 2 4 26 2 2 2 2" xfId="24831"/>
    <cellStyle name="표준 6 2 4 26 2 2 2 2 2" xfId="50183"/>
    <cellStyle name="표준 6 2 4 26 2 2 2 3" xfId="37511"/>
    <cellStyle name="표준 6 2 4 26 2 2 3" xfId="18495"/>
    <cellStyle name="표준 6 2 4 26 2 2 3 2" xfId="43847"/>
    <cellStyle name="표준 6 2 4 26 2 2 4" xfId="31175"/>
    <cellStyle name="표준 6 2 4 26 2 3" xfId="9004"/>
    <cellStyle name="표준 6 2 4 26 2 3 2" xfId="21678"/>
    <cellStyle name="표준 6 2 4 26 2 3 2 2" xfId="47030"/>
    <cellStyle name="표준 6 2 4 26 2 3 3" xfId="34358"/>
    <cellStyle name="표준 6 2 4 26 2 4" xfId="15342"/>
    <cellStyle name="표준 6 2 4 26 2 4 2" xfId="40694"/>
    <cellStyle name="표준 6 2 4 26 2 5" xfId="28022"/>
    <cellStyle name="표준 6 2 4 26 3" xfId="5822"/>
    <cellStyle name="표준 6 2 4 26 3 2" xfId="12158"/>
    <cellStyle name="표준 6 2 4 26 3 2 2" xfId="24832"/>
    <cellStyle name="표준 6 2 4 26 3 2 2 2" xfId="50184"/>
    <cellStyle name="표준 6 2 4 26 3 2 3" xfId="37512"/>
    <cellStyle name="표준 6 2 4 26 3 3" xfId="18496"/>
    <cellStyle name="표준 6 2 4 26 3 3 2" xfId="43848"/>
    <cellStyle name="표준 6 2 4 26 3 4" xfId="31176"/>
    <cellStyle name="표준 6 2 4 26 4" xfId="9003"/>
    <cellStyle name="표준 6 2 4 26 4 2" xfId="21677"/>
    <cellStyle name="표준 6 2 4 26 4 2 2" xfId="47029"/>
    <cellStyle name="표준 6 2 4 26 4 3" xfId="34357"/>
    <cellStyle name="표준 6 2 4 26 5" xfId="15341"/>
    <cellStyle name="표준 6 2 4 26 5 2" xfId="40693"/>
    <cellStyle name="표준 6 2 4 26 6" xfId="28021"/>
    <cellStyle name="표준 6 2 4 27" xfId="2668"/>
    <cellStyle name="표준 6 2 4 27 2" xfId="2669"/>
    <cellStyle name="표준 6 2 4 27 2 2" xfId="5823"/>
    <cellStyle name="표준 6 2 4 27 2 2 2" xfId="12159"/>
    <cellStyle name="표준 6 2 4 27 2 2 2 2" xfId="24833"/>
    <cellStyle name="표준 6 2 4 27 2 2 2 2 2" xfId="50185"/>
    <cellStyle name="표준 6 2 4 27 2 2 2 3" xfId="37513"/>
    <cellStyle name="표준 6 2 4 27 2 2 3" xfId="18497"/>
    <cellStyle name="표준 6 2 4 27 2 2 3 2" xfId="43849"/>
    <cellStyle name="표준 6 2 4 27 2 2 4" xfId="31177"/>
    <cellStyle name="표준 6 2 4 27 2 3" xfId="9006"/>
    <cellStyle name="표준 6 2 4 27 2 3 2" xfId="21680"/>
    <cellStyle name="표준 6 2 4 27 2 3 2 2" xfId="47032"/>
    <cellStyle name="표준 6 2 4 27 2 3 3" xfId="34360"/>
    <cellStyle name="표준 6 2 4 27 2 4" xfId="15344"/>
    <cellStyle name="표준 6 2 4 27 2 4 2" xfId="40696"/>
    <cellStyle name="표준 6 2 4 27 2 5" xfId="28024"/>
    <cellStyle name="표준 6 2 4 27 3" xfId="5824"/>
    <cellStyle name="표준 6 2 4 27 3 2" xfId="12160"/>
    <cellStyle name="표준 6 2 4 27 3 2 2" xfId="24834"/>
    <cellStyle name="표준 6 2 4 27 3 2 2 2" xfId="50186"/>
    <cellStyle name="표준 6 2 4 27 3 2 3" xfId="37514"/>
    <cellStyle name="표준 6 2 4 27 3 3" xfId="18498"/>
    <cellStyle name="표준 6 2 4 27 3 3 2" xfId="43850"/>
    <cellStyle name="표준 6 2 4 27 3 4" xfId="31178"/>
    <cellStyle name="표준 6 2 4 27 4" xfId="9005"/>
    <cellStyle name="표준 6 2 4 27 4 2" xfId="21679"/>
    <cellStyle name="표준 6 2 4 27 4 2 2" xfId="47031"/>
    <cellStyle name="표준 6 2 4 27 4 3" xfId="34359"/>
    <cellStyle name="표준 6 2 4 27 5" xfId="15343"/>
    <cellStyle name="표준 6 2 4 27 5 2" xfId="40695"/>
    <cellStyle name="표준 6 2 4 27 6" xfId="28023"/>
    <cellStyle name="표준 6 2 4 28" xfId="2670"/>
    <cellStyle name="표준 6 2 4 28 2" xfId="2671"/>
    <cellStyle name="표준 6 2 4 28 2 2" xfId="5825"/>
    <cellStyle name="표준 6 2 4 28 2 2 2" xfId="12161"/>
    <cellStyle name="표준 6 2 4 28 2 2 2 2" xfId="24835"/>
    <cellStyle name="표준 6 2 4 28 2 2 2 2 2" xfId="50187"/>
    <cellStyle name="표준 6 2 4 28 2 2 2 3" xfId="37515"/>
    <cellStyle name="표준 6 2 4 28 2 2 3" xfId="18499"/>
    <cellStyle name="표준 6 2 4 28 2 2 3 2" xfId="43851"/>
    <cellStyle name="표준 6 2 4 28 2 2 4" xfId="31179"/>
    <cellStyle name="표준 6 2 4 28 2 3" xfId="9008"/>
    <cellStyle name="표준 6 2 4 28 2 3 2" xfId="21682"/>
    <cellStyle name="표준 6 2 4 28 2 3 2 2" xfId="47034"/>
    <cellStyle name="표준 6 2 4 28 2 3 3" xfId="34362"/>
    <cellStyle name="표준 6 2 4 28 2 4" xfId="15346"/>
    <cellStyle name="표준 6 2 4 28 2 4 2" xfId="40698"/>
    <cellStyle name="표준 6 2 4 28 2 5" xfId="28026"/>
    <cellStyle name="표준 6 2 4 28 3" xfId="5826"/>
    <cellStyle name="표준 6 2 4 28 3 2" xfId="12162"/>
    <cellStyle name="표준 6 2 4 28 3 2 2" xfId="24836"/>
    <cellStyle name="표준 6 2 4 28 3 2 2 2" xfId="50188"/>
    <cellStyle name="표준 6 2 4 28 3 2 3" xfId="37516"/>
    <cellStyle name="표준 6 2 4 28 3 3" xfId="18500"/>
    <cellStyle name="표준 6 2 4 28 3 3 2" xfId="43852"/>
    <cellStyle name="표준 6 2 4 28 3 4" xfId="31180"/>
    <cellStyle name="표준 6 2 4 28 4" xfId="9007"/>
    <cellStyle name="표준 6 2 4 28 4 2" xfId="21681"/>
    <cellStyle name="표준 6 2 4 28 4 2 2" xfId="47033"/>
    <cellStyle name="표준 6 2 4 28 4 3" xfId="34361"/>
    <cellStyle name="표준 6 2 4 28 5" xfId="15345"/>
    <cellStyle name="표준 6 2 4 28 5 2" xfId="40697"/>
    <cellStyle name="표준 6 2 4 28 6" xfId="28025"/>
    <cellStyle name="표준 6 2 4 29" xfId="2672"/>
    <cellStyle name="표준 6 2 4 29 2" xfId="2673"/>
    <cellStyle name="표준 6 2 4 29 2 2" xfId="5827"/>
    <cellStyle name="표준 6 2 4 29 2 2 2" xfId="12163"/>
    <cellStyle name="표준 6 2 4 29 2 2 2 2" xfId="24837"/>
    <cellStyle name="표준 6 2 4 29 2 2 2 2 2" xfId="50189"/>
    <cellStyle name="표준 6 2 4 29 2 2 2 3" xfId="37517"/>
    <cellStyle name="표준 6 2 4 29 2 2 3" xfId="18501"/>
    <cellStyle name="표준 6 2 4 29 2 2 3 2" xfId="43853"/>
    <cellStyle name="표준 6 2 4 29 2 2 4" xfId="31181"/>
    <cellStyle name="표준 6 2 4 29 2 3" xfId="9010"/>
    <cellStyle name="표준 6 2 4 29 2 3 2" xfId="21684"/>
    <cellStyle name="표준 6 2 4 29 2 3 2 2" xfId="47036"/>
    <cellStyle name="표준 6 2 4 29 2 3 3" xfId="34364"/>
    <cellStyle name="표준 6 2 4 29 2 4" xfId="15348"/>
    <cellStyle name="표준 6 2 4 29 2 4 2" xfId="40700"/>
    <cellStyle name="표준 6 2 4 29 2 5" xfId="28028"/>
    <cellStyle name="표준 6 2 4 29 3" xfId="5828"/>
    <cellStyle name="표준 6 2 4 29 3 2" xfId="12164"/>
    <cellStyle name="표준 6 2 4 29 3 2 2" xfId="24838"/>
    <cellStyle name="표준 6 2 4 29 3 2 2 2" xfId="50190"/>
    <cellStyle name="표준 6 2 4 29 3 2 3" xfId="37518"/>
    <cellStyle name="표준 6 2 4 29 3 3" xfId="18502"/>
    <cellStyle name="표준 6 2 4 29 3 3 2" xfId="43854"/>
    <cellStyle name="표준 6 2 4 29 3 4" xfId="31182"/>
    <cellStyle name="표준 6 2 4 29 4" xfId="9009"/>
    <cellStyle name="표준 6 2 4 29 4 2" xfId="21683"/>
    <cellStyle name="표준 6 2 4 29 4 2 2" xfId="47035"/>
    <cellStyle name="표준 6 2 4 29 4 3" xfId="34363"/>
    <cellStyle name="표준 6 2 4 29 5" xfId="15347"/>
    <cellStyle name="표준 6 2 4 29 5 2" xfId="40699"/>
    <cellStyle name="표준 6 2 4 29 6" xfId="28027"/>
    <cellStyle name="표준 6 2 4 3" xfId="2674"/>
    <cellStyle name="표준 6 2 4 3 2" xfId="2675"/>
    <cellStyle name="표준 6 2 4 3 2 2" xfId="5829"/>
    <cellStyle name="표준 6 2 4 3 2 2 2" xfId="12165"/>
    <cellStyle name="표준 6 2 4 3 2 2 2 2" xfId="24839"/>
    <cellStyle name="표준 6 2 4 3 2 2 2 2 2" xfId="50191"/>
    <cellStyle name="표준 6 2 4 3 2 2 2 3" xfId="37519"/>
    <cellStyle name="표준 6 2 4 3 2 2 3" xfId="18503"/>
    <cellStyle name="표준 6 2 4 3 2 2 3 2" xfId="43855"/>
    <cellStyle name="표준 6 2 4 3 2 2 4" xfId="31183"/>
    <cellStyle name="표준 6 2 4 3 2 3" xfId="9012"/>
    <cellStyle name="표준 6 2 4 3 2 3 2" xfId="21686"/>
    <cellStyle name="표준 6 2 4 3 2 3 2 2" xfId="47038"/>
    <cellStyle name="표준 6 2 4 3 2 3 3" xfId="34366"/>
    <cellStyle name="표준 6 2 4 3 2 4" xfId="15350"/>
    <cellStyle name="표준 6 2 4 3 2 4 2" xfId="40702"/>
    <cellStyle name="표준 6 2 4 3 2 5" xfId="28030"/>
    <cellStyle name="표준 6 2 4 3 3" xfId="5830"/>
    <cellStyle name="표준 6 2 4 3 3 2" xfId="12166"/>
    <cellStyle name="표준 6 2 4 3 3 2 2" xfId="24840"/>
    <cellStyle name="표준 6 2 4 3 3 2 2 2" xfId="50192"/>
    <cellStyle name="표준 6 2 4 3 3 2 3" xfId="37520"/>
    <cellStyle name="표준 6 2 4 3 3 3" xfId="18504"/>
    <cellStyle name="표준 6 2 4 3 3 3 2" xfId="43856"/>
    <cellStyle name="표준 6 2 4 3 3 4" xfId="31184"/>
    <cellStyle name="표준 6 2 4 3 4" xfId="9011"/>
    <cellStyle name="표준 6 2 4 3 4 2" xfId="21685"/>
    <cellStyle name="표준 6 2 4 3 4 2 2" xfId="47037"/>
    <cellStyle name="표준 6 2 4 3 4 3" xfId="34365"/>
    <cellStyle name="표준 6 2 4 3 5" xfId="15349"/>
    <cellStyle name="표준 6 2 4 3 5 2" xfId="40701"/>
    <cellStyle name="표준 6 2 4 3 6" xfId="28029"/>
    <cellStyle name="표준 6 2 4 30" xfId="2676"/>
    <cellStyle name="표준 6 2 4 30 2" xfId="2677"/>
    <cellStyle name="표준 6 2 4 30 2 2" xfId="5831"/>
    <cellStyle name="표준 6 2 4 30 2 2 2" xfId="12167"/>
    <cellStyle name="표준 6 2 4 30 2 2 2 2" xfId="24841"/>
    <cellStyle name="표준 6 2 4 30 2 2 2 2 2" xfId="50193"/>
    <cellStyle name="표준 6 2 4 30 2 2 2 3" xfId="37521"/>
    <cellStyle name="표준 6 2 4 30 2 2 3" xfId="18505"/>
    <cellStyle name="표준 6 2 4 30 2 2 3 2" xfId="43857"/>
    <cellStyle name="표준 6 2 4 30 2 2 4" xfId="31185"/>
    <cellStyle name="표준 6 2 4 30 2 3" xfId="9014"/>
    <cellStyle name="표준 6 2 4 30 2 3 2" xfId="21688"/>
    <cellStyle name="표준 6 2 4 30 2 3 2 2" xfId="47040"/>
    <cellStyle name="표준 6 2 4 30 2 3 3" xfId="34368"/>
    <cellStyle name="표준 6 2 4 30 2 4" xfId="15352"/>
    <cellStyle name="표준 6 2 4 30 2 4 2" xfId="40704"/>
    <cellStyle name="표준 6 2 4 30 2 5" xfId="28032"/>
    <cellStyle name="표준 6 2 4 30 3" xfId="5832"/>
    <cellStyle name="표준 6 2 4 30 3 2" xfId="12168"/>
    <cellStyle name="표준 6 2 4 30 3 2 2" xfId="24842"/>
    <cellStyle name="표준 6 2 4 30 3 2 2 2" xfId="50194"/>
    <cellStyle name="표준 6 2 4 30 3 2 3" xfId="37522"/>
    <cellStyle name="표준 6 2 4 30 3 3" xfId="18506"/>
    <cellStyle name="표준 6 2 4 30 3 3 2" xfId="43858"/>
    <cellStyle name="표준 6 2 4 30 3 4" xfId="31186"/>
    <cellStyle name="표준 6 2 4 30 4" xfId="9013"/>
    <cellStyle name="표준 6 2 4 30 4 2" xfId="21687"/>
    <cellStyle name="표준 6 2 4 30 4 2 2" xfId="47039"/>
    <cellStyle name="표준 6 2 4 30 4 3" xfId="34367"/>
    <cellStyle name="표준 6 2 4 30 5" xfId="15351"/>
    <cellStyle name="표준 6 2 4 30 5 2" xfId="40703"/>
    <cellStyle name="표준 6 2 4 30 6" xfId="28031"/>
    <cellStyle name="표준 6 2 4 31" xfId="2678"/>
    <cellStyle name="표준 6 2 4 31 2" xfId="2679"/>
    <cellStyle name="표준 6 2 4 31 2 2" xfId="5833"/>
    <cellStyle name="표준 6 2 4 31 2 2 2" xfId="12169"/>
    <cellStyle name="표준 6 2 4 31 2 2 2 2" xfId="24843"/>
    <cellStyle name="표준 6 2 4 31 2 2 2 2 2" xfId="50195"/>
    <cellStyle name="표준 6 2 4 31 2 2 2 3" xfId="37523"/>
    <cellStyle name="표준 6 2 4 31 2 2 3" xfId="18507"/>
    <cellStyle name="표준 6 2 4 31 2 2 3 2" xfId="43859"/>
    <cellStyle name="표준 6 2 4 31 2 2 4" xfId="31187"/>
    <cellStyle name="표준 6 2 4 31 2 3" xfId="9016"/>
    <cellStyle name="표준 6 2 4 31 2 3 2" xfId="21690"/>
    <cellStyle name="표준 6 2 4 31 2 3 2 2" xfId="47042"/>
    <cellStyle name="표준 6 2 4 31 2 3 3" xfId="34370"/>
    <cellStyle name="표준 6 2 4 31 2 4" xfId="15354"/>
    <cellStyle name="표준 6 2 4 31 2 4 2" xfId="40706"/>
    <cellStyle name="표준 6 2 4 31 2 5" xfId="28034"/>
    <cellStyle name="표준 6 2 4 31 3" xfId="5834"/>
    <cellStyle name="표준 6 2 4 31 3 2" xfId="12170"/>
    <cellStyle name="표준 6 2 4 31 3 2 2" xfId="24844"/>
    <cellStyle name="표준 6 2 4 31 3 2 2 2" xfId="50196"/>
    <cellStyle name="표준 6 2 4 31 3 2 3" xfId="37524"/>
    <cellStyle name="표준 6 2 4 31 3 3" xfId="18508"/>
    <cellStyle name="표준 6 2 4 31 3 3 2" xfId="43860"/>
    <cellStyle name="표준 6 2 4 31 3 4" xfId="31188"/>
    <cellStyle name="표준 6 2 4 31 4" xfId="9015"/>
    <cellStyle name="표준 6 2 4 31 4 2" xfId="21689"/>
    <cellStyle name="표준 6 2 4 31 4 2 2" xfId="47041"/>
    <cellStyle name="표준 6 2 4 31 4 3" xfId="34369"/>
    <cellStyle name="표준 6 2 4 31 5" xfId="15353"/>
    <cellStyle name="표준 6 2 4 31 5 2" xfId="40705"/>
    <cellStyle name="표준 6 2 4 31 6" xfId="28033"/>
    <cellStyle name="표준 6 2 4 32" xfId="2680"/>
    <cellStyle name="표준 6 2 4 32 2" xfId="2681"/>
    <cellStyle name="표준 6 2 4 32 2 2" xfId="5835"/>
    <cellStyle name="표준 6 2 4 32 2 2 2" xfId="12171"/>
    <cellStyle name="표준 6 2 4 32 2 2 2 2" xfId="24845"/>
    <cellStyle name="표준 6 2 4 32 2 2 2 2 2" xfId="50197"/>
    <cellStyle name="표준 6 2 4 32 2 2 2 3" xfId="37525"/>
    <cellStyle name="표준 6 2 4 32 2 2 3" xfId="18509"/>
    <cellStyle name="표준 6 2 4 32 2 2 3 2" xfId="43861"/>
    <cellStyle name="표준 6 2 4 32 2 2 4" xfId="31189"/>
    <cellStyle name="표준 6 2 4 32 2 3" xfId="9018"/>
    <cellStyle name="표준 6 2 4 32 2 3 2" xfId="21692"/>
    <cellStyle name="표준 6 2 4 32 2 3 2 2" xfId="47044"/>
    <cellStyle name="표준 6 2 4 32 2 3 3" xfId="34372"/>
    <cellStyle name="표준 6 2 4 32 2 4" xfId="15356"/>
    <cellStyle name="표준 6 2 4 32 2 4 2" xfId="40708"/>
    <cellStyle name="표준 6 2 4 32 2 5" xfId="28036"/>
    <cellStyle name="표준 6 2 4 32 3" xfId="5836"/>
    <cellStyle name="표준 6 2 4 32 3 2" xfId="12172"/>
    <cellStyle name="표준 6 2 4 32 3 2 2" xfId="24846"/>
    <cellStyle name="표준 6 2 4 32 3 2 2 2" xfId="50198"/>
    <cellStyle name="표준 6 2 4 32 3 2 3" xfId="37526"/>
    <cellStyle name="표준 6 2 4 32 3 3" xfId="18510"/>
    <cellStyle name="표준 6 2 4 32 3 3 2" xfId="43862"/>
    <cellStyle name="표준 6 2 4 32 3 4" xfId="31190"/>
    <cellStyle name="표준 6 2 4 32 4" xfId="9017"/>
    <cellStyle name="표준 6 2 4 32 4 2" xfId="21691"/>
    <cellStyle name="표준 6 2 4 32 4 2 2" xfId="47043"/>
    <cellStyle name="표준 6 2 4 32 4 3" xfId="34371"/>
    <cellStyle name="표준 6 2 4 32 5" xfId="15355"/>
    <cellStyle name="표준 6 2 4 32 5 2" xfId="40707"/>
    <cellStyle name="표준 6 2 4 32 6" xfId="28035"/>
    <cellStyle name="표준 6 2 4 33" xfId="2682"/>
    <cellStyle name="표준 6 2 4 33 2" xfId="2683"/>
    <cellStyle name="표준 6 2 4 33 2 2" xfId="5837"/>
    <cellStyle name="표준 6 2 4 33 2 2 2" xfId="12173"/>
    <cellStyle name="표준 6 2 4 33 2 2 2 2" xfId="24847"/>
    <cellStyle name="표준 6 2 4 33 2 2 2 2 2" xfId="50199"/>
    <cellStyle name="표준 6 2 4 33 2 2 2 3" xfId="37527"/>
    <cellStyle name="표준 6 2 4 33 2 2 3" xfId="18511"/>
    <cellStyle name="표준 6 2 4 33 2 2 3 2" xfId="43863"/>
    <cellStyle name="표준 6 2 4 33 2 2 4" xfId="31191"/>
    <cellStyle name="표준 6 2 4 33 2 3" xfId="9020"/>
    <cellStyle name="표준 6 2 4 33 2 3 2" xfId="21694"/>
    <cellStyle name="표준 6 2 4 33 2 3 2 2" xfId="47046"/>
    <cellStyle name="표준 6 2 4 33 2 3 3" xfId="34374"/>
    <cellStyle name="표준 6 2 4 33 2 4" xfId="15358"/>
    <cellStyle name="표준 6 2 4 33 2 4 2" xfId="40710"/>
    <cellStyle name="표준 6 2 4 33 2 5" xfId="28038"/>
    <cellStyle name="표준 6 2 4 33 3" xfId="5838"/>
    <cellStyle name="표준 6 2 4 33 3 2" xfId="12174"/>
    <cellStyle name="표준 6 2 4 33 3 2 2" xfId="24848"/>
    <cellStyle name="표준 6 2 4 33 3 2 2 2" xfId="50200"/>
    <cellStyle name="표준 6 2 4 33 3 2 3" xfId="37528"/>
    <cellStyle name="표준 6 2 4 33 3 3" xfId="18512"/>
    <cellStyle name="표준 6 2 4 33 3 3 2" xfId="43864"/>
    <cellStyle name="표준 6 2 4 33 3 4" xfId="31192"/>
    <cellStyle name="표준 6 2 4 33 4" xfId="9019"/>
    <cellStyle name="표준 6 2 4 33 4 2" xfId="21693"/>
    <cellStyle name="표준 6 2 4 33 4 2 2" xfId="47045"/>
    <cellStyle name="표준 6 2 4 33 4 3" xfId="34373"/>
    <cellStyle name="표준 6 2 4 33 5" xfId="15357"/>
    <cellStyle name="표준 6 2 4 33 5 2" xfId="40709"/>
    <cellStyle name="표준 6 2 4 33 6" xfId="28037"/>
    <cellStyle name="표준 6 2 4 34" xfId="2684"/>
    <cellStyle name="표준 6 2 4 34 2" xfId="5839"/>
    <cellStyle name="표준 6 2 4 34 2 2" xfId="12175"/>
    <cellStyle name="표준 6 2 4 34 2 2 2" xfId="24849"/>
    <cellStyle name="표준 6 2 4 34 2 2 2 2" xfId="50201"/>
    <cellStyle name="표준 6 2 4 34 2 2 3" xfId="37529"/>
    <cellStyle name="표준 6 2 4 34 2 3" xfId="18513"/>
    <cellStyle name="표준 6 2 4 34 2 3 2" xfId="43865"/>
    <cellStyle name="표준 6 2 4 34 2 4" xfId="31193"/>
    <cellStyle name="표준 6 2 4 34 3" xfId="9021"/>
    <cellStyle name="표준 6 2 4 34 3 2" xfId="21695"/>
    <cellStyle name="표준 6 2 4 34 3 2 2" xfId="47047"/>
    <cellStyle name="표준 6 2 4 34 3 3" xfId="34375"/>
    <cellStyle name="표준 6 2 4 34 4" xfId="15359"/>
    <cellStyle name="표준 6 2 4 34 4 2" xfId="40711"/>
    <cellStyle name="표준 6 2 4 34 5" xfId="28039"/>
    <cellStyle name="표준 6 2 4 35" xfId="5840"/>
    <cellStyle name="표준 6 2 4 35 2" xfId="12176"/>
    <cellStyle name="표준 6 2 4 35 2 2" xfId="24850"/>
    <cellStyle name="표준 6 2 4 35 2 2 2" xfId="50202"/>
    <cellStyle name="표준 6 2 4 35 2 3" xfId="37530"/>
    <cellStyle name="표준 6 2 4 35 3" xfId="18514"/>
    <cellStyle name="표준 6 2 4 35 3 2" xfId="43866"/>
    <cellStyle name="표준 6 2 4 35 4" xfId="31194"/>
    <cellStyle name="표준 6 2 4 36" xfId="6433"/>
    <cellStyle name="표준 6 2 4 36 2" xfId="19107"/>
    <cellStyle name="표준 6 2 4 36 2 2" xfId="44459"/>
    <cellStyle name="표준 6 2 4 36 3" xfId="31787"/>
    <cellStyle name="표준 6 2 4 37" xfId="12771"/>
    <cellStyle name="표준 6 2 4 37 2" xfId="38123"/>
    <cellStyle name="표준 6 2 4 38" xfId="25451"/>
    <cellStyle name="표준 6 2 4 4" xfId="2685"/>
    <cellStyle name="표준 6 2 4 4 2" xfId="2686"/>
    <cellStyle name="표준 6 2 4 4 2 2" xfId="5841"/>
    <cellStyle name="표준 6 2 4 4 2 2 2" xfId="12177"/>
    <cellStyle name="표준 6 2 4 4 2 2 2 2" xfId="24851"/>
    <cellStyle name="표준 6 2 4 4 2 2 2 2 2" xfId="50203"/>
    <cellStyle name="표준 6 2 4 4 2 2 2 3" xfId="37531"/>
    <cellStyle name="표준 6 2 4 4 2 2 3" xfId="18515"/>
    <cellStyle name="표준 6 2 4 4 2 2 3 2" xfId="43867"/>
    <cellStyle name="표준 6 2 4 4 2 2 4" xfId="31195"/>
    <cellStyle name="표준 6 2 4 4 2 3" xfId="9023"/>
    <cellStyle name="표준 6 2 4 4 2 3 2" xfId="21697"/>
    <cellStyle name="표준 6 2 4 4 2 3 2 2" xfId="47049"/>
    <cellStyle name="표준 6 2 4 4 2 3 3" xfId="34377"/>
    <cellStyle name="표준 6 2 4 4 2 4" xfId="15361"/>
    <cellStyle name="표준 6 2 4 4 2 4 2" xfId="40713"/>
    <cellStyle name="표준 6 2 4 4 2 5" xfId="28041"/>
    <cellStyle name="표준 6 2 4 4 3" xfId="5842"/>
    <cellStyle name="표준 6 2 4 4 3 2" xfId="12178"/>
    <cellStyle name="표준 6 2 4 4 3 2 2" xfId="24852"/>
    <cellStyle name="표준 6 2 4 4 3 2 2 2" xfId="50204"/>
    <cellStyle name="표준 6 2 4 4 3 2 3" xfId="37532"/>
    <cellStyle name="표준 6 2 4 4 3 3" xfId="18516"/>
    <cellStyle name="표준 6 2 4 4 3 3 2" xfId="43868"/>
    <cellStyle name="표준 6 2 4 4 3 4" xfId="31196"/>
    <cellStyle name="표준 6 2 4 4 4" xfId="9022"/>
    <cellStyle name="표준 6 2 4 4 4 2" xfId="21696"/>
    <cellStyle name="표준 6 2 4 4 4 2 2" xfId="47048"/>
    <cellStyle name="표준 6 2 4 4 4 3" xfId="34376"/>
    <cellStyle name="표준 6 2 4 4 5" xfId="15360"/>
    <cellStyle name="표준 6 2 4 4 5 2" xfId="40712"/>
    <cellStyle name="표준 6 2 4 4 6" xfId="28040"/>
    <cellStyle name="표준 6 2 4 5" xfId="2687"/>
    <cellStyle name="표준 6 2 4 5 2" xfId="2688"/>
    <cellStyle name="표준 6 2 4 5 2 2" xfId="5843"/>
    <cellStyle name="표준 6 2 4 5 2 2 2" xfId="12179"/>
    <cellStyle name="표준 6 2 4 5 2 2 2 2" xfId="24853"/>
    <cellStyle name="표준 6 2 4 5 2 2 2 2 2" xfId="50205"/>
    <cellStyle name="표준 6 2 4 5 2 2 2 3" xfId="37533"/>
    <cellStyle name="표준 6 2 4 5 2 2 3" xfId="18517"/>
    <cellStyle name="표준 6 2 4 5 2 2 3 2" xfId="43869"/>
    <cellStyle name="표준 6 2 4 5 2 2 4" xfId="31197"/>
    <cellStyle name="표준 6 2 4 5 2 3" xfId="9025"/>
    <cellStyle name="표준 6 2 4 5 2 3 2" xfId="21699"/>
    <cellStyle name="표준 6 2 4 5 2 3 2 2" xfId="47051"/>
    <cellStyle name="표준 6 2 4 5 2 3 3" xfId="34379"/>
    <cellStyle name="표준 6 2 4 5 2 4" xfId="15363"/>
    <cellStyle name="표준 6 2 4 5 2 4 2" xfId="40715"/>
    <cellStyle name="표준 6 2 4 5 2 5" xfId="28043"/>
    <cellStyle name="표준 6 2 4 5 3" xfId="5844"/>
    <cellStyle name="표준 6 2 4 5 3 2" xfId="12180"/>
    <cellStyle name="표준 6 2 4 5 3 2 2" xfId="24854"/>
    <cellStyle name="표준 6 2 4 5 3 2 2 2" xfId="50206"/>
    <cellStyle name="표준 6 2 4 5 3 2 3" xfId="37534"/>
    <cellStyle name="표준 6 2 4 5 3 3" xfId="18518"/>
    <cellStyle name="표준 6 2 4 5 3 3 2" xfId="43870"/>
    <cellStyle name="표준 6 2 4 5 3 4" xfId="31198"/>
    <cellStyle name="표준 6 2 4 5 4" xfId="9024"/>
    <cellStyle name="표준 6 2 4 5 4 2" xfId="21698"/>
    <cellStyle name="표준 6 2 4 5 4 2 2" xfId="47050"/>
    <cellStyle name="표준 6 2 4 5 4 3" xfId="34378"/>
    <cellStyle name="표준 6 2 4 5 5" xfId="15362"/>
    <cellStyle name="표준 6 2 4 5 5 2" xfId="40714"/>
    <cellStyle name="표준 6 2 4 5 6" xfId="28042"/>
    <cellStyle name="표준 6 2 4 6" xfId="2689"/>
    <cellStyle name="표준 6 2 4 6 2" xfId="2690"/>
    <cellStyle name="표준 6 2 4 6 2 2" xfId="5845"/>
    <cellStyle name="표준 6 2 4 6 2 2 2" xfId="12181"/>
    <cellStyle name="표준 6 2 4 6 2 2 2 2" xfId="24855"/>
    <cellStyle name="표준 6 2 4 6 2 2 2 2 2" xfId="50207"/>
    <cellStyle name="표준 6 2 4 6 2 2 2 3" xfId="37535"/>
    <cellStyle name="표준 6 2 4 6 2 2 3" xfId="18519"/>
    <cellStyle name="표준 6 2 4 6 2 2 3 2" xfId="43871"/>
    <cellStyle name="표준 6 2 4 6 2 2 4" xfId="31199"/>
    <cellStyle name="표준 6 2 4 6 2 3" xfId="9027"/>
    <cellStyle name="표준 6 2 4 6 2 3 2" xfId="21701"/>
    <cellStyle name="표준 6 2 4 6 2 3 2 2" xfId="47053"/>
    <cellStyle name="표준 6 2 4 6 2 3 3" xfId="34381"/>
    <cellStyle name="표준 6 2 4 6 2 4" xfId="15365"/>
    <cellStyle name="표준 6 2 4 6 2 4 2" xfId="40717"/>
    <cellStyle name="표준 6 2 4 6 2 5" xfId="28045"/>
    <cellStyle name="표준 6 2 4 6 3" xfId="5846"/>
    <cellStyle name="표준 6 2 4 6 3 2" xfId="12182"/>
    <cellStyle name="표준 6 2 4 6 3 2 2" xfId="24856"/>
    <cellStyle name="표준 6 2 4 6 3 2 2 2" xfId="50208"/>
    <cellStyle name="표준 6 2 4 6 3 2 3" xfId="37536"/>
    <cellStyle name="표준 6 2 4 6 3 3" xfId="18520"/>
    <cellStyle name="표준 6 2 4 6 3 3 2" xfId="43872"/>
    <cellStyle name="표준 6 2 4 6 3 4" xfId="31200"/>
    <cellStyle name="표준 6 2 4 6 4" xfId="9026"/>
    <cellStyle name="표준 6 2 4 6 4 2" xfId="21700"/>
    <cellStyle name="표준 6 2 4 6 4 2 2" xfId="47052"/>
    <cellStyle name="표준 6 2 4 6 4 3" xfId="34380"/>
    <cellStyle name="표준 6 2 4 6 5" xfId="15364"/>
    <cellStyle name="표준 6 2 4 6 5 2" xfId="40716"/>
    <cellStyle name="표준 6 2 4 6 6" xfId="28044"/>
    <cellStyle name="표준 6 2 4 7" xfId="2691"/>
    <cellStyle name="표준 6 2 4 7 2" xfId="2692"/>
    <cellStyle name="표준 6 2 4 7 2 2" xfId="5847"/>
    <cellStyle name="표준 6 2 4 7 2 2 2" xfId="12183"/>
    <cellStyle name="표준 6 2 4 7 2 2 2 2" xfId="24857"/>
    <cellStyle name="표준 6 2 4 7 2 2 2 2 2" xfId="50209"/>
    <cellStyle name="표준 6 2 4 7 2 2 2 3" xfId="37537"/>
    <cellStyle name="표준 6 2 4 7 2 2 3" xfId="18521"/>
    <cellStyle name="표준 6 2 4 7 2 2 3 2" xfId="43873"/>
    <cellStyle name="표준 6 2 4 7 2 2 4" xfId="31201"/>
    <cellStyle name="표준 6 2 4 7 2 3" xfId="9029"/>
    <cellStyle name="표준 6 2 4 7 2 3 2" xfId="21703"/>
    <cellStyle name="표준 6 2 4 7 2 3 2 2" xfId="47055"/>
    <cellStyle name="표준 6 2 4 7 2 3 3" xfId="34383"/>
    <cellStyle name="표준 6 2 4 7 2 4" xfId="15367"/>
    <cellStyle name="표준 6 2 4 7 2 4 2" xfId="40719"/>
    <cellStyle name="표준 6 2 4 7 2 5" xfId="28047"/>
    <cellStyle name="표준 6 2 4 7 3" xfId="5848"/>
    <cellStyle name="표준 6 2 4 7 3 2" xfId="12184"/>
    <cellStyle name="표준 6 2 4 7 3 2 2" xfId="24858"/>
    <cellStyle name="표준 6 2 4 7 3 2 2 2" xfId="50210"/>
    <cellStyle name="표준 6 2 4 7 3 2 3" xfId="37538"/>
    <cellStyle name="표준 6 2 4 7 3 3" xfId="18522"/>
    <cellStyle name="표준 6 2 4 7 3 3 2" xfId="43874"/>
    <cellStyle name="표준 6 2 4 7 3 4" xfId="31202"/>
    <cellStyle name="표준 6 2 4 7 4" xfId="9028"/>
    <cellStyle name="표준 6 2 4 7 4 2" xfId="21702"/>
    <cellStyle name="표준 6 2 4 7 4 2 2" xfId="47054"/>
    <cellStyle name="표준 6 2 4 7 4 3" xfId="34382"/>
    <cellStyle name="표준 6 2 4 7 5" xfId="15366"/>
    <cellStyle name="표준 6 2 4 7 5 2" xfId="40718"/>
    <cellStyle name="표준 6 2 4 7 6" xfId="28046"/>
    <cellStyle name="표준 6 2 4 8" xfId="2693"/>
    <cellStyle name="표준 6 2 4 8 2" xfId="2694"/>
    <cellStyle name="표준 6 2 4 8 2 2" xfId="5849"/>
    <cellStyle name="표준 6 2 4 8 2 2 2" xfId="12185"/>
    <cellStyle name="표준 6 2 4 8 2 2 2 2" xfId="24859"/>
    <cellStyle name="표준 6 2 4 8 2 2 2 2 2" xfId="50211"/>
    <cellStyle name="표준 6 2 4 8 2 2 2 3" xfId="37539"/>
    <cellStyle name="표준 6 2 4 8 2 2 3" xfId="18523"/>
    <cellStyle name="표준 6 2 4 8 2 2 3 2" xfId="43875"/>
    <cellStyle name="표준 6 2 4 8 2 2 4" xfId="31203"/>
    <cellStyle name="표준 6 2 4 8 2 3" xfId="9031"/>
    <cellStyle name="표준 6 2 4 8 2 3 2" xfId="21705"/>
    <cellStyle name="표준 6 2 4 8 2 3 2 2" xfId="47057"/>
    <cellStyle name="표준 6 2 4 8 2 3 3" xfId="34385"/>
    <cellStyle name="표준 6 2 4 8 2 4" xfId="15369"/>
    <cellStyle name="표준 6 2 4 8 2 4 2" xfId="40721"/>
    <cellStyle name="표준 6 2 4 8 2 5" xfId="28049"/>
    <cellStyle name="표준 6 2 4 8 3" xfId="5850"/>
    <cellStyle name="표준 6 2 4 8 3 2" xfId="12186"/>
    <cellStyle name="표준 6 2 4 8 3 2 2" xfId="24860"/>
    <cellStyle name="표준 6 2 4 8 3 2 2 2" xfId="50212"/>
    <cellStyle name="표준 6 2 4 8 3 2 3" xfId="37540"/>
    <cellStyle name="표준 6 2 4 8 3 3" xfId="18524"/>
    <cellStyle name="표준 6 2 4 8 3 3 2" xfId="43876"/>
    <cellStyle name="표준 6 2 4 8 3 4" xfId="31204"/>
    <cellStyle name="표준 6 2 4 8 4" xfId="9030"/>
    <cellStyle name="표준 6 2 4 8 4 2" xfId="21704"/>
    <cellStyle name="표준 6 2 4 8 4 2 2" xfId="47056"/>
    <cellStyle name="표준 6 2 4 8 4 3" xfId="34384"/>
    <cellStyle name="표준 6 2 4 8 5" xfId="15368"/>
    <cellStyle name="표준 6 2 4 8 5 2" xfId="40720"/>
    <cellStyle name="표준 6 2 4 8 6" xfId="28048"/>
    <cellStyle name="표준 6 2 4 9" xfId="2695"/>
    <cellStyle name="표준 6 2 4 9 2" xfId="2696"/>
    <cellStyle name="표준 6 2 4 9 2 2" xfId="5851"/>
    <cellStyle name="표준 6 2 4 9 2 2 2" xfId="12187"/>
    <cellStyle name="표준 6 2 4 9 2 2 2 2" xfId="24861"/>
    <cellStyle name="표준 6 2 4 9 2 2 2 2 2" xfId="50213"/>
    <cellStyle name="표준 6 2 4 9 2 2 2 3" xfId="37541"/>
    <cellStyle name="표준 6 2 4 9 2 2 3" xfId="18525"/>
    <cellStyle name="표준 6 2 4 9 2 2 3 2" xfId="43877"/>
    <cellStyle name="표준 6 2 4 9 2 2 4" xfId="31205"/>
    <cellStyle name="표준 6 2 4 9 2 3" xfId="9033"/>
    <cellStyle name="표준 6 2 4 9 2 3 2" xfId="21707"/>
    <cellStyle name="표준 6 2 4 9 2 3 2 2" xfId="47059"/>
    <cellStyle name="표준 6 2 4 9 2 3 3" xfId="34387"/>
    <cellStyle name="표준 6 2 4 9 2 4" xfId="15371"/>
    <cellStyle name="표준 6 2 4 9 2 4 2" xfId="40723"/>
    <cellStyle name="표준 6 2 4 9 2 5" xfId="28051"/>
    <cellStyle name="표준 6 2 4 9 3" xfId="5852"/>
    <cellStyle name="표준 6 2 4 9 3 2" xfId="12188"/>
    <cellStyle name="표준 6 2 4 9 3 2 2" xfId="24862"/>
    <cellStyle name="표준 6 2 4 9 3 2 2 2" xfId="50214"/>
    <cellStyle name="표준 6 2 4 9 3 2 3" xfId="37542"/>
    <cellStyle name="표준 6 2 4 9 3 3" xfId="18526"/>
    <cellStyle name="표준 6 2 4 9 3 3 2" xfId="43878"/>
    <cellStyle name="표준 6 2 4 9 3 4" xfId="31206"/>
    <cellStyle name="표준 6 2 4 9 4" xfId="9032"/>
    <cellStyle name="표준 6 2 4 9 4 2" xfId="21706"/>
    <cellStyle name="표준 6 2 4 9 4 2 2" xfId="47058"/>
    <cellStyle name="표준 6 2 4 9 4 3" xfId="34386"/>
    <cellStyle name="표준 6 2 4 9 5" xfId="15370"/>
    <cellStyle name="표준 6 2 4 9 5 2" xfId="40722"/>
    <cellStyle name="표준 6 2 4 9 6" xfId="28050"/>
    <cellStyle name="표준 6 2 40" xfId="12714"/>
    <cellStyle name="표준 6 2 40 2" xfId="38066"/>
    <cellStyle name="표준 6 2 41" xfId="25394"/>
    <cellStyle name="표준 6 2 5" xfId="96"/>
    <cellStyle name="표준 6 2 5 2" xfId="2697"/>
    <cellStyle name="표준 6 2 5 2 2" xfId="5853"/>
    <cellStyle name="표준 6 2 5 2 2 2" xfId="12189"/>
    <cellStyle name="표준 6 2 5 2 2 2 2" xfId="24863"/>
    <cellStyle name="표준 6 2 5 2 2 2 2 2" xfId="50215"/>
    <cellStyle name="표준 6 2 5 2 2 2 3" xfId="37543"/>
    <cellStyle name="표준 6 2 5 2 2 3" xfId="18527"/>
    <cellStyle name="표준 6 2 5 2 2 3 2" xfId="43879"/>
    <cellStyle name="표준 6 2 5 2 2 4" xfId="31207"/>
    <cellStyle name="표준 6 2 5 2 3" xfId="9034"/>
    <cellStyle name="표준 6 2 5 2 3 2" xfId="21708"/>
    <cellStyle name="표준 6 2 5 2 3 2 2" xfId="47060"/>
    <cellStyle name="표준 6 2 5 2 3 3" xfId="34388"/>
    <cellStyle name="표준 6 2 5 2 4" xfId="15372"/>
    <cellStyle name="표준 6 2 5 2 4 2" xfId="40724"/>
    <cellStyle name="표준 6 2 5 2 5" xfId="28052"/>
    <cellStyle name="표준 6 2 5 3" xfId="5854"/>
    <cellStyle name="표준 6 2 5 3 2" xfId="12190"/>
    <cellStyle name="표준 6 2 5 3 2 2" xfId="24864"/>
    <cellStyle name="표준 6 2 5 3 2 2 2" xfId="50216"/>
    <cellStyle name="표준 6 2 5 3 2 3" xfId="37544"/>
    <cellStyle name="표준 6 2 5 3 3" xfId="18528"/>
    <cellStyle name="표준 6 2 5 3 3 2" xfId="43880"/>
    <cellStyle name="표준 6 2 5 3 4" xfId="31208"/>
    <cellStyle name="표준 6 2 5 4" xfId="6434"/>
    <cellStyle name="표준 6 2 5 4 2" xfId="19108"/>
    <cellStyle name="표준 6 2 5 4 2 2" xfId="44460"/>
    <cellStyle name="표준 6 2 5 4 3" xfId="31788"/>
    <cellStyle name="표준 6 2 5 5" xfId="12772"/>
    <cellStyle name="표준 6 2 5 5 2" xfId="38124"/>
    <cellStyle name="표준 6 2 5 6" xfId="25452"/>
    <cellStyle name="표준 6 2 6" xfId="2698"/>
    <cellStyle name="표준 6 2 6 2" xfId="2699"/>
    <cellStyle name="표준 6 2 6 2 2" xfId="5855"/>
    <cellStyle name="표준 6 2 6 2 2 2" xfId="12191"/>
    <cellStyle name="표준 6 2 6 2 2 2 2" xfId="24865"/>
    <cellStyle name="표준 6 2 6 2 2 2 2 2" xfId="50217"/>
    <cellStyle name="표준 6 2 6 2 2 2 3" xfId="37545"/>
    <cellStyle name="표준 6 2 6 2 2 3" xfId="18529"/>
    <cellStyle name="표준 6 2 6 2 2 3 2" xfId="43881"/>
    <cellStyle name="표준 6 2 6 2 2 4" xfId="31209"/>
    <cellStyle name="표준 6 2 6 2 3" xfId="9036"/>
    <cellStyle name="표준 6 2 6 2 3 2" xfId="21710"/>
    <cellStyle name="표준 6 2 6 2 3 2 2" xfId="47062"/>
    <cellStyle name="표준 6 2 6 2 3 3" xfId="34390"/>
    <cellStyle name="표준 6 2 6 2 4" xfId="15374"/>
    <cellStyle name="표준 6 2 6 2 4 2" xfId="40726"/>
    <cellStyle name="표준 6 2 6 2 5" xfId="28054"/>
    <cellStyle name="표준 6 2 6 3" xfId="5856"/>
    <cellStyle name="표준 6 2 6 3 2" xfId="12192"/>
    <cellStyle name="표준 6 2 6 3 2 2" xfId="24866"/>
    <cellStyle name="표준 6 2 6 3 2 2 2" xfId="50218"/>
    <cellStyle name="표준 6 2 6 3 2 3" xfId="37546"/>
    <cellStyle name="표준 6 2 6 3 3" xfId="18530"/>
    <cellStyle name="표준 6 2 6 3 3 2" xfId="43882"/>
    <cellStyle name="표준 6 2 6 3 4" xfId="31210"/>
    <cellStyle name="표준 6 2 6 4" xfId="9035"/>
    <cellStyle name="표준 6 2 6 4 2" xfId="21709"/>
    <cellStyle name="표준 6 2 6 4 2 2" xfId="47061"/>
    <cellStyle name="표준 6 2 6 4 3" xfId="34389"/>
    <cellStyle name="표준 6 2 6 5" xfId="15373"/>
    <cellStyle name="표준 6 2 6 5 2" xfId="40725"/>
    <cellStyle name="표준 6 2 6 6" xfId="28053"/>
    <cellStyle name="표준 6 2 7" xfId="2700"/>
    <cellStyle name="표준 6 2 7 2" xfId="2701"/>
    <cellStyle name="표준 6 2 7 2 2" xfId="5857"/>
    <cellStyle name="표준 6 2 7 2 2 2" xfId="12193"/>
    <cellStyle name="표준 6 2 7 2 2 2 2" xfId="24867"/>
    <cellStyle name="표준 6 2 7 2 2 2 2 2" xfId="50219"/>
    <cellStyle name="표준 6 2 7 2 2 2 3" xfId="37547"/>
    <cellStyle name="표준 6 2 7 2 2 3" xfId="18531"/>
    <cellStyle name="표준 6 2 7 2 2 3 2" xfId="43883"/>
    <cellStyle name="표준 6 2 7 2 2 4" xfId="31211"/>
    <cellStyle name="표준 6 2 7 2 3" xfId="9038"/>
    <cellStyle name="표준 6 2 7 2 3 2" xfId="21712"/>
    <cellStyle name="표준 6 2 7 2 3 2 2" xfId="47064"/>
    <cellStyle name="표준 6 2 7 2 3 3" xfId="34392"/>
    <cellStyle name="표준 6 2 7 2 4" xfId="15376"/>
    <cellStyle name="표준 6 2 7 2 4 2" xfId="40728"/>
    <cellStyle name="표준 6 2 7 2 5" xfId="28056"/>
    <cellStyle name="표준 6 2 7 3" xfId="5858"/>
    <cellStyle name="표준 6 2 7 3 2" xfId="12194"/>
    <cellStyle name="표준 6 2 7 3 2 2" xfId="24868"/>
    <cellStyle name="표준 6 2 7 3 2 2 2" xfId="50220"/>
    <cellStyle name="표준 6 2 7 3 2 3" xfId="37548"/>
    <cellStyle name="표준 6 2 7 3 3" xfId="18532"/>
    <cellStyle name="표준 6 2 7 3 3 2" xfId="43884"/>
    <cellStyle name="표준 6 2 7 3 4" xfId="31212"/>
    <cellStyle name="표준 6 2 7 4" xfId="9037"/>
    <cellStyle name="표준 6 2 7 4 2" xfId="21711"/>
    <cellStyle name="표준 6 2 7 4 2 2" xfId="47063"/>
    <cellStyle name="표준 6 2 7 4 3" xfId="34391"/>
    <cellStyle name="표준 6 2 7 5" xfId="15375"/>
    <cellStyle name="표준 6 2 7 5 2" xfId="40727"/>
    <cellStyle name="표준 6 2 7 6" xfId="28055"/>
    <cellStyle name="표준 6 2 8" xfId="2702"/>
    <cellStyle name="표준 6 2 8 2" xfId="2703"/>
    <cellStyle name="표준 6 2 8 2 2" xfId="5859"/>
    <cellStyle name="표준 6 2 8 2 2 2" xfId="12195"/>
    <cellStyle name="표준 6 2 8 2 2 2 2" xfId="24869"/>
    <cellStyle name="표준 6 2 8 2 2 2 2 2" xfId="50221"/>
    <cellStyle name="표준 6 2 8 2 2 2 3" xfId="37549"/>
    <cellStyle name="표준 6 2 8 2 2 3" xfId="18533"/>
    <cellStyle name="표준 6 2 8 2 2 3 2" xfId="43885"/>
    <cellStyle name="표준 6 2 8 2 2 4" xfId="31213"/>
    <cellStyle name="표준 6 2 8 2 3" xfId="9040"/>
    <cellStyle name="표준 6 2 8 2 3 2" xfId="21714"/>
    <cellStyle name="표준 6 2 8 2 3 2 2" xfId="47066"/>
    <cellStyle name="표준 6 2 8 2 3 3" xfId="34394"/>
    <cellStyle name="표준 6 2 8 2 4" xfId="15378"/>
    <cellStyle name="표준 6 2 8 2 4 2" xfId="40730"/>
    <cellStyle name="표준 6 2 8 2 5" xfId="28058"/>
    <cellStyle name="표준 6 2 8 3" xfId="5860"/>
    <cellStyle name="표준 6 2 8 3 2" xfId="12196"/>
    <cellStyle name="표준 6 2 8 3 2 2" xfId="24870"/>
    <cellStyle name="표준 6 2 8 3 2 2 2" xfId="50222"/>
    <cellStyle name="표준 6 2 8 3 2 3" xfId="37550"/>
    <cellStyle name="표준 6 2 8 3 3" xfId="18534"/>
    <cellStyle name="표준 6 2 8 3 3 2" xfId="43886"/>
    <cellStyle name="표준 6 2 8 3 4" xfId="31214"/>
    <cellStyle name="표준 6 2 8 4" xfId="9039"/>
    <cellStyle name="표준 6 2 8 4 2" xfId="21713"/>
    <cellStyle name="표준 6 2 8 4 2 2" xfId="47065"/>
    <cellStyle name="표준 6 2 8 4 3" xfId="34393"/>
    <cellStyle name="표준 6 2 8 5" xfId="15377"/>
    <cellStyle name="표준 6 2 8 5 2" xfId="40729"/>
    <cellStyle name="표준 6 2 8 6" xfId="28057"/>
    <cellStyle name="표준 6 2 9" xfId="2704"/>
    <cellStyle name="표준 6 2 9 2" xfId="2705"/>
    <cellStyle name="표준 6 2 9 2 2" xfId="5861"/>
    <cellStyle name="표준 6 2 9 2 2 2" xfId="12197"/>
    <cellStyle name="표준 6 2 9 2 2 2 2" xfId="24871"/>
    <cellStyle name="표준 6 2 9 2 2 2 2 2" xfId="50223"/>
    <cellStyle name="표준 6 2 9 2 2 2 3" xfId="37551"/>
    <cellStyle name="표준 6 2 9 2 2 3" xfId="18535"/>
    <cellStyle name="표준 6 2 9 2 2 3 2" xfId="43887"/>
    <cellStyle name="표준 6 2 9 2 2 4" xfId="31215"/>
    <cellStyle name="표준 6 2 9 2 3" xfId="9042"/>
    <cellStyle name="표준 6 2 9 2 3 2" xfId="21716"/>
    <cellStyle name="표준 6 2 9 2 3 2 2" xfId="47068"/>
    <cellStyle name="표준 6 2 9 2 3 3" xfId="34396"/>
    <cellStyle name="표준 6 2 9 2 4" xfId="15380"/>
    <cellStyle name="표준 6 2 9 2 4 2" xfId="40732"/>
    <cellStyle name="표준 6 2 9 2 5" xfId="28060"/>
    <cellStyle name="표준 6 2 9 3" xfId="5862"/>
    <cellStyle name="표준 6 2 9 3 2" xfId="12198"/>
    <cellStyle name="표준 6 2 9 3 2 2" xfId="24872"/>
    <cellStyle name="표준 6 2 9 3 2 2 2" xfId="50224"/>
    <cellStyle name="표준 6 2 9 3 2 3" xfId="37552"/>
    <cellStyle name="표준 6 2 9 3 3" xfId="18536"/>
    <cellStyle name="표준 6 2 9 3 3 2" xfId="43888"/>
    <cellStyle name="표준 6 2 9 3 4" xfId="31216"/>
    <cellStyle name="표준 6 2 9 4" xfId="9041"/>
    <cellStyle name="표준 6 2 9 4 2" xfId="21715"/>
    <cellStyle name="표준 6 2 9 4 2 2" xfId="47067"/>
    <cellStyle name="표준 6 2 9 4 3" xfId="34395"/>
    <cellStyle name="표준 6 2 9 5" xfId="15379"/>
    <cellStyle name="표준 6 2 9 5 2" xfId="40731"/>
    <cellStyle name="표준 6 2 9 6" xfId="28059"/>
    <cellStyle name="표준 6 20" xfId="2706"/>
    <cellStyle name="표준 6 20 2" xfId="2707"/>
    <cellStyle name="표준 6 20 2 2" xfId="5863"/>
    <cellStyle name="표준 6 20 2 2 2" xfId="12199"/>
    <cellStyle name="표준 6 20 2 2 2 2" xfId="24873"/>
    <cellStyle name="표준 6 20 2 2 2 2 2" xfId="50225"/>
    <cellStyle name="표준 6 20 2 2 2 3" xfId="37553"/>
    <cellStyle name="표준 6 20 2 2 3" xfId="18537"/>
    <cellStyle name="표준 6 20 2 2 3 2" xfId="43889"/>
    <cellStyle name="표준 6 20 2 2 4" xfId="31217"/>
    <cellStyle name="표준 6 20 2 3" xfId="9044"/>
    <cellStyle name="표준 6 20 2 3 2" xfId="21718"/>
    <cellStyle name="표준 6 20 2 3 2 2" xfId="47070"/>
    <cellStyle name="표준 6 20 2 3 3" xfId="34398"/>
    <cellStyle name="표준 6 20 2 4" xfId="15382"/>
    <cellStyle name="표준 6 20 2 4 2" xfId="40734"/>
    <cellStyle name="표준 6 20 2 5" xfId="28062"/>
    <cellStyle name="표준 6 20 3" xfId="5864"/>
    <cellStyle name="표준 6 20 3 2" xfId="12200"/>
    <cellStyle name="표준 6 20 3 2 2" xfId="24874"/>
    <cellStyle name="표준 6 20 3 2 2 2" xfId="50226"/>
    <cellStyle name="표준 6 20 3 2 3" xfId="37554"/>
    <cellStyle name="표준 6 20 3 3" xfId="18538"/>
    <cellStyle name="표준 6 20 3 3 2" xfId="43890"/>
    <cellStyle name="표준 6 20 3 4" xfId="31218"/>
    <cellStyle name="표준 6 20 4" xfId="9043"/>
    <cellStyle name="표준 6 20 4 2" xfId="21717"/>
    <cellStyle name="표준 6 20 4 2 2" xfId="47069"/>
    <cellStyle name="표준 6 20 4 3" xfId="34397"/>
    <cellStyle name="표준 6 20 5" xfId="15381"/>
    <cellStyle name="표준 6 20 5 2" xfId="40733"/>
    <cellStyle name="표준 6 20 6" xfId="28061"/>
    <cellStyle name="표준 6 21" xfId="2708"/>
    <cellStyle name="표준 6 21 2" xfId="2709"/>
    <cellStyle name="표준 6 21 2 2" xfId="5865"/>
    <cellStyle name="표준 6 21 2 2 2" xfId="12201"/>
    <cellStyle name="표준 6 21 2 2 2 2" xfId="24875"/>
    <cellStyle name="표준 6 21 2 2 2 2 2" xfId="50227"/>
    <cellStyle name="표준 6 21 2 2 2 3" xfId="37555"/>
    <cellStyle name="표준 6 21 2 2 3" xfId="18539"/>
    <cellStyle name="표준 6 21 2 2 3 2" xfId="43891"/>
    <cellStyle name="표준 6 21 2 2 4" xfId="31219"/>
    <cellStyle name="표준 6 21 2 3" xfId="9046"/>
    <cellStyle name="표준 6 21 2 3 2" xfId="21720"/>
    <cellStyle name="표준 6 21 2 3 2 2" xfId="47072"/>
    <cellStyle name="표준 6 21 2 3 3" xfId="34400"/>
    <cellStyle name="표준 6 21 2 4" xfId="15384"/>
    <cellStyle name="표준 6 21 2 4 2" xfId="40736"/>
    <cellStyle name="표준 6 21 2 5" xfId="28064"/>
    <cellStyle name="표준 6 21 3" xfId="5866"/>
    <cellStyle name="표준 6 21 3 2" xfId="12202"/>
    <cellStyle name="표준 6 21 3 2 2" xfId="24876"/>
    <cellStyle name="표준 6 21 3 2 2 2" xfId="50228"/>
    <cellStyle name="표준 6 21 3 2 3" xfId="37556"/>
    <cellStyle name="표준 6 21 3 3" xfId="18540"/>
    <cellStyle name="표준 6 21 3 3 2" xfId="43892"/>
    <cellStyle name="표준 6 21 3 4" xfId="31220"/>
    <cellStyle name="표준 6 21 4" xfId="9045"/>
    <cellStyle name="표준 6 21 4 2" xfId="21719"/>
    <cellStyle name="표준 6 21 4 2 2" xfId="47071"/>
    <cellStyle name="표준 6 21 4 3" xfId="34399"/>
    <cellStyle name="표준 6 21 5" xfId="15383"/>
    <cellStyle name="표준 6 21 5 2" xfId="40735"/>
    <cellStyle name="표준 6 21 6" xfId="28063"/>
    <cellStyle name="표준 6 22" xfId="2710"/>
    <cellStyle name="표준 6 22 2" xfId="2711"/>
    <cellStyle name="표준 6 22 2 2" xfId="5867"/>
    <cellStyle name="표준 6 22 2 2 2" xfId="12203"/>
    <cellStyle name="표준 6 22 2 2 2 2" xfId="24877"/>
    <cellStyle name="표준 6 22 2 2 2 2 2" xfId="50229"/>
    <cellStyle name="표준 6 22 2 2 2 3" xfId="37557"/>
    <cellStyle name="표준 6 22 2 2 3" xfId="18541"/>
    <cellStyle name="표준 6 22 2 2 3 2" xfId="43893"/>
    <cellStyle name="표준 6 22 2 2 4" xfId="31221"/>
    <cellStyle name="표준 6 22 2 3" xfId="9048"/>
    <cellStyle name="표준 6 22 2 3 2" xfId="21722"/>
    <cellStyle name="표준 6 22 2 3 2 2" xfId="47074"/>
    <cellStyle name="표준 6 22 2 3 3" xfId="34402"/>
    <cellStyle name="표준 6 22 2 4" xfId="15386"/>
    <cellStyle name="표준 6 22 2 4 2" xfId="40738"/>
    <cellStyle name="표준 6 22 2 5" xfId="28066"/>
    <cellStyle name="표준 6 22 3" xfId="5868"/>
    <cellStyle name="표준 6 22 3 2" xfId="12204"/>
    <cellStyle name="표준 6 22 3 2 2" xfId="24878"/>
    <cellStyle name="표준 6 22 3 2 2 2" xfId="50230"/>
    <cellStyle name="표준 6 22 3 2 3" xfId="37558"/>
    <cellStyle name="표준 6 22 3 3" xfId="18542"/>
    <cellStyle name="표준 6 22 3 3 2" xfId="43894"/>
    <cellStyle name="표준 6 22 3 4" xfId="31222"/>
    <cellStyle name="표준 6 22 4" xfId="9047"/>
    <cellStyle name="표준 6 22 4 2" xfId="21721"/>
    <cellStyle name="표준 6 22 4 2 2" xfId="47073"/>
    <cellStyle name="표준 6 22 4 3" xfId="34401"/>
    <cellStyle name="표준 6 22 5" xfId="15385"/>
    <cellStyle name="표준 6 22 5 2" xfId="40737"/>
    <cellStyle name="표준 6 22 6" xfId="28065"/>
    <cellStyle name="표준 6 23" xfId="2712"/>
    <cellStyle name="표준 6 23 2" xfId="2713"/>
    <cellStyle name="표준 6 23 2 2" xfId="5869"/>
    <cellStyle name="표준 6 23 2 2 2" xfId="12205"/>
    <cellStyle name="표준 6 23 2 2 2 2" xfId="24879"/>
    <cellStyle name="표준 6 23 2 2 2 2 2" xfId="50231"/>
    <cellStyle name="표준 6 23 2 2 2 3" xfId="37559"/>
    <cellStyle name="표준 6 23 2 2 3" xfId="18543"/>
    <cellStyle name="표준 6 23 2 2 3 2" xfId="43895"/>
    <cellStyle name="표준 6 23 2 2 4" xfId="31223"/>
    <cellStyle name="표준 6 23 2 3" xfId="9050"/>
    <cellStyle name="표준 6 23 2 3 2" xfId="21724"/>
    <cellStyle name="표준 6 23 2 3 2 2" xfId="47076"/>
    <cellStyle name="표준 6 23 2 3 3" xfId="34404"/>
    <cellStyle name="표준 6 23 2 4" xfId="15388"/>
    <cellStyle name="표준 6 23 2 4 2" xfId="40740"/>
    <cellStyle name="표준 6 23 2 5" xfId="28068"/>
    <cellStyle name="표준 6 23 3" xfId="5870"/>
    <cellStyle name="표준 6 23 3 2" xfId="12206"/>
    <cellStyle name="표준 6 23 3 2 2" xfId="24880"/>
    <cellStyle name="표준 6 23 3 2 2 2" xfId="50232"/>
    <cellStyle name="표준 6 23 3 2 3" xfId="37560"/>
    <cellStyle name="표준 6 23 3 3" xfId="18544"/>
    <cellStyle name="표준 6 23 3 3 2" xfId="43896"/>
    <cellStyle name="표준 6 23 3 4" xfId="31224"/>
    <cellStyle name="표준 6 23 4" xfId="9049"/>
    <cellStyle name="표준 6 23 4 2" xfId="21723"/>
    <cellStyle name="표준 6 23 4 2 2" xfId="47075"/>
    <cellStyle name="표준 6 23 4 3" xfId="34403"/>
    <cellStyle name="표준 6 23 5" xfId="15387"/>
    <cellStyle name="표준 6 23 5 2" xfId="40739"/>
    <cellStyle name="표준 6 23 6" xfId="28067"/>
    <cellStyle name="표준 6 24" xfId="2714"/>
    <cellStyle name="표준 6 24 2" xfId="2715"/>
    <cellStyle name="표준 6 24 2 2" xfId="5871"/>
    <cellStyle name="표준 6 24 2 2 2" xfId="12207"/>
    <cellStyle name="표준 6 24 2 2 2 2" xfId="24881"/>
    <cellStyle name="표준 6 24 2 2 2 2 2" xfId="50233"/>
    <cellStyle name="표준 6 24 2 2 2 3" xfId="37561"/>
    <cellStyle name="표준 6 24 2 2 3" xfId="18545"/>
    <cellStyle name="표준 6 24 2 2 3 2" xfId="43897"/>
    <cellStyle name="표준 6 24 2 2 4" xfId="31225"/>
    <cellStyle name="표준 6 24 2 3" xfId="9052"/>
    <cellStyle name="표준 6 24 2 3 2" xfId="21726"/>
    <cellStyle name="표준 6 24 2 3 2 2" xfId="47078"/>
    <cellStyle name="표준 6 24 2 3 3" xfId="34406"/>
    <cellStyle name="표준 6 24 2 4" xfId="15390"/>
    <cellStyle name="표준 6 24 2 4 2" xfId="40742"/>
    <cellStyle name="표준 6 24 2 5" xfId="28070"/>
    <cellStyle name="표준 6 24 3" xfId="5872"/>
    <cellStyle name="표준 6 24 3 2" xfId="12208"/>
    <cellStyle name="표준 6 24 3 2 2" xfId="24882"/>
    <cellStyle name="표준 6 24 3 2 2 2" xfId="50234"/>
    <cellStyle name="표준 6 24 3 2 3" xfId="37562"/>
    <cellStyle name="표준 6 24 3 3" xfId="18546"/>
    <cellStyle name="표준 6 24 3 3 2" xfId="43898"/>
    <cellStyle name="표준 6 24 3 4" xfId="31226"/>
    <cellStyle name="표준 6 24 4" xfId="9051"/>
    <cellStyle name="표준 6 24 4 2" xfId="21725"/>
    <cellStyle name="표준 6 24 4 2 2" xfId="47077"/>
    <cellStyle name="표준 6 24 4 3" xfId="34405"/>
    <cellStyle name="표준 6 24 5" xfId="15389"/>
    <cellStyle name="표준 6 24 5 2" xfId="40741"/>
    <cellStyle name="표준 6 24 6" xfId="28069"/>
    <cellStyle name="표준 6 25" xfId="2716"/>
    <cellStyle name="표준 6 25 2" xfId="2717"/>
    <cellStyle name="표준 6 25 2 2" xfId="5873"/>
    <cellStyle name="표준 6 25 2 2 2" xfId="12209"/>
    <cellStyle name="표준 6 25 2 2 2 2" xfId="24883"/>
    <cellStyle name="표준 6 25 2 2 2 2 2" xfId="50235"/>
    <cellStyle name="표준 6 25 2 2 2 3" xfId="37563"/>
    <cellStyle name="표준 6 25 2 2 3" xfId="18547"/>
    <cellStyle name="표준 6 25 2 2 3 2" xfId="43899"/>
    <cellStyle name="표준 6 25 2 2 4" xfId="31227"/>
    <cellStyle name="표준 6 25 2 3" xfId="9054"/>
    <cellStyle name="표준 6 25 2 3 2" xfId="21728"/>
    <cellStyle name="표준 6 25 2 3 2 2" xfId="47080"/>
    <cellStyle name="표준 6 25 2 3 3" xfId="34408"/>
    <cellStyle name="표준 6 25 2 4" xfId="15392"/>
    <cellStyle name="표준 6 25 2 4 2" xfId="40744"/>
    <cellStyle name="표준 6 25 2 5" xfId="28072"/>
    <cellStyle name="표준 6 25 3" xfId="5874"/>
    <cellStyle name="표준 6 25 3 2" xfId="12210"/>
    <cellStyle name="표준 6 25 3 2 2" xfId="24884"/>
    <cellStyle name="표준 6 25 3 2 2 2" xfId="50236"/>
    <cellStyle name="표준 6 25 3 2 3" xfId="37564"/>
    <cellStyle name="표준 6 25 3 3" xfId="18548"/>
    <cellStyle name="표준 6 25 3 3 2" xfId="43900"/>
    <cellStyle name="표준 6 25 3 4" xfId="31228"/>
    <cellStyle name="표준 6 25 4" xfId="9053"/>
    <cellStyle name="표준 6 25 4 2" xfId="21727"/>
    <cellStyle name="표준 6 25 4 2 2" xfId="47079"/>
    <cellStyle name="표준 6 25 4 3" xfId="34407"/>
    <cellStyle name="표준 6 25 5" xfId="15391"/>
    <cellStyle name="표준 6 25 5 2" xfId="40743"/>
    <cellStyle name="표준 6 25 6" xfId="28071"/>
    <cellStyle name="표준 6 26" xfId="2718"/>
    <cellStyle name="표준 6 26 2" xfId="2719"/>
    <cellStyle name="표준 6 26 2 2" xfId="5875"/>
    <cellStyle name="표준 6 26 2 2 2" xfId="12211"/>
    <cellStyle name="표준 6 26 2 2 2 2" xfId="24885"/>
    <cellStyle name="표준 6 26 2 2 2 2 2" xfId="50237"/>
    <cellStyle name="표준 6 26 2 2 2 3" xfId="37565"/>
    <cellStyle name="표준 6 26 2 2 3" xfId="18549"/>
    <cellStyle name="표준 6 26 2 2 3 2" xfId="43901"/>
    <cellStyle name="표준 6 26 2 2 4" xfId="31229"/>
    <cellStyle name="표준 6 26 2 3" xfId="9056"/>
    <cellStyle name="표준 6 26 2 3 2" xfId="21730"/>
    <cellStyle name="표준 6 26 2 3 2 2" xfId="47082"/>
    <cellStyle name="표준 6 26 2 3 3" xfId="34410"/>
    <cellStyle name="표준 6 26 2 4" xfId="15394"/>
    <cellStyle name="표준 6 26 2 4 2" xfId="40746"/>
    <cellStyle name="표준 6 26 2 5" xfId="28074"/>
    <cellStyle name="표준 6 26 3" xfId="5876"/>
    <cellStyle name="표준 6 26 3 2" xfId="12212"/>
    <cellStyle name="표준 6 26 3 2 2" xfId="24886"/>
    <cellStyle name="표준 6 26 3 2 2 2" xfId="50238"/>
    <cellStyle name="표준 6 26 3 2 3" xfId="37566"/>
    <cellStyle name="표준 6 26 3 3" xfId="18550"/>
    <cellStyle name="표준 6 26 3 3 2" xfId="43902"/>
    <cellStyle name="표준 6 26 3 4" xfId="31230"/>
    <cellStyle name="표준 6 26 4" xfId="9055"/>
    <cellStyle name="표준 6 26 4 2" xfId="21729"/>
    <cellStyle name="표준 6 26 4 2 2" xfId="47081"/>
    <cellStyle name="표준 6 26 4 3" xfId="34409"/>
    <cellStyle name="표준 6 26 5" xfId="15393"/>
    <cellStyle name="표준 6 26 5 2" xfId="40745"/>
    <cellStyle name="표준 6 26 6" xfId="28073"/>
    <cellStyle name="표준 6 27" xfId="2720"/>
    <cellStyle name="표준 6 27 2" xfId="2721"/>
    <cellStyle name="표준 6 27 2 2" xfId="5877"/>
    <cellStyle name="표준 6 27 2 2 2" xfId="12213"/>
    <cellStyle name="표준 6 27 2 2 2 2" xfId="24887"/>
    <cellStyle name="표준 6 27 2 2 2 2 2" xfId="50239"/>
    <cellStyle name="표준 6 27 2 2 2 3" xfId="37567"/>
    <cellStyle name="표준 6 27 2 2 3" xfId="18551"/>
    <cellStyle name="표준 6 27 2 2 3 2" xfId="43903"/>
    <cellStyle name="표준 6 27 2 2 4" xfId="31231"/>
    <cellStyle name="표준 6 27 2 3" xfId="9058"/>
    <cellStyle name="표준 6 27 2 3 2" xfId="21732"/>
    <cellStyle name="표준 6 27 2 3 2 2" xfId="47084"/>
    <cellStyle name="표준 6 27 2 3 3" xfId="34412"/>
    <cellStyle name="표준 6 27 2 4" xfId="15396"/>
    <cellStyle name="표준 6 27 2 4 2" xfId="40748"/>
    <cellStyle name="표준 6 27 2 5" xfId="28076"/>
    <cellStyle name="표준 6 27 3" xfId="5878"/>
    <cellStyle name="표준 6 27 3 2" xfId="12214"/>
    <cellStyle name="표준 6 27 3 2 2" xfId="24888"/>
    <cellStyle name="표준 6 27 3 2 2 2" xfId="50240"/>
    <cellStyle name="표준 6 27 3 2 3" xfId="37568"/>
    <cellStyle name="표준 6 27 3 3" xfId="18552"/>
    <cellStyle name="표준 6 27 3 3 2" xfId="43904"/>
    <cellStyle name="표준 6 27 3 4" xfId="31232"/>
    <cellStyle name="표준 6 27 4" xfId="9057"/>
    <cellStyle name="표준 6 27 4 2" xfId="21731"/>
    <cellStyle name="표준 6 27 4 2 2" xfId="47083"/>
    <cellStyle name="표준 6 27 4 3" xfId="34411"/>
    <cellStyle name="표준 6 27 5" xfId="15395"/>
    <cellStyle name="표준 6 27 5 2" xfId="40747"/>
    <cellStyle name="표준 6 27 6" xfId="28075"/>
    <cellStyle name="표준 6 28" xfId="2722"/>
    <cellStyle name="표준 6 28 2" xfId="2723"/>
    <cellStyle name="표준 6 28 2 2" xfId="5879"/>
    <cellStyle name="표준 6 28 2 2 2" xfId="12215"/>
    <cellStyle name="표준 6 28 2 2 2 2" xfId="24889"/>
    <cellStyle name="표준 6 28 2 2 2 2 2" xfId="50241"/>
    <cellStyle name="표준 6 28 2 2 2 3" xfId="37569"/>
    <cellStyle name="표준 6 28 2 2 3" xfId="18553"/>
    <cellStyle name="표준 6 28 2 2 3 2" xfId="43905"/>
    <cellStyle name="표준 6 28 2 2 4" xfId="31233"/>
    <cellStyle name="표준 6 28 2 3" xfId="9060"/>
    <cellStyle name="표준 6 28 2 3 2" xfId="21734"/>
    <cellStyle name="표준 6 28 2 3 2 2" xfId="47086"/>
    <cellStyle name="표준 6 28 2 3 3" xfId="34414"/>
    <cellStyle name="표준 6 28 2 4" xfId="15398"/>
    <cellStyle name="표준 6 28 2 4 2" xfId="40750"/>
    <cellStyle name="표준 6 28 2 5" xfId="28078"/>
    <cellStyle name="표준 6 28 3" xfId="5880"/>
    <cellStyle name="표준 6 28 3 2" xfId="12216"/>
    <cellStyle name="표준 6 28 3 2 2" xfId="24890"/>
    <cellStyle name="표준 6 28 3 2 2 2" xfId="50242"/>
    <cellStyle name="표준 6 28 3 2 3" xfId="37570"/>
    <cellStyle name="표준 6 28 3 3" xfId="18554"/>
    <cellStyle name="표준 6 28 3 3 2" xfId="43906"/>
    <cellStyle name="표준 6 28 3 4" xfId="31234"/>
    <cellStyle name="표준 6 28 4" xfId="9059"/>
    <cellStyle name="표준 6 28 4 2" xfId="21733"/>
    <cellStyle name="표준 6 28 4 2 2" xfId="47085"/>
    <cellStyle name="표준 6 28 4 3" xfId="34413"/>
    <cellStyle name="표준 6 28 5" xfId="15397"/>
    <cellStyle name="표준 6 28 5 2" xfId="40749"/>
    <cellStyle name="표준 6 28 6" xfId="28077"/>
    <cellStyle name="표준 6 29" xfId="2724"/>
    <cellStyle name="표준 6 29 2" xfId="2725"/>
    <cellStyle name="표준 6 29 2 2" xfId="5881"/>
    <cellStyle name="표준 6 29 2 2 2" xfId="12217"/>
    <cellStyle name="표준 6 29 2 2 2 2" xfId="24891"/>
    <cellStyle name="표준 6 29 2 2 2 2 2" xfId="50243"/>
    <cellStyle name="표준 6 29 2 2 2 3" xfId="37571"/>
    <cellStyle name="표준 6 29 2 2 3" xfId="18555"/>
    <cellStyle name="표준 6 29 2 2 3 2" xfId="43907"/>
    <cellStyle name="표준 6 29 2 2 4" xfId="31235"/>
    <cellStyle name="표준 6 29 2 3" xfId="9062"/>
    <cellStyle name="표준 6 29 2 3 2" xfId="21736"/>
    <cellStyle name="표준 6 29 2 3 2 2" xfId="47088"/>
    <cellStyle name="표준 6 29 2 3 3" xfId="34416"/>
    <cellStyle name="표준 6 29 2 4" xfId="15400"/>
    <cellStyle name="표준 6 29 2 4 2" xfId="40752"/>
    <cellStyle name="표준 6 29 2 5" xfId="28080"/>
    <cellStyle name="표준 6 29 3" xfId="5882"/>
    <cellStyle name="표준 6 29 3 2" xfId="12218"/>
    <cellStyle name="표준 6 29 3 2 2" xfId="24892"/>
    <cellStyle name="표준 6 29 3 2 2 2" xfId="50244"/>
    <cellStyle name="표준 6 29 3 2 3" xfId="37572"/>
    <cellStyle name="표준 6 29 3 3" xfId="18556"/>
    <cellStyle name="표준 6 29 3 3 2" xfId="43908"/>
    <cellStyle name="표준 6 29 3 4" xfId="31236"/>
    <cellStyle name="표준 6 29 4" xfId="9061"/>
    <cellStyle name="표준 6 29 4 2" xfId="21735"/>
    <cellStyle name="표준 6 29 4 2 2" xfId="47087"/>
    <cellStyle name="표준 6 29 4 3" xfId="34415"/>
    <cellStyle name="표준 6 29 5" xfId="15399"/>
    <cellStyle name="표준 6 29 5 2" xfId="40751"/>
    <cellStyle name="표준 6 29 6" xfId="28079"/>
    <cellStyle name="표준 6 3" xfId="18"/>
    <cellStyle name="표준 6 3 10" xfId="2726"/>
    <cellStyle name="표준 6 3 10 2" xfId="2727"/>
    <cellStyle name="표준 6 3 10 2 2" xfId="5883"/>
    <cellStyle name="표준 6 3 10 2 2 2" xfId="12219"/>
    <cellStyle name="표준 6 3 10 2 2 2 2" xfId="24893"/>
    <cellStyle name="표준 6 3 10 2 2 2 2 2" xfId="50245"/>
    <cellStyle name="표준 6 3 10 2 2 2 3" xfId="37573"/>
    <cellStyle name="표준 6 3 10 2 2 3" xfId="18557"/>
    <cellStyle name="표준 6 3 10 2 2 3 2" xfId="43909"/>
    <cellStyle name="표준 6 3 10 2 2 4" xfId="31237"/>
    <cellStyle name="표준 6 3 10 2 3" xfId="9064"/>
    <cellStyle name="표준 6 3 10 2 3 2" xfId="21738"/>
    <cellStyle name="표준 6 3 10 2 3 2 2" xfId="47090"/>
    <cellStyle name="표준 6 3 10 2 3 3" xfId="34418"/>
    <cellStyle name="표준 6 3 10 2 4" xfId="15402"/>
    <cellStyle name="표준 6 3 10 2 4 2" xfId="40754"/>
    <cellStyle name="표준 6 3 10 2 5" xfId="28082"/>
    <cellStyle name="표준 6 3 10 3" xfId="5884"/>
    <cellStyle name="표준 6 3 10 3 2" xfId="12220"/>
    <cellStyle name="표준 6 3 10 3 2 2" xfId="24894"/>
    <cellStyle name="표준 6 3 10 3 2 2 2" xfId="50246"/>
    <cellStyle name="표준 6 3 10 3 2 3" xfId="37574"/>
    <cellStyle name="표준 6 3 10 3 3" xfId="18558"/>
    <cellStyle name="표준 6 3 10 3 3 2" xfId="43910"/>
    <cellStyle name="표준 6 3 10 3 4" xfId="31238"/>
    <cellStyle name="표준 6 3 10 4" xfId="9063"/>
    <cellStyle name="표준 6 3 10 4 2" xfId="21737"/>
    <cellStyle name="표준 6 3 10 4 2 2" xfId="47089"/>
    <cellStyle name="표준 6 3 10 4 3" xfId="34417"/>
    <cellStyle name="표준 6 3 10 5" xfId="15401"/>
    <cellStyle name="표준 6 3 10 5 2" xfId="40753"/>
    <cellStyle name="표준 6 3 10 6" xfId="28081"/>
    <cellStyle name="표준 6 3 11" xfId="2728"/>
    <cellStyle name="표준 6 3 11 2" xfId="2729"/>
    <cellStyle name="표준 6 3 11 2 2" xfId="5885"/>
    <cellStyle name="표준 6 3 11 2 2 2" xfId="12221"/>
    <cellStyle name="표준 6 3 11 2 2 2 2" xfId="24895"/>
    <cellStyle name="표준 6 3 11 2 2 2 2 2" xfId="50247"/>
    <cellStyle name="표준 6 3 11 2 2 2 3" xfId="37575"/>
    <cellStyle name="표준 6 3 11 2 2 3" xfId="18559"/>
    <cellStyle name="표준 6 3 11 2 2 3 2" xfId="43911"/>
    <cellStyle name="표준 6 3 11 2 2 4" xfId="31239"/>
    <cellStyle name="표준 6 3 11 2 3" xfId="9066"/>
    <cellStyle name="표준 6 3 11 2 3 2" xfId="21740"/>
    <cellStyle name="표준 6 3 11 2 3 2 2" xfId="47092"/>
    <cellStyle name="표준 6 3 11 2 3 3" xfId="34420"/>
    <cellStyle name="표준 6 3 11 2 4" xfId="15404"/>
    <cellStyle name="표준 6 3 11 2 4 2" xfId="40756"/>
    <cellStyle name="표준 6 3 11 2 5" xfId="28084"/>
    <cellStyle name="표준 6 3 11 3" xfId="5886"/>
    <cellStyle name="표준 6 3 11 3 2" xfId="12222"/>
    <cellStyle name="표준 6 3 11 3 2 2" xfId="24896"/>
    <cellStyle name="표준 6 3 11 3 2 2 2" xfId="50248"/>
    <cellStyle name="표준 6 3 11 3 2 3" xfId="37576"/>
    <cellStyle name="표준 6 3 11 3 3" xfId="18560"/>
    <cellStyle name="표준 6 3 11 3 3 2" xfId="43912"/>
    <cellStyle name="표준 6 3 11 3 4" xfId="31240"/>
    <cellStyle name="표준 6 3 11 4" xfId="9065"/>
    <cellStyle name="표준 6 3 11 4 2" xfId="21739"/>
    <cellStyle name="표준 6 3 11 4 2 2" xfId="47091"/>
    <cellStyle name="표준 6 3 11 4 3" xfId="34419"/>
    <cellStyle name="표준 6 3 11 5" xfId="15403"/>
    <cellStyle name="표준 6 3 11 5 2" xfId="40755"/>
    <cellStyle name="표준 6 3 11 6" xfId="28083"/>
    <cellStyle name="표준 6 3 12" xfId="2730"/>
    <cellStyle name="표준 6 3 12 2" xfId="2731"/>
    <cellStyle name="표준 6 3 12 2 2" xfId="5887"/>
    <cellStyle name="표준 6 3 12 2 2 2" xfId="12223"/>
    <cellStyle name="표준 6 3 12 2 2 2 2" xfId="24897"/>
    <cellStyle name="표준 6 3 12 2 2 2 2 2" xfId="50249"/>
    <cellStyle name="표준 6 3 12 2 2 2 3" xfId="37577"/>
    <cellStyle name="표준 6 3 12 2 2 3" xfId="18561"/>
    <cellStyle name="표준 6 3 12 2 2 3 2" xfId="43913"/>
    <cellStyle name="표준 6 3 12 2 2 4" xfId="31241"/>
    <cellStyle name="표준 6 3 12 2 3" xfId="9068"/>
    <cellStyle name="표준 6 3 12 2 3 2" xfId="21742"/>
    <cellStyle name="표준 6 3 12 2 3 2 2" xfId="47094"/>
    <cellStyle name="표준 6 3 12 2 3 3" xfId="34422"/>
    <cellStyle name="표준 6 3 12 2 4" xfId="15406"/>
    <cellStyle name="표준 6 3 12 2 4 2" xfId="40758"/>
    <cellStyle name="표준 6 3 12 2 5" xfId="28086"/>
    <cellStyle name="표준 6 3 12 3" xfId="5888"/>
    <cellStyle name="표준 6 3 12 3 2" xfId="12224"/>
    <cellStyle name="표준 6 3 12 3 2 2" xfId="24898"/>
    <cellStyle name="표준 6 3 12 3 2 2 2" xfId="50250"/>
    <cellStyle name="표준 6 3 12 3 2 3" xfId="37578"/>
    <cellStyle name="표준 6 3 12 3 3" xfId="18562"/>
    <cellStyle name="표준 6 3 12 3 3 2" xfId="43914"/>
    <cellStyle name="표준 6 3 12 3 4" xfId="31242"/>
    <cellStyle name="표준 6 3 12 4" xfId="9067"/>
    <cellStyle name="표준 6 3 12 4 2" xfId="21741"/>
    <cellStyle name="표준 6 3 12 4 2 2" xfId="47093"/>
    <cellStyle name="표준 6 3 12 4 3" xfId="34421"/>
    <cellStyle name="표준 6 3 12 5" xfId="15405"/>
    <cellStyle name="표준 6 3 12 5 2" xfId="40757"/>
    <cellStyle name="표준 6 3 12 6" xfId="28085"/>
    <cellStyle name="표준 6 3 13" xfId="2732"/>
    <cellStyle name="표준 6 3 13 2" xfId="2733"/>
    <cellStyle name="표준 6 3 13 2 2" xfId="5889"/>
    <cellStyle name="표준 6 3 13 2 2 2" xfId="12225"/>
    <cellStyle name="표준 6 3 13 2 2 2 2" xfId="24899"/>
    <cellStyle name="표준 6 3 13 2 2 2 2 2" xfId="50251"/>
    <cellStyle name="표준 6 3 13 2 2 2 3" xfId="37579"/>
    <cellStyle name="표준 6 3 13 2 2 3" xfId="18563"/>
    <cellStyle name="표준 6 3 13 2 2 3 2" xfId="43915"/>
    <cellStyle name="표준 6 3 13 2 2 4" xfId="31243"/>
    <cellStyle name="표준 6 3 13 2 3" xfId="9070"/>
    <cellStyle name="표준 6 3 13 2 3 2" xfId="21744"/>
    <cellStyle name="표준 6 3 13 2 3 2 2" xfId="47096"/>
    <cellStyle name="표준 6 3 13 2 3 3" xfId="34424"/>
    <cellStyle name="표준 6 3 13 2 4" xfId="15408"/>
    <cellStyle name="표준 6 3 13 2 4 2" xfId="40760"/>
    <cellStyle name="표준 6 3 13 2 5" xfId="28088"/>
    <cellStyle name="표준 6 3 13 3" xfId="5890"/>
    <cellStyle name="표준 6 3 13 3 2" xfId="12226"/>
    <cellStyle name="표준 6 3 13 3 2 2" xfId="24900"/>
    <cellStyle name="표준 6 3 13 3 2 2 2" xfId="50252"/>
    <cellStyle name="표준 6 3 13 3 2 3" xfId="37580"/>
    <cellStyle name="표준 6 3 13 3 3" xfId="18564"/>
    <cellStyle name="표준 6 3 13 3 3 2" xfId="43916"/>
    <cellStyle name="표준 6 3 13 3 4" xfId="31244"/>
    <cellStyle name="표준 6 3 13 4" xfId="9069"/>
    <cellStyle name="표준 6 3 13 4 2" xfId="21743"/>
    <cellStyle name="표준 6 3 13 4 2 2" xfId="47095"/>
    <cellStyle name="표준 6 3 13 4 3" xfId="34423"/>
    <cellStyle name="표준 6 3 13 5" xfId="15407"/>
    <cellStyle name="표준 6 3 13 5 2" xfId="40759"/>
    <cellStyle name="표준 6 3 13 6" xfId="28087"/>
    <cellStyle name="표준 6 3 14" xfId="2734"/>
    <cellStyle name="표준 6 3 14 2" xfId="2735"/>
    <cellStyle name="표준 6 3 14 2 2" xfId="5891"/>
    <cellStyle name="표준 6 3 14 2 2 2" xfId="12227"/>
    <cellStyle name="표준 6 3 14 2 2 2 2" xfId="24901"/>
    <cellStyle name="표준 6 3 14 2 2 2 2 2" xfId="50253"/>
    <cellStyle name="표준 6 3 14 2 2 2 3" xfId="37581"/>
    <cellStyle name="표준 6 3 14 2 2 3" xfId="18565"/>
    <cellStyle name="표준 6 3 14 2 2 3 2" xfId="43917"/>
    <cellStyle name="표준 6 3 14 2 2 4" xfId="31245"/>
    <cellStyle name="표준 6 3 14 2 3" xfId="9072"/>
    <cellStyle name="표준 6 3 14 2 3 2" xfId="21746"/>
    <cellStyle name="표준 6 3 14 2 3 2 2" xfId="47098"/>
    <cellStyle name="표준 6 3 14 2 3 3" xfId="34426"/>
    <cellStyle name="표준 6 3 14 2 4" xfId="15410"/>
    <cellStyle name="표준 6 3 14 2 4 2" xfId="40762"/>
    <cellStyle name="표준 6 3 14 2 5" xfId="28090"/>
    <cellStyle name="표준 6 3 14 3" xfId="5892"/>
    <cellStyle name="표준 6 3 14 3 2" xfId="12228"/>
    <cellStyle name="표준 6 3 14 3 2 2" xfId="24902"/>
    <cellStyle name="표준 6 3 14 3 2 2 2" xfId="50254"/>
    <cellStyle name="표준 6 3 14 3 2 3" xfId="37582"/>
    <cellStyle name="표준 6 3 14 3 3" xfId="18566"/>
    <cellStyle name="표준 6 3 14 3 3 2" xfId="43918"/>
    <cellStyle name="표준 6 3 14 3 4" xfId="31246"/>
    <cellStyle name="표준 6 3 14 4" xfId="9071"/>
    <cellStyle name="표준 6 3 14 4 2" xfId="21745"/>
    <cellStyle name="표준 6 3 14 4 2 2" xfId="47097"/>
    <cellStyle name="표준 6 3 14 4 3" xfId="34425"/>
    <cellStyle name="표준 6 3 14 5" xfId="15409"/>
    <cellStyle name="표준 6 3 14 5 2" xfId="40761"/>
    <cellStyle name="표준 6 3 14 6" xfId="28089"/>
    <cellStyle name="표준 6 3 15" xfId="2736"/>
    <cellStyle name="표준 6 3 15 2" xfId="2737"/>
    <cellStyle name="표준 6 3 15 2 2" xfId="5893"/>
    <cellStyle name="표준 6 3 15 2 2 2" xfId="12229"/>
    <cellStyle name="표준 6 3 15 2 2 2 2" xfId="24903"/>
    <cellStyle name="표준 6 3 15 2 2 2 2 2" xfId="50255"/>
    <cellStyle name="표준 6 3 15 2 2 2 3" xfId="37583"/>
    <cellStyle name="표준 6 3 15 2 2 3" xfId="18567"/>
    <cellStyle name="표준 6 3 15 2 2 3 2" xfId="43919"/>
    <cellStyle name="표준 6 3 15 2 2 4" xfId="31247"/>
    <cellStyle name="표준 6 3 15 2 3" xfId="9074"/>
    <cellStyle name="표준 6 3 15 2 3 2" xfId="21748"/>
    <cellStyle name="표준 6 3 15 2 3 2 2" xfId="47100"/>
    <cellStyle name="표준 6 3 15 2 3 3" xfId="34428"/>
    <cellStyle name="표준 6 3 15 2 4" xfId="15412"/>
    <cellStyle name="표준 6 3 15 2 4 2" xfId="40764"/>
    <cellStyle name="표준 6 3 15 2 5" xfId="28092"/>
    <cellStyle name="표준 6 3 15 3" xfId="5894"/>
    <cellStyle name="표준 6 3 15 3 2" xfId="12230"/>
    <cellStyle name="표준 6 3 15 3 2 2" xfId="24904"/>
    <cellStyle name="표준 6 3 15 3 2 2 2" xfId="50256"/>
    <cellStyle name="표준 6 3 15 3 2 3" xfId="37584"/>
    <cellStyle name="표준 6 3 15 3 3" xfId="18568"/>
    <cellStyle name="표준 6 3 15 3 3 2" xfId="43920"/>
    <cellStyle name="표준 6 3 15 3 4" xfId="31248"/>
    <cellStyle name="표준 6 3 15 4" xfId="9073"/>
    <cellStyle name="표준 6 3 15 4 2" xfId="21747"/>
    <cellStyle name="표준 6 3 15 4 2 2" xfId="47099"/>
    <cellStyle name="표준 6 3 15 4 3" xfId="34427"/>
    <cellStyle name="표준 6 3 15 5" xfId="15411"/>
    <cellStyle name="표준 6 3 15 5 2" xfId="40763"/>
    <cellStyle name="표준 6 3 15 6" xfId="28091"/>
    <cellStyle name="표준 6 3 16" xfId="2738"/>
    <cellStyle name="표준 6 3 16 2" xfId="2739"/>
    <cellStyle name="표준 6 3 16 2 2" xfId="5895"/>
    <cellStyle name="표준 6 3 16 2 2 2" xfId="12231"/>
    <cellStyle name="표준 6 3 16 2 2 2 2" xfId="24905"/>
    <cellStyle name="표준 6 3 16 2 2 2 2 2" xfId="50257"/>
    <cellStyle name="표준 6 3 16 2 2 2 3" xfId="37585"/>
    <cellStyle name="표준 6 3 16 2 2 3" xfId="18569"/>
    <cellStyle name="표준 6 3 16 2 2 3 2" xfId="43921"/>
    <cellStyle name="표준 6 3 16 2 2 4" xfId="31249"/>
    <cellStyle name="표준 6 3 16 2 3" xfId="9076"/>
    <cellStyle name="표준 6 3 16 2 3 2" xfId="21750"/>
    <cellStyle name="표준 6 3 16 2 3 2 2" xfId="47102"/>
    <cellStyle name="표준 6 3 16 2 3 3" xfId="34430"/>
    <cellStyle name="표준 6 3 16 2 4" xfId="15414"/>
    <cellStyle name="표준 6 3 16 2 4 2" xfId="40766"/>
    <cellStyle name="표준 6 3 16 2 5" xfId="28094"/>
    <cellStyle name="표준 6 3 16 3" xfId="5896"/>
    <cellStyle name="표준 6 3 16 3 2" xfId="12232"/>
    <cellStyle name="표준 6 3 16 3 2 2" xfId="24906"/>
    <cellStyle name="표준 6 3 16 3 2 2 2" xfId="50258"/>
    <cellStyle name="표준 6 3 16 3 2 3" xfId="37586"/>
    <cellStyle name="표준 6 3 16 3 3" xfId="18570"/>
    <cellStyle name="표준 6 3 16 3 3 2" xfId="43922"/>
    <cellStyle name="표준 6 3 16 3 4" xfId="31250"/>
    <cellStyle name="표준 6 3 16 4" xfId="9075"/>
    <cellStyle name="표준 6 3 16 4 2" xfId="21749"/>
    <cellStyle name="표준 6 3 16 4 2 2" xfId="47101"/>
    <cellStyle name="표준 6 3 16 4 3" xfId="34429"/>
    <cellStyle name="표준 6 3 16 5" xfId="15413"/>
    <cellStyle name="표준 6 3 16 5 2" xfId="40765"/>
    <cellStyle name="표준 6 3 16 6" xfId="28093"/>
    <cellStyle name="표준 6 3 17" xfId="2740"/>
    <cellStyle name="표준 6 3 17 2" xfId="2741"/>
    <cellStyle name="표준 6 3 17 2 2" xfId="5897"/>
    <cellStyle name="표준 6 3 17 2 2 2" xfId="12233"/>
    <cellStyle name="표준 6 3 17 2 2 2 2" xfId="24907"/>
    <cellStyle name="표준 6 3 17 2 2 2 2 2" xfId="50259"/>
    <cellStyle name="표준 6 3 17 2 2 2 3" xfId="37587"/>
    <cellStyle name="표준 6 3 17 2 2 3" xfId="18571"/>
    <cellStyle name="표준 6 3 17 2 2 3 2" xfId="43923"/>
    <cellStyle name="표준 6 3 17 2 2 4" xfId="31251"/>
    <cellStyle name="표준 6 3 17 2 3" xfId="9078"/>
    <cellStyle name="표준 6 3 17 2 3 2" xfId="21752"/>
    <cellStyle name="표준 6 3 17 2 3 2 2" xfId="47104"/>
    <cellStyle name="표준 6 3 17 2 3 3" xfId="34432"/>
    <cellStyle name="표준 6 3 17 2 4" xfId="15416"/>
    <cellStyle name="표준 6 3 17 2 4 2" xfId="40768"/>
    <cellStyle name="표준 6 3 17 2 5" xfId="28096"/>
    <cellStyle name="표준 6 3 17 3" xfId="5898"/>
    <cellStyle name="표준 6 3 17 3 2" xfId="12234"/>
    <cellStyle name="표준 6 3 17 3 2 2" xfId="24908"/>
    <cellStyle name="표준 6 3 17 3 2 2 2" xfId="50260"/>
    <cellStyle name="표준 6 3 17 3 2 3" xfId="37588"/>
    <cellStyle name="표준 6 3 17 3 3" xfId="18572"/>
    <cellStyle name="표준 6 3 17 3 3 2" xfId="43924"/>
    <cellStyle name="표준 6 3 17 3 4" xfId="31252"/>
    <cellStyle name="표준 6 3 17 4" xfId="9077"/>
    <cellStyle name="표준 6 3 17 4 2" xfId="21751"/>
    <cellStyle name="표준 6 3 17 4 2 2" xfId="47103"/>
    <cellStyle name="표준 6 3 17 4 3" xfId="34431"/>
    <cellStyle name="표준 6 3 17 5" xfId="15415"/>
    <cellStyle name="표준 6 3 17 5 2" xfId="40767"/>
    <cellStyle name="표준 6 3 17 6" xfId="28095"/>
    <cellStyle name="표준 6 3 18" xfId="2742"/>
    <cellStyle name="표준 6 3 18 2" xfId="2743"/>
    <cellStyle name="표준 6 3 18 2 2" xfId="5899"/>
    <cellStyle name="표준 6 3 18 2 2 2" xfId="12235"/>
    <cellStyle name="표준 6 3 18 2 2 2 2" xfId="24909"/>
    <cellStyle name="표준 6 3 18 2 2 2 2 2" xfId="50261"/>
    <cellStyle name="표준 6 3 18 2 2 2 3" xfId="37589"/>
    <cellStyle name="표준 6 3 18 2 2 3" xfId="18573"/>
    <cellStyle name="표준 6 3 18 2 2 3 2" xfId="43925"/>
    <cellStyle name="표준 6 3 18 2 2 4" xfId="31253"/>
    <cellStyle name="표준 6 3 18 2 3" xfId="9080"/>
    <cellStyle name="표준 6 3 18 2 3 2" xfId="21754"/>
    <cellStyle name="표준 6 3 18 2 3 2 2" xfId="47106"/>
    <cellStyle name="표준 6 3 18 2 3 3" xfId="34434"/>
    <cellStyle name="표준 6 3 18 2 4" xfId="15418"/>
    <cellStyle name="표준 6 3 18 2 4 2" xfId="40770"/>
    <cellStyle name="표준 6 3 18 2 5" xfId="28098"/>
    <cellStyle name="표준 6 3 18 3" xfId="5900"/>
    <cellStyle name="표준 6 3 18 3 2" xfId="12236"/>
    <cellStyle name="표준 6 3 18 3 2 2" xfId="24910"/>
    <cellStyle name="표준 6 3 18 3 2 2 2" xfId="50262"/>
    <cellStyle name="표준 6 3 18 3 2 3" xfId="37590"/>
    <cellStyle name="표준 6 3 18 3 3" xfId="18574"/>
    <cellStyle name="표준 6 3 18 3 3 2" xfId="43926"/>
    <cellStyle name="표준 6 3 18 3 4" xfId="31254"/>
    <cellStyle name="표준 6 3 18 4" xfId="9079"/>
    <cellStyle name="표준 6 3 18 4 2" xfId="21753"/>
    <cellStyle name="표준 6 3 18 4 2 2" xfId="47105"/>
    <cellStyle name="표준 6 3 18 4 3" xfId="34433"/>
    <cellStyle name="표준 6 3 18 5" xfId="15417"/>
    <cellStyle name="표준 6 3 18 5 2" xfId="40769"/>
    <cellStyle name="표준 6 3 18 6" xfId="28097"/>
    <cellStyle name="표준 6 3 19" xfId="2744"/>
    <cellStyle name="표준 6 3 19 2" xfId="2745"/>
    <cellStyle name="표준 6 3 19 2 2" xfId="5901"/>
    <cellStyle name="표준 6 3 19 2 2 2" xfId="12237"/>
    <cellStyle name="표준 6 3 19 2 2 2 2" xfId="24911"/>
    <cellStyle name="표준 6 3 19 2 2 2 2 2" xfId="50263"/>
    <cellStyle name="표준 6 3 19 2 2 2 3" xfId="37591"/>
    <cellStyle name="표준 6 3 19 2 2 3" xfId="18575"/>
    <cellStyle name="표준 6 3 19 2 2 3 2" xfId="43927"/>
    <cellStyle name="표준 6 3 19 2 2 4" xfId="31255"/>
    <cellStyle name="표준 6 3 19 2 3" xfId="9082"/>
    <cellStyle name="표준 6 3 19 2 3 2" xfId="21756"/>
    <cellStyle name="표준 6 3 19 2 3 2 2" xfId="47108"/>
    <cellStyle name="표준 6 3 19 2 3 3" xfId="34436"/>
    <cellStyle name="표준 6 3 19 2 4" xfId="15420"/>
    <cellStyle name="표준 6 3 19 2 4 2" xfId="40772"/>
    <cellStyle name="표준 6 3 19 2 5" xfId="28100"/>
    <cellStyle name="표준 6 3 19 3" xfId="5902"/>
    <cellStyle name="표준 6 3 19 3 2" xfId="12238"/>
    <cellStyle name="표준 6 3 19 3 2 2" xfId="24912"/>
    <cellStyle name="표준 6 3 19 3 2 2 2" xfId="50264"/>
    <cellStyle name="표준 6 3 19 3 2 3" xfId="37592"/>
    <cellStyle name="표준 6 3 19 3 3" xfId="18576"/>
    <cellStyle name="표준 6 3 19 3 3 2" xfId="43928"/>
    <cellStyle name="표준 6 3 19 3 4" xfId="31256"/>
    <cellStyle name="표준 6 3 19 4" xfId="9081"/>
    <cellStyle name="표준 6 3 19 4 2" xfId="21755"/>
    <cellStyle name="표준 6 3 19 4 2 2" xfId="47107"/>
    <cellStyle name="표준 6 3 19 4 3" xfId="34435"/>
    <cellStyle name="표준 6 3 19 5" xfId="15419"/>
    <cellStyle name="표준 6 3 19 5 2" xfId="40771"/>
    <cellStyle name="표준 6 3 19 6" xfId="28099"/>
    <cellStyle name="표준 6 3 2" xfId="30"/>
    <cellStyle name="표준 6 3 2 10" xfId="2746"/>
    <cellStyle name="표준 6 3 2 10 2" xfId="2747"/>
    <cellStyle name="표준 6 3 2 10 2 2" xfId="5903"/>
    <cellStyle name="표준 6 3 2 10 2 2 2" xfId="12239"/>
    <cellStyle name="표준 6 3 2 10 2 2 2 2" xfId="24913"/>
    <cellStyle name="표준 6 3 2 10 2 2 2 2 2" xfId="50265"/>
    <cellStyle name="표준 6 3 2 10 2 2 2 3" xfId="37593"/>
    <cellStyle name="표준 6 3 2 10 2 2 3" xfId="18577"/>
    <cellStyle name="표준 6 3 2 10 2 2 3 2" xfId="43929"/>
    <cellStyle name="표준 6 3 2 10 2 2 4" xfId="31257"/>
    <cellStyle name="표준 6 3 2 10 2 3" xfId="9084"/>
    <cellStyle name="표준 6 3 2 10 2 3 2" xfId="21758"/>
    <cellStyle name="표준 6 3 2 10 2 3 2 2" xfId="47110"/>
    <cellStyle name="표준 6 3 2 10 2 3 3" xfId="34438"/>
    <cellStyle name="표준 6 3 2 10 2 4" xfId="15422"/>
    <cellStyle name="표준 6 3 2 10 2 4 2" xfId="40774"/>
    <cellStyle name="표준 6 3 2 10 2 5" xfId="28102"/>
    <cellStyle name="표준 6 3 2 10 3" xfId="5904"/>
    <cellStyle name="표준 6 3 2 10 3 2" xfId="12240"/>
    <cellStyle name="표준 6 3 2 10 3 2 2" xfId="24914"/>
    <cellStyle name="표준 6 3 2 10 3 2 2 2" xfId="50266"/>
    <cellStyle name="표준 6 3 2 10 3 2 3" xfId="37594"/>
    <cellStyle name="표준 6 3 2 10 3 3" xfId="18578"/>
    <cellStyle name="표준 6 3 2 10 3 3 2" xfId="43930"/>
    <cellStyle name="표준 6 3 2 10 3 4" xfId="31258"/>
    <cellStyle name="표준 6 3 2 10 4" xfId="9083"/>
    <cellStyle name="표준 6 3 2 10 4 2" xfId="21757"/>
    <cellStyle name="표준 6 3 2 10 4 2 2" xfId="47109"/>
    <cellStyle name="표준 6 3 2 10 4 3" xfId="34437"/>
    <cellStyle name="표준 6 3 2 10 5" xfId="15421"/>
    <cellStyle name="표준 6 3 2 10 5 2" xfId="40773"/>
    <cellStyle name="표준 6 3 2 10 6" xfId="28101"/>
    <cellStyle name="표준 6 3 2 11" xfId="2748"/>
    <cellStyle name="표준 6 3 2 11 2" xfId="2749"/>
    <cellStyle name="표준 6 3 2 11 2 2" xfId="5905"/>
    <cellStyle name="표준 6 3 2 11 2 2 2" xfId="12241"/>
    <cellStyle name="표준 6 3 2 11 2 2 2 2" xfId="24915"/>
    <cellStyle name="표준 6 3 2 11 2 2 2 2 2" xfId="50267"/>
    <cellStyle name="표준 6 3 2 11 2 2 2 3" xfId="37595"/>
    <cellStyle name="표준 6 3 2 11 2 2 3" xfId="18579"/>
    <cellStyle name="표준 6 3 2 11 2 2 3 2" xfId="43931"/>
    <cellStyle name="표준 6 3 2 11 2 2 4" xfId="31259"/>
    <cellStyle name="표준 6 3 2 11 2 3" xfId="9086"/>
    <cellStyle name="표준 6 3 2 11 2 3 2" xfId="21760"/>
    <cellStyle name="표준 6 3 2 11 2 3 2 2" xfId="47112"/>
    <cellStyle name="표준 6 3 2 11 2 3 3" xfId="34440"/>
    <cellStyle name="표준 6 3 2 11 2 4" xfId="15424"/>
    <cellStyle name="표준 6 3 2 11 2 4 2" xfId="40776"/>
    <cellStyle name="표준 6 3 2 11 2 5" xfId="28104"/>
    <cellStyle name="표준 6 3 2 11 3" xfId="5906"/>
    <cellStyle name="표준 6 3 2 11 3 2" xfId="12242"/>
    <cellStyle name="표준 6 3 2 11 3 2 2" xfId="24916"/>
    <cellStyle name="표준 6 3 2 11 3 2 2 2" xfId="50268"/>
    <cellStyle name="표준 6 3 2 11 3 2 3" xfId="37596"/>
    <cellStyle name="표준 6 3 2 11 3 3" xfId="18580"/>
    <cellStyle name="표준 6 3 2 11 3 3 2" xfId="43932"/>
    <cellStyle name="표준 6 3 2 11 3 4" xfId="31260"/>
    <cellStyle name="표준 6 3 2 11 4" xfId="9085"/>
    <cellStyle name="표준 6 3 2 11 4 2" xfId="21759"/>
    <cellStyle name="표준 6 3 2 11 4 2 2" xfId="47111"/>
    <cellStyle name="표준 6 3 2 11 4 3" xfId="34439"/>
    <cellStyle name="표준 6 3 2 11 5" xfId="15423"/>
    <cellStyle name="표준 6 3 2 11 5 2" xfId="40775"/>
    <cellStyle name="표준 6 3 2 11 6" xfId="28103"/>
    <cellStyle name="표준 6 3 2 12" xfId="2750"/>
    <cellStyle name="표준 6 3 2 12 2" xfId="2751"/>
    <cellStyle name="표준 6 3 2 12 2 2" xfId="5907"/>
    <cellStyle name="표준 6 3 2 12 2 2 2" xfId="12243"/>
    <cellStyle name="표준 6 3 2 12 2 2 2 2" xfId="24917"/>
    <cellStyle name="표준 6 3 2 12 2 2 2 2 2" xfId="50269"/>
    <cellStyle name="표준 6 3 2 12 2 2 2 3" xfId="37597"/>
    <cellStyle name="표준 6 3 2 12 2 2 3" xfId="18581"/>
    <cellStyle name="표준 6 3 2 12 2 2 3 2" xfId="43933"/>
    <cellStyle name="표준 6 3 2 12 2 2 4" xfId="31261"/>
    <cellStyle name="표준 6 3 2 12 2 3" xfId="9088"/>
    <cellStyle name="표준 6 3 2 12 2 3 2" xfId="21762"/>
    <cellStyle name="표준 6 3 2 12 2 3 2 2" xfId="47114"/>
    <cellStyle name="표준 6 3 2 12 2 3 3" xfId="34442"/>
    <cellStyle name="표준 6 3 2 12 2 4" xfId="15426"/>
    <cellStyle name="표준 6 3 2 12 2 4 2" xfId="40778"/>
    <cellStyle name="표준 6 3 2 12 2 5" xfId="28106"/>
    <cellStyle name="표준 6 3 2 12 3" xfId="5908"/>
    <cellStyle name="표준 6 3 2 12 3 2" xfId="12244"/>
    <cellStyle name="표준 6 3 2 12 3 2 2" xfId="24918"/>
    <cellStyle name="표준 6 3 2 12 3 2 2 2" xfId="50270"/>
    <cellStyle name="표준 6 3 2 12 3 2 3" xfId="37598"/>
    <cellStyle name="표준 6 3 2 12 3 3" xfId="18582"/>
    <cellStyle name="표준 6 3 2 12 3 3 2" xfId="43934"/>
    <cellStyle name="표준 6 3 2 12 3 4" xfId="31262"/>
    <cellStyle name="표준 6 3 2 12 4" xfId="9087"/>
    <cellStyle name="표준 6 3 2 12 4 2" xfId="21761"/>
    <cellStyle name="표준 6 3 2 12 4 2 2" xfId="47113"/>
    <cellStyle name="표준 6 3 2 12 4 3" xfId="34441"/>
    <cellStyle name="표준 6 3 2 12 5" xfId="15425"/>
    <cellStyle name="표준 6 3 2 12 5 2" xfId="40777"/>
    <cellStyle name="표준 6 3 2 12 6" xfId="28105"/>
    <cellStyle name="표준 6 3 2 13" xfId="2752"/>
    <cellStyle name="표준 6 3 2 13 2" xfId="2753"/>
    <cellStyle name="표준 6 3 2 13 2 2" xfId="5909"/>
    <cellStyle name="표준 6 3 2 13 2 2 2" xfId="12245"/>
    <cellStyle name="표준 6 3 2 13 2 2 2 2" xfId="24919"/>
    <cellStyle name="표준 6 3 2 13 2 2 2 2 2" xfId="50271"/>
    <cellStyle name="표준 6 3 2 13 2 2 2 3" xfId="37599"/>
    <cellStyle name="표준 6 3 2 13 2 2 3" xfId="18583"/>
    <cellStyle name="표준 6 3 2 13 2 2 3 2" xfId="43935"/>
    <cellStyle name="표준 6 3 2 13 2 2 4" xfId="31263"/>
    <cellStyle name="표준 6 3 2 13 2 3" xfId="9090"/>
    <cellStyle name="표준 6 3 2 13 2 3 2" xfId="21764"/>
    <cellStyle name="표준 6 3 2 13 2 3 2 2" xfId="47116"/>
    <cellStyle name="표준 6 3 2 13 2 3 3" xfId="34444"/>
    <cellStyle name="표준 6 3 2 13 2 4" xfId="15428"/>
    <cellStyle name="표준 6 3 2 13 2 4 2" xfId="40780"/>
    <cellStyle name="표준 6 3 2 13 2 5" xfId="28108"/>
    <cellStyle name="표준 6 3 2 13 3" xfId="5910"/>
    <cellStyle name="표준 6 3 2 13 3 2" xfId="12246"/>
    <cellStyle name="표준 6 3 2 13 3 2 2" xfId="24920"/>
    <cellStyle name="표준 6 3 2 13 3 2 2 2" xfId="50272"/>
    <cellStyle name="표준 6 3 2 13 3 2 3" xfId="37600"/>
    <cellStyle name="표준 6 3 2 13 3 3" xfId="18584"/>
    <cellStyle name="표준 6 3 2 13 3 3 2" xfId="43936"/>
    <cellStyle name="표준 6 3 2 13 3 4" xfId="31264"/>
    <cellStyle name="표준 6 3 2 13 4" xfId="9089"/>
    <cellStyle name="표준 6 3 2 13 4 2" xfId="21763"/>
    <cellStyle name="표준 6 3 2 13 4 2 2" xfId="47115"/>
    <cellStyle name="표준 6 3 2 13 4 3" xfId="34443"/>
    <cellStyle name="표준 6 3 2 13 5" xfId="15427"/>
    <cellStyle name="표준 6 3 2 13 5 2" xfId="40779"/>
    <cellStyle name="표준 6 3 2 13 6" xfId="28107"/>
    <cellStyle name="표준 6 3 2 14" xfId="2754"/>
    <cellStyle name="표준 6 3 2 14 2" xfId="2755"/>
    <cellStyle name="표준 6 3 2 14 2 2" xfId="5911"/>
    <cellStyle name="표준 6 3 2 14 2 2 2" xfId="12247"/>
    <cellStyle name="표준 6 3 2 14 2 2 2 2" xfId="24921"/>
    <cellStyle name="표준 6 3 2 14 2 2 2 2 2" xfId="50273"/>
    <cellStyle name="표준 6 3 2 14 2 2 2 3" xfId="37601"/>
    <cellStyle name="표준 6 3 2 14 2 2 3" xfId="18585"/>
    <cellStyle name="표준 6 3 2 14 2 2 3 2" xfId="43937"/>
    <cellStyle name="표준 6 3 2 14 2 2 4" xfId="31265"/>
    <cellStyle name="표준 6 3 2 14 2 3" xfId="9092"/>
    <cellStyle name="표준 6 3 2 14 2 3 2" xfId="21766"/>
    <cellStyle name="표준 6 3 2 14 2 3 2 2" xfId="47118"/>
    <cellStyle name="표준 6 3 2 14 2 3 3" xfId="34446"/>
    <cellStyle name="표준 6 3 2 14 2 4" xfId="15430"/>
    <cellStyle name="표준 6 3 2 14 2 4 2" xfId="40782"/>
    <cellStyle name="표준 6 3 2 14 2 5" xfId="28110"/>
    <cellStyle name="표준 6 3 2 14 3" xfId="5912"/>
    <cellStyle name="표준 6 3 2 14 3 2" xfId="12248"/>
    <cellStyle name="표준 6 3 2 14 3 2 2" xfId="24922"/>
    <cellStyle name="표준 6 3 2 14 3 2 2 2" xfId="50274"/>
    <cellStyle name="표준 6 3 2 14 3 2 3" xfId="37602"/>
    <cellStyle name="표준 6 3 2 14 3 3" xfId="18586"/>
    <cellStyle name="표준 6 3 2 14 3 3 2" xfId="43938"/>
    <cellStyle name="표준 6 3 2 14 3 4" xfId="31266"/>
    <cellStyle name="표준 6 3 2 14 4" xfId="9091"/>
    <cellStyle name="표준 6 3 2 14 4 2" xfId="21765"/>
    <cellStyle name="표준 6 3 2 14 4 2 2" xfId="47117"/>
    <cellStyle name="표준 6 3 2 14 4 3" xfId="34445"/>
    <cellStyle name="표준 6 3 2 14 5" xfId="15429"/>
    <cellStyle name="표준 6 3 2 14 5 2" xfId="40781"/>
    <cellStyle name="표준 6 3 2 14 6" xfId="28109"/>
    <cellStyle name="표준 6 3 2 15" xfId="2756"/>
    <cellStyle name="표준 6 3 2 15 2" xfId="2757"/>
    <cellStyle name="표준 6 3 2 15 2 2" xfId="5913"/>
    <cellStyle name="표준 6 3 2 15 2 2 2" xfId="12249"/>
    <cellStyle name="표준 6 3 2 15 2 2 2 2" xfId="24923"/>
    <cellStyle name="표준 6 3 2 15 2 2 2 2 2" xfId="50275"/>
    <cellStyle name="표준 6 3 2 15 2 2 2 3" xfId="37603"/>
    <cellStyle name="표준 6 3 2 15 2 2 3" xfId="18587"/>
    <cellStyle name="표준 6 3 2 15 2 2 3 2" xfId="43939"/>
    <cellStyle name="표준 6 3 2 15 2 2 4" xfId="31267"/>
    <cellStyle name="표준 6 3 2 15 2 3" xfId="9094"/>
    <cellStyle name="표준 6 3 2 15 2 3 2" xfId="21768"/>
    <cellStyle name="표준 6 3 2 15 2 3 2 2" xfId="47120"/>
    <cellStyle name="표준 6 3 2 15 2 3 3" xfId="34448"/>
    <cellStyle name="표준 6 3 2 15 2 4" xfId="15432"/>
    <cellStyle name="표준 6 3 2 15 2 4 2" xfId="40784"/>
    <cellStyle name="표준 6 3 2 15 2 5" xfId="28112"/>
    <cellStyle name="표준 6 3 2 15 3" xfId="5914"/>
    <cellStyle name="표준 6 3 2 15 3 2" xfId="12250"/>
    <cellStyle name="표준 6 3 2 15 3 2 2" xfId="24924"/>
    <cellStyle name="표준 6 3 2 15 3 2 2 2" xfId="50276"/>
    <cellStyle name="표준 6 3 2 15 3 2 3" xfId="37604"/>
    <cellStyle name="표준 6 3 2 15 3 3" xfId="18588"/>
    <cellStyle name="표준 6 3 2 15 3 3 2" xfId="43940"/>
    <cellStyle name="표준 6 3 2 15 3 4" xfId="31268"/>
    <cellStyle name="표준 6 3 2 15 4" xfId="9093"/>
    <cellStyle name="표준 6 3 2 15 4 2" xfId="21767"/>
    <cellStyle name="표준 6 3 2 15 4 2 2" xfId="47119"/>
    <cellStyle name="표준 6 3 2 15 4 3" xfId="34447"/>
    <cellStyle name="표준 6 3 2 15 5" xfId="15431"/>
    <cellStyle name="표준 6 3 2 15 5 2" xfId="40783"/>
    <cellStyle name="표준 6 3 2 15 6" xfId="28111"/>
    <cellStyle name="표준 6 3 2 16" xfId="2758"/>
    <cellStyle name="표준 6 3 2 16 2" xfId="2759"/>
    <cellStyle name="표준 6 3 2 16 2 2" xfId="5915"/>
    <cellStyle name="표준 6 3 2 16 2 2 2" xfId="12251"/>
    <cellStyle name="표준 6 3 2 16 2 2 2 2" xfId="24925"/>
    <cellStyle name="표준 6 3 2 16 2 2 2 2 2" xfId="50277"/>
    <cellStyle name="표준 6 3 2 16 2 2 2 3" xfId="37605"/>
    <cellStyle name="표준 6 3 2 16 2 2 3" xfId="18589"/>
    <cellStyle name="표준 6 3 2 16 2 2 3 2" xfId="43941"/>
    <cellStyle name="표준 6 3 2 16 2 2 4" xfId="31269"/>
    <cellStyle name="표준 6 3 2 16 2 3" xfId="9096"/>
    <cellStyle name="표준 6 3 2 16 2 3 2" xfId="21770"/>
    <cellStyle name="표준 6 3 2 16 2 3 2 2" xfId="47122"/>
    <cellStyle name="표준 6 3 2 16 2 3 3" xfId="34450"/>
    <cellStyle name="표준 6 3 2 16 2 4" xfId="15434"/>
    <cellStyle name="표준 6 3 2 16 2 4 2" xfId="40786"/>
    <cellStyle name="표준 6 3 2 16 2 5" xfId="28114"/>
    <cellStyle name="표준 6 3 2 16 3" xfId="5916"/>
    <cellStyle name="표준 6 3 2 16 3 2" xfId="12252"/>
    <cellStyle name="표준 6 3 2 16 3 2 2" xfId="24926"/>
    <cellStyle name="표준 6 3 2 16 3 2 2 2" xfId="50278"/>
    <cellStyle name="표준 6 3 2 16 3 2 3" xfId="37606"/>
    <cellStyle name="표준 6 3 2 16 3 3" xfId="18590"/>
    <cellStyle name="표준 6 3 2 16 3 3 2" xfId="43942"/>
    <cellStyle name="표준 6 3 2 16 3 4" xfId="31270"/>
    <cellStyle name="표준 6 3 2 16 4" xfId="9095"/>
    <cellStyle name="표준 6 3 2 16 4 2" xfId="21769"/>
    <cellStyle name="표준 6 3 2 16 4 2 2" xfId="47121"/>
    <cellStyle name="표준 6 3 2 16 4 3" xfId="34449"/>
    <cellStyle name="표준 6 3 2 16 5" xfId="15433"/>
    <cellStyle name="표준 6 3 2 16 5 2" xfId="40785"/>
    <cellStyle name="표준 6 3 2 16 6" xfId="28113"/>
    <cellStyle name="표준 6 3 2 17" xfId="2760"/>
    <cellStyle name="표준 6 3 2 17 2" xfId="2761"/>
    <cellStyle name="표준 6 3 2 17 2 2" xfId="5917"/>
    <cellStyle name="표준 6 3 2 17 2 2 2" xfId="12253"/>
    <cellStyle name="표준 6 3 2 17 2 2 2 2" xfId="24927"/>
    <cellStyle name="표준 6 3 2 17 2 2 2 2 2" xfId="50279"/>
    <cellStyle name="표준 6 3 2 17 2 2 2 3" xfId="37607"/>
    <cellStyle name="표준 6 3 2 17 2 2 3" xfId="18591"/>
    <cellStyle name="표준 6 3 2 17 2 2 3 2" xfId="43943"/>
    <cellStyle name="표준 6 3 2 17 2 2 4" xfId="31271"/>
    <cellStyle name="표준 6 3 2 17 2 3" xfId="9098"/>
    <cellStyle name="표준 6 3 2 17 2 3 2" xfId="21772"/>
    <cellStyle name="표준 6 3 2 17 2 3 2 2" xfId="47124"/>
    <cellStyle name="표준 6 3 2 17 2 3 3" xfId="34452"/>
    <cellStyle name="표준 6 3 2 17 2 4" xfId="15436"/>
    <cellStyle name="표준 6 3 2 17 2 4 2" xfId="40788"/>
    <cellStyle name="표준 6 3 2 17 2 5" xfId="28116"/>
    <cellStyle name="표준 6 3 2 17 3" xfId="5918"/>
    <cellStyle name="표준 6 3 2 17 3 2" xfId="12254"/>
    <cellStyle name="표준 6 3 2 17 3 2 2" xfId="24928"/>
    <cellStyle name="표준 6 3 2 17 3 2 2 2" xfId="50280"/>
    <cellStyle name="표준 6 3 2 17 3 2 3" xfId="37608"/>
    <cellStyle name="표준 6 3 2 17 3 3" xfId="18592"/>
    <cellStyle name="표준 6 3 2 17 3 3 2" xfId="43944"/>
    <cellStyle name="표준 6 3 2 17 3 4" xfId="31272"/>
    <cellStyle name="표준 6 3 2 17 4" xfId="9097"/>
    <cellStyle name="표준 6 3 2 17 4 2" xfId="21771"/>
    <cellStyle name="표준 6 3 2 17 4 2 2" xfId="47123"/>
    <cellStyle name="표준 6 3 2 17 4 3" xfId="34451"/>
    <cellStyle name="표준 6 3 2 17 5" xfId="15435"/>
    <cellStyle name="표준 6 3 2 17 5 2" xfId="40787"/>
    <cellStyle name="표준 6 3 2 17 6" xfId="28115"/>
    <cellStyle name="표준 6 3 2 18" xfId="2762"/>
    <cellStyle name="표준 6 3 2 18 2" xfId="2763"/>
    <cellStyle name="표준 6 3 2 18 2 2" xfId="5919"/>
    <cellStyle name="표준 6 3 2 18 2 2 2" xfId="12255"/>
    <cellStyle name="표준 6 3 2 18 2 2 2 2" xfId="24929"/>
    <cellStyle name="표준 6 3 2 18 2 2 2 2 2" xfId="50281"/>
    <cellStyle name="표준 6 3 2 18 2 2 2 3" xfId="37609"/>
    <cellStyle name="표준 6 3 2 18 2 2 3" xfId="18593"/>
    <cellStyle name="표준 6 3 2 18 2 2 3 2" xfId="43945"/>
    <cellStyle name="표준 6 3 2 18 2 2 4" xfId="31273"/>
    <cellStyle name="표준 6 3 2 18 2 3" xfId="9100"/>
    <cellStyle name="표준 6 3 2 18 2 3 2" xfId="21774"/>
    <cellStyle name="표준 6 3 2 18 2 3 2 2" xfId="47126"/>
    <cellStyle name="표준 6 3 2 18 2 3 3" xfId="34454"/>
    <cellStyle name="표준 6 3 2 18 2 4" xfId="15438"/>
    <cellStyle name="표준 6 3 2 18 2 4 2" xfId="40790"/>
    <cellStyle name="표준 6 3 2 18 2 5" xfId="28118"/>
    <cellStyle name="표준 6 3 2 18 3" xfId="5920"/>
    <cellStyle name="표준 6 3 2 18 3 2" xfId="12256"/>
    <cellStyle name="표준 6 3 2 18 3 2 2" xfId="24930"/>
    <cellStyle name="표준 6 3 2 18 3 2 2 2" xfId="50282"/>
    <cellStyle name="표준 6 3 2 18 3 2 3" xfId="37610"/>
    <cellStyle name="표준 6 3 2 18 3 3" xfId="18594"/>
    <cellStyle name="표준 6 3 2 18 3 3 2" xfId="43946"/>
    <cellStyle name="표준 6 3 2 18 3 4" xfId="31274"/>
    <cellStyle name="표준 6 3 2 18 4" xfId="9099"/>
    <cellStyle name="표준 6 3 2 18 4 2" xfId="21773"/>
    <cellStyle name="표준 6 3 2 18 4 2 2" xfId="47125"/>
    <cellStyle name="표준 6 3 2 18 4 3" xfId="34453"/>
    <cellStyle name="표준 6 3 2 18 5" xfId="15437"/>
    <cellStyle name="표준 6 3 2 18 5 2" xfId="40789"/>
    <cellStyle name="표준 6 3 2 18 6" xfId="28117"/>
    <cellStyle name="표준 6 3 2 19" xfId="2764"/>
    <cellStyle name="표준 6 3 2 19 2" xfId="2765"/>
    <cellStyle name="표준 6 3 2 19 2 2" xfId="5921"/>
    <cellStyle name="표준 6 3 2 19 2 2 2" xfId="12257"/>
    <cellStyle name="표준 6 3 2 19 2 2 2 2" xfId="24931"/>
    <cellStyle name="표준 6 3 2 19 2 2 2 2 2" xfId="50283"/>
    <cellStyle name="표준 6 3 2 19 2 2 2 3" xfId="37611"/>
    <cellStyle name="표준 6 3 2 19 2 2 3" xfId="18595"/>
    <cellStyle name="표준 6 3 2 19 2 2 3 2" xfId="43947"/>
    <cellStyle name="표준 6 3 2 19 2 2 4" xfId="31275"/>
    <cellStyle name="표준 6 3 2 19 2 3" xfId="9102"/>
    <cellStyle name="표준 6 3 2 19 2 3 2" xfId="21776"/>
    <cellStyle name="표준 6 3 2 19 2 3 2 2" xfId="47128"/>
    <cellStyle name="표준 6 3 2 19 2 3 3" xfId="34456"/>
    <cellStyle name="표준 6 3 2 19 2 4" xfId="15440"/>
    <cellStyle name="표준 6 3 2 19 2 4 2" xfId="40792"/>
    <cellStyle name="표준 6 3 2 19 2 5" xfId="28120"/>
    <cellStyle name="표준 6 3 2 19 3" xfId="5922"/>
    <cellStyle name="표준 6 3 2 19 3 2" xfId="12258"/>
    <cellStyle name="표준 6 3 2 19 3 2 2" xfId="24932"/>
    <cellStyle name="표준 6 3 2 19 3 2 2 2" xfId="50284"/>
    <cellStyle name="표준 6 3 2 19 3 2 3" xfId="37612"/>
    <cellStyle name="표준 6 3 2 19 3 3" xfId="18596"/>
    <cellStyle name="표준 6 3 2 19 3 3 2" xfId="43948"/>
    <cellStyle name="표준 6 3 2 19 3 4" xfId="31276"/>
    <cellStyle name="표준 6 3 2 19 4" xfId="9101"/>
    <cellStyle name="표준 6 3 2 19 4 2" xfId="21775"/>
    <cellStyle name="표준 6 3 2 19 4 2 2" xfId="47127"/>
    <cellStyle name="표준 6 3 2 19 4 3" xfId="34455"/>
    <cellStyle name="표준 6 3 2 19 5" xfId="15439"/>
    <cellStyle name="표준 6 3 2 19 5 2" xfId="40791"/>
    <cellStyle name="표준 6 3 2 19 6" xfId="28119"/>
    <cellStyle name="표준 6 3 2 2" xfId="97"/>
    <cellStyle name="표준 6 3 2 2 10" xfId="2766"/>
    <cellStyle name="표준 6 3 2 2 10 2" xfId="2767"/>
    <cellStyle name="표준 6 3 2 2 10 2 2" xfId="5923"/>
    <cellStyle name="표준 6 3 2 2 10 2 2 2" xfId="12259"/>
    <cellStyle name="표준 6 3 2 2 10 2 2 2 2" xfId="24933"/>
    <cellStyle name="표준 6 3 2 2 10 2 2 2 2 2" xfId="50285"/>
    <cellStyle name="표준 6 3 2 2 10 2 2 2 3" xfId="37613"/>
    <cellStyle name="표준 6 3 2 2 10 2 2 3" xfId="18597"/>
    <cellStyle name="표준 6 3 2 2 10 2 2 3 2" xfId="43949"/>
    <cellStyle name="표준 6 3 2 2 10 2 2 4" xfId="31277"/>
    <cellStyle name="표준 6 3 2 2 10 2 3" xfId="9104"/>
    <cellStyle name="표준 6 3 2 2 10 2 3 2" xfId="21778"/>
    <cellStyle name="표준 6 3 2 2 10 2 3 2 2" xfId="47130"/>
    <cellStyle name="표준 6 3 2 2 10 2 3 3" xfId="34458"/>
    <cellStyle name="표준 6 3 2 2 10 2 4" xfId="15442"/>
    <cellStyle name="표준 6 3 2 2 10 2 4 2" xfId="40794"/>
    <cellStyle name="표준 6 3 2 2 10 2 5" xfId="28122"/>
    <cellStyle name="표준 6 3 2 2 10 3" xfId="5924"/>
    <cellStyle name="표준 6 3 2 2 10 3 2" xfId="12260"/>
    <cellStyle name="표준 6 3 2 2 10 3 2 2" xfId="24934"/>
    <cellStyle name="표준 6 3 2 2 10 3 2 2 2" xfId="50286"/>
    <cellStyle name="표준 6 3 2 2 10 3 2 3" xfId="37614"/>
    <cellStyle name="표준 6 3 2 2 10 3 3" xfId="18598"/>
    <cellStyle name="표준 6 3 2 2 10 3 3 2" xfId="43950"/>
    <cellStyle name="표준 6 3 2 2 10 3 4" xfId="31278"/>
    <cellStyle name="표준 6 3 2 2 10 4" xfId="9103"/>
    <cellStyle name="표준 6 3 2 2 10 4 2" xfId="21777"/>
    <cellStyle name="표준 6 3 2 2 10 4 2 2" xfId="47129"/>
    <cellStyle name="표준 6 3 2 2 10 4 3" xfId="34457"/>
    <cellStyle name="표준 6 3 2 2 10 5" xfId="15441"/>
    <cellStyle name="표준 6 3 2 2 10 5 2" xfId="40793"/>
    <cellStyle name="표준 6 3 2 2 10 6" xfId="28121"/>
    <cellStyle name="표준 6 3 2 2 11" xfId="2768"/>
    <cellStyle name="표준 6 3 2 2 11 2" xfId="2769"/>
    <cellStyle name="표준 6 3 2 2 11 2 2" xfId="5925"/>
    <cellStyle name="표준 6 3 2 2 11 2 2 2" xfId="12261"/>
    <cellStyle name="표준 6 3 2 2 11 2 2 2 2" xfId="24935"/>
    <cellStyle name="표준 6 3 2 2 11 2 2 2 2 2" xfId="50287"/>
    <cellStyle name="표준 6 3 2 2 11 2 2 2 3" xfId="37615"/>
    <cellStyle name="표준 6 3 2 2 11 2 2 3" xfId="18599"/>
    <cellStyle name="표준 6 3 2 2 11 2 2 3 2" xfId="43951"/>
    <cellStyle name="표준 6 3 2 2 11 2 2 4" xfId="31279"/>
    <cellStyle name="표준 6 3 2 2 11 2 3" xfId="9106"/>
    <cellStyle name="표준 6 3 2 2 11 2 3 2" xfId="21780"/>
    <cellStyle name="표준 6 3 2 2 11 2 3 2 2" xfId="47132"/>
    <cellStyle name="표준 6 3 2 2 11 2 3 3" xfId="34460"/>
    <cellStyle name="표준 6 3 2 2 11 2 4" xfId="15444"/>
    <cellStyle name="표준 6 3 2 2 11 2 4 2" xfId="40796"/>
    <cellStyle name="표준 6 3 2 2 11 2 5" xfId="28124"/>
    <cellStyle name="표준 6 3 2 2 11 3" xfId="5926"/>
    <cellStyle name="표준 6 3 2 2 11 3 2" xfId="12262"/>
    <cellStyle name="표준 6 3 2 2 11 3 2 2" xfId="24936"/>
    <cellStyle name="표준 6 3 2 2 11 3 2 2 2" xfId="50288"/>
    <cellStyle name="표준 6 3 2 2 11 3 2 3" xfId="37616"/>
    <cellStyle name="표준 6 3 2 2 11 3 3" xfId="18600"/>
    <cellStyle name="표준 6 3 2 2 11 3 3 2" xfId="43952"/>
    <cellStyle name="표준 6 3 2 2 11 3 4" xfId="31280"/>
    <cellStyle name="표준 6 3 2 2 11 4" xfId="9105"/>
    <cellStyle name="표준 6 3 2 2 11 4 2" xfId="21779"/>
    <cellStyle name="표준 6 3 2 2 11 4 2 2" xfId="47131"/>
    <cellStyle name="표준 6 3 2 2 11 4 3" xfId="34459"/>
    <cellStyle name="표준 6 3 2 2 11 5" xfId="15443"/>
    <cellStyle name="표준 6 3 2 2 11 5 2" xfId="40795"/>
    <cellStyle name="표준 6 3 2 2 11 6" xfId="28123"/>
    <cellStyle name="표준 6 3 2 2 12" xfId="2770"/>
    <cellStyle name="표준 6 3 2 2 12 2" xfId="2771"/>
    <cellStyle name="표준 6 3 2 2 12 2 2" xfId="5927"/>
    <cellStyle name="표준 6 3 2 2 12 2 2 2" xfId="12263"/>
    <cellStyle name="표준 6 3 2 2 12 2 2 2 2" xfId="24937"/>
    <cellStyle name="표준 6 3 2 2 12 2 2 2 2 2" xfId="50289"/>
    <cellStyle name="표준 6 3 2 2 12 2 2 2 3" xfId="37617"/>
    <cellStyle name="표준 6 3 2 2 12 2 2 3" xfId="18601"/>
    <cellStyle name="표준 6 3 2 2 12 2 2 3 2" xfId="43953"/>
    <cellStyle name="표준 6 3 2 2 12 2 2 4" xfId="31281"/>
    <cellStyle name="표준 6 3 2 2 12 2 3" xfId="9108"/>
    <cellStyle name="표준 6 3 2 2 12 2 3 2" xfId="21782"/>
    <cellStyle name="표준 6 3 2 2 12 2 3 2 2" xfId="47134"/>
    <cellStyle name="표준 6 3 2 2 12 2 3 3" xfId="34462"/>
    <cellStyle name="표준 6 3 2 2 12 2 4" xfId="15446"/>
    <cellStyle name="표준 6 3 2 2 12 2 4 2" xfId="40798"/>
    <cellStyle name="표준 6 3 2 2 12 2 5" xfId="28126"/>
    <cellStyle name="표준 6 3 2 2 12 3" xfId="5928"/>
    <cellStyle name="표준 6 3 2 2 12 3 2" xfId="12264"/>
    <cellStyle name="표준 6 3 2 2 12 3 2 2" xfId="24938"/>
    <cellStyle name="표준 6 3 2 2 12 3 2 2 2" xfId="50290"/>
    <cellStyle name="표준 6 3 2 2 12 3 2 3" xfId="37618"/>
    <cellStyle name="표준 6 3 2 2 12 3 3" xfId="18602"/>
    <cellStyle name="표준 6 3 2 2 12 3 3 2" xfId="43954"/>
    <cellStyle name="표준 6 3 2 2 12 3 4" xfId="31282"/>
    <cellStyle name="표준 6 3 2 2 12 4" xfId="9107"/>
    <cellStyle name="표준 6 3 2 2 12 4 2" xfId="21781"/>
    <cellStyle name="표준 6 3 2 2 12 4 2 2" xfId="47133"/>
    <cellStyle name="표준 6 3 2 2 12 4 3" xfId="34461"/>
    <cellStyle name="표준 6 3 2 2 12 5" xfId="15445"/>
    <cellStyle name="표준 6 3 2 2 12 5 2" xfId="40797"/>
    <cellStyle name="표준 6 3 2 2 12 6" xfId="28125"/>
    <cellStyle name="표준 6 3 2 2 13" xfId="2772"/>
    <cellStyle name="표준 6 3 2 2 13 2" xfId="2773"/>
    <cellStyle name="표준 6 3 2 2 13 2 2" xfId="5929"/>
    <cellStyle name="표준 6 3 2 2 13 2 2 2" xfId="12265"/>
    <cellStyle name="표준 6 3 2 2 13 2 2 2 2" xfId="24939"/>
    <cellStyle name="표준 6 3 2 2 13 2 2 2 2 2" xfId="50291"/>
    <cellStyle name="표준 6 3 2 2 13 2 2 2 3" xfId="37619"/>
    <cellStyle name="표준 6 3 2 2 13 2 2 3" xfId="18603"/>
    <cellStyle name="표준 6 3 2 2 13 2 2 3 2" xfId="43955"/>
    <cellStyle name="표준 6 3 2 2 13 2 2 4" xfId="31283"/>
    <cellStyle name="표준 6 3 2 2 13 2 3" xfId="9110"/>
    <cellStyle name="표준 6 3 2 2 13 2 3 2" xfId="21784"/>
    <cellStyle name="표준 6 3 2 2 13 2 3 2 2" xfId="47136"/>
    <cellStyle name="표준 6 3 2 2 13 2 3 3" xfId="34464"/>
    <cellStyle name="표준 6 3 2 2 13 2 4" xfId="15448"/>
    <cellStyle name="표준 6 3 2 2 13 2 4 2" xfId="40800"/>
    <cellStyle name="표준 6 3 2 2 13 2 5" xfId="28128"/>
    <cellStyle name="표준 6 3 2 2 13 3" xfId="5930"/>
    <cellStyle name="표준 6 3 2 2 13 3 2" xfId="12266"/>
    <cellStyle name="표준 6 3 2 2 13 3 2 2" xfId="24940"/>
    <cellStyle name="표준 6 3 2 2 13 3 2 2 2" xfId="50292"/>
    <cellStyle name="표준 6 3 2 2 13 3 2 3" xfId="37620"/>
    <cellStyle name="표준 6 3 2 2 13 3 3" xfId="18604"/>
    <cellStyle name="표준 6 3 2 2 13 3 3 2" xfId="43956"/>
    <cellStyle name="표준 6 3 2 2 13 3 4" xfId="31284"/>
    <cellStyle name="표준 6 3 2 2 13 4" xfId="9109"/>
    <cellStyle name="표준 6 3 2 2 13 4 2" xfId="21783"/>
    <cellStyle name="표준 6 3 2 2 13 4 2 2" xfId="47135"/>
    <cellStyle name="표준 6 3 2 2 13 4 3" xfId="34463"/>
    <cellStyle name="표준 6 3 2 2 13 5" xfId="15447"/>
    <cellStyle name="표준 6 3 2 2 13 5 2" xfId="40799"/>
    <cellStyle name="표준 6 3 2 2 13 6" xfId="28127"/>
    <cellStyle name="표준 6 3 2 2 14" xfId="2774"/>
    <cellStyle name="표준 6 3 2 2 14 2" xfId="2775"/>
    <cellStyle name="표준 6 3 2 2 14 2 2" xfId="5931"/>
    <cellStyle name="표준 6 3 2 2 14 2 2 2" xfId="12267"/>
    <cellStyle name="표준 6 3 2 2 14 2 2 2 2" xfId="24941"/>
    <cellStyle name="표준 6 3 2 2 14 2 2 2 2 2" xfId="50293"/>
    <cellStyle name="표준 6 3 2 2 14 2 2 2 3" xfId="37621"/>
    <cellStyle name="표준 6 3 2 2 14 2 2 3" xfId="18605"/>
    <cellStyle name="표준 6 3 2 2 14 2 2 3 2" xfId="43957"/>
    <cellStyle name="표준 6 3 2 2 14 2 2 4" xfId="31285"/>
    <cellStyle name="표준 6 3 2 2 14 2 3" xfId="9112"/>
    <cellStyle name="표준 6 3 2 2 14 2 3 2" xfId="21786"/>
    <cellStyle name="표준 6 3 2 2 14 2 3 2 2" xfId="47138"/>
    <cellStyle name="표준 6 3 2 2 14 2 3 3" xfId="34466"/>
    <cellStyle name="표준 6 3 2 2 14 2 4" xfId="15450"/>
    <cellStyle name="표준 6 3 2 2 14 2 4 2" xfId="40802"/>
    <cellStyle name="표준 6 3 2 2 14 2 5" xfId="28130"/>
    <cellStyle name="표준 6 3 2 2 14 3" xfId="5932"/>
    <cellStyle name="표준 6 3 2 2 14 3 2" xfId="12268"/>
    <cellStyle name="표준 6 3 2 2 14 3 2 2" xfId="24942"/>
    <cellStyle name="표준 6 3 2 2 14 3 2 2 2" xfId="50294"/>
    <cellStyle name="표준 6 3 2 2 14 3 2 3" xfId="37622"/>
    <cellStyle name="표준 6 3 2 2 14 3 3" xfId="18606"/>
    <cellStyle name="표준 6 3 2 2 14 3 3 2" xfId="43958"/>
    <cellStyle name="표준 6 3 2 2 14 3 4" xfId="31286"/>
    <cellStyle name="표준 6 3 2 2 14 4" xfId="9111"/>
    <cellStyle name="표준 6 3 2 2 14 4 2" xfId="21785"/>
    <cellStyle name="표준 6 3 2 2 14 4 2 2" xfId="47137"/>
    <cellStyle name="표준 6 3 2 2 14 4 3" xfId="34465"/>
    <cellStyle name="표준 6 3 2 2 14 5" xfId="15449"/>
    <cellStyle name="표준 6 3 2 2 14 5 2" xfId="40801"/>
    <cellStyle name="표준 6 3 2 2 14 6" xfId="28129"/>
    <cellStyle name="표준 6 3 2 2 15" xfId="2776"/>
    <cellStyle name="표준 6 3 2 2 15 2" xfId="2777"/>
    <cellStyle name="표준 6 3 2 2 15 2 2" xfId="5933"/>
    <cellStyle name="표준 6 3 2 2 15 2 2 2" xfId="12269"/>
    <cellStyle name="표준 6 3 2 2 15 2 2 2 2" xfId="24943"/>
    <cellStyle name="표준 6 3 2 2 15 2 2 2 2 2" xfId="50295"/>
    <cellStyle name="표준 6 3 2 2 15 2 2 2 3" xfId="37623"/>
    <cellStyle name="표준 6 3 2 2 15 2 2 3" xfId="18607"/>
    <cellStyle name="표준 6 3 2 2 15 2 2 3 2" xfId="43959"/>
    <cellStyle name="표준 6 3 2 2 15 2 2 4" xfId="31287"/>
    <cellStyle name="표준 6 3 2 2 15 2 3" xfId="9114"/>
    <cellStyle name="표준 6 3 2 2 15 2 3 2" xfId="21788"/>
    <cellStyle name="표준 6 3 2 2 15 2 3 2 2" xfId="47140"/>
    <cellStyle name="표준 6 3 2 2 15 2 3 3" xfId="34468"/>
    <cellStyle name="표준 6 3 2 2 15 2 4" xfId="15452"/>
    <cellStyle name="표준 6 3 2 2 15 2 4 2" xfId="40804"/>
    <cellStyle name="표준 6 3 2 2 15 2 5" xfId="28132"/>
    <cellStyle name="표준 6 3 2 2 15 3" xfId="5934"/>
    <cellStyle name="표준 6 3 2 2 15 3 2" xfId="12270"/>
    <cellStyle name="표준 6 3 2 2 15 3 2 2" xfId="24944"/>
    <cellStyle name="표준 6 3 2 2 15 3 2 2 2" xfId="50296"/>
    <cellStyle name="표준 6 3 2 2 15 3 2 3" xfId="37624"/>
    <cellStyle name="표준 6 3 2 2 15 3 3" xfId="18608"/>
    <cellStyle name="표준 6 3 2 2 15 3 3 2" xfId="43960"/>
    <cellStyle name="표준 6 3 2 2 15 3 4" xfId="31288"/>
    <cellStyle name="표준 6 3 2 2 15 4" xfId="9113"/>
    <cellStyle name="표준 6 3 2 2 15 4 2" xfId="21787"/>
    <cellStyle name="표준 6 3 2 2 15 4 2 2" xfId="47139"/>
    <cellStyle name="표준 6 3 2 2 15 4 3" xfId="34467"/>
    <cellStyle name="표준 6 3 2 2 15 5" xfId="15451"/>
    <cellStyle name="표준 6 3 2 2 15 5 2" xfId="40803"/>
    <cellStyle name="표준 6 3 2 2 15 6" xfId="28131"/>
    <cellStyle name="표준 6 3 2 2 16" xfId="2778"/>
    <cellStyle name="표준 6 3 2 2 16 2" xfId="2779"/>
    <cellStyle name="표준 6 3 2 2 16 2 2" xfId="5935"/>
    <cellStyle name="표준 6 3 2 2 16 2 2 2" xfId="12271"/>
    <cellStyle name="표준 6 3 2 2 16 2 2 2 2" xfId="24945"/>
    <cellStyle name="표준 6 3 2 2 16 2 2 2 2 2" xfId="50297"/>
    <cellStyle name="표준 6 3 2 2 16 2 2 2 3" xfId="37625"/>
    <cellStyle name="표준 6 3 2 2 16 2 2 3" xfId="18609"/>
    <cellStyle name="표준 6 3 2 2 16 2 2 3 2" xfId="43961"/>
    <cellStyle name="표준 6 3 2 2 16 2 2 4" xfId="31289"/>
    <cellStyle name="표준 6 3 2 2 16 2 3" xfId="9116"/>
    <cellStyle name="표준 6 3 2 2 16 2 3 2" xfId="21790"/>
    <cellStyle name="표준 6 3 2 2 16 2 3 2 2" xfId="47142"/>
    <cellStyle name="표준 6 3 2 2 16 2 3 3" xfId="34470"/>
    <cellStyle name="표준 6 3 2 2 16 2 4" xfId="15454"/>
    <cellStyle name="표준 6 3 2 2 16 2 4 2" xfId="40806"/>
    <cellStyle name="표준 6 3 2 2 16 2 5" xfId="28134"/>
    <cellStyle name="표준 6 3 2 2 16 3" xfId="5936"/>
    <cellStyle name="표준 6 3 2 2 16 3 2" xfId="12272"/>
    <cellStyle name="표준 6 3 2 2 16 3 2 2" xfId="24946"/>
    <cellStyle name="표준 6 3 2 2 16 3 2 2 2" xfId="50298"/>
    <cellStyle name="표준 6 3 2 2 16 3 2 3" xfId="37626"/>
    <cellStyle name="표준 6 3 2 2 16 3 3" xfId="18610"/>
    <cellStyle name="표준 6 3 2 2 16 3 3 2" xfId="43962"/>
    <cellStyle name="표준 6 3 2 2 16 3 4" xfId="31290"/>
    <cellStyle name="표준 6 3 2 2 16 4" xfId="9115"/>
    <cellStyle name="표준 6 3 2 2 16 4 2" xfId="21789"/>
    <cellStyle name="표준 6 3 2 2 16 4 2 2" xfId="47141"/>
    <cellStyle name="표준 6 3 2 2 16 4 3" xfId="34469"/>
    <cellStyle name="표준 6 3 2 2 16 5" xfId="15453"/>
    <cellStyle name="표준 6 3 2 2 16 5 2" xfId="40805"/>
    <cellStyle name="표준 6 3 2 2 16 6" xfId="28133"/>
    <cellStyle name="표준 6 3 2 2 17" xfId="2780"/>
    <cellStyle name="표준 6 3 2 2 17 2" xfId="2781"/>
    <cellStyle name="표준 6 3 2 2 17 2 2" xfId="5937"/>
    <cellStyle name="표준 6 3 2 2 17 2 2 2" xfId="12273"/>
    <cellStyle name="표준 6 3 2 2 17 2 2 2 2" xfId="24947"/>
    <cellStyle name="표준 6 3 2 2 17 2 2 2 2 2" xfId="50299"/>
    <cellStyle name="표준 6 3 2 2 17 2 2 2 3" xfId="37627"/>
    <cellStyle name="표준 6 3 2 2 17 2 2 3" xfId="18611"/>
    <cellStyle name="표준 6 3 2 2 17 2 2 3 2" xfId="43963"/>
    <cellStyle name="표준 6 3 2 2 17 2 2 4" xfId="31291"/>
    <cellStyle name="표준 6 3 2 2 17 2 3" xfId="9118"/>
    <cellStyle name="표준 6 3 2 2 17 2 3 2" xfId="21792"/>
    <cellStyle name="표준 6 3 2 2 17 2 3 2 2" xfId="47144"/>
    <cellStyle name="표준 6 3 2 2 17 2 3 3" xfId="34472"/>
    <cellStyle name="표준 6 3 2 2 17 2 4" xfId="15456"/>
    <cellStyle name="표준 6 3 2 2 17 2 4 2" xfId="40808"/>
    <cellStyle name="표준 6 3 2 2 17 2 5" xfId="28136"/>
    <cellStyle name="표준 6 3 2 2 17 3" xfId="5938"/>
    <cellStyle name="표준 6 3 2 2 17 3 2" xfId="12274"/>
    <cellStyle name="표준 6 3 2 2 17 3 2 2" xfId="24948"/>
    <cellStyle name="표준 6 3 2 2 17 3 2 2 2" xfId="50300"/>
    <cellStyle name="표준 6 3 2 2 17 3 2 3" xfId="37628"/>
    <cellStyle name="표준 6 3 2 2 17 3 3" xfId="18612"/>
    <cellStyle name="표준 6 3 2 2 17 3 3 2" xfId="43964"/>
    <cellStyle name="표준 6 3 2 2 17 3 4" xfId="31292"/>
    <cellStyle name="표준 6 3 2 2 17 4" xfId="9117"/>
    <cellStyle name="표준 6 3 2 2 17 4 2" xfId="21791"/>
    <cellStyle name="표준 6 3 2 2 17 4 2 2" xfId="47143"/>
    <cellStyle name="표준 6 3 2 2 17 4 3" xfId="34471"/>
    <cellStyle name="표준 6 3 2 2 17 5" xfId="15455"/>
    <cellStyle name="표준 6 3 2 2 17 5 2" xfId="40807"/>
    <cellStyle name="표준 6 3 2 2 17 6" xfId="28135"/>
    <cellStyle name="표준 6 3 2 2 18" xfId="2782"/>
    <cellStyle name="표준 6 3 2 2 18 2" xfId="2783"/>
    <cellStyle name="표준 6 3 2 2 18 2 2" xfId="5939"/>
    <cellStyle name="표준 6 3 2 2 18 2 2 2" xfId="12275"/>
    <cellStyle name="표준 6 3 2 2 18 2 2 2 2" xfId="24949"/>
    <cellStyle name="표준 6 3 2 2 18 2 2 2 2 2" xfId="50301"/>
    <cellStyle name="표준 6 3 2 2 18 2 2 2 3" xfId="37629"/>
    <cellStyle name="표준 6 3 2 2 18 2 2 3" xfId="18613"/>
    <cellStyle name="표준 6 3 2 2 18 2 2 3 2" xfId="43965"/>
    <cellStyle name="표준 6 3 2 2 18 2 2 4" xfId="31293"/>
    <cellStyle name="표준 6 3 2 2 18 2 3" xfId="9120"/>
    <cellStyle name="표준 6 3 2 2 18 2 3 2" xfId="21794"/>
    <cellStyle name="표준 6 3 2 2 18 2 3 2 2" xfId="47146"/>
    <cellStyle name="표준 6 3 2 2 18 2 3 3" xfId="34474"/>
    <cellStyle name="표준 6 3 2 2 18 2 4" xfId="15458"/>
    <cellStyle name="표준 6 3 2 2 18 2 4 2" xfId="40810"/>
    <cellStyle name="표준 6 3 2 2 18 2 5" xfId="28138"/>
    <cellStyle name="표준 6 3 2 2 18 3" xfId="5940"/>
    <cellStyle name="표준 6 3 2 2 18 3 2" xfId="12276"/>
    <cellStyle name="표준 6 3 2 2 18 3 2 2" xfId="24950"/>
    <cellStyle name="표준 6 3 2 2 18 3 2 2 2" xfId="50302"/>
    <cellStyle name="표준 6 3 2 2 18 3 2 3" xfId="37630"/>
    <cellStyle name="표준 6 3 2 2 18 3 3" xfId="18614"/>
    <cellStyle name="표준 6 3 2 2 18 3 3 2" xfId="43966"/>
    <cellStyle name="표준 6 3 2 2 18 3 4" xfId="31294"/>
    <cellStyle name="표준 6 3 2 2 18 4" xfId="9119"/>
    <cellStyle name="표준 6 3 2 2 18 4 2" xfId="21793"/>
    <cellStyle name="표준 6 3 2 2 18 4 2 2" xfId="47145"/>
    <cellStyle name="표준 6 3 2 2 18 4 3" xfId="34473"/>
    <cellStyle name="표준 6 3 2 2 18 5" xfId="15457"/>
    <cellStyle name="표준 6 3 2 2 18 5 2" xfId="40809"/>
    <cellStyle name="표준 6 3 2 2 18 6" xfId="28137"/>
    <cellStyle name="표준 6 3 2 2 19" xfId="2784"/>
    <cellStyle name="표준 6 3 2 2 19 2" xfId="2785"/>
    <cellStyle name="표준 6 3 2 2 19 2 2" xfId="5941"/>
    <cellStyle name="표준 6 3 2 2 19 2 2 2" xfId="12277"/>
    <cellStyle name="표준 6 3 2 2 19 2 2 2 2" xfId="24951"/>
    <cellStyle name="표준 6 3 2 2 19 2 2 2 2 2" xfId="50303"/>
    <cellStyle name="표준 6 3 2 2 19 2 2 2 3" xfId="37631"/>
    <cellStyle name="표준 6 3 2 2 19 2 2 3" xfId="18615"/>
    <cellStyle name="표준 6 3 2 2 19 2 2 3 2" xfId="43967"/>
    <cellStyle name="표준 6 3 2 2 19 2 2 4" xfId="31295"/>
    <cellStyle name="표준 6 3 2 2 19 2 3" xfId="9122"/>
    <cellStyle name="표준 6 3 2 2 19 2 3 2" xfId="21796"/>
    <cellStyle name="표준 6 3 2 2 19 2 3 2 2" xfId="47148"/>
    <cellStyle name="표준 6 3 2 2 19 2 3 3" xfId="34476"/>
    <cellStyle name="표준 6 3 2 2 19 2 4" xfId="15460"/>
    <cellStyle name="표준 6 3 2 2 19 2 4 2" xfId="40812"/>
    <cellStyle name="표준 6 3 2 2 19 2 5" xfId="28140"/>
    <cellStyle name="표준 6 3 2 2 19 3" xfId="5942"/>
    <cellStyle name="표준 6 3 2 2 19 3 2" xfId="12278"/>
    <cellStyle name="표준 6 3 2 2 19 3 2 2" xfId="24952"/>
    <cellStyle name="표준 6 3 2 2 19 3 2 2 2" xfId="50304"/>
    <cellStyle name="표준 6 3 2 2 19 3 2 3" xfId="37632"/>
    <cellStyle name="표준 6 3 2 2 19 3 3" xfId="18616"/>
    <cellStyle name="표준 6 3 2 2 19 3 3 2" xfId="43968"/>
    <cellStyle name="표준 6 3 2 2 19 3 4" xfId="31296"/>
    <cellStyle name="표준 6 3 2 2 19 4" xfId="9121"/>
    <cellStyle name="표준 6 3 2 2 19 4 2" xfId="21795"/>
    <cellStyle name="표준 6 3 2 2 19 4 2 2" xfId="47147"/>
    <cellStyle name="표준 6 3 2 2 19 4 3" xfId="34475"/>
    <cellStyle name="표준 6 3 2 2 19 5" xfId="15459"/>
    <cellStyle name="표준 6 3 2 2 19 5 2" xfId="40811"/>
    <cellStyle name="표준 6 3 2 2 19 6" xfId="28139"/>
    <cellStyle name="표준 6 3 2 2 2" xfId="2786"/>
    <cellStyle name="표준 6 3 2 2 2 2" xfId="2787"/>
    <cellStyle name="표준 6 3 2 2 2 2 2" xfId="5943"/>
    <cellStyle name="표준 6 3 2 2 2 2 2 2" xfId="12279"/>
    <cellStyle name="표준 6 3 2 2 2 2 2 2 2" xfId="24953"/>
    <cellStyle name="표준 6 3 2 2 2 2 2 2 2 2" xfId="50305"/>
    <cellStyle name="표준 6 3 2 2 2 2 2 2 3" xfId="37633"/>
    <cellStyle name="표준 6 3 2 2 2 2 2 3" xfId="18617"/>
    <cellStyle name="표준 6 3 2 2 2 2 2 3 2" xfId="43969"/>
    <cellStyle name="표준 6 3 2 2 2 2 2 4" xfId="31297"/>
    <cellStyle name="표준 6 3 2 2 2 2 3" xfId="9124"/>
    <cellStyle name="표준 6 3 2 2 2 2 3 2" xfId="21798"/>
    <cellStyle name="표준 6 3 2 2 2 2 3 2 2" xfId="47150"/>
    <cellStyle name="표준 6 3 2 2 2 2 3 3" xfId="34478"/>
    <cellStyle name="표준 6 3 2 2 2 2 4" xfId="15462"/>
    <cellStyle name="표준 6 3 2 2 2 2 4 2" xfId="40814"/>
    <cellStyle name="표준 6 3 2 2 2 2 5" xfId="28142"/>
    <cellStyle name="표준 6 3 2 2 2 3" xfId="5944"/>
    <cellStyle name="표준 6 3 2 2 2 3 2" xfId="12280"/>
    <cellStyle name="표준 6 3 2 2 2 3 2 2" xfId="24954"/>
    <cellStyle name="표준 6 3 2 2 2 3 2 2 2" xfId="50306"/>
    <cellStyle name="표준 6 3 2 2 2 3 2 3" xfId="37634"/>
    <cellStyle name="표준 6 3 2 2 2 3 3" xfId="18618"/>
    <cellStyle name="표준 6 3 2 2 2 3 3 2" xfId="43970"/>
    <cellStyle name="표준 6 3 2 2 2 3 4" xfId="31298"/>
    <cellStyle name="표준 6 3 2 2 2 4" xfId="9123"/>
    <cellStyle name="표준 6 3 2 2 2 4 2" xfId="21797"/>
    <cellStyle name="표준 6 3 2 2 2 4 2 2" xfId="47149"/>
    <cellStyle name="표준 6 3 2 2 2 4 3" xfId="34477"/>
    <cellStyle name="표준 6 3 2 2 2 5" xfId="15461"/>
    <cellStyle name="표준 6 3 2 2 2 5 2" xfId="40813"/>
    <cellStyle name="표준 6 3 2 2 2 6" xfId="28141"/>
    <cellStyle name="표준 6 3 2 2 20" xfId="2788"/>
    <cellStyle name="표준 6 3 2 2 20 2" xfId="2789"/>
    <cellStyle name="표준 6 3 2 2 20 2 2" xfId="5945"/>
    <cellStyle name="표준 6 3 2 2 20 2 2 2" xfId="12281"/>
    <cellStyle name="표준 6 3 2 2 20 2 2 2 2" xfId="24955"/>
    <cellStyle name="표준 6 3 2 2 20 2 2 2 2 2" xfId="50307"/>
    <cellStyle name="표준 6 3 2 2 20 2 2 2 3" xfId="37635"/>
    <cellStyle name="표준 6 3 2 2 20 2 2 3" xfId="18619"/>
    <cellStyle name="표준 6 3 2 2 20 2 2 3 2" xfId="43971"/>
    <cellStyle name="표준 6 3 2 2 20 2 2 4" xfId="31299"/>
    <cellStyle name="표준 6 3 2 2 20 2 3" xfId="9126"/>
    <cellStyle name="표준 6 3 2 2 20 2 3 2" xfId="21800"/>
    <cellStyle name="표준 6 3 2 2 20 2 3 2 2" xfId="47152"/>
    <cellStyle name="표준 6 3 2 2 20 2 3 3" xfId="34480"/>
    <cellStyle name="표준 6 3 2 2 20 2 4" xfId="15464"/>
    <cellStyle name="표준 6 3 2 2 20 2 4 2" xfId="40816"/>
    <cellStyle name="표준 6 3 2 2 20 2 5" xfId="28144"/>
    <cellStyle name="표준 6 3 2 2 20 3" xfId="5946"/>
    <cellStyle name="표준 6 3 2 2 20 3 2" xfId="12282"/>
    <cellStyle name="표준 6 3 2 2 20 3 2 2" xfId="24956"/>
    <cellStyle name="표준 6 3 2 2 20 3 2 2 2" xfId="50308"/>
    <cellStyle name="표준 6 3 2 2 20 3 2 3" xfId="37636"/>
    <cellStyle name="표준 6 3 2 2 20 3 3" xfId="18620"/>
    <cellStyle name="표준 6 3 2 2 20 3 3 2" xfId="43972"/>
    <cellStyle name="표준 6 3 2 2 20 3 4" xfId="31300"/>
    <cellStyle name="표준 6 3 2 2 20 4" xfId="9125"/>
    <cellStyle name="표준 6 3 2 2 20 4 2" xfId="21799"/>
    <cellStyle name="표준 6 3 2 2 20 4 2 2" xfId="47151"/>
    <cellStyle name="표준 6 3 2 2 20 4 3" xfId="34479"/>
    <cellStyle name="표준 6 3 2 2 20 5" xfId="15463"/>
    <cellStyle name="표준 6 3 2 2 20 5 2" xfId="40815"/>
    <cellStyle name="표준 6 3 2 2 20 6" xfId="28143"/>
    <cellStyle name="표준 6 3 2 2 21" xfId="2790"/>
    <cellStyle name="표준 6 3 2 2 21 2" xfId="2791"/>
    <cellStyle name="표준 6 3 2 2 21 2 2" xfId="5947"/>
    <cellStyle name="표준 6 3 2 2 21 2 2 2" xfId="12283"/>
    <cellStyle name="표준 6 3 2 2 21 2 2 2 2" xfId="24957"/>
    <cellStyle name="표준 6 3 2 2 21 2 2 2 2 2" xfId="50309"/>
    <cellStyle name="표준 6 3 2 2 21 2 2 2 3" xfId="37637"/>
    <cellStyle name="표준 6 3 2 2 21 2 2 3" xfId="18621"/>
    <cellStyle name="표준 6 3 2 2 21 2 2 3 2" xfId="43973"/>
    <cellStyle name="표준 6 3 2 2 21 2 2 4" xfId="31301"/>
    <cellStyle name="표준 6 3 2 2 21 2 3" xfId="9128"/>
    <cellStyle name="표준 6 3 2 2 21 2 3 2" xfId="21802"/>
    <cellStyle name="표준 6 3 2 2 21 2 3 2 2" xfId="47154"/>
    <cellStyle name="표준 6 3 2 2 21 2 3 3" xfId="34482"/>
    <cellStyle name="표준 6 3 2 2 21 2 4" xfId="15466"/>
    <cellStyle name="표준 6 3 2 2 21 2 4 2" xfId="40818"/>
    <cellStyle name="표준 6 3 2 2 21 2 5" xfId="28146"/>
    <cellStyle name="표준 6 3 2 2 21 3" xfId="5948"/>
    <cellStyle name="표준 6 3 2 2 21 3 2" xfId="12284"/>
    <cellStyle name="표준 6 3 2 2 21 3 2 2" xfId="24958"/>
    <cellStyle name="표준 6 3 2 2 21 3 2 2 2" xfId="50310"/>
    <cellStyle name="표준 6 3 2 2 21 3 2 3" xfId="37638"/>
    <cellStyle name="표준 6 3 2 2 21 3 3" xfId="18622"/>
    <cellStyle name="표준 6 3 2 2 21 3 3 2" xfId="43974"/>
    <cellStyle name="표준 6 3 2 2 21 3 4" xfId="31302"/>
    <cellStyle name="표준 6 3 2 2 21 4" xfId="9127"/>
    <cellStyle name="표준 6 3 2 2 21 4 2" xfId="21801"/>
    <cellStyle name="표준 6 3 2 2 21 4 2 2" xfId="47153"/>
    <cellStyle name="표준 6 3 2 2 21 4 3" xfId="34481"/>
    <cellStyle name="표준 6 3 2 2 21 5" xfId="15465"/>
    <cellStyle name="표준 6 3 2 2 21 5 2" xfId="40817"/>
    <cellStyle name="표준 6 3 2 2 21 6" xfId="28145"/>
    <cellStyle name="표준 6 3 2 2 22" xfId="2792"/>
    <cellStyle name="표준 6 3 2 2 22 2" xfId="2793"/>
    <cellStyle name="표준 6 3 2 2 22 2 2" xfId="5949"/>
    <cellStyle name="표준 6 3 2 2 22 2 2 2" xfId="12285"/>
    <cellStyle name="표준 6 3 2 2 22 2 2 2 2" xfId="24959"/>
    <cellStyle name="표준 6 3 2 2 22 2 2 2 2 2" xfId="50311"/>
    <cellStyle name="표준 6 3 2 2 22 2 2 2 3" xfId="37639"/>
    <cellStyle name="표준 6 3 2 2 22 2 2 3" xfId="18623"/>
    <cellStyle name="표준 6 3 2 2 22 2 2 3 2" xfId="43975"/>
    <cellStyle name="표준 6 3 2 2 22 2 2 4" xfId="31303"/>
    <cellStyle name="표준 6 3 2 2 22 2 3" xfId="9130"/>
    <cellStyle name="표준 6 3 2 2 22 2 3 2" xfId="21804"/>
    <cellStyle name="표준 6 3 2 2 22 2 3 2 2" xfId="47156"/>
    <cellStyle name="표준 6 3 2 2 22 2 3 3" xfId="34484"/>
    <cellStyle name="표준 6 3 2 2 22 2 4" xfId="15468"/>
    <cellStyle name="표준 6 3 2 2 22 2 4 2" xfId="40820"/>
    <cellStyle name="표준 6 3 2 2 22 2 5" xfId="28148"/>
    <cellStyle name="표준 6 3 2 2 22 3" xfId="5950"/>
    <cellStyle name="표준 6 3 2 2 22 3 2" xfId="12286"/>
    <cellStyle name="표준 6 3 2 2 22 3 2 2" xfId="24960"/>
    <cellStyle name="표준 6 3 2 2 22 3 2 2 2" xfId="50312"/>
    <cellStyle name="표준 6 3 2 2 22 3 2 3" xfId="37640"/>
    <cellStyle name="표준 6 3 2 2 22 3 3" xfId="18624"/>
    <cellStyle name="표준 6 3 2 2 22 3 3 2" xfId="43976"/>
    <cellStyle name="표준 6 3 2 2 22 3 4" xfId="31304"/>
    <cellStyle name="표준 6 3 2 2 22 4" xfId="9129"/>
    <cellStyle name="표준 6 3 2 2 22 4 2" xfId="21803"/>
    <cellStyle name="표준 6 3 2 2 22 4 2 2" xfId="47155"/>
    <cellStyle name="표준 6 3 2 2 22 4 3" xfId="34483"/>
    <cellStyle name="표준 6 3 2 2 22 5" xfId="15467"/>
    <cellStyle name="표준 6 3 2 2 22 5 2" xfId="40819"/>
    <cellStyle name="표준 6 3 2 2 22 6" xfId="28147"/>
    <cellStyle name="표준 6 3 2 2 23" xfId="2794"/>
    <cellStyle name="표준 6 3 2 2 23 2" xfId="2795"/>
    <cellStyle name="표준 6 3 2 2 23 2 2" xfId="5951"/>
    <cellStyle name="표준 6 3 2 2 23 2 2 2" xfId="12287"/>
    <cellStyle name="표준 6 3 2 2 23 2 2 2 2" xfId="24961"/>
    <cellStyle name="표준 6 3 2 2 23 2 2 2 2 2" xfId="50313"/>
    <cellStyle name="표준 6 3 2 2 23 2 2 2 3" xfId="37641"/>
    <cellStyle name="표준 6 3 2 2 23 2 2 3" xfId="18625"/>
    <cellStyle name="표준 6 3 2 2 23 2 2 3 2" xfId="43977"/>
    <cellStyle name="표준 6 3 2 2 23 2 2 4" xfId="31305"/>
    <cellStyle name="표준 6 3 2 2 23 2 3" xfId="9132"/>
    <cellStyle name="표준 6 3 2 2 23 2 3 2" xfId="21806"/>
    <cellStyle name="표준 6 3 2 2 23 2 3 2 2" xfId="47158"/>
    <cellStyle name="표준 6 3 2 2 23 2 3 3" xfId="34486"/>
    <cellStyle name="표준 6 3 2 2 23 2 4" xfId="15470"/>
    <cellStyle name="표준 6 3 2 2 23 2 4 2" xfId="40822"/>
    <cellStyle name="표준 6 3 2 2 23 2 5" xfId="28150"/>
    <cellStyle name="표준 6 3 2 2 23 3" xfId="5952"/>
    <cellStyle name="표준 6 3 2 2 23 3 2" xfId="12288"/>
    <cellStyle name="표준 6 3 2 2 23 3 2 2" xfId="24962"/>
    <cellStyle name="표준 6 3 2 2 23 3 2 2 2" xfId="50314"/>
    <cellStyle name="표준 6 3 2 2 23 3 2 3" xfId="37642"/>
    <cellStyle name="표준 6 3 2 2 23 3 3" xfId="18626"/>
    <cellStyle name="표준 6 3 2 2 23 3 3 2" xfId="43978"/>
    <cellStyle name="표준 6 3 2 2 23 3 4" xfId="31306"/>
    <cellStyle name="표준 6 3 2 2 23 4" xfId="9131"/>
    <cellStyle name="표준 6 3 2 2 23 4 2" xfId="21805"/>
    <cellStyle name="표준 6 3 2 2 23 4 2 2" xfId="47157"/>
    <cellStyle name="표준 6 3 2 2 23 4 3" xfId="34485"/>
    <cellStyle name="표준 6 3 2 2 23 5" xfId="15469"/>
    <cellStyle name="표준 6 3 2 2 23 5 2" xfId="40821"/>
    <cellStyle name="표준 6 3 2 2 23 6" xfId="28149"/>
    <cellStyle name="표준 6 3 2 2 24" xfId="2796"/>
    <cellStyle name="표준 6 3 2 2 24 2" xfId="2797"/>
    <cellStyle name="표준 6 3 2 2 24 2 2" xfId="5953"/>
    <cellStyle name="표준 6 3 2 2 24 2 2 2" xfId="12289"/>
    <cellStyle name="표준 6 3 2 2 24 2 2 2 2" xfId="24963"/>
    <cellStyle name="표준 6 3 2 2 24 2 2 2 2 2" xfId="50315"/>
    <cellStyle name="표준 6 3 2 2 24 2 2 2 3" xfId="37643"/>
    <cellStyle name="표준 6 3 2 2 24 2 2 3" xfId="18627"/>
    <cellStyle name="표준 6 3 2 2 24 2 2 3 2" xfId="43979"/>
    <cellStyle name="표준 6 3 2 2 24 2 2 4" xfId="31307"/>
    <cellStyle name="표준 6 3 2 2 24 2 3" xfId="9134"/>
    <cellStyle name="표준 6 3 2 2 24 2 3 2" xfId="21808"/>
    <cellStyle name="표준 6 3 2 2 24 2 3 2 2" xfId="47160"/>
    <cellStyle name="표준 6 3 2 2 24 2 3 3" xfId="34488"/>
    <cellStyle name="표준 6 3 2 2 24 2 4" xfId="15472"/>
    <cellStyle name="표준 6 3 2 2 24 2 4 2" xfId="40824"/>
    <cellStyle name="표준 6 3 2 2 24 2 5" xfId="28152"/>
    <cellStyle name="표준 6 3 2 2 24 3" xfId="5954"/>
    <cellStyle name="표준 6 3 2 2 24 3 2" xfId="12290"/>
    <cellStyle name="표준 6 3 2 2 24 3 2 2" xfId="24964"/>
    <cellStyle name="표준 6 3 2 2 24 3 2 2 2" xfId="50316"/>
    <cellStyle name="표준 6 3 2 2 24 3 2 3" xfId="37644"/>
    <cellStyle name="표준 6 3 2 2 24 3 3" xfId="18628"/>
    <cellStyle name="표준 6 3 2 2 24 3 3 2" xfId="43980"/>
    <cellStyle name="표준 6 3 2 2 24 3 4" xfId="31308"/>
    <cellStyle name="표준 6 3 2 2 24 4" xfId="9133"/>
    <cellStyle name="표준 6 3 2 2 24 4 2" xfId="21807"/>
    <cellStyle name="표준 6 3 2 2 24 4 2 2" xfId="47159"/>
    <cellStyle name="표준 6 3 2 2 24 4 3" xfId="34487"/>
    <cellStyle name="표준 6 3 2 2 24 5" xfId="15471"/>
    <cellStyle name="표준 6 3 2 2 24 5 2" xfId="40823"/>
    <cellStyle name="표준 6 3 2 2 24 6" xfId="28151"/>
    <cellStyle name="표준 6 3 2 2 25" xfId="2798"/>
    <cellStyle name="표준 6 3 2 2 25 2" xfId="2799"/>
    <cellStyle name="표준 6 3 2 2 25 2 2" xfId="5955"/>
    <cellStyle name="표준 6 3 2 2 25 2 2 2" xfId="12291"/>
    <cellStyle name="표준 6 3 2 2 25 2 2 2 2" xfId="24965"/>
    <cellStyle name="표준 6 3 2 2 25 2 2 2 2 2" xfId="50317"/>
    <cellStyle name="표준 6 3 2 2 25 2 2 2 3" xfId="37645"/>
    <cellStyle name="표준 6 3 2 2 25 2 2 3" xfId="18629"/>
    <cellStyle name="표준 6 3 2 2 25 2 2 3 2" xfId="43981"/>
    <cellStyle name="표준 6 3 2 2 25 2 2 4" xfId="31309"/>
    <cellStyle name="표준 6 3 2 2 25 2 3" xfId="9136"/>
    <cellStyle name="표준 6 3 2 2 25 2 3 2" xfId="21810"/>
    <cellStyle name="표준 6 3 2 2 25 2 3 2 2" xfId="47162"/>
    <cellStyle name="표준 6 3 2 2 25 2 3 3" xfId="34490"/>
    <cellStyle name="표준 6 3 2 2 25 2 4" xfId="15474"/>
    <cellStyle name="표준 6 3 2 2 25 2 4 2" xfId="40826"/>
    <cellStyle name="표준 6 3 2 2 25 2 5" xfId="28154"/>
    <cellStyle name="표준 6 3 2 2 25 3" xfId="5956"/>
    <cellStyle name="표준 6 3 2 2 25 3 2" xfId="12292"/>
    <cellStyle name="표준 6 3 2 2 25 3 2 2" xfId="24966"/>
    <cellStyle name="표준 6 3 2 2 25 3 2 2 2" xfId="50318"/>
    <cellStyle name="표준 6 3 2 2 25 3 2 3" xfId="37646"/>
    <cellStyle name="표준 6 3 2 2 25 3 3" xfId="18630"/>
    <cellStyle name="표준 6 3 2 2 25 3 3 2" xfId="43982"/>
    <cellStyle name="표준 6 3 2 2 25 3 4" xfId="31310"/>
    <cellStyle name="표준 6 3 2 2 25 4" xfId="9135"/>
    <cellStyle name="표준 6 3 2 2 25 4 2" xfId="21809"/>
    <cellStyle name="표준 6 3 2 2 25 4 2 2" xfId="47161"/>
    <cellStyle name="표준 6 3 2 2 25 4 3" xfId="34489"/>
    <cellStyle name="표준 6 3 2 2 25 5" xfId="15473"/>
    <cellStyle name="표준 6 3 2 2 25 5 2" xfId="40825"/>
    <cellStyle name="표준 6 3 2 2 25 6" xfId="28153"/>
    <cellStyle name="표준 6 3 2 2 26" xfId="2800"/>
    <cellStyle name="표준 6 3 2 2 26 2" xfId="2801"/>
    <cellStyle name="표준 6 3 2 2 26 2 2" xfId="5957"/>
    <cellStyle name="표준 6 3 2 2 26 2 2 2" xfId="12293"/>
    <cellStyle name="표준 6 3 2 2 26 2 2 2 2" xfId="24967"/>
    <cellStyle name="표준 6 3 2 2 26 2 2 2 2 2" xfId="50319"/>
    <cellStyle name="표준 6 3 2 2 26 2 2 2 3" xfId="37647"/>
    <cellStyle name="표준 6 3 2 2 26 2 2 3" xfId="18631"/>
    <cellStyle name="표준 6 3 2 2 26 2 2 3 2" xfId="43983"/>
    <cellStyle name="표준 6 3 2 2 26 2 2 4" xfId="31311"/>
    <cellStyle name="표준 6 3 2 2 26 2 3" xfId="9138"/>
    <cellStyle name="표준 6 3 2 2 26 2 3 2" xfId="21812"/>
    <cellStyle name="표준 6 3 2 2 26 2 3 2 2" xfId="47164"/>
    <cellStyle name="표준 6 3 2 2 26 2 3 3" xfId="34492"/>
    <cellStyle name="표준 6 3 2 2 26 2 4" xfId="15476"/>
    <cellStyle name="표준 6 3 2 2 26 2 4 2" xfId="40828"/>
    <cellStyle name="표준 6 3 2 2 26 2 5" xfId="28156"/>
    <cellStyle name="표준 6 3 2 2 26 3" xfId="5958"/>
    <cellStyle name="표준 6 3 2 2 26 3 2" xfId="12294"/>
    <cellStyle name="표준 6 3 2 2 26 3 2 2" xfId="24968"/>
    <cellStyle name="표준 6 3 2 2 26 3 2 2 2" xfId="50320"/>
    <cellStyle name="표준 6 3 2 2 26 3 2 3" xfId="37648"/>
    <cellStyle name="표준 6 3 2 2 26 3 3" xfId="18632"/>
    <cellStyle name="표준 6 3 2 2 26 3 3 2" xfId="43984"/>
    <cellStyle name="표준 6 3 2 2 26 3 4" xfId="31312"/>
    <cellStyle name="표준 6 3 2 2 26 4" xfId="9137"/>
    <cellStyle name="표준 6 3 2 2 26 4 2" xfId="21811"/>
    <cellStyle name="표준 6 3 2 2 26 4 2 2" xfId="47163"/>
    <cellStyle name="표준 6 3 2 2 26 4 3" xfId="34491"/>
    <cellStyle name="표준 6 3 2 2 26 5" xfId="15475"/>
    <cellStyle name="표준 6 3 2 2 26 5 2" xfId="40827"/>
    <cellStyle name="표준 6 3 2 2 26 6" xfId="28155"/>
    <cellStyle name="표준 6 3 2 2 27" xfId="2802"/>
    <cellStyle name="표준 6 3 2 2 27 2" xfId="2803"/>
    <cellStyle name="표준 6 3 2 2 27 2 2" xfId="5959"/>
    <cellStyle name="표준 6 3 2 2 27 2 2 2" xfId="12295"/>
    <cellStyle name="표준 6 3 2 2 27 2 2 2 2" xfId="24969"/>
    <cellStyle name="표준 6 3 2 2 27 2 2 2 2 2" xfId="50321"/>
    <cellStyle name="표준 6 3 2 2 27 2 2 2 3" xfId="37649"/>
    <cellStyle name="표준 6 3 2 2 27 2 2 3" xfId="18633"/>
    <cellStyle name="표준 6 3 2 2 27 2 2 3 2" xfId="43985"/>
    <cellStyle name="표준 6 3 2 2 27 2 2 4" xfId="31313"/>
    <cellStyle name="표준 6 3 2 2 27 2 3" xfId="9140"/>
    <cellStyle name="표준 6 3 2 2 27 2 3 2" xfId="21814"/>
    <cellStyle name="표준 6 3 2 2 27 2 3 2 2" xfId="47166"/>
    <cellStyle name="표준 6 3 2 2 27 2 3 3" xfId="34494"/>
    <cellStyle name="표준 6 3 2 2 27 2 4" xfId="15478"/>
    <cellStyle name="표준 6 3 2 2 27 2 4 2" xfId="40830"/>
    <cellStyle name="표준 6 3 2 2 27 2 5" xfId="28158"/>
    <cellStyle name="표준 6 3 2 2 27 3" xfId="5960"/>
    <cellStyle name="표준 6 3 2 2 27 3 2" xfId="12296"/>
    <cellStyle name="표준 6 3 2 2 27 3 2 2" xfId="24970"/>
    <cellStyle name="표준 6 3 2 2 27 3 2 2 2" xfId="50322"/>
    <cellStyle name="표준 6 3 2 2 27 3 2 3" xfId="37650"/>
    <cellStyle name="표준 6 3 2 2 27 3 3" xfId="18634"/>
    <cellStyle name="표준 6 3 2 2 27 3 3 2" xfId="43986"/>
    <cellStyle name="표준 6 3 2 2 27 3 4" xfId="31314"/>
    <cellStyle name="표준 6 3 2 2 27 4" xfId="9139"/>
    <cellStyle name="표준 6 3 2 2 27 4 2" xfId="21813"/>
    <cellStyle name="표준 6 3 2 2 27 4 2 2" xfId="47165"/>
    <cellStyle name="표준 6 3 2 2 27 4 3" xfId="34493"/>
    <cellStyle name="표준 6 3 2 2 27 5" xfId="15477"/>
    <cellStyle name="표준 6 3 2 2 27 5 2" xfId="40829"/>
    <cellStyle name="표준 6 3 2 2 27 6" xfId="28157"/>
    <cellStyle name="표준 6 3 2 2 28" xfId="2804"/>
    <cellStyle name="표준 6 3 2 2 28 2" xfId="2805"/>
    <cellStyle name="표준 6 3 2 2 28 2 2" xfId="5961"/>
    <cellStyle name="표준 6 3 2 2 28 2 2 2" xfId="12297"/>
    <cellStyle name="표준 6 3 2 2 28 2 2 2 2" xfId="24971"/>
    <cellStyle name="표준 6 3 2 2 28 2 2 2 2 2" xfId="50323"/>
    <cellStyle name="표준 6 3 2 2 28 2 2 2 3" xfId="37651"/>
    <cellStyle name="표준 6 3 2 2 28 2 2 3" xfId="18635"/>
    <cellStyle name="표준 6 3 2 2 28 2 2 3 2" xfId="43987"/>
    <cellStyle name="표준 6 3 2 2 28 2 2 4" xfId="31315"/>
    <cellStyle name="표준 6 3 2 2 28 2 3" xfId="9142"/>
    <cellStyle name="표준 6 3 2 2 28 2 3 2" xfId="21816"/>
    <cellStyle name="표준 6 3 2 2 28 2 3 2 2" xfId="47168"/>
    <cellStyle name="표준 6 3 2 2 28 2 3 3" xfId="34496"/>
    <cellStyle name="표준 6 3 2 2 28 2 4" xfId="15480"/>
    <cellStyle name="표준 6 3 2 2 28 2 4 2" xfId="40832"/>
    <cellStyle name="표준 6 3 2 2 28 2 5" xfId="28160"/>
    <cellStyle name="표준 6 3 2 2 28 3" xfId="5962"/>
    <cellStyle name="표준 6 3 2 2 28 3 2" xfId="12298"/>
    <cellStyle name="표준 6 3 2 2 28 3 2 2" xfId="24972"/>
    <cellStyle name="표준 6 3 2 2 28 3 2 2 2" xfId="50324"/>
    <cellStyle name="표준 6 3 2 2 28 3 2 3" xfId="37652"/>
    <cellStyle name="표준 6 3 2 2 28 3 3" xfId="18636"/>
    <cellStyle name="표준 6 3 2 2 28 3 3 2" xfId="43988"/>
    <cellStyle name="표준 6 3 2 2 28 3 4" xfId="31316"/>
    <cellStyle name="표준 6 3 2 2 28 4" xfId="9141"/>
    <cellStyle name="표준 6 3 2 2 28 4 2" xfId="21815"/>
    <cellStyle name="표준 6 3 2 2 28 4 2 2" xfId="47167"/>
    <cellStyle name="표준 6 3 2 2 28 4 3" xfId="34495"/>
    <cellStyle name="표준 6 3 2 2 28 5" xfId="15479"/>
    <cellStyle name="표준 6 3 2 2 28 5 2" xfId="40831"/>
    <cellStyle name="표준 6 3 2 2 28 6" xfId="28159"/>
    <cellStyle name="표준 6 3 2 2 29" xfId="2806"/>
    <cellStyle name="표준 6 3 2 2 29 2" xfId="2807"/>
    <cellStyle name="표준 6 3 2 2 29 2 2" xfId="5963"/>
    <cellStyle name="표준 6 3 2 2 29 2 2 2" xfId="12299"/>
    <cellStyle name="표준 6 3 2 2 29 2 2 2 2" xfId="24973"/>
    <cellStyle name="표준 6 3 2 2 29 2 2 2 2 2" xfId="50325"/>
    <cellStyle name="표준 6 3 2 2 29 2 2 2 3" xfId="37653"/>
    <cellStyle name="표준 6 3 2 2 29 2 2 3" xfId="18637"/>
    <cellStyle name="표준 6 3 2 2 29 2 2 3 2" xfId="43989"/>
    <cellStyle name="표준 6 3 2 2 29 2 2 4" xfId="31317"/>
    <cellStyle name="표준 6 3 2 2 29 2 3" xfId="9144"/>
    <cellStyle name="표준 6 3 2 2 29 2 3 2" xfId="21818"/>
    <cellStyle name="표준 6 3 2 2 29 2 3 2 2" xfId="47170"/>
    <cellStyle name="표준 6 3 2 2 29 2 3 3" xfId="34498"/>
    <cellStyle name="표준 6 3 2 2 29 2 4" xfId="15482"/>
    <cellStyle name="표준 6 3 2 2 29 2 4 2" xfId="40834"/>
    <cellStyle name="표준 6 3 2 2 29 2 5" xfId="28162"/>
    <cellStyle name="표준 6 3 2 2 29 3" xfId="5964"/>
    <cellStyle name="표준 6 3 2 2 29 3 2" xfId="12300"/>
    <cellStyle name="표준 6 3 2 2 29 3 2 2" xfId="24974"/>
    <cellStyle name="표준 6 3 2 2 29 3 2 2 2" xfId="50326"/>
    <cellStyle name="표준 6 3 2 2 29 3 2 3" xfId="37654"/>
    <cellStyle name="표준 6 3 2 2 29 3 3" xfId="18638"/>
    <cellStyle name="표준 6 3 2 2 29 3 3 2" xfId="43990"/>
    <cellStyle name="표준 6 3 2 2 29 3 4" xfId="31318"/>
    <cellStyle name="표준 6 3 2 2 29 4" xfId="9143"/>
    <cellStyle name="표준 6 3 2 2 29 4 2" xfId="21817"/>
    <cellStyle name="표준 6 3 2 2 29 4 2 2" xfId="47169"/>
    <cellStyle name="표준 6 3 2 2 29 4 3" xfId="34497"/>
    <cellStyle name="표준 6 3 2 2 29 5" xfId="15481"/>
    <cellStyle name="표준 6 3 2 2 29 5 2" xfId="40833"/>
    <cellStyle name="표준 6 3 2 2 29 6" xfId="28161"/>
    <cellStyle name="표준 6 3 2 2 3" xfId="2808"/>
    <cellStyle name="표준 6 3 2 2 3 2" xfId="2809"/>
    <cellStyle name="표준 6 3 2 2 3 2 2" xfId="5965"/>
    <cellStyle name="표준 6 3 2 2 3 2 2 2" xfId="12301"/>
    <cellStyle name="표준 6 3 2 2 3 2 2 2 2" xfId="24975"/>
    <cellStyle name="표준 6 3 2 2 3 2 2 2 2 2" xfId="50327"/>
    <cellStyle name="표준 6 3 2 2 3 2 2 2 3" xfId="37655"/>
    <cellStyle name="표준 6 3 2 2 3 2 2 3" xfId="18639"/>
    <cellStyle name="표준 6 3 2 2 3 2 2 3 2" xfId="43991"/>
    <cellStyle name="표준 6 3 2 2 3 2 2 4" xfId="31319"/>
    <cellStyle name="표준 6 3 2 2 3 2 3" xfId="9146"/>
    <cellStyle name="표준 6 3 2 2 3 2 3 2" xfId="21820"/>
    <cellStyle name="표준 6 3 2 2 3 2 3 2 2" xfId="47172"/>
    <cellStyle name="표준 6 3 2 2 3 2 3 3" xfId="34500"/>
    <cellStyle name="표준 6 3 2 2 3 2 4" xfId="15484"/>
    <cellStyle name="표준 6 3 2 2 3 2 4 2" xfId="40836"/>
    <cellStyle name="표준 6 3 2 2 3 2 5" xfId="28164"/>
    <cellStyle name="표준 6 3 2 2 3 3" xfId="5966"/>
    <cellStyle name="표준 6 3 2 2 3 3 2" xfId="12302"/>
    <cellStyle name="표준 6 3 2 2 3 3 2 2" xfId="24976"/>
    <cellStyle name="표준 6 3 2 2 3 3 2 2 2" xfId="50328"/>
    <cellStyle name="표준 6 3 2 2 3 3 2 3" xfId="37656"/>
    <cellStyle name="표준 6 3 2 2 3 3 3" xfId="18640"/>
    <cellStyle name="표준 6 3 2 2 3 3 3 2" xfId="43992"/>
    <cellStyle name="표준 6 3 2 2 3 3 4" xfId="31320"/>
    <cellStyle name="표준 6 3 2 2 3 4" xfId="9145"/>
    <cellStyle name="표준 6 3 2 2 3 4 2" xfId="21819"/>
    <cellStyle name="표준 6 3 2 2 3 4 2 2" xfId="47171"/>
    <cellStyle name="표준 6 3 2 2 3 4 3" xfId="34499"/>
    <cellStyle name="표준 6 3 2 2 3 5" xfId="15483"/>
    <cellStyle name="표준 6 3 2 2 3 5 2" xfId="40835"/>
    <cellStyle name="표준 6 3 2 2 3 6" xfId="28163"/>
    <cellStyle name="표준 6 3 2 2 30" xfId="2810"/>
    <cellStyle name="표준 6 3 2 2 30 2" xfId="2811"/>
    <cellStyle name="표준 6 3 2 2 30 2 2" xfId="5967"/>
    <cellStyle name="표준 6 3 2 2 30 2 2 2" xfId="12303"/>
    <cellStyle name="표준 6 3 2 2 30 2 2 2 2" xfId="24977"/>
    <cellStyle name="표준 6 3 2 2 30 2 2 2 2 2" xfId="50329"/>
    <cellStyle name="표준 6 3 2 2 30 2 2 2 3" xfId="37657"/>
    <cellStyle name="표준 6 3 2 2 30 2 2 3" xfId="18641"/>
    <cellStyle name="표준 6 3 2 2 30 2 2 3 2" xfId="43993"/>
    <cellStyle name="표준 6 3 2 2 30 2 2 4" xfId="31321"/>
    <cellStyle name="표준 6 3 2 2 30 2 3" xfId="9148"/>
    <cellStyle name="표준 6 3 2 2 30 2 3 2" xfId="21822"/>
    <cellStyle name="표준 6 3 2 2 30 2 3 2 2" xfId="47174"/>
    <cellStyle name="표준 6 3 2 2 30 2 3 3" xfId="34502"/>
    <cellStyle name="표준 6 3 2 2 30 2 4" xfId="15486"/>
    <cellStyle name="표준 6 3 2 2 30 2 4 2" xfId="40838"/>
    <cellStyle name="표준 6 3 2 2 30 2 5" xfId="28166"/>
    <cellStyle name="표준 6 3 2 2 30 3" xfId="5968"/>
    <cellStyle name="표준 6 3 2 2 30 3 2" xfId="12304"/>
    <cellStyle name="표준 6 3 2 2 30 3 2 2" xfId="24978"/>
    <cellStyle name="표준 6 3 2 2 30 3 2 2 2" xfId="50330"/>
    <cellStyle name="표준 6 3 2 2 30 3 2 3" xfId="37658"/>
    <cellStyle name="표준 6 3 2 2 30 3 3" xfId="18642"/>
    <cellStyle name="표준 6 3 2 2 30 3 3 2" xfId="43994"/>
    <cellStyle name="표준 6 3 2 2 30 3 4" xfId="31322"/>
    <cellStyle name="표준 6 3 2 2 30 4" xfId="9147"/>
    <cellStyle name="표준 6 3 2 2 30 4 2" xfId="21821"/>
    <cellStyle name="표준 6 3 2 2 30 4 2 2" xfId="47173"/>
    <cellStyle name="표준 6 3 2 2 30 4 3" xfId="34501"/>
    <cellStyle name="표준 6 3 2 2 30 5" xfId="15485"/>
    <cellStyle name="표준 6 3 2 2 30 5 2" xfId="40837"/>
    <cellStyle name="표준 6 3 2 2 30 6" xfId="28165"/>
    <cellStyle name="표준 6 3 2 2 31" xfId="2812"/>
    <cellStyle name="표준 6 3 2 2 31 2" xfId="2813"/>
    <cellStyle name="표준 6 3 2 2 31 2 2" xfId="5969"/>
    <cellStyle name="표준 6 3 2 2 31 2 2 2" xfId="12305"/>
    <cellStyle name="표준 6 3 2 2 31 2 2 2 2" xfId="24979"/>
    <cellStyle name="표준 6 3 2 2 31 2 2 2 2 2" xfId="50331"/>
    <cellStyle name="표준 6 3 2 2 31 2 2 2 3" xfId="37659"/>
    <cellStyle name="표준 6 3 2 2 31 2 2 3" xfId="18643"/>
    <cellStyle name="표준 6 3 2 2 31 2 2 3 2" xfId="43995"/>
    <cellStyle name="표준 6 3 2 2 31 2 2 4" xfId="31323"/>
    <cellStyle name="표준 6 3 2 2 31 2 3" xfId="9150"/>
    <cellStyle name="표준 6 3 2 2 31 2 3 2" xfId="21824"/>
    <cellStyle name="표준 6 3 2 2 31 2 3 2 2" xfId="47176"/>
    <cellStyle name="표준 6 3 2 2 31 2 3 3" xfId="34504"/>
    <cellStyle name="표준 6 3 2 2 31 2 4" xfId="15488"/>
    <cellStyle name="표준 6 3 2 2 31 2 4 2" xfId="40840"/>
    <cellStyle name="표준 6 3 2 2 31 2 5" xfId="28168"/>
    <cellStyle name="표준 6 3 2 2 31 3" xfId="5970"/>
    <cellStyle name="표준 6 3 2 2 31 3 2" xfId="12306"/>
    <cellStyle name="표준 6 3 2 2 31 3 2 2" xfId="24980"/>
    <cellStyle name="표준 6 3 2 2 31 3 2 2 2" xfId="50332"/>
    <cellStyle name="표준 6 3 2 2 31 3 2 3" xfId="37660"/>
    <cellStyle name="표준 6 3 2 2 31 3 3" xfId="18644"/>
    <cellStyle name="표준 6 3 2 2 31 3 3 2" xfId="43996"/>
    <cellStyle name="표준 6 3 2 2 31 3 4" xfId="31324"/>
    <cellStyle name="표준 6 3 2 2 31 4" xfId="9149"/>
    <cellStyle name="표준 6 3 2 2 31 4 2" xfId="21823"/>
    <cellStyle name="표준 6 3 2 2 31 4 2 2" xfId="47175"/>
    <cellStyle name="표준 6 3 2 2 31 4 3" xfId="34503"/>
    <cellStyle name="표준 6 3 2 2 31 5" xfId="15487"/>
    <cellStyle name="표준 6 3 2 2 31 5 2" xfId="40839"/>
    <cellStyle name="표준 6 3 2 2 31 6" xfId="28167"/>
    <cellStyle name="표준 6 3 2 2 32" xfId="2814"/>
    <cellStyle name="표준 6 3 2 2 32 2" xfId="2815"/>
    <cellStyle name="표준 6 3 2 2 32 2 2" xfId="5971"/>
    <cellStyle name="표준 6 3 2 2 32 2 2 2" xfId="12307"/>
    <cellStyle name="표준 6 3 2 2 32 2 2 2 2" xfId="24981"/>
    <cellStyle name="표준 6 3 2 2 32 2 2 2 2 2" xfId="50333"/>
    <cellStyle name="표준 6 3 2 2 32 2 2 2 3" xfId="37661"/>
    <cellStyle name="표준 6 3 2 2 32 2 2 3" xfId="18645"/>
    <cellStyle name="표준 6 3 2 2 32 2 2 3 2" xfId="43997"/>
    <cellStyle name="표준 6 3 2 2 32 2 2 4" xfId="31325"/>
    <cellStyle name="표준 6 3 2 2 32 2 3" xfId="9152"/>
    <cellStyle name="표준 6 3 2 2 32 2 3 2" xfId="21826"/>
    <cellStyle name="표준 6 3 2 2 32 2 3 2 2" xfId="47178"/>
    <cellStyle name="표준 6 3 2 2 32 2 3 3" xfId="34506"/>
    <cellStyle name="표준 6 3 2 2 32 2 4" xfId="15490"/>
    <cellStyle name="표준 6 3 2 2 32 2 4 2" xfId="40842"/>
    <cellStyle name="표준 6 3 2 2 32 2 5" xfId="28170"/>
    <cellStyle name="표준 6 3 2 2 32 3" xfId="5972"/>
    <cellStyle name="표준 6 3 2 2 32 3 2" xfId="12308"/>
    <cellStyle name="표준 6 3 2 2 32 3 2 2" xfId="24982"/>
    <cellStyle name="표준 6 3 2 2 32 3 2 2 2" xfId="50334"/>
    <cellStyle name="표준 6 3 2 2 32 3 2 3" xfId="37662"/>
    <cellStyle name="표준 6 3 2 2 32 3 3" xfId="18646"/>
    <cellStyle name="표준 6 3 2 2 32 3 3 2" xfId="43998"/>
    <cellStyle name="표준 6 3 2 2 32 3 4" xfId="31326"/>
    <cellStyle name="표준 6 3 2 2 32 4" xfId="9151"/>
    <cellStyle name="표준 6 3 2 2 32 4 2" xfId="21825"/>
    <cellStyle name="표준 6 3 2 2 32 4 2 2" xfId="47177"/>
    <cellStyle name="표준 6 3 2 2 32 4 3" xfId="34505"/>
    <cellStyle name="표준 6 3 2 2 32 5" xfId="15489"/>
    <cellStyle name="표준 6 3 2 2 32 5 2" xfId="40841"/>
    <cellStyle name="표준 6 3 2 2 32 6" xfId="28169"/>
    <cellStyle name="표준 6 3 2 2 33" xfId="2816"/>
    <cellStyle name="표준 6 3 2 2 33 2" xfId="2817"/>
    <cellStyle name="표준 6 3 2 2 33 2 2" xfId="5973"/>
    <cellStyle name="표준 6 3 2 2 33 2 2 2" xfId="12309"/>
    <cellStyle name="표준 6 3 2 2 33 2 2 2 2" xfId="24983"/>
    <cellStyle name="표준 6 3 2 2 33 2 2 2 2 2" xfId="50335"/>
    <cellStyle name="표준 6 3 2 2 33 2 2 2 3" xfId="37663"/>
    <cellStyle name="표준 6 3 2 2 33 2 2 3" xfId="18647"/>
    <cellStyle name="표준 6 3 2 2 33 2 2 3 2" xfId="43999"/>
    <cellStyle name="표준 6 3 2 2 33 2 2 4" xfId="31327"/>
    <cellStyle name="표준 6 3 2 2 33 2 3" xfId="9154"/>
    <cellStyle name="표준 6 3 2 2 33 2 3 2" xfId="21828"/>
    <cellStyle name="표준 6 3 2 2 33 2 3 2 2" xfId="47180"/>
    <cellStyle name="표준 6 3 2 2 33 2 3 3" xfId="34508"/>
    <cellStyle name="표준 6 3 2 2 33 2 4" xfId="15492"/>
    <cellStyle name="표준 6 3 2 2 33 2 4 2" xfId="40844"/>
    <cellStyle name="표준 6 3 2 2 33 2 5" xfId="28172"/>
    <cellStyle name="표준 6 3 2 2 33 3" xfId="5974"/>
    <cellStyle name="표준 6 3 2 2 33 3 2" xfId="12310"/>
    <cellStyle name="표준 6 3 2 2 33 3 2 2" xfId="24984"/>
    <cellStyle name="표준 6 3 2 2 33 3 2 2 2" xfId="50336"/>
    <cellStyle name="표준 6 3 2 2 33 3 2 3" xfId="37664"/>
    <cellStyle name="표준 6 3 2 2 33 3 3" xfId="18648"/>
    <cellStyle name="표준 6 3 2 2 33 3 3 2" xfId="44000"/>
    <cellStyle name="표준 6 3 2 2 33 3 4" xfId="31328"/>
    <cellStyle name="표준 6 3 2 2 33 4" xfId="9153"/>
    <cellStyle name="표준 6 3 2 2 33 4 2" xfId="21827"/>
    <cellStyle name="표준 6 3 2 2 33 4 2 2" xfId="47179"/>
    <cellStyle name="표준 6 3 2 2 33 4 3" xfId="34507"/>
    <cellStyle name="표준 6 3 2 2 33 5" xfId="15491"/>
    <cellStyle name="표준 6 3 2 2 33 5 2" xfId="40843"/>
    <cellStyle name="표준 6 3 2 2 33 6" xfId="28171"/>
    <cellStyle name="표준 6 3 2 2 34" xfId="2818"/>
    <cellStyle name="표준 6 3 2 2 34 2" xfId="5975"/>
    <cellStyle name="표준 6 3 2 2 34 2 2" xfId="12311"/>
    <cellStyle name="표준 6 3 2 2 34 2 2 2" xfId="24985"/>
    <cellStyle name="표준 6 3 2 2 34 2 2 2 2" xfId="50337"/>
    <cellStyle name="표준 6 3 2 2 34 2 2 3" xfId="37665"/>
    <cellStyle name="표준 6 3 2 2 34 2 3" xfId="18649"/>
    <cellStyle name="표준 6 3 2 2 34 2 3 2" xfId="44001"/>
    <cellStyle name="표준 6 3 2 2 34 2 4" xfId="31329"/>
    <cellStyle name="표준 6 3 2 2 34 3" xfId="9155"/>
    <cellStyle name="표준 6 3 2 2 34 3 2" xfId="21829"/>
    <cellStyle name="표준 6 3 2 2 34 3 2 2" xfId="47181"/>
    <cellStyle name="표준 6 3 2 2 34 3 3" xfId="34509"/>
    <cellStyle name="표준 6 3 2 2 34 4" xfId="15493"/>
    <cellStyle name="표준 6 3 2 2 34 4 2" xfId="40845"/>
    <cellStyle name="표준 6 3 2 2 34 5" xfId="28173"/>
    <cellStyle name="표준 6 3 2 2 35" xfId="5976"/>
    <cellStyle name="표준 6 3 2 2 35 2" xfId="12312"/>
    <cellStyle name="표준 6 3 2 2 35 2 2" xfId="24986"/>
    <cellStyle name="표준 6 3 2 2 35 2 2 2" xfId="50338"/>
    <cellStyle name="표준 6 3 2 2 35 2 3" xfId="37666"/>
    <cellStyle name="표준 6 3 2 2 35 3" xfId="18650"/>
    <cellStyle name="표준 6 3 2 2 35 3 2" xfId="44002"/>
    <cellStyle name="표준 6 3 2 2 35 4" xfId="31330"/>
    <cellStyle name="표준 6 3 2 2 36" xfId="6435"/>
    <cellStyle name="표준 6 3 2 2 36 2" xfId="19109"/>
    <cellStyle name="표준 6 3 2 2 36 2 2" xfId="44461"/>
    <cellStyle name="표준 6 3 2 2 36 3" xfId="31789"/>
    <cellStyle name="표준 6 3 2 2 37" xfId="12773"/>
    <cellStyle name="표준 6 3 2 2 37 2" xfId="38125"/>
    <cellStyle name="표준 6 3 2 2 38" xfId="25453"/>
    <cellStyle name="표준 6 3 2 2 4" xfId="2819"/>
    <cellStyle name="표준 6 3 2 2 4 2" xfId="2820"/>
    <cellStyle name="표준 6 3 2 2 4 2 2" xfId="5977"/>
    <cellStyle name="표준 6 3 2 2 4 2 2 2" xfId="12313"/>
    <cellStyle name="표준 6 3 2 2 4 2 2 2 2" xfId="24987"/>
    <cellStyle name="표준 6 3 2 2 4 2 2 2 2 2" xfId="50339"/>
    <cellStyle name="표준 6 3 2 2 4 2 2 2 3" xfId="37667"/>
    <cellStyle name="표준 6 3 2 2 4 2 2 3" xfId="18651"/>
    <cellStyle name="표준 6 3 2 2 4 2 2 3 2" xfId="44003"/>
    <cellStyle name="표준 6 3 2 2 4 2 2 4" xfId="31331"/>
    <cellStyle name="표준 6 3 2 2 4 2 3" xfId="9157"/>
    <cellStyle name="표준 6 3 2 2 4 2 3 2" xfId="21831"/>
    <cellStyle name="표준 6 3 2 2 4 2 3 2 2" xfId="47183"/>
    <cellStyle name="표준 6 3 2 2 4 2 3 3" xfId="34511"/>
    <cellStyle name="표준 6 3 2 2 4 2 4" xfId="15495"/>
    <cellStyle name="표준 6 3 2 2 4 2 4 2" xfId="40847"/>
    <cellStyle name="표준 6 3 2 2 4 2 5" xfId="28175"/>
    <cellStyle name="표준 6 3 2 2 4 3" xfId="5978"/>
    <cellStyle name="표준 6 3 2 2 4 3 2" xfId="12314"/>
    <cellStyle name="표준 6 3 2 2 4 3 2 2" xfId="24988"/>
    <cellStyle name="표준 6 3 2 2 4 3 2 2 2" xfId="50340"/>
    <cellStyle name="표준 6 3 2 2 4 3 2 3" xfId="37668"/>
    <cellStyle name="표준 6 3 2 2 4 3 3" xfId="18652"/>
    <cellStyle name="표준 6 3 2 2 4 3 3 2" xfId="44004"/>
    <cellStyle name="표준 6 3 2 2 4 3 4" xfId="31332"/>
    <cellStyle name="표준 6 3 2 2 4 4" xfId="9156"/>
    <cellStyle name="표준 6 3 2 2 4 4 2" xfId="21830"/>
    <cellStyle name="표준 6 3 2 2 4 4 2 2" xfId="47182"/>
    <cellStyle name="표준 6 3 2 2 4 4 3" xfId="34510"/>
    <cellStyle name="표준 6 3 2 2 4 5" xfId="15494"/>
    <cellStyle name="표준 6 3 2 2 4 5 2" xfId="40846"/>
    <cellStyle name="표준 6 3 2 2 4 6" xfId="28174"/>
    <cellStyle name="표준 6 3 2 2 5" xfId="2821"/>
    <cellStyle name="표준 6 3 2 2 5 2" xfId="2822"/>
    <cellStyle name="표준 6 3 2 2 5 2 2" xfId="5979"/>
    <cellStyle name="표준 6 3 2 2 5 2 2 2" xfId="12315"/>
    <cellStyle name="표준 6 3 2 2 5 2 2 2 2" xfId="24989"/>
    <cellStyle name="표준 6 3 2 2 5 2 2 2 2 2" xfId="50341"/>
    <cellStyle name="표준 6 3 2 2 5 2 2 2 3" xfId="37669"/>
    <cellStyle name="표준 6 3 2 2 5 2 2 3" xfId="18653"/>
    <cellStyle name="표준 6 3 2 2 5 2 2 3 2" xfId="44005"/>
    <cellStyle name="표준 6 3 2 2 5 2 2 4" xfId="31333"/>
    <cellStyle name="표준 6 3 2 2 5 2 3" xfId="9159"/>
    <cellStyle name="표준 6 3 2 2 5 2 3 2" xfId="21833"/>
    <cellStyle name="표준 6 3 2 2 5 2 3 2 2" xfId="47185"/>
    <cellStyle name="표준 6 3 2 2 5 2 3 3" xfId="34513"/>
    <cellStyle name="표준 6 3 2 2 5 2 4" xfId="15497"/>
    <cellStyle name="표준 6 3 2 2 5 2 4 2" xfId="40849"/>
    <cellStyle name="표준 6 3 2 2 5 2 5" xfId="28177"/>
    <cellStyle name="표준 6 3 2 2 5 3" xfId="5980"/>
    <cellStyle name="표준 6 3 2 2 5 3 2" xfId="12316"/>
    <cellStyle name="표준 6 3 2 2 5 3 2 2" xfId="24990"/>
    <cellStyle name="표준 6 3 2 2 5 3 2 2 2" xfId="50342"/>
    <cellStyle name="표준 6 3 2 2 5 3 2 3" xfId="37670"/>
    <cellStyle name="표준 6 3 2 2 5 3 3" xfId="18654"/>
    <cellStyle name="표준 6 3 2 2 5 3 3 2" xfId="44006"/>
    <cellStyle name="표준 6 3 2 2 5 3 4" xfId="31334"/>
    <cellStyle name="표준 6 3 2 2 5 4" xfId="9158"/>
    <cellStyle name="표준 6 3 2 2 5 4 2" xfId="21832"/>
    <cellStyle name="표준 6 3 2 2 5 4 2 2" xfId="47184"/>
    <cellStyle name="표준 6 3 2 2 5 4 3" xfId="34512"/>
    <cellStyle name="표준 6 3 2 2 5 5" xfId="15496"/>
    <cellStyle name="표준 6 3 2 2 5 5 2" xfId="40848"/>
    <cellStyle name="표준 6 3 2 2 5 6" xfId="28176"/>
    <cellStyle name="표준 6 3 2 2 6" xfId="2823"/>
    <cellStyle name="표준 6 3 2 2 6 2" xfId="2824"/>
    <cellStyle name="표준 6 3 2 2 6 2 2" xfId="5981"/>
    <cellStyle name="표준 6 3 2 2 6 2 2 2" xfId="12317"/>
    <cellStyle name="표준 6 3 2 2 6 2 2 2 2" xfId="24991"/>
    <cellStyle name="표준 6 3 2 2 6 2 2 2 2 2" xfId="50343"/>
    <cellStyle name="표준 6 3 2 2 6 2 2 2 3" xfId="37671"/>
    <cellStyle name="표준 6 3 2 2 6 2 2 3" xfId="18655"/>
    <cellStyle name="표준 6 3 2 2 6 2 2 3 2" xfId="44007"/>
    <cellStyle name="표준 6 3 2 2 6 2 2 4" xfId="31335"/>
    <cellStyle name="표준 6 3 2 2 6 2 3" xfId="9161"/>
    <cellStyle name="표준 6 3 2 2 6 2 3 2" xfId="21835"/>
    <cellStyle name="표준 6 3 2 2 6 2 3 2 2" xfId="47187"/>
    <cellStyle name="표준 6 3 2 2 6 2 3 3" xfId="34515"/>
    <cellStyle name="표준 6 3 2 2 6 2 4" xfId="15499"/>
    <cellStyle name="표준 6 3 2 2 6 2 4 2" xfId="40851"/>
    <cellStyle name="표준 6 3 2 2 6 2 5" xfId="28179"/>
    <cellStyle name="표준 6 3 2 2 6 3" xfId="5982"/>
    <cellStyle name="표준 6 3 2 2 6 3 2" xfId="12318"/>
    <cellStyle name="표준 6 3 2 2 6 3 2 2" xfId="24992"/>
    <cellStyle name="표준 6 3 2 2 6 3 2 2 2" xfId="50344"/>
    <cellStyle name="표준 6 3 2 2 6 3 2 3" xfId="37672"/>
    <cellStyle name="표준 6 3 2 2 6 3 3" xfId="18656"/>
    <cellStyle name="표준 6 3 2 2 6 3 3 2" xfId="44008"/>
    <cellStyle name="표준 6 3 2 2 6 3 4" xfId="31336"/>
    <cellStyle name="표준 6 3 2 2 6 4" xfId="9160"/>
    <cellStyle name="표준 6 3 2 2 6 4 2" xfId="21834"/>
    <cellStyle name="표준 6 3 2 2 6 4 2 2" xfId="47186"/>
    <cellStyle name="표준 6 3 2 2 6 4 3" xfId="34514"/>
    <cellStyle name="표준 6 3 2 2 6 5" xfId="15498"/>
    <cellStyle name="표준 6 3 2 2 6 5 2" xfId="40850"/>
    <cellStyle name="표준 6 3 2 2 6 6" xfId="28178"/>
    <cellStyle name="표준 6 3 2 2 7" xfId="2825"/>
    <cellStyle name="표준 6 3 2 2 7 2" xfId="2826"/>
    <cellStyle name="표준 6 3 2 2 7 2 2" xfId="5983"/>
    <cellStyle name="표준 6 3 2 2 7 2 2 2" xfId="12319"/>
    <cellStyle name="표준 6 3 2 2 7 2 2 2 2" xfId="24993"/>
    <cellStyle name="표준 6 3 2 2 7 2 2 2 2 2" xfId="50345"/>
    <cellStyle name="표준 6 3 2 2 7 2 2 2 3" xfId="37673"/>
    <cellStyle name="표준 6 3 2 2 7 2 2 3" xfId="18657"/>
    <cellStyle name="표준 6 3 2 2 7 2 2 3 2" xfId="44009"/>
    <cellStyle name="표준 6 3 2 2 7 2 2 4" xfId="31337"/>
    <cellStyle name="표준 6 3 2 2 7 2 3" xfId="9163"/>
    <cellStyle name="표준 6 3 2 2 7 2 3 2" xfId="21837"/>
    <cellStyle name="표준 6 3 2 2 7 2 3 2 2" xfId="47189"/>
    <cellStyle name="표준 6 3 2 2 7 2 3 3" xfId="34517"/>
    <cellStyle name="표준 6 3 2 2 7 2 4" xfId="15501"/>
    <cellStyle name="표준 6 3 2 2 7 2 4 2" xfId="40853"/>
    <cellStyle name="표준 6 3 2 2 7 2 5" xfId="28181"/>
    <cellStyle name="표준 6 3 2 2 7 3" xfId="5984"/>
    <cellStyle name="표준 6 3 2 2 7 3 2" xfId="12320"/>
    <cellStyle name="표준 6 3 2 2 7 3 2 2" xfId="24994"/>
    <cellStyle name="표준 6 3 2 2 7 3 2 2 2" xfId="50346"/>
    <cellStyle name="표준 6 3 2 2 7 3 2 3" xfId="37674"/>
    <cellStyle name="표준 6 3 2 2 7 3 3" xfId="18658"/>
    <cellStyle name="표준 6 3 2 2 7 3 3 2" xfId="44010"/>
    <cellStyle name="표준 6 3 2 2 7 3 4" xfId="31338"/>
    <cellStyle name="표준 6 3 2 2 7 4" xfId="9162"/>
    <cellStyle name="표준 6 3 2 2 7 4 2" xfId="21836"/>
    <cellStyle name="표준 6 3 2 2 7 4 2 2" xfId="47188"/>
    <cellStyle name="표준 6 3 2 2 7 4 3" xfId="34516"/>
    <cellStyle name="표준 6 3 2 2 7 5" xfId="15500"/>
    <cellStyle name="표준 6 3 2 2 7 5 2" xfId="40852"/>
    <cellStyle name="표준 6 3 2 2 7 6" xfId="28180"/>
    <cellStyle name="표준 6 3 2 2 8" xfId="2827"/>
    <cellStyle name="표준 6 3 2 2 8 2" xfId="2828"/>
    <cellStyle name="표준 6 3 2 2 8 2 2" xfId="5985"/>
    <cellStyle name="표준 6 3 2 2 8 2 2 2" xfId="12321"/>
    <cellStyle name="표준 6 3 2 2 8 2 2 2 2" xfId="24995"/>
    <cellStyle name="표준 6 3 2 2 8 2 2 2 2 2" xfId="50347"/>
    <cellStyle name="표준 6 3 2 2 8 2 2 2 3" xfId="37675"/>
    <cellStyle name="표준 6 3 2 2 8 2 2 3" xfId="18659"/>
    <cellStyle name="표준 6 3 2 2 8 2 2 3 2" xfId="44011"/>
    <cellStyle name="표준 6 3 2 2 8 2 2 4" xfId="31339"/>
    <cellStyle name="표준 6 3 2 2 8 2 3" xfId="9165"/>
    <cellStyle name="표준 6 3 2 2 8 2 3 2" xfId="21839"/>
    <cellStyle name="표준 6 3 2 2 8 2 3 2 2" xfId="47191"/>
    <cellStyle name="표준 6 3 2 2 8 2 3 3" xfId="34519"/>
    <cellStyle name="표준 6 3 2 2 8 2 4" xfId="15503"/>
    <cellStyle name="표준 6 3 2 2 8 2 4 2" xfId="40855"/>
    <cellStyle name="표준 6 3 2 2 8 2 5" xfId="28183"/>
    <cellStyle name="표준 6 3 2 2 8 3" xfId="5986"/>
    <cellStyle name="표준 6 3 2 2 8 3 2" xfId="12322"/>
    <cellStyle name="표준 6 3 2 2 8 3 2 2" xfId="24996"/>
    <cellStyle name="표준 6 3 2 2 8 3 2 2 2" xfId="50348"/>
    <cellStyle name="표준 6 3 2 2 8 3 2 3" xfId="37676"/>
    <cellStyle name="표준 6 3 2 2 8 3 3" xfId="18660"/>
    <cellStyle name="표준 6 3 2 2 8 3 3 2" xfId="44012"/>
    <cellStyle name="표준 6 3 2 2 8 3 4" xfId="31340"/>
    <cellStyle name="표준 6 3 2 2 8 4" xfId="9164"/>
    <cellStyle name="표준 6 3 2 2 8 4 2" xfId="21838"/>
    <cellStyle name="표준 6 3 2 2 8 4 2 2" xfId="47190"/>
    <cellStyle name="표준 6 3 2 2 8 4 3" xfId="34518"/>
    <cellStyle name="표준 6 3 2 2 8 5" xfId="15502"/>
    <cellStyle name="표준 6 3 2 2 8 5 2" xfId="40854"/>
    <cellStyle name="표준 6 3 2 2 8 6" xfId="28182"/>
    <cellStyle name="표준 6 3 2 2 9" xfId="2829"/>
    <cellStyle name="표준 6 3 2 2 9 2" xfId="2830"/>
    <cellStyle name="표준 6 3 2 2 9 2 2" xfId="5987"/>
    <cellStyle name="표준 6 3 2 2 9 2 2 2" xfId="12323"/>
    <cellStyle name="표준 6 3 2 2 9 2 2 2 2" xfId="24997"/>
    <cellStyle name="표준 6 3 2 2 9 2 2 2 2 2" xfId="50349"/>
    <cellStyle name="표준 6 3 2 2 9 2 2 2 3" xfId="37677"/>
    <cellStyle name="표준 6 3 2 2 9 2 2 3" xfId="18661"/>
    <cellStyle name="표준 6 3 2 2 9 2 2 3 2" xfId="44013"/>
    <cellStyle name="표준 6 3 2 2 9 2 2 4" xfId="31341"/>
    <cellStyle name="표준 6 3 2 2 9 2 3" xfId="9167"/>
    <cellStyle name="표준 6 3 2 2 9 2 3 2" xfId="21841"/>
    <cellStyle name="표준 6 3 2 2 9 2 3 2 2" xfId="47193"/>
    <cellStyle name="표준 6 3 2 2 9 2 3 3" xfId="34521"/>
    <cellStyle name="표준 6 3 2 2 9 2 4" xfId="15505"/>
    <cellStyle name="표준 6 3 2 2 9 2 4 2" xfId="40857"/>
    <cellStyle name="표준 6 3 2 2 9 2 5" xfId="28185"/>
    <cellStyle name="표준 6 3 2 2 9 3" xfId="5988"/>
    <cellStyle name="표준 6 3 2 2 9 3 2" xfId="12324"/>
    <cellStyle name="표준 6 3 2 2 9 3 2 2" xfId="24998"/>
    <cellStyle name="표준 6 3 2 2 9 3 2 2 2" xfId="50350"/>
    <cellStyle name="표준 6 3 2 2 9 3 2 3" xfId="37678"/>
    <cellStyle name="표준 6 3 2 2 9 3 3" xfId="18662"/>
    <cellStyle name="표준 6 3 2 2 9 3 3 2" xfId="44014"/>
    <cellStyle name="표준 6 3 2 2 9 3 4" xfId="31342"/>
    <cellStyle name="표준 6 3 2 2 9 4" xfId="9166"/>
    <cellStyle name="표준 6 3 2 2 9 4 2" xfId="21840"/>
    <cellStyle name="표준 6 3 2 2 9 4 2 2" xfId="47192"/>
    <cellStyle name="표준 6 3 2 2 9 4 3" xfId="34520"/>
    <cellStyle name="표준 6 3 2 2 9 5" xfId="15504"/>
    <cellStyle name="표준 6 3 2 2 9 5 2" xfId="40856"/>
    <cellStyle name="표준 6 3 2 2 9 6" xfId="28184"/>
    <cellStyle name="표준 6 3 2 20" xfId="2831"/>
    <cellStyle name="표준 6 3 2 20 2" xfId="2832"/>
    <cellStyle name="표준 6 3 2 20 2 2" xfId="5989"/>
    <cellStyle name="표준 6 3 2 20 2 2 2" xfId="12325"/>
    <cellStyle name="표준 6 3 2 20 2 2 2 2" xfId="24999"/>
    <cellStyle name="표준 6 3 2 20 2 2 2 2 2" xfId="50351"/>
    <cellStyle name="표준 6 3 2 20 2 2 2 3" xfId="37679"/>
    <cellStyle name="표준 6 3 2 20 2 2 3" xfId="18663"/>
    <cellStyle name="표준 6 3 2 20 2 2 3 2" xfId="44015"/>
    <cellStyle name="표준 6 3 2 20 2 2 4" xfId="31343"/>
    <cellStyle name="표준 6 3 2 20 2 3" xfId="9169"/>
    <cellStyle name="표준 6 3 2 20 2 3 2" xfId="21843"/>
    <cellStyle name="표준 6 3 2 20 2 3 2 2" xfId="47195"/>
    <cellStyle name="표준 6 3 2 20 2 3 3" xfId="34523"/>
    <cellStyle name="표준 6 3 2 20 2 4" xfId="15507"/>
    <cellStyle name="표준 6 3 2 20 2 4 2" xfId="40859"/>
    <cellStyle name="표준 6 3 2 20 2 5" xfId="28187"/>
    <cellStyle name="표준 6 3 2 20 3" xfId="5990"/>
    <cellStyle name="표준 6 3 2 20 3 2" xfId="12326"/>
    <cellStyle name="표준 6 3 2 20 3 2 2" xfId="25000"/>
    <cellStyle name="표준 6 3 2 20 3 2 2 2" xfId="50352"/>
    <cellStyle name="표준 6 3 2 20 3 2 3" xfId="37680"/>
    <cellStyle name="표준 6 3 2 20 3 3" xfId="18664"/>
    <cellStyle name="표준 6 3 2 20 3 3 2" xfId="44016"/>
    <cellStyle name="표준 6 3 2 20 3 4" xfId="31344"/>
    <cellStyle name="표준 6 3 2 20 4" xfId="9168"/>
    <cellStyle name="표준 6 3 2 20 4 2" xfId="21842"/>
    <cellStyle name="표준 6 3 2 20 4 2 2" xfId="47194"/>
    <cellStyle name="표준 6 3 2 20 4 3" xfId="34522"/>
    <cellStyle name="표준 6 3 2 20 5" xfId="15506"/>
    <cellStyle name="표준 6 3 2 20 5 2" xfId="40858"/>
    <cellStyle name="표준 6 3 2 20 6" xfId="28186"/>
    <cellStyle name="표준 6 3 2 21" xfId="2833"/>
    <cellStyle name="표준 6 3 2 21 2" xfId="2834"/>
    <cellStyle name="표준 6 3 2 21 2 2" xfId="5991"/>
    <cellStyle name="표준 6 3 2 21 2 2 2" xfId="12327"/>
    <cellStyle name="표준 6 3 2 21 2 2 2 2" xfId="25001"/>
    <cellStyle name="표준 6 3 2 21 2 2 2 2 2" xfId="50353"/>
    <cellStyle name="표준 6 3 2 21 2 2 2 3" xfId="37681"/>
    <cellStyle name="표준 6 3 2 21 2 2 3" xfId="18665"/>
    <cellStyle name="표준 6 3 2 21 2 2 3 2" xfId="44017"/>
    <cellStyle name="표준 6 3 2 21 2 2 4" xfId="31345"/>
    <cellStyle name="표준 6 3 2 21 2 3" xfId="9171"/>
    <cellStyle name="표준 6 3 2 21 2 3 2" xfId="21845"/>
    <cellStyle name="표준 6 3 2 21 2 3 2 2" xfId="47197"/>
    <cellStyle name="표준 6 3 2 21 2 3 3" xfId="34525"/>
    <cellStyle name="표준 6 3 2 21 2 4" xfId="15509"/>
    <cellStyle name="표준 6 3 2 21 2 4 2" xfId="40861"/>
    <cellStyle name="표준 6 3 2 21 2 5" xfId="28189"/>
    <cellStyle name="표준 6 3 2 21 3" xfId="5992"/>
    <cellStyle name="표준 6 3 2 21 3 2" xfId="12328"/>
    <cellStyle name="표준 6 3 2 21 3 2 2" xfId="25002"/>
    <cellStyle name="표준 6 3 2 21 3 2 2 2" xfId="50354"/>
    <cellStyle name="표준 6 3 2 21 3 2 3" xfId="37682"/>
    <cellStyle name="표준 6 3 2 21 3 3" xfId="18666"/>
    <cellStyle name="표준 6 3 2 21 3 3 2" xfId="44018"/>
    <cellStyle name="표준 6 3 2 21 3 4" xfId="31346"/>
    <cellStyle name="표준 6 3 2 21 4" xfId="9170"/>
    <cellStyle name="표준 6 3 2 21 4 2" xfId="21844"/>
    <cellStyle name="표준 6 3 2 21 4 2 2" xfId="47196"/>
    <cellStyle name="표준 6 3 2 21 4 3" xfId="34524"/>
    <cellStyle name="표준 6 3 2 21 5" xfId="15508"/>
    <cellStyle name="표준 6 3 2 21 5 2" xfId="40860"/>
    <cellStyle name="표준 6 3 2 21 6" xfId="28188"/>
    <cellStyle name="표준 6 3 2 22" xfId="2835"/>
    <cellStyle name="표준 6 3 2 22 2" xfId="2836"/>
    <cellStyle name="표준 6 3 2 22 2 2" xfId="5993"/>
    <cellStyle name="표준 6 3 2 22 2 2 2" xfId="12329"/>
    <cellStyle name="표준 6 3 2 22 2 2 2 2" xfId="25003"/>
    <cellStyle name="표준 6 3 2 22 2 2 2 2 2" xfId="50355"/>
    <cellStyle name="표준 6 3 2 22 2 2 2 3" xfId="37683"/>
    <cellStyle name="표준 6 3 2 22 2 2 3" xfId="18667"/>
    <cellStyle name="표준 6 3 2 22 2 2 3 2" xfId="44019"/>
    <cellStyle name="표준 6 3 2 22 2 2 4" xfId="31347"/>
    <cellStyle name="표준 6 3 2 22 2 3" xfId="9173"/>
    <cellStyle name="표준 6 3 2 22 2 3 2" xfId="21847"/>
    <cellStyle name="표준 6 3 2 22 2 3 2 2" xfId="47199"/>
    <cellStyle name="표준 6 3 2 22 2 3 3" xfId="34527"/>
    <cellStyle name="표준 6 3 2 22 2 4" xfId="15511"/>
    <cellStyle name="표준 6 3 2 22 2 4 2" xfId="40863"/>
    <cellStyle name="표준 6 3 2 22 2 5" xfId="28191"/>
    <cellStyle name="표준 6 3 2 22 3" xfId="5994"/>
    <cellStyle name="표준 6 3 2 22 3 2" xfId="12330"/>
    <cellStyle name="표준 6 3 2 22 3 2 2" xfId="25004"/>
    <cellStyle name="표준 6 3 2 22 3 2 2 2" xfId="50356"/>
    <cellStyle name="표준 6 3 2 22 3 2 3" xfId="37684"/>
    <cellStyle name="표준 6 3 2 22 3 3" xfId="18668"/>
    <cellStyle name="표준 6 3 2 22 3 3 2" xfId="44020"/>
    <cellStyle name="표준 6 3 2 22 3 4" xfId="31348"/>
    <cellStyle name="표준 6 3 2 22 4" xfId="9172"/>
    <cellStyle name="표준 6 3 2 22 4 2" xfId="21846"/>
    <cellStyle name="표준 6 3 2 22 4 2 2" xfId="47198"/>
    <cellStyle name="표준 6 3 2 22 4 3" xfId="34526"/>
    <cellStyle name="표준 6 3 2 22 5" xfId="15510"/>
    <cellStyle name="표준 6 3 2 22 5 2" xfId="40862"/>
    <cellStyle name="표준 6 3 2 22 6" xfId="28190"/>
    <cellStyle name="표준 6 3 2 23" xfId="2837"/>
    <cellStyle name="표준 6 3 2 23 2" xfId="2838"/>
    <cellStyle name="표준 6 3 2 23 2 2" xfId="5995"/>
    <cellStyle name="표준 6 3 2 23 2 2 2" xfId="12331"/>
    <cellStyle name="표준 6 3 2 23 2 2 2 2" xfId="25005"/>
    <cellStyle name="표준 6 3 2 23 2 2 2 2 2" xfId="50357"/>
    <cellStyle name="표준 6 3 2 23 2 2 2 3" xfId="37685"/>
    <cellStyle name="표준 6 3 2 23 2 2 3" xfId="18669"/>
    <cellStyle name="표준 6 3 2 23 2 2 3 2" xfId="44021"/>
    <cellStyle name="표준 6 3 2 23 2 2 4" xfId="31349"/>
    <cellStyle name="표준 6 3 2 23 2 3" xfId="9175"/>
    <cellStyle name="표준 6 3 2 23 2 3 2" xfId="21849"/>
    <cellStyle name="표준 6 3 2 23 2 3 2 2" xfId="47201"/>
    <cellStyle name="표준 6 3 2 23 2 3 3" xfId="34529"/>
    <cellStyle name="표준 6 3 2 23 2 4" xfId="15513"/>
    <cellStyle name="표준 6 3 2 23 2 4 2" xfId="40865"/>
    <cellStyle name="표준 6 3 2 23 2 5" xfId="28193"/>
    <cellStyle name="표준 6 3 2 23 3" xfId="5996"/>
    <cellStyle name="표준 6 3 2 23 3 2" xfId="12332"/>
    <cellStyle name="표준 6 3 2 23 3 2 2" xfId="25006"/>
    <cellStyle name="표준 6 3 2 23 3 2 2 2" xfId="50358"/>
    <cellStyle name="표준 6 3 2 23 3 2 3" xfId="37686"/>
    <cellStyle name="표준 6 3 2 23 3 3" xfId="18670"/>
    <cellStyle name="표준 6 3 2 23 3 3 2" xfId="44022"/>
    <cellStyle name="표준 6 3 2 23 3 4" xfId="31350"/>
    <cellStyle name="표준 6 3 2 23 4" xfId="9174"/>
    <cellStyle name="표준 6 3 2 23 4 2" xfId="21848"/>
    <cellStyle name="표준 6 3 2 23 4 2 2" xfId="47200"/>
    <cellStyle name="표준 6 3 2 23 4 3" xfId="34528"/>
    <cellStyle name="표준 6 3 2 23 5" xfId="15512"/>
    <cellStyle name="표준 6 3 2 23 5 2" xfId="40864"/>
    <cellStyle name="표준 6 3 2 23 6" xfId="28192"/>
    <cellStyle name="표준 6 3 2 24" xfId="2839"/>
    <cellStyle name="표준 6 3 2 24 2" xfId="2840"/>
    <cellStyle name="표준 6 3 2 24 2 2" xfId="5997"/>
    <cellStyle name="표준 6 3 2 24 2 2 2" xfId="12333"/>
    <cellStyle name="표준 6 3 2 24 2 2 2 2" xfId="25007"/>
    <cellStyle name="표준 6 3 2 24 2 2 2 2 2" xfId="50359"/>
    <cellStyle name="표준 6 3 2 24 2 2 2 3" xfId="37687"/>
    <cellStyle name="표준 6 3 2 24 2 2 3" xfId="18671"/>
    <cellStyle name="표준 6 3 2 24 2 2 3 2" xfId="44023"/>
    <cellStyle name="표준 6 3 2 24 2 2 4" xfId="31351"/>
    <cellStyle name="표준 6 3 2 24 2 3" xfId="9177"/>
    <cellStyle name="표준 6 3 2 24 2 3 2" xfId="21851"/>
    <cellStyle name="표준 6 3 2 24 2 3 2 2" xfId="47203"/>
    <cellStyle name="표준 6 3 2 24 2 3 3" xfId="34531"/>
    <cellStyle name="표준 6 3 2 24 2 4" xfId="15515"/>
    <cellStyle name="표준 6 3 2 24 2 4 2" xfId="40867"/>
    <cellStyle name="표준 6 3 2 24 2 5" xfId="28195"/>
    <cellStyle name="표준 6 3 2 24 3" xfId="5998"/>
    <cellStyle name="표준 6 3 2 24 3 2" xfId="12334"/>
    <cellStyle name="표준 6 3 2 24 3 2 2" xfId="25008"/>
    <cellStyle name="표준 6 3 2 24 3 2 2 2" xfId="50360"/>
    <cellStyle name="표준 6 3 2 24 3 2 3" xfId="37688"/>
    <cellStyle name="표준 6 3 2 24 3 3" xfId="18672"/>
    <cellStyle name="표준 6 3 2 24 3 3 2" xfId="44024"/>
    <cellStyle name="표준 6 3 2 24 3 4" xfId="31352"/>
    <cellStyle name="표준 6 3 2 24 4" xfId="9176"/>
    <cellStyle name="표준 6 3 2 24 4 2" xfId="21850"/>
    <cellStyle name="표준 6 3 2 24 4 2 2" xfId="47202"/>
    <cellStyle name="표준 6 3 2 24 4 3" xfId="34530"/>
    <cellStyle name="표준 6 3 2 24 5" xfId="15514"/>
    <cellStyle name="표준 6 3 2 24 5 2" xfId="40866"/>
    <cellStyle name="표준 6 3 2 24 6" xfId="28194"/>
    <cellStyle name="표준 6 3 2 25" xfId="2841"/>
    <cellStyle name="표준 6 3 2 25 2" xfId="2842"/>
    <cellStyle name="표준 6 3 2 25 2 2" xfId="5999"/>
    <cellStyle name="표준 6 3 2 25 2 2 2" xfId="12335"/>
    <cellStyle name="표준 6 3 2 25 2 2 2 2" xfId="25009"/>
    <cellStyle name="표준 6 3 2 25 2 2 2 2 2" xfId="50361"/>
    <cellStyle name="표준 6 3 2 25 2 2 2 3" xfId="37689"/>
    <cellStyle name="표준 6 3 2 25 2 2 3" xfId="18673"/>
    <cellStyle name="표준 6 3 2 25 2 2 3 2" xfId="44025"/>
    <cellStyle name="표준 6 3 2 25 2 2 4" xfId="31353"/>
    <cellStyle name="표준 6 3 2 25 2 3" xfId="9179"/>
    <cellStyle name="표준 6 3 2 25 2 3 2" xfId="21853"/>
    <cellStyle name="표준 6 3 2 25 2 3 2 2" xfId="47205"/>
    <cellStyle name="표준 6 3 2 25 2 3 3" xfId="34533"/>
    <cellStyle name="표준 6 3 2 25 2 4" xfId="15517"/>
    <cellStyle name="표준 6 3 2 25 2 4 2" xfId="40869"/>
    <cellStyle name="표준 6 3 2 25 2 5" xfId="28197"/>
    <cellStyle name="표준 6 3 2 25 3" xfId="6000"/>
    <cellStyle name="표준 6 3 2 25 3 2" xfId="12336"/>
    <cellStyle name="표준 6 3 2 25 3 2 2" xfId="25010"/>
    <cellStyle name="표준 6 3 2 25 3 2 2 2" xfId="50362"/>
    <cellStyle name="표준 6 3 2 25 3 2 3" xfId="37690"/>
    <cellStyle name="표준 6 3 2 25 3 3" xfId="18674"/>
    <cellStyle name="표준 6 3 2 25 3 3 2" xfId="44026"/>
    <cellStyle name="표준 6 3 2 25 3 4" xfId="31354"/>
    <cellStyle name="표준 6 3 2 25 4" xfId="9178"/>
    <cellStyle name="표준 6 3 2 25 4 2" xfId="21852"/>
    <cellStyle name="표준 6 3 2 25 4 2 2" xfId="47204"/>
    <cellStyle name="표준 6 3 2 25 4 3" xfId="34532"/>
    <cellStyle name="표준 6 3 2 25 5" xfId="15516"/>
    <cellStyle name="표준 6 3 2 25 5 2" xfId="40868"/>
    <cellStyle name="표준 6 3 2 25 6" xfId="28196"/>
    <cellStyle name="표준 6 3 2 26" xfId="2843"/>
    <cellStyle name="표준 6 3 2 26 2" xfId="2844"/>
    <cellStyle name="표준 6 3 2 26 2 2" xfId="6001"/>
    <cellStyle name="표준 6 3 2 26 2 2 2" xfId="12337"/>
    <cellStyle name="표준 6 3 2 26 2 2 2 2" xfId="25011"/>
    <cellStyle name="표준 6 3 2 26 2 2 2 2 2" xfId="50363"/>
    <cellStyle name="표준 6 3 2 26 2 2 2 3" xfId="37691"/>
    <cellStyle name="표준 6 3 2 26 2 2 3" xfId="18675"/>
    <cellStyle name="표준 6 3 2 26 2 2 3 2" xfId="44027"/>
    <cellStyle name="표준 6 3 2 26 2 2 4" xfId="31355"/>
    <cellStyle name="표준 6 3 2 26 2 3" xfId="9181"/>
    <cellStyle name="표준 6 3 2 26 2 3 2" xfId="21855"/>
    <cellStyle name="표준 6 3 2 26 2 3 2 2" xfId="47207"/>
    <cellStyle name="표준 6 3 2 26 2 3 3" xfId="34535"/>
    <cellStyle name="표준 6 3 2 26 2 4" xfId="15519"/>
    <cellStyle name="표준 6 3 2 26 2 4 2" xfId="40871"/>
    <cellStyle name="표준 6 3 2 26 2 5" xfId="28199"/>
    <cellStyle name="표준 6 3 2 26 3" xfId="6002"/>
    <cellStyle name="표준 6 3 2 26 3 2" xfId="12338"/>
    <cellStyle name="표준 6 3 2 26 3 2 2" xfId="25012"/>
    <cellStyle name="표준 6 3 2 26 3 2 2 2" xfId="50364"/>
    <cellStyle name="표준 6 3 2 26 3 2 3" xfId="37692"/>
    <cellStyle name="표준 6 3 2 26 3 3" xfId="18676"/>
    <cellStyle name="표준 6 3 2 26 3 3 2" xfId="44028"/>
    <cellStyle name="표준 6 3 2 26 3 4" xfId="31356"/>
    <cellStyle name="표준 6 3 2 26 4" xfId="9180"/>
    <cellStyle name="표준 6 3 2 26 4 2" xfId="21854"/>
    <cellStyle name="표준 6 3 2 26 4 2 2" xfId="47206"/>
    <cellStyle name="표준 6 3 2 26 4 3" xfId="34534"/>
    <cellStyle name="표준 6 3 2 26 5" xfId="15518"/>
    <cellStyle name="표준 6 3 2 26 5 2" xfId="40870"/>
    <cellStyle name="표준 6 3 2 26 6" xfId="28198"/>
    <cellStyle name="표준 6 3 2 27" xfId="2845"/>
    <cellStyle name="표준 6 3 2 27 2" xfId="2846"/>
    <cellStyle name="표준 6 3 2 27 2 2" xfId="6003"/>
    <cellStyle name="표준 6 3 2 27 2 2 2" xfId="12339"/>
    <cellStyle name="표준 6 3 2 27 2 2 2 2" xfId="25013"/>
    <cellStyle name="표준 6 3 2 27 2 2 2 2 2" xfId="50365"/>
    <cellStyle name="표준 6 3 2 27 2 2 2 3" xfId="37693"/>
    <cellStyle name="표준 6 3 2 27 2 2 3" xfId="18677"/>
    <cellStyle name="표준 6 3 2 27 2 2 3 2" xfId="44029"/>
    <cellStyle name="표준 6 3 2 27 2 2 4" xfId="31357"/>
    <cellStyle name="표준 6 3 2 27 2 3" xfId="9183"/>
    <cellStyle name="표준 6 3 2 27 2 3 2" xfId="21857"/>
    <cellStyle name="표준 6 3 2 27 2 3 2 2" xfId="47209"/>
    <cellStyle name="표준 6 3 2 27 2 3 3" xfId="34537"/>
    <cellStyle name="표준 6 3 2 27 2 4" xfId="15521"/>
    <cellStyle name="표준 6 3 2 27 2 4 2" xfId="40873"/>
    <cellStyle name="표준 6 3 2 27 2 5" xfId="28201"/>
    <cellStyle name="표준 6 3 2 27 3" xfId="6004"/>
    <cellStyle name="표준 6 3 2 27 3 2" xfId="12340"/>
    <cellStyle name="표준 6 3 2 27 3 2 2" xfId="25014"/>
    <cellStyle name="표준 6 3 2 27 3 2 2 2" xfId="50366"/>
    <cellStyle name="표준 6 3 2 27 3 2 3" xfId="37694"/>
    <cellStyle name="표준 6 3 2 27 3 3" xfId="18678"/>
    <cellStyle name="표준 6 3 2 27 3 3 2" xfId="44030"/>
    <cellStyle name="표준 6 3 2 27 3 4" xfId="31358"/>
    <cellStyle name="표준 6 3 2 27 4" xfId="9182"/>
    <cellStyle name="표준 6 3 2 27 4 2" xfId="21856"/>
    <cellStyle name="표준 6 3 2 27 4 2 2" xfId="47208"/>
    <cellStyle name="표준 6 3 2 27 4 3" xfId="34536"/>
    <cellStyle name="표준 6 3 2 27 5" xfId="15520"/>
    <cellStyle name="표준 6 3 2 27 5 2" xfId="40872"/>
    <cellStyle name="표준 6 3 2 27 6" xfId="28200"/>
    <cellStyle name="표준 6 3 2 28" xfId="2847"/>
    <cellStyle name="표준 6 3 2 28 2" xfId="2848"/>
    <cellStyle name="표준 6 3 2 28 2 2" xfId="6005"/>
    <cellStyle name="표준 6 3 2 28 2 2 2" xfId="12341"/>
    <cellStyle name="표준 6 3 2 28 2 2 2 2" xfId="25015"/>
    <cellStyle name="표준 6 3 2 28 2 2 2 2 2" xfId="50367"/>
    <cellStyle name="표준 6 3 2 28 2 2 2 3" xfId="37695"/>
    <cellStyle name="표준 6 3 2 28 2 2 3" xfId="18679"/>
    <cellStyle name="표준 6 3 2 28 2 2 3 2" xfId="44031"/>
    <cellStyle name="표준 6 3 2 28 2 2 4" xfId="31359"/>
    <cellStyle name="표준 6 3 2 28 2 3" xfId="9185"/>
    <cellStyle name="표준 6 3 2 28 2 3 2" xfId="21859"/>
    <cellStyle name="표준 6 3 2 28 2 3 2 2" xfId="47211"/>
    <cellStyle name="표준 6 3 2 28 2 3 3" xfId="34539"/>
    <cellStyle name="표준 6 3 2 28 2 4" xfId="15523"/>
    <cellStyle name="표준 6 3 2 28 2 4 2" xfId="40875"/>
    <cellStyle name="표준 6 3 2 28 2 5" xfId="28203"/>
    <cellStyle name="표준 6 3 2 28 3" xfId="6006"/>
    <cellStyle name="표준 6 3 2 28 3 2" xfId="12342"/>
    <cellStyle name="표준 6 3 2 28 3 2 2" xfId="25016"/>
    <cellStyle name="표준 6 3 2 28 3 2 2 2" xfId="50368"/>
    <cellStyle name="표준 6 3 2 28 3 2 3" xfId="37696"/>
    <cellStyle name="표준 6 3 2 28 3 3" xfId="18680"/>
    <cellStyle name="표준 6 3 2 28 3 3 2" xfId="44032"/>
    <cellStyle name="표준 6 3 2 28 3 4" xfId="31360"/>
    <cellStyle name="표준 6 3 2 28 4" xfId="9184"/>
    <cellStyle name="표준 6 3 2 28 4 2" xfId="21858"/>
    <cellStyle name="표준 6 3 2 28 4 2 2" xfId="47210"/>
    <cellStyle name="표준 6 3 2 28 4 3" xfId="34538"/>
    <cellStyle name="표준 6 3 2 28 5" xfId="15522"/>
    <cellStyle name="표준 6 3 2 28 5 2" xfId="40874"/>
    <cellStyle name="표준 6 3 2 28 6" xfId="28202"/>
    <cellStyle name="표준 6 3 2 29" xfId="2849"/>
    <cellStyle name="표준 6 3 2 29 2" xfId="2850"/>
    <cellStyle name="표준 6 3 2 29 2 2" xfId="6007"/>
    <cellStyle name="표준 6 3 2 29 2 2 2" xfId="12343"/>
    <cellStyle name="표준 6 3 2 29 2 2 2 2" xfId="25017"/>
    <cellStyle name="표준 6 3 2 29 2 2 2 2 2" xfId="50369"/>
    <cellStyle name="표준 6 3 2 29 2 2 2 3" xfId="37697"/>
    <cellStyle name="표준 6 3 2 29 2 2 3" xfId="18681"/>
    <cellStyle name="표준 6 3 2 29 2 2 3 2" xfId="44033"/>
    <cellStyle name="표준 6 3 2 29 2 2 4" xfId="31361"/>
    <cellStyle name="표준 6 3 2 29 2 3" xfId="9187"/>
    <cellStyle name="표준 6 3 2 29 2 3 2" xfId="21861"/>
    <cellStyle name="표준 6 3 2 29 2 3 2 2" xfId="47213"/>
    <cellStyle name="표준 6 3 2 29 2 3 3" xfId="34541"/>
    <cellStyle name="표준 6 3 2 29 2 4" xfId="15525"/>
    <cellStyle name="표준 6 3 2 29 2 4 2" xfId="40877"/>
    <cellStyle name="표준 6 3 2 29 2 5" xfId="28205"/>
    <cellStyle name="표준 6 3 2 29 3" xfId="6008"/>
    <cellStyle name="표준 6 3 2 29 3 2" xfId="12344"/>
    <cellStyle name="표준 6 3 2 29 3 2 2" xfId="25018"/>
    <cellStyle name="표준 6 3 2 29 3 2 2 2" xfId="50370"/>
    <cellStyle name="표준 6 3 2 29 3 2 3" xfId="37698"/>
    <cellStyle name="표준 6 3 2 29 3 3" xfId="18682"/>
    <cellStyle name="표준 6 3 2 29 3 3 2" xfId="44034"/>
    <cellStyle name="표준 6 3 2 29 3 4" xfId="31362"/>
    <cellStyle name="표준 6 3 2 29 4" xfId="9186"/>
    <cellStyle name="표준 6 3 2 29 4 2" xfId="21860"/>
    <cellStyle name="표준 6 3 2 29 4 2 2" xfId="47212"/>
    <cellStyle name="표준 6 3 2 29 4 3" xfId="34540"/>
    <cellStyle name="표준 6 3 2 29 5" xfId="15524"/>
    <cellStyle name="표준 6 3 2 29 5 2" xfId="40876"/>
    <cellStyle name="표준 6 3 2 29 6" xfId="28204"/>
    <cellStyle name="표준 6 3 2 3" xfId="98"/>
    <cellStyle name="표준 6 3 2 3 2" xfId="2851"/>
    <cellStyle name="표준 6 3 2 3 2 2" xfId="6009"/>
    <cellStyle name="표준 6 3 2 3 2 2 2" xfId="12345"/>
    <cellStyle name="표준 6 3 2 3 2 2 2 2" xfId="25019"/>
    <cellStyle name="표준 6 3 2 3 2 2 2 2 2" xfId="50371"/>
    <cellStyle name="표준 6 3 2 3 2 2 2 3" xfId="37699"/>
    <cellStyle name="표준 6 3 2 3 2 2 3" xfId="18683"/>
    <cellStyle name="표준 6 3 2 3 2 2 3 2" xfId="44035"/>
    <cellStyle name="표준 6 3 2 3 2 2 4" xfId="31363"/>
    <cellStyle name="표준 6 3 2 3 2 3" xfId="9188"/>
    <cellStyle name="표준 6 3 2 3 2 3 2" xfId="21862"/>
    <cellStyle name="표준 6 3 2 3 2 3 2 2" xfId="47214"/>
    <cellStyle name="표준 6 3 2 3 2 3 3" xfId="34542"/>
    <cellStyle name="표준 6 3 2 3 2 4" xfId="15526"/>
    <cellStyle name="표준 6 3 2 3 2 4 2" xfId="40878"/>
    <cellStyle name="표준 6 3 2 3 2 5" xfId="28206"/>
    <cellStyle name="표준 6 3 2 3 3" xfId="6010"/>
    <cellStyle name="표준 6 3 2 3 3 2" xfId="12346"/>
    <cellStyle name="표준 6 3 2 3 3 2 2" xfId="25020"/>
    <cellStyle name="표준 6 3 2 3 3 2 2 2" xfId="50372"/>
    <cellStyle name="표준 6 3 2 3 3 2 3" xfId="37700"/>
    <cellStyle name="표준 6 3 2 3 3 3" xfId="18684"/>
    <cellStyle name="표준 6 3 2 3 3 3 2" xfId="44036"/>
    <cellStyle name="표준 6 3 2 3 3 4" xfId="31364"/>
    <cellStyle name="표준 6 3 2 3 4" xfId="6436"/>
    <cellStyle name="표준 6 3 2 3 4 2" xfId="19110"/>
    <cellStyle name="표준 6 3 2 3 4 2 2" xfId="44462"/>
    <cellStyle name="표준 6 3 2 3 4 3" xfId="31790"/>
    <cellStyle name="표준 6 3 2 3 5" xfId="12774"/>
    <cellStyle name="표준 6 3 2 3 5 2" xfId="38126"/>
    <cellStyle name="표준 6 3 2 3 6" xfId="25454"/>
    <cellStyle name="표준 6 3 2 30" xfId="2852"/>
    <cellStyle name="표준 6 3 2 30 2" xfId="2853"/>
    <cellStyle name="표준 6 3 2 30 2 2" xfId="6011"/>
    <cellStyle name="표준 6 3 2 30 2 2 2" xfId="12347"/>
    <cellStyle name="표준 6 3 2 30 2 2 2 2" xfId="25021"/>
    <cellStyle name="표준 6 3 2 30 2 2 2 2 2" xfId="50373"/>
    <cellStyle name="표준 6 3 2 30 2 2 2 3" xfId="37701"/>
    <cellStyle name="표준 6 3 2 30 2 2 3" xfId="18685"/>
    <cellStyle name="표준 6 3 2 30 2 2 3 2" xfId="44037"/>
    <cellStyle name="표준 6 3 2 30 2 2 4" xfId="31365"/>
    <cellStyle name="표준 6 3 2 30 2 3" xfId="9190"/>
    <cellStyle name="표준 6 3 2 30 2 3 2" xfId="21864"/>
    <cellStyle name="표준 6 3 2 30 2 3 2 2" xfId="47216"/>
    <cellStyle name="표준 6 3 2 30 2 3 3" xfId="34544"/>
    <cellStyle name="표준 6 3 2 30 2 4" xfId="15528"/>
    <cellStyle name="표준 6 3 2 30 2 4 2" xfId="40880"/>
    <cellStyle name="표준 6 3 2 30 2 5" xfId="28208"/>
    <cellStyle name="표준 6 3 2 30 3" xfId="6012"/>
    <cellStyle name="표준 6 3 2 30 3 2" xfId="12348"/>
    <cellStyle name="표준 6 3 2 30 3 2 2" xfId="25022"/>
    <cellStyle name="표준 6 3 2 30 3 2 2 2" xfId="50374"/>
    <cellStyle name="표준 6 3 2 30 3 2 3" xfId="37702"/>
    <cellStyle name="표준 6 3 2 30 3 3" xfId="18686"/>
    <cellStyle name="표준 6 3 2 30 3 3 2" xfId="44038"/>
    <cellStyle name="표준 6 3 2 30 3 4" xfId="31366"/>
    <cellStyle name="표준 6 3 2 30 4" xfId="9189"/>
    <cellStyle name="표준 6 3 2 30 4 2" xfId="21863"/>
    <cellStyle name="표준 6 3 2 30 4 2 2" xfId="47215"/>
    <cellStyle name="표준 6 3 2 30 4 3" xfId="34543"/>
    <cellStyle name="표준 6 3 2 30 5" xfId="15527"/>
    <cellStyle name="표준 6 3 2 30 5 2" xfId="40879"/>
    <cellStyle name="표준 6 3 2 30 6" xfId="28207"/>
    <cellStyle name="표준 6 3 2 31" xfId="2854"/>
    <cellStyle name="표준 6 3 2 31 2" xfId="2855"/>
    <cellStyle name="표준 6 3 2 31 2 2" xfId="6013"/>
    <cellStyle name="표준 6 3 2 31 2 2 2" xfId="12349"/>
    <cellStyle name="표준 6 3 2 31 2 2 2 2" xfId="25023"/>
    <cellStyle name="표준 6 3 2 31 2 2 2 2 2" xfId="50375"/>
    <cellStyle name="표준 6 3 2 31 2 2 2 3" xfId="37703"/>
    <cellStyle name="표준 6 3 2 31 2 2 3" xfId="18687"/>
    <cellStyle name="표준 6 3 2 31 2 2 3 2" xfId="44039"/>
    <cellStyle name="표준 6 3 2 31 2 2 4" xfId="31367"/>
    <cellStyle name="표준 6 3 2 31 2 3" xfId="9192"/>
    <cellStyle name="표준 6 3 2 31 2 3 2" xfId="21866"/>
    <cellStyle name="표준 6 3 2 31 2 3 2 2" xfId="47218"/>
    <cellStyle name="표준 6 3 2 31 2 3 3" xfId="34546"/>
    <cellStyle name="표준 6 3 2 31 2 4" xfId="15530"/>
    <cellStyle name="표준 6 3 2 31 2 4 2" xfId="40882"/>
    <cellStyle name="표준 6 3 2 31 2 5" xfId="28210"/>
    <cellStyle name="표준 6 3 2 31 3" xfId="6014"/>
    <cellStyle name="표준 6 3 2 31 3 2" xfId="12350"/>
    <cellStyle name="표준 6 3 2 31 3 2 2" xfId="25024"/>
    <cellStyle name="표준 6 3 2 31 3 2 2 2" xfId="50376"/>
    <cellStyle name="표준 6 3 2 31 3 2 3" xfId="37704"/>
    <cellStyle name="표준 6 3 2 31 3 3" xfId="18688"/>
    <cellStyle name="표준 6 3 2 31 3 3 2" xfId="44040"/>
    <cellStyle name="표준 6 3 2 31 3 4" xfId="31368"/>
    <cellStyle name="표준 6 3 2 31 4" xfId="9191"/>
    <cellStyle name="표준 6 3 2 31 4 2" xfId="21865"/>
    <cellStyle name="표준 6 3 2 31 4 2 2" xfId="47217"/>
    <cellStyle name="표준 6 3 2 31 4 3" xfId="34545"/>
    <cellStyle name="표준 6 3 2 31 5" xfId="15529"/>
    <cellStyle name="표준 6 3 2 31 5 2" xfId="40881"/>
    <cellStyle name="표준 6 3 2 31 6" xfId="28209"/>
    <cellStyle name="표준 6 3 2 32" xfId="2856"/>
    <cellStyle name="표준 6 3 2 32 2" xfId="2857"/>
    <cellStyle name="표준 6 3 2 32 2 2" xfId="6015"/>
    <cellStyle name="표준 6 3 2 32 2 2 2" xfId="12351"/>
    <cellStyle name="표준 6 3 2 32 2 2 2 2" xfId="25025"/>
    <cellStyle name="표준 6 3 2 32 2 2 2 2 2" xfId="50377"/>
    <cellStyle name="표준 6 3 2 32 2 2 2 3" xfId="37705"/>
    <cellStyle name="표준 6 3 2 32 2 2 3" xfId="18689"/>
    <cellStyle name="표준 6 3 2 32 2 2 3 2" xfId="44041"/>
    <cellStyle name="표준 6 3 2 32 2 2 4" xfId="31369"/>
    <cellStyle name="표준 6 3 2 32 2 3" xfId="9194"/>
    <cellStyle name="표준 6 3 2 32 2 3 2" xfId="21868"/>
    <cellStyle name="표준 6 3 2 32 2 3 2 2" xfId="47220"/>
    <cellStyle name="표준 6 3 2 32 2 3 3" xfId="34548"/>
    <cellStyle name="표준 6 3 2 32 2 4" xfId="15532"/>
    <cellStyle name="표준 6 3 2 32 2 4 2" xfId="40884"/>
    <cellStyle name="표준 6 3 2 32 2 5" xfId="28212"/>
    <cellStyle name="표준 6 3 2 32 3" xfId="6016"/>
    <cellStyle name="표준 6 3 2 32 3 2" xfId="12352"/>
    <cellStyle name="표준 6 3 2 32 3 2 2" xfId="25026"/>
    <cellStyle name="표준 6 3 2 32 3 2 2 2" xfId="50378"/>
    <cellStyle name="표준 6 3 2 32 3 2 3" xfId="37706"/>
    <cellStyle name="표준 6 3 2 32 3 3" xfId="18690"/>
    <cellStyle name="표준 6 3 2 32 3 3 2" xfId="44042"/>
    <cellStyle name="표준 6 3 2 32 3 4" xfId="31370"/>
    <cellStyle name="표준 6 3 2 32 4" xfId="9193"/>
    <cellStyle name="표준 6 3 2 32 4 2" xfId="21867"/>
    <cellStyle name="표준 6 3 2 32 4 2 2" xfId="47219"/>
    <cellStyle name="표준 6 3 2 32 4 3" xfId="34547"/>
    <cellStyle name="표준 6 3 2 32 5" xfId="15531"/>
    <cellStyle name="표준 6 3 2 32 5 2" xfId="40883"/>
    <cellStyle name="표준 6 3 2 32 6" xfId="28211"/>
    <cellStyle name="표준 6 3 2 33" xfId="2858"/>
    <cellStyle name="표준 6 3 2 33 2" xfId="2859"/>
    <cellStyle name="표준 6 3 2 33 2 2" xfId="6017"/>
    <cellStyle name="표준 6 3 2 33 2 2 2" xfId="12353"/>
    <cellStyle name="표준 6 3 2 33 2 2 2 2" xfId="25027"/>
    <cellStyle name="표준 6 3 2 33 2 2 2 2 2" xfId="50379"/>
    <cellStyle name="표준 6 3 2 33 2 2 2 3" xfId="37707"/>
    <cellStyle name="표준 6 3 2 33 2 2 3" xfId="18691"/>
    <cellStyle name="표준 6 3 2 33 2 2 3 2" xfId="44043"/>
    <cellStyle name="표준 6 3 2 33 2 2 4" xfId="31371"/>
    <cellStyle name="표준 6 3 2 33 2 3" xfId="9196"/>
    <cellStyle name="표준 6 3 2 33 2 3 2" xfId="21870"/>
    <cellStyle name="표준 6 3 2 33 2 3 2 2" xfId="47222"/>
    <cellStyle name="표준 6 3 2 33 2 3 3" xfId="34550"/>
    <cellStyle name="표준 6 3 2 33 2 4" xfId="15534"/>
    <cellStyle name="표준 6 3 2 33 2 4 2" xfId="40886"/>
    <cellStyle name="표준 6 3 2 33 2 5" xfId="28214"/>
    <cellStyle name="표준 6 3 2 33 3" xfId="6018"/>
    <cellStyle name="표준 6 3 2 33 3 2" xfId="12354"/>
    <cellStyle name="표준 6 3 2 33 3 2 2" xfId="25028"/>
    <cellStyle name="표준 6 3 2 33 3 2 2 2" xfId="50380"/>
    <cellStyle name="표준 6 3 2 33 3 2 3" xfId="37708"/>
    <cellStyle name="표준 6 3 2 33 3 3" xfId="18692"/>
    <cellStyle name="표준 6 3 2 33 3 3 2" xfId="44044"/>
    <cellStyle name="표준 6 3 2 33 3 4" xfId="31372"/>
    <cellStyle name="표준 6 3 2 33 4" xfId="9195"/>
    <cellStyle name="표준 6 3 2 33 4 2" xfId="21869"/>
    <cellStyle name="표준 6 3 2 33 4 2 2" xfId="47221"/>
    <cellStyle name="표준 6 3 2 33 4 3" xfId="34549"/>
    <cellStyle name="표준 6 3 2 33 5" xfId="15533"/>
    <cellStyle name="표준 6 3 2 33 5 2" xfId="40885"/>
    <cellStyle name="표준 6 3 2 33 6" xfId="28213"/>
    <cellStyle name="표준 6 3 2 34" xfId="2860"/>
    <cellStyle name="표준 6 3 2 34 2" xfId="2861"/>
    <cellStyle name="표준 6 3 2 34 2 2" xfId="6019"/>
    <cellStyle name="표준 6 3 2 34 2 2 2" xfId="12355"/>
    <cellStyle name="표준 6 3 2 34 2 2 2 2" xfId="25029"/>
    <cellStyle name="표준 6 3 2 34 2 2 2 2 2" xfId="50381"/>
    <cellStyle name="표준 6 3 2 34 2 2 2 3" xfId="37709"/>
    <cellStyle name="표준 6 3 2 34 2 2 3" xfId="18693"/>
    <cellStyle name="표준 6 3 2 34 2 2 3 2" xfId="44045"/>
    <cellStyle name="표준 6 3 2 34 2 2 4" xfId="31373"/>
    <cellStyle name="표준 6 3 2 34 2 3" xfId="9198"/>
    <cellStyle name="표준 6 3 2 34 2 3 2" xfId="21872"/>
    <cellStyle name="표준 6 3 2 34 2 3 2 2" xfId="47224"/>
    <cellStyle name="표준 6 3 2 34 2 3 3" xfId="34552"/>
    <cellStyle name="표준 6 3 2 34 2 4" xfId="15536"/>
    <cellStyle name="표준 6 3 2 34 2 4 2" xfId="40888"/>
    <cellStyle name="표준 6 3 2 34 2 5" xfId="28216"/>
    <cellStyle name="표준 6 3 2 34 3" xfId="6020"/>
    <cellStyle name="표준 6 3 2 34 3 2" xfId="12356"/>
    <cellStyle name="표준 6 3 2 34 3 2 2" xfId="25030"/>
    <cellStyle name="표준 6 3 2 34 3 2 2 2" xfId="50382"/>
    <cellStyle name="표준 6 3 2 34 3 2 3" xfId="37710"/>
    <cellStyle name="표준 6 3 2 34 3 3" xfId="18694"/>
    <cellStyle name="표준 6 3 2 34 3 3 2" xfId="44046"/>
    <cellStyle name="표준 6 3 2 34 3 4" xfId="31374"/>
    <cellStyle name="표준 6 3 2 34 4" xfId="9197"/>
    <cellStyle name="표준 6 3 2 34 4 2" xfId="21871"/>
    <cellStyle name="표준 6 3 2 34 4 2 2" xfId="47223"/>
    <cellStyle name="표준 6 3 2 34 4 3" xfId="34551"/>
    <cellStyle name="표준 6 3 2 34 5" xfId="15535"/>
    <cellStyle name="표준 6 3 2 34 5 2" xfId="40887"/>
    <cellStyle name="표준 6 3 2 34 6" xfId="28215"/>
    <cellStyle name="표준 6 3 2 35" xfId="2862"/>
    <cellStyle name="표준 6 3 2 35 2" xfId="6021"/>
    <cellStyle name="표준 6 3 2 35 2 2" xfId="12357"/>
    <cellStyle name="표준 6 3 2 35 2 2 2" xfId="25031"/>
    <cellStyle name="표준 6 3 2 35 2 2 2 2" xfId="50383"/>
    <cellStyle name="표준 6 3 2 35 2 2 3" xfId="37711"/>
    <cellStyle name="표준 6 3 2 35 2 3" xfId="18695"/>
    <cellStyle name="표준 6 3 2 35 2 3 2" xfId="44047"/>
    <cellStyle name="표준 6 3 2 35 2 4" xfId="31375"/>
    <cellStyle name="표준 6 3 2 35 3" xfId="9199"/>
    <cellStyle name="표준 6 3 2 35 3 2" xfId="21873"/>
    <cellStyle name="표준 6 3 2 35 3 2 2" xfId="47225"/>
    <cellStyle name="표준 6 3 2 35 3 3" xfId="34553"/>
    <cellStyle name="표준 6 3 2 35 4" xfId="15537"/>
    <cellStyle name="표준 6 3 2 35 4 2" xfId="40889"/>
    <cellStyle name="표준 6 3 2 35 5" xfId="28217"/>
    <cellStyle name="표준 6 3 2 36" xfId="6022"/>
    <cellStyle name="표준 6 3 2 36 2" xfId="12358"/>
    <cellStyle name="표준 6 3 2 36 2 2" xfId="25032"/>
    <cellStyle name="표준 6 3 2 36 2 2 2" xfId="50384"/>
    <cellStyle name="표준 6 3 2 36 2 3" xfId="37712"/>
    <cellStyle name="표준 6 3 2 36 3" xfId="18696"/>
    <cellStyle name="표준 6 3 2 36 3 2" xfId="44048"/>
    <cellStyle name="표준 6 3 2 36 4" xfId="31376"/>
    <cellStyle name="표준 6 3 2 37" xfId="6390"/>
    <cellStyle name="표준 6 3 2 37 2" xfId="19064"/>
    <cellStyle name="표준 6 3 2 37 2 2" xfId="44416"/>
    <cellStyle name="표준 6 3 2 37 3" xfId="31744"/>
    <cellStyle name="표준 6 3 2 38" xfId="12728"/>
    <cellStyle name="표준 6 3 2 38 2" xfId="38080"/>
    <cellStyle name="표준 6 3 2 39" xfId="25408"/>
    <cellStyle name="표준 6 3 2 4" xfId="2863"/>
    <cellStyle name="표준 6 3 2 4 2" xfId="2864"/>
    <cellStyle name="표준 6 3 2 4 2 2" xfId="6023"/>
    <cellStyle name="표준 6 3 2 4 2 2 2" xfId="12359"/>
    <cellStyle name="표준 6 3 2 4 2 2 2 2" xfId="25033"/>
    <cellStyle name="표준 6 3 2 4 2 2 2 2 2" xfId="50385"/>
    <cellStyle name="표준 6 3 2 4 2 2 2 3" xfId="37713"/>
    <cellStyle name="표준 6 3 2 4 2 2 3" xfId="18697"/>
    <cellStyle name="표준 6 3 2 4 2 2 3 2" xfId="44049"/>
    <cellStyle name="표준 6 3 2 4 2 2 4" xfId="31377"/>
    <cellStyle name="표준 6 3 2 4 2 3" xfId="9201"/>
    <cellStyle name="표준 6 3 2 4 2 3 2" xfId="21875"/>
    <cellStyle name="표준 6 3 2 4 2 3 2 2" xfId="47227"/>
    <cellStyle name="표준 6 3 2 4 2 3 3" xfId="34555"/>
    <cellStyle name="표준 6 3 2 4 2 4" xfId="15539"/>
    <cellStyle name="표준 6 3 2 4 2 4 2" xfId="40891"/>
    <cellStyle name="표준 6 3 2 4 2 5" xfId="28219"/>
    <cellStyle name="표준 6 3 2 4 3" xfId="6024"/>
    <cellStyle name="표준 6 3 2 4 3 2" xfId="12360"/>
    <cellStyle name="표준 6 3 2 4 3 2 2" xfId="25034"/>
    <cellStyle name="표준 6 3 2 4 3 2 2 2" xfId="50386"/>
    <cellStyle name="표준 6 3 2 4 3 2 3" xfId="37714"/>
    <cellStyle name="표준 6 3 2 4 3 3" xfId="18698"/>
    <cellStyle name="표준 6 3 2 4 3 3 2" xfId="44050"/>
    <cellStyle name="표준 6 3 2 4 3 4" xfId="31378"/>
    <cellStyle name="표준 6 3 2 4 4" xfId="9200"/>
    <cellStyle name="표준 6 3 2 4 4 2" xfId="21874"/>
    <cellStyle name="표준 6 3 2 4 4 2 2" xfId="47226"/>
    <cellStyle name="표준 6 3 2 4 4 3" xfId="34554"/>
    <cellStyle name="표준 6 3 2 4 5" xfId="15538"/>
    <cellStyle name="표준 6 3 2 4 5 2" xfId="40890"/>
    <cellStyle name="표준 6 3 2 4 6" xfId="28218"/>
    <cellStyle name="표준 6 3 2 5" xfId="2865"/>
    <cellStyle name="표준 6 3 2 5 2" xfId="2866"/>
    <cellStyle name="표준 6 3 2 5 2 2" xfId="6025"/>
    <cellStyle name="표준 6 3 2 5 2 2 2" xfId="12361"/>
    <cellStyle name="표준 6 3 2 5 2 2 2 2" xfId="25035"/>
    <cellStyle name="표준 6 3 2 5 2 2 2 2 2" xfId="50387"/>
    <cellStyle name="표준 6 3 2 5 2 2 2 3" xfId="37715"/>
    <cellStyle name="표준 6 3 2 5 2 2 3" xfId="18699"/>
    <cellStyle name="표준 6 3 2 5 2 2 3 2" xfId="44051"/>
    <cellStyle name="표준 6 3 2 5 2 2 4" xfId="31379"/>
    <cellStyle name="표준 6 3 2 5 2 3" xfId="9203"/>
    <cellStyle name="표준 6 3 2 5 2 3 2" xfId="21877"/>
    <cellStyle name="표준 6 3 2 5 2 3 2 2" xfId="47229"/>
    <cellStyle name="표준 6 3 2 5 2 3 3" xfId="34557"/>
    <cellStyle name="표준 6 3 2 5 2 4" xfId="15541"/>
    <cellStyle name="표준 6 3 2 5 2 4 2" xfId="40893"/>
    <cellStyle name="표준 6 3 2 5 2 5" xfId="28221"/>
    <cellStyle name="표준 6 3 2 5 3" xfId="6026"/>
    <cellStyle name="표준 6 3 2 5 3 2" xfId="12362"/>
    <cellStyle name="표준 6 3 2 5 3 2 2" xfId="25036"/>
    <cellStyle name="표준 6 3 2 5 3 2 2 2" xfId="50388"/>
    <cellStyle name="표준 6 3 2 5 3 2 3" xfId="37716"/>
    <cellStyle name="표준 6 3 2 5 3 3" xfId="18700"/>
    <cellStyle name="표준 6 3 2 5 3 3 2" xfId="44052"/>
    <cellStyle name="표준 6 3 2 5 3 4" xfId="31380"/>
    <cellStyle name="표준 6 3 2 5 4" xfId="9202"/>
    <cellStyle name="표준 6 3 2 5 4 2" xfId="21876"/>
    <cellStyle name="표준 6 3 2 5 4 2 2" xfId="47228"/>
    <cellStyle name="표준 6 3 2 5 4 3" xfId="34556"/>
    <cellStyle name="표준 6 3 2 5 5" xfId="15540"/>
    <cellStyle name="표준 6 3 2 5 5 2" xfId="40892"/>
    <cellStyle name="표준 6 3 2 5 6" xfId="28220"/>
    <cellStyle name="표준 6 3 2 6" xfId="2867"/>
    <cellStyle name="표준 6 3 2 6 2" xfId="2868"/>
    <cellStyle name="표준 6 3 2 6 2 2" xfId="6027"/>
    <cellStyle name="표준 6 3 2 6 2 2 2" xfId="12363"/>
    <cellStyle name="표준 6 3 2 6 2 2 2 2" xfId="25037"/>
    <cellStyle name="표준 6 3 2 6 2 2 2 2 2" xfId="50389"/>
    <cellStyle name="표준 6 3 2 6 2 2 2 3" xfId="37717"/>
    <cellStyle name="표준 6 3 2 6 2 2 3" xfId="18701"/>
    <cellStyle name="표준 6 3 2 6 2 2 3 2" xfId="44053"/>
    <cellStyle name="표준 6 3 2 6 2 2 4" xfId="31381"/>
    <cellStyle name="표준 6 3 2 6 2 3" xfId="9205"/>
    <cellStyle name="표준 6 3 2 6 2 3 2" xfId="21879"/>
    <cellStyle name="표준 6 3 2 6 2 3 2 2" xfId="47231"/>
    <cellStyle name="표준 6 3 2 6 2 3 3" xfId="34559"/>
    <cellStyle name="표준 6 3 2 6 2 4" xfId="15543"/>
    <cellStyle name="표준 6 3 2 6 2 4 2" xfId="40895"/>
    <cellStyle name="표준 6 3 2 6 2 5" xfId="28223"/>
    <cellStyle name="표준 6 3 2 6 3" xfId="6028"/>
    <cellStyle name="표준 6 3 2 6 3 2" xfId="12364"/>
    <cellStyle name="표준 6 3 2 6 3 2 2" xfId="25038"/>
    <cellStyle name="표준 6 3 2 6 3 2 2 2" xfId="50390"/>
    <cellStyle name="표준 6 3 2 6 3 2 3" xfId="37718"/>
    <cellStyle name="표준 6 3 2 6 3 3" xfId="18702"/>
    <cellStyle name="표준 6 3 2 6 3 3 2" xfId="44054"/>
    <cellStyle name="표준 6 3 2 6 3 4" xfId="31382"/>
    <cellStyle name="표준 6 3 2 6 4" xfId="9204"/>
    <cellStyle name="표준 6 3 2 6 4 2" xfId="21878"/>
    <cellStyle name="표준 6 3 2 6 4 2 2" xfId="47230"/>
    <cellStyle name="표준 6 3 2 6 4 3" xfId="34558"/>
    <cellStyle name="표준 6 3 2 6 5" xfId="15542"/>
    <cellStyle name="표준 6 3 2 6 5 2" xfId="40894"/>
    <cellStyle name="표준 6 3 2 6 6" xfId="28222"/>
    <cellStyle name="표준 6 3 2 7" xfId="2869"/>
    <cellStyle name="표준 6 3 2 7 2" xfId="2870"/>
    <cellStyle name="표준 6 3 2 7 2 2" xfId="6029"/>
    <cellStyle name="표준 6 3 2 7 2 2 2" xfId="12365"/>
    <cellStyle name="표준 6 3 2 7 2 2 2 2" xfId="25039"/>
    <cellStyle name="표준 6 3 2 7 2 2 2 2 2" xfId="50391"/>
    <cellStyle name="표준 6 3 2 7 2 2 2 3" xfId="37719"/>
    <cellStyle name="표준 6 3 2 7 2 2 3" xfId="18703"/>
    <cellStyle name="표준 6 3 2 7 2 2 3 2" xfId="44055"/>
    <cellStyle name="표준 6 3 2 7 2 2 4" xfId="31383"/>
    <cellStyle name="표준 6 3 2 7 2 3" xfId="9207"/>
    <cellStyle name="표준 6 3 2 7 2 3 2" xfId="21881"/>
    <cellStyle name="표준 6 3 2 7 2 3 2 2" xfId="47233"/>
    <cellStyle name="표준 6 3 2 7 2 3 3" xfId="34561"/>
    <cellStyle name="표준 6 3 2 7 2 4" xfId="15545"/>
    <cellStyle name="표준 6 3 2 7 2 4 2" xfId="40897"/>
    <cellStyle name="표준 6 3 2 7 2 5" xfId="28225"/>
    <cellStyle name="표준 6 3 2 7 3" xfId="6030"/>
    <cellStyle name="표준 6 3 2 7 3 2" xfId="12366"/>
    <cellStyle name="표준 6 3 2 7 3 2 2" xfId="25040"/>
    <cellStyle name="표준 6 3 2 7 3 2 2 2" xfId="50392"/>
    <cellStyle name="표준 6 3 2 7 3 2 3" xfId="37720"/>
    <cellStyle name="표준 6 3 2 7 3 3" xfId="18704"/>
    <cellStyle name="표준 6 3 2 7 3 3 2" xfId="44056"/>
    <cellStyle name="표준 6 3 2 7 3 4" xfId="31384"/>
    <cellStyle name="표준 6 3 2 7 4" xfId="9206"/>
    <cellStyle name="표준 6 3 2 7 4 2" xfId="21880"/>
    <cellStyle name="표준 6 3 2 7 4 2 2" xfId="47232"/>
    <cellStyle name="표준 6 3 2 7 4 3" xfId="34560"/>
    <cellStyle name="표준 6 3 2 7 5" xfId="15544"/>
    <cellStyle name="표준 6 3 2 7 5 2" xfId="40896"/>
    <cellStyle name="표준 6 3 2 7 6" xfId="28224"/>
    <cellStyle name="표준 6 3 2 8" xfId="2871"/>
    <cellStyle name="표준 6 3 2 8 2" xfId="2872"/>
    <cellStyle name="표준 6 3 2 8 2 2" xfId="6031"/>
    <cellStyle name="표준 6 3 2 8 2 2 2" xfId="12367"/>
    <cellStyle name="표준 6 3 2 8 2 2 2 2" xfId="25041"/>
    <cellStyle name="표준 6 3 2 8 2 2 2 2 2" xfId="50393"/>
    <cellStyle name="표준 6 3 2 8 2 2 2 3" xfId="37721"/>
    <cellStyle name="표준 6 3 2 8 2 2 3" xfId="18705"/>
    <cellStyle name="표준 6 3 2 8 2 2 3 2" xfId="44057"/>
    <cellStyle name="표준 6 3 2 8 2 2 4" xfId="31385"/>
    <cellStyle name="표준 6 3 2 8 2 3" xfId="9209"/>
    <cellStyle name="표준 6 3 2 8 2 3 2" xfId="21883"/>
    <cellStyle name="표준 6 3 2 8 2 3 2 2" xfId="47235"/>
    <cellStyle name="표준 6 3 2 8 2 3 3" xfId="34563"/>
    <cellStyle name="표준 6 3 2 8 2 4" xfId="15547"/>
    <cellStyle name="표준 6 3 2 8 2 4 2" xfId="40899"/>
    <cellStyle name="표준 6 3 2 8 2 5" xfId="28227"/>
    <cellStyle name="표준 6 3 2 8 3" xfId="6032"/>
    <cellStyle name="표준 6 3 2 8 3 2" xfId="12368"/>
    <cellStyle name="표준 6 3 2 8 3 2 2" xfId="25042"/>
    <cellStyle name="표준 6 3 2 8 3 2 2 2" xfId="50394"/>
    <cellStyle name="표준 6 3 2 8 3 2 3" xfId="37722"/>
    <cellStyle name="표준 6 3 2 8 3 3" xfId="18706"/>
    <cellStyle name="표준 6 3 2 8 3 3 2" xfId="44058"/>
    <cellStyle name="표준 6 3 2 8 3 4" xfId="31386"/>
    <cellStyle name="표준 6 3 2 8 4" xfId="9208"/>
    <cellStyle name="표준 6 3 2 8 4 2" xfId="21882"/>
    <cellStyle name="표준 6 3 2 8 4 2 2" xfId="47234"/>
    <cellStyle name="표준 6 3 2 8 4 3" xfId="34562"/>
    <cellStyle name="표준 6 3 2 8 5" xfId="15546"/>
    <cellStyle name="표준 6 3 2 8 5 2" xfId="40898"/>
    <cellStyle name="표준 6 3 2 8 6" xfId="28226"/>
    <cellStyle name="표준 6 3 2 9" xfId="2873"/>
    <cellStyle name="표준 6 3 2 9 2" xfId="2874"/>
    <cellStyle name="표준 6 3 2 9 2 2" xfId="6033"/>
    <cellStyle name="표준 6 3 2 9 2 2 2" xfId="12369"/>
    <cellStyle name="표준 6 3 2 9 2 2 2 2" xfId="25043"/>
    <cellStyle name="표준 6 3 2 9 2 2 2 2 2" xfId="50395"/>
    <cellStyle name="표준 6 3 2 9 2 2 2 3" xfId="37723"/>
    <cellStyle name="표준 6 3 2 9 2 2 3" xfId="18707"/>
    <cellStyle name="표준 6 3 2 9 2 2 3 2" xfId="44059"/>
    <cellStyle name="표준 6 3 2 9 2 2 4" xfId="31387"/>
    <cellStyle name="표준 6 3 2 9 2 3" xfId="9211"/>
    <cellStyle name="표준 6 3 2 9 2 3 2" xfId="21885"/>
    <cellStyle name="표준 6 3 2 9 2 3 2 2" xfId="47237"/>
    <cellStyle name="표준 6 3 2 9 2 3 3" xfId="34565"/>
    <cellStyle name="표준 6 3 2 9 2 4" xfId="15549"/>
    <cellStyle name="표준 6 3 2 9 2 4 2" xfId="40901"/>
    <cellStyle name="표준 6 3 2 9 2 5" xfId="28229"/>
    <cellStyle name="표준 6 3 2 9 3" xfId="6034"/>
    <cellStyle name="표준 6 3 2 9 3 2" xfId="12370"/>
    <cellStyle name="표준 6 3 2 9 3 2 2" xfId="25044"/>
    <cellStyle name="표준 6 3 2 9 3 2 2 2" xfId="50396"/>
    <cellStyle name="표준 6 3 2 9 3 2 3" xfId="37724"/>
    <cellStyle name="표준 6 3 2 9 3 3" xfId="18708"/>
    <cellStyle name="표준 6 3 2 9 3 3 2" xfId="44060"/>
    <cellStyle name="표준 6 3 2 9 3 4" xfId="31388"/>
    <cellStyle name="표준 6 3 2 9 4" xfId="9210"/>
    <cellStyle name="표준 6 3 2 9 4 2" xfId="21884"/>
    <cellStyle name="표준 6 3 2 9 4 2 2" xfId="47236"/>
    <cellStyle name="표준 6 3 2 9 4 3" xfId="34564"/>
    <cellStyle name="표준 6 3 2 9 5" xfId="15548"/>
    <cellStyle name="표준 6 3 2 9 5 2" xfId="40900"/>
    <cellStyle name="표준 6 3 2 9 6" xfId="28228"/>
    <cellStyle name="표준 6 3 20" xfId="2875"/>
    <cellStyle name="표준 6 3 20 2" xfId="2876"/>
    <cellStyle name="표준 6 3 20 2 2" xfId="6035"/>
    <cellStyle name="표준 6 3 20 2 2 2" xfId="12371"/>
    <cellStyle name="표준 6 3 20 2 2 2 2" xfId="25045"/>
    <cellStyle name="표준 6 3 20 2 2 2 2 2" xfId="50397"/>
    <cellStyle name="표준 6 3 20 2 2 2 3" xfId="37725"/>
    <cellStyle name="표준 6 3 20 2 2 3" xfId="18709"/>
    <cellStyle name="표준 6 3 20 2 2 3 2" xfId="44061"/>
    <cellStyle name="표준 6 3 20 2 2 4" xfId="31389"/>
    <cellStyle name="표준 6 3 20 2 3" xfId="9213"/>
    <cellStyle name="표준 6 3 20 2 3 2" xfId="21887"/>
    <cellStyle name="표준 6 3 20 2 3 2 2" xfId="47239"/>
    <cellStyle name="표준 6 3 20 2 3 3" xfId="34567"/>
    <cellStyle name="표준 6 3 20 2 4" xfId="15551"/>
    <cellStyle name="표준 6 3 20 2 4 2" xfId="40903"/>
    <cellStyle name="표준 6 3 20 2 5" xfId="28231"/>
    <cellStyle name="표준 6 3 20 3" xfId="6036"/>
    <cellStyle name="표준 6 3 20 3 2" xfId="12372"/>
    <cellStyle name="표준 6 3 20 3 2 2" xfId="25046"/>
    <cellStyle name="표준 6 3 20 3 2 2 2" xfId="50398"/>
    <cellStyle name="표준 6 3 20 3 2 3" xfId="37726"/>
    <cellStyle name="표준 6 3 20 3 3" xfId="18710"/>
    <cellStyle name="표준 6 3 20 3 3 2" xfId="44062"/>
    <cellStyle name="표준 6 3 20 3 4" xfId="31390"/>
    <cellStyle name="표준 6 3 20 4" xfId="9212"/>
    <cellStyle name="표준 6 3 20 4 2" xfId="21886"/>
    <cellStyle name="표준 6 3 20 4 2 2" xfId="47238"/>
    <cellStyle name="표준 6 3 20 4 3" xfId="34566"/>
    <cellStyle name="표준 6 3 20 5" xfId="15550"/>
    <cellStyle name="표준 6 3 20 5 2" xfId="40902"/>
    <cellStyle name="표준 6 3 20 6" xfId="28230"/>
    <cellStyle name="표준 6 3 21" xfId="2877"/>
    <cellStyle name="표준 6 3 21 2" xfId="2878"/>
    <cellStyle name="표준 6 3 21 2 2" xfId="6037"/>
    <cellStyle name="표준 6 3 21 2 2 2" xfId="12373"/>
    <cellStyle name="표준 6 3 21 2 2 2 2" xfId="25047"/>
    <cellStyle name="표준 6 3 21 2 2 2 2 2" xfId="50399"/>
    <cellStyle name="표준 6 3 21 2 2 2 3" xfId="37727"/>
    <cellStyle name="표준 6 3 21 2 2 3" xfId="18711"/>
    <cellStyle name="표준 6 3 21 2 2 3 2" xfId="44063"/>
    <cellStyle name="표준 6 3 21 2 2 4" xfId="31391"/>
    <cellStyle name="표준 6 3 21 2 3" xfId="9215"/>
    <cellStyle name="표준 6 3 21 2 3 2" xfId="21889"/>
    <cellStyle name="표준 6 3 21 2 3 2 2" xfId="47241"/>
    <cellStyle name="표준 6 3 21 2 3 3" xfId="34569"/>
    <cellStyle name="표준 6 3 21 2 4" xfId="15553"/>
    <cellStyle name="표준 6 3 21 2 4 2" xfId="40905"/>
    <cellStyle name="표준 6 3 21 2 5" xfId="28233"/>
    <cellStyle name="표준 6 3 21 3" xfId="6038"/>
    <cellStyle name="표준 6 3 21 3 2" xfId="12374"/>
    <cellStyle name="표준 6 3 21 3 2 2" xfId="25048"/>
    <cellStyle name="표준 6 3 21 3 2 2 2" xfId="50400"/>
    <cellStyle name="표준 6 3 21 3 2 3" xfId="37728"/>
    <cellStyle name="표준 6 3 21 3 3" xfId="18712"/>
    <cellStyle name="표준 6 3 21 3 3 2" xfId="44064"/>
    <cellStyle name="표준 6 3 21 3 4" xfId="31392"/>
    <cellStyle name="표준 6 3 21 4" xfId="9214"/>
    <cellStyle name="표준 6 3 21 4 2" xfId="21888"/>
    <cellStyle name="표준 6 3 21 4 2 2" xfId="47240"/>
    <cellStyle name="표준 6 3 21 4 3" xfId="34568"/>
    <cellStyle name="표준 6 3 21 5" xfId="15552"/>
    <cellStyle name="표준 6 3 21 5 2" xfId="40904"/>
    <cellStyle name="표준 6 3 21 6" xfId="28232"/>
    <cellStyle name="표준 6 3 22" xfId="2879"/>
    <cellStyle name="표준 6 3 22 2" xfId="2880"/>
    <cellStyle name="표준 6 3 22 2 2" xfId="6039"/>
    <cellStyle name="표준 6 3 22 2 2 2" xfId="12375"/>
    <cellStyle name="표준 6 3 22 2 2 2 2" xfId="25049"/>
    <cellStyle name="표준 6 3 22 2 2 2 2 2" xfId="50401"/>
    <cellStyle name="표준 6 3 22 2 2 2 3" xfId="37729"/>
    <cellStyle name="표준 6 3 22 2 2 3" xfId="18713"/>
    <cellStyle name="표준 6 3 22 2 2 3 2" xfId="44065"/>
    <cellStyle name="표준 6 3 22 2 2 4" xfId="31393"/>
    <cellStyle name="표준 6 3 22 2 3" xfId="9217"/>
    <cellStyle name="표준 6 3 22 2 3 2" xfId="21891"/>
    <cellStyle name="표준 6 3 22 2 3 2 2" xfId="47243"/>
    <cellStyle name="표준 6 3 22 2 3 3" xfId="34571"/>
    <cellStyle name="표준 6 3 22 2 4" xfId="15555"/>
    <cellStyle name="표준 6 3 22 2 4 2" xfId="40907"/>
    <cellStyle name="표준 6 3 22 2 5" xfId="28235"/>
    <cellStyle name="표준 6 3 22 3" xfId="6040"/>
    <cellStyle name="표준 6 3 22 3 2" xfId="12376"/>
    <cellStyle name="표준 6 3 22 3 2 2" xfId="25050"/>
    <cellStyle name="표준 6 3 22 3 2 2 2" xfId="50402"/>
    <cellStyle name="표준 6 3 22 3 2 3" xfId="37730"/>
    <cellStyle name="표준 6 3 22 3 3" xfId="18714"/>
    <cellStyle name="표준 6 3 22 3 3 2" xfId="44066"/>
    <cellStyle name="표준 6 3 22 3 4" xfId="31394"/>
    <cellStyle name="표준 6 3 22 4" xfId="9216"/>
    <cellStyle name="표준 6 3 22 4 2" xfId="21890"/>
    <cellStyle name="표준 6 3 22 4 2 2" xfId="47242"/>
    <cellStyle name="표준 6 3 22 4 3" xfId="34570"/>
    <cellStyle name="표준 6 3 22 5" xfId="15554"/>
    <cellStyle name="표준 6 3 22 5 2" xfId="40906"/>
    <cellStyle name="표준 6 3 22 6" xfId="28234"/>
    <cellStyle name="표준 6 3 23" xfId="2881"/>
    <cellStyle name="표준 6 3 23 2" xfId="2882"/>
    <cellStyle name="표준 6 3 23 2 2" xfId="6041"/>
    <cellStyle name="표준 6 3 23 2 2 2" xfId="12377"/>
    <cellStyle name="표준 6 3 23 2 2 2 2" xfId="25051"/>
    <cellStyle name="표준 6 3 23 2 2 2 2 2" xfId="50403"/>
    <cellStyle name="표준 6 3 23 2 2 2 3" xfId="37731"/>
    <cellStyle name="표준 6 3 23 2 2 3" xfId="18715"/>
    <cellStyle name="표준 6 3 23 2 2 3 2" xfId="44067"/>
    <cellStyle name="표준 6 3 23 2 2 4" xfId="31395"/>
    <cellStyle name="표준 6 3 23 2 3" xfId="9219"/>
    <cellStyle name="표준 6 3 23 2 3 2" xfId="21893"/>
    <cellStyle name="표준 6 3 23 2 3 2 2" xfId="47245"/>
    <cellStyle name="표준 6 3 23 2 3 3" xfId="34573"/>
    <cellStyle name="표준 6 3 23 2 4" xfId="15557"/>
    <cellStyle name="표준 6 3 23 2 4 2" xfId="40909"/>
    <cellStyle name="표준 6 3 23 2 5" xfId="28237"/>
    <cellStyle name="표준 6 3 23 3" xfId="6042"/>
    <cellStyle name="표준 6 3 23 3 2" xfId="12378"/>
    <cellStyle name="표준 6 3 23 3 2 2" xfId="25052"/>
    <cellStyle name="표준 6 3 23 3 2 2 2" xfId="50404"/>
    <cellStyle name="표준 6 3 23 3 2 3" xfId="37732"/>
    <cellStyle name="표준 6 3 23 3 3" xfId="18716"/>
    <cellStyle name="표준 6 3 23 3 3 2" xfId="44068"/>
    <cellStyle name="표준 6 3 23 3 4" xfId="31396"/>
    <cellStyle name="표준 6 3 23 4" xfId="9218"/>
    <cellStyle name="표준 6 3 23 4 2" xfId="21892"/>
    <cellStyle name="표준 6 3 23 4 2 2" xfId="47244"/>
    <cellStyle name="표준 6 3 23 4 3" xfId="34572"/>
    <cellStyle name="표준 6 3 23 5" xfId="15556"/>
    <cellStyle name="표준 6 3 23 5 2" xfId="40908"/>
    <cellStyle name="표준 6 3 23 6" xfId="28236"/>
    <cellStyle name="표준 6 3 24" xfId="2883"/>
    <cellStyle name="표준 6 3 24 2" xfId="2884"/>
    <cellStyle name="표준 6 3 24 2 2" xfId="6043"/>
    <cellStyle name="표준 6 3 24 2 2 2" xfId="12379"/>
    <cellStyle name="표준 6 3 24 2 2 2 2" xfId="25053"/>
    <cellStyle name="표준 6 3 24 2 2 2 2 2" xfId="50405"/>
    <cellStyle name="표준 6 3 24 2 2 2 3" xfId="37733"/>
    <cellStyle name="표준 6 3 24 2 2 3" xfId="18717"/>
    <cellStyle name="표준 6 3 24 2 2 3 2" xfId="44069"/>
    <cellStyle name="표준 6 3 24 2 2 4" xfId="31397"/>
    <cellStyle name="표준 6 3 24 2 3" xfId="9221"/>
    <cellStyle name="표준 6 3 24 2 3 2" xfId="21895"/>
    <cellStyle name="표준 6 3 24 2 3 2 2" xfId="47247"/>
    <cellStyle name="표준 6 3 24 2 3 3" xfId="34575"/>
    <cellStyle name="표준 6 3 24 2 4" xfId="15559"/>
    <cellStyle name="표준 6 3 24 2 4 2" xfId="40911"/>
    <cellStyle name="표준 6 3 24 2 5" xfId="28239"/>
    <cellStyle name="표준 6 3 24 3" xfId="6044"/>
    <cellStyle name="표준 6 3 24 3 2" xfId="12380"/>
    <cellStyle name="표준 6 3 24 3 2 2" xfId="25054"/>
    <cellStyle name="표준 6 3 24 3 2 2 2" xfId="50406"/>
    <cellStyle name="표준 6 3 24 3 2 3" xfId="37734"/>
    <cellStyle name="표준 6 3 24 3 3" xfId="18718"/>
    <cellStyle name="표준 6 3 24 3 3 2" xfId="44070"/>
    <cellStyle name="표준 6 3 24 3 4" xfId="31398"/>
    <cellStyle name="표준 6 3 24 4" xfId="9220"/>
    <cellStyle name="표준 6 3 24 4 2" xfId="21894"/>
    <cellStyle name="표준 6 3 24 4 2 2" xfId="47246"/>
    <cellStyle name="표준 6 3 24 4 3" xfId="34574"/>
    <cellStyle name="표준 6 3 24 5" xfId="15558"/>
    <cellStyle name="표준 6 3 24 5 2" xfId="40910"/>
    <cellStyle name="표준 6 3 24 6" xfId="28238"/>
    <cellStyle name="표준 6 3 25" xfId="2885"/>
    <cellStyle name="표준 6 3 25 2" xfId="2886"/>
    <cellStyle name="표준 6 3 25 2 2" xfId="6045"/>
    <cellStyle name="표준 6 3 25 2 2 2" xfId="12381"/>
    <cellStyle name="표준 6 3 25 2 2 2 2" xfId="25055"/>
    <cellStyle name="표준 6 3 25 2 2 2 2 2" xfId="50407"/>
    <cellStyle name="표준 6 3 25 2 2 2 3" xfId="37735"/>
    <cellStyle name="표준 6 3 25 2 2 3" xfId="18719"/>
    <cellStyle name="표준 6 3 25 2 2 3 2" xfId="44071"/>
    <cellStyle name="표준 6 3 25 2 2 4" xfId="31399"/>
    <cellStyle name="표준 6 3 25 2 3" xfId="9223"/>
    <cellStyle name="표준 6 3 25 2 3 2" xfId="21897"/>
    <cellStyle name="표준 6 3 25 2 3 2 2" xfId="47249"/>
    <cellStyle name="표준 6 3 25 2 3 3" xfId="34577"/>
    <cellStyle name="표준 6 3 25 2 4" xfId="15561"/>
    <cellStyle name="표준 6 3 25 2 4 2" xfId="40913"/>
    <cellStyle name="표준 6 3 25 2 5" xfId="28241"/>
    <cellStyle name="표준 6 3 25 3" xfId="6046"/>
    <cellStyle name="표준 6 3 25 3 2" xfId="12382"/>
    <cellStyle name="표준 6 3 25 3 2 2" xfId="25056"/>
    <cellStyle name="표준 6 3 25 3 2 2 2" xfId="50408"/>
    <cellStyle name="표준 6 3 25 3 2 3" xfId="37736"/>
    <cellStyle name="표준 6 3 25 3 3" xfId="18720"/>
    <cellStyle name="표준 6 3 25 3 3 2" xfId="44072"/>
    <cellStyle name="표준 6 3 25 3 4" xfId="31400"/>
    <cellStyle name="표준 6 3 25 4" xfId="9222"/>
    <cellStyle name="표준 6 3 25 4 2" xfId="21896"/>
    <cellStyle name="표준 6 3 25 4 2 2" xfId="47248"/>
    <cellStyle name="표준 6 3 25 4 3" xfId="34576"/>
    <cellStyle name="표준 6 3 25 5" xfId="15560"/>
    <cellStyle name="표준 6 3 25 5 2" xfId="40912"/>
    <cellStyle name="표준 6 3 25 6" xfId="28240"/>
    <cellStyle name="표준 6 3 26" xfId="2887"/>
    <cellStyle name="표준 6 3 26 2" xfId="2888"/>
    <cellStyle name="표준 6 3 26 2 2" xfId="6047"/>
    <cellStyle name="표준 6 3 26 2 2 2" xfId="12383"/>
    <cellStyle name="표준 6 3 26 2 2 2 2" xfId="25057"/>
    <cellStyle name="표준 6 3 26 2 2 2 2 2" xfId="50409"/>
    <cellStyle name="표준 6 3 26 2 2 2 3" xfId="37737"/>
    <cellStyle name="표준 6 3 26 2 2 3" xfId="18721"/>
    <cellStyle name="표준 6 3 26 2 2 3 2" xfId="44073"/>
    <cellStyle name="표준 6 3 26 2 2 4" xfId="31401"/>
    <cellStyle name="표준 6 3 26 2 3" xfId="9225"/>
    <cellStyle name="표준 6 3 26 2 3 2" xfId="21899"/>
    <cellStyle name="표준 6 3 26 2 3 2 2" xfId="47251"/>
    <cellStyle name="표준 6 3 26 2 3 3" xfId="34579"/>
    <cellStyle name="표준 6 3 26 2 4" xfId="15563"/>
    <cellStyle name="표준 6 3 26 2 4 2" xfId="40915"/>
    <cellStyle name="표준 6 3 26 2 5" xfId="28243"/>
    <cellStyle name="표준 6 3 26 3" xfId="6048"/>
    <cellStyle name="표준 6 3 26 3 2" xfId="12384"/>
    <cellStyle name="표준 6 3 26 3 2 2" xfId="25058"/>
    <cellStyle name="표준 6 3 26 3 2 2 2" xfId="50410"/>
    <cellStyle name="표준 6 3 26 3 2 3" xfId="37738"/>
    <cellStyle name="표준 6 3 26 3 3" xfId="18722"/>
    <cellStyle name="표준 6 3 26 3 3 2" xfId="44074"/>
    <cellStyle name="표준 6 3 26 3 4" xfId="31402"/>
    <cellStyle name="표준 6 3 26 4" xfId="9224"/>
    <cellStyle name="표준 6 3 26 4 2" xfId="21898"/>
    <cellStyle name="표준 6 3 26 4 2 2" xfId="47250"/>
    <cellStyle name="표준 6 3 26 4 3" xfId="34578"/>
    <cellStyle name="표준 6 3 26 5" xfId="15562"/>
    <cellStyle name="표준 6 3 26 5 2" xfId="40914"/>
    <cellStyle name="표준 6 3 26 6" xfId="28242"/>
    <cellStyle name="표준 6 3 27" xfId="2889"/>
    <cellStyle name="표준 6 3 27 2" xfId="2890"/>
    <cellStyle name="표준 6 3 27 2 2" xfId="6049"/>
    <cellStyle name="표준 6 3 27 2 2 2" xfId="12385"/>
    <cellStyle name="표준 6 3 27 2 2 2 2" xfId="25059"/>
    <cellStyle name="표준 6 3 27 2 2 2 2 2" xfId="50411"/>
    <cellStyle name="표준 6 3 27 2 2 2 3" xfId="37739"/>
    <cellStyle name="표준 6 3 27 2 2 3" xfId="18723"/>
    <cellStyle name="표준 6 3 27 2 2 3 2" xfId="44075"/>
    <cellStyle name="표준 6 3 27 2 2 4" xfId="31403"/>
    <cellStyle name="표준 6 3 27 2 3" xfId="9227"/>
    <cellStyle name="표준 6 3 27 2 3 2" xfId="21901"/>
    <cellStyle name="표준 6 3 27 2 3 2 2" xfId="47253"/>
    <cellStyle name="표준 6 3 27 2 3 3" xfId="34581"/>
    <cellStyle name="표준 6 3 27 2 4" xfId="15565"/>
    <cellStyle name="표준 6 3 27 2 4 2" xfId="40917"/>
    <cellStyle name="표준 6 3 27 2 5" xfId="28245"/>
    <cellStyle name="표준 6 3 27 3" xfId="6050"/>
    <cellStyle name="표준 6 3 27 3 2" xfId="12386"/>
    <cellStyle name="표준 6 3 27 3 2 2" xfId="25060"/>
    <cellStyle name="표준 6 3 27 3 2 2 2" xfId="50412"/>
    <cellStyle name="표준 6 3 27 3 2 3" xfId="37740"/>
    <cellStyle name="표준 6 3 27 3 3" xfId="18724"/>
    <cellStyle name="표준 6 3 27 3 3 2" xfId="44076"/>
    <cellStyle name="표준 6 3 27 3 4" xfId="31404"/>
    <cellStyle name="표준 6 3 27 4" xfId="9226"/>
    <cellStyle name="표준 6 3 27 4 2" xfId="21900"/>
    <cellStyle name="표준 6 3 27 4 2 2" xfId="47252"/>
    <cellStyle name="표준 6 3 27 4 3" xfId="34580"/>
    <cellStyle name="표준 6 3 27 5" xfId="15564"/>
    <cellStyle name="표준 6 3 27 5 2" xfId="40916"/>
    <cellStyle name="표준 6 3 27 6" xfId="28244"/>
    <cellStyle name="표준 6 3 28" xfId="2891"/>
    <cellStyle name="표준 6 3 28 2" xfId="2892"/>
    <cellStyle name="표준 6 3 28 2 2" xfId="6051"/>
    <cellStyle name="표준 6 3 28 2 2 2" xfId="12387"/>
    <cellStyle name="표준 6 3 28 2 2 2 2" xfId="25061"/>
    <cellStyle name="표준 6 3 28 2 2 2 2 2" xfId="50413"/>
    <cellStyle name="표준 6 3 28 2 2 2 3" xfId="37741"/>
    <cellStyle name="표준 6 3 28 2 2 3" xfId="18725"/>
    <cellStyle name="표준 6 3 28 2 2 3 2" xfId="44077"/>
    <cellStyle name="표준 6 3 28 2 2 4" xfId="31405"/>
    <cellStyle name="표준 6 3 28 2 3" xfId="9229"/>
    <cellStyle name="표준 6 3 28 2 3 2" xfId="21903"/>
    <cellStyle name="표준 6 3 28 2 3 2 2" xfId="47255"/>
    <cellStyle name="표준 6 3 28 2 3 3" xfId="34583"/>
    <cellStyle name="표준 6 3 28 2 4" xfId="15567"/>
    <cellStyle name="표준 6 3 28 2 4 2" xfId="40919"/>
    <cellStyle name="표준 6 3 28 2 5" xfId="28247"/>
    <cellStyle name="표준 6 3 28 3" xfId="6052"/>
    <cellStyle name="표준 6 3 28 3 2" xfId="12388"/>
    <cellStyle name="표준 6 3 28 3 2 2" xfId="25062"/>
    <cellStyle name="표준 6 3 28 3 2 2 2" xfId="50414"/>
    <cellStyle name="표준 6 3 28 3 2 3" xfId="37742"/>
    <cellStyle name="표준 6 3 28 3 3" xfId="18726"/>
    <cellStyle name="표준 6 3 28 3 3 2" xfId="44078"/>
    <cellStyle name="표준 6 3 28 3 4" xfId="31406"/>
    <cellStyle name="표준 6 3 28 4" xfId="9228"/>
    <cellStyle name="표준 6 3 28 4 2" xfId="21902"/>
    <cellStyle name="표준 6 3 28 4 2 2" xfId="47254"/>
    <cellStyle name="표준 6 3 28 4 3" xfId="34582"/>
    <cellStyle name="표준 6 3 28 5" xfId="15566"/>
    <cellStyle name="표준 6 3 28 5 2" xfId="40918"/>
    <cellStyle name="표준 6 3 28 6" xfId="28246"/>
    <cellStyle name="표준 6 3 29" xfId="2893"/>
    <cellStyle name="표준 6 3 29 2" xfId="2894"/>
    <cellStyle name="표준 6 3 29 2 2" xfId="6053"/>
    <cellStyle name="표준 6 3 29 2 2 2" xfId="12389"/>
    <cellStyle name="표준 6 3 29 2 2 2 2" xfId="25063"/>
    <cellStyle name="표준 6 3 29 2 2 2 2 2" xfId="50415"/>
    <cellStyle name="표준 6 3 29 2 2 2 3" xfId="37743"/>
    <cellStyle name="표준 6 3 29 2 2 3" xfId="18727"/>
    <cellStyle name="표준 6 3 29 2 2 3 2" xfId="44079"/>
    <cellStyle name="표준 6 3 29 2 2 4" xfId="31407"/>
    <cellStyle name="표준 6 3 29 2 3" xfId="9231"/>
    <cellStyle name="표준 6 3 29 2 3 2" xfId="21905"/>
    <cellStyle name="표준 6 3 29 2 3 2 2" xfId="47257"/>
    <cellStyle name="표준 6 3 29 2 3 3" xfId="34585"/>
    <cellStyle name="표준 6 3 29 2 4" xfId="15569"/>
    <cellStyle name="표준 6 3 29 2 4 2" xfId="40921"/>
    <cellStyle name="표준 6 3 29 2 5" xfId="28249"/>
    <cellStyle name="표준 6 3 29 3" xfId="6054"/>
    <cellStyle name="표준 6 3 29 3 2" xfId="12390"/>
    <cellStyle name="표준 6 3 29 3 2 2" xfId="25064"/>
    <cellStyle name="표준 6 3 29 3 2 2 2" xfId="50416"/>
    <cellStyle name="표준 6 3 29 3 2 3" xfId="37744"/>
    <cellStyle name="표준 6 3 29 3 3" xfId="18728"/>
    <cellStyle name="표준 6 3 29 3 3 2" xfId="44080"/>
    <cellStyle name="표준 6 3 29 3 4" xfId="31408"/>
    <cellStyle name="표준 6 3 29 4" xfId="9230"/>
    <cellStyle name="표준 6 3 29 4 2" xfId="21904"/>
    <cellStyle name="표준 6 3 29 4 2 2" xfId="47256"/>
    <cellStyle name="표준 6 3 29 4 3" xfId="34584"/>
    <cellStyle name="표준 6 3 29 5" xfId="15568"/>
    <cellStyle name="표준 6 3 29 5 2" xfId="40920"/>
    <cellStyle name="표준 6 3 29 6" xfId="28248"/>
    <cellStyle name="표준 6 3 3" xfId="99"/>
    <cellStyle name="표준 6 3 3 10" xfId="2895"/>
    <cellStyle name="표준 6 3 3 10 2" xfId="2896"/>
    <cellStyle name="표준 6 3 3 10 2 2" xfId="6055"/>
    <cellStyle name="표준 6 3 3 10 2 2 2" xfId="12391"/>
    <cellStyle name="표준 6 3 3 10 2 2 2 2" xfId="25065"/>
    <cellStyle name="표준 6 3 3 10 2 2 2 2 2" xfId="50417"/>
    <cellStyle name="표준 6 3 3 10 2 2 2 3" xfId="37745"/>
    <cellStyle name="표준 6 3 3 10 2 2 3" xfId="18729"/>
    <cellStyle name="표준 6 3 3 10 2 2 3 2" xfId="44081"/>
    <cellStyle name="표준 6 3 3 10 2 2 4" xfId="31409"/>
    <cellStyle name="표준 6 3 3 10 2 3" xfId="9233"/>
    <cellStyle name="표준 6 3 3 10 2 3 2" xfId="21907"/>
    <cellStyle name="표준 6 3 3 10 2 3 2 2" xfId="47259"/>
    <cellStyle name="표준 6 3 3 10 2 3 3" xfId="34587"/>
    <cellStyle name="표준 6 3 3 10 2 4" xfId="15571"/>
    <cellStyle name="표준 6 3 3 10 2 4 2" xfId="40923"/>
    <cellStyle name="표준 6 3 3 10 2 5" xfId="28251"/>
    <cellStyle name="표준 6 3 3 10 3" xfId="6056"/>
    <cellStyle name="표준 6 3 3 10 3 2" xfId="12392"/>
    <cellStyle name="표준 6 3 3 10 3 2 2" xfId="25066"/>
    <cellStyle name="표준 6 3 3 10 3 2 2 2" xfId="50418"/>
    <cellStyle name="표준 6 3 3 10 3 2 3" xfId="37746"/>
    <cellStyle name="표준 6 3 3 10 3 3" xfId="18730"/>
    <cellStyle name="표준 6 3 3 10 3 3 2" xfId="44082"/>
    <cellStyle name="표준 6 3 3 10 3 4" xfId="31410"/>
    <cellStyle name="표준 6 3 3 10 4" xfId="9232"/>
    <cellStyle name="표준 6 3 3 10 4 2" xfId="21906"/>
    <cellStyle name="표준 6 3 3 10 4 2 2" xfId="47258"/>
    <cellStyle name="표준 6 3 3 10 4 3" xfId="34586"/>
    <cellStyle name="표준 6 3 3 10 5" xfId="15570"/>
    <cellStyle name="표준 6 3 3 10 5 2" xfId="40922"/>
    <cellStyle name="표준 6 3 3 10 6" xfId="28250"/>
    <cellStyle name="표준 6 3 3 11" xfId="2897"/>
    <cellStyle name="표준 6 3 3 11 2" xfId="2898"/>
    <cellStyle name="표준 6 3 3 11 2 2" xfId="6057"/>
    <cellStyle name="표준 6 3 3 11 2 2 2" xfId="12393"/>
    <cellStyle name="표준 6 3 3 11 2 2 2 2" xfId="25067"/>
    <cellStyle name="표준 6 3 3 11 2 2 2 2 2" xfId="50419"/>
    <cellStyle name="표준 6 3 3 11 2 2 2 3" xfId="37747"/>
    <cellStyle name="표준 6 3 3 11 2 2 3" xfId="18731"/>
    <cellStyle name="표준 6 3 3 11 2 2 3 2" xfId="44083"/>
    <cellStyle name="표준 6 3 3 11 2 2 4" xfId="31411"/>
    <cellStyle name="표준 6 3 3 11 2 3" xfId="9235"/>
    <cellStyle name="표준 6 3 3 11 2 3 2" xfId="21909"/>
    <cellStyle name="표준 6 3 3 11 2 3 2 2" xfId="47261"/>
    <cellStyle name="표준 6 3 3 11 2 3 3" xfId="34589"/>
    <cellStyle name="표준 6 3 3 11 2 4" xfId="15573"/>
    <cellStyle name="표준 6 3 3 11 2 4 2" xfId="40925"/>
    <cellStyle name="표준 6 3 3 11 2 5" xfId="28253"/>
    <cellStyle name="표준 6 3 3 11 3" xfId="6058"/>
    <cellStyle name="표준 6 3 3 11 3 2" xfId="12394"/>
    <cellStyle name="표준 6 3 3 11 3 2 2" xfId="25068"/>
    <cellStyle name="표준 6 3 3 11 3 2 2 2" xfId="50420"/>
    <cellStyle name="표준 6 3 3 11 3 2 3" xfId="37748"/>
    <cellStyle name="표준 6 3 3 11 3 3" xfId="18732"/>
    <cellStyle name="표준 6 3 3 11 3 3 2" xfId="44084"/>
    <cellStyle name="표준 6 3 3 11 3 4" xfId="31412"/>
    <cellStyle name="표준 6 3 3 11 4" xfId="9234"/>
    <cellStyle name="표준 6 3 3 11 4 2" xfId="21908"/>
    <cellStyle name="표준 6 3 3 11 4 2 2" xfId="47260"/>
    <cellStyle name="표준 6 3 3 11 4 3" xfId="34588"/>
    <cellStyle name="표준 6 3 3 11 5" xfId="15572"/>
    <cellStyle name="표준 6 3 3 11 5 2" xfId="40924"/>
    <cellStyle name="표준 6 3 3 11 6" xfId="28252"/>
    <cellStyle name="표준 6 3 3 12" xfId="2899"/>
    <cellStyle name="표준 6 3 3 12 2" xfId="2900"/>
    <cellStyle name="표준 6 3 3 12 2 2" xfId="6059"/>
    <cellStyle name="표준 6 3 3 12 2 2 2" xfId="12395"/>
    <cellStyle name="표준 6 3 3 12 2 2 2 2" xfId="25069"/>
    <cellStyle name="표준 6 3 3 12 2 2 2 2 2" xfId="50421"/>
    <cellStyle name="표준 6 3 3 12 2 2 2 3" xfId="37749"/>
    <cellStyle name="표준 6 3 3 12 2 2 3" xfId="18733"/>
    <cellStyle name="표준 6 3 3 12 2 2 3 2" xfId="44085"/>
    <cellStyle name="표준 6 3 3 12 2 2 4" xfId="31413"/>
    <cellStyle name="표준 6 3 3 12 2 3" xfId="9237"/>
    <cellStyle name="표준 6 3 3 12 2 3 2" xfId="21911"/>
    <cellStyle name="표준 6 3 3 12 2 3 2 2" xfId="47263"/>
    <cellStyle name="표준 6 3 3 12 2 3 3" xfId="34591"/>
    <cellStyle name="표준 6 3 3 12 2 4" xfId="15575"/>
    <cellStyle name="표준 6 3 3 12 2 4 2" xfId="40927"/>
    <cellStyle name="표준 6 3 3 12 2 5" xfId="28255"/>
    <cellStyle name="표준 6 3 3 12 3" xfId="6060"/>
    <cellStyle name="표준 6 3 3 12 3 2" xfId="12396"/>
    <cellStyle name="표준 6 3 3 12 3 2 2" xfId="25070"/>
    <cellStyle name="표준 6 3 3 12 3 2 2 2" xfId="50422"/>
    <cellStyle name="표준 6 3 3 12 3 2 3" xfId="37750"/>
    <cellStyle name="표준 6 3 3 12 3 3" xfId="18734"/>
    <cellStyle name="표준 6 3 3 12 3 3 2" xfId="44086"/>
    <cellStyle name="표준 6 3 3 12 3 4" xfId="31414"/>
    <cellStyle name="표준 6 3 3 12 4" xfId="9236"/>
    <cellStyle name="표준 6 3 3 12 4 2" xfId="21910"/>
    <cellStyle name="표준 6 3 3 12 4 2 2" xfId="47262"/>
    <cellStyle name="표준 6 3 3 12 4 3" xfId="34590"/>
    <cellStyle name="표준 6 3 3 12 5" xfId="15574"/>
    <cellStyle name="표준 6 3 3 12 5 2" xfId="40926"/>
    <cellStyle name="표준 6 3 3 12 6" xfId="28254"/>
    <cellStyle name="표준 6 3 3 13" xfId="2901"/>
    <cellStyle name="표준 6 3 3 13 2" xfId="2902"/>
    <cellStyle name="표준 6 3 3 13 2 2" xfId="6061"/>
    <cellStyle name="표준 6 3 3 13 2 2 2" xfId="12397"/>
    <cellStyle name="표준 6 3 3 13 2 2 2 2" xfId="25071"/>
    <cellStyle name="표준 6 3 3 13 2 2 2 2 2" xfId="50423"/>
    <cellStyle name="표준 6 3 3 13 2 2 2 3" xfId="37751"/>
    <cellStyle name="표준 6 3 3 13 2 2 3" xfId="18735"/>
    <cellStyle name="표준 6 3 3 13 2 2 3 2" xfId="44087"/>
    <cellStyle name="표준 6 3 3 13 2 2 4" xfId="31415"/>
    <cellStyle name="표준 6 3 3 13 2 3" xfId="9239"/>
    <cellStyle name="표준 6 3 3 13 2 3 2" xfId="21913"/>
    <cellStyle name="표준 6 3 3 13 2 3 2 2" xfId="47265"/>
    <cellStyle name="표준 6 3 3 13 2 3 3" xfId="34593"/>
    <cellStyle name="표준 6 3 3 13 2 4" xfId="15577"/>
    <cellStyle name="표준 6 3 3 13 2 4 2" xfId="40929"/>
    <cellStyle name="표준 6 3 3 13 2 5" xfId="28257"/>
    <cellStyle name="표준 6 3 3 13 3" xfId="6062"/>
    <cellStyle name="표준 6 3 3 13 3 2" xfId="12398"/>
    <cellStyle name="표준 6 3 3 13 3 2 2" xfId="25072"/>
    <cellStyle name="표준 6 3 3 13 3 2 2 2" xfId="50424"/>
    <cellStyle name="표준 6 3 3 13 3 2 3" xfId="37752"/>
    <cellStyle name="표준 6 3 3 13 3 3" xfId="18736"/>
    <cellStyle name="표준 6 3 3 13 3 3 2" xfId="44088"/>
    <cellStyle name="표준 6 3 3 13 3 4" xfId="31416"/>
    <cellStyle name="표준 6 3 3 13 4" xfId="9238"/>
    <cellStyle name="표준 6 3 3 13 4 2" xfId="21912"/>
    <cellStyle name="표준 6 3 3 13 4 2 2" xfId="47264"/>
    <cellStyle name="표준 6 3 3 13 4 3" xfId="34592"/>
    <cellStyle name="표준 6 3 3 13 5" xfId="15576"/>
    <cellStyle name="표준 6 3 3 13 5 2" xfId="40928"/>
    <cellStyle name="표준 6 3 3 13 6" xfId="28256"/>
    <cellStyle name="표준 6 3 3 14" xfId="2903"/>
    <cellStyle name="표준 6 3 3 14 2" xfId="2904"/>
    <cellStyle name="표준 6 3 3 14 2 2" xfId="6063"/>
    <cellStyle name="표준 6 3 3 14 2 2 2" xfId="12399"/>
    <cellStyle name="표준 6 3 3 14 2 2 2 2" xfId="25073"/>
    <cellStyle name="표준 6 3 3 14 2 2 2 2 2" xfId="50425"/>
    <cellStyle name="표준 6 3 3 14 2 2 2 3" xfId="37753"/>
    <cellStyle name="표준 6 3 3 14 2 2 3" xfId="18737"/>
    <cellStyle name="표준 6 3 3 14 2 2 3 2" xfId="44089"/>
    <cellStyle name="표준 6 3 3 14 2 2 4" xfId="31417"/>
    <cellStyle name="표준 6 3 3 14 2 3" xfId="9241"/>
    <cellStyle name="표준 6 3 3 14 2 3 2" xfId="21915"/>
    <cellStyle name="표준 6 3 3 14 2 3 2 2" xfId="47267"/>
    <cellStyle name="표준 6 3 3 14 2 3 3" xfId="34595"/>
    <cellStyle name="표준 6 3 3 14 2 4" xfId="15579"/>
    <cellStyle name="표준 6 3 3 14 2 4 2" xfId="40931"/>
    <cellStyle name="표준 6 3 3 14 2 5" xfId="28259"/>
    <cellStyle name="표준 6 3 3 14 3" xfId="6064"/>
    <cellStyle name="표준 6 3 3 14 3 2" xfId="12400"/>
    <cellStyle name="표준 6 3 3 14 3 2 2" xfId="25074"/>
    <cellStyle name="표준 6 3 3 14 3 2 2 2" xfId="50426"/>
    <cellStyle name="표준 6 3 3 14 3 2 3" xfId="37754"/>
    <cellStyle name="표준 6 3 3 14 3 3" xfId="18738"/>
    <cellStyle name="표준 6 3 3 14 3 3 2" xfId="44090"/>
    <cellStyle name="표준 6 3 3 14 3 4" xfId="31418"/>
    <cellStyle name="표준 6 3 3 14 4" xfId="9240"/>
    <cellStyle name="표준 6 3 3 14 4 2" xfId="21914"/>
    <cellStyle name="표준 6 3 3 14 4 2 2" xfId="47266"/>
    <cellStyle name="표준 6 3 3 14 4 3" xfId="34594"/>
    <cellStyle name="표준 6 3 3 14 5" xfId="15578"/>
    <cellStyle name="표준 6 3 3 14 5 2" xfId="40930"/>
    <cellStyle name="표준 6 3 3 14 6" xfId="28258"/>
    <cellStyle name="표준 6 3 3 15" xfId="2905"/>
    <cellStyle name="표준 6 3 3 15 2" xfId="2906"/>
    <cellStyle name="표준 6 3 3 15 2 2" xfId="6065"/>
    <cellStyle name="표준 6 3 3 15 2 2 2" xfId="12401"/>
    <cellStyle name="표준 6 3 3 15 2 2 2 2" xfId="25075"/>
    <cellStyle name="표준 6 3 3 15 2 2 2 2 2" xfId="50427"/>
    <cellStyle name="표준 6 3 3 15 2 2 2 3" xfId="37755"/>
    <cellStyle name="표준 6 3 3 15 2 2 3" xfId="18739"/>
    <cellStyle name="표준 6 3 3 15 2 2 3 2" xfId="44091"/>
    <cellStyle name="표준 6 3 3 15 2 2 4" xfId="31419"/>
    <cellStyle name="표준 6 3 3 15 2 3" xfId="9243"/>
    <cellStyle name="표준 6 3 3 15 2 3 2" xfId="21917"/>
    <cellStyle name="표준 6 3 3 15 2 3 2 2" xfId="47269"/>
    <cellStyle name="표준 6 3 3 15 2 3 3" xfId="34597"/>
    <cellStyle name="표준 6 3 3 15 2 4" xfId="15581"/>
    <cellStyle name="표준 6 3 3 15 2 4 2" xfId="40933"/>
    <cellStyle name="표준 6 3 3 15 2 5" xfId="28261"/>
    <cellStyle name="표준 6 3 3 15 3" xfId="6066"/>
    <cellStyle name="표준 6 3 3 15 3 2" xfId="12402"/>
    <cellStyle name="표준 6 3 3 15 3 2 2" xfId="25076"/>
    <cellStyle name="표준 6 3 3 15 3 2 2 2" xfId="50428"/>
    <cellStyle name="표준 6 3 3 15 3 2 3" xfId="37756"/>
    <cellStyle name="표준 6 3 3 15 3 3" xfId="18740"/>
    <cellStyle name="표준 6 3 3 15 3 3 2" xfId="44092"/>
    <cellStyle name="표준 6 3 3 15 3 4" xfId="31420"/>
    <cellStyle name="표준 6 3 3 15 4" xfId="9242"/>
    <cellStyle name="표준 6 3 3 15 4 2" xfId="21916"/>
    <cellStyle name="표준 6 3 3 15 4 2 2" xfId="47268"/>
    <cellStyle name="표준 6 3 3 15 4 3" xfId="34596"/>
    <cellStyle name="표준 6 3 3 15 5" xfId="15580"/>
    <cellStyle name="표준 6 3 3 15 5 2" xfId="40932"/>
    <cellStyle name="표준 6 3 3 15 6" xfId="28260"/>
    <cellStyle name="표준 6 3 3 16" xfId="2907"/>
    <cellStyle name="표준 6 3 3 16 2" xfId="2908"/>
    <cellStyle name="표준 6 3 3 16 2 2" xfId="6067"/>
    <cellStyle name="표준 6 3 3 16 2 2 2" xfId="12403"/>
    <cellStyle name="표준 6 3 3 16 2 2 2 2" xfId="25077"/>
    <cellStyle name="표준 6 3 3 16 2 2 2 2 2" xfId="50429"/>
    <cellStyle name="표준 6 3 3 16 2 2 2 3" xfId="37757"/>
    <cellStyle name="표준 6 3 3 16 2 2 3" xfId="18741"/>
    <cellStyle name="표준 6 3 3 16 2 2 3 2" xfId="44093"/>
    <cellStyle name="표준 6 3 3 16 2 2 4" xfId="31421"/>
    <cellStyle name="표준 6 3 3 16 2 3" xfId="9245"/>
    <cellStyle name="표준 6 3 3 16 2 3 2" xfId="21919"/>
    <cellStyle name="표준 6 3 3 16 2 3 2 2" xfId="47271"/>
    <cellStyle name="표준 6 3 3 16 2 3 3" xfId="34599"/>
    <cellStyle name="표준 6 3 3 16 2 4" xfId="15583"/>
    <cellStyle name="표준 6 3 3 16 2 4 2" xfId="40935"/>
    <cellStyle name="표준 6 3 3 16 2 5" xfId="28263"/>
    <cellStyle name="표준 6 3 3 16 3" xfId="6068"/>
    <cellStyle name="표준 6 3 3 16 3 2" xfId="12404"/>
    <cellStyle name="표준 6 3 3 16 3 2 2" xfId="25078"/>
    <cellStyle name="표준 6 3 3 16 3 2 2 2" xfId="50430"/>
    <cellStyle name="표준 6 3 3 16 3 2 3" xfId="37758"/>
    <cellStyle name="표준 6 3 3 16 3 3" xfId="18742"/>
    <cellStyle name="표준 6 3 3 16 3 3 2" xfId="44094"/>
    <cellStyle name="표준 6 3 3 16 3 4" xfId="31422"/>
    <cellStyle name="표준 6 3 3 16 4" xfId="9244"/>
    <cellStyle name="표준 6 3 3 16 4 2" xfId="21918"/>
    <cellStyle name="표준 6 3 3 16 4 2 2" xfId="47270"/>
    <cellStyle name="표준 6 3 3 16 4 3" xfId="34598"/>
    <cellStyle name="표준 6 3 3 16 5" xfId="15582"/>
    <cellStyle name="표준 6 3 3 16 5 2" xfId="40934"/>
    <cellStyle name="표준 6 3 3 16 6" xfId="28262"/>
    <cellStyle name="표준 6 3 3 17" xfId="2909"/>
    <cellStyle name="표준 6 3 3 17 2" xfId="2910"/>
    <cellStyle name="표준 6 3 3 17 2 2" xfId="6069"/>
    <cellStyle name="표준 6 3 3 17 2 2 2" xfId="12405"/>
    <cellStyle name="표준 6 3 3 17 2 2 2 2" xfId="25079"/>
    <cellStyle name="표준 6 3 3 17 2 2 2 2 2" xfId="50431"/>
    <cellStyle name="표준 6 3 3 17 2 2 2 3" xfId="37759"/>
    <cellStyle name="표준 6 3 3 17 2 2 3" xfId="18743"/>
    <cellStyle name="표준 6 3 3 17 2 2 3 2" xfId="44095"/>
    <cellStyle name="표준 6 3 3 17 2 2 4" xfId="31423"/>
    <cellStyle name="표준 6 3 3 17 2 3" xfId="9247"/>
    <cellStyle name="표준 6 3 3 17 2 3 2" xfId="21921"/>
    <cellStyle name="표준 6 3 3 17 2 3 2 2" xfId="47273"/>
    <cellStyle name="표준 6 3 3 17 2 3 3" xfId="34601"/>
    <cellStyle name="표준 6 3 3 17 2 4" xfId="15585"/>
    <cellStyle name="표준 6 3 3 17 2 4 2" xfId="40937"/>
    <cellStyle name="표준 6 3 3 17 2 5" xfId="28265"/>
    <cellStyle name="표준 6 3 3 17 3" xfId="6070"/>
    <cellStyle name="표준 6 3 3 17 3 2" xfId="12406"/>
    <cellStyle name="표준 6 3 3 17 3 2 2" xfId="25080"/>
    <cellStyle name="표준 6 3 3 17 3 2 2 2" xfId="50432"/>
    <cellStyle name="표준 6 3 3 17 3 2 3" xfId="37760"/>
    <cellStyle name="표준 6 3 3 17 3 3" xfId="18744"/>
    <cellStyle name="표준 6 3 3 17 3 3 2" xfId="44096"/>
    <cellStyle name="표준 6 3 3 17 3 4" xfId="31424"/>
    <cellStyle name="표준 6 3 3 17 4" xfId="9246"/>
    <cellStyle name="표준 6 3 3 17 4 2" xfId="21920"/>
    <cellStyle name="표준 6 3 3 17 4 2 2" xfId="47272"/>
    <cellStyle name="표준 6 3 3 17 4 3" xfId="34600"/>
    <cellStyle name="표준 6 3 3 17 5" xfId="15584"/>
    <cellStyle name="표준 6 3 3 17 5 2" xfId="40936"/>
    <cellStyle name="표준 6 3 3 17 6" xfId="28264"/>
    <cellStyle name="표준 6 3 3 18" xfId="2911"/>
    <cellStyle name="표준 6 3 3 18 2" xfId="2912"/>
    <cellStyle name="표준 6 3 3 18 2 2" xfId="6071"/>
    <cellStyle name="표준 6 3 3 18 2 2 2" xfId="12407"/>
    <cellStyle name="표준 6 3 3 18 2 2 2 2" xfId="25081"/>
    <cellStyle name="표준 6 3 3 18 2 2 2 2 2" xfId="50433"/>
    <cellStyle name="표준 6 3 3 18 2 2 2 3" xfId="37761"/>
    <cellStyle name="표준 6 3 3 18 2 2 3" xfId="18745"/>
    <cellStyle name="표준 6 3 3 18 2 2 3 2" xfId="44097"/>
    <cellStyle name="표준 6 3 3 18 2 2 4" xfId="31425"/>
    <cellStyle name="표준 6 3 3 18 2 3" xfId="9249"/>
    <cellStyle name="표준 6 3 3 18 2 3 2" xfId="21923"/>
    <cellStyle name="표준 6 3 3 18 2 3 2 2" xfId="47275"/>
    <cellStyle name="표준 6 3 3 18 2 3 3" xfId="34603"/>
    <cellStyle name="표준 6 3 3 18 2 4" xfId="15587"/>
    <cellStyle name="표준 6 3 3 18 2 4 2" xfId="40939"/>
    <cellStyle name="표준 6 3 3 18 2 5" xfId="28267"/>
    <cellStyle name="표준 6 3 3 18 3" xfId="6072"/>
    <cellStyle name="표준 6 3 3 18 3 2" xfId="12408"/>
    <cellStyle name="표준 6 3 3 18 3 2 2" xfId="25082"/>
    <cellStyle name="표준 6 3 3 18 3 2 2 2" xfId="50434"/>
    <cellStyle name="표준 6 3 3 18 3 2 3" xfId="37762"/>
    <cellStyle name="표준 6 3 3 18 3 3" xfId="18746"/>
    <cellStyle name="표준 6 3 3 18 3 3 2" xfId="44098"/>
    <cellStyle name="표준 6 3 3 18 3 4" xfId="31426"/>
    <cellStyle name="표준 6 3 3 18 4" xfId="9248"/>
    <cellStyle name="표준 6 3 3 18 4 2" xfId="21922"/>
    <cellStyle name="표준 6 3 3 18 4 2 2" xfId="47274"/>
    <cellStyle name="표준 6 3 3 18 4 3" xfId="34602"/>
    <cellStyle name="표준 6 3 3 18 5" xfId="15586"/>
    <cellStyle name="표준 6 3 3 18 5 2" xfId="40938"/>
    <cellStyle name="표준 6 3 3 18 6" xfId="28266"/>
    <cellStyle name="표준 6 3 3 19" xfId="2913"/>
    <cellStyle name="표준 6 3 3 19 2" xfId="2914"/>
    <cellStyle name="표준 6 3 3 19 2 2" xfId="6073"/>
    <cellStyle name="표준 6 3 3 19 2 2 2" xfId="12409"/>
    <cellStyle name="표준 6 3 3 19 2 2 2 2" xfId="25083"/>
    <cellStyle name="표준 6 3 3 19 2 2 2 2 2" xfId="50435"/>
    <cellStyle name="표준 6 3 3 19 2 2 2 3" xfId="37763"/>
    <cellStyle name="표준 6 3 3 19 2 2 3" xfId="18747"/>
    <cellStyle name="표준 6 3 3 19 2 2 3 2" xfId="44099"/>
    <cellStyle name="표준 6 3 3 19 2 2 4" xfId="31427"/>
    <cellStyle name="표준 6 3 3 19 2 3" xfId="9251"/>
    <cellStyle name="표준 6 3 3 19 2 3 2" xfId="21925"/>
    <cellStyle name="표준 6 3 3 19 2 3 2 2" xfId="47277"/>
    <cellStyle name="표준 6 3 3 19 2 3 3" xfId="34605"/>
    <cellStyle name="표준 6 3 3 19 2 4" xfId="15589"/>
    <cellStyle name="표준 6 3 3 19 2 4 2" xfId="40941"/>
    <cellStyle name="표준 6 3 3 19 2 5" xfId="28269"/>
    <cellStyle name="표준 6 3 3 19 3" xfId="6074"/>
    <cellStyle name="표준 6 3 3 19 3 2" xfId="12410"/>
    <cellStyle name="표준 6 3 3 19 3 2 2" xfId="25084"/>
    <cellStyle name="표준 6 3 3 19 3 2 2 2" xfId="50436"/>
    <cellStyle name="표준 6 3 3 19 3 2 3" xfId="37764"/>
    <cellStyle name="표준 6 3 3 19 3 3" xfId="18748"/>
    <cellStyle name="표준 6 3 3 19 3 3 2" xfId="44100"/>
    <cellStyle name="표준 6 3 3 19 3 4" xfId="31428"/>
    <cellStyle name="표준 6 3 3 19 4" xfId="9250"/>
    <cellStyle name="표준 6 3 3 19 4 2" xfId="21924"/>
    <cellStyle name="표준 6 3 3 19 4 2 2" xfId="47276"/>
    <cellStyle name="표준 6 3 3 19 4 3" xfId="34604"/>
    <cellStyle name="표준 6 3 3 19 5" xfId="15588"/>
    <cellStyle name="표준 6 3 3 19 5 2" xfId="40940"/>
    <cellStyle name="표준 6 3 3 19 6" xfId="28268"/>
    <cellStyle name="표준 6 3 3 2" xfId="2915"/>
    <cellStyle name="표준 6 3 3 2 2" xfId="2916"/>
    <cellStyle name="표준 6 3 3 2 2 2" xfId="6075"/>
    <cellStyle name="표준 6 3 3 2 2 2 2" xfId="12411"/>
    <cellStyle name="표준 6 3 3 2 2 2 2 2" xfId="25085"/>
    <cellStyle name="표준 6 3 3 2 2 2 2 2 2" xfId="50437"/>
    <cellStyle name="표준 6 3 3 2 2 2 2 3" xfId="37765"/>
    <cellStyle name="표준 6 3 3 2 2 2 3" xfId="18749"/>
    <cellStyle name="표준 6 3 3 2 2 2 3 2" xfId="44101"/>
    <cellStyle name="표준 6 3 3 2 2 2 4" xfId="31429"/>
    <cellStyle name="표준 6 3 3 2 2 3" xfId="9253"/>
    <cellStyle name="표준 6 3 3 2 2 3 2" xfId="21927"/>
    <cellStyle name="표준 6 3 3 2 2 3 2 2" xfId="47279"/>
    <cellStyle name="표준 6 3 3 2 2 3 3" xfId="34607"/>
    <cellStyle name="표준 6 3 3 2 2 4" xfId="15591"/>
    <cellStyle name="표준 6 3 3 2 2 4 2" xfId="40943"/>
    <cellStyle name="표준 6 3 3 2 2 5" xfId="28271"/>
    <cellStyle name="표준 6 3 3 2 3" xfId="6076"/>
    <cellStyle name="표준 6 3 3 2 3 2" xfId="12412"/>
    <cellStyle name="표준 6 3 3 2 3 2 2" xfId="25086"/>
    <cellStyle name="표준 6 3 3 2 3 2 2 2" xfId="50438"/>
    <cellStyle name="표준 6 3 3 2 3 2 3" xfId="37766"/>
    <cellStyle name="표준 6 3 3 2 3 3" xfId="18750"/>
    <cellStyle name="표준 6 3 3 2 3 3 2" xfId="44102"/>
    <cellStyle name="표준 6 3 3 2 3 4" xfId="31430"/>
    <cellStyle name="표준 6 3 3 2 4" xfId="9252"/>
    <cellStyle name="표준 6 3 3 2 4 2" xfId="21926"/>
    <cellStyle name="표준 6 3 3 2 4 2 2" xfId="47278"/>
    <cellStyle name="표준 6 3 3 2 4 3" xfId="34606"/>
    <cellStyle name="표준 6 3 3 2 5" xfId="15590"/>
    <cellStyle name="표준 6 3 3 2 5 2" xfId="40942"/>
    <cellStyle name="표준 6 3 3 2 6" xfId="28270"/>
    <cellStyle name="표준 6 3 3 20" xfId="2917"/>
    <cellStyle name="표준 6 3 3 20 2" xfId="2918"/>
    <cellStyle name="표준 6 3 3 20 2 2" xfId="6077"/>
    <cellStyle name="표준 6 3 3 20 2 2 2" xfId="12413"/>
    <cellStyle name="표준 6 3 3 20 2 2 2 2" xfId="25087"/>
    <cellStyle name="표준 6 3 3 20 2 2 2 2 2" xfId="50439"/>
    <cellStyle name="표준 6 3 3 20 2 2 2 3" xfId="37767"/>
    <cellStyle name="표준 6 3 3 20 2 2 3" xfId="18751"/>
    <cellStyle name="표준 6 3 3 20 2 2 3 2" xfId="44103"/>
    <cellStyle name="표준 6 3 3 20 2 2 4" xfId="31431"/>
    <cellStyle name="표준 6 3 3 20 2 3" xfId="9255"/>
    <cellStyle name="표준 6 3 3 20 2 3 2" xfId="21929"/>
    <cellStyle name="표준 6 3 3 20 2 3 2 2" xfId="47281"/>
    <cellStyle name="표준 6 3 3 20 2 3 3" xfId="34609"/>
    <cellStyle name="표준 6 3 3 20 2 4" xfId="15593"/>
    <cellStyle name="표준 6 3 3 20 2 4 2" xfId="40945"/>
    <cellStyle name="표준 6 3 3 20 2 5" xfId="28273"/>
    <cellStyle name="표준 6 3 3 20 3" xfId="6078"/>
    <cellStyle name="표준 6 3 3 20 3 2" xfId="12414"/>
    <cellStyle name="표준 6 3 3 20 3 2 2" xfId="25088"/>
    <cellStyle name="표준 6 3 3 20 3 2 2 2" xfId="50440"/>
    <cellStyle name="표준 6 3 3 20 3 2 3" xfId="37768"/>
    <cellStyle name="표준 6 3 3 20 3 3" xfId="18752"/>
    <cellStyle name="표준 6 3 3 20 3 3 2" xfId="44104"/>
    <cellStyle name="표준 6 3 3 20 3 4" xfId="31432"/>
    <cellStyle name="표준 6 3 3 20 4" xfId="9254"/>
    <cellStyle name="표준 6 3 3 20 4 2" xfId="21928"/>
    <cellStyle name="표준 6 3 3 20 4 2 2" xfId="47280"/>
    <cellStyle name="표준 6 3 3 20 4 3" xfId="34608"/>
    <cellStyle name="표준 6 3 3 20 5" xfId="15592"/>
    <cellStyle name="표준 6 3 3 20 5 2" xfId="40944"/>
    <cellStyle name="표준 6 3 3 20 6" xfId="28272"/>
    <cellStyle name="표준 6 3 3 21" xfId="2919"/>
    <cellStyle name="표준 6 3 3 21 2" xfId="2920"/>
    <cellStyle name="표준 6 3 3 21 2 2" xfId="6079"/>
    <cellStyle name="표준 6 3 3 21 2 2 2" xfId="12415"/>
    <cellStyle name="표준 6 3 3 21 2 2 2 2" xfId="25089"/>
    <cellStyle name="표준 6 3 3 21 2 2 2 2 2" xfId="50441"/>
    <cellStyle name="표준 6 3 3 21 2 2 2 3" xfId="37769"/>
    <cellStyle name="표준 6 3 3 21 2 2 3" xfId="18753"/>
    <cellStyle name="표준 6 3 3 21 2 2 3 2" xfId="44105"/>
    <cellStyle name="표준 6 3 3 21 2 2 4" xfId="31433"/>
    <cellStyle name="표준 6 3 3 21 2 3" xfId="9257"/>
    <cellStyle name="표준 6 3 3 21 2 3 2" xfId="21931"/>
    <cellStyle name="표준 6 3 3 21 2 3 2 2" xfId="47283"/>
    <cellStyle name="표준 6 3 3 21 2 3 3" xfId="34611"/>
    <cellStyle name="표준 6 3 3 21 2 4" xfId="15595"/>
    <cellStyle name="표준 6 3 3 21 2 4 2" xfId="40947"/>
    <cellStyle name="표준 6 3 3 21 2 5" xfId="28275"/>
    <cellStyle name="표준 6 3 3 21 3" xfId="6080"/>
    <cellStyle name="표준 6 3 3 21 3 2" xfId="12416"/>
    <cellStyle name="표준 6 3 3 21 3 2 2" xfId="25090"/>
    <cellStyle name="표준 6 3 3 21 3 2 2 2" xfId="50442"/>
    <cellStyle name="표준 6 3 3 21 3 2 3" xfId="37770"/>
    <cellStyle name="표준 6 3 3 21 3 3" xfId="18754"/>
    <cellStyle name="표준 6 3 3 21 3 3 2" xfId="44106"/>
    <cellStyle name="표준 6 3 3 21 3 4" xfId="31434"/>
    <cellStyle name="표준 6 3 3 21 4" xfId="9256"/>
    <cellStyle name="표준 6 3 3 21 4 2" xfId="21930"/>
    <cellStyle name="표준 6 3 3 21 4 2 2" xfId="47282"/>
    <cellStyle name="표준 6 3 3 21 4 3" xfId="34610"/>
    <cellStyle name="표준 6 3 3 21 5" xfId="15594"/>
    <cellStyle name="표준 6 3 3 21 5 2" xfId="40946"/>
    <cellStyle name="표준 6 3 3 21 6" xfId="28274"/>
    <cellStyle name="표준 6 3 3 22" xfId="2921"/>
    <cellStyle name="표준 6 3 3 22 2" xfId="2922"/>
    <cellStyle name="표준 6 3 3 22 2 2" xfId="6081"/>
    <cellStyle name="표준 6 3 3 22 2 2 2" xfId="12417"/>
    <cellStyle name="표준 6 3 3 22 2 2 2 2" xfId="25091"/>
    <cellStyle name="표준 6 3 3 22 2 2 2 2 2" xfId="50443"/>
    <cellStyle name="표준 6 3 3 22 2 2 2 3" xfId="37771"/>
    <cellStyle name="표준 6 3 3 22 2 2 3" xfId="18755"/>
    <cellStyle name="표준 6 3 3 22 2 2 3 2" xfId="44107"/>
    <cellStyle name="표준 6 3 3 22 2 2 4" xfId="31435"/>
    <cellStyle name="표준 6 3 3 22 2 3" xfId="9259"/>
    <cellStyle name="표준 6 3 3 22 2 3 2" xfId="21933"/>
    <cellStyle name="표준 6 3 3 22 2 3 2 2" xfId="47285"/>
    <cellStyle name="표준 6 3 3 22 2 3 3" xfId="34613"/>
    <cellStyle name="표준 6 3 3 22 2 4" xfId="15597"/>
    <cellStyle name="표준 6 3 3 22 2 4 2" xfId="40949"/>
    <cellStyle name="표준 6 3 3 22 2 5" xfId="28277"/>
    <cellStyle name="표준 6 3 3 22 3" xfId="6082"/>
    <cellStyle name="표준 6 3 3 22 3 2" xfId="12418"/>
    <cellStyle name="표준 6 3 3 22 3 2 2" xfId="25092"/>
    <cellStyle name="표준 6 3 3 22 3 2 2 2" xfId="50444"/>
    <cellStyle name="표준 6 3 3 22 3 2 3" xfId="37772"/>
    <cellStyle name="표준 6 3 3 22 3 3" xfId="18756"/>
    <cellStyle name="표준 6 3 3 22 3 3 2" xfId="44108"/>
    <cellStyle name="표준 6 3 3 22 3 4" xfId="31436"/>
    <cellStyle name="표준 6 3 3 22 4" xfId="9258"/>
    <cellStyle name="표준 6 3 3 22 4 2" xfId="21932"/>
    <cellStyle name="표준 6 3 3 22 4 2 2" xfId="47284"/>
    <cellStyle name="표준 6 3 3 22 4 3" xfId="34612"/>
    <cellStyle name="표준 6 3 3 22 5" xfId="15596"/>
    <cellStyle name="표준 6 3 3 22 5 2" xfId="40948"/>
    <cellStyle name="표준 6 3 3 22 6" xfId="28276"/>
    <cellStyle name="표준 6 3 3 23" xfId="2923"/>
    <cellStyle name="표준 6 3 3 23 2" xfId="2924"/>
    <cellStyle name="표준 6 3 3 23 2 2" xfId="6083"/>
    <cellStyle name="표준 6 3 3 23 2 2 2" xfId="12419"/>
    <cellStyle name="표준 6 3 3 23 2 2 2 2" xfId="25093"/>
    <cellStyle name="표준 6 3 3 23 2 2 2 2 2" xfId="50445"/>
    <cellStyle name="표준 6 3 3 23 2 2 2 3" xfId="37773"/>
    <cellStyle name="표준 6 3 3 23 2 2 3" xfId="18757"/>
    <cellStyle name="표준 6 3 3 23 2 2 3 2" xfId="44109"/>
    <cellStyle name="표준 6 3 3 23 2 2 4" xfId="31437"/>
    <cellStyle name="표준 6 3 3 23 2 3" xfId="9261"/>
    <cellStyle name="표준 6 3 3 23 2 3 2" xfId="21935"/>
    <cellStyle name="표준 6 3 3 23 2 3 2 2" xfId="47287"/>
    <cellStyle name="표준 6 3 3 23 2 3 3" xfId="34615"/>
    <cellStyle name="표준 6 3 3 23 2 4" xfId="15599"/>
    <cellStyle name="표준 6 3 3 23 2 4 2" xfId="40951"/>
    <cellStyle name="표준 6 3 3 23 2 5" xfId="28279"/>
    <cellStyle name="표준 6 3 3 23 3" xfId="6084"/>
    <cellStyle name="표준 6 3 3 23 3 2" xfId="12420"/>
    <cellStyle name="표준 6 3 3 23 3 2 2" xfId="25094"/>
    <cellStyle name="표준 6 3 3 23 3 2 2 2" xfId="50446"/>
    <cellStyle name="표준 6 3 3 23 3 2 3" xfId="37774"/>
    <cellStyle name="표준 6 3 3 23 3 3" xfId="18758"/>
    <cellStyle name="표준 6 3 3 23 3 3 2" xfId="44110"/>
    <cellStyle name="표준 6 3 3 23 3 4" xfId="31438"/>
    <cellStyle name="표준 6 3 3 23 4" xfId="9260"/>
    <cellStyle name="표준 6 3 3 23 4 2" xfId="21934"/>
    <cellStyle name="표준 6 3 3 23 4 2 2" xfId="47286"/>
    <cellStyle name="표준 6 3 3 23 4 3" xfId="34614"/>
    <cellStyle name="표준 6 3 3 23 5" xfId="15598"/>
    <cellStyle name="표준 6 3 3 23 5 2" xfId="40950"/>
    <cellStyle name="표준 6 3 3 23 6" xfId="28278"/>
    <cellStyle name="표준 6 3 3 24" xfId="2925"/>
    <cellStyle name="표준 6 3 3 24 2" xfId="2926"/>
    <cellStyle name="표준 6 3 3 24 2 2" xfId="6085"/>
    <cellStyle name="표준 6 3 3 24 2 2 2" xfId="12421"/>
    <cellStyle name="표준 6 3 3 24 2 2 2 2" xfId="25095"/>
    <cellStyle name="표준 6 3 3 24 2 2 2 2 2" xfId="50447"/>
    <cellStyle name="표준 6 3 3 24 2 2 2 3" xfId="37775"/>
    <cellStyle name="표준 6 3 3 24 2 2 3" xfId="18759"/>
    <cellStyle name="표준 6 3 3 24 2 2 3 2" xfId="44111"/>
    <cellStyle name="표준 6 3 3 24 2 2 4" xfId="31439"/>
    <cellStyle name="표준 6 3 3 24 2 3" xfId="9263"/>
    <cellStyle name="표준 6 3 3 24 2 3 2" xfId="21937"/>
    <cellStyle name="표준 6 3 3 24 2 3 2 2" xfId="47289"/>
    <cellStyle name="표준 6 3 3 24 2 3 3" xfId="34617"/>
    <cellStyle name="표준 6 3 3 24 2 4" xfId="15601"/>
    <cellStyle name="표준 6 3 3 24 2 4 2" xfId="40953"/>
    <cellStyle name="표준 6 3 3 24 2 5" xfId="28281"/>
    <cellStyle name="표준 6 3 3 24 3" xfId="6086"/>
    <cellStyle name="표준 6 3 3 24 3 2" xfId="12422"/>
    <cellStyle name="표준 6 3 3 24 3 2 2" xfId="25096"/>
    <cellStyle name="표준 6 3 3 24 3 2 2 2" xfId="50448"/>
    <cellStyle name="표준 6 3 3 24 3 2 3" xfId="37776"/>
    <cellStyle name="표준 6 3 3 24 3 3" xfId="18760"/>
    <cellStyle name="표준 6 3 3 24 3 3 2" xfId="44112"/>
    <cellStyle name="표준 6 3 3 24 3 4" xfId="31440"/>
    <cellStyle name="표준 6 3 3 24 4" xfId="9262"/>
    <cellStyle name="표준 6 3 3 24 4 2" xfId="21936"/>
    <cellStyle name="표준 6 3 3 24 4 2 2" xfId="47288"/>
    <cellStyle name="표준 6 3 3 24 4 3" xfId="34616"/>
    <cellStyle name="표준 6 3 3 24 5" xfId="15600"/>
    <cellStyle name="표준 6 3 3 24 5 2" xfId="40952"/>
    <cellStyle name="표준 6 3 3 24 6" xfId="28280"/>
    <cellStyle name="표준 6 3 3 25" xfId="2927"/>
    <cellStyle name="표준 6 3 3 25 2" xfId="2928"/>
    <cellStyle name="표준 6 3 3 25 2 2" xfId="6087"/>
    <cellStyle name="표준 6 3 3 25 2 2 2" xfId="12423"/>
    <cellStyle name="표준 6 3 3 25 2 2 2 2" xfId="25097"/>
    <cellStyle name="표준 6 3 3 25 2 2 2 2 2" xfId="50449"/>
    <cellStyle name="표준 6 3 3 25 2 2 2 3" xfId="37777"/>
    <cellStyle name="표준 6 3 3 25 2 2 3" xfId="18761"/>
    <cellStyle name="표준 6 3 3 25 2 2 3 2" xfId="44113"/>
    <cellStyle name="표준 6 3 3 25 2 2 4" xfId="31441"/>
    <cellStyle name="표준 6 3 3 25 2 3" xfId="9265"/>
    <cellStyle name="표준 6 3 3 25 2 3 2" xfId="21939"/>
    <cellStyle name="표준 6 3 3 25 2 3 2 2" xfId="47291"/>
    <cellStyle name="표준 6 3 3 25 2 3 3" xfId="34619"/>
    <cellStyle name="표준 6 3 3 25 2 4" xfId="15603"/>
    <cellStyle name="표준 6 3 3 25 2 4 2" xfId="40955"/>
    <cellStyle name="표준 6 3 3 25 2 5" xfId="28283"/>
    <cellStyle name="표준 6 3 3 25 3" xfId="6088"/>
    <cellStyle name="표준 6 3 3 25 3 2" xfId="12424"/>
    <cellStyle name="표준 6 3 3 25 3 2 2" xfId="25098"/>
    <cellStyle name="표준 6 3 3 25 3 2 2 2" xfId="50450"/>
    <cellStyle name="표준 6 3 3 25 3 2 3" xfId="37778"/>
    <cellStyle name="표준 6 3 3 25 3 3" xfId="18762"/>
    <cellStyle name="표준 6 3 3 25 3 3 2" xfId="44114"/>
    <cellStyle name="표준 6 3 3 25 3 4" xfId="31442"/>
    <cellStyle name="표준 6 3 3 25 4" xfId="9264"/>
    <cellStyle name="표준 6 3 3 25 4 2" xfId="21938"/>
    <cellStyle name="표준 6 3 3 25 4 2 2" xfId="47290"/>
    <cellStyle name="표준 6 3 3 25 4 3" xfId="34618"/>
    <cellStyle name="표준 6 3 3 25 5" xfId="15602"/>
    <cellStyle name="표준 6 3 3 25 5 2" xfId="40954"/>
    <cellStyle name="표준 6 3 3 25 6" xfId="28282"/>
    <cellStyle name="표준 6 3 3 26" xfId="2929"/>
    <cellStyle name="표준 6 3 3 26 2" xfId="2930"/>
    <cellStyle name="표준 6 3 3 26 2 2" xfId="6089"/>
    <cellStyle name="표준 6 3 3 26 2 2 2" xfId="12425"/>
    <cellStyle name="표준 6 3 3 26 2 2 2 2" xfId="25099"/>
    <cellStyle name="표준 6 3 3 26 2 2 2 2 2" xfId="50451"/>
    <cellStyle name="표준 6 3 3 26 2 2 2 3" xfId="37779"/>
    <cellStyle name="표준 6 3 3 26 2 2 3" xfId="18763"/>
    <cellStyle name="표준 6 3 3 26 2 2 3 2" xfId="44115"/>
    <cellStyle name="표준 6 3 3 26 2 2 4" xfId="31443"/>
    <cellStyle name="표준 6 3 3 26 2 3" xfId="9267"/>
    <cellStyle name="표준 6 3 3 26 2 3 2" xfId="21941"/>
    <cellStyle name="표준 6 3 3 26 2 3 2 2" xfId="47293"/>
    <cellStyle name="표준 6 3 3 26 2 3 3" xfId="34621"/>
    <cellStyle name="표준 6 3 3 26 2 4" xfId="15605"/>
    <cellStyle name="표준 6 3 3 26 2 4 2" xfId="40957"/>
    <cellStyle name="표준 6 3 3 26 2 5" xfId="28285"/>
    <cellStyle name="표준 6 3 3 26 3" xfId="6090"/>
    <cellStyle name="표준 6 3 3 26 3 2" xfId="12426"/>
    <cellStyle name="표준 6 3 3 26 3 2 2" xfId="25100"/>
    <cellStyle name="표준 6 3 3 26 3 2 2 2" xfId="50452"/>
    <cellStyle name="표준 6 3 3 26 3 2 3" xfId="37780"/>
    <cellStyle name="표준 6 3 3 26 3 3" xfId="18764"/>
    <cellStyle name="표준 6 3 3 26 3 3 2" xfId="44116"/>
    <cellStyle name="표준 6 3 3 26 3 4" xfId="31444"/>
    <cellStyle name="표준 6 3 3 26 4" xfId="9266"/>
    <cellStyle name="표준 6 3 3 26 4 2" xfId="21940"/>
    <cellStyle name="표준 6 3 3 26 4 2 2" xfId="47292"/>
    <cellStyle name="표준 6 3 3 26 4 3" xfId="34620"/>
    <cellStyle name="표준 6 3 3 26 5" xfId="15604"/>
    <cellStyle name="표준 6 3 3 26 5 2" xfId="40956"/>
    <cellStyle name="표준 6 3 3 26 6" xfId="28284"/>
    <cellStyle name="표준 6 3 3 27" xfId="2931"/>
    <cellStyle name="표준 6 3 3 27 2" xfId="2932"/>
    <cellStyle name="표준 6 3 3 27 2 2" xfId="6091"/>
    <cellStyle name="표준 6 3 3 27 2 2 2" xfId="12427"/>
    <cellStyle name="표준 6 3 3 27 2 2 2 2" xfId="25101"/>
    <cellStyle name="표준 6 3 3 27 2 2 2 2 2" xfId="50453"/>
    <cellStyle name="표준 6 3 3 27 2 2 2 3" xfId="37781"/>
    <cellStyle name="표준 6 3 3 27 2 2 3" xfId="18765"/>
    <cellStyle name="표준 6 3 3 27 2 2 3 2" xfId="44117"/>
    <cellStyle name="표준 6 3 3 27 2 2 4" xfId="31445"/>
    <cellStyle name="표준 6 3 3 27 2 3" xfId="9269"/>
    <cellStyle name="표준 6 3 3 27 2 3 2" xfId="21943"/>
    <cellStyle name="표준 6 3 3 27 2 3 2 2" xfId="47295"/>
    <cellStyle name="표준 6 3 3 27 2 3 3" xfId="34623"/>
    <cellStyle name="표준 6 3 3 27 2 4" xfId="15607"/>
    <cellStyle name="표준 6 3 3 27 2 4 2" xfId="40959"/>
    <cellStyle name="표준 6 3 3 27 2 5" xfId="28287"/>
    <cellStyle name="표준 6 3 3 27 3" xfId="6092"/>
    <cellStyle name="표준 6 3 3 27 3 2" xfId="12428"/>
    <cellStyle name="표준 6 3 3 27 3 2 2" xfId="25102"/>
    <cellStyle name="표준 6 3 3 27 3 2 2 2" xfId="50454"/>
    <cellStyle name="표준 6 3 3 27 3 2 3" xfId="37782"/>
    <cellStyle name="표준 6 3 3 27 3 3" xfId="18766"/>
    <cellStyle name="표준 6 3 3 27 3 3 2" xfId="44118"/>
    <cellStyle name="표준 6 3 3 27 3 4" xfId="31446"/>
    <cellStyle name="표준 6 3 3 27 4" xfId="9268"/>
    <cellStyle name="표준 6 3 3 27 4 2" xfId="21942"/>
    <cellStyle name="표준 6 3 3 27 4 2 2" xfId="47294"/>
    <cellStyle name="표준 6 3 3 27 4 3" xfId="34622"/>
    <cellStyle name="표준 6 3 3 27 5" xfId="15606"/>
    <cellStyle name="표준 6 3 3 27 5 2" xfId="40958"/>
    <cellStyle name="표준 6 3 3 27 6" xfId="28286"/>
    <cellStyle name="표준 6 3 3 28" xfId="2933"/>
    <cellStyle name="표준 6 3 3 28 2" xfId="2934"/>
    <cellStyle name="표준 6 3 3 28 2 2" xfId="6093"/>
    <cellStyle name="표준 6 3 3 28 2 2 2" xfId="12429"/>
    <cellStyle name="표준 6 3 3 28 2 2 2 2" xfId="25103"/>
    <cellStyle name="표준 6 3 3 28 2 2 2 2 2" xfId="50455"/>
    <cellStyle name="표준 6 3 3 28 2 2 2 3" xfId="37783"/>
    <cellStyle name="표준 6 3 3 28 2 2 3" xfId="18767"/>
    <cellStyle name="표준 6 3 3 28 2 2 3 2" xfId="44119"/>
    <cellStyle name="표준 6 3 3 28 2 2 4" xfId="31447"/>
    <cellStyle name="표준 6 3 3 28 2 3" xfId="9271"/>
    <cellStyle name="표준 6 3 3 28 2 3 2" xfId="21945"/>
    <cellStyle name="표준 6 3 3 28 2 3 2 2" xfId="47297"/>
    <cellStyle name="표준 6 3 3 28 2 3 3" xfId="34625"/>
    <cellStyle name="표준 6 3 3 28 2 4" xfId="15609"/>
    <cellStyle name="표준 6 3 3 28 2 4 2" xfId="40961"/>
    <cellStyle name="표준 6 3 3 28 2 5" xfId="28289"/>
    <cellStyle name="표준 6 3 3 28 3" xfId="6094"/>
    <cellStyle name="표준 6 3 3 28 3 2" xfId="12430"/>
    <cellStyle name="표준 6 3 3 28 3 2 2" xfId="25104"/>
    <cellStyle name="표준 6 3 3 28 3 2 2 2" xfId="50456"/>
    <cellStyle name="표준 6 3 3 28 3 2 3" xfId="37784"/>
    <cellStyle name="표준 6 3 3 28 3 3" xfId="18768"/>
    <cellStyle name="표준 6 3 3 28 3 3 2" xfId="44120"/>
    <cellStyle name="표준 6 3 3 28 3 4" xfId="31448"/>
    <cellStyle name="표준 6 3 3 28 4" xfId="9270"/>
    <cellStyle name="표준 6 3 3 28 4 2" xfId="21944"/>
    <cellStyle name="표준 6 3 3 28 4 2 2" xfId="47296"/>
    <cellStyle name="표준 6 3 3 28 4 3" xfId="34624"/>
    <cellStyle name="표준 6 3 3 28 5" xfId="15608"/>
    <cellStyle name="표준 6 3 3 28 5 2" xfId="40960"/>
    <cellStyle name="표준 6 3 3 28 6" xfId="28288"/>
    <cellStyle name="표준 6 3 3 29" xfId="2935"/>
    <cellStyle name="표준 6 3 3 29 2" xfId="2936"/>
    <cellStyle name="표준 6 3 3 29 2 2" xfId="6095"/>
    <cellStyle name="표준 6 3 3 29 2 2 2" xfId="12431"/>
    <cellStyle name="표준 6 3 3 29 2 2 2 2" xfId="25105"/>
    <cellStyle name="표준 6 3 3 29 2 2 2 2 2" xfId="50457"/>
    <cellStyle name="표준 6 3 3 29 2 2 2 3" xfId="37785"/>
    <cellStyle name="표준 6 3 3 29 2 2 3" xfId="18769"/>
    <cellStyle name="표준 6 3 3 29 2 2 3 2" xfId="44121"/>
    <cellStyle name="표준 6 3 3 29 2 2 4" xfId="31449"/>
    <cellStyle name="표준 6 3 3 29 2 3" xfId="9273"/>
    <cellStyle name="표준 6 3 3 29 2 3 2" xfId="21947"/>
    <cellStyle name="표준 6 3 3 29 2 3 2 2" xfId="47299"/>
    <cellStyle name="표준 6 3 3 29 2 3 3" xfId="34627"/>
    <cellStyle name="표준 6 3 3 29 2 4" xfId="15611"/>
    <cellStyle name="표준 6 3 3 29 2 4 2" xfId="40963"/>
    <cellStyle name="표준 6 3 3 29 2 5" xfId="28291"/>
    <cellStyle name="표준 6 3 3 29 3" xfId="6096"/>
    <cellStyle name="표준 6 3 3 29 3 2" xfId="12432"/>
    <cellStyle name="표준 6 3 3 29 3 2 2" xfId="25106"/>
    <cellStyle name="표준 6 3 3 29 3 2 2 2" xfId="50458"/>
    <cellStyle name="표준 6 3 3 29 3 2 3" xfId="37786"/>
    <cellStyle name="표준 6 3 3 29 3 3" xfId="18770"/>
    <cellStyle name="표준 6 3 3 29 3 3 2" xfId="44122"/>
    <cellStyle name="표준 6 3 3 29 3 4" xfId="31450"/>
    <cellStyle name="표준 6 3 3 29 4" xfId="9272"/>
    <cellStyle name="표준 6 3 3 29 4 2" xfId="21946"/>
    <cellStyle name="표준 6 3 3 29 4 2 2" xfId="47298"/>
    <cellStyle name="표준 6 3 3 29 4 3" xfId="34626"/>
    <cellStyle name="표준 6 3 3 29 5" xfId="15610"/>
    <cellStyle name="표준 6 3 3 29 5 2" xfId="40962"/>
    <cellStyle name="표준 6 3 3 29 6" xfId="28290"/>
    <cellStyle name="표준 6 3 3 3" xfId="2937"/>
    <cellStyle name="표준 6 3 3 3 2" xfId="2938"/>
    <cellStyle name="표준 6 3 3 3 2 2" xfId="6097"/>
    <cellStyle name="표준 6 3 3 3 2 2 2" xfId="12433"/>
    <cellStyle name="표준 6 3 3 3 2 2 2 2" xfId="25107"/>
    <cellStyle name="표준 6 3 3 3 2 2 2 2 2" xfId="50459"/>
    <cellStyle name="표준 6 3 3 3 2 2 2 3" xfId="37787"/>
    <cellStyle name="표준 6 3 3 3 2 2 3" xfId="18771"/>
    <cellStyle name="표준 6 3 3 3 2 2 3 2" xfId="44123"/>
    <cellStyle name="표준 6 3 3 3 2 2 4" xfId="31451"/>
    <cellStyle name="표준 6 3 3 3 2 3" xfId="9275"/>
    <cellStyle name="표준 6 3 3 3 2 3 2" xfId="21949"/>
    <cellStyle name="표준 6 3 3 3 2 3 2 2" xfId="47301"/>
    <cellStyle name="표준 6 3 3 3 2 3 3" xfId="34629"/>
    <cellStyle name="표준 6 3 3 3 2 4" xfId="15613"/>
    <cellStyle name="표준 6 3 3 3 2 4 2" xfId="40965"/>
    <cellStyle name="표준 6 3 3 3 2 5" xfId="28293"/>
    <cellStyle name="표준 6 3 3 3 3" xfId="6098"/>
    <cellStyle name="표준 6 3 3 3 3 2" xfId="12434"/>
    <cellStyle name="표준 6 3 3 3 3 2 2" xfId="25108"/>
    <cellStyle name="표준 6 3 3 3 3 2 2 2" xfId="50460"/>
    <cellStyle name="표준 6 3 3 3 3 2 3" xfId="37788"/>
    <cellStyle name="표준 6 3 3 3 3 3" xfId="18772"/>
    <cellStyle name="표준 6 3 3 3 3 3 2" xfId="44124"/>
    <cellStyle name="표준 6 3 3 3 3 4" xfId="31452"/>
    <cellStyle name="표준 6 3 3 3 4" xfId="9274"/>
    <cellStyle name="표준 6 3 3 3 4 2" xfId="21948"/>
    <cellStyle name="표준 6 3 3 3 4 2 2" xfId="47300"/>
    <cellStyle name="표준 6 3 3 3 4 3" xfId="34628"/>
    <cellStyle name="표준 6 3 3 3 5" xfId="15612"/>
    <cellStyle name="표준 6 3 3 3 5 2" xfId="40964"/>
    <cellStyle name="표준 6 3 3 3 6" xfId="28292"/>
    <cellStyle name="표준 6 3 3 30" xfId="2939"/>
    <cellStyle name="표준 6 3 3 30 2" xfId="2940"/>
    <cellStyle name="표준 6 3 3 30 2 2" xfId="6099"/>
    <cellStyle name="표준 6 3 3 30 2 2 2" xfId="12435"/>
    <cellStyle name="표준 6 3 3 30 2 2 2 2" xfId="25109"/>
    <cellStyle name="표준 6 3 3 30 2 2 2 2 2" xfId="50461"/>
    <cellStyle name="표준 6 3 3 30 2 2 2 3" xfId="37789"/>
    <cellStyle name="표준 6 3 3 30 2 2 3" xfId="18773"/>
    <cellStyle name="표준 6 3 3 30 2 2 3 2" xfId="44125"/>
    <cellStyle name="표준 6 3 3 30 2 2 4" xfId="31453"/>
    <cellStyle name="표준 6 3 3 30 2 3" xfId="9277"/>
    <cellStyle name="표준 6 3 3 30 2 3 2" xfId="21951"/>
    <cellStyle name="표준 6 3 3 30 2 3 2 2" xfId="47303"/>
    <cellStyle name="표준 6 3 3 30 2 3 3" xfId="34631"/>
    <cellStyle name="표준 6 3 3 30 2 4" xfId="15615"/>
    <cellStyle name="표준 6 3 3 30 2 4 2" xfId="40967"/>
    <cellStyle name="표준 6 3 3 30 2 5" xfId="28295"/>
    <cellStyle name="표준 6 3 3 30 3" xfId="6100"/>
    <cellStyle name="표준 6 3 3 30 3 2" xfId="12436"/>
    <cellStyle name="표준 6 3 3 30 3 2 2" xfId="25110"/>
    <cellStyle name="표준 6 3 3 30 3 2 2 2" xfId="50462"/>
    <cellStyle name="표준 6 3 3 30 3 2 3" xfId="37790"/>
    <cellStyle name="표준 6 3 3 30 3 3" xfId="18774"/>
    <cellStyle name="표준 6 3 3 30 3 3 2" xfId="44126"/>
    <cellStyle name="표준 6 3 3 30 3 4" xfId="31454"/>
    <cellStyle name="표준 6 3 3 30 4" xfId="9276"/>
    <cellStyle name="표준 6 3 3 30 4 2" xfId="21950"/>
    <cellStyle name="표준 6 3 3 30 4 2 2" xfId="47302"/>
    <cellStyle name="표준 6 3 3 30 4 3" xfId="34630"/>
    <cellStyle name="표준 6 3 3 30 5" xfId="15614"/>
    <cellStyle name="표준 6 3 3 30 5 2" xfId="40966"/>
    <cellStyle name="표준 6 3 3 30 6" xfId="28294"/>
    <cellStyle name="표준 6 3 3 31" xfId="2941"/>
    <cellStyle name="표준 6 3 3 31 2" xfId="2942"/>
    <cellStyle name="표준 6 3 3 31 2 2" xfId="6101"/>
    <cellStyle name="표준 6 3 3 31 2 2 2" xfId="12437"/>
    <cellStyle name="표준 6 3 3 31 2 2 2 2" xfId="25111"/>
    <cellStyle name="표준 6 3 3 31 2 2 2 2 2" xfId="50463"/>
    <cellStyle name="표준 6 3 3 31 2 2 2 3" xfId="37791"/>
    <cellStyle name="표준 6 3 3 31 2 2 3" xfId="18775"/>
    <cellStyle name="표준 6 3 3 31 2 2 3 2" xfId="44127"/>
    <cellStyle name="표준 6 3 3 31 2 2 4" xfId="31455"/>
    <cellStyle name="표준 6 3 3 31 2 3" xfId="9279"/>
    <cellStyle name="표준 6 3 3 31 2 3 2" xfId="21953"/>
    <cellStyle name="표준 6 3 3 31 2 3 2 2" xfId="47305"/>
    <cellStyle name="표준 6 3 3 31 2 3 3" xfId="34633"/>
    <cellStyle name="표준 6 3 3 31 2 4" xfId="15617"/>
    <cellStyle name="표준 6 3 3 31 2 4 2" xfId="40969"/>
    <cellStyle name="표준 6 3 3 31 2 5" xfId="28297"/>
    <cellStyle name="표준 6 3 3 31 3" xfId="6102"/>
    <cellStyle name="표준 6 3 3 31 3 2" xfId="12438"/>
    <cellStyle name="표준 6 3 3 31 3 2 2" xfId="25112"/>
    <cellStyle name="표준 6 3 3 31 3 2 2 2" xfId="50464"/>
    <cellStyle name="표준 6 3 3 31 3 2 3" xfId="37792"/>
    <cellStyle name="표준 6 3 3 31 3 3" xfId="18776"/>
    <cellStyle name="표준 6 3 3 31 3 3 2" xfId="44128"/>
    <cellStyle name="표준 6 3 3 31 3 4" xfId="31456"/>
    <cellStyle name="표준 6 3 3 31 4" xfId="9278"/>
    <cellStyle name="표준 6 3 3 31 4 2" xfId="21952"/>
    <cellStyle name="표준 6 3 3 31 4 2 2" xfId="47304"/>
    <cellStyle name="표준 6 3 3 31 4 3" xfId="34632"/>
    <cellStyle name="표준 6 3 3 31 5" xfId="15616"/>
    <cellStyle name="표준 6 3 3 31 5 2" xfId="40968"/>
    <cellStyle name="표준 6 3 3 31 6" xfId="28296"/>
    <cellStyle name="표준 6 3 3 32" xfId="2943"/>
    <cellStyle name="표준 6 3 3 32 2" xfId="2944"/>
    <cellStyle name="표준 6 3 3 32 2 2" xfId="6103"/>
    <cellStyle name="표준 6 3 3 32 2 2 2" xfId="12439"/>
    <cellStyle name="표준 6 3 3 32 2 2 2 2" xfId="25113"/>
    <cellStyle name="표준 6 3 3 32 2 2 2 2 2" xfId="50465"/>
    <cellStyle name="표준 6 3 3 32 2 2 2 3" xfId="37793"/>
    <cellStyle name="표준 6 3 3 32 2 2 3" xfId="18777"/>
    <cellStyle name="표준 6 3 3 32 2 2 3 2" xfId="44129"/>
    <cellStyle name="표준 6 3 3 32 2 2 4" xfId="31457"/>
    <cellStyle name="표준 6 3 3 32 2 3" xfId="9281"/>
    <cellStyle name="표준 6 3 3 32 2 3 2" xfId="21955"/>
    <cellStyle name="표준 6 3 3 32 2 3 2 2" xfId="47307"/>
    <cellStyle name="표준 6 3 3 32 2 3 3" xfId="34635"/>
    <cellStyle name="표준 6 3 3 32 2 4" xfId="15619"/>
    <cellStyle name="표준 6 3 3 32 2 4 2" xfId="40971"/>
    <cellStyle name="표준 6 3 3 32 2 5" xfId="28299"/>
    <cellStyle name="표준 6 3 3 32 3" xfId="6104"/>
    <cellStyle name="표준 6 3 3 32 3 2" xfId="12440"/>
    <cellStyle name="표준 6 3 3 32 3 2 2" xfId="25114"/>
    <cellStyle name="표준 6 3 3 32 3 2 2 2" xfId="50466"/>
    <cellStyle name="표준 6 3 3 32 3 2 3" xfId="37794"/>
    <cellStyle name="표준 6 3 3 32 3 3" xfId="18778"/>
    <cellStyle name="표준 6 3 3 32 3 3 2" xfId="44130"/>
    <cellStyle name="표준 6 3 3 32 3 4" xfId="31458"/>
    <cellStyle name="표준 6 3 3 32 4" xfId="9280"/>
    <cellStyle name="표준 6 3 3 32 4 2" xfId="21954"/>
    <cellStyle name="표준 6 3 3 32 4 2 2" xfId="47306"/>
    <cellStyle name="표준 6 3 3 32 4 3" xfId="34634"/>
    <cellStyle name="표준 6 3 3 32 5" xfId="15618"/>
    <cellStyle name="표준 6 3 3 32 5 2" xfId="40970"/>
    <cellStyle name="표준 6 3 3 32 6" xfId="28298"/>
    <cellStyle name="표준 6 3 3 33" xfId="2945"/>
    <cellStyle name="표준 6 3 3 33 2" xfId="2946"/>
    <cellStyle name="표준 6 3 3 33 2 2" xfId="6105"/>
    <cellStyle name="표준 6 3 3 33 2 2 2" xfId="12441"/>
    <cellStyle name="표준 6 3 3 33 2 2 2 2" xfId="25115"/>
    <cellStyle name="표준 6 3 3 33 2 2 2 2 2" xfId="50467"/>
    <cellStyle name="표준 6 3 3 33 2 2 2 3" xfId="37795"/>
    <cellStyle name="표준 6 3 3 33 2 2 3" xfId="18779"/>
    <cellStyle name="표준 6 3 3 33 2 2 3 2" xfId="44131"/>
    <cellStyle name="표준 6 3 3 33 2 2 4" xfId="31459"/>
    <cellStyle name="표준 6 3 3 33 2 3" xfId="9283"/>
    <cellStyle name="표준 6 3 3 33 2 3 2" xfId="21957"/>
    <cellStyle name="표준 6 3 3 33 2 3 2 2" xfId="47309"/>
    <cellStyle name="표준 6 3 3 33 2 3 3" xfId="34637"/>
    <cellStyle name="표준 6 3 3 33 2 4" xfId="15621"/>
    <cellStyle name="표준 6 3 3 33 2 4 2" xfId="40973"/>
    <cellStyle name="표준 6 3 3 33 2 5" xfId="28301"/>
    <cellStyle name="표준 6 3 3 33 3" xfId="6106"/>
    <cellStyle name="표준 6 3 3 33 3 2" xfId="12442"/>
    <cellStyle name="표준 6 3 3 33 3 2 2" xfId="25116"/>
    <cellStyle name="표준 6 3 3 33 3 2 2 2" xfId="50468"/>
    <cellStyle name="표준 6 3 3 33 3 2 3" xfId="37796"/>
    <cellStyle name="표준 6 3 3 33 3 3" xfId="18780"/>
    <cellStyle name="표준 6 3 3 33 3 3 2" xfId="44132"/>
    <cellStyle name="표준 6 3 3 33 3 4" xfId="31460"/>
    <cellStyle name="표준 6 3 3 33 4" xfId="9282"/>
    <cellStyle name="표준 6 3 3 33 4 2" xfId="21956"/>
    <cellStyle name="표준 6 3 3 33 4 2 2" xfId="47308"/>
    <cellStyle name="표준 6 3 3 33 4 3" xfId="34636"/>
    <cellStyle name="표준 6 3 3 33 5" xfId="15620"/>
    <cellStyle name="표준 6 3 3 33 5 2" xfId="40972"/>
    <cellStyle name="표준 6 3 3 33 6" xfId="28300"/>
    <cellStyle name="표준 6 3 3 34" xfId="2947"/>
    <cellStyle name="표준 6 3 3 34 2" xfId="6107"/>
    <cellStyle name="표준 6 3 3 34 2 2" xfId="12443"/>
    <cellStyle name="표준 6 3 3 34 2 2 2" xfId="25117"/>
    <cellStyle name="표준 6 3 3 34 2 2 2 2" xfId="50469"/>
    <cellStyle name="표준 6 3 3 34 2 2 3" xfId="37797"/>
    <cellStyle name="표준 6 3 3 34 2 3" xfId="18781"/>
    <cellStyle name="표준 6 3 3 34 2 3 2" xfId="44133"/>
    <cellStyle name="표준 6 3 3 34 2 4" xfId="31461"/>
    <cellStyle name="표준 6 3 3 34 3" xfId="9284"/>
    <cellStyle name="표준 6 3 3 34 3 2" xfId="21958"/>
    <cellStyle name="표준 6 3 3 34 3 2 2" xfId="47310"/>
    <cellStyle name="표준 6 3 3 34 3 3" xfId="34638"/>
    <cellStyle name="표준 6 3 3 34 4" xfId="15622"/>
    <cellStyle name="표준 6 3 3 34 4 2" xfId="40974"/>
    <cellStyle name="표준 6 3 3 34 5" xfId="28302"/>
    <cellStyle name="표준 6 3 3 35" xfId="6108"/>
    <cellStyle name="표준 6 3 3 35 2" xfId="12444"/>
    <cellStyle name="표준 6 3 3 35 2 2" xfId="25118"/>
    <cellStyle name="표준 6 3 3 35 2 2 2" xfId="50470"/>
    <cellStyle name="표준 6 3 3 35 2 3" xfId="37798"/>
    <cellStyle name="표준 6 3 3 35 3" xfId="18782"/>
    <cellStyle name="표준 6 3 3 35 3 2" xfId="44134"/>
    <cellStyle name="표준 6 3 3 35 4" xfId="31462"/>
    <cellStyle name="표준 6 3 3 36" xfId="6437"/>
    <cellStyle name="표준 6 3 3 36 2" xfId="19111"/>
    <cellStyle name="표준 6 3 3 36 2 2" xfId="44463"/>
    <cellStyle name="표준 6 3 3 36 3" xfId="31791"/>
    <cellStyle name="표준 6 3 3 37" xfId="12775"/>
    <cellStyle name="표준 6 3 3 37 2" xfId="38127"/>
    <cellStyle name="표준 6 3 3 38" xfId="25455"/>
    <cellStyle name="표준 6 3 3 4" xfId="2948"/>
    <cellStyle name="표준 6 3 3 4 2" xfId="2949"/>
    <cellStyle name="표준 6 3 3 4 2 2" xfId="6109"/>
    <cellStyle name="표준 6 3 3 4 2 2 2" xfId="12445"/>
    <cellStyle name="표준 6 3 3 4 2 2 2 2" xfId="25119"/>
    <cellStyle name="표준 6 3 3 4 2 2 2 2 2" xfId="50471"/>
    <cellStyle name="표준 6 3 3 4 2 2 2 3" xfId="37799"/>
    <cellStyle name="표준 6 3 3 4 2 2 3" xfId="18783"/>
    <cellStyle name="표준 6 3 3 4 2 2 3 2" xfId="44135"/>
    <cellStyle name="표준 6 3 3 4 2 2 4" xfId="31463"/>
    <cellStyle name="표준 6 3 3 4 2 3" xfId="9286"/>
    <cellStyle name="표준 6 3 3 4 2 3 2" xfId="21960"/>
    <cellStyle name="표준 6 3 3 4 2 3 2 2" xfId="47312"/>
    <cellStyle name="표준 6 3 3 4 2 3 3" xfId="34640"/>
    <cellStyle name="표준 6 3 3 4 2 4" xfId="15624"/>
    <cellStyle name="표준 6 3 3 4 2 4 2" xfId="40976"/>
    <cellStyle name="표준 6 3 3 4 2 5" xfId="28304"/>
    <cellStyle name="표준 6 3 3 4 3" xfId="6110"/>
    <cellStyle name="표준 6 3 3 4 3 2" xfId="12446"/>
    <cellStyle name="표준 6 3 3 4 3 2 2" xfId="25120"/>
    <cellStyle name="표준 6 3 3 4 3 2 2 2" xfId="50472"/>
    <cellStyle name="표준 6 3 3 4 3 2 3" xfId="37800"/>
    <cellStyle name="표준 6 3 3 4 3 3" xfId="18784"/>
    <cellStyle name="표준 6 3 3 4 3 3 2" xfId="44136"/>
    <cellStyle name="표준 6 3 3 4 3 4" xfId="31464"/>
    <cellStyle name="표준 6 3 3 4 4" xfId="9285"/>
    <cellStyle name="표준 6 3 3 4 4 2" xfId="21959"/>
    <cellStyle name="표준 6 3 3 4 4 2 2" xfId="47311"/>
    <cellStyle name="표준 6 3 3 4 4 3" xfId="34639"/>
    <cellStyle name="표준 6 3 3 4 5" xfId="15623"/>
    <cellStyle name="표준 6 3 3 4 5 2" xfId="40975"/>
    <cellStyle name="표준 6 3 3 4 6" xfId="28303"/>
    <cellStyle name="표준 6 3 3 5" xfId="2950"/>
    <cellStyle name="표준 6 3 3 5 2" xfId="2951"/>
    <cellStyle name="표준 6 3 3 5 2 2" xfId="6111"/>
    <cellStyle name="표준 6 3 3 5 2 2 2" xfId="12447"/>
    <cellStyle name="표준 6 3 3 5 2 2 2 2" xfId="25121"/>
    <cellStyle name="표준 6 3 3 5 2 2 2 2 2" xfId="50473"/>
    <cellStyle name="표준 6 3 3 5 2 2 2 3" xfId="37801"/>
    <cellStyle name="표준 6 3 3 5 2 2 3" xfId="18785"/>
    <cellStyle name="표준 6 3 3 5 2 2 3 2" xfId="44137"/>
    <cellStyle name="표준 6 3 3 5 2 2 4" xfId="31465"/>
    <cellStyle name="표준 6 3 3 5 2 3" xfId="9288"/>
    <cellStyle name="표준 6 3 3 5 2 3 2" xfId="21962"/>
    <cellStyle name="표준 6 3 3 5 2 3 2 2" xfId="47314"/>
    <cellStyle name="표준 6 3 3 5 2 3 3" xfId="34642"/>
    <cellStyle name="표준 6 3 3 5 2 4" xfId="15626"/>
    <cellStyle name="표준 6 3 3 5 2 4 2" xfId="40978"/>
    <cellStyle name="표준 6 3 3 5 2 5" xfId="28306"/>
    <cellStyle name="표준 6 3 3 5 3" xfId="6112"/>
    <cellStyle name="표준 6 3 3 5 3 2" xfId="12448"/>
    <cellStyle name="표준 6 3 3 5 3 2 2" xfId="25122"/>
    <cellStyle name="표준 6 3 3 5 3 2 2 2" xfId="50474"/>
    <cellStyle name="표준 6 3 3 5 3 2 3" xfId="37802"/>
    <cellStyle name="표준 6 3 3 5 3 3" xfId="18786"/>
    <cellStyle name="표준 6 3 3 5 3 3 2" xfId="44138"/>
    <cellStyle name="표준 6 3 3 5 3 4" xfId="31466"/>
    <cellStyle name="표준 6 3 3 5 4" xfId="9287"/>
    <cellStyle name="표준 6 3 3 5 4 2" xfId="21961"/>
    <cellStyle name="표준 6 3 3 5 4 2 2" xfId="47313"/>
    <cellStyle name="표준 6 3 3 5 4 3" xfId="34641"/>
    <cellStyle name="표준 6 3 3 5 5" xfId="15625"/>
    <cellStyle name="표준 6 3 3 5 5 2" xfId="40977"/>
    <cellStyle name="표준 6 3 3 5 6" xfId="28305"/>
    <cellStyle name="표준 6 3 3 6" xfId="2952"/>
    <cellStyle name="표준 6 3 3 6 2" xfId="2953"/>
    <cellStyle name="표준 6 3 3 6 2 2" xfId="6113"/>
    <cellStyle name="표준 6 3 3 6 2 2 2" xfId="12449"/>
    <cellStyle name="표준 6 3 3 6 2 2 2 2" xfId="25123"/>
    <cellStyle name="표준 6 3 3 6 2 2 2 2 2" xfId="50475"/>
    <cellStyle name="표준 6 3 3 6 2 2 2 3" xfId="37803"/>
    <cellStyle name="표준 6 3 3 6 2 2 3" xfId="18787"/>
    <cellStyle name="표준 6 3 3 6 2 2 3 2" xfId="44139"/>
    <cellStyle name="표준 6 3 3 6 2 2 4" xfId="31467"/>
    <cellStyle name="표준 6 3 3 6 2 3" xfId="9290"/>
    <cellStyle name="표준 6 3 3 6 2 3 2" xfId="21964"/>
    <cellStyle name="표준 6 3 3 6 2 3 2 2" xfId="47316"/>
    <cellStyle name="표준 6 3 3 6 2 3 3" xfId="34644"/>
    <cellStyle name="표준 6 3 3 6 2 4" xfId="15628"/>
    <cellStyle name="표준 6 3 3 6 2 4 2" xfId="40980"/>
    <cellStyle name="표준 6 3 3 6 2 5" xfId="28308"/>
    <cellStyle name="표준 6 3 3 6 3" xfId="6114"/>
    <cellStyle name="표준 6 3 3 6 3 2" xfId="12450"/>
    <cellStyle name="표준 6 3 3 6 3 2 2" xfId="25124"/>
    <cellStyle name="표준 6 3 3 6 3 2 2 2" xfId="50476"/>
    <cellStyle name="표준 6 3 3 6 3 2 3" xfId="37804"/>
    <cellStyle name="표준 6 3 3 6 3 3" xfId="18788"/>
    <cellStyle name="표준 6 3 3 6 3 3 2" xfId="44140"/>
    <cellStyle name="표준 6 3 3 6 3 4" xfId="31468"/>
    <cellStyle name="표준 6 3 3 6 4" xfId="9289"/>
    <cellStyle name="표준 6 3 3 6 4 2" xfId="21963"/>
    <cellStyle name="표준 6 3 3 6 4 2 2" xfId="47315"/>
    <cellStyle name="표준 6 3 3 6 4 3" xfId="34643"/>
    <cellStyle name="표준 6 3 3 6 5" xfId="15627"/>
    <cellStyle name="표준 6 3 3 6 5 2" xfId="40979"/>
    <cellStyle name="표준 6 3 3 6 6" xfId="28307"/>
    <cellStyle name="표준 6 3 3 7" xfId="2954"/>
    <cellStyle name="표준 6 3 3 7 2" xfId="2955"/>
    <cellStyle name="표준 6 3 3 7 2 2" xfId="6115"/>
    <cellStyle name="표준 6 3 3 7 2 2 2" xfId="12451"/>
    <cellStyle name="표준 6 3 3 7 2 2 2 2" xfId="25125"/>
    <cellStyle name="표준 6 3 3 7 2 2 2 2 2" xfId="50477"/>
    <cellStyle name="표준 6 3 3 7 2 2 2 3" xfId="37805"/>
    <cellStyle name="표준 6 3 3 7 2 2 3" xfId="18789"/>
    <cellStyle name="표준 6 3 3 7 2 2 3 2" xfId="44141"/>
    <cellStyle name="표준 6 3 3 7 2 2 4" xfId="31469"/>
    <cellStyle name="표준 6 3 3 7 2 3" xfId="9292"/>
    <cellStyle name="표준 6 3 3 7 2 3 2" xfId="21966"/>
    <cellStyle name="표준 6 3 3 7 2 3 2 2" xfId="47318"/>
    <cellStyle name="표준 6 3 3 7 2 3 3" xfId="34646"/>
    <cellStyle name="표준 6 3 3 7 2 4" xfId="15630"/>
    <cellStyle name="표준 6 3 3 7 2 4 2" xfId="40982"/>
    <cellStyle name="표준 6 3 3 7 2 5" xfId="28310"/>
    <cellStyle name="표준 6 3 3 7 3" xfId="6116"/>
    <cellStyle name="표준 6 3 3 7 3 2" xfId="12452"/>
    <cellStyle name="표준 6 3 3 7 3 2 2" xfId="25126"/>
    <cellStyle name="표준 6 3 3 7 3 2 2 2" xfId="50478"/>
    <cellStyle name="표준 6 3 3 7 3 2 3" xfId="37806"/>
    <cellStyle name="표준 6 3 3 7 3 3" xfId="18790"/>
    <cellStyle name="표준 6 3 3 7 3 3 2" xfId="44142"/>
    <cellStyle name="표준 6 3 3 7 3 4" xfId="31470"/>
    <cellStyle name="표준 6 3 3 7 4" xfId="9291"/>
    <cellStyle name="표준 6 3 3 7 4 2" xfId="21965"/>
    <cellStyle name="표준 6 3 3 7 4 2 2" xfId="47317"/>
    <cellStyle name="표준 6 3 3 7 4 3" xfId="34645"/>
    <cellStyle name="표준 6 3 3 7 5" xfId="15629"/>
    <cellStyle name="표준 6 3 3 7 5 2" xfId="40981"/>
    <cellStyle name="표준 6 3 3 7 6" xfId="28309"/>
    <cellStyle name="표준 6 3 3 8" xfId="2956"/>
    <cellStyle name="표준 6 3 3 8 2" xfId="2957"/>
    <cellStyle name="표준 6 3 3 8 2 2" xfId="6117"/>
    <cellStyle name="표준 6 3 3 8 2 2 2" xfId="12453"/>
    <cellStyle name="표준 6 3 3 8 2 2 2 2" xfId="25127"/>
    <cellStyle name="표준 6 3 3 8 2 2 2 2 2" xfId="50479"/>
    <cellStyle name="표준 6 3 3 8 2 2 2 3" xfId="37807"/>
    <cellStyle name="표준 6 3 3 8 2 2 3" xfId="18791"/>
    <cellStyle name="표준 6 3 3 8 2 2 3 2" xfId="44143"/>
    <cellStyle name="표준 6 3 3 8 2 2 4" xfId="31471"/>
    <cellStyle name="표준 6 3 3 8 2 3" xfId="9294"/>
    <cellStyle name="표준 6 3 3 8 2 3 2" xfId="21968"/>
    <cellStyle name="표준 6 3 3 8 2 3 2 2" xfId="47320"/>
    <cellStyle name="표준 6 3 3 8 2 3 3" xfId="34648"/>
    <cellStyle name="표준 6 3 3 8 2 4" xfId="15632"/>
    <cellStyle name="표준 6 3 3 8 2 4 2" xfId="40984"/>
    <cellStyle name="표준 6 3 3 8 2 5" xfId="28312"/>
    <cellStyle name="표준 6 3 3 8 3" xfId="6118"/>
    <cellStyle name="표준 6 3 3 8 3 2" xfId="12454"/>
    <cellStyle name="표준 6 3 3 8 3 2 2" xfId="25128"/>
    <cellStyle name="표준 6 3 3 8 3 2 2 2" xfId="50480"/>
    <cellStyle name="표준 6 3 3 8 3 2 3" xfId="37808"/>
    <cellStyle name="표준 6 3 3 8 3 3" xfId="18792"/>
    <cellStyle name="표준 6 3 3 8 3 3 2" xfId="44144"/>
    <cellStyle name="표준 6 3 3 8 3 4" xfId="31472"/>
    <cellStyle name="표준 6 3 3 8 4" xfId="9293"/>
    <cellStyle name="표준 6 3 3 8 4 2" xfId="21967"/>
    <cellStyle name="표준 6 3 3 8 4 2 2" xfId="47319"/>
    <cellStyle name="표준 6 3 3 8 4 3" xfId="34647"/>
    <cellStyle name="표준 6 3 3 8 5" xfId="15631"/>
    <cellStyle name="표준 6 3 3 8 5 2" xfId="40983"/>
    <cellStyle name="표준 6 3 3 8 6" xfId="28311"/>
    <cellStyle name="표준 6 3 3 9" xfId="2958"/>
    <cellStyle name="표준 6 3 3 9 2" xfId="2959"/>
    <cellStyle name="표준 6 3 3 9 2 2" xfId="6119"/>
    <cellStyle name="표준 6 3 3 9 2 2 2" xfId="12455"/>
    <cellStyle name="표준 6 3 3 9 2 2 2 2" xfId="25129"/>
    <cellStyle name="표준 6 3 3 9 2 2 2 2 2" xfId="50481"/>
    <cellStyle name="표준 6 3 3 9 2 2 2 3" xfId="37809"/>
    <cellStyle name="표준 6 3 3 9 2 2 3" xfId="18793"/>
    <cellStyle name="표준 6 3 3 9 2 2 3 2" xfId="44145"/>
    <cellStyle name="표준 6 3 3 9 2 2 4" xfId="31473"/>
    <cellStyle name="표준 6 3 3 9 2 3" xfId="9296"/>
    <cellStyle name="표준 6 3 3 9 2 3 2" xfId="21970"/>
    <cellStyle name="표준 6 3 3 9 2 3 2 2" xfId="47322"/>
    <cellStyle name="표준 6 3 3 9 2 3 3" xfId="34650"/>
    <cellStyle name="표준 6 3 3 9 2 4" xfId="15634"/>
    <cellStyle name="표준 6 3 3 9 2 4 2" xfId="40986"/>
    <cellStyle name="표준 6 3 3 9 2 5" xfId="28314"/>
    <cellStyle name="표준 6 3 3 9 3" xfId="6120"/>
    <cellStyle name="표준 6 3 3 9 3 2" xfId="12456"/>
    <cellStyle name="표준 6 3 3 9 3 2 2" xfId="25130"/>
    <cellStyle name="표준 6 3 3 9 3 2 2 2" xfId="50482"/>
    <cellStyle name="표준 6 3 3 9 3 2 3" xfId="37810"/>
    <cellStyle name="표준 6 3 3 9 3 3" xfId="18794"/>
    <cellStyle name="표준 6 3 3 9 3 3 2" xfId="44146"/>
    <cellStyle name="표준 6 3 3 9 3 4" xfId="31474"/>
    <cellStyle name="표준 6 3 3 9 4" xfId="9295"/>
    <cellStyle name="표준 6 3 3 9 4 2" xfId="21969"/>
    <cellStyle name="표준 6 3 3 9 4 2 2" xfId="47321"/>
    <cellStyle name="표준 6 3 3 9 4 3" xfId="34649"/>
    <cellStyle name="표준 6 3 3 9 5" xfId="15633"/>
    <cellStyle name="표준 6 3 3 9 5 2" xfId="40985"/>
    <cellStyle name="표준 6 3 3 9 6" xfId="28313"/>
    <cellStyle name="표준 6 3 30" xfId="2960"/>
    <cellStyle name="표준 6 3 30 2" xfId="2961"/>
    <cellStyle name="표준 6 3 30 2 2" xfId="6121"/>
    <cellStyle name="표준 6 3 30 2 2 2" xfId="12457"/>
    <cellStyle name="표준 6 3 30 2 2 2 2" xfId="25131"/>
    <cellStyle name="표준 6 3 30 2 2 2 2 2" xfId="50483"/>
    <cellStyle name="표준 6 3 30 2 2 2 3" xfId="37811"/>
    <cellStyle name="표준 6 3 30 2 2 3" xfId="18795"/>
    <cellStyle name="표준 6 3 30 2 2 3 2" xfId="44147"/>
    <cellStyle name="표준 6 3 30 2 2 4" xfId="31475"/>
    <cellStyle name="표준 6 3 30 2 3" xfId="9298"/>
    <cellStyle name="표준 6 3 30 2 3 2" xfId="21972"/>
    <cellStyle name="표준 6 3 30 2 3 2 2" xfId="47324"/>
    <cellStyle name="표준 6 3 30 2 3 3" xfId="34652"/>
    <cellStyle name="표준 6 3 30 2 4" xfId="15636"/>
    <cellStyle name="표준 6 3 30 2 4 2" xfId="40988"/>
    <cellStyle name="표준 6 3 30 2 5" xfId="28316"/>
    <cellStyle name="표준 6 3 30 3" xfId="6122"/>
    <cellStyle name="표준 6 3 30 3 2" xfId="12458"/>
    <cellStyle name="표준 6 3 30 3 2 2" xfId="25132"/>
    <cellStyle name="표준 6 3 30 3 2 2 2" xfId="50484"/>
    <cellStyle name="표준 6 3 30 3 2 3" xfId="37812"/>
    <cellStyle name="표준 6 3 30 3 3" xfId="18796"/>
    <cellStyle name="표준 6 3 30 3 3 2" xfId="44148"/>
    <cellStyle name="표준 6 3 30 3 4" xfId="31476"/>
    <cellStyle name="표준 6 3 30 4" xfId="9297"/>
    <cellStyle name="표준 6 3 30 4 2" xfId="21971"/>
    <cellStyle name="표준 6 3 30 4 2 2" xfId="47323"/>
    <cellStyle name="표준 6 3 30 4 3" xfId="34651"/>
    <cellStyle name="표준 6 3 30 5" xfId="15635"/>
    <cellStyle name="표준 6 3 30 5 2" xfId="40987"/>
    <cellStyle name="표준 6 3 30 6" xfId="28315"/>
    <cellStyle name="표준 6 3 31" xfId="2962"/>
    <cellStyle name="표준 6 3 31 2" xfId="2963"/>
    <cellStyle name="표준 6 3 31 2 2" xfId="6123"/>
    <cellStyle name="표준 6 3 31 2 2 2" xfId="12459"/>
    <cellStyle name="표준 6 3 31 2 2 2 2" xfId="25133"/>
    <cellStyle name="표준 6 3 31 2 2 2 2 2" xfId="50485"/>
    <cellStyle name="표준 6 3 31 2 2 2 3" xfId="37813"/>
    <cellStyle name="표준 6 3 31 2 2 3" xfId="18797"/>
    <cellStyle name="표준 6 3 31 2 2 3 2" xfId="44149"/>
    <cellStyle name="표준 6 3 31 2 2 4" xfId="31477"/>
    <cellStyle name="표준 6 3 31 2 3" xfId="9300"/>
    <cellStyle name="표준 6 3 31 2 3 2" xfId="21974"/>
    <cellStyle name="표준 6 3 31 2 3 2 2" xfId="47326"/>
    <cellStyle name="표준 6 3 31 2 3 3" xfId="34654"/>
    <cellStyle name="표준 6 3 31 2 4" xfId="15638"/>
    <cellStyle name="표준 6 3 31 2 4 2" xfId="40990"/>
    <cellStyle name="표준 6 3 31 2 5" xfId="28318"/>
    <cellStyle name="표준 6 3 31 3" xfId="6124"/>
    <cellStyle name="표준 6 3 31 3 2" xfId="12460"/>
    <cellStyle name="표준 6 3 31 3 2 2" xfId="25134"/>
    <cellStyle name="표준 6 3 31 3 2 2 2" xfId="50486"/>
    <cellStyle name="표준 6 3 31 3 2 3" xfId="37814"/>
    <cellStyle name="표준 6 3 31 3 3" xfId="18798"/>
    <cellStyle name="표준 6 3 31 3 3 2" xfId="44150"/>
    <cellStyle name="표준 6 3 31 3 4" xfId="31478"/>
    <cellStyle name="표준 6 3 31 4" xfId="9299"/>
    <cellStyle name="표준 6 3 31 4 2" xfId="21973"/>
    <cellStyle name="표준 6 3 31 4 2 2" xfId="47325"/>
    <cellStyle name="표준 6 3 31 4 3" xfId="34653"/>
    <cellStyle name="표준 6 3 31 5" xfId="15637"/>
    <cellStyle name="표준 6 3 31 5 2" xfId="40989"/>
    <cellStyle name="표준 6 3 31 6" xfId="28317"/>
    <cellStyle name="표준 6 3 32" xfId="2964"/>
    <cellStyle name="표준 6 3 32 2" xfId="2965"/>
    <cellStyle name="표준 6 3 32 2 2" xfId="6125"/>
    <cellStyle name="표준 6 3 32 2 2 2" xfId="12461"/>
    <cellStyle name="표준 6 3 32 2 2 2 2" xfId="25135"/>
    <cellStyle name="표준 6 3 32 2 2 2 2 2" xfId="50487"/>
    <cellStyle name="표준 6 3 32 2 2 2 3" xfId="37815"/>
    <cellStyle name="표준 6 3 32 2 2 3" xfId="18799"/>
    <cellStyle name="표준 6 3 32 2 2 3 2" xfId="44151"/>
    <cellStyle name="표준 6 3 32 2 2 4" xfId="31479"/>
    <cellStyle name="표준 6 3 32 2 3" xfId="9302"/>
    <cellStyle name="표준 6 3 32 2 3 2" xfId="21976"/>
    <cellStyle name="표준 6 3 32 2 3 2 2" xfId="47328"/>
    <cellStyle name="표준 6 3 32 2 3 3" xfId="34656"/>
    <cellStyle name="표준 6 3 32 2 4" xfId="15640"/>
    <cellStyle name="표준 6 3 32 2 4 2" xfId="40992"/>
    <cellStyle name="표준 6 3 32 2 5" xfId="28320"/>
    <cellStyle name="표준 6 3 32 3" xfId="6126"/>
    <cellStyle name="표준 6 3 32 3 2" xfId="12462"/>
    <cellStyle name="표준 6 3 32 3 2 2" xfId="25136"/>
    <cellStyle name="표준 6 3 32 3 2 2 2" xfId="50488"/>
    <cellStyle name="표준 6 3 32 3 2 3" xfId="37816"/>
    <cellStyle name="표준 6 3 32 3 3" xfId="18800"/>
    <cellStyle name="표준 6 3 32 3 3 2" xfId="44152"/>
    <cellStyle name="표준 6 3 32 3 4" xfId="31480"/>
    <cellStyle name="표준 6 3 32 4" xfId="9301"/>
    <cellStyle name="표준 6 3 32 4 2" xfId="21975"/>
    <cellStyle name="표준 6 3 32 4 2 2" xfId="47327"/>
    <cellStyle name="표준 6 3 32 4 3" xfId="34655"/>
    <cellStyle name="표준 6 3 32 5" xfId="15639"/>
    <cellStyle name="표준 6 3 32 5 2" xfId="40991"/>
    <cellStyle name="표준 6 3 32 6" xfId="28319"/>
    <cellStyle name="표준 6 3 33" xfId="2966"/>
    <cellStyle name="표준 6 3 33 2" xfId="2967"/>
    <cellStyle name="표준 6 3 33 2 2" xfId="6127"/>
    <cellStyle name="표준 6 3 33 2 2 2" xfId="12463"/>
    <cellStyle name="표준 6 3 33 2 2 2 2" xfId="25137"/>
    <cellStyle name="표준 6 3 33 2 2 2 2 2" xfId="50489"/>
    <cellStyle name="표준 6 3 33 2 2 2 3" xfId="37817"/>
    <cellStyle name="표준 6 3 33 2 2 3" xfId="18801"/>
    <cellStyle name="표준 6 3 33 2 2 3 2" xfId="44153"/>
    <cellStyle name="표준 6 3 33 2 2 4" xfId="31481"/>
    <cellStyle name="표준 6 3 33 2 3" xfId="9304"/>
    <cellStyle name="표준 6 3 33 2 3 2" xfId="21978"/>
    <cellStyle name="표준 6 3 33 2 3 2 2" xfId="47330"/>
    <cellStyle name="표준 6 3 33 2 3 3" xfId="34658"/>
    <cellStyle name="표준 6 3 33 2 4" xfId="15642"/>
    <cellStyle name="표준 6 3 33 2 4 2" xfId="40994"/>
    <cellStyle name="표준 6 3 33 2 5" xfId="28322"/>
    <cellStyle name="표준 6 3 33 3" xfId="6128"/>
    <cellStyle name="표준 6 3 33 3 2" xfId="12464"/>
    <cellStyle name="표준 6 3 33 3 2 2" xfId="25138"/>
    <cellStyle name="표준 6 3 33 3 2 2 2" xfId="50490"/>
    <cellStyle name="표준 6 3 33 3 2 3" xfId="37818"/>
    <cellStyle name="표준 6 3 33 3 3" xfId="18802"/>
    <cellStyle name="표준 6 3 33 3 3 2" xfId="44154"/>
    <cellStyle name="표준 6 3 33 3 4" xfId="31482"/>
    <cellStyle name="표준 6 3 33 4" xfId="9303"/>
    <cellStyle name="표준 6 3 33 4 2" xfId="21977"/>
    <cellStyle name="표준 6 3 33 4 2 2" xfId="47329"/>
    <cellStyle name="표준 6 3 33 4 3" xfId="34657"/>
    <cellStyle name="표준 6 3 33 5" xfId="15641"/>
    <cellStyle name="표준 6 3 33 5 2" xfId="40993"/>
    <cellStyle name="표준 6 3 33 6" xfId="28321"/>
    <cellStyle name="표준 6 3 34" xfId="2968"/>
    <cellStyle name="표준 6 3 34 2" xfId="2969"/>
    <cellStyle name="표준 6 3 34 2 2" xfId="6129"/>
    <cellStyle name="표준 6 3 34 2 2 2" xfId="12465"/>
    <cellStyle name="표준 6 3 34 2 2 2 2" xfId="25139"/>
    <cellStyle name="표준 6 3 34 2 2 2 2 2" xfId="50491"/>
    <cellStyle name="표준 6 3 34 2 2 2 3" xfId="37819"/>
    <cellStyle name="표준 6 3 34 2 2 3" xfId="18803"/>
    <cellStyle name="표준 6 3 34 2 2 3 2" xfId="44155"/>
    <cellStyle name="표준 6 3 34 2 2 4" xfId="31483"/>
    <cellStyle name="표준 6 3 34 2 3" xfId="9306"/>
    <cellStyle name="표준 6 3 34 2 3 2" xfId="21980"/>
    <cellStyle name="표준 6 3 34 2 3 2 2" xfId="47332"/>
    <cellStyle name="표준 6 3 34 2 3 3" xfId="34660"/>
    <cellStyle name="표준 6 3 34 2 4" xfId="15644"/>
    <cellStyle name="표준 6 3 34 2 4 2" xfId="40996"/>
    <cellStyle name="표준 6 3 34 2 5" xfId="28324"/>
    <cellStyle name="표준 6 3 34 3" xfId="6130"/>
    <cellStyle name="표준 6 3 34 3 2" xfId="12466"/>
    <cellStyle name="표준 6 3 34 3 2 2" xfId="25140"/>
    <cellStyle name="표준 6 3 34 3 2 2 2" xfId="50492"/>
    <cellStyle name="표준 6 3 34 3 2 3" xfId="37820"/>
    <cellStyle name="표준 6 3 34 3 3" xfId="18804"/>
    <cellStyle name="표준 6 3 34 3 3 2" xfId="44156"/>
    <cellStyle name="표준 6 3 34 3 4" xfId="31484"/>
    <cellStyle name="표준 6 3 34 4" xfId="9305"/>
    <cellStyle name="표준 6 3 34 4 2" xfId="21979"/>
    <cellStyle name="표준 6 3 34 4 2 2" xfId="47331"/>
    <cellStyle name="표준 6 3 34 4 3" xfId="34659"/>
    <cellStyle name="표준 6 3 34 5" xfId="15643"/>
    <cellStyle name="표준 6 3 34 5 2" xfId="40995"/>
    <cellStyle name="표준 6 3 34 6" xfId="28323"/>
    <cellStyle name="표준 6 3 35" xfId="2970"/>
    <cellStyle name="표준 6 3 35 2" xfId="2971"/>
    <cellStyle name="표준 6 3 35 2 2" xfId="6131"/>
    <cellStyle name="표준 6 3 35 2 2 2" xfId="12467"/>
    <cellStyle name="표준 6 3 35 2 2 2 2" xfId="25141"/>
    <cellStyle name="표준 6 3 35 2 2 2 2 2" xfId="50493"/>
    <cellStyle name="표준 6 3 35 2 2 2 3" xfId="37821"/>
    <cellStyle name="표준 6 3 35 2 2 3" xfId="18805"/>
    <cellStyle name="표준 6 3 35 2 2 3 2" xfId="44157"/>
    <cellStyle name="표준 6 3 35 2 2 4" xfId="31485"/>
    <cellStyle name="표준 6 3 35 2 3" xfId="9308"/>
    <cellStyle name="표준 6 3 35 2 3 2" xfId="21982"/>
    <cellStyle name="표준 6 3 35 2 3 2 2" xfId="47334"/>
    <cellStyle name="표준 6 3 35 2 3 3" xfId="34662"/>
    <cellStyle name="표준 6 3 35 2 4" xfId="15646"/>
    <cellStyle name="표준 6 3 35 2 4 2" xfId="40998"/>
    <cellStyle name="표준 6 3 35 2 5" xfId="28326"/>
    <cellStyle name="표준 6 3 35 3" xfId="6132"/>
    <cellStyle name="표준 6 3 35 3 2" xfId="12468"/>
    <cellStyle name="표준 6 3 35 3 2 2" xfId="25142"/>
    <cellStyle name="표준 6 3 35 3 2 2 2" xfId="50494"/>
    <cellStyle name="표준 6 3 35 3 2 3" xfId="37822"/>
    <cellStyle name="표준 6 3 35 3 3" xfId="18806"/>
    <cellStyle name="표준 6 3 35 3 3 2" xfId="44158"/>
    <cellStyle name="표준 6 3 35 3 4" xfId="31486"/>
    <cellStyle name="표준 6 3 35 4" xfId="9307"/>
    <cellStyle name="표준 6 3 35 4 2" xfId="21981"/>
    <cellStyle name="표준 6 3 35 4 2 2" xfId="47333"/>
    <cellStyle name="표준 6 3 35 4 3" xfId="34661"/>
    <cellStyle name="표준 6 3 35 5" xfId="15645"/>
    <cellStyle name="표준 6 3 35 5 2" xfId="40997"/>
    <cellStyle name="표준 6 3 35 6" xfId="28325"/>
    <cellStyle name="표준 6 3 36" xfId="2972"/>
    <cellStyle name="표준 6 3 36 2" xfId="6133"/>
    <cellStyle name="표준 6 3 36 2 2" xfId="12469"/>
    <cellStyle name="표준 6 3 36 2 2 2" xfId="25143"/>
    <cellStyle name="표준 6 3 36 2 2 2 2" xfId="50495"/>
    <cellStyle name="표준 6 3 36 2 2 3" xfId="37823"/>
    <cellStyle name="표준 6 3 36 2 3" xfId="18807"/>
    <cellStyle name="표준 6 3 36 2 3 2" xfId="44159"/>
    <cellStyle name="표준 6 3 36 2 4" xfId="31487"/>
    <cellStyle name="표준 6 3 36 3" xfId="9309"/>
    <cellStyle name="표준 6 3 36 3 2" xfId="21983"/>
    <cellStyle name="표준 6 3 36 3 2 2" xfId="47335"/>
    <cellStyle name="표준 6 3 36 3 3" xfId="34663"/>
    <cellStyle name="표준 6 3 36 4" xfId="15647"/>
    <cellStyle name="표준 6 3 36 4 2" xfId="40999"/>
    <cellStyle name="표준 6 3 36 5" xfId="28327"/>
    <cellStyle name="표준 6 3 37" xfId="6134"/>
    <cellStyle name="표준 6 3 37 2" xfId="12470"/>
    <cellStyle name="표준 6 3 37 2 2" xfId="25144"/>
    <cellStyle name="표준 6 3 37 2 2 2" xfId="50496"/>
    <cellStyle name="표준 6 3 37 2 3" xfId="37824"/>
    <cellStyle name="표준 6 3 37 3" xfId="18808"/>
    <cellStyle name="표준 6 3 37 3 2" xfId="44160"/>
    <cellStyle name="표준 6 3 37 4" xfId="31488"/>
    <cellStyle name="표준 6 3 38" xfId="6378"/>
    <cellStyle name="표준 6 3 38 2" xfId="19052"/>
    <cellStyle name="표준 6 3 38 2 2" xfId="44404"/>
    <cellStyle name="표준 6 3 38 3" xfId="31732"/>
    <cellStyle name="표준 6 3 39" xfId="12716"/>
    <cellStyle name="표준 6 3 39 2" xfId="38068"/>
    <cellStyle name="표준 6 3 4" xfId="100"/>
    <cellStyle name="표준 6 3 4 2" xfId="2973"/>
    <cellStyle name="표준 6 3 4 2 2" xfId="6135"/>
    <cellStyle name="표준 6 3 4 2 2 2" xfId="12471"/>
    <cellStyle name="표준 6 3 4 2 2 2 2" xfId="25145"/>
    <cellStyle name="표준 6 3 4 2 2 2 2 2" xfId="50497"/>
    <cellStyle name="표준 6 3 4 2 2 2 3" xfId="37825"/>
    <cellStyle name="표준 6 3 4 2 2 3" xfId="18809"/>
    <cellStyle name="표준 6 3 4 2 2 3 2" xfId="44161"/>
    <cellStyle name="표준 6 3 4 2 2 4" xfId="31489"/>
    <cellStyle name="표준 6 3 4 2 3" xfId="9310"/>
    <cellStyle name="표준 6 3 4 2 3 2" xfId="21984"/>
    <cellStyle name="표준 6 3 4 2 3 2 2" xfId="47336"/>
    <cellStyle name="표준 6 3 4 2 3 3" xfId="34664"/>
    <cellStyle name="표준 6 3 4 2 4" xfId="15648"/>
    <cellStyle name="표준 6 3 4 2 4 2" xfId="41000"/>
    <cellStyle name="표준 6 3 4 2 5" xfId="28328"/>
    <cellStyle name="표준 6 3 4 3" xfId="6136"/>
    <cellStyle name="표준 6 3 4 3 2" xfId="12472"/>
    <cellStyle name="표준 6 3 4 3 2 2" xfId="25146"/>
    <cellStyle name="표준 6 3 4 3 2 2 2" xfId="50498"/>
    <cellStyle name="표준 6 3 4 3 2 3" xfId="37826"/>
    <cellStyle name="표준 6 3 4 3 3" xfId="18810"/>
    <cellStyle name="표준 6 3 4 3 3 2" xfId="44162"/>
    <cellStyle name="표준 6 3 4 3 4" xfId="31490"/>
    <cellStyle name="표준 6 3 4 4" xfId="6438"/>
    <cellStyle name="표준 6 3 4 4 2" xfId="19112"/>
    <cellStyle name="표준 6 3 4 4 2 2" xfId="44464"/>
    <cellStyle name="표준 6 3 4 4 3" xfId="31792"/>
    <cellStyle name="표준 6 3 4 5" xfId="12776"/>
    <cellStyle name="표준 6 3 4 5 2" xfId="38128"/>
    <cellStyle name="표준 6 3 4 6" xfId="25456"/>
    <cellStyle name="표준 6 3 40" xfId="25396"/>
    <cellStyle name="표준 6 3 5" xfId="2974"/>
    <cellStyle name="표준 6 3 5 2" xfId="2975"/>
    <cellStyle name="표준 6 3 5 2 2" xfId="6137"/>
    <cellStyle name="표준 6 3 5 2 2 2" xfId="12473"/>
    <cellStyle name="표준 6 3 5 2 2 2 2" xfId="25147"/>
    <cellStyle name="표준 6 3 5 2 2 2 2 2" xfId="50499"/>
    <cellStyle name="표준 6 3 5 2 2 2 3" xfId="37827"/>
    <cellStyle name="표준 6 3 5 2 2 3" xfId="18811"/>
    <cellStyle name="표준 6 3 5 2 2 3 2" xfId="44163"/>
    <cellStyle name="표준 6 3 5 2 2 4" xfId="31491"/>
    <cellStyle name="표준 6 3 5 2 3" xfId="9312"/>
    <cellStyle name="표준 6 3 5 2 3 2" xfId="21986"/>
    <cellStyle name="표준 6 3 5 2 3 2 2" xfId="47338"/>
    <cellStyle name="표준 6 3 5 2 3 3" xfId="34666"/>
    <cellStyle name="표준 6 3 5 2 4" xfId="15650"/>
    <cellStyle name="표준 6 3 5 2 4 2" xfId="41002"/>
    <cellStyle name="표준 6 3 5 2 5" xfId="28330"/>
    <cellStyle name="표준 6 3 5 3" xfId="6138"/>
    <cellStyle name="표준 6 3 5 3 2" xfId="12474"/>
    <cellStyle name="표준 6 3 5 3 2 2" xfId="25148"/>
    <cellStyle name="표준 6 3 5 3 2 2 2" xfId="50500"/>
    <cellStyle name="표준 6 3 5 3 2 3" xfId="37828"/>
    <cellStyle name="표준 6 3 5 3 3" xfId="18812"/>
    <cellStyle name="표준 6 3 5 3 3 2" xfId="44164"/>
    <cellStyle name="표준 6 3 5 3 4" xfId="31492"/>
    <cellStyle name="표준 6 3 5 4" xfId="9311"/>
    <cellStyle name="표준 6 3 5 4 2" xfId="21985"/>
    <cellStyle name="표준 6 3 5 4 2 2" xfId="47337"/>
    <cellStyle name="표준 6 3 5 4 3" xfId="34665"/>
    <cellStyle name="표준 6 3 5 5" xfId="15649"/>
    <cellStyle name="표준 6 3 5 5 2" xfId="41001"/>
    <cellStyle name="표준 6 3 5 6" xfId="28329"/>
    <cellStyle name="표준 6 3 6" xfId="2976"/>
    <cellStyle name="표준 6 3 6 2" xfId="2977"/>
    <cellStyle name="표준 6 3 6 2 2" xfId="6139"/>
    <cellStyle name="표준 6 3 6 2 2 2" xfId="12475"/>
    <cellStyle name="표준 6 3 6 2 2 2 2" xfId="25149"/>
    <cellStyle name="표준 6 3 6 2 2 2 2 2" xfId="50501"/>
    <cellStyle name="표준 6 3 6 2 2 2 3" xfId="37829"/>
    <cellStyle name="표준 6 3 6 2 2 3" xfId="18813"/>
    <cellStyle name="표준 6 3 6 2 2 3 2" xfId="44165"/>
    <cellStyle name="표준 6 3 6 2 2 4" xfId="31493"/>
    <cellStyle name="표준 6 3 6 2 3" xfId="9314"/>
    <cellStyle name="표준 6 3 6 2 3 2" xfId="21988"/>
    <cellStyle name="표준 6 3 6 2 3 2 2" xfId="47340"/>
    <cellStyle name="표준 6 3 6 2 3 3" xfId="34668"/>
    <cellStyle name="표준 6 3 6 2 4" xfId="15652"/>
    <cellStyle name="표준 6 3 6 2 4 2" xfId="41004"/>
    <cellStyle name="표준 6 3 6 2 5" xfId="28332"/>
    <cellStyle name="표준 6 3 6 3" xfId="6140"/>
    <cellStyle name="표준 6 3 6 3 2" xfId="12476"/>
    <cellStyle name="표준 6 3 6 3 2 2" xfId="25150"/>
    <cellStyle name="표준 6 3 6 3 2 2 2" xfId="50502"/>
    <cellStyle name="표준 6 3 6 3 2 3" xfId="37830"/>
    <cellStyle name="표준 6 3 6 3 3" xfId="18814"/>
    <cellStyle name="표준 6 3 6 3 3 2" xfId="44166"/>
    <cellStyle name="표준 6 3 6 3 4" xfId="31494"/>
    <cellStyle name="표준 6 3 6 4" xfId="9313"/>
    <cellStyle name="표준 6 3 6 4 2" xfId="21987"/>
    <cellStyle name="표준 6 3 6 4 2 2" xfId="47339"/>
    <cellStyle name="표준 6 3 6 4 3" xfId="34667"/>
    <cellStyle name="표준 6 3 6 5" xfId="15651"/>
    <cellStyle name="표준 6 3 6 5 2" xfId="41003"/>
    <cellStyle name="표준 6 3 6 6" xfId="28331"/>
    <cellStyle name="표준 6 3 7" xfId="2978"/>
    <cellStyle name="표준 6 3 7 2" xfId="2979"/>
    <cellStyle name="표준 6 3 7 2 2" xfId="6141"/>
    <cellStyle name="표준 6 3 7 2 2 2" xfId="12477"/>
    <cellStyle name="표준 6 3 7 2 2 2 2" xfId="25151"/>
    <cellStyle name="표준 6 3 7 2 2 2 2 2" xfId="50503"/>
    <cellStyle name="표준 6 3 7 2 2 2 3" xfId="37831"/>
    <cellStyle name="표준 6 3 7 2 2 3" xfId="18815"/>
    <cellStyle name="표준 6 3 7 2 2 3 2" xfId="44167"/>
    <cellStyle name="표준 6 3 7 2 2 4" xfId="31495"/>
    <cellStyle name="표준 6 3 7 2 3" xfId="9316"/>
    <cellStyle name="표준 6 3 7 2 3 2" xfId="21990"/>
    <cellStyle name="표준 6 3 7 2 3 2 2" xfId="47342"/>
    <cellStyle name="표준 6 3 7 2 3 3" xfId="34670"/>
    <cellStyle name="표준 6 3 7 2 4" xfId="15654"/>
    <cellStyle name="표준 6 3 7 2 4 2" xfId="41006"/>
    <cellStyle name="표준 6 3 7 2 5" xfId="28334"/>
    <cellStyle name="표준 6 3 7 3" xfId="6142"/>
    <cellStyle name="표준 6 3 7 3 2" xfId="12478"/>
    <cellStyle name="표준 6 3 7 3 2 2" xfId="25152"/>
    <cellStyle name="표준 6 3 7 3 2 2 2" xfId="50504"/>
    <cellStyle name="표준 6 3 7 3 2 3" xfId="37832"/>
    <cellStyle name="표준 6 3 7 3 3" xfId="18816"/>
    <cellStyle name="표준 6 3 7 3 3 2" xfId="44168"/>
    <cellStyle name="표준 6 3 7 3 4" xfId="31496"/>
    <cellStyle name="표준 6 3 7 4" xfId="9315"/>
    <cellStyle name="표준 6 3 7 4 2" xfId="21989"/>
    <cellStyle name="표준 6 3 7 4 2 2" xfId="47341"/>
    <cellStyle name="표준 6 3 7 4 3" xfId="34669"/>
    <cellStyle name="표준 6 3 7 5" xfId="15653"/>
    <cellStyle name="표준 6 3 7 5 2" xfId="41005"/>
    <cellStyle name="표준 6 3 7 6" xfId="28333"/>
    <cellStyle name="표준 6 3 8" xfId="2980"/>
    <cellStyle name="표준 6 3 8 2" xfId="2981"/>
    <cellStyle name="표준 6 3 8 2 2" xfId="6143"/>
    <cellStyle name="표준 6 3 8 2 2 2" xfId="12479"/>
    <cellStyle name="표준 6 3 8 2 2 2 2" xfId="25153"/>
    <cellStyle name="표준 6 3 8 2 2 2 2 2" xfId="50505"/>
    <cellStyle name="표준 6 3 8 2 2 2 3" xfId="37833"/>
    <cellStyle name="표준 6 3 8 2 2 3" xfId="18817"/>
    <cellStyle name="표준 6 3 8 2 2 3 2" xfId="44169"/>
    <cellStyle name="표준 6 3 8 2 2 4" xfId="31497"/>
    <cellStyle name="표준 6 3 8 2 3" xfId="9318"/>
    <cellStyle name="표준 6 3 8 2 3 2" xfId="21992"/>
    <cellStyle name="표준 6 3 8 2 3 2 2" xfId="47344"/>
    <cellStyle name="표준 6 3 8 2 3 3" xfId="34672"/>
    <cellStyle name="표준 6 3 8 2 4" xfId="15656"/>
    <cellStyle name="표준 6 3 8 2 4 2" xfId="41008"/>
    <cellStyle name="표준 6 3 8 2 5" xfId="28336"/>
    <cellStyle name="표준 6 3 8 3" xfId="6144"/>
    <cellStyle name="표준 6 3 8 3 2" xfId="12480"/>
    <cellStyle name="표준 6 3 8 3 2 2" xfId="25154"/>
    <cellStyle name="표준 6 3 8 3 2 2 2" xfId="50506"/>
    <cellStyle name="표준 6 3 8 3 2 3" xfId="37834"/>
    <cellStyle name="표준 6 3 8 3 3" xfId="18818"/>
    <cellStyle name="표준 6 3 8 3 3 2" xfId="44170"/>
    <cellStyle name="표준 6 3 8 3 4" xfId="31498"/>
    <cellStyle name="표준 6 3 8 4" xfId="9317"/>
    <cellStyle name="표준 6 3 8 4 2" xfId="21991"/>
    <cellStyle name="표준 6 3 8 4 2 2" xfId="47343"/>
    <cellStyle name="표준 6 3 8 4 3" xfId="34671"/>
    <cellStyle name="표준 6 3 8 5" xfId="15655"/>
    <cellStyle name="표준 6 3 8 5 2" xfId="41007"/>
    <cellStyle name="표준 6 3 8 6" xfId="28335"/>
    <cellStyle name="표준 6 3 9" xfId="2982"/>
    <cellStyle name="표준 6 3 9 2" xfId="2983"/>
    <cellStyle name="표준 6 3 9 2 2" xfId="6145"/>
    <cellStyle name="표준 6 3 9 2 2 2" xfId="12481"/>
    <cellStyle name="표준 6 3 9 2 2 2 2" xfId="25155"/>
    <cellStyle name="표준 6 3 9 2 2 2 2 2" xfId="50507"/>
    <cellStyle name="표준 6 3 9 2 2 2 3" xfId="37835"/>
    <cellStyle name="표준 6 3 9 2 2 3" xfId="18819"/>
    <cellStyle name="표준 6 3 9 2 2 3 2" xfId="44171"/>
    <cellStyle name="표준 6 3 9 2 2 4" xfId="31499"/>
    <cellStyle name="표준 6 3 9 2 3" xfId="9320"/>
    <cellStyle name="표준 6 3 9 2 3 2" xfId="21994"/>
    <cellStyle name="표준 6 3 9 2 3 2 2" xfId="47346"/>
    <cellStyle name="표준 6 3 9 2 3 3" xfId="34674"/>
    <cellStyle name="표준 6 3 9 2 4" xfId="15658"/>
    <cellStyle name="표준 6 3 9 2 4 2" xfId="41010"/>
    <cellStyle name="표준 6 3 9 2 5" xfId="28338"/>
    <cellStyle name="표준 6 3 9 3" xfId="6146"/>
    <cellStyle name="표준 6 3 9 3 2" xfId="12482"/>
    <cellStyle name="표준 6 3 9 3 2 2" xfId="25156"/>
    <cellStyle name="표준 6 3 9 3 2 2 2" xfId="50508"/>
    <cellStyle name="표준 6 3 9 3 2 3" xfId="37836"/>
    <cellStyle name="표준 6 3 9 3 3" xfId="18820"/>
    <cellStyle name="표준 6 3 9 3 3 2" xfId="44172"/>
    <cellStyle name="표준 6 3 9 3 4" xfId="31500"/>
    <cellStyle name="표준 6 3 9 4" xfId="9319"/>
    <cellStyle name="표준 6 3 9 4 2" xfId="21993"/>
    <cellStyle name="표준 6 3 9 4 2 2" xfId="47345"/>
    <cellStyle name="표준 6 3 9 4 3" xfId="34673"/>
    <cellStyle name="표준 6 3 9 5" xfId="15657"/>
    <cellStyle name="표준 6 3 9 5 2" xfId="41009"/>
    <cellStyle name="표준 6 3 9 6" xfId="28337"/>
    <cellStyle name="표준 6 30" xfId="2984"/>
    <cellStyle name="표준 6 30 2" xfId="2985"/>
    <cellStyle name="표준 6 30 2 2" xfId="6147"/>
    <cellStyle name="표준 6 30 2 2 2" xfId="12483"/>
    <cellStyle name="표준 6 30 2 2 2 2" xfId="25157"/>
    <cellStyle name="표준 6 30 2 2 2 2 2" xfId="50509"/>
    <cellStyle name="표준 6 30 2 2 2 3" xfId="37837"/>
    <cellStyle name="표준 6 30 2 2 3" xfId="18821"/>
    <cellStyle name="표준 6 30 2 2 3 2" xfId="44173"/>
    <cellStyle name="표준 6 30 2 2 4" xfId="31501"/>
    <cellStyle name="표준 6 30 2 3" xfId="9322"/>
    <cellStyle name="표준 6 30 2 3 2" xfId="21996"/>
    <cellStyle name="표준 6 30 2 3 2 2" xfId="47348"/>
    <cellStyle name="표준 6 30 2 3 3" xfId="34676"/>
    <cellStyle name="표준 6 30 2 4" xfId="15660"/>
    <cellStyle name="표준 6 30 2 4 2" xfId="41012"/>
    <cellStyle name="표준 6 30 2 5" xfId="28340"/>
    <cellStyle name="표준 6 30 3" xfId="6148"/>
    <cellStyle name="표준 6 30 3 2" xfId="12484"/>
    <cellStyle name="표준 6 30 3 2 2" xfId="25158"/>
    <cellStyle name="표준 6 30 3 2 2 2" xfId="50510"/>
    <cellStyle name="표준 6 30 3 2 3" xfId="37838"/>
    <cellStyle name="표준 6 30 3 3" xfId="18822"/>
    <cellStyle name="표준 6 30 3 3 2" xfId="44174"/>
    <cellStyle name="표준 6 30 3 4" xfId="31502"/>
    <cellStyle name="표준 6 30 4" xfId="9321"/>
    <cellStyle name="표준 6 30 4 2" xfId="21995"/>
    <cellStyle name="표준 6 30 4 2 2" xfId="47347"/>
    <cellStyle name="표준 6 30 4 3" xfId="34675"/>
    <cellStyle name="표준 6 30 5" xfId="15659"/>
    <cellStyle name="표준 6 30 5 2" xfId="41011"/>
    <cellStyle name="표준 6 30 6" xfId="28339"/>
    <cellStyle name="표준 6 31" xfId="2986"/>
    <cellStyle name="표준 6 31 2" xfId="2987"/>
    <cellStyle name="표준 6 31 2 2" xfId="6149"/>
    <cellStyle name="표준 6 31 2 2 2" xfId="12485"/>
    <cellStyle name="표준 6 31 2 2 2 2" xfId="25159"/>
    <cellStyle name="표준 6 31 2 2 2 2 2" xfId="50511"/>
    <cellStyle name="표준 6 31 2 2 2 3" xfId="37839"/>
    <cellStyle name="표준 6 31 2 2 3" xfId="18823"/>
    <cellStyle name="표준 6 31 2 2 3 2" xfId="44175"/>
    <cellStyle name="표준 6 31 2 2 4" xfId="31503"/>
    <cellStyle name="표준 6 31 2 3" xfId="9324"/>
    <cellStyle name="표준 6 31 2 3 2" xfId="21998"/>
    <cellStyle name="표준 6 31 2 3 2 2" xfId="47350"/>
    <cellStyle name="표준 6 31 2 3 3" xfId="34678"/>
    <cellStyle name="표준 6 31 2 4" xfId="15662"/>
    <cellStyle name="표준 6 31 2 4 2" xfId="41014"/>
    <cellStyle name="표준 6 31 2 5" xfId="28342"/>
    <cellStyle name="표준 6 31 3" xfId="6150"/>
    <cellStyle name="표준 6 31 3 2" xfId="12486"/>
    <cellStyle name="표준 6 31 3 2 2" xfId="25160"/>
    <cellStyle name="표준 6 31 3 2 2 2" xfId="50512"/>
    <cellStyle name="표준 6 31 3 2 3" xfId="37840"/>
    <cellStyle name="표준 6 31 3 3" xfId="18824"/>
    <cellStyle name="표준 6 31 3 3 2" xfId="44176"/>
    <cellStyle name="표준 6 31 3 4" xfId="31504"/>
    <cellStyle name="표준 6 31 4" xfId="9323"/>
    <cellStyle name="표준 6 31 4 2" xfId="21997"/>
    <cellStyle name="표준 6 31 4 2 2" xfId="47349"/>
    <cellStyle name="표준 6 31 4 3" xfId="34677"/>
    <cellStyle name="표준 6 31 5" xfId="15661"/>
    <cellStyle name="표준 6 31 5 2" xfId="41013"/>
    <cellStyle name="표준 6 31 6" xfId="28341"/>
    <cellStyle name="표준 6 32" xfId="2988"/>
    <cellStyle name="표준 6 32 2" xfId="2989"/>
    <cellStyle name="표준 6 32 2 2" xfId="6151"/>
    <cellStyle name="표준 6 32 2 2 2" xfId="12487"/>
    <cellStyle name="표준 6 32 2 2 2 2" xfId="25161"/>
    <cellStyle name="표준 6 32 2 2 2 2 2" xfId="50513"/>
    <cellStyle name="표준 6 32 2 2 2 3" xfId="37841"/>
    <cellStyle name="표준 6 32 2 2 3" xfId="18825"/>
    <cellStyle name="표준 6 32 2 2 3 2" xfId="44177"/>
    <cellStyle name="표준 6 32 2 2 4" xfId="31505"/>
    <cellStyle name="표준 6 32 2 3" xfId="9326"/>
    <cellStyle name="표준 6 32 2 3 2" xfId="22000"/>
    <cellStyle name="표준 6 32 2 3 2 2" xfId="47352"/>
    <cellStyle name="표준 6 32 2 3 3" xfId="34680"/>
    <cellStyle name="표준 6 32 2 4" xfId="15664"/>
    <cellStyle name="표준 6 32 2 4 2" xfId="41016"/>
    <cellStyle name="표준 6 32 2 5" xfId="28344"/>
    <cellStyle name="표준 6 32 3" xfId="6152"/>
    <cellStyle name="표준 6 32 3 2" xfId="12488"/>
    <cellStyle name="표준 6 32 3 2 2" xfId="25162"/>
    <cellStyle name="표준 6 32 3 2 2 2" xfId="50514"/>
    <cellStyle name="표준 6 32 3 2 3" xfId="37842"/>
    <cellStyle name="표준 6 32 3 3" xfId="18826"/>
    <cellStyle name="표준 6 32 3 3 2" xfId="44178"/>
    <cellStyle name="표준 6 32 3 4" xfId="31506"/>
    <cellStyle name="표준 6 32 4" xfId="9325"/>
    <cellStyle name="표준 6 32 4 2" xfId="21999"/>
    <cellStyle name="표준 6 32 4 2 2" xfId="47351"/>
    <cellStyle name="표준 6 32 4 3" xfId="34679"/>
    <cellStyle name="표준 6 32 5" xfId="15663"/>
    <cellStyle name="표준 6 32 5 2" xfId="41015"/>
    <cellStyle name="표준 6 32 6" xfId="28343"/>
    <cellStyle name="표준 6 33" xfId="2990"/>
    <cellStyle name="표준 6 33 2" xfId="2991"/>
    <cellStyle name="표준 6 33 2 2" xfId="6153"/>
    <cellStyle name="표준 6 33 2 2 2" xfId="12489"/>
    <cellStyle name="표준 6 33 2 2 2 2" xfId="25163"/>
    <cellStyle name="표준 6 33 2 2 2 2 2" xfId="50515"/>
    <cellStyle name="표준 6 33 2 2 2 3" xfId="37843"/>
    <cellStyle name="표준 6 33 2 2 3" xfId="18827"/>
    <cellStyle name="표준 6 33 2 2 3 2" xfId="44179"/>
    <cellStyle name="표준 6 33 2 2 4" xfId="31507"/>
    <cellStyle name="표준 6 33 2 3" xfId="9328"/>
    <cellStyle name="표준 6 33 2 3 2" xfId="22002"/>
    <cellStyle name="표준 6 33 2 3 2 2" xfId="47354"/>
    <cellStyle name="표준 6 33 2 3 3" xfId="34682"/>
    <cellStyle name="표준 6 33 2 4" xfId="15666"/>
    <cellStyle name="표준 6 33 2 4 2" xfId="41018"/>
    <cellStyle name="표준 6 33 2 5" xfId="28346"/>
    <cellStyle name="표준 6 33 3" xfId="6154"/>
    <cellStyle name="표준 6 33 3 2" xfId="12490"/>
    <cellStyle name="표준 6 33 3 2 2" xfId="25164"/>
    <cellStyle name="표준 6 33 3 2 2 2" xfId="50516"/>
    <cellStyle name="표준 6 33 3 2 3" xfId="37844"/>
    <cellStyle name="표준 6 33 3 3" xfId="18828"/>
    <cellStyle name="표준 6 33 3 3 2" xfId="44180"/>
    <cellStyle name="표준 6 33 3 4" xfId="31508"/>
    <cellStyle name="표준 6 33 4" xfId="9327"/>
    <cellStyle name="표준 6 33 4 2" xfId="22001"/>
    <cellStyle name="표준 6 33 4 2 2" xfId="47353"/>
    <cellStyle name="표준 6 33 4 3" xfId="34681"/>
    <cellStyle name="표준 6 33 5" xfId="15665"/>
    <cellStyle name="표준 6 33 5 2" xfId="41017"/>
    <cellStyle name="표준 6 33 6" xfId="28345"/>
    <cellStyle name="표준 6 34" xfId="2992"/>
    <cellStyle name="표준 6 34 2" xfId="2993"/>
    <cellStyle name="표준 6 34 2 2" xfId="6155"/>
    <cellStyle name="표준 6 34 2 2 2" xfId="12491"/>
    <cellStyle name="표준 6 34 2 2 2 2" xfId="25165"/>
    <cellStyle name="표준 6 34 2 2 2 2 2" xfId="50517"/>
    <cellStyle name="표준 6 34 2 2 2 3" xfId="37845"/>
    <cellStyle name="표준 6 34 2 2 3" xfId="18829"/>
    <cellStyle name="표준 6 34 2 2 3 2" xfId="44181"/>
    <cellStyle name="표준 6 34 2 2 4" xfId="31509"/>
    <cellStyle name="표준 6 34 2 3" xfId="9330"/>
    <cellStyle name="표준 6 34 2 3 2" xfId="22004"/>
    <cellStyle name="표준 6 34 2 3 2 2" xfId="47356"/>
    <cellStyle name="표준 6 34 2 3 3" xfId="34684"/>
    <cellStyle name="표준 6 34 2 4" xfId="15668"/>
    <cellStyle name="표준 6 34 2 4 2" xfId="41020"/>
    <cellStyle name="표준 6 34 2 5" xfId="28348"/>
    <cellStyle name="표준 6 34 3" xfId="6156"/>
    <cellStyle name="표준 6 34 3 2" xfId="12492"/>
    <cellStyle name="표준 6 34 3 2 2" xfId="25166"/>
    <cellStyle name="표준 6 34 3 2 2 2" xfId="50518"/>
    <cellStyle name="표준 6 34 3 2 3" xfId="37846"/>
    <cellStyle name="표준 6 34 3 3" xfId="18830"/>
    <cellStyle name="표준 6 34 3 3 2" xfId="44182"/>
    <cellStyle name="표준 6 34 3 4" xfId="31510"/>
    <cellStyle name="표준 6 34 4" xfId="9329"/>
    <cellStyle name="표준 6 34 4 2" xfId="22003"/>
    <cellStyle name="표준 6 34 4 2 2" xfId="47355"/>
    <cellStyle name="표준 6 34 4 3" xfId="34683"/>
    <cellStyle name="표준 6 34 5" xfId="15667"/>
    <cellStyle name="표준 6 34 5 2" xfId="41019"/>
    <cellStyle name="표준 6 34 6" xfId="28347"/>
    <cellStyle name="표준 6 35" xfId="2994"/>
    <cellStyle name="표준 6 35 2" xfId="2995"/>
    <cellStyle name="표준 6 35 2 2" xfId="6157"/>
    <cellStyle name="표준 6 35 2 2 2" xfId="12493"/>
    <cellStyle name="표준 6 35 2 2 2 2" xfId="25167"/>
    <cellStyle name="표준 6 35 2 2 2 2 2" xfId="50519"/>
    <cellStyle name="표준 6 35 2 2 2 3" xfId="37847"/>
    <cellStyle name="표준 6 35 2 2 3" xfId="18831"/>
    <cellStyle name="표준 6 35 2 2 3 2" xfId="44183"/>
    <cellStyle name="표준 6 35 2 2 4" xfId="31511"/>
    <cellStyle name="표준 6 35 2 3" xfId="9332"/>
    <cellStyle name="표준 6 35 2 3 2" xfId="22006"/>
    <cellStyle name="표준 6 35 2 3 2 2" xfId="47358"/>
    <cellStyle name="표준 6 35 2 3 3" xfId="34686"/>
    <cellStyle name="표준 6 35 2 4" xfId="15670"/>
    <cellStyle name="표준 6 35 2 4 2" xfId="41022"/>
    <cellStyle name="표준 6 35 2 5" xfId="28350"/>
    <cellStyle name="표준 6 35 3" xfId="6158"/>
    <cellStyle name="표준 6 35 3 2" xfId="12494"/>
    <cellStyle name="표준 6 35 3 2 2" xfId="25168"/>
    <cellStyle name="표준 6 35 3 2 2 2" xfId="50520"/>
    <cellStyle name="표준 6 35 3 2 3" xfId="37848"/>
    <cellStyle name="표준 6 35 3 3" xfId="18832"/>
    <cellStyle name="표준 6 35 3 3 2" xfId="44184"/>
    <cellStyle name="표준 6 35 3 4" xfId="31512"/>
    <cellStyle name="표준 6 35 4" xfId="9331"/>
    <cellStyle name="표준 6 35 4 2" xfId="22005"/>
    <cellStyle name="표준 6 35 4 2 2" xfId="47357"/>
    <cellStyle name="표준 6 35 4 3" xfId="34685"/>
    <cellStyle name="표준 6 35 5" xfId="15669"/>
    <cellStyle name="표준 6 35 5 2" xfId="41021"/>
    <cellStyle name="표준 6 35 6" xfId="28349"/>
    <cellStyle name="표준 6 36" xfId="2996"/>
    <cellStyle name="표준 6 36 2" xfId="2997"/>
    <cellStyle name="표준 6 36 2 2" xfId="6159"/>
    <cellStyle name="표준 6 36 2 2 2" xfId="12495"/>
    <cellStyle name="표준 6 36 2 2 2 2" xfId="25169"/>
    <cellStyle name="표준 6 36 2 2 2 2 2" xfId="50521"/>
    <cellStyle name="표준 6 36 2 2 2 3" xfId="37849"/>
    <cellStyle name="표준 6 36 2 2 3" xfId="18833"/>
    <cellStyle name="표준 6 36 2 2 3 2" xfId="44185"/>
    <cellStyle name="표준 6 36 2 2 4" xfId="31513"/>
    <cellStyle name="표준 6 36 2 3" xfId="9334"/>
    <cellStyle name="표준 6 36 2 3 2" xfId="22008"/>
    <cellStyle name="표준 6 36 2 3 2 2" xfId="47360"/>
    <cellStyle name="표준 6 36 2 3 3" xfId="34688"/>
    <cellStyle name="표준 6 36 2 4" xfId="15672"/>
    <cellStyle name="표준 6 36 2 4 2" xfId="41024"/>
    <cellStyle name="표준 6 36 2 5" xfId="28352"/>
    <cellStyle name="표준 6 36 3" xfId="6160"/>
    <cellStyle name="표준 6 36 3 2" xfId="12496"/>
    <cellStyle name="표준 6 36 3 2 2" xfId="25170"/>
    <cellStyle name="표준 6 36 3 2 2 2" xfId="50522"/>
    <cellStyle name="표준 6 36 3 2 3" xfId="37850"/>
    <cellStyle name="표준 6 36 3 3" xfId="18834"/>
    <cellStyle name="표준 6 36 3 3 2" xfId="44186"/>
    <cellStyle name="표준 6 36 3 4" xfId="31514"/>
    <cellStyle name="표준 6 36 4" xfId="9333"/>
    <cellStyle name="표준 6 36 4 2" xfId="22007"/>
    <cellStyle name="표준 6 36 4 2 2" xfId="47359"/>
    <cellStyle name="표준 6 36 4 3" xfId="34687"/>
    <cellStyle name="표준 6 36 5" xfId="15671"/>
    <cellStyle name="표준 6 36 5 2" xfId="41023"/>
    <cellStyle name="표준 6 36 6" xfId="28351"/>
    <cellStyle name="표준 6 37" xfId="2998"/>
    <cellStyle name="표준 6 37 2" xfId="2999"/>
    <cellStyle name="표준 6 37 2 2" xfId="6161"/>
    <cellStyle name="표준 6 37 2 2 2" xfId="12497"/>
    <cellStyle name="표준 6 37 2 2 2 2" xfId="25171"/>
    <cellStyle name="표준 6 37 2 2 2 2 2" xfId="50523"/>
    <cellStyle name="표준 6 37 2 2 2 3" xfId="37851"/>
    <cellStyle name="표준 6 37 2 2 3" xfId="18835"/>
    <cellStyle name="표준 6 37 2 2 3 2" xfId="44187"/>
    <cellStyle name="표준 6 37 2 2 4" xfId="31515"/>
    <cellStyle name="표준 6 37 2 3" xfId="9336"/>
    <cellStyle name="표준 6 37 2 3 2" xfId="22010"/>
    <cellStyle name="표준 6 37 2 3 2 2" xfId="47362"/>
    <cellStyle name="표준 6 37 2 3 3" xfId="34690"/>
    <cellStyle name="표준 6 37 2 4" xfId="15674"/>
    <cellStyle name="표준 6 37 2 4 2" xfId="41026"/>
    <cellStyle name="표준 6 37 2 5" xfId="28354"/>
    <cellStyle name="표준 6 37 3" xfId="6162"/>
    <cellStyle name="표준 6 37 3 2" xfId="12498"/>
    <cellStyle name="표준 6 37 3 2 2" xfId="25172"/>
    <cellStyle name="표준 6 37 3 2 2 2" xfId="50524"/>
    <cellStyle name="표준 6 37 3 2 3" xfId="37852"/>
    <cellStyle name="표준 6 37 3 3" xfId="18836"/>
    <cellStyle name="표준 6 37 3 3 2" xfId="44188"/>
    <cellStyle name="표준 6 37 3 4" xfId="31516"/>
    <cellStyle name="표준 6 37 4" xfId="9335"/>
    <cellStyle name="표준 6 37 4 2" xfId="22009"/>
    <cellStyle name="표준 6 37 4 2 2" xfId="47361"/>
    <cellStyle name="표준 6 37 4 3" xfId="34689"/>
    <cellStyle name="표준 6 37 5" xfId="15673"/>
    <cellStyle name="표준 6 37 5 2" xfId="41025"/>
    <cellStyle name="표준 6 37 6" xfId="28353"/>
    <cellStyle name="표준 6 38" xfId="3000"/>
    <cellStyle name="표준 6 38 2" xfId="6163"/>
    <cellStyle name="표준 6 38 2 2" xfId="12499"/>
    <cellStyle name="표준 6 38 2 2 2" xfId="25173"/>
    <cellStyle name="표준 6 38 2 2 2 2" xfId="50525"/>
    <cellStyle name="표준 6 38 2 2 3" xfId="37853"/>
    <cellStyle name="표준 6 38 2 3" xfId="18837"/>
    <cellStyle name="표준 6 38 2 3 2" xfId="44189"/>
    <cellStyle name="표준 6 38 2 4" xfId="31517"/>
    <cellStyle name="표준 6 38 3" xfId="9337"/>
    <cellStyle name="표준 6 38 3 2" xfId="22011"/>
    <cellStyle name="표준 6 38 3 2 2" xfId="47363"/>
    <cellStyle name="표준 6 38 3 3" xfId="34691"/>
    <cellStyle name="표준 6 38 4" xfId="15675"/>
    <cellStyle name="표준 6 38 4 2" xfId="41027"/>
    <cellStyle name="표준 6 38 5" xfId="28355"/>
    <cellStyle name="표준 6 39" xfId="6164"/>
    <cellStyle name="표준 6 39 2" xfId="12500"/>
    <cellStyle name="표준 6 39 2 2" xfId="25174"/>
    <cellStyle name="표준 6 39 2 2 2" xfId="50526"/>
    <cellStyle name="표준 6 39 2 3" xfId="37854"/>
    <cellStyle name="표준 6 39 3" xfId="18838"/>
    <cellStyle name="표준 6 39 3 2" xfId="44190"/>
    <cellStyle name="표준 6 39 4" xfId="31518"/>
    <cellStyle name="표준 6 4" xfId="24"/>
    <cellStyle name="표준 6 4 10" xfId="3001"/>
    <cellStyle name="표준 6 4 10 2" xfId="3002"/>
    <cellStyle name="표준 6 4 10 2 2" xfId="6165"/>
    <cellStyle name="표준 6 4 10 2 2 2" xfId="12501"/>
    <cellStyle name="표준 6 4 10 2 2 2 2" xfId="25175"/>
    <cellStyle name="표준 6 4 10 2 2 2 2 2" xfId="50527"/>
    <cellStyle name="표준 6 4 10 2 2 2 3" xfId="37855"/>
    <cellStyle name="표준 6 4 10 2 2 3" xfId="18839"/>
    <cellStyle name="표준 6 4 10 2 2 3 2" xfId="44191"/>
    <cellStyle name="표준 6 4 10 2 2 4" xfId="31519"/>
    <cellStyle name="표준 6 4 10 2 3" xfId="9339"/>
    <cellStyle name="표준 6 4 10 2 3 2" xfId="22013"/>
    <cellStyle name="표준 6 4 10 2 3 2 2" xfId="47365"/>
    <cellStyle name="표준 6 4 10 2 3 3" xfId="34693"/>
    <cellStyle name="표준 6 4 10 2 4" xfId="15677"/>
    <cellStyle name="표준 6 4 10 2 4 2" xfId="41029"/>
    <cellStyle name="표준 6 4 10 2 5" xfId="28357"/>
    <cellStyle name="표준 6 4 10 3" xfId="6166"/>
    <cellStyle name="표준 6 4 10 3 2" xfId="12502"/>
    <cellStyle name="표준 6 4 10 3 2 2" xfId="25176"/>
    <cellStyle name="표준 6 4 10 3 2 2 2" xfId="50528"/>
    <cellStyle name="표준 6 4 10 3 2 3" xfId="37856"/>
    <cellStyle name="표준 6 4 10 3 3" xfId="18840"/>
    <cellStyle name="표준 6 4 10 3 3 2" xfId="44192"/>
    <cellStyle name="표준 6 4 10 3 4" xfId="31520"/>
    <cellStyle name="표준 6 4 10 4" xfId="9338"/>
    <cellStyle name="표준 6 4 10 4 2" xfId="22012"/>
    <cellStyle name="표준 6 4 10 4 2 2" xfId="47364"/>
    <cellStyle name="표준 6 4 10 4 3" xfId="34692"/>
    <cellStyle name="표준 6 4 10 5" xfId="15676"/>
    <cellStyle name="표준 6 4 10 5 2" xfId="41028"/>
    <cellStyle name="표준 6 4 10 6" xfId="28356"/>
    <cellStyle name="표준 6 4 11" xfId="3003"/>
    <cellStyle name="표준 6 4 11 2" xfId="3004"/>
    <cellStyle name="표준 6 4 11 2 2" xfId="6167"/>
    <cellStyle name="표준 6 4 11 2 2 2" xfId="12503"/>
    <cellStyle name="표준 6 4 11 2 2 2 2" xfId="25177"/>
    <cellStyle name="표준 6 4 11 2 2 2 2 2" xfId="50529"/>
    <cellStyle name="표준 6 4 11 2 2 2 3" xfId="37857"/>
    <cellStyle name="표준 6 4 11 2 2 3" xfId="18841"/>
    <cellStyle name="표준 6 4 11 2 2 3 2" xfId="44193"/>
    <cellStyle name="표준 6 4 11 2 2 4" xfId="31521"/>
    <cellStyle name="표준 6 4 11 2 3" xfId="9341"/>
    <cellStyle name="표준 6 4 11 2 3 2" xfId="22015"/>
    <cellStyle name="표준 6 4 11 2 3 2 2" xfId="47367"/>
    <cellStyle name="표준 6 4 11 2 3 3" xfId="34695"/>
    <cellStyle name="표준 6 4 11 2 4" xfId="15679"/>
    <cellStyle name="표준 6 4 11 2 4 2" xfId="41031"/>
    <cellStyle name="표준 6 4 11 2 5" xfId="28359"/>
    <cellStyle name="표준 6 4 11 3" xfId="6168"/>
    <cellStyle name="표준 6 4 11 3 2" xfId="12504"/>
    <cellStyle name="표준 6 4 11 3 2 2" xfId="25178"/>
    <cellStyle name="표준 6 4 11 3 2 2 2" xfId="50530"/>
    <cellStyle name="표준 6 4 11 3 2 3" xfId="37858"/>
    <cellStyle name="표준 6 4 11 3 3" xfId="18842"/>
    <cellStyle name="표준 6 4 11 3 3 2" xfId="44194"/>
    <cellStyle name="표준 6 4 11 3 4" xfId="31522"/>
    <cellStyle name="표준 6 4 11 4" xfId="9340"/>
    <cellStyle name="표준 6 4 11 4 2" xfId="22014"/>
    <cellStyle name="표준 6 4 11 4 2 2" xfId="47366"/>
    <cellStyle name="표준 6 4 11 4 3" xfId="34694"/>
    <cellStyle name="표준 6 4 11 5" xfId="15678"/>
    <cellStyle name="표준 6 4 11 5 2" xfId="41030"/>
    <cellStyle name="표준 6 4 11 6" xfId="28358"/>
    <cellStyle name="표준 6 4 12" xfId="3005"/>
    <cellStyle name="표준 6 4 12 2" xfId="3006"/>
    <cellStyle name="표준 6 4 12 2 2" xfId="6169"/>
    <cellStyle name="표준 6 4 12 2 2 2" xfId="12505"/>
    <cellStyle name="표준 6 4 12 2 2 2 2" xfId="25179"/>
    <cellStyle name="표준 6 4 12 2 2 2 2 2" xfId="50531"/>
    <cellStyle name="표준 6 4 12 2 2 2 3" xfId="37859"/>
    <cellStyle name="표준 6 4 12 2 2 3" xfId="18843"/>
    <cellStyle name="표준 6 4 12 2 2 3 2" xfId="44195"/>
    <cellStyle name="표준 6 4 12 2 2 4" xfId="31523"/>
    <cellStyle name="표준 6 4 12 2 3" xfId="9343"/>
    <cellStyle name="표준 6 4 12 2 3 2" xfId="22017"/>
    <cellStyle name="표준 6 4 12 2 3 2 2" xfId="47369"/>
    <cellStyle name="표준 6 4 12 2 3 3" xfId="34697"/>
    <cellStyle name="표준 6 4 12 2 4" xfId="15681"/>
    <cellStyle name="표준 6 4 12 2 4 2" xfId="41033"/>
    <cellStyle name="표준 6 4 12 2 5" xfId="28361"/>
    <cellStyle name="표준 6 4 12 3" xfId="6170"/>
    <cellStyle name="표준 6 4 12 3 2" xfId="12506"/>
    <cellStyle name="표준 6 4 12 3 2 2" xfId="25180"/>
    <cellStyle name="표준 6 4 12 3 2 2 2" xfId="50532"/>
    <cellStyle name="표준 6 4 12 3 2 3" xfId="37860"/>
    <cellStyle name="표준 6 4 12 3 3" xfId="18844"/>
    <cellStyle name="표준 6 4 12 3 3 2" xfId="44196"/>
    <cellStyle name="표준 6 4 12 3 4" xfId="31524"/>
    <cellStyle name="표준 6 4 12 4" xfId="9342"/>
    <cellStyle name="표준 6 4 12 4 2" xfId="22016"/>
    <cellStyle name="표준 6 4 12 4 2 2" xfId="47368"/>
    <cellStyle name="표준 6 4 12 4 3" xfId="34696"/>
    <cellStyle name="표준 6 4 12 5" xfId="15680"/>
    <cellStyle name="표준 6 4 12 5 2" xfId="41032"/>
    <cellStyle name="표준 6 4 12 6" xfId="28360"/>
    <cellStyle name="표준 6 4 13" xfId="3007"/>
    <cellStyle name="표준 6 4 13 2" xfId="3008"/>
    <cellStyle name="표준 6 4 13 2 2" xfId="6171"/>
    <cellStyle name="표준 6 4 13 2 2 2" xfId="12507"/>
    <cellStyle name="표준 6 4 13 2 2 2 2" xfId="25181"/>
    <cellStyle name="표준 6 4 13 2 2 2 2 2" xfId="50533"/>
    <cellStyle name="표준 6 4 13 2 2 2 3" xfId="37861"/>
    <cellStyle name="표준 6 4 13 2 2 3" xfId="18845"/>
    <cellStyle name="표준 6 4 13 2 2 3 2" xfId="44197"/>
    <cellStyle name="표준 6 4 13 2 2 4" xfId="31525"/>
    <cellStyle name="표준 6 4 13 2 3" xfId="9345"/>
    <cellStyle name="표준 6 4 13 2 3 2" xfId="22019"/>
    <cellStyle name="표준 6 4 13 2 3 2 2" xfId="47371"/>
    <cellStyle name="표준 6 4 13 2 3 3" xfId="34699"/>
    <cellStyle name="표준 6 4 13 2 4" xfId="15683"/>
    <cellStyle name="표준 6 4 13 2 4 2" xfId="41035"/>
    <cellStyle name="표준 6 4 13 2 5" xfId="28363"/>
    <cellStyle name="표준 6 4 13 3" xfId="6172"/>
    <cellStyle name="표준 6 4 13 3 2" xfId="12508"/>
    <cellStyle name="표준 6 4 13 3 2 2" xfId="25182"/>
    <cellStyle name="표준 6 4 13 3 2 2 2" xfId="50534"/>
    <cellStyle name="표준 6 4 13 3 2 3" xfId="37862"/>
    <cellStyle name="표준 6 4 13 3 3" xfId="18846"/>
    <cellStyle name="표준 6 4 13 3 3 2" xfId="44198"/>
    <cellStyle name="표준 6 4 13 3 4" xfId="31526"/>
    <cellStyle name="표준 6 4 13 4" xfId="9344"/>
    <cellStyle name="표준 6 4 13 4 2" xfId="22018"/>
    <cellStyle name="표준 6 4 13 4 2 2" xfId="47370"/>
    <cellStyle name="표준 6 4 13 4 3" xfId="34698"/>
    <cellStyle name="표준 6 4 13 5" xfId="15682"/>
    <cellStyle name="표준 6 4 13 5 2" xfId="41034"/>
    <cellStyle name="표준 6 4 13 6" xfId="28362"/>
    <cellStyle name="표준 6 4 14" xfId="3009"/>
    <cellStyle name="표준 6 4 14 2" xfId="3010"/>
    <cellStyle name="표준 6 4 14 2 2" xfId="6173"/>
    <cellStyle name="표준 6 4 14 2 2 2" xfId="12509"/>
    <cellStyle name="표준 6 4 14 2 2 2 2" xfId="25183"/>
    <cellStyle name="표준 6 4 14 2 2 2 2 2" xfId="50535"/>
    <cellStyle name="표준 6 4 14 2 2 2 3" xfId="37863"/>
    <cellStyle name="표준 6 4 14 2 2 3" xfId="18847"/>
    <cellStyle name="표준 6 4 14 2 2 3 2" xfId="44199"/>
    <cellStyle name="표준 6 4 14 2 2 4" xfId="31527"/>
    <cellStyle name="표준 6 4 14 2 3" xfId="9347"/>
    <cellStyle name="표준 6 4 14 2 3 2" xfId="22021"/>
    <cellStyle name="표준 6 4 14 2 3 2 2" xfId="47373"/>
    <cellStyle name="표준 6 4 14 2 3 3" xfId="34701"/>
    <cellStyle name="표준 6 4 14 2 4" xfId="15685"/>
    <cellStyle name="표준 6 4 14 2 4 2" xfId="41037"/>
    <cellStyle name="표준 6 4 14 2 5" xfId="28365"/>
    <cellStyle name="표준 6 4 14 3" xfId="6174"/>
    <cellStyle name="표준 6 4 14 3 2" xfId="12510"/>
    <cellStyle name="표준 6 4 14 3 2 2" xfId="25184"/>
    <cellStyle name="표준 6 4 14 3 2 2 2" xfId="50536"/>
    <cellStyle name="표준 6 4 14 3 2 3" xfId="37864"/>
    <cellStyle name="표준 6 4 14 3 3" xfId="18848"/>
    <cellStyle name="표준 6 4 14 3 3 2" xfId="44200"/>
    <cellStyle name="표준 6 4 14 3 4" xfId="31528"/>
    <cellStyle name="표준 6 4 14 4" xfId="9346"/>
    <cellStyle name="표준 6 4 14 4 2" xfId="22020"/>
    <cellStyle name="표준 6 4 14 4 2 2" xfId="47372"/>
    <cellStyle name="표준 6 4 14 4 3" xfId="34700"/>
    <cellStyle name="표준 6 4 14 5" xfId="15684"/>
    <cellStyle name="표준 6 4 14 5 2" xfId="41036"/>
    <cellStyle name="표준 6 4 14 6" xfId="28364"/>
    <cellStyle name="표준 6 4 15" xfId="3011"/>
    <cellStyle name="표준 6 4 15 2" xfId="3012"/>
    <cellStyle name="표준 6 4 15 2 2" xfId="6175"/>
    <cellStyle name="표준 6 4 15 2 2 2" xfId="12511"/>
    <cellStyle name="표준 6 4 15 2 2 2 2" xfId="25185"/>
    <cellStyle name="표준 6 4 15 2 2 2 2 2" xfId="50537"/>
    <cellStyle name="표준 6 4 15 2 2 2 3" xfId="37865"/>
    <cellStyle name="표준 6 4 15 2 2 3" xfId="18849"/>
    <cellStyle name="표준 6 4 15 2 2 3 2" xfId="44201"/>
    <cellStyle name="표준 6 4 15 2 2 4" xfId="31529"/>
    <cellStyle name="표준 6 4 15 2 3" xfId="9349"/>
    <cellStyle name="표준 6 4 15 2 3 2" xfId="22023"/>
    <cellStyle name="표준 6 4 15 2 3 2 2" xfId="47375"/>
    <cellStyle name="표준 6 4 15 2 3 3" xfId="34703"/>
    <cellStyle name="표준 6 4 15 2 4" xfId="15687"/>
    <cellStyle name="표준 6 4 15 2 4 2" xfId="41039"/>
    <cellStyle name="표준 6 4 15 2 5" xfId="28367"/>
    <cellStyle name="표준 6 4 15 3" xfId="6176"/>
    <cellStyle name="표준 6 4 15 3 2" xfId="12512"/>
    <cellStyle name="표준 6 4 15 3 2 2" xfId="25186"/>
    <cellStyle name="표준 6 4 15 3 2 2 2" xfId="50538"/>
    <cellStyle name="표준 6 4 15 3 2 3" xfId="37866"/>
    <cellStyle name="표준 6 4 15 3 3" xfId="18850"/>
    <cellStyle name="표준 6 4 15 3 3 2" xfId="44202"/>
    <cellStyle name="표준 6 4 15 3 4" xfId="31530"/>
    <cellStyle name="표준 6 4 15 4" xfId="9348"/>
    <cellStyle name="표준 6 4 15 4 2" xfId="22022"/>
    <cellStyle name="표준 6 4 15 4 2 2" xfId="47374"/>
    <cellStyle name="표준 6 4 15 4 3" xfId="34702"/>
    <cellStyle name="표준 6 4 15 5" xfId="15686"/>
    <cellStyle name="표준 6 4 15 5 2" xfId="41038"/>
    <cellStyle name="표준 6 4 15 6" xfId="28366"/>
    <cellStyle name="표준 6 4 16" xfId="3013"/>
    <cellStyle name="표준 6 4 16 2" xfId="3014"/>
    <cellStyle name="표준 6 4 16 2 2" xfId="6177"/>
    <cellStyle name="표준 6 4 16 2 2 2" xfId="12513"/>
    <cellStyle name="표준 6 4 16 2 2 2 2" xfId="25187"/>
    <cellStyle name="표준 6 4 16 2 2 2 2 2" xfId="50539"/>
    <cellStyle name="표준 6 4 16 2 2 2 3" xfId="37867"/>
    <cellStyle name="표준 6 4 16 2 2 3" xfId="18851"/>
    <cellStyle name="표준 6 4 16 2 2 3 2" xfId="44203"/>
    <cellStyle name="표준 6 4 16 2 2 4" xfId="31531"/>
    <cellStyle name="표준 6 4 16 2 3" xfId="9351"/>
    <cellStyle name="표준 6 4 16 2 3 2" xfId="22025"/>
    <cellStyle name="표준 6 4 16 2 3 2 2" xfId="47377"/>
    <cellStyle name="표준 6 4 16 2 3 3" xfId="34705"/>
    <cellStyle name="표준 6 4 16 2 4" xfId="15689"/>
    <cellStyle name="표준 6 4 16 2 4 2" xfId="41041"/>
    <cellStyle name="표준 6 4 16 2 5" xfId="28369"/>
    <cellStyle name="표준 6 4 16 3" xfId="6178"/>
    <cellStyle name="표준 6 4 16 3 2" xfId="12514"/>
    <cellStyle name="표준 6 4 16 3 2 2" xfId="25188"/>
    <cellStyle name="표준 6 4 16 3 2 2 2" xfId="50540"/>
    <cellStyle name="표준 6 4 16 3 2 3" xfId="37868"/>
    <cellStyle name="표준 6 4 16 3 3" xfId="18852"/>
    <cellStyle name="표준 6 4 16 3 3 2" xfId="44204"/>
    <cellStyle name="표준 6 4 16 3 4" xfId="31532"/>
    <cellStyle name="표준 6 4 16 4" xfId="9350"/>
    <cellStyle name="표준 6 4 16 4 2" xfId="22024"/>
    <cellStyle name="표준 6 4 16 4 2 2" xfId="47376"/>
    <cellStyle name="표준 6 4 16 4 3" xfId="34704"/>
    <cellStyle name="표준 6 4 16 5" xfId="15688"/>
    <cellStyle name="표준 6 4 16 5 2" xfId="41040"/>
    <cellStyle name="표준 6 4 16 6" xfId="28368"/>
    <cellStyle name="표준 6 4 17" xfId="3015"/>
    <cellStyle name="표준 6 4 17 2" xfId="3016"/>
    <cellStyle name="표준 6 4 17 2 2" xfId="6179"/>
    <cellStyle name="표준 6 4 17 2 2 2" xfId="12515"/>
    <cellStyle name="표준 6 4 17 2 2 2 2" xfId="25189"/>
    <cellStyle name="표준 6 4 17 2 2 2 2 2" xfId="50541"/>
    <cellStyle name="표준 6 4 17 2 2 2 3" xfId="37869"/>
    <cellStyle name="표준 6 4 17 2 2 3" xfId="18853"/>
    <cellStyle name="표준 6 4 17 2 2 3 2" xfId="44205"/>
    <cellStyle name="표준 6 4 17 2 2 4" xfId="31533"/>
    <cellStyle name="표준 6 4 17 2 3" xfId="9353"/>
    <cellStyle name="표준 6 4 17 2 3 2" xfId="22027"/>
    <cellStyle name="표준 6 4 17 2 3 2 2" xfId="47379"/>
    <cellStyle name="표준 6 4 17 2 3 3" xfId="34707"/>
    <cellStyle name="표준 6 4 17 2 4" xfId="15691"/>
    <cellStyle name="표준 6 4 17 2 4 2" xfId="41043"/>
    <cellStyle name="표준 6 4 17 2 5" xfId="28371"/>
    <cellStyle name="표준 6 4 17 3" xfId="6180"/>
    <cellStyle name="표준 6 4 17 3 2" xfId="12516"/>
    <cellStyle name="표준 6 4 17 3 2 2" xfId="25190"/>
    <cellStyle name="표준 6 4 17 3 2 2 2" xfId="50542"/>
    <cellStyle name="표준 6 4 17 3 2 3" xfId="37870"/>
    <cellStyle name="표준 6 4 17 3 3" xfId="18854"/>
    <cellStyle name="표준 6 4 17 3 3 2" xfId="44206"/>
    <cellStyle name="표준 6 4 17 3 4" xfId="31534"/>
    <cellStyle name="표준 6 4 17 4" xfId="9352"/>
    <cellStyle name="표준 6 4 17 4 2" xfId="22026"/>
    <cellStyle name="표준 6 4 17 4 2 2" xfId="47378"/>
    <cellStyle name="표준 6 4 17 4 3" xfId="34706"/>
    <cellStyle name="표준 6 4 17 5" xfId="15690"/>
    <cellStyle name="표준 6 4 17 5 2" xfId="41042"/>
    <cellStyle name="표준 6 4 17 6" xfId="28370"/>
    <cellStyle name="표준 6 4 18" xfId="3017"/>
    <cellStyle name="표준 6 4 18 2" xfId="3018"/>
    <cellStyle name="표준 6 4 18 2 2" xfId="6181"/>
    <cellStyle name="표준 6 4 18 2 2 2" xfId="12517"/>
    <cellStyle name="표준 6 4 18 2 2 2 2" xfId="25191"/>
    <cellStyle name="표준 6 4 18 2 2 2 2 2" xfId="50543"/>
    <cellStyle name="표준 6 4 18 2 2 2 3" xfId="37871"/>
    <cellStyle name="표준 6 4 18 2 2 3" xfId="18855"/>
    <cellStyle name="표준 6 4 18 2 2 3 2" xfId="44207"/>
    <cellStyle name="표준 6 4 18 2 2 4" xfId="31535"/>
    <cellStyle name="표준 6 4 18 2 3" xfId="9355"/>
    <cellStyle name="표준 6 4 18 2 3 2" xfId="22029"/>
    <cellStyle name="표준 6 4 18 2 3 2 2" xfId="47381"/>
    <cellStyle name="표준 6 4 18 2 3 3" xfId="34709"/>
    <cellStyle name="표준 6 4 18 2 4" xfId="15693"/>
    <cellStyle name="표준 6 4 18 2 4 2" xfId="41045"/>
    <cellStyle name="표준 6 4 18 2 5" xfId="28373"/>
    <cellStyle name="표준 6 4 18 3" xfId="6182"/>
    <cellStyle name="표준 6 4 18 3 2" xfId="12518"/>
    <cellStyle name="표준 6 4 18 3 2 2" xfId="25192"/>
    <cellStyle name="표준 6 4 18 3 2 2 2" xfId="50544"/>
    <cellStyle name="표준 6 4 18 3 2 3" xfId="37872"/>
    <cellStyle name="표준 6 4 18 3 3" xfId="18856"/>
    <cellStyle name="표준 6 4 18 3 3 2" xfId="44208"/>
    <cellStyle name="표준 6 4 18 3 4" xfId="31536"/>
    <cellStyle name="표준 6 4 18 4" xfId="9354"/>
    <cellStyle name="표준 6 4 18 4 2" xfId="22028"/>
    <cellStyle name="표준 6 4 18 4 2 2" xfId="47380"/>
    <cellStyle name="표준 6 4 18 4 3" xfId="34708"/>
    <cellStyle name="표준 6 4 18 5" xfId="15692"/>
    <cellStyle name="표준 6 4 18 5 2" xfId="41044"/>
    <cellStyle name="표준 6 4 18 6" xfId="28372"/>
    <cellStyle name="표준 6 4 19" xfId="3019"/>
    <cellStyle name="표준 6 4 19 2" xfId="3020"/>
    <cellStyle name="표준 6 4 19 2 2" xfId="6183"/>
    <cellStyle name="표준 6 4 19 2 2 2" xfId="12519"/>
    <cellStyle name="표준 6 4 19 2 2 2 2" xfId="25193"/>
    <cellStyle name="표준 6 4 19 2 2 2 2 2" xfId="50545"/>
    <cellStyle name="표준 6 4 19 2 2 2 3" xfId="37873"/>
    <cellStyle name="표준 6 4 19 2 2 3" xfId="18857"/>
    <cellStyle name="표준 6 4 19 2 2 3 2" xfId="44209"/>
    <cellStyle name="표준 6 4 19 2 2 4" xfId="31537"/>
    <cellStyle name="표준 6 4 19 2 3" xfId="9357"/>
    <cellStyle name="표준 6 4 19 2 3 2" xfId="22031"/>
    <cellStyle name="표준 6 4 19 2 3 2 2" xfId="47383"/>
    <cellStyle name="표준 6 4 19 2 3 3" xfId="34711"/>
    <cellStyle name="표준 6 4 19 2 4" xfId="15695"/>
    <cellStyle name="표준 6 4 19 2 4 2" xfId="41047"/>
    <cellStyle name="표준 6 4 19 2 5" xfId="28375"/>
    <cellStyle name="표준 6 4 19 3" xfId="6184"/>
    <cellStyle name="표준 6 4 19 3 2" xfId="12520"/>
    <cellStyle name="표준 6 4 19 3 2 2" xfId="25194"/>
    <cellStyle name="표준 6 4 19 3 2 2 2" xfId="50546"/>
    <cellStyle name="표준 6 4 19 3 2 3" xfId="37874"/>
    <cellStyle name="표준 6 4 19 3 3" xfId="18858"/>
    <cellStyle name="표준 6 4 19 3 3 2" xfId="44210"/>
    <cellStyle name="표준 6 4 19 3 4" xfId="31538"/>
    <cellStyle name="표준 6 4 19 4" xfId="9356"/>
    <cellStyle name="표준 6 4 19 4 2" xfId="22030"/>
    <cellStyle name="표준 6 4 19 4 2 2" xfId="47382"/>
    <cellStyle name="표준 6 4 19 4 3" xfId="34710"/>
    <cellStyle name="표준 6 4 19 5" xfId="15694"/>
    <cellStyle name="표준 6 4 19 5 2" xfId="41046"/>
    <cellStyle name="표준 6 4 19 6" xfId="28374"/>
    <cellStyle name="표준 6 4 2" xfId="101"/>
    <cellStyle name="표준 6 4 2 10" xfId="3021"/>
    <cellStyle name="표준 6 4 2 10 2" xfId="3022"/>
    <cellStyle name="표준 6 4 2 10 2 2" xfId="6185"/>
    <cellStyle name="표준 6 4 2 10 2 2 2" xfId="12521"/>
    <cellStyle name="표준 6 4 2 10 2 2 2 2" xfId="25195"/>
    <cellStyle name="표준 6 4 2 10 2 2 2 2 2" xfId="50547"/>
    <cellStyle name="표준 6 4 2 10 2 2 2 3" xfId="37875"/>
    <cellStyle name="표준 6 4 2 10 2 2 3" xfId="18859"/>
    <cellStyle name="표준 6 4 2 10 2 2 3 2" xfId="44211"/>
    <cellStyle name="표준 6 4 2 10 2 2 4" xfId="31539"/>
    <cellStyle name="표준 6 4 2 10 2 3" xfId="9359"/>
    <cellStyle name="표준 6 4 2 10 2 3 2" xfId="22033"/>
    <cellStyle name="표준 6 4 2 10 2 3 2 2" xfId="47385"/>
    <cellStyle name="표준 6 4 2 10 2 3 3" xfId="34713"/>
    <cellStyle name="표준 6 4 2 10 2 4" xfId="15697"/>
    <cellStyle name="표준 6 4 2 10 2 4 2" xfId="41049"/>
    <cellStyle name="표준 6 4 2 10 2 5" xfId="28377"/>
    <cellStyle name="표준 6 4 2 10 3" xfId="6186"/>
    <cellStyle name="표준 6 4 2 10 3 2" xfId="12522"/>
    <cellStyle name="표준 6 4 2 10 3 2 2" xfId="25196"/>
    <cellStyle name="표준 6 4 2 10 3 2 2 2" xfId="50548"/>
    <cellStyle name="표준 6 4 2 10 3 2 3" xfId="37876"/>
    <cellStyle name="표준 6 4 2 10 3 3" xfId="18860"/>
    <cellStyle name="표준 6 4 2 10 3 3 2" xfId="44212"/>
    <cellStyle name="표준 6 4 2 10 3 4" xfId="31540"/>
    <cellStyle name="표준 6 4 2 10 4" xfId="9358"/>
    <cellStyle name="표준 6 4 2 10 4 2" xfId="22032"/>
    <cellStyle name="표준 6 4 2 10 4 2 2" xfId="47384"/>
    <cellStyle name="표준 6 4 2 10 4 3" xfId="34712"/>
    <cellStyle name="표준 6 4 2 10 5" xfId="15696"/>
    <cellStyle name="표준 6 4 2 10 5 2" xfId="41048"/>
    <cellStyle name="표준 6 4 2 10 6" xfId="28376"/>
    <cellStyle name="표준 6 4 2 11" xfId="3023"/>
    <cellStyle name="표준 6 4 2 11 2" xfId="3024"/>
    <cellStyle name="표준 6 4 2 11 2 2" xfId="6187"/>
    <cellStyle name="표준 6 4 2 11 2 2 2" xfId="12523"/>
    <cellStyle name="표준 6 4 2 11 2 2 2 2" xfId="25197"/>
    <cellStyle name="표준 6 4 2 11 2 2 2 2 2" xfId="50549"/>
    <cellStyle name="표준 6 4 2 11 2 2 2 3" xfId="37877"/>
    <cellStyle name="표준 6 4 2 11 2 2 3" xfId="18861"/>
    <cellStyle name="표준 6 4 2 11 2 2 3 2" xfId="44213"/>
    <cellStyle name="표준 6 4 2 11 2 2 4" xfId="31541"/>
    <cellStyle name="표준 6 4 2 11 2 3" xfId="9361"/>
    <cellStyle name="표준 6 4 2 11 2 3 2" xfId="22035"/>
    <cellStyle name="표준 6 4 2 11 2 3 2 2" xfId="47387"/>
    <cellStyle name="표준 6 4 2 11 2 3 3" xfId="34715"/>
    <cellStyle name="표준 6 4 2 11 2 4" xfId="15699"/>
    <cellStyle name="표준 6 4 2 11 2 4 2" xfId="41051"/>
    <cellStyle name="표준 6 4 2 11 2 5" xfId="28379"/>
    <cellStyle name="표준 6 4 2 11 3" xfId="6188"/>
    <cellStyle name="표준 6 4 2 11 3 2" xfId="12524"/>
    <cellStyle name="표준 6 4 2 11 3 2 2" xfId="25198"/>
    <cellStyle name="표준 6 4 2 11 3 2 2 2" xfId="50550"/>
    <cellStyle name="표준 6 4 2 11 3 2 3" xfId="37878"/>
    <cellStyle name="표준 6 4 2 11 3 3" xfId="18862"/>
    <cellStyle name="표준 6 4 2 11 3 3 2" xfId="44214"/>
    <cellStyle name="표준 6 4 2 11 3 4" xfId="31542"/>
    <cellStyle name="표준 6 4 2 11 4" xfId="9360"/>
    <cellStyle name="표준 6 4 2 11 4 2" xfId="22034"/>
    <cellStyle name="표준 6 4 2 11 4 2 2" xfId="47386"/>
    <cellStyle name="표준 6 4 2 11 4 3" xfId="34714"/>
    <cellStyle name="표준 6 4 2 11 5" xfId="15698"/>
    <cellStyle name="표준 6 4 2 11 5 2" xfId="41050"/>
    <cellStyle name="표준 6 4 2 11 6" xfId="28378"/>
    <cellStyle name="표준 6 4 2 12" xfId="3025"/>
    <cellStyle name="표준 6 4 2 12 2" xfId="3026"/>
    <cellStyle name="표준 6 4 2 12 2 2" xfId="6189"/>
    <cellStyle name="표준 6 4 2 12 2 2 2" xfId="12525"/>
    <cellStyle name="표준 6 4 2 12 2 2 2 2" xfId="25199"/>
    <cellStyle name="표준 6 4 2 12 2 2 2 2 2" xfId="50551"/>
    <cellStyle name="표준 6 4 2 12 2 2 2 3" xfId="37879"/>
    <cellStyle name="표준 6 4 2 12 2 2 3" xfId="18863"/>
    <cellStyle name="표준 6 4 2 12 2 2 3 2" xfId="44215"/>
    <cellStyle name="표준 6 4 2 12 2 2 4" xfId="31543"/>
    <cellStyle name="표준 6 4 2 12 2 3" xfId="9363"/>
    <cellStyle name="표준 6 4 2 12 2 3 2" xfId="22037"/>
    <cellStyle name="표준 6 4 2 12 2 3 2 2" xfId="47389"/>
    <cellStyle name="표준 6 4 2 12 2 3 3" xfId="34717"/>
    <cellStyle name="표준 6 4 2 12 2 4" xfId="15701"/>
    <cellStyle name="표준 6 4 2 12 2 4 2" xfId="41053"/>
    <cellStyle name="표준 6 4 2 12 2 5" xfId="28381"/>
    <cellStyle name="표준 6 4 2 12 3" xfId="6190"/>
    <cellStyle name="표준 6 4 2 12 3 2" xfId="12526"/>
    <cellStyle name="표준 6 4 2 12 3 2 2" xfId="25200"/>
    <cellStyle name="표준 6 4 2 12 3 2 2 2" xfId="50552"/>
    <cellStyle name="표준 6 4 2 12 3 2 3" xfId="37880"/>
    <cellStyle name="표준 6 4 2 12 3 3" xfId="18864"/>
    <cellStyle name="표준 6 4 2 12 3 3 2" xfId="44216"/>
    <cellStyle name="표준 6 4 2 12 3 4" xfId="31544"/>
    <cellStyle name="표준 6 4 2 12 4" xfId="9362"/>
    <cellStyle name="표준 6 4 2 12 4 2" xfId="22036"/>
    <cellStyle name="표준 6 4 2 12 4 2 2" xfId="47388"/>
    <cellStyle name="표준 6 4 2 12 4 3" xfId="34716"/>
    <cellStyle name="표준 6 4 2 12 5" xfId="15700"/>
    <cellStyle name="표준 6 4 2 12 5 2" xfId="41052"/>
    <cellStyle name="표준 6 4 2 12 6" xfId="28380"/>
    <cellStyle name="표준 6 4 2 13" xfId="3027"/>
    <cellStyle name="표준 6 4 2 13 2" xfId="3028"/>
    <cellStyle name="표준 6 4 2 13 2 2" xfId="6191"/>
    <cellStyle name="표준 6 4 2 13 2 2 2" xfId="12527"/>
    <cellStyle name="표준 6 4 2 13 2 2 2 2" xfId="25201"/>
    <cellStyle name="표준 6 4 2 13 2 2 2 2 2" xfId="50553"/>
    <cellStyle name="표준 6 4 2 13 2 2 2 3" xfId="37881"/>
    <cellStyle name="표준 6 4 2 13 2 2 3" xfId="18865"/>
    <cellStyle name="표준 6 4 2 13 2 2 3 2" xfId="44217"/>
    <cellStyle name="표준 6 4 2 13 2 2 4" xfId="31545"/>
    <cellStyle name="표준 6 4 2 13 2 3" xfId="9365"/>
    <cellStyle name="표준 6 4 2 13 2 3 2" xfId="22039"/>
    <cellStyle name="표준 6 4 2 13 2 3 2 2" xfId="47391"/>
    <cellStyle name="표준 6 4 2 13 2 3 3" xfId="34719"/>
    <cellStyle name="표준 6 4 2 13 2 4" xfId="15703"/>
    <cellStyle name="표준 6 4 2 13 2 4 2" xfId="41055"/>
    <cellStyle name="표준 6 4 2 13 2 5" xfId="28383"/>
    <cellStyle name="표준 6 4 2 13 3" xfId="6192"/>
    <cellStyle name="표준 6 4 2 13 3 2" xfId="12528"/>
    <cellStyle name="표준 6 4 2 13 3 2 2" xfId="25202"/>
    <cellStyle name="표준 6 4 2 13 3 2 2 2" xfId="50554"/>
    <cellStyle name="표준 6 4 2 13 3 2 3" xfId="37882"/>
    <cellStyle name="표준 6 4 2 13 3 3" xfId="18866"/>
    <cellStyle name="표준 6 4 2 13 3 3 2" xfId="44218"/>
    <cellStyle name="표준 6 4 2 13 3 4" xfId="31546"/>
    <cellStyle name="표준 6 4 2 13 4" xfId="9364"/>
    <cellStyle name="표준 6 4 2 13 4 2" xfId="22038"/>
    <cellStyle name="표준 6 4 2 13 4 2 2" xfId="47390"/>
    <cellStyle name="표준 6 4 2 13 4 3" xfId="34718"/>
    <cellStyle name="표준 6 4 2 13 5" xfId="15702"/>
    <cellStyle name="표준 6 4 2 13 5 2" xfId="41054"/>
    <cellStyle name="표준 6 4 2 13 6" xfId="28382"/>
    <cellStyle name="표준 6 4 2 14" xfId="3029"/>
    <cellStyle name="표준 6 4 2 14 2" xfId="3030"/>
    <cellStyle name="표준 6 4 2 14 2 2" xfId="6193"/>
    <cellStyle name="표준 6 4 2 14 2 2 2" xfId="12529"/>
    <cellStyle name="표준 6 4 2 14 2 2 2 2" xfId="25203"/>
    <cellStyle name="표준 6 4 2 14 2 2 2 2 2" xfId="50555"/>
    <cellStyle name="표준 6 4 2 14 2 2 2 3" xfId="37883"/>
    <cellStyle name="표준 6 4 2 14 2 2 3" xfId="18867"/>
    <cellStyle name="표준 6 4 2 14 2 2 3 2" xfId="44219"/>
    <cellStyle name="표준 6 4 2 14 2 2 4" xfId="31547"/>
    <cellStyle name="표준 6 4 2 14 2 3" xfId="9367"/>
    <cellStyle name="표준 6 4 2 14 2 3 2" xfId="22041"/>
    <cellStyle name="표준 6 4 2 14 2 3 2 2" xfId="47393"/>
    <cellStyle name="표준 6 4 2 14 2 3 3" xfId="34721"/>
    <cellStyle name="표준 6 4 2 14 2 4" xfId="15705"/>
    <cellStyle name="표준 6 4 2 14 2 4 2" xfId="41057"/>
    <cellStyle name="표준 6 4 2 14 2 5" xfId="28385"/>
    <cellStyle name="표준 6 4 2 14 3" xfId="6194"/>
    <cellStyle name="표준 6 4 2 14 3 2" xfId="12530"/>
    <cellStyle name="표준 6 4 2 14 3 2 2" xfId="25204"/>
    <cellStyle name="표준 6 4 2 14 3 2 2 2" xfId="50556"/>
    <cellStyle name="표준 6 4 2 14 3 2 3" xfId="37884"/>
    <cellStyle name="표준 6 4 2 14 3 3" xfId="18868"/>
    <cellStyle name="표준 6 4 2 14 3 3 2" xfId="44220"/>
    <cellStyle name="표준 6 4 2 14 3 4" xfId="31548"/>
    <cellStyle name="표준 6 4 2 14 4" xfId="9366"/>
    <cellStyle name="표준 6 4 2 14 4 2" xfId="22040"/>
    <cellStyle name="표준 6 4 2 14 4 2 2" xfId="47392"/>
    <cellStyle name="표준 6 4 2 14 4 3" xfId="34720"/>
    <cellStyle name="표준 6 4 2 14 5" xfId="15704"/>
    <cellStyle name="표준 6 4 2 14 5 2" xfId="41056"/>
    <cellStyle name="표준 6 4 2 14 6" xfId="28384"/>
    <cellStyle name="표준 6 4 2 15" xfId="3031"/>
    <cellStyle name="표준 6 4 2 15 2" xfId="3032"/>
    <cellStyle name="표준 6 4 2 15 2 2" xfId="6195"/>
    <cellStyle name="표준 6 4 2 15 2 2 2" xfId="12531"/>
    <cellStyle name="표준 6 4 2 15 2 2 2 2" xfId="25205"/>
    <cellStyle name="표준 6 4 2 15 2 2 2 2 2" xfId="50557"/>
    <cellStyle name="표준 6 4 2 15 2 2 2 3" xfId="37885"/>
    <cellStyle name="표준 6 4 2 15 2 2 3" xfId="18869"/>
    <cellStyle name="표준 6 4 2 15 2 2 3 2" xfId="44221"/>
    <cellStyle name="표준 6 4 2 15 2 2 4" xfId="31549"/>
    <cellStyle name="표준 6 4 2 15 2 3" xfId="9369"/>
    <cellStyle name="표준 6 4 2 15 2 3 2" xfId="22043"/>
    <cellStyle name="표준 6 4 2 15 2 3 2 2" xfId="47395"/>
    <cellStyle name="표준 6 4 2 15 2 3 3" xfId="34723"/>
    <cellStyle name="표준 6 4 2 15 2 4" xfId="15707"/>
    <cellStyle name="표준 6 4 2 15 2 4 2" xfId="41059"/>
    <cellStyle name="표준 6 4 2 15 2 5" xfId="28387"/>
    <cellStyle name="표준 6 4 2 15 3" xfId="6196"/>
    <cellStyle name="표준 6 4 2 15 3 2" xfId="12532"/>
    <cellStyle name="표준 6 4 2 15 3 2 2" xfId="25206"/>
    <cellStyle name="표준 6 4 2 15 3 2 2 2" xfId="50558"/>
    <cellStyle name="표준 6 4 2 15 3 2 3" xfId="37886"/>
    <cellStyle name="표준 6 4 2 15 3 3" xfId="18870"/>
    <cellStyle name="표준 6 4 2 15 3 3 2" xfId="44222"/>
    <cellStyle name="표준 6 4 2 15 3 4" xfId="31550"/>
    <cellStyle name="표준 6 4 2 15 4" xfId="9368"/>
    <cellStyle name="표준 6 4 2 15 4 2" xfId="22042"/>
    <cellStyle name="표준 6 4 2 15 4 2 2" xfId="47394"/>
    <cellStyle name="표준 6 4 2 15 4 3" xfId="34722"/>
    <cellStyle name="표준 6 4 2 15 5" xfId="15706"/>
    <cellStyle name="표준 6 4 2 15 5 2" xfId="41058"/>
    <cellStyle name="표준 6 4 2 15 6" xfId="28386"/>
    <cellStyle name="표준 6 4 2 16" xfId="3033"/>
    <cellStyle name="표준 6 4 2 16 2" xfId="3034"/>
    <cellStyle name="표준 6 4 2 16 2 2" xfId="6197"/>
    <cellStyle name="표준 6 4 2 16 2 2 2" xfId="12533"/>
    <cellStyle name="표준 6 4 2 16 2 2 2 2" xfId="25207"/>
    <cellStyle name="표준 6 4 2 16 2 2 2 2 2" xfId="50559"/>
    <cellStyle name="표준 6 4 2 16 2 2 2 3" xfId="37887"/>
    <cellStyle name="표준 6 4 2 16 2 2 3" xfId="18871"/>
    <cellStyle name="표준 6 4 2 16 2 2 3 2" xfId="44223"/>
    <cellStyle name="표준 6 4 2 16 2 2 4" xfId="31551"/>
    <cellStyle name="표준 6 4 2 16 2 3" xfId="9371"/>
    <cellStyle name="표준 6 4 2 16 2 3 2" xfId="22045"/>
    <cellStyle name="표준 6 4 2 16 2 3 2 2" xfId="47397"/>
    <cellStyle name="표준 6 4 2 16 2 3 3" xfId="34725"/>
    <cellStyle name="표준 6 4 2 16 2 4" xfId="15709"/>
    <cellStyle name="표준 6 4 2 16 2 4 2" xfId="41061"/>
    <cellStyle name="표준 6 4 2 16 2 5" xfId="28389"/>
    <cellStyle name="표준 6 4 2 16 3" xfId="6198"/>
    <cellStyle name="표준 6 4 2 16 3 2" xfId="12534"/>
    <cellStyle name="표준 6 4 2 16 3 2 2" xfId="25208"/>
    <cellStyle name="표준 6 4 2 16 3 2 2 2" xfId="50560"/>
    <cellStyle name="표준 6 4 2 16 3 2 3" xfId="37888"/>
    <cellStyle name="표준 6 4 2 16 3 3" xfId="18872"/>
    <cellStyle name="표준 6 4 2 16 3 3 2" xfId="44224"/>
    <cellStyle name="표준 6 4 2 16 3 4" xfId="31552"/>
    <cellStyle name="표준 6 4 2 16 4" xfId="9370"/>
    <cellStyle name="표준 6 4 2 16 4 2" xfId="22044"/>
    <cellStyle name="표준 6 4 2 16 4 2 2" xfId="47396"/>
    <cellStyle name="표준 6 4 2 16 4 3" xfId="34724"/>
    <cellStyle name="표준 6 4 2 16 5" xfId="15708"/>
    <cellStyle name="표준 6 4 2 16 5 2" xfId="41060"/>
    <cellStyle name="표준 6 4 2 16 6" xfId="28388"/>
    <cellStyle name="표준 6 4 2 17" xfId="3035"/>
    <cellStyle name="표준 6 4 2 17 2" xfId="3036"/>
    <cellStyle name="표준 6 4 2 17 2 2" xfId="6199"/>
    <cellStyle name="표준 6 4 2 17 2 2 2" xfId="12535"/>
    <cellStyle name="표준 6 4 2 17 2 2 2 2" xfId="25209"/>
    <cellStyle name="표준 6 4 2 17 2 2 2 2 2" xfId="50561"/>
    <cellStyle name="표준 6 4 2 17 2 2 2 3" xfId="37889"/>
    <cellStyle name="표준 6 4 2 17 2 2 3" xfId="18873"/>
    <cellStyle name="표준 6 4 2 17 2 2 3 2" xfId="44225"/>
    <cellStyle name="표준 6 4 2 17 2 2 4" xfId="31553"/>
    <cellStyle name="표준 6 4 2 17 2 3" xfId="9373"/>
    <cellStyle name="표준 6 4 2 17 2 3 2" xfId="22047"/>
    <cellStyle name="표준 6 4 2 17 2 3 2 2" xfId="47399"/>
    <cellStyle name="표준 6 4 2 17 2 3 3" xfId="34727"/>
    <cellStyle name="표준 6 4 2 17 2 4" xfId="15711"/>
    <cellStyle name="표준 6 4 2 17 2 4 2" xfId="41063"/>
    <cellStyle name="표준 6 4 2 17 2 5" xfId="28391"/>
    <cellStyle name="표준 6 4 2 17 3" xfId="6200"/>
    <cellStyle name="표준 6 4 2 17 3 2" xfId="12536"/>
    <cellStyle name="표준 6 4 2 17 3 2 2" xfId="25210"/>
    <cellStyle name="표준 6 4 2 17 3 2 2 2" xfId="50562"/>
    <cellStyle name="표준 6 4 2 17 3 2 3" xfId="37890"/>
    <cellStyle name="표준 6 4 2 17 3 3" xfId="18874"/>
    <cellStyle name="표준 6 4 2 17 3 3 2" xfId="44226"/>
    <cellStyle name="표준 6 4 2 17 3 4" xfId="31554"/>
    <cellStyle name="표준 6 4 2 17 4" xfId="9372"/>
    <cellStyle name="표준 6 4 2 17 4 2" xfId="22046"/>
    <cellStyle name="표준 6 4 2 17 4 2 2" xfId="47398"/>
    <cellStyle name="표준 6 4 2 17 4 3" xfId="34726"/>
    <cellStyle name="표준 6 4 2 17 5" xfId="15710"/>
    <cellStyle name="표준 6 4 2 17 5 2" xfId="41062"/>
    <cellStyle name="표준 6 4 2 17 6" xfId="28390"/>
    <cellStyle name="표준 6 4 2 18" xfId="3037"/>
    <cellStyle name="표준 6 4 2 18 2" xfId="3038"/>
    <cellStyle name="표준 6 4 2 18 2 2" xfId="6201"/>
    <cellStyle name="표준 6 4 2 18 2 2 2" xfId="12537"/>
    <cellStyle name="표준 6 4 2 18 2 2 2 2" xfId="25211"/>
    <cellStyle name="표준 6 4 2 18 2 2 2 2 2" xfId="50563"/>
    <cellStyle name="표준 6 4 2 18 2 2 2 3" xfId="37891"/>
    <cellStyle name="표준 6 4 2 18 2 2 3" xfId="18875"/>
    <cellStyle name="표준 6 4 2 18 2 2 3 2" xfId="44227"/>
    <cellStyle name="표준 6 4 2 18 2 2 4" xfId="31555"/>
    <cellStyle name="표준 6 4 2 18 2 3" xfId="9375"/>
    <cellStyle name="표준 6 4 2 18 2 3 2" xfId="22049"/>
    <cellStyle name="표준 6 4 2 18 2 3 2 2" xfId="47401"/>
    <cellStyle name="표준 6 4 2 18 2 3 3" xfId="34729"/>
    <cellStyle name="표준 6 4 2 18 2 4" xfId="15713"/>
    <cellStyle name="표준 6 4 2 18 2 4 2" xfId="41065"/>
    <cellStyle name="표준 6 4 2 18 2 5" xfId="28393"/>
    <cellStyle name="표준 6 4 2 18 3" xfId="6202"/>
    <cellStyle name="표준 6 4 2 18 3 2" xfId="12538"/>
    <cellStyle name="표준 6 4 2 18 3 2 2" xfId="25212"/>
    <cellStyle name="표준 6 4 2 18 3 2 2 2" xfId="50564"/>
    <cellStyle name="표준 6 4 2 18 3 2 3" xfId="37892"/>
    <cellStyle name="표준 6 4 2 18 3 3" xfId="18876"/>
    <cellStyle name="표준 6 4 2 18 3 3 2" xfId="44228"/>
    <cellStyle name="표준 6 4 2 18 3 4" xfId="31556"/>
    <cellStyle name="표준 6 4 2 18 4" xfId="9374"/>
    <cellStyle name="표준 6 4 2 18 4 2" xfId="22048"/>
    <cellStyle name="표준 6 4 2 18 4 2 2" xfId="47400"/>
    <cellStyle name="표준 6 4 2 18 4 3" xfId="34728"/>
    <cellStyle name="표준 6 4 2 18 5" xfId="15712"/>
    <cellStyle name="표준 6 4 2 18 5 2" xfId="41064"/>
    <cellStyle name="표준 6 4 2 18 6" xfId="28392"/>
    <cellStyle name="표준 6 4 2 19" xfId="3039"/>
    <cellStyle name="표준 6 4 2 19 2" xfId="3040"/>
    <cellStyle name="표준 6 4 2 19 2 2" xfId="6203"/>
    <cellStyle name="표준 6 4 2 19 2 2 2" xfId="12539"/>
    <cellStyle name="표준 6 4 2 19 2 2 2 2" xfId="25213"/>
    <cellStyle name="표준 6 4 2 19 2 2 2 2 2" xfId="50565"/>
    <cellStyle name="표준 6 4 2 19 2 2 2 3" xfId="37893"/>
    <cellStyle name="표준 6 4 2 19 2 2 3" xfId="18877"/>
    <cellStyle name="표준 6 4 2 19 2 2 3 2" xfId="44229"/>
    <cellStyle name="표준 6 4 2 19 2 2 4" xfId="31557"/>
    <cellStyle name="표준 6 4 2 19 2 3" xfId="9377"/>
    <cellStyle name="표준 6 4 2 19 2 3 2" xfId="22051"/>
    <cellStyle name="표준 6 4 2 19 2 3 2 2" xfId="47403"/>
    <cellStyle name="표준 6 4 2 19 2 3 3" xfId="34731"/>
    <cellStyle name="표준 6 4 2 19 2 4" xfId="15715"/>
    <cellStyle name="표준 6 4 2 19 2 4 2" xfId="41067"/>
    <cellStyle name="표준 6 4 2 19 2 5" xfId="28395"/>
    <cellStyle name="표준 6 4 2 19 3" xfId="6204"/>
    <cellStyle name="표준 6 4 2 19 3 2" xfId="12540"/>
    <cellStyle name="표준 6 4 2 19 3 2 2" xfId="25214"/>
    <cellStyle name="표준 6 4 2 19 3 2 2 2" xfId="50566"/>
    <cellStyle name="표준 6 4 2 19 3 2 3" xfId="37894"/>
    <cellStyle name="표준 6 4 2 19 3 3" xfId="18878"/>
    <cellStyle name="표준 6 4 2 19 3 3 2" xfId="44230"/>
    <cellStyle name="표준 6 4 2 19 3 4" xfId="31558"/>
    <cellStyle name="표준 6 4 2 19 4" xfId="9376"/>
    <cellStyle name="표준 6 4 2 19 4 2" xfId="22050"/>
    <cellStyle name="표준 6 4 2 19 4 2 2" xfId="47402"/>
    <cellStyle name="표준 6 4 2 19 4 3" xfId="34730"/>
    <cellStyle name="표준 6 4 2 19 5" xfId="15714"/>
    <cellStyle name="표준 6 4 2 19 5 2" xfId="41066"/>
    <cellStyle name="표준 6 4 2 19 6" xfId="28394"/>
    <cellStyle name="표준 6 4 2 2" xfId="3041"/>
    <cellStyle name="표준 6 4 2 2 2" xfId="3042"/>
    <cellStyle name="표준 6 4 2 2 2 2" xfId="6205"/>
    <cellStyle name="표준 6 4 2 2 2 2 2" xfId="12541"/>
    <cellStyle name="표준 6 4 2 2 2 2 2 2" xfId="25215"/>
    <cellStyle name="표준 6 4 2 2 2 2 2 2 2" xfId="50567"/>
    <cellStyle name="표준 6 4 2 2 2 2 2 3" xfId="37895"/>
    <cellStyle name="표준 6 4 2 2 2 2 3" xfId="18879"/>
    <cellStyle name="표준 6 4 2 2 2 2 3 2" xfId="44231"/>
    <cellStyle name="표준 6 4 2 2 2 2 4" xfId="31559"/>
    <cellStyle name="표준 6 4 2 2 2 3" xfId="9379"/>
    <cellStyle name="표준 6 4 2 2 2 3 2" xfId="22053"/>
    <cellStyle name="표준 6 4 2 2 2 3 2 2" xfId="47405"/>
    <cellStyle name="표준 6 4 2 2 2 3 3" xfId="34733"/>
    <cellStyle name="표준 6 4 2 2 2 4" xfId="15717"/>
    <cellStyle name="표준 6 4 2 2 2 4 2" xfId="41069"/>
    <cellStyle name="표준 6 4 2 2 2 5" xfId="28397"/>
    <cellStyle name="표준 6 4 2 2 3" xfId="6206"/>
    <cellStyle name="표준 6 4 2 2 3 2" xfId="12542"/>
    <cellStyle name="표준 6 4 2 2 3 2 2" xfId="25216"/>
    <cellStyle name="표준 6 4 2 2 3 2 2 2" xfId="50568"/>
    <cellStyle name="표준 6 4 2 2 3 2 3" xfId="37896"/>
    <cellStyle name="표준 6 4 2 2 3 3" xfId="18880"/>
    <cellStyle name="표준 6 4 2 2 3 3 2" xfId="44232"/>
    <cellStyle name="표준 6 4 2 2 3 4" xfId="31560"/>
    <cellStyle name="표준 6 4 2 2 4" xfId="9378"/>
    <cellStyle name="표준 6 4 2 2 4 2" xfId="22052"/>
    <cellStyle name="표준 6 4 2 2 4 2 2" xfId="47404"/>
    <cellStyle name="표준 6 4 2 2 4 3" xfId="34732"/>
    <cellStyle name="표준 6 4 2 2 5" xfId="15716"/>
    <cellStyle name="표준 6 4 2 2 5 2" xfId="41068"/>
    <cellStyle name="표준 6 4 2 2 6" xfId="28396"/>
    <cellStyle name="표준 6 4 2 20" xfId="3043"/>
    <cellStyle name="표준 6 4 2 20 2" xfId="3044"/>
    <cellStyle name="표준 6 4 2 20 2 2" xfId="6207"/>
    <cellStyle name="표준 6 4 2 20 2 2 2" xfId="12543"/>
    <cellStyle name="표준 6 4 2 20 2 2 2 2" xfId="25217"/>
    <cellStyle name="표준 6 4 2 20 2 2 2 2 2" xfId="50569"/>
    <cellStyle name="표준 6 4 2 20 2 2 2 3" xfId="37897"/>
    <cellStyle name="표준 6 4 2 20 2 2 3" xfId="18881"/>
    <cellStyle name="표준 6 4 2 20 2 2 3 2" xfId="44233"/>
    <cellStyle name="표준 6 4 2 20 2 2 4" xfId="31561"/>
    <cellStyle name="표준 6 4 2 20 2 3" xfId="9381"/>
    <cellStyle name="표준 6 4 2 20 2 3 2" xfId="22055"/>
    <cellStyle name="표준 6 4 2 20 2 3 2 2" xfId="47407"/>
    <cellStyle name="표준 6 4 2 20 2 3 3" xfId="34735"/>
    <cellStyle name="표준 6 4 2 20 2 4" xfId="15719"/>
    <cellStyle name="표준 6 4 2 20 2 4 2" xfId="41071"/>
    <cellStyle name="표준 6 4 2 20 2 5" xfId="28399"/>
    <cellStyle name="표준 6 4 2 20 3" xfId="6208"/>
    <cellStyle name="표준 6 4 2 20 3 2" xfId="12544"/>
    <cellStyle name="표준 6 4 2 20 3 2 2" xfId="25218"/>
    <cellStyle name="표준 6 4 2 20 3 2 2 2" xfId="50570"/>
    <cellStyle name="표준 6 4 2 20 3 2 3" xfId="37898"/>
    <cellStyle name="표준 6 4 2 20 3 3" xfId="18882"/>
    <cellStyle name="표준 6 4 2 20 3 3 2" xfId="44234"/>
    <cellStyle name="표준 6 4 2 20 3 4" xfId="31562"/>
    <cellStyle name="표준 6 4 2 20 4" xfId="9380"/>
    <cellStyle name="표준 6 4 2 20 4 2" xfId="22054"/>
    <cellStyle name="표준 6 4 2 20 4 2 2" xfId="47406"/>
    <cellStyle name="표준 6 4 2 20 4 3" xfId="34734"/>
    <cellStyle name="표준 6 4 2 20 5" xfId="15718"/>
    <cellStyle name="표준 6 4 2 20 5 2" xfId="41070"/>
    <cellStyle name="표준 6 4 2 20 6" xfId="28398"/>
    <cellStyle name="표준 6 4 2 21" xfId="3045"/>
    <cellStyle name="표준 6 4 2 21 2" xfId="3046"/>
    <cellStyle name="표준 6 4 2 21 2 2" xfId="6209"/>
    <cellStyle name="표준 6 4 2 21 2 2 2" xfId="12545"/>
    <cellStyle name="표준 6 4 2 21 2 2 2 2" xfId="25219"/>
    <cellStyle name="표준 6 4 2 21 2 2 2 2 2" xfId="50571"/>
    <cellStyle name="표준 6 4 2 21 2 2 2 3" xfId="37899"/>
    <cellStyle name="표준 6 4 2 21 2 2 3" xfId="18883"/>
    <cellStyle name="표준 6 4 2 21 2 2 3 2" xfId="44235"/>
    <cellStyle name="표준 6 4 2 21 2 2 4" xfId="31563"/>
    <cellStyle name="표준 6 4 2 21 2 3" xfId="9383"/>
    <cellStyle name="표준 6 4 2 21 2 3 2" xfId="22057"/>
    <cellStyle name="표준 6 4 2 21 2 3 2 2" xfId="47409"/>
    <cellStyle name="표준 6 4 2 21 2 3 3" xfId="34737"/>
    <cellStyle name="표준 6 4 2 21 2 4" xfId="15721"/>
    <cellStyle name="표준 6 4 2 21 2 4 2" xfId="41073"/>
    <cellStyle name="표준 6 4 2 21 2 5" xfId="28401"/>
    <cellStyle name="표준 6 4 2 21 3" xfId="6210"/>
    <cellStyle name="표준 6 4 2 21 3 2" xfId="12546"/>
    <cellStyle name="표준 6 4 2 21 3 2 2" xfId="25220"/>
    <cellStyle name="표준 6 4 2 21 3 2 2 2" xfId="50572"/>
    <cellStyle name="표준 6 4 2 21 3 2 3" xfId="37900"/>
    <cellStyle name="표준 6 4 2 21 3 3" xfId="18884"/>
    <cellStyle name="표준 6 4 2 21 3 3 2" xfId="44236"/>
    <cellStyle name="표준 6 4 2 21 3 4" xfId="31564"/>
    <cellStyle name="표준 6 4 2 21 4" xfId="9382"/>
    <cellStyle name="표준 6 4 2 21 4 2" xfId="22056"/>
    <cellStyle name="표준 6 4 2 21 4 2 2" xfId="47408"/>
    <cellStyle name="표준 6 4 2 21 4 3" xfId="34736"/>
    <cellStyle name="표준 6 4 2 21 5" xfId="15720"/>
    <cellStyle name="표준 6 4 2 21 5 2" xfId="41072"/>
    <cellStyle name="표준 6 4 2 21 6" xfId="28400"/>
    <cellStyle name="표준 6 4 2 22" xfId="3047"/>
    <cellStyle name="표준 6 4 2 22 2" xfId="3048"/>
    <cellStyle name="표준 6 4 2 22 2 2" xfId="6211"/>
    <cellStyle name="표준 6 4 2 22 2 2 2" xfId="12547"/>
    <cellStyle name="표준 6 4 2 22 2 2 2 2" xfId="25221"/>
    <cellStyle name="표준 6 4 2 22 2 2 2 2 2" xfId="50573"/>
    <cellStyle name="표준 6 4 2 22 2 2 2 3" xfId="37901"/>
    <cellStyle name="표준 6 4 2 22 2 2 3" xfId="18885"/>
    <cellStyle name="표준 6 4 2 22 2 2 3 2" xfId="44237"/>
    <cellStyle name="표준 6 4 2 22 2 2 4" xfId="31565"/>
    <cellStyle name="표준 6 4 2 22 2 3" xfId="9385"/>
    <cellStyle name="표준 6 4 2 22 2 3 2" xfId="22059"/>
    <cellStyle name="표준 6 4 2 22 2 3 2 2" xfId="47411"/>
    <cellStyle name="표준 6 4 2 22 2 3 3" xfId="34739"/>
    <cellStyle name="표준 6 4 2 22 2 4" xfId="15723"/>
    <cellStyle name="표준 6 4 2 22 2 4 2" xfId="41075"/>
    <cellStyle name="표준 6 4 2 22 2 5" xfId="28403"/>
    <cellStyle name="표준 6 4 2 22 3" xfId="6212"/>
    <cellStyle name="표준 6 4 2 22 3 2" xfId="12548"/>
    <cellStyle name="표준 6 4 2 22 3 2 2" xfId="25222"/>
    <cellStyle name="표준 6 4 2 22 3 2 2 2" xfId="50574"/>
    <cellStyle name="표준 6 4 2 22 3 2 3" xfId="37902"/>
    <cellStyle name="표준 6 4 2 22 3 3" xfId="18886"/>
    <cellStyle name="표준 6 4 2 22 3 3 2" xfId="44238"/>
    <cellStyle name="표준 6 4 2 22 3 4" xfId="31566"/>
    <cellStyle name="표준 6 4 2 22 4" xfId="9384"/>
    <cellStyle name="표준 6 4 2 22 4 2" xfId="22058"/>
    <cellStyle name="표준 6 4 2 22 4 2 2" xfId="47410"/>
    <cellStyle name="표준 6 4 2 22 4 3" xfId="34738"/>
    <cellStyle name="표준 6 4 2 22 5" xfId="15722"/>
    <cellStyle name="표준 6 4 2 22 5 2" xfId="41074"/>
    <cellStyle name="표준 6 4 2 22 6" xfId="28402"/>
    <cellStyle name="표준 6 4 2 23" xfId="3049"/>
    <cellStyle name="표준 6 4 2 23 2" xfId="3050"/>
    <cellStyle name="표준 6 4 2 23 2 2" xfId="6213"/>
    <cellStyle name="표준 6 4 2 23 2 2 2" xfId="12549"/>
    <cellStyle name="표준 6 4 2 23 2 2 2 2" xfId="25223"/>
    <cellStyle name="표준 6 4 2 23 2 2 2 2 2" xfId="50575"/>
    <cellStyle name="표준 6 4 2 23 2 2 2 3" xfId="37903"/>
    <cellStyle name="표준 6 4 2 23 2 2 3" xfId="18887"/>
    <cellStyle name="표준 6 4 2 23 2 2 3 2" xfId="44239"/>
    <cellStyle name="표준 6 4 2 23 2 2 4" xfId="31567"/>
    <cellStyle name="표준 6 4 2 23 2 3" xfId="9387"/>
    <cellStyle name="표준 6 4 2 23 2 3 2" xfId="22061"/>
    <cellStyle name="표준 6 4 2 23 2 3 2 2" xfId="47413"/>
    <cellStyle name="표준 6 4 2 23 2 3 3" xfId="34741"/>
    <cellStyle name="표준 6 4 2 23 2 4" xfId="15725"/>
    <cellStyle name="표준 6 4 2 23 2 4 2" xfId="41077"/>
    <cellStyle name="표준 6 4 2 23 2 5" xfId="28405"/>
    <cellStyle name="표준 6 4 2 23 3" xfId="6214"/>
    <cellStyle name="표준 6 4 2 23 3 2" xfId="12550"/>
    <cellStyle name="표준 6 4 2 23 3 2 2" xfId="25224"/>
    <cellStyle name="표준 6 4 2 23 3 2 2 2" xfId="50576"/>
    <cellStyle name="표준 6 4 2 23 3 2 3" xfId="37904"/>
    <cellStyle name="표준 6 4 2 23 3 3" xfId="18888"/>
    <cellStyle name="표준 6 4 2 23 3 3 2" xfId="44240"/>
    <cellStyle name="표준 6 4 2 23 3 4" xfId="31568"/>
    <cellStyle name="표준 6 4 2 23 4" xfId="9386"/>
    <cellStyle name="표준 6 4 2 23 4 2" xfId="22060"/>
    <cellStyle name="표준 6 4 2 23 4 2 2" xfId="47412"/>
    <cellStyle name="표준 6 4 2 23 4 3" xfId="34740"/>
    <cellStyle name="표준 6 4 2 23 5" xfId="15724"/>
    <cellStyle name="표준 6 4 2 23 5 2" xfId="41076"/>
    <cellStyle name="표준 6 4 2 23 6" xfId="28404"/>
    <cellStyle name="표준 6 4 2 24" xfId="3051"/>
    <cellStyle name="표준 6 4 2 24 2" xfId="3052"/>
    <cellStyle name="표준 6 4 2 24 2 2" xfId="6215"/>
    <cellStyle name="표준 6 4 2 24 2 2 2" xfId="12551"/>
    <cellStyle name="표준 6 4 2 24 2 2 2 2" xfId="25225"/>
    <cellStyle name="표준 6 4 2 24 2 2 2 2 2" xfId="50577"/>
    <cellStyle name="표준 6 4 2 24 2 2 2 3" xfId="37905"/>
    <cellStyle name="표준 6 4 2 24 2 2 3" xfId="18889"/>
    <cellStyle name="표준 6 4 2 24 2 2 3 2" xfId="44241"/>
    <cellStyle name="표준 6 4 2 24 2 2 4" xfId="31569"/>
    <cellStyle name="표준 6 4 2 24 2 3" xfId="9389"/>
    <cellStyle name="표준 6 4 2 24 2 3 2" xfId="22063"/>
    <cellStyle name="표준 6 4 2 24 2 3 2 2" xfId="47415"/>
    <cellStyle name="표준 6 4 2 24 2 3 3" xfId="34743"/>
    <cellStyle name="표준 6 4 2 24 2 4" xfId="15727"/>
    <cellStyle name="표준 6 4 2 24 2 4 2" xfId="41079"/>
    <cellStyle name="표준 6 4 2 24 2 5" xfId="28407"/>
    <cellStyle name="표준 6 4 2 24 3" xfId="6216"/>
    <cellStyle name="표준 6 4 2 24 3 2" xfId="12552"/>
    <cellStyle name="표준 6 4 2 24 3 2 2" xfId="25226"/>
    <cellStyle name="표준 6 4 2 24 3 2 2 2" xfId="50578"/>
    <cellStyle name="표준 6 4 2 24 3 2 3" xfId="37906"/>
    <cellStyle name="표준 6 4 2 24 3 3" xfId="18890"/>
    <cellStyle name="표준 6 4 2 24 3 3 2" xfId="44242"/>
    <cellStyle name="표준 6 4 2 24 3 4" xfId="31570"/>
    <cellStyle name="표준 6 4 2 24 4" xfId="9388"/>
    <cellStyle name="표준 6 4 2 24 4 2" xfId="22062"/>
    <cellStyle name="표준 6 4 2 24 4 2 2" xfId="47414"/>
    <cellStyle name="표준 6 4 2 24 4 3" xfId="34742"/>
    <cellStyle name="표준 6 4 2 24 5" xfId="15726"/>
    <cellStyle name="표준 6 4 2 24 5 2" xfId="41078"/>
    <cellStyle name="표준 6 4 2 24 6" xfId="28406"/>
    <cellStyle name="표준 6 4 2 25" xfId="3053"/>
    <cellStyle name="표준 6 4 2 25 2" xfId="3054"/>
    <cellStyle name="표준 6 4 2 25 2 2" xfId="6217"/>
    <cellStyle name="표준 6 4 2 25 2 2 2" xfId="12553"/>
    <cellStyle name="표준 6 4 2 25 2 2 2 2" xfId="25227"/>
    <cellStyle name="표준 6 4 2 25 2 2 2 2 2" xfId="50579"/>
    <cellStyle name="표준 6 4 2 25 2 2 2 3" xfId="37907"/>
    <cellStyle name="표준 6 4 2 25 2 2 3" xfId="18891"/>
    <cellStyle name="표준 6 4 2 25 2 2 3 2" xfId="44243"/>
    <cellStyle name="표준 6 4 2 25 2 2 4" xfId="31571"/>
    <cellStyle name="표준 6 4 2 25 2 3" xfId="9391"/>
    <cellStyle name="표준 6 4 2 25 2 3 2" xfId="22065"/>
    <cellStyle name="표준 6 4 2 25 2 3 2 2" xfId="47417"/>
    <cellStyle name="표준 6 4 2 25 2 3 3" xfId="34745"/>
    <cellStyle name="표준 6 4 2 25 2 4" xfId="15729"/>
    <cellStyle name="표준 6 4 2 25 2 4 2" xfId="41081"/>
    <cellStyle name="표준 6 4 2 25 2 5" xfId="28409"/>
    <cellStyle name="표준 6 4 2 25 3" xfId="6218"/>
    <cellStyle name="표준 6 4 2 25 3 2" xfId="12554"/>
    <cellStyle name="표준 6 4 2 25 3 2 2" xfId="25228"/>
    <cellStyle name="표준 6 4 2 25 3 2 2 2" xfId="50580"/>
    <cellStyle name="표준 6 4 2 25 3 2 3" xfId="37908"/>
    <cellStyle name="표준 6 4 2 25 3 3" xfId="18892"/>
    <cellStyle name="표준 6 4 2 25 3 3 2" xfId="44244"/>
    <cellStyle name="표준 6 4 2 25 3 4" xfId="31572"/>
    <cellStyle name="표준 6 4 2 25 4" xfId="9390"/>
    <cellStyle name="표준 6 4 2 25 4 2" xfId="22064"/>
    <cellStyle name="표준 6 4 2 25 4 2 2" xfId="47416"/>
    <cellStyle name="표준 6 4 2 25 4 3" xfId="34744"/>
    <cellStyle name="표준 6 4 2 25 5" xfId="15728"/>
    <cellStyle name="표준 6 4 2 25 5 2" xfId="41080"/>
    <cellStyle name="표준 6 4 2 25 6" xfId="28408"/>
    <cellStyle name="표준 6 4 2 26" xfId="3055"/>
    <cellStyle name="표준 6 4 2 26 2" xfId="3056"/>
    <cellStyle name="표준 6 4 2 26 2 2" xfId="6219"/>
    <cellStyle name="표준 6 4 2 26 2 2 2" xfId="12555"/>
    <cellStyle name="표준 6 4 2 26 2 2 2 2" xfId="25229"/>
    <cellStyle name="표준 6 4 2 26 2 2 2 2 2" xfId="50581"/>
    <cellStyle name="표준 6 4 2 26 2 2 2 3" xfId="37909"/>
    <cellStyle name="표준 6 4 2 26 2 2 3" xfId="18893"/>
    <cellStyle name="표준 6 4 2 26 2 2 3 2" xfId="44245"/>
    <cellStyle name="표준 6 4 2 26 2 2 4" xfId="31573"/>
    <cellStyle name="표준 6 4 2 26 2 3" xfId="9393"/>
    <cellStyle name="표준 6 4 2 26 2 3 2" xfId="22067"/>
    <cellStyle name="표준 6 4 2 26 2 3 2 2" xfId="47419"/>
    <cellStyle name="표준 6 4 2 26 2 3 3" xfId="34747"/>
    <cellStyle name="표준 6 4 2 26 2 4" xfId="15731"/>
    <cellStyle name="표준 6 4 2 26 2 4 2" xfId="41083"/>
    <cellStyle name="표준 6 4 2 26 2 5" xfId="28411"/>
    <cellStyle name="표준 6 4 2 26 3" xfId="6220"/>
    <cellStyle name="표준 6 4 2 26 3 2" xfId="12556"/>
    <cellStyle name="표준 6 4 2 26 3 2 2" xfId="25230"/>
    <cellStyle name="표준 6 4 2 26 3 2 2 2" xfId="50582"/>
    <cellStyle name="표준 6 4 2 26 3 2 3" xfId="37910"/>
    <cellStyle name="표준 6 4 2 26 3 3" xfId="18894"/>
    <cellStyle name="표준 6 4 2 26 3 3 2" xfId="44246"/>
    <cellStyle name="표준 6 4 2 26 3 4" xfId="31574"/>
    <cellStyle name="표준 6 4 2 26 4" xfId="9392"/>
    <cellStyle name="표준 6 4 2 26 4 2" xfId="22066"/>
    <cellStyle name="표준 6 4 2 26 4 2 2" xfId="47418"/>
    <cellStyle name="표준 6 4 2 26 4 3" xfId="34746"/>
    <cellStyle name="표준 6 4 2 26 5" xfId="15730"/>
    <cellStyle name="표준 6 4 2 26 5 2" xfId="41082"/>
    <cellStyle name="표준 6 4 2 26 6" xfId="28410"/>
    <cellStyle name="표준 6 4 2 27" xfId="3057"/>
    <cellStyle name="표준 6 4 2 27 2" xfId="3058"/>
    <cellStyle name="표준 6 4 2 27 2 2" xfId="6221"/>
    <cellStyle name="표준 6 4 2 27 2 2 2" xfId="12557"/>
    <cellStyle name="표준 6 4 2 27 2 2 2 2" xfId="25231"/>
    <cellStyle name="표준 6 4 2 27 2 2 2 2 2" xfId="50583"/>
    <cellStyle name="표준 6 4 2 27 2 2 2 3" xfId="37911"/>
    <cellStyle name="표준 6 4 2 27 2 2 3" xfId="18895"/>
    <cellStyle name="표준 6 4 2 27 2 2 3 2" xfId="44247"/>
    <cellStyle name="표준 6 4 2 27 2 2 4" xfId="31575"/>
    <cellStyle name="표준 6 4 2 27 2 3" xfId="9395"/>
    <cellStyle name="표준 6 4 2 27 2 3 2" xfId="22069"/>
    <cellStyle name="표준 6 4 2 27 2 3 2 2" xfId="47421"/>
    <cellStyle name="표준 6 4 2 27 2 3 3" xfId="34749"/>
    <cellStyle name="표준 6 4 2 27 2 4" xfId="15733"/>
    <cellStyle name="표준 6 4 2 27 2 4 2" xfId="41085"/>
    <cellStyle name="표준 6 4 2 27 2 5" xfId="28413"/>
    <cellStyle name="표준 6 4 2 27 3" xfId="6222"/>
    <cellStyle name="표준 6 4 2 27 3 2" xfId="12558"/>
    <cellStyle name="표준 6 4 2 27 3 2 2" xfId="25232"/>
    <cellStyle name="표준 6 4 2 27 3 2 2 2" xfId="50584"/>
    <cellStyle name="표준 6 4 2 27 3 2 3" xfId="37912"/>
    <cellStyle name="표준 6 4 2 27 3 3" xfId="18896"/>
    <cellStyle name="표준 6 4 2 27 3 3 2" xfId="44248"/>
    <cellStyle name="표준 6 4 2 27 3 4" xfId="31576"/>
    <cellStyle name="표준 6 4 2 27 4" xfId="9394"/>
    <cellStyle name="표준 6 4 2 27 4 2" xfId="22068"/>
    <cellStyle name="표준 6 4 2 27 4 2 2" xfId="47420"/>
    <cellStyle name="표준 6 4 2 27 4 3" xfId="34748"/>
    <cellStyle name="표준 6 4 2 27 5" xfId="15732"/>
    <cellStyle name="표준 6 4 2 27 5 2" xfId="41084"/>
    <cellStyle name="표준 6 4 2 27 6" xfId="28412"/>
    <cellStyle name="표준 6 4 2 28" xfId="3059"/>
    <cellStyle name="표준 6 4 2 28 2" xfId="3060"/>
    <cellStyle name="표준 6 4 2 28 2 2" xfId="6223"/>
    <cellStyle name="표준 6 4 2 28 2 2 2" xfId="12559"/>
    <cellStyle name="표준 6 4 2 28 2 2 2 2" xfId="25233"/>
    <cellStyle name="표준 6 4 2 28 2 2 2 2 2" xfId="50585"/>
    <cellStyle name="표준 6 4 2 28 2 2 2 3" xfId="37913"/>
    <cellStyle name="표준 6 4 2 28 2 2 3" xfId="18897"/>
    <cellStyle name="표준 6 4 2 28 2 2 3 2" xfId="44249"/>
    <cellStyle name="표준 6 4 2 28 2 2 4" xfId="31577"/>
    <cellStyle name="표준 6 4 2 28 2 3" xfId="9397"/>
    <cellStyle name="표준 6 4 2 28 2 3 2" xfId="22071"/>
    <cellStyle name="표준 6 4 2 28 2 3 2 2" xfId="47423"/>
    <cellStyle name="표준 6 4 2 28 2 3 3" xfId="34751"/>
    <cellStyle name="표준 6 4 2 28 2 4" xfId="15735"/>
    <cellStyle name="표준 6 4 2 28 2 4 2" xfId="41087"/>
    <cellStyle name="표준 6 4 2 28 2 5" xfId="28415"/>
    <cellStyle name="표준 6 4 2 28 3" xfId="6224"/>
    <cellStyle name="표준 6 4 2 28 3 2" xfId="12560"/>
    <cellStyle name="표준 6 4 2 28 3 2 2" xfId="25234"/>
    <cellStyle name="표준 6 4 2 28 3 2 2 2" xfId="50586"/>
    <cellStyle name="표준 6 4 2 28 3 2 3" xfId="37914"/>
    <cellStyle name="표준 6 4 2 28 3 3" xfId="18898"/>
    <cellStyle name="표준 6 4 2 28 3 3 2" xfId="44250"/>
    <cellStyle name="표준 6 4 2 28 3 4" xfId="31578"/>
    <cellStyle name="표준 6 4 2 28 4" xfId="9396"/>
    <cellStyle name="표준 6 4 2 28 4 2" xfId="22070"/>
    <cellStyle name="표준 6 4 2 28 4 2 2" xfId="47422"/>
    <cellStyle name="표준 6 4 2 28 4 3" xfId="34750"/>
    <cellStyle name="표준 6 4 2 28 5" xfId="15734"/>
    <cellStyle name="표준 6 4 2 28 5 2" xfId="41086"/>
    <cellStyle name="표준 6 4 2 28 6" xfId="28414"/>
    <cellStyle name="표준 6 4 2 29" xfId="3061"/>
    <cellStyle name="표준 6 4 2 29 2" xfId="3062"/>
    <cellStyle name="표준 6 4 2 29 2 2" xfId="6225"/>
    <cellStyle name="표준 6 4 2 29 2 2 2" xfId="12561"/>
    <cellStyle name="표준 6 4 2 29 2 2 2 2" xfId="25235"/>
    <cellStyle name="표준 6 4 2 29 2 2 2 2 2" xfId="50587"/>
    <cellStyle name="표준 6 4 2 29 2 2 2 3" xfId="37915"/>
    <cellStyle name="표준 6 4 2 29 2 2 3" xfId="18899"/>
    <cellStyle name="표준 6 4 2 29 2 2 3 2" xfId="44251"/>
    <cellStyle name="표준 6 4 2 29 2 2 4" xfId="31579"/>
    <cellStyle name="표준 6 4 2 29 2 3" xfId="9399"/>
    <cellStyle name="표준 6 4 2 29 2 3 2" xfId="22073"/>
    <cellStyle name="표준 6 4 2 29 2 3 2 2" xfId="47425"/>
    <cellStyle name="표준 6 4 2 29 2 3 3" xfId="34753"/>
    <cellStyle name="표준 6 4 2 29 2 4" xfId="15737"/>
    <cellStyle name="표준 6 4 2 29 2 4 2" xfId="41089"/>
    <cellStyle name="표준 6 4 2 29 2 5" xfId="28417"/>
    <cellStyle name="표준 6 4 2 29 3" xfId="6226"/>
    <cellStyle name="표준 6 4 2 29 3 2" xfId="12562"/>
    <cellStyle name="표준 6 4 2 29 3 2 2" xfId="25236"/>
    <cellStyle name="표준 6 4 2 29 3 2 2 2" xfId="50588"/>
    <cellStyle name="표준 6 4 2 29 3 2 3" xfId="37916"/>
    <cellStyle name="표준 6 4 2 29 3 3" xfId="18900"/>
    <cellStyle name="표준 6 4 2 29 3 3 2" xfId="44252"/>
    <cellStyle name="표준 6 4 2 29 3 4" xfId="31580"/>
    <cellStyle name="표준 6 4 2 29 4" xfId="9398"/>
    <cellStyle name="표준 6 4 2 29 4 2" xfId="22072"/>
    <cellStyle name="표준 6 4 2 29 4 2 2" xfId="47424"/>
    <cellStyle name="표준 6 4 2 29 4 3" xfId="34752"/>
    <cellStyle name="표준 6 4 2 29 5" xfId="15736"/>
    <cellStyle name="표준 6 4 2 29 5 2" xfId="41088"/>
    <cellStyle name="표준 6 4 2 29 6" xfId="28416"/>
    <cellStyle name="표준 6 4 2 3" xfId="3063"/>
    <cellStyle name="표준 6 4 2 3 2" xfId="3064"/>
    <cellStyle name="표준 6 4 2 3 2 2" xfId="6227"/>
    <cellStyle name="표준 6 4 2 3 2 2 2" xfId="12563"/>
    <cellStyle name="표준 6 4 2 3 2 2 2 2" xfId="25237"/>
    <cellStyle name="표준 6 4 2 3 2 2 2 2 2" xfId="50589"/>
    <cellStyle name="표준 6 4 2 3 2 2 2 3" xfId="37917"/>
    <cellStyle name="표준 6 4 2 3 2 2 3" xfId="18901"/>
    <cellStyle name="표준 6 4 2 3 2 2 3 2" xfId="44253"/>
    <cellStyle name="표준 6 4 2 3 2 2 4" xfId="31581"/>
    <cellStyle name="표준 6 4 2 3 2 3" xfId="9401"/>
    <cellStyle name="표준 6 4 2 3 2 3 2" xfId="22075"/>
    <cellStyle name="표준 6 4 2 3 2 3 2 2" xfId="47427"/>
    <cellStyle name="표준 6 4 2 3 2 3 3" xfId="34755"/>
    <cellStyle name="표준 6 4 2 3 2 4" xfId="15739"/>
    <cellStyle name="표준 6 4 2 3 2 4 2" xfId="41091"/>
    <cellStyle name="표준 6 4 2 3 2 5" xfId="28419"/>
    <cellStyle name="표준 6 4 2 3 3" xfId="6228"/>
    <cellStyle name="표준 6 4 2 3 3 2" xfId="12564"/>
    <cellStyle name="표준 6 4 2 3 3 2 2" xfId="25238"/>
    <cellStyle name="표준 6 4 2 3 3 2 2 2" xfId="50590"/>
    <cellStyle name="표준 6 4 2 3 3 2 3" xfId="37918"/>
    <cellStyle name="표준 6 4 2 3 3 3" xfId="18902"/>
    <cellStyle name="표준 6 4 2 3 3 3 2" xfId="44254"/>
    <cellStyle name="표준 6 4 2 3 3 4" xfId="31582"/>
    <cellStyle name="표준 6 4 2 3 4" xfId="9400"/>
    <cellStyle name="표준 6 4 2 3 4 2" xfId="22074"/>
    <cellStyle name="표준 6 4 2 3 4 2 2" xfId="47426"/>
    <cellStyle name="표준 6 4 2 3 4 3" xfId="34754"/>
    <cellStyle name="표준 6 4 2 3 5" xfId="15738"/>
    <cellStyle name="표준 6 4 2 3 5 2" xfId="41090"/>
    <cellStyle name="표준 6 4 2 3 6" xfId="28418"/>
    <cellStyle name="표준 6 4 2 30" xfId="3065"/>
    <cellStyle name="표준 6 4 2 30 2" xfId="3066"/>
    <cellStyle name="표준 6 4 2 30 2 2" xfId="6229"/>
    <cellStyle name="표준 6 4 2 30 2 2 2" xfId="12565"/>
    <cellStyle name="표준 6 4 2 30 2 2 2 2" xfId="25239"/>
    <cellStyle name="표준 6 4 2 30 2 2 2 2 2" xfId="50591"/>
    <cellStyle name="표준 6 4 2 30 2 2 2 3" xfId="37919"/>
    <cellStyle name="표준 6 4 2 30 2 2 3" xfId="18903"/>
    <cellStyle name="표준 6 4 2 30 2 2 3 2" xfId="44255"/>
    <cellStyle name="표준 6 4 2 30 2 2 4" xfId="31583"/>
    <cellStyle name="표준 6 4 2 30 2 3" xfId="9403"/>
    <cellStyle name="표준 6 4 2 30 2 3 2" xfId="22077"/>
    <cellStyle name="표준 6 4 2 30 2 3 2 2" xfId="47429"/>
    <cellStyle name="표준 6 4 2 30 2 3 3" xfId="34757"/>
    <cellStyle name="표준 6 4 2 30 2 4" xfId="15741"/>
    <cellStyle name="표준 6 4 2 30 2 4 2" xfId="41093"/>
    <cellStyle name="표준 6 4 2 30 2 5" xfId="28421"/>
    <cellStyle name="표준 6 4 2 30 3" xfId="6230"/>
    <cellStyle name="표준 6 4 2 30 3 2" xfId="12566"/>
    <cellStyle name="표준 6 4 2 30 3 2 2" xfId="25240"/>
    <cellStyle name="표준 6 4 2 30 3 2 2 2" xfId="50592"/>
    <cellStyle name="표준 6 4 2 30 3 2 3" xfId="37920"/>
    <cellStyle name="표준 6 4 2 30 3 3" xfId="18904"/>
    <cellStyle name="표준 6 4 2 30 3 3 2" xfId="44256"/>
    <cellStyle name="표준 6 4 2 30 3 4" xfId="31584"/>
    <cellStyle name="표준 6 4 2 30 4" xfId="9402"/>
    <cellStyle name="표준 6 4 2 30 4 2" xfId="22076"/>
    <cellStyle name="표준 6 4 2 30 4 2 2" xfId="47428"/>
    <cellStyle name="표준 6 4 2 30 4 3" xfId="34756"/>
    <cellStyle name="표준 6 4 2 30 5" xfId="15740"/>
    <cellStyle name="표준 6 4 2 30 5 2" xfId="41092"/>
    <cellStyle name="표준 6 4 2 30 6" xfId="28420"/>
    <cellStyle name="표준 6 4 2 31" xfId="3067"/>
    <cellStyle name="표준 6 4 2 31 2" xfId="3068"/>
    <cellStyle name="표준 6 4 2 31 2 2" xfId="6231"/>
    <cellStyle name="표준 6 4 2 31 2 2 2" xfId="12567"/>
    <cellStyle name="표준 6 4 2 31 2 2 2 2" xfId="25241"/>
    <cellStyle name="표준 6 4 2 31 2 2 2 2 2" xfId="50593"/>
    <cellStyle name="표준 6 4 2 31 2 2 2 3" xfId="37921"/>
    <cellStyle name="표준 6 4 2 31 2 2 3" xfId="18905"/>
    <cellStyle name="표준 6 4 2 31 2 2 3 2" xfId="44257"/>
    <cellStyle name="표준 6 4 2 31 2 2 4" xfId="31585"/>
    <cellStyle name="표준 6 4 2 31 2 3" xfId="9405"/>
    <cellStyle name="표준 6 4 2 31 2 3 2" xfId="22079"/>
    <cellStyle name="표준 6 4 2 31 2 3 2 2" xfId="47431"/>
    <cellStyle name="표준 6 4 2 31 2 3 3" xfId="34759"/>
    <cellStyle name="표준 6 4 2 31 2 4" xfId="15743"/>
    <cellStyle name="표준 6 4 2 31 2 4 2" xfId="41095"/>
    <cellStyle name="표준 6 4 2 31 2 5" xfId="28423"/>
    <cellStyle name="표준 6 4 2 31 3" xfId="6232"/>
    <cellStyle name="표준 6 4 2 31 3 2" xfId="12568"/>
    <cellStyle name="표준 6 4 2 31 3 2 2" xfId="25242"/>
    <cellStyle name="표준 6 4 2 31 3 2 2 2" xfId="50594"/>
    <cellStyle name="표준 6 4 2 31 3 2 3" xfId="37922"/>
    <cellStyle name="표준 6 4 2 31 3 3" xfId="18906"/>
    <cellStyle name="표준 6 4 2 31 3 3 2" xfId="44258"/>
    <cellStyle name="표준 6 4 2 31 3 4" xfId="31586"/>
    <cellStyle name="표준 6 4 2 31 4" xfId="9404"/>
    <cellStyle name="표준 6 4 2 31 4 2" xfId="22078"/>
    <cellStyle name="표준 6 4 2 31 4 2 2" xfId="47430"/>
    <cellStyle name="표준 6 4 2 31 4 3" xfId="34758"/>
    <cellStyle name="표준 6 4 2 31 5" xfId="15742"/>
    <cellStyle name="표준 6 4 2 31 5 2" xfId="41094"/>
    <cellStyle name="표준 6 4 2 31 6" xfId="28422"/>
    <cellStyle name="표준 6 4 2 32" xfId="3069"/>
    <cellStyle name="표준 6 4 2 32 2" xfId="3070"/>
    <cellStyle name="표준 6 4 2 32 2 2" xfId="6233"/>
    <cellStyle name="표준 6 4 2 32 2 2 2" xfId="12569"/>
    <cellStyle name="표준 6 4 2 32 2 2 2 2" xfId="25243"/>
    <cellStyle name="표준 6 4 2 32 2 2 2 2 2" xfId="50595"/>
    <cellStyle name="표준 6 4 2 32 2 2 2 3" xfId="37923"/>
    <cellStyle name="표준 6 4 2 32 2 2 3" xfId="18907"/>
    <cellStyle name="표준 6 4 2 32 2 2 3 2" xfId="44259"/>
    <cellStyle name="표준 6 4 2 32 2 2 4" xfId="31587"/>
    <cellStyle name="표준 6 4 2 32 2 3" xfId="9407"/>
    <cellStyle name="표준 6 4 2 32 2 3 2" xfId="22081"/>
    <cellStyle name="표준 6 4 2 32 2 3 2 2" xfId="47433"/>
    <cellStyle name="표준 6 4 2 32 2 3 3" xfId="34761"/>
    <cellStyle name="표준 6 4 2 32 2 4" xfId="15745"/>
    <cellStyle name="표준 6 4 2 32 2 4 2" xfId="41097"/>
    <cellStyle name="표준 6 4 2 32 2 5" xfId="28425"/>
    <cellStyle name="표준 6 4 2 32 3" xfId="6234"/>
    <cellStyle name="표준 6 4 2 32 3 2" xfId="12570"/>
    <cellStyle name="표준 6 4 2 32 3 2 2" xfId="25244"/>
    <cellStyle name="표준 6 4 2 32 3 2 2 2" xfId="50596"/>
    <cellStyle name="표준 6 4 2 32 3 2 3" xfId="37924"/>
    <cellStyle name="표준 6 4 2 32 3 3" xfId="18908"/>
    <cellStyle name="표준 6 4 2 32 3 3 2" xfId="44260"/>
    <cellStyle name="표준 6 4 2 32 3 4" xfId="31588"/>
    <cellStyle name="표준 6 4 2 32 4" xfId="9406"/>
    <cellStyle name="표준 6 4 2 32 4 2" xfId="22080"/>
    <cellStyle name="표준 6 4 2 32 4 2 2" xfId="47432"/>
    <cellStyle name="표준 6 4 2 32 4 3" xfId="34760"/>
    <cellStyle name="표준 6 4 2 32 5" xfId="15744"/>
    <cellStyle name="표준 6 4 2 32 5 2" xfId="41096"/>
    <cellStyle name="표준 6 4 2 32 6" xfId="28424"/>
    <cellStyle name="표준 6 4 2 33" xfId="3071"/>
    <cellStyle name="표준 6 4 2 33 2" xfId="3072"/>
    <cellStyle name="표준 6 4 2 33 2 2" xfId="6235"/>
    <cellStyle name="표준 6 4 2 33 2 2 2" xfId="12571"/>
    <cellStyle name="표준 6 4 2 33 2 2 2 2" xfId="25245"/>
    <cellStyle name="표준 6 4 2 33 2 2 2 2 2" xfId="50597"/>
    <cellStyle name="표준 6 4 2 33 2 2 2 3" xfId="37925"/>
    <cellStyle name="표준 6 4 2 33 2 2 3" xfId="18909"/>
    <cellStyle name="표준 6 4 2 33 2 2 3 2" xfId="44261"/>
    <cellStyle name="표준 6 4 2 33 2 2 4" xfId="31589"/>
    <cellStyle name="표준 6 4 2 33 2 3" xfId="9409"/>
    <cellStyle name="표준 6 4 2 33 2 3 2" xfId="22083"/>
    <cellStyle name="표준 6 4 2 33 2 3 2 2" xfId="47435"/>
    <cellStyle name="표준 6 4 2 33 2 3 3" xfId="34763"/>
    <cellStyle name="표준 6 4 2 33 2 4" xfId="15747"/>
    <cellStyle name="표준 6 4 2 33 2 4 2" xfId="41099"/>
    <cellStyle name="표준 6 4 2 33 2 5" xfId="28427"/>
    <cellStyle name="표준 6 4 2 33 3" xfId="6236"/>
    <cellStyle name="표준 6 4 2 33 3 2" xfId="12572"/>
    <cellStyle name="표준 6 4 2 33 3 2 2" xfId="25246"/>
    <cellStyle name="표준 6 4 2 33 3 2 2 2" xfId="50598"/>
    <cellStyle name="표준 6 4 2 33 3 2 3" xfId="37926"/>
    <cellStyle name="표준 6 4 2 33 3 3" xfId="18910"/>
    <cellStyle name="표준 6 4 2 33 3 3 2" xfId="44262"/>
    <cellStyle name="표준 6 4 2 33 3 4" xfId="31590"/>
    <cellStyle name="표준 6 4 2 33 4" xfId="9408"/>
    <cellStyle name="표준 6 4 2 33 4 2" xfId="22082"/>
    <cellStyle name="표준 6 4 2 33 4 2 2" xfId="47434"/>
    <cellStyle name="표준 6 4 2 33 4 3" xfId="34762"/>
    <cellStyle name="표준 6 4 2 33 5" xfId="15746"/>
    <cellStyle name="표준 6 4 2 33 5 2" xfId="41098"/>
    <cellStyle name="표준 6 4 2 33 6" xfId="28426"/>
    <cellStyle name="표준 6 4 2 34" xfId="3073"/>
    <cellStyle name="표준 6 4 2 34 2" xfId="6237"/>
    <cellStyle name="표준 6 4 2 34 2 2" xfId="12573"/>
    <cellStyle name="표준 6 4 2 34 2 2 2" xfId="25247"/>
    <cellStyle name="표준 6 4 2 34 2 2 2 2" xfId="50599"/>
    <cellStyle name="표준 6 4 2 34 2 2 3" xfId="37927"/>
    <cellStyle name="표준 6 4 2 34 2 3" xfId="18911"/>
    <cellStyle name="표준 6 4 2 34 2 3 2" xfId="44263"/>
    <cellStyle name="표준 6 4 2 34 2 4" xfId="31591"/>
    <cellStyle name="표준 6 4 2 34 3" xfId="9410"/>
    <cellStyle name="표준 6 4 2 34 3 2" xfId="22084"/>
    <cellStyle name="표준 6 4 2 34 3 2 2" xfId="47436"/>
    <cellStyle name="표준 6 4 2 34 3 3" xfId="34764"/>
    <cellStyle name="표준 6 4 2 34 4" xfId="15748"/>
    <cellStyle name="표준 6 4 2 34 4 2" xfId="41100"/>
    <cellStyle name="표준 6 4 2 34 5" xfId="28428"/>
    <cellStyle name="표준 6 4 2 35" xfId="6238"/>
    <cellStyle name="표준 6 4 2 35 2" xfId="12574"/>
    <cellStyle name="표준 6 4 2 35 2 2" xfId="25248"/>
    <cellStyle name="표준 6 4 2 35 2 2 2" xfId="50600"/>
    <cellStyle name="표준 6 4 2 35 2 3" xfId="37928"/>
    <cellStyle name="표준 6 4 2 35 3" xfId="18912"/>
    <cellStyle name="표준 6 4 2 35 3 2" xfId="44264"/>
    <cellStyle name="표준 6 4 2 35 4" xfId="31592"/>
    <cellStyle name="표준 6 4 2 36" xfId="6439"/>
    <cellStyle name="표준 6 4 2 36 2" xfId="19113"/>
    <cellStyle name="표준 6 4 2 36 2 2" xfId="44465"/>
    <cellStyle name="표준 6 4 2 36 3" xfId="31793"/>
    <cellStyle name="표준 6 4 2 37" xfId="12777"/>
    <cellStyle name="표준 6 4 2 37 2" xfId="38129"/>
    <cellStyle name="표준 6 4 2 38" xfId="25457"/>
    <cellStyle name="표준 6 4 2 4" xfId="3074"/>
    <cellStyle name="표준 6 4 2 4 2" xfId="3075"/>
    <cellStyle name="표준 6 4 2 4 2 2" xfId="6239"/>
    <cellStyle name="표준 6 4 2 4 2 2 2" xfId="12575"/>
    <cellStyle name="표준 6 4 2 4 2 2 2 2" xfId="25249"/>
    <cellStyle name="표준 6 4 2 4 2 2 2 2 2" xfId="50601"/>
    <cellStyle name="표준 6 4 2 4 2 2 2 3" xfId="37929"/>
    <cellStyle name="표준 6 4 2 4 2 2 3" xfId="18913"/>
    <cellStyle name="표준 6 4 2 4 2 2 3 2" xfId="44265"/>
    <cellStyle name="표준 6 4 2 4 2 2 4" xfId="31593"/>
    <cellStyle name="표준 6 4 2 4 2 3" xfId="9412"/>
    <cellStyle name="표준 6 4 2 4 2 3 2" xfId="22086"/>
    <cellStyle name="표준 6 4 2 4 2 3 2 2" xfId="47438"/>
    <cellStyle name="표준 6 4 2 4 2 3 3" xfId="34766"/>
    <cellStyle name="표준 6 4 2 4 2 4" xfId="15750"/>
    <cellStyle name="표준 6 4 2 4 2 4 2" xfId="41102"/>
    <cellStyle name="표준 6 4 2 4 2 5" xfId="28430"/>
    <cellStyle name="표준 6 4 2 4 3" xfId="6240"/>
    <cellStyle name="표준 6 4 2 4 3 2" xfId="12576"/>
    <cellStyle name="표준 6 4 2 4 3 2 2" xfId="25250"/>
    <cellStyle name="표준 6 4 2 4 3 2 2 2" xfId="50602"/>
    <cellStyle name="표준 6 4 2 4 3 2 3" xfId="37930"/>
    <cellStyle name="표준 6 4 2 4 3 3" xfId="18914"/>
    <cellStyle name="표준 6 4 2 4 3 3 2" xfId="44266"/>
    <cellStyle name="표준 6 4 2 4 3 4" xfId="31594"/>
    <cellStyle name="표준 6 4 2 4 4" xfId="9411"/>
    <cellStyle name="표준 6 4 2 4 4 2" xfId="22085"/>
    <cellStyle name="표준 6 4 2 4 4 2 2" xfId="47437"/>
    <cellStyle name="표준 6 4 2 4 4 3" xfId="34765"/>
    <cellStyle name="표준 6 4 2 4 5" xfId="15749"/>
    <cellStyle name="표준 6 4 2 4 5 2" xfId="41101"/>
    <cellStyle name="표준 6 4 2 4 6" xfId="28429"/>
    <cellStyle name="표준 6 4 2 5" xfId="3076"/>
    <cellStyle name="표준 6 4 2 5 2" xfId="3077"/>
    <cellStyle name="표준 6 4 2 5 2 2" xfId="6241"/>
    <cellStyle name="표준 6 4 2 5 2 2 2" xfId="12577"/>
    <cellStyle name="표준 6 4 2 5 2 2 2 2" xfId="25251"/>
    <cellStyle name="표준 6 4 2 5 2 2 2 2 2" xfId="50603"/>
    <cellStyle name="표준 6 4 2 5 2 2 2 3" xfId="37931"/>
    <cellStyle name="표준 6 4 2 5 2 2 3" xfId="18915"/>
    <cellStyle name="표준 6 4 2 5 2 2 3 2" xfId="44267"/>
    <cellStyle name="표준 6 4 2 5 2 2 4" xfId="31595"/>
    <cellStyle name="표준 6 4 2 5 2 3" xfId="9414"/>
    <cellStyle name="표준 6 4 2 5 2 3 2" xfId="22088"/>
    <cellStyle name="표준 6 4 2 5 2 3 2 2" xfId="47440"/>
    <cellStyle name="표준 6 4 2 5 2 3 3" xfId="34768"/>
    <cellStyle name="표준 6 4 2 5 2 4" xfId="15752"/>
    <cellStyle name="표준 6 4 2 5 2 4 2" xfId="41104"/>
    <cellStyle name="표준 6 4 2 5 2 5" xfId="28432"/>
    <cellStyle name="표준 6 4 2 5 3" xfId="6242"/>
    <cellStyle name="표준 6 4 2 5 3 2" xfId="12578"/>
    <cellStyle name="표준 6 4 2 5 3 2 2" xfId="25252"/>
    <cellStyle name="표준 6 4 2 5 3 2 2 2" xfId="50604"/>
    <cellStyle name="표준 6 4 2 5 3 2 3" xfId="37932"/>
    <cellStyle name="표준 6 4 2 5 3 3" xfId="18916"/>
    <cellStyle name="표준 6 4 2 5 3 3 2" xfId="44268"/>
    <cellStyle name="표준 6 4 2 5 3 4" xfId="31596"/>
    <cellStyle name="표준 6 4 2 5 4" xfId="9413"/>
    <cellStyle name="표준 6 4 2 5 4 2" xfId="22087"/>
    <cellStyle name="표준 6 4 2 5 4 2 2" xfId="47439"/>
    <cellStyle name="표준 6 4 2 5 4 3" xfId="34767"/>
    <cellStyle name="표준 6 4 2 5 5" xfId="15751"/>
    <cellStyle name="표준 6 4 2 5 5 2" xfId="41103"/>
    <cellStyle name="표준 6 4 2 5 6" xfId="28431"/>
    <cellStyle name="표준 6 4 2 6" xfId="3078"/>
    <cellStyle name="표준 6 4 2 6 2" xfId="3079"/>
    <cellStyle name="표준 6 4 2 6 2 2" xfId="6243"/>
    <cellStyle name="표준 6 4 2 6 2 2 2" xfId="12579"/>
    <cellStyle name="표준 6 4 2 6 2 2 2 2" xfId="25253"/>
    <cellStyle name="표준 6 4 2 6 2 2 2 2 2" xfId="50605"/>
    <cellStyle name="표준 6 4 2 6 2 2 2 3" xfId="37933"/>
    <cellStyle name="표준 6 4 2 6 2 2 3" xfId="18917"/>
    <cellStyle name="표준 6 4 2 6 2 2 3 2" xfId="44269"/>
    <cellStyle name="표준 6 4 2 6 2 2 4" xfId="31597"/>
    <cellStyle name="표준 6 4 2 6 2 3" xfId="9416"/>
    <cellStyle name="표준 6 4 2 6 2 3 2" xfId="22090"/>
    <cellStyle name="표준 6 4 2 6 2 3 2 2" xfId="47442"/>
    <cellStyle name="표준 6 4 2 6 2 3 3" xfId="34770"/>
    <cellStyle name="표준 6 4 2 6 2 4" xfId="15754"/>
    <cellStyle name="표준 6 4 2 6 2 4 2" xfId="41106"/>
    <cellStyle name="표준 6 4 2 6 2 5" xfId="28434"/>
    <cellStyle name="표준 6 4 2 6 3" xfId="6244"/>
    <cellStyle name="표준 6 4 2 6 3 2" xfId="12580"/>
    <cellStyle name="표준 6 4 2 6 3 2 2" xfId="25254"/>
    <cellStyle name="표준 6 4 2 6 3 2 2 2" xfId="50606"/>
    <cellStyle name="표준 6 4 2 6 3 2 3" xfId="37934"/>
    <cellStyle name="표준 6 4 2 6 3 3" xfId="18918"/>
    <cellStyle name="표준 6 4 2 6 3 3 2" xfId="44270"/>
    <cellStyle name="표준 6 4 2 6 3 4" xfId="31598"/>
    <cellStyle name="표준 6 4 2 6 4" xfId="9415"/>
    <cellStyle name="표준 6 4 2 6 4 2" xfId="22089"/>
    <cellStyle name="표준 6 4 2 6 4 2 2" xfId="47441"/>
    <cellStyle name="표준 6 4 2 6 4 3" xfId="34769"/>
    <cellStyle name="표준 6 4 2 6 5" xfId="15753"/>
    <cellStyle name="표준 6 4 2 6 5 2" xfId="41105"/>
    <cellStyle name="표준 6 4 2 6 6" xfId="28433"/>
    <cellStyle name="표준 6 4 2 7" xfId="3080"/>
    <cellStyle name="표준 6 4 2 7 2" xfId="3081"/>
    <cellStyle name="표준 6 4 2 7 2 2" xfId="6245"/>
    <cellStyle name="표준 6 4 2 7 2 2 2" xfId="12581"/>
    <cellStyle name="표준 6 4 2 7 2 2 2 2" xfId="25255"/>
    <cellStyle name="표준 6 4 2 7 2 2 2 2 2" xfId="50607"/>
    <cellStyle name="표준 6 4 2 7 2 2 2 3" xfId="37935"/>
    <cellStyle name="표준 6 4 2 7 2 2 3" xfId="18919"/>
    <cellStyle name="표준 6 4 2 7 2 2 3 2" xfId="44271"/>
    <cellStyle name="표준 6 4 2 7 2 2 4" xfId="31599"/>
    <cellStyle name="표준 6 4 2 7 2 3" xfId="9418"/>
    <cellStyle name="표준 6 4 2 7 2 3 2" xfId="22092"/>
    <cellStyle name="표준 6 4 2 7 2 3 2 2" xfId="47444"/>
    <cellStyle name="표준 6 4 2 7 2 3 3" xfId="34772"/>
    <cellStyle name="표준 6 4 2 7 2 4" xfId="15756"/>
    <cellStyle name="표준 6 4 2 7 2 4 2" xfId="41108"/>
    <cellStyle name="표준 6 4 2 7 2 5" xfId="28436"/>
    <cellStyle name="표준 6 4 2 7 3" xfId="6246"/>
    <cellStyle name="표준 6 4 2 7 3 2" xfId="12582"/>
    <cellStyle name="표준 6 4 2 7 3 2 2" xfId="25256"/>
    <cellStyle name="표준 6 4 2 7 3 2 2 2" xfId="50608"/>
    <cellStyle name="표준 6 4 2 7 3 2 3" xfId="37936"/>
    <cellStyle name="표준 6 4 2 7 3 3" xfId="18920"/>
    <cellStyle name="표준 6 4 2 7 3 3 2" xfId="44272"/>
    <cellStyle name="표준 6 4 2 7 3 4" xfId="31600"/>
    <cellStyle name="표준 6 4 2 7 4" xfId="9417"/>
    <cellStyle name="표준 6 4 2 7 4 2" xfId="22091"/>
    <cellStyle name="표준 6 4 2 7 4 2 2" xfId="47443"/>
    <cellStyle name="표준 6 4 2 7 4 3" xfId="34771"/>
    <cellStyle name="표준 6 4 2 7 5" xfId="15755"/>
    <cellStyle name="표준 6 4 2 7 5 2" xfId="41107"/>
    <cellStyle name="표준 6 4 2 7 6" xfId="28435"/>
    <cellStyle name="표준 6 4 2 8" xfId="3082"/>
    <cellStyle name="표준 6 4 2 8 2" xfId="3083"/>
    <cellStyle name="표준 6 4 2 8 2 2" xfId="6247"/>
    <cellStyle name="표준 6 4 2 8 2 2 2" xfId="12583"/>
    <cellStyle name="표준 6 4 2 8 2 2 2 2" xfId="25257"/>
    <cellStyle name="표준 6 4 2 8 2 2 2 2 2" xfId="50609"/>
    <cellStyle name="표준 6 4 2 8 2 2 2 3" xfId="37937"/>
    <cellStyle name="표준 6 4 2 8 2 2 3" xfId="18921"/>
    <cellStyle name="표준 6 4 2 8 2 2 3 2" xfId="44273"/>
    <cellStyle name="표준 6 4 2 8 2 2 4" xfId="31601"/>
    <cellStyle name="표준 6 4 2 8 2 3" xfId="9420"/>
    <cellStyle name="표준 6 4 2 8 2 3 2" xfId="22094"/>
    <cellStyle name="표준 6 4 2 8 2 3 2 2" xfId="47446"/>
    <cellStyle name="표준 6 4 2 8 2 3 3" xfId="34774"/>
    <cellStyle name="표준 6 4 2 8 2 4" xfId="15758"/>
    <cellStyle name="표준 6 4 2 8 2 4 2" xfId="41110"/>
    <cellStyle name="표준 6 4 2 8 2 5" xfId="28438"/>
    <cellStyle name="표준 6 4 2 8 3" xfId="6248"/>
    <cellStyle name="표준 6 4 2 8 3 2" xfId="12584"/>
    <cellStyle name="표준 6 4 2 8 3 2 2" xfId="25258"/>
    <cellStyle name="표준 6 4 2 8 3 2 2 2" xfId="50610"/>
    <cellStyle name="표준 6 4 2 8 3 2 3" xfId="37938"/>
    <cellStyle name="표준 6 4 2 8 3 3" xfId="18922"/>
    <cellStyle name="표준 6 4 2 8 3 3 2" xfId="44274"/>
    <cellStyle name="표준 6 4 2 8 3 4" xfId="31602"/>
    <cellStyle name="표준 6 4 2 8 4" xfId="9419"/>
    <cellStyle name="표준 6 4 2 8 4 2" xfId="22093"/>
    <cellStyle name="표준 6 4 2 8 4 2 2" xfId="47445"/>
    <cellStyle name="표준 6 4 2 8 4 3" xfId="34773"/>
    <cellStyle name="표준 6 4 2 8 5" xfId="15757"/>
    <cellStyle name="표준 6 4 2 8 5 2" xfId="41109"/>
    <cellStyle name="표준 6 4 2 8 6" xfId="28437"/>
    <cellStyle name="표준 6 4 2 9" xfId="3084"/>
    <cellStyle name="표준 6 4 2 9 2" xfId="3085"/>
    <cellStyle name="표준 6 4 2 9 2 2" xfId="6249"/>
    <cellStyle name="표준 6 4 2 9 2 2 2" xfId="12585"/>
    <cellStyle name="표준 6 4 2 9 2 2 2 2" xfId="25259"/>
    <cellStyle name="표준 6 4 2 9 2 2 2 2 2" xfId="50611"/>
    <cellStyle name="표준 6 4 2 9 2 2 2 3" xfId="37939"/>
    <cellStyle name="표준 6 4 2 9 2 2 3" xfId="18923"/>
    <cellStyle name="표준 6 4 2 9 2 2 3 2" xfId="44275"/>
    <cellStyle name="표준 6 4 2 9 2 2 4" xfId="31603"/>
    <cellStyle name="표준 6 4 2 9 2 3" xfId="9422"/>
    <cellStyle name="표준 6 4 2 9 2 3 2" xfId="22096"/>
    <cellStyle name="표준 6 4 2 9 2 3 2 2" xfId="47448"/>
    <cellStyle name="표준 6 4 2 9 2 3 3" xfId="34776"/>
    <cellStyle name="표준 6 4 2 9 2 4" xfId="15760"/>
    <cellStyle name="표준 6 4 2 9 2 4 2" xfId="41112"/>
    <cellStyle name="표준 6 4 2 9 2 5" xfId="28440"/>
    <cellStyle name="표준 6 4 2 9 3" xfId="6250"/>
    <cellStyle name="표준 6 4 2 9 3 2" xfId="12586"/>
    <cellStyle name="표준 6 4 2 9 3 2 2" xfId="25260"/>
    <cellStyle name="표준 6 4 2 9 3 2 2 2" xfId="50612"/>
    <cellStyle name="표준 6 4 2 9 3 2 3" xfId="37940"/>
    <cellStyle name="표준 6 4 2 9 3 3" xfId="18924"/>
    <cellStyle name="표준 6 4 2 9 3 3 2" xfId="44276"/>
    <cellStyle name="표준 6 4 2 9 3 4" xfId="31604"/>
    <cellStyle name="표준 6 4 2 9 4" xfId="9421"/>
    <cellStyle name="표준 6 4 2 9 4 2" xfId="22095"/>
    <cellStyle name="표준 6 4 2 9 4 2 2" xfId="47447"/>
    <cellStyle name="표준 6 4 2 9 4 3" xfId="34775"/>
    <cellStyle name="표준 6 4 2 9 5" xfId="15759"/>
    <cellStyle name="표준 6 4 2 9 5 2" xfId="41111"/>
    <cellStyle name="표준 6 4 2 9 6" xfId="28439"/>
    <cellStyle name="표준 6 4 20" xfId="3086"/>
    <cellStyle name="표준 6 4 20 2" xfId="3087"/>
    <cellStyle name="표준 6 4 20 2 2" xfId="6251"/>
    <cellStyle name="표준 6 4 20 2 2 2" xfId="12587"/>
    <cellStyle name="표준 6 4 20 2 2 2 2" xfId="25261"/>
    <cellStyle name="표준 6 4 20 2 2 2 2 2" xfId="50613"/>
    <cellStyle name="표준 6 4 20 2 2 2 3" xfId="37941"/>
    <cellStyle name="표준 6 4 20 2 2 3" xfId="18925"/>
    <cellStyle name="표준 6 4 20 2 2 3 2" xfId="44277"/>
    <cellStyle name="표준 6 4 20 2 2 4" xfId="31605"/>
    <cellStyle name="표준 6 4 20 2 3" xfId="9424"/>
    <cellStyle name="표준 6 4 20 2 3 2" xfId="22098"/>
    <cellStyle name="표준 6 4 20 2 3 2 2" xfId="47450"/>
    <cellStyle name="표준 6 4 20 2 3 3" xfId="34778"/>
    <cellStyle name="표준 6 4 20 2 4" xfId="15762"/>
    <cellStyle name="표준 6 4 20 2 4 2" xfId="41114"/>
    <cellStyle name="표준 6 4 20 2 5" xfId="28442"/>
    <cellStyle name="표준 6 4 20 3" xfId="6252"/>
    <cellStyle name="표준 6 4 20 3 2" xfId="12588"/>
    <cellStyle name="표준 6 4 20 3 2 2" xfId="25262"/>
    <cellStyle name="표준 6 4 20 3 2 2 2" xfId="50614"/>
    <cellStyle name="표준 6 4 20 3 2 3" xfId="37942"/>
    <cellStyle name="표준 6 4 20 3 3" xfId="18926"/>
    <cellStyle name="표준 6 4 20 3 3 2" xfId="44278"/>
    <cellStyle name="표준 6 4 20 3 4" xfId="31606"/>
    <cellStyle name="표준 6 4 20 4" xfId="9423"/>
    <cellStyle name="표준 6 4 20 4 2" xfId="22097"/>
    <cellStyle name="표준 6 4 20 4 2 2" xfId="47449"/>
    <cellStyle name="표준 6 4 20 4 3" xfId="34777"/>
    <cellStyle name="표준 6 4 20 5" xfId="15761"/>
    <cellStyle name="표준 6 4 20 5 2" xfId="41113"/>
    <cellStyle name="표준 6 4 20 6" xfId="28441"/>
    <cellStyle name="표준 6 4 21" xfId="3088"/>
    <cellStyle name="표준 6 4 21 2" xfId="3089"/>
    <cellStyle name="표준 6 4 21 2 2" xfId="6253"/>
    <cellStyle name="표준 6 4 21 2 2 2" xfId="12589"/>
    <cellStyle name="표준 6 4 21 2 2 2 2" xfId="25263"/>
    <cellStyle name="표준 6 4 21 2 2 2 2 2" xfId="50615"/>
    <cellStyle name="표준 6 4 21 2 2 2 3" xfId="37943"/>
    <cellStyle name="표준 6 4 21 2 2 3" xfId="18927"/>
    <cellStyle name="표준 6 4 21 2 2 3 2" xfId="44279"/>
    <cellStyle name="표준 6 4 21 2 2 4" xfId="31607"/>
    <cellStyle name="표준 6 4 21 2 3" xfId="9426"/>
    <cellStyle name="표준 6 4 21 2 3 2" xfId="22100"/>
    <cellStyle name="표준 6 4 21 2 3 2 2" xfId="47452"/>
    <cellStyle name="표준 6 4 21 2 3 3" xfId="34780"/>
    <cellStyle name="표준 6 4 21 2 4" xfId="15764"/>
    <cellStyle name="표준 6 4 21 2 4 2" xfId="41116"/>
    <cellStyle name="표준 6 4 21 2 5" xfId="28444"/>
    <cellStyle name="표준 6 4 21 3" xfId="6254"/>
    <cellStyle name="표준 6 4 21 3 2" xfId="12590"/>
    <cellStyle name="표준 6 4 21 3 2 2" xfId="25264"/>
    <cellStyle name="표준 6 4 21 3 2 2 2" xfId="50616"/>
    <cellStyle name="표준 6 4 21 3 2 3" xfId="37944"/>
    <cellStyle name="표준 6 4 21 3 3" xfId="18928"/>
    <cellStyle name="표준 6 4 21 3 3 2" xfId="44280"/>
    <cellStyle name="표준 6 4 21 3 4" xfId="31608"/>
    <cellStyle name="표준 6 4 21 4" xfId="9425"/>
    <cellStyle name="표준 6 4 21 4 2" xfId="22099"/>
    <cellStyle name="표준 6 4 21 4 2 2" xfId="47451"/>
    <cellStyle name="표준 6 4 21 4 3" xfId="34779"/>
    <cellStyle name="표준 6 4 21 5" xfId="15763"/>
    <cellStyle name="표준 6 4 21 5 2" xfId="41115"/>
    <cellStyle name="표준 6 4 21 6" xfId="28443"/>
    <cellStyle name="표준 6 4 22" xfId="3090"/>
    <cellStyle name="표준 6 4 22 2" xfId="3091"/>
    <cellStyle name="표준 6 4 22 2 2" xfId="6255"/>
    <cellStyle name="표준 6 4 22 2 2 2" xfId="12591"/>
    <cellStyle name="표준 6 4 22 2 2 2 2" xfId="25265"/>
    <cellStyle name="표준 6 4 22 2 2 2 2 2" xfId="50617"/>
    <cellStyle name="표준 6 4 22 2 2 2 3" xfId="37945"/>
    <cellStyle name="표준 6 4 22 2 2 3" xfId="18929"/>
    <cellStyle name="표준 6 4 22 2 2 3 2" xfId="44281"/>
    <cellStyle name="표준 6 4 22 2 2 4" xfId="31609"/>
    <cellStyle name="표준 6 4 22 2 3" xfId="9428"/>
    <cellStyle name="표준 6 4 22 2 3 2" xfId="22102"/>
    <cellStyle name="표준 6 4 22 2 3 2 2" xfId="47454"/>
    <cellStyle name="표준 6 4 22 2 3 3" xfId="34782"/>
    <cellStyle name="표준 6 4 22 2 4" xfId="15766"/>
    <cellStyle name="표준 6 4 22 2 4 2" xfId="41118"/>
    <cellStyle name="표준 6 4 22 2 5" xfId="28446"/>
    <cellStyle name="표준 6 4 22 3" xfId="6256"/>
    <cellStyle name="표준 6 4 22 3 2" xfId="12592"/>
    <cellStyle name="표준 6 4 22 3 2 2" xfId="25266"/>
    <cellStyle name="표준 6 4 22 3 2 2 2" xfId="50618"/>
    <cellStyle name="표준 6 4 22 3 2 3" xfId="37946"/>
    <cellStyle name="표준 6 4 22 3 3" xfId="18930"/>
    <cellStyle name="표준 6 4 22 3 3 2" xfId="44282"/>
    <cellStyle name="표준 6 4 22 3 4" xfId="31610"/>
    <cellStyle name="표준 6 4 22 4" xfId="9427"/>
    <cellStyle name="표준 6 4 22 4 2" xfId="22101"/>
    <cellStyle name="표준 6 4 22 4 2 2" xfId="47453"/>
    <cellStyle name="표준 6 4 22 4 3" xfId="34781"/>
    <cellStyle name="표준 6 4 22 5" xfId="15765"/>
    <cellStyle name="표준 6 4 22 5 2" xfId="41117"/>
    <cellStyle name="표준 6 4 22 6" xfId="28445"/>
    <cellStyle name="표준 6 4 23" xfId="3092"/>
    <cellStyle name="표준 6 4 23 2" xfId="3093"/>
    <cellStyle name="표준 6 4 23 2 2" xfId="6257"/>
    <cellStyle name="표준 6 4 23 2 2 2" xfId="12593"/>
    <cellStyle name="표준 6 4 23 2 2 2 2" xfId="25267"/>
    <cellStyle name="표준 6 4 23 2 2 2 2 2" xfId="50619"/>
    <cellStyle name="표준 6 4 23 2 2 2 3" xfId="37947"/>
    <cellStyle name="표준 6 4 23 2 2 3" xfId="18931"/>
    <cellStyle name="표준 6 4 23 2 2 3 2" xfId="44283"/>
    <cellStyle name="표준 6 4 23 2 2 4" xfId="31611"/>
    <cellStyle name="표준 6 4 23 2 3" xfId="9430"/>
    <cellStyle name="표준 6 4 23 2 3 2" xfId="22104"/>
    <cellStyle name="표준 6 4 23 2 3 2 2" xfId="47456"/>
    <cellStyle name="표준 6 4 23 2 3 3" xfId="34784"/>
    <cellStyle name="표준 6 4 23 2 4" xfId="15768"/>
    <cellStyle name="표준 6 4 23 2 4 2" xfId="41120"/>
    <cellStyle name="표준 6 4 23 2 5" xfId="28448"/>
    <cellStyle name="표준 6 4 23 3" xfId="6258"/>
    <cellStyle name="표준 6 4 23 3 2" xfId="12594"/>
    <cellStyle name="표준 6 4 23 3 2 2" xfId="25268"/>
    <cellStyle name="표준 6 4 23 3 2 2 2" xfId="50620"/>
    <cellStyle name="표준 6 4 23 3 2 3" xfId="37948"/>
    <cellStyle name="표준 6 4 23 3 3" xfId="18932"/>
    <cellStyle name="표준 6 4 23 3 3 2" xfId="44284"/>
    <cellStyle name="표준 6 4 23 3 4" xfId="31612"/>
    <cellStyle name="표준 6 4 23 4" xfId="9429"/>
    <cellStyle name="표준 6 4 23 4 2" xfId="22103"/>
    <cellStyle name="표준 6 4 23 4 2 2" xfId="47455"/>
    <cellStyle name="표준 6 4 23 4 3" xfId="34783"/>
    <cellStyle name="표준 6 4 23 5" xfId="15767"/>
    <cellStyle name="표준 6 4 23 5 2" xfId="41119"/>
    <cellStyle name="표준 6 4 23 6" xfId="28447"/>
    <cellStyle name="표준 6 4 24" xfId="3094"/>
    <cellStyle name="표준 6 4 24 2" xfId="3095"/>
    <cellStyle name="표준 6 4 24 2 2" xfId="6259"/>
    <cellStyle name="표준 6 4 24 2 2 2" xfId="12595"/>
    <cellStyle name="표준 6 4 24 2 2 2 2" xfId="25269"/>
    <cellStyle name="표준 6 4 24 2 2 2 2 2" xfId="50621"/>
    <cellStyle name="표준 6 4 24 2 2 2 3" xfId="37949"/>
    <cellStyle name="표준 6 4 24 2 2 3" xfId="18933"/>
    <cellStyle name="표준 6 4 24 2 2 3 2" xfId="44285"/>
    <cellStyle name="표준 6 4 24 2 2 4" xfId="31613"/>
    <cellStyle name="표준 6 4 24 2 3" xfId="9432"/>
    <cellStyle name="표준 6 4 24 2 3 2" xfId="22106"/>
    <cellStyle name="표준 6 4 24 2 3 2 2" xfId="47458"/>
    <cellStyle name="표준 6 4 24 2 3 3" xfId="34786"/>
    <cellStyle name="표준 6 4 24 2 4" xfId="15770"/>
    <cellStyle name="표준 6 4 24 2 4 2" xfId="41122"/>
    <cellStyle name="표준 6 4 24 2 5" xfId="28450"/>
    <cellStyle name="표준 6 4 24 3" xfId="6260"/>
    <cellStyle name="표준 6 4 24 3 2" xfId="12596"/>
    <cellStyle name="표준 6 4 24 3 2 2" xfId="25270"/>
    <cellStyle name="표준 6 4 24 3 2 2 2" xfId="50622"/>
    <cellStyle name="표준 6 4 24 3 2 3" xfId="37950"/>
    <cellStyle name="표준 6 4 24 3 3" xfId="18934"/>
    <cellStyle name="표준 6 4 24 3 3 2" xfId="44286"/>
    <cellStyle name="표준 6 4 24 3 4" xfId="31614"/>
    <cellStyle name="표준 6 4 24 4" xfId="9431"/>
    <cellStyle name="표준 6 4 24 4 2" xfId="22105"/>
    <cellStyle name="표준 6 4 24 4 2 2" xfId="47457"/>
    <cellStyle name="표준 6 4 24 4 3" xfId="34785"/>
    <cellStyle name="표준 6 4 24 5" xfId="15769"/>
    <cellStyle name="표준 6 4 24 5 2" xfId="41121"/>
    <cellStyle name="표준 6 4 24 6" xfId="28449"/>
    <cellStyle name="표준 6 4 25" xfId="3096"/>
    <cellStyle name="표준 6 4 25 2" xfId="3097"/>
    <cellStyle name="표준 6 4 25 2 2" xfId="6261"/>
    <cellStyle name="표준 6 4 25 2 2 2" xfId="12597"/>
    <cellStyle name="표준 6 4 25 2 2 2 2" xfId="25271"/>
    <cellStyle name="표준 6 4 25 2 2 2 2 2" xfId="50623"/>
    <cellStyle name="표준 6 4 25 2 2 2 3" xfId="37951"/>
    <cellStyle name="표준 6 4 25 2 2 3" xfId="18935"/>
    <cellStyle name="표준 6 4 25 2 2 3 2" xfId="44287"/>
    <cellStyle name="표준 6 4 25 2 2 4" xfId="31615"/>
    <cellStyle name="표준 6 4 25 2 3" xfId="9434"/>
    <cellStyle name="표준 6 4 25 2 3 2" xfId="22108"/>
    <cellStyle name="표준 6 4 25 2 3 2 2" xfId="47460"/>
    <cellStyle name="표준 6 4 25 2 3 3" xfId="34788"/>
    <cellStyle name="표준 6 4 25 2 4" xfId="15772"/>
    <cellStyle name="표준 6 4 25 2 4 2" xfId="41124"/>
    <cellStyle name="표준 6 4 25 2 5" xfId="28452"/>
    <cellStyle name="표준 6 4 25 3" xfId="6262"/>
    <cellStyle name="표준 6 4 25 3 2" xfId="12598"/>
    <cellStyle name="표준 6 4 25 3 2 2" xfId="25272"/>
    <cellStyle name="표준 6 4 25 3 2 2 2" xfId="50624"/>
    <cellStyle name="표준 6 4 25 3 2 3" xfId="37952"/>
    <cellStyle name="표준 6 4 25 3 3" xfId="18936"/>
    <cellStyle name="표준 6 4 25 3 3 2" xfId="44288"/>
    <cellStyle name="표준 6 4 25 3 4" xfId="31616"/>
    <cellStyle name="표준 6 4 25 4" xfId="9433"/>
    <cellStyle name="표준 6 4 25 4 2" xfId="22107"/>
    <cellStyle name="표준 6 4 25 4 2 2" xfId="47459"/>
    <cellStyle name="표준 6 4 25 4 3" xfId="34787"/>
    <cellStyle name="표준 6 4 25 5" xfId="15771"/>
    <cellStyle name="표준 6 4 25 5 2" xfId="41123"/>
    <cellStyle name="표준 6 4 25 6" xfId="28451"/>
    <cellStyle name="표준 6 4 26" xfId="3098"/>
    <cellStyle name="표준 6 4 26 2" xfId="3099"/>
    <cellStyle name="표준 6 4 26 2 2" xfId="6263"/>
    <cellStyle name="표준 6 4 26 2 2 2" xfId="12599"/>
    <cellStyle name="표준 6 4 26 2 2 2 2" xfId="25273"/>
    <cellStyle name="표준 6 4 26 2 2 2 2 2" xfId="50625"/>
    <cellStyle name="표준 6 4 26 2 2 2 3" xfId="37953"/>
    <cellStyle name="표준 6 4 26 2 2 3" xfId="18937"/>
    <cellStyle name="표준 6 4 26 2 2 3 2" xfId="44289"/>
    <cellStyle name="표준 6 4 26 2 2 4" xfId="31617"/>
    <cellStyle name="표준 6 4 26 2 3" xfId="9436"/>
    <cellStyle name="표준 6 4 26 2 3 2" xfId="22110"/>
    <cellStyle name="표준 6 4 26 2 3 2 2" xfId="47462"/>
    <cellStyle name="표준 6 4 26 2 3 3" xfId="34790"/>
    <cellStyle name="표준 6 4 26 2 4" xfId="15774"/>
    <cellStyle name="표준 6 4 26 2 4 2" xfId="41126"/>
    <cellStyle name="표준 6 4 26 2 5" xfId="28454"/>
    <cellStyle name="표준 6 4 26 3" xfId="6264"/>
    <cellStyle name="표준 6 4 26 3 2" xfId="12600"/>
    <cellStyle name="표준 6 4 26 3 2 2" xfId="25274"/>
    <cellStyle name="표준 6 4 26 3 2 2 2" xfId="50626"/>
    <cellStyle name="표준 6 4 26 3 2 3" xfId="37954"/>
    <cellStyle name="표준 6 4 26 3 3" xfId="18938"/>
    <cellStyle name="표준 6 4 26 3 3 2" xfId="44290"/>
    <cellStyle name="표준 6 4 26 3 4" xfId="31618"/>
    <cellStyle name="표준 6 4 26 4" xfId="9435"/>
    <cellStyle name="표준 6 4 26 4 2" xfId="22109"/>
    <cellStyle name="표준 6 4 26 4 2 2" xfId="47461"/>
    <cellStyle name="표준 6 4 26 4 3" xfId="34789"/>
    <cellStyle name="표준 6 4 26 5" xfId="15773"/>
    <cellStyle name="표준 6 4 26 5 2" xfId="41125"/>
    <cellStyle name="표준 6 4 26 6" xfId="28453"/>
    <cellStyle name="표준 6 4 27" xfId="3100"/>
    <cellStyle name="표준 6 4 27 2" xfId="3101"/>
    <cellStyle name="표준 6 4 27 2 2" xfId="6265"/>
    <cellStyle name="표준 6 4 27 2 2 2" xfId="12601"/>
    <cellStyle name="표준 6 4 27 2 2 2 2" xfId="25275"/>
    <cellStyle name="표준 6 4 27 2 2 2 2 2" xfId="50627"/>
    <cellStyle name="표준 6 4 27 2 2 2 3" xfId="37955"/>
    <cellStyle name="표준 6 4 27 2 2 3" xfId="18939"/>
    <cellStyle name="표준 6 4 27 2 2 3 2" xfId="44291"/>
    <cellStyle name="표준 6 4 27 2 2 4" xfId="31619"/>
    <cellStyle name="표준 6 4 27 2 3" xfId="9438"/>
    <cellStyle name="표준 6 4 27 2 3 2" xfId="22112"/>
    <cellStyle name="표준 6 4 27 2 3 2 2" xfId="47464"/>
    <cellStyle name="표준 6 4 27 2 3 3" xfId="34792"/>
    <cellStyle name="표준 6 4 27 2 4" xfId="15776"/>
    <cellStyle name="표준 6 4 27 2 4 2" xfId="41128"/>
    <cellStyle name="표준 6 4 27 2 5" xfId="28456"/>
    <cellStyle name="표준 6 4 27 3" xfId="6266"/>
    <cellStyle name="표준 6 4 27 3 2" xfId="12602"/>
    <cellStyle name="표준 6 4 27 3 2 2" xfId="25276"/>
    <cellStyle name="표준 6 4 27 3 2 2 2" xfId="50628"/>
    <cellStyle name="표준 6 4 27 3 2 3" xfId="37956"/>
    <cellStyle name="표준 6 4 27 3 3" xfId="18940"/>
    <cellStyle name="표준 6 4 27 3 3 2" xfId="44292"/>
    <cellStyle name="표준 6 4 27 3 4" xfId="31620"/>
    <cellStyle name="표준 6 4 27 4" xfId="9437"/>
    <cellStyle name="표준 6 4 27 4 2" xfId="22111"/>
    <cellStyle name="표준 6 4 27 4 2 2" xfId="47463"/>
    <cellStyle name="표준 6 4 27 4 3" xfId="34791"/>
    <cellStyle name="표준 6 4 27 5" xfId="15775"/>
    <cellStyle name="표준 6 4 27 5 2" xfId="41127"/>
    <cellStyle name="표준 6 4 27 6" xfId="28455"/>
    <cellStyle name="표준 6 4 28" xfId="3102"/>
    <cellStyle name="표준 6 4 28 2" xfId="3103"/>
    <cellStyle name="표준 6 4 28 2 2" xfId="6267"/>
    <cellStyle name="표준 6 4 28 2 2 2" xfId="12603"/>
    <cellStyle name="표준 6 4 28 2 2 2 2" xfId="25277"/>
    <cellStyle name="표준 6 4 28 2 2 2 2 2" xfId="50629"/>
    <cellStyle name="표준 6 4 28 2 2 2 3" xfId="37957"/>
    <cellStyle name="표준 6 4 28 2 2 3" xfId="18941"/>
    <cellStyle name="표준 6 4 28 2 2 3 2" xfId="44293"/>
    <cellStyle name="표준 6 4 28 2 2 4" xfId="31621"/>
    <cellStyle name="표준 6 4 28 2 3" xfId="9440"/>
    <cellStyle name="표준 6 4 28 2 3 2" xfId="22114"/>
    <cellStyle name="표준 6 4 28 2 3 2 2" xfId="47466"/>
    <cellStyle name="표준 6 4 28 2 3 3" xfId="34794"/>
    <cellStyle name="표준 6 4 28 2 4" xfId="15778"/>
    <cellStyle name="표준 6 4 28 2 4 2" xfId="41130"/>
    <cellStyle name="표준 6 4 28 2 5" xfId="28458"/>
    <cellStyle name="표준 6 4 28 3" xfId="6268"/>
    <cellStyle name="표준 6 4 28 3 2" xfId="12604"/>
    <cellStyle name="표준 6 4 28 3 2 2" xfId="25278"/>
    <cellStyle name="표준 6 4 28 3 2 2 2" xfId="50630"/>
    <cellStyle name="표준 6 4 28 3 2 3" xfId="37958"/>
    <cellStyle name="표준 6 4 28 3 3" xfId="18942"/>
    <cellStyle name="표준 6 4 28 3 3 2" xfId="44294"/>
    <cellStyle name="표준 6 4 28 3 4" xfId="31622"/>
    <cellStyle name="표준 6 4 28 4" xfId="9439"/>
    <cellStyle name="표준 6 4 28 4 2" xfId="22113"/>
    <cellStyle name="표준 6 4 28 4 2 2" xfId="47465"/>
    <cellStyle name="표준 6 4 28 4 3" xfId="34793"/>
    <cellStyle name="표준 6 4 28 5" xfId="15777"/>
    <cellStyle name="표준 6 4 28 5 2" xfId="41129"/>
    <cellStyle name="표준 6 4 28 6" xfId="28457"/>
    <cellStyle name="표준 6 4 29" xfId="3104"/>
    <cellStyle name="표준 6 4 29 2" xfId="3105"/>
    <cellStyle name="표준 6 4 29 2 2" xfId="6269"/>
    <cellStyle name="표준 6 4 29 2 2 2" xfId="12605"/>
    <cellStyle name="표준 6 4 29 2 2 2 2" xfId="25279"/>
    <cellStyle name="표준 6 4 29 2 2 2 2 2" xfId="50631"/>
    <cellStyle name="표준 6 4 29 2 2 2 3" xfId="37959"/>
    <cellStyle name="표준 6 4 29 2 2 3" xfId="18943"/>
    <cellStyle name="표준 6 4 29 2 2 3 2" xfId="44295"/>
    <cellStyle name="표준 6 4 29 2 2 4" xfId="31623"/>
    <cellStyle name="표준 6 4 29 2 3" xfId="9442"/>
    <cellStyle name="표준 6 4 29 2 3 2" xfId="22116"/>
    <cellStyle name="표준 6 4 29 2 3 2 2" xfId="47468"/>
    <cellStyle name="표준 6 4 29 2 3 3" xfId="34796"/>
    <cellStyle name="표준 6 4 29 2 4" xfId="15780"/>
    <cellStyle name="표준 6 4 29 2 4 2" xfId="41132"/>
    <cellStyle name="표준 6 4 29 2 5" xfId="28460"/>
    <cellStyle name="표준 6 4 29 3" xfId="6270"/>
    <cellStyle name="표준 6 4 29 3 2" xfId="12606"/>
    <cellStyle name="표준 6 4 29 3 2 2" xfId="25280"/>
    <cellStyle name="표준 6 4 29 3 2 2 2" xfId="50632"/>
    <cellStyle name="표준 6 4 29 3 2 3" xfId="37960"/>
    <cellStyle name="표준 6 4 29 3 3" xfId="18944"/>
    <cellStyle name="표준 6 4 29 3 3 2" xfId="44296"/>
    <cellStyle name="표준 6 4 29 3 4" xfId="31624"/>
    <cellStyle name="표준 6 4 29 4" xfId="9441"/>
    <cellStyle name="표준 6 4 29 4 2" xfId="22115"/>
    <cellStyle name="표준 6 4 29 4 2 2" xfId="47467"/>
    <cellStyle name="표준 6 4 29 4 3" xfId="34795"/>
    <cellStyle name="표준 6 4 29 5" xfId="15779"/>
    <cellStyle name="표준 6 4 29 5 2" xfId="41131"/>
    <cellStyle name="표준 6 4 29 6" xfId="28459"/>
    <cellStyle name="표준 6 4 3" xfId="102"/>
    <cellStyle name="표준 6 4 3 2" xfId="3106"/>
    <cellStyle name="표준 6 4 3 2 2" xfId="6271"/>
    <cellStyle name="표준 6 4 3 2 2 2" xfId="12607"/>
    <cellStyle name="표준 6 4 3 2 2 2 2" xfId="25281"/>
    <cellStyle name="표준 6 4 3 2 2 2 2 2" xfId="50633"/>
    <cellStyle name="표준 6 4 3 2 2 2 3" xfId="37961"/>
    <cellStyle name="표준 6 4 3 2 2 3" xfId="18945"/>
    <cellStyle name="표준 6 4 3 2 2 3 2" xfId="44297"/>
    <cellStyle name="표준 6 4 3 2 2 4" xfId="31625"/>
    <cellStyle name="표준 6 4 3 2 3" xfId="9443"/>
    <cellStyle name="표준 6 4 3 2 3 2" xfId="22117"/>
    <cellStyle name="표준 6 4 3 2 3 2 2" xfId="47469"/>
    <cellStyle name="표준 6 4 3 2 3 3" xfId="34797"/>
    <cellStyle name="표준 6 4 3 2 4" xfId="15781"/>
    <cellStyle name="표준 6 4 3 2 4 2" xfId="41133"/>
    <cellStyle name="표준 6 4 3 2 5" xfId="28461"/>
    <cellStyle name="표준 6 4 3 3" xfId="6272"/>
    <cellStyle name="표준 6 4 3 3 2" xfId="12608"/>
    <cellStyle name="표준 6 4 3 3 2 2" xfId="25282"/>
    <cellStyle name="표준 6 4 3 3 2 2 2" xfId="50634"/>
    <cellStyle name="표준 6 4 3 3 2 3" xfId="37962"/>
    <cellStyle name="표준 6 4 3 3 3" xfId="18946"/>
    <cellStyle name="표준 6 4 3 3 3 2" xfId="44298"/>
    <cellStyle name="표준 6 4 3 3 4" xfId="31626"/>
    <cellStyle name="표준 6 4 3 4" xfId="6440"/>
    <cellStyle name="표준 6 4 3 4 2" xfId="19114"/>
    <cellStyle name="표준 6 4 3 4 2 2" xfId="44466"/>
    <cellStyle name="표준 6 4 3 4 3" xfId="31794"/>
    <cellStyle name="표준 6 4 3 5" xfId="12778"/>
    <cellStyle name="표준 6 4 3 5 2" xfId="38130"/>
    <cellStyle name="표준 6 4 3 6" xfId="25458"/>
    <cellStyle name="표준 6 4 30" xfId="3107"/>
    <cellStyle name="표준 6 4 30 2" xfId="3108"/>
    <cellStyle name="표준 6 4 30 2 2" xfId="6273"/>
    <cellStyle name="표준 6 4 30 2 2 2" xfId="12609"/>
    <cellStyle name="표준 6 4 30 2 2 2 2" xfId="25283"/>
    <cellStyle name="표준 6 4 30 2 2 2 2 2" xfId="50635"/>
    <cellStyle name="표준 6 4 30 2 2 2 3" xfId="37963"/>
    <cellStyle name="표준 6 4 30 2 2 3" xfId="18947"/>
    <cellStyle name="표준 6 4 30 2 2 3 2" xfId="44299"/>
    <cellStyle name="표준 6 4 30 2 2 4" xfId="31627"/>
    <cellStyle name="표준 6 4 30 2 3" xfId="9445"/>
    <cellStyle name="표준 6 4 30 2 3 2" xfId="22119"/>
    <cellStyle name="표준 6 4 30 2 3 2 2" xfId="47471"/>
    <cellStyle name="표준 6 4 30 2 3 3" xfId="34799"/>
    <cellStyle name="표준 6 4 30 2 4" xfId="15783"/>
    <cellStyle name="표준 6 4 30 2 4 2" xfId="41135"/>
    <cellStyle name="표준 6 4 30 2 5" xfId="28463"/>
    <cellStyle name="표준 6 4 30 3" xfId="6274"/>
    <cellStyle name="표준 6 4 30 3 2" xfId="12610"/>
    <cellStyle name="표준 6 4 30 3 2 2" xfId="25284"/>
    <cellStyle name="표준 6 4 30 3 2 2 2" xfId="50636"/>
    <cellStyle name="표준 6 4 30 3 2 3" xfId="37964"/>
    <cellStyle name="표준 6 4 30 3 3" xfId="18948"/>
    <cellStyle name="표준 6 4 30 3 3 2" xfId="44300"/>
    <cellStyle name="표준 6 4 30 3 4" xfId="31628"/>
    <cellStyle name="표준 6 4 30 4" xfId="9444"/>
    <cellStyle name="표준 6 4 30 4 2" xfId="22118"/>
    <cellStyle name="표준 6 4 30 4 2 2" xfId="47470"/>
    <cellStyle name="표준 6 4 30 4 3" xfId="34798"/>
    <cellStyle name="표준 6 4 30 5" xfId="15782"/>
    <cellStyle name="표준 6 4 30 5 2" xfId="41134"/>
    <cellStyle name="표준 6 4 30 6" xfId="28462"/>
    <cellStyle name="표준 6 4 31" xfId="3109"/>
    <cellStyle name="표준 6 4 31 2" xfId="3110"/>
    <cellStyle name="표준 6 4 31 2 2" xfId="6275"/>
    <cellStyle name="표준 6 4 31 2 2 2" xfId="12611"/>
    <cellStyle name="표준 6 4 31 2 2 2 2" xfId="25285"/>
    <cellStyle name="표준 6 4 31 2 2 2 2 2" xfId="50637"/>
    <cellStyle name="표준 6 4 31 2 2 2 3" xfId="37965"/>
    <cellStyle name="표준 6 4 31 2 2 3" xfId="18949"/>
    <cellStyle name="표준 6 4 31 2 2 3 2" xfId="44301"/>
    <cellStyle name="표준 6 4 31 2 2 4" xfId="31629"/>
    <cellStyle name="표준 6 4 31 2 3" xfId="9447"/>
    <cellStyle name="표준 6 4 31 2 3 2" xfId="22121"/>
    <cellStyle name="표준 6 4 31 2 3 2 2" xfId="47473"/>
    <cellStyle name="표준 6 4 31 2 3 3" xfId="34801"/>
    <cellStyle name="표준 6 4 31 2 4" xfId="15785"/>
    <cellStyle name="표준 6 4 31 2 4 2" xfId="41137"/>
    <cellStyle name="표준 6 4 31 2 5" xfId="28465"/>
    <cellStyle name="표준 6 4 31 3" xfId="6276"/>
    <cellStyle name="표준 6 4 31 3 2" xfId="12612"/>
    <cellStyle name="표준 6 4 31 3 2 2" xfId="25286"/>
    <cellStyle name="표준 6 4 31 3 2 2 2" xfId="50638"/>
    <cellStyle name="표준 6 4 31 3 2 3" xfId="37966"/>
    <cellStyle name="표준 6 4 31 3 3" xfId="18950"/>
    <cellStyle name="표준 6 4 31 3 3 2" xfId="44302"/>
    <cellStyle name="표준 6 4 31 3 4" xfId="31630"/>
    <cellStyle name="표준 6 4 31 4" xfId="9446"/>
    <cellStyle name="표준 6 4 31 4 2" xfId="22120"/>
    <cellStyle name="표준 6 4 31 4 2 2" xfId="47472"/>
    <cellStyle name="표준 6 4 31 4 3" xfId="34800"/>
    <cellStyle name="표준 6 4 31 5" xfId="15784"/>
    <cellStyle name="표준 6 4 31 5 2" xfId="41136"/>
    <cellStyle name="표준 6 4 31 6" xfId="28464"/>
    <cellStyle name="표준 6 4 32" xfId="3111"/>
    <cellStyle name="표준 6 4 32 2" xfId="3112"/>
    <cellStyle name="표준 6 4 32 2 2" xfId="6277"/>
    <cellStyle name="표준 6 4 32 2 2 2" xfId="12613"/>
    <cellStyle name="표준 6 4 32 2 2 2 2" xfId="25287"/>
    <cellStyle name="표준 6 4 32 2 2 2 2 2" xfId="50639"/>
    <cellStyle name="표준 6 4 32 2 2 2 3" xfId="37967"/>
    <cellStyle name="표준 6 4 32 2 2 3" xfId="18951"/>
    <cellStyle name="표준 6 4 32 2 2 3 2" xfId="44303"/>
    <cellStyle name="표준 6 4 32 2 2 4" xfId="31631"/>
    <cellStyle name="표준 6 4 32 2 3" xfId="9449"/>
    <cellStyle name="표준 6 4 32 2 3 2" xfId="22123"/>
    <cellStyle name="표준 6 4 32 2 3 2 2" xfId="47475"/>
    <cellStyle name="표준 6 4 32 2 3 3" xfId="34803"/>
    <cellStyle name="표준 6 4 32 2 4" xfId="15787"/>
    <cellStyle name="표준 6 4 32 2 4 2" xfId="41139"/>
    <cellStyle name="표준 6 4 32 2 5" xfId="28467"/>
    <cellStyle name="표준 6 4 32 3" xfId="6278"/>
    <cellStyle name="표준 6 4 32 3 2" xfId="12614"/>
    <cellStyle name="표준 6 4 32 3 2 2" xfId="25288"/>
    <cellStyle name="표준 6 4 32 3 2 2 2" xfId="50640"/>
    <cellStyle name="표준 6 4 32 3 2 3" xfId="37968"/>
    <cellStyle name="표준 6 4 32 3 3" xfId="18952"/>
    <cellStyle name="표준 6 4 32 3 3 2" xfId="44304"/>
    <cellStyle name="표준 6 4 32 3 4" xfId="31632"/>
    <cellStyle name="표준 6 4 32 4" xfId="9448"/>
    <cellStyle name="표준 6 4 32 4 2" xfId="22122"/>
    <cellStyle name="표준 6 4 32 4 2 2" xfId="47474"/>
    <cellStyle name="표준 6 4 32 4 3" xfId="34802"/>
    <cellStyle name="표준 6 4 32 5" xfId="15786"/>
    <cellStyle name="표준 6 4 32 5 2" xfId="41138"/>
    <cellStyle name="표준 6 4 32 6" xfId="28466"/>
    <cellStyle name="표준 6 4 33" xfId="3113"/>
    <cellStyle name="표준 6 4 33 2" xfId="3114"/>
    <cellStyle name="표준 6 4 33 2 2" xfId="6279"/>
    <cellStyle name="표준 6 4 33 2 2 2" xfId="12615"/>
    <cellStyle name="표준 6 4 33 2 2 2 2" xfId="25289"/>
    <cellStyle name="표준 6 4 33 2 2 2 2 2" xfId="50641"/>
    <cellStyle name="표준 6 4 33 2 2 2 3" xfId="37969"/>
    <cellStyle name="표준 6 4 33 2 2 3" xfId="18953"/>
    <cellStyle name="표준 6 4 33 2 2 3 2" xfId="44305"/>
    <cellStyle name="표준 6 4 33 2 2 4" xfId="31633"/>
    <cellStyle name="표준 6 4 33 2 3" xfId="9451"/>
    <cellStyle name="표준 6 4 33 2 3 2" xfId="22125"/>
    <cellStyle name="표준 6 4 33 2 3 2 2" xfId="47477"/>
    <cellStyle name="표준 6 4 33 2 3 3" xfId="34805"/>
    <cellStyle name="표준 6 4 33 2 4" xfId="15789"/>
    <cellStyle name="표준 6 4 33 2 4 2" xfId="41141"/>
    <cellStyle name="표준 6 4 33 2 5" xfId="28469"/>
    <cellStyle name="표준 6 4 33 3" xfId="6280"/>
    <cellStyle name="표준 6 4 33 3 2" xfId="12616"/>
    <cellStyle name="표준 6 4 33 3 2 2" xfId="25290"/>
    <cellStyle name="표준 6 4 33 3 2 2 2" xfId="50642"/>
    <cellStyle name="표준 6 4 33 3 2 3" xfId="37970"/>
    <cellStyle name="표준 6 4 33 3 3" xfId="18954"/>
    <cellStyle name="표준 6 4 33 3 3 2" xfId="44306"/>
    <cellStyle name="표준 6 4 33 3 4" xfId="31634"/>
    <cellStyle name="표준 6 4 33 4" xfId="9450"/>
    <cellStyle name="표준 6 4 33 4 2" xfId="22124"/>
    <cellStyle name="표준 6 4 33 4 2 2" xfId="47476"/>
    <cellStyle name="표준 6 4 33 4 3" xfId="34804"/>
    <cellStyle name="표준 6 4 33 5" xfId="15788"/>
    <cellStyle name="표준 6 4 33 5 2" xfId="41140"/>
    <cellStyle name="표준 6 4 33 6" xfId="28468"/>
    <cellStyle name="표준 6 4 34" xfId="3115"/>
    <cellStyle name="표준 6 4 34 2" xfId="3116"/>
    <cellStyle name="표준 6 4 34 2 2" xfId="6281"/>
    <cellStyle name="표준 6 4 34 2 2 2" xfId="12617"/>
    <cellStyle name="표준 6 4 34 2 2 2 2" xfId="25291"/>
    <cellStyle name="표준 6 4 34 2 2 2 2 2" xfId="50643"/>
    <cellStyle name="표준 6 4 34 2 2 2 3" xfId="37971"/>
    <cellStyle name="표준 6 4 34 2 2 3" xfId="18955"/>
    <cellStyle name="표준 6 4 34 2 2 3 2" xfId="44307"/>
    <cellStyle name="표준 6 4 34 2 2 4" xfId="31635"/>
    <cellStyle name="표준 6 4 34 2 3" xfId="9453"/>
    <cellStyle name="표준 6 4 34 2 3 2" xfId="22127"/>
    <cellStyle name="표준 6 4 34 2 3 2 2" xfId="47479"/>
    <cellStyle name="표준 6 4 34 2 3 3" xfId="34807"/>
    <cellStyle name="표준 6 4 34 2 4" xfId="15791"/>
    <cellStyle name="표준 6 4 34 2 4 2" xfId="41143"/>
    <cellStyle name="표준 6 4 34 2 5" xfId="28471"/>
    <cellStyle name="표준 6 4 34 3" xfId="6282"/>
    <cellStyle name="표준 6 4 34 3 2" xfId="12618"/>
    <cellStyle name="표준 6 4 34 3 2 2" xfId="25292"/>
    <cellStyle name="표준 6 4 34 3 2 2 2" xfId="50644"/>
    <cellStyle name="표준 6 4 34 3 2 3" xfId="37972"/>
    <cellStyle name="표준 6 4 34 3 3" xfId="18956"/>
    <cellStyle name="표준 6 4 34 3 3 2" xfId="44308"/>
    <cellStyle name="표준 6 4 34 3 4" xfId="31636"/>
    <cellStyle name="표준 6 4 34 4" xfId="9452"/>
    <cellStyle name="표준 6 4 34 4 2" xfId="22126"/>
    <cellStyle name="표준 6 4 34 4 2 2" xfId="47478"/>
    <cellStyle name="표준 6 4 34 4 3" xfId="34806"/>
    <cellStyle name="표준 6 4 34 5" xfId="15790"/>
    <cellStyle name="표준 6 4 34 5 2" xfId="41142"/>
    <cellStyle name="표준 6 4 34 6" xfId="28470"/>
    <cellStyle name="표준 6 4 35" xfId="3117"/>
    <cellStyle name="표준 6 4 35 2" xfId="6283"/>
    <cellStyle name="표준 6 4 35 2 2" xfId="12619"/>
    <cellStyle name="표준 6 4 35 2 2 2" xfId="25293"/>
    <cellStyle name="표준 6 4 35 2 2 2 2" xfId="50645"/>
    <cellStyle name="표준 6 4 35 2 2 3" xfId="37973"/>
    <cellStyle name="표준 6 4 35 2 3" xfId="18957"/>
    <cellStyle name="표준 6 4 35 2 3 2" xfId="44309"/>
    <cellStyle name="표준 6 4 35 2 4" xfId="31637"/>
    <cellStyle name="표준 6 4 35 3" xfId="9454"/>
    <cellStyle name="표준 6 4 35 3 2" xfId="22128"/>
    <cellStyle name="표준 6 4 35 3 2 2" xfId="47480"/>
    <cellStyle name="표준 6 4 35 3 3" xfId="34808"/>
    <cellStyle name="표준 6 4 35 4" xfId="15792"/>
    <cellStyle name="표준 6 4 35 4 2" xfId="41144"/>
    <cellStyle name="표준 6 4 35 5" xfId="28472"/>
    <cellStyle name="표준 6 4 36" xfId="6284"/>
    <cellStyle name="표준 6 4 36 2" xfId="12620"/>
    <cellStyle name="표준 6 4 36 2 2" xfId="25294"/>
    <cellStyle name="표준 6 4 36 2 2 2" xfId="50646"/>
    <cellStyle name="표준 6 4 36 2 3" xfId="37974"/>
    <cellStyle name="표준 6 4 36 3" xfId="18958"/>
    <cellStyle name="표준 6 4 36 3 2" xfId="44310"/>
    <cellStyle name="표준 6 4 36 4" xfId="31638"/>
    <cellStyle name="표준 6 4 37" xfId="6384"/>
    <cellStyle name="표준 6 4 37 2" xfId="19058"/>
    <cellStyle name="표준 6 4 37 2 2" xfId="44410"/>
    <cellStyle name="표준 6 4 37 3" xfId="31738"/>
    <cellStyle name="표준 6 4 38" xfId="12722"/>
    <cellStyle name="표준 6 4 38 2" xfId="38074"/>
    <cellStyle name="표준 6 4 39" xfId="25402"/>
    <cellStyle name="표준 6 4 4" xfId="3118"/>
    <cellStyle name="표준 6 4 4 2" xfId="3119"/>
    <cellStyle name="표준 6 4 4 2 2" xfId="6285"/>
    <cellStyle name="표준 6 4 4 2 2 2" xfId="12621"/>
    <cellStyle name="표준 6 4 4 2 2 2 2" xfId="25295"/>
    <cellStyle name="표준 6 4 4 2 2 2 2 2" xfId="50647"/>
    <cellStyle name="표준 6 4 4 2 2 2 3" xfId="37975"/>
    <cellStyle name="표준 6 4 4 2 2 3" xfId="18959"/>
    <cellStyle name="표준 6 4 4 2 2 3 2" xfId="44311"/>
    <cellStyle name="표준 6 4 4 2 2 4" xfId="31639"/>
    <cellStyle name="표준 6 4 4 2 3" xfId="9456"/>
    <cellStyle name="표준 6 4 4 2 3 2" xfId="22130"/>
    <cellStyle name="표준 6 4 4 2 3 2 2" xfId="47482"/>
    <cellStyle name="표준 6 4 4 2 3 3" xfId="34810"/>
    <cellStyle name="표준 6 4 4 2 4" xfId="15794"/>
    <cellStyle name="표준 6 4 4 2 4 2" xfId="41146"/>
    <cellStyle name="표준 6 4 4 2 5" xfId="28474"/>
    <cellStyle name="표준 6 4 4 3" xfId="6286"/>
    <cellStyle name="표준 6 4 4 3 2" xfId="12622"/>
    <cellStyle name="표준 6 4 4 3 2 2" xfId="25296"/>
    <cellStyle name="표준 6 4 4 3 2 2 2" xfId="50648"/>
    <cellStyle name="표준 6 4 4 3 2 3" xfId="37976"/>
    <cellStyle name="표준 6 4 4 3 3" xfId="18960"/>
    <cellStyle name="표준 6 4 4 3 3 2" xfId="44312"/>
    <cellStyle name="표준 6 4 4 3 4" xfId="31640"/>
    <cellStyle name="표준 6 4 4 4" xfId="9455"/>
    <cellStyle name="표준 6 4 4 4 2" xfId="22129"/>
    <cellStyle name="표준 6 4 4 4 2 2" xfId="47481"/>
    <cellStyle name="표준 6 4 4 4 3" xfId="34809"/>
    <cellStyle name="표준 6 4 4 5" xfId="15793"/>
    <cellStyle name="표준 6 4 4 5 2" xfId="41145"/>
    <cellStyle name="표준 6 4 4 6" xfId="28473"/>
    <cellStyle name="표준 6 4 5" xfId="3120"/>
    <cellStyle name="표준 6 4 5 2" xfId="3121"/>
    <cellStyle name="표준 6 4 5 2 2" xfId="6287"/>
    <cellStyle name="표준 6 4 5 2 2 2" xfId="12623"/>
    <cellStyle name="표준 6 4 5 2 2 2 2" xfId="25297"/>
    <cellStyle name="표준 6 4 5 2 2 2 2 2" xfId="50649"/>
    <cellStyle name="표준 6 4 5 2 2 2 3" xfId="37977"/>
    <cellStyle name="표준 6 4 5 2 2 3" xfId="18961"/>
    <cellStyle name="표준 6 4 5 2 2 3 2" xfId="44313"/>
    <cellStyle name="표준 6 4 5 2 2 4" xfId="31641"/>
    <cellStyle name="표준 6 4 5 2 3" xfId="9458"/>
    <cellStyle name="표준 6 4 5 2 3 2" xfId="22132"/>
    <cellStyle name="표준 6 4 5 2 3 2 2" xfId="47484"/>
    <cellStyle name="표준 6 4 5 2 3 3" xfId="34812"/>
    <cellStyle name="표준 6 4 5 2 4" xfId="15796"/>
    <cellStyle name="표준 6 4 5 2 4 2" xfId="41148"/>
    <cellStyle name="표준 6 4 5 2 5" xfId="28476"/>
    <cellStyle name="표준 6 4 5 3" xfId="6288"/>
    <cellStyle name="표준 6 4 5 3 2" xfId="12624"/>
    <cellStyle name="표준 6 4 5 3 2 2" xfId="25298"/>
    <cellStyle name="표준 6 4 5 3 2 2 2" xfId="50650"/>
    <cellStyle name="표준 6 4 5 3 2 3" xfId="37978"/>
    <cellStyle name="표준 6 4 5 3 3" xfId="18962"/>
    <cellStyle name="표준 6 4 5 3 3 2" xfId="44314"/>
    <cellStyle name="표준 6 4 5 3 4" xfId="31642"/>
    <cellStyle name="표준 6 4 5 4" xfId="9457"/>
    <cellStyle name="표준 6 4 5 4 2" xfId="22131"/>
    <cellStyle name="표준 6 4 5 4 2 2" xfId="47483"/>
    <cellStyle name="표준 6 4 5 4 3" xfId="34811"/>
    <cellStyle name="표준 6 4 5 5" xfId="15795"/>
    <cellStyle name="표준 6 4 5 5 2" xfId="41147"/>
    <cellStyle name="표준 6 4 5 6" xfId="28475"/>
    <cellStyle name="표준 6 4 6" xfId="3122"/>
    <cellStyle name="표준 6 4 6 2" xfId="3123"/>
    <cellStyle name="표준 6 4 6 2 2" xfId="6289"/>
    <cellStyle name="표준 6 4 6 2 2 2" xfId="12625"/>
    <cellStyle name="표준 6 4 6 2 2 2 2" xfId="25299"/>
    <cellStyle name="표준 6 4 6 2 2 2 2 2" xfId="50651"/>
    <cellStyle name="표준 6 4 6 2 2 2 3" xfId="37979"/>
    <cellStyle name="표준 6 4 6 2 2 3" xfId="18963"/>
    <cellStyle name="표준 6 4 6 2 2 3 2" xfId="44315"/>
    <cellStyle name="표준 6 4 6 2 2 4" xfId="31643"/>
    <cellStyle name="표준 6 4 6 2 3" xfId="9460"/>
    <cellStyle name="표준 6 4 6 2 3 2" xfId="22134"/>
    <cellStyle name="표준 6 4 6 2 3 2 2" xfId="47486"/>
    <cellStyle name="표준 6 4 6 2 3 3" xfId="34814"/>
    <cellStyle name="표준 6 4 6 2 4" xfId="15798"/>
    <cellStyle name="표준 6 4 6 2 4 2" xfId="41150"/>
    <cellStyle name="표준 6 4 6 2 5" xfId="28478"/>
    <cellStyle name="표준 6 4 6 3" xfId="6290"/>
    <cellStyle name="표준 6 4 6 3 2" xfId="12626"/>
    <cellStyle name="표준 6 4 6 3 2 2" xfId="25300"/>
    <cellStyle name="표준 6 4 6 3 2 2 2" xfId="50652"/>
    <cellStyle name="표준 6 4 6 3 2 3" xfId="37980"/>
    <cellStyle name="표준 6 4 6 3 3" xfId="18964"/>
    <cellStyle name="표준 6 4 6 3 3 2" xfId="44316"/>
    <cellStyle name="표준 6 4 6 3 4" xfId="31644"/>
    <cellStyle name="표준 6 4 6 4" xfId="9459"/>
    <cellStyle name="표준 6 4 6 4 2" xfId="22133"/>
    <cellStyle name="표준 6 4 6 4 2 2" xfId="47485"/>
    <cellStyle name="표준 6 4 6 4 3" xfId="34813"/>
    <cellStyle name="표준 6 4 6 5" xfId="15797"/>
    <cellStyle name="표준 6 4 6 5 2" xfId="41149"/>
    <cellStyle name="표준 6 4 6 6" xfId="28477"/>
    <cellStyle name="표준 6 4 7" xfId="3124"/>
    <cellStyle name="표준 6 4 7 2" xfId="3125"/>
    <cellStyle name="표준 6 4 7 2 2" xfId="6291"/>
    <cellStyle name="표준 6 4 7 2 2 2" xfId="12627"/>
    <cellStyle name="표준 6 4 7 2 2 2 2" xfId="25301"/>
    <cellStyle name="표준 6 4 7 2 2 2 2 2" xfId="50653"/>
    <cellStyle name="표준 6 4 7 2 2 2 3" xfId="37981"/>
    <cellStyle name="표준 6 4 7 2 2 3" xfId="18965"/>
    <cellStyle name="표준 6 4 7 2 2 3 2" xfId="44317"/>
    <cellStyle name="표준 6 4 7 2 2 4" xfId="31645"/>
    <cellStyle name="표준 6 4 7 2 3" xfId="9462"/>
    <cellStyle name="표준 6 4 7 2 3 2" xfId="22136"/>
    <cellStyle name="표준 6 4 7 2 3 2 2" xfId="47488"/>
    <cellStyle name="표준 6 4 7 2 3 3" xfId="34816"/>
    <cellStyle name="표준 6 4 7 2 4" xfId="15800"/>
    <cellStyle name="표준 6 4 7 2 4 2" xfId="41152"/>
    <cellStyle name="표준 6 4 7 2 5" xfId="28480"/>
    <cellStyle name="표준 6 4 7 3" xfId="6292"/>
    <cellStyle name="표준 6 4 7 3 2" xfId="12628"/>
    <cellStyle name="표준 6 4 7 3 2 2" xfId="25302"/>
    <cellStyle name="표준 6 4 7 3 2 2 2" xfId="50654"/>
    <cellStyle name="표준 6 4 7 3 2 3" xfId="37982"/>
    <cellStyle name="표준 6 4 7 3 3" xfId="18966"/>
    <cellStyle name="표준 6 4 7 3 3 2" xfId="44318"/>
    <cellStyle name="표준 6 4 7 3 4" xfId="31646"/>
    <cellStyle name="표준 6 4 7 4" xfId="9461"/>
    <cellStyle name="표준 6 4 7 4 2" xfId="22135"/>
    <cellStyle name="표준 6 4 7 4 2 2" xfId="47487"/>
    <cellStyle name="표준 6 4 7 4 3" xfId="34815"/>
    <cellStyle name="표준 6 4 7 5" xfId="15799"/>
    <cellStyle name="표준 6 4 7 5 2" xfId="41151"/>
    <cellStyle name="표준 6 4 7 6" xfId="28479"/>
    <cellStyle name="표준 6 4 8" xfId="3126"/>
    <cellStyle name="표준 6 4 8 2" xfId="3127"/>
    <cellStyle name="표준 6 4 8 2 2" xfId="6293"/>
    <cellStyle name="표준 6 4 8 2 2 2" xfId="12629"/>
    <cellStyle name="표준 6 4 8 2 2 2 2" xfId="25303"/>
    <cellStyle name="표준 6 4 8 2 2 2 2 2" xfId="50655"/>
    <cellStyle name="표준 6 4 8 2 2 2 3" xfId="37983"/>
    <cellStyle name="표준 6 4 8 2 2 3" xfId="18967"/>
    <cellStyle name="표준 6 4 8 2 2 3 2" xfId="44319"/>
    <cellStyle name="표준 6 4 8 2 2 4" xfId="31647"/>
    <cellStyle name="표준 6 4 8 2 3" xfId="9464"/>
    <cellStyle name="표준 6 4 8 2 3 2" xfId="22138"/>
    <cellStyle name="표준 6 4 8 2 3 2 2" xfId="47490"/>
    <cellStyle name="표준 6 4 8 2 3 3" xfId="34818"/>
    <cellStyle name="표준 6 4 8 2 4" xfId="15802"/>
    <cellStyle name="표준 6 4 8 2 4 2" xfId="41154"/>
    <cellStyle name="표준 6 4 8 2 5" xfId="28482"/>
    <cellStyle name="표준 6 4 8 3" xfId="6294"/>
    <cellStyle name="표준 6 4 8 3 2" xfId="12630"/>
    <cellStyle name="표준 6 4 8 3 2 2" xfId="25304"/>
    <cellStyle name="표준 6 4 8 3 2 2 2" xfId="50656"/>
    <cellStyle name="표준 6 4 8 3 2 3" xfId="37984"/>
    <cellStyle name="표준 6 4 8 3 3" xfId="18968"/>
    <cellStyle name="표준 6 4 8 3 3 2" xfId="44320"/>
    <cellStyle name="표준 6 4 8 3 4" xfId="31648"/>
    <cellStyle name="표준 6 4 8 4" xfId="9463"/>
    <cellStyle name="표준 6 4 8 4 2" xfId="22137"/>
    <cellStyle name="표준 6 4 8 4 2 2" xfId="47489"/>
    <cellStyle name="표준 6 4 8 4 3" xfId="34817"/>
    <cellStyle name="표준 6 4 8 5" xfId="15801"/>
    <cellStyle name="표준 6 4 8 5 2" xfId="41153"/>
    <cellStyle name="표준 6 4 8 6" xfId="28481"/>
    <cellStyle name="표준 6 4 9" xfId="3128"/>
    <cellStyle name="표준 6 4 9 2" xfId="3129"/>
    <cellStyle name="표준 6 4 9 2 2" xfId="6295"/>
    <cellStyle name="표준 6 4 9 2 2 2" xfId="12631"/>
    <cellStyle name="표준 6 4 9 2 2 2 2" xfId="25305"/>
    <cellStyle name="표준 6 4 9 2 2 2 2 2" xfId="50657"/>
    <cellStyle name="표준 6 4 9 2 2 2 3" xfId="37985"/>
    <cellStyle name="표준 6 4 9 2 2 3" xfId="18969"/>
    <cellStyle name="표준 6 4 9 2 2 3 2" xfId="44321"/>
    <cellStyle name="표준 6 4 9 2 2 4" xfId="31649"/>
    <cellStyle name="표준 6 4 9 2 3" xfId="9466"/>
    <cellStyle name="표준 6 4 9 2 3 2" xfId="22140"/>
    <cellStyle name="표준 6 4 9 2 3 2 2" xfId="47492"/>
    <cellStyle name="표준 6 4 9 2 3 3" xfId="34820"/>
    <cellStyle name="표준 6 4 9 2 4" xfId="15804"/>
    <cellStyle name="표준 6 4 9 2 4 2" xfId="41156"/>
    <cellStyle name="표준 6 4 9 2 5" xfId="28484"/>
    <cellStyle name="표준 6 4 9 3" xfId="6296"/>
    <cellStyle name="표준 6 4 9 3 2" xfId="12632"/>
    <cellStyle name="표준 6 4 9 3 2 2" xfId="25306"/>
    <cellStyle name="표준 6 4 9 3 2 2 2" xfId="50658"/>
    <cellStyle name="표준 6 4 9 3 2 3" xfId="37986"/>
    <cellStyle name="표준 6 4 9 3 3" xfId="18970"/>
    <cellStyle name="표준 6 4 9 3 3 2" xfId="44322"/>
    <cellStyle name="표준 6 4 9 3 4" xfId="31650"/>
    <cellStyle name="표준 6 4 9 4" xfId="9465"/>
    <cellStyle name="표준 6 4 9 4 2" xfId="22139"/>
    <cellStyle name="표준 6 4 9 4 2 2" xfId="47491"/>
    <cellStyle name="표준 6 4 9 4 3" xfId="34819"/>
    <cellStyle name="표준 6 4 9 5" xfId="15803"/>
    <cellStyle name="표준 6 4 9 5 2" xfId="41155"/>
    <cellStyle name="표준 6 4 9 6" xfId="28483"/>
    <cellStyle name="표준 6 40" xfId="6372"/>
    <cellStyle name="표준 6 40 2" xfId="19046"/>
    <cellStyle name="표준 6 40 2 2" xfId="44398"/>
    <cellStyle name="표준 6 40 3" xfId="31726"/>
    <cellStyle name="표준 6 41" xfId="12710"/>
    <cellStyle name="표준 6 41 2" xfId="38062"/>
    <cellStyle name="표준 6 42" xfId="25390"/>
    <cellStyle name="표준 6 5" xfId="103"/>
    <cellStyle name="표준 6 5 10" xfId="3130"/>
    <cellStyle name="표준 6 5 10 2" xfId="3131"/>
    <cellStyle name="표준 6 5 10 2 2" xfId="6297"/>
    <cellStyle name="표준 6 5 10 2 2 2" xfId="12633"/>
    <cellStyle name="표준 6 5 10 2 2 2 2" xfId="25307"/>
    <cellStyle name="표준 6 5 10 2 2 2 2 2" xfId="50659"/>
    <cellStyle name="표준 6 5 10 2 2 2 3" xfId="37987"/>
    <cellStyle name="표준 6 5 10 2 2 3" xfId="18971"/>
    <cellStyle name="표준 6 5 10 2 2 3 2" xfId="44323"/>
    <cellStyle name="표준 6 5 10 2 2 4" xfId="31651"/>
    <cellStyle name="표준 6 5 10 2 3" xfId="9468"/>
    <cellStyle name="표준 6 5 10 2 3 2" xfId="22142"/>
    <cellStyle name="표준 6 5 10 2 3 2 2" xfId="47494"/>
    <cellStyle name="표준 6 5 10 2 3 3" xfId="34822"/>
    <cellStyle name="표준 6 5 10 2 4" xfId="15806"/>
    <cellStyle name="표준 6 5 10 2 4 2" xfId="41158"/>
    <cellStyle name="표준 6 5 10 2 5" xfId="28486"/>
    <cellStyle name="표준 6 5 10 3" xfId="6298"/>
    <cellStyle name="표준 6 5 10 3 2" xfId="12634"/>
    <cellStyle name="표준 6 5 10 3 2 2" xfId="25308"/>
    <cellStyle name="표준 6 5 10 3 2 2 2" xfId="50660"/>
    <cellStyle name="표준 6 5 10 3 2 3" xfId="37988"/>
    <cellStyle name="표준 6 5 10 3 3" xfId="18972"/>
    <cellStyle name="표준 6 5 10 3 3 2" xfId="44324"/>
    <cellStyle name="표준 6 5 10 3 4" xfId="31652"/>
    <cellStyle name="표준 6 5 10 4" xfId="9467"/>
    <cellStyle name="표준 6 5 10 4 2" xfId="22141"/>
    <cellStyle name="표준 6 5 10 4 2 2" xfId="47493"/>
    <cellStyle name="표준 6 5 10 4 3" xfId="34821"/>
    <cellStyle name="표준 6 5 10 5" xfId="15805"/>
    <cellStyle name="표준 6 5 10 5 2" xfId="41157"/>
    <cellStyle name="표준 6 5 10 6" xfId="28485"/>
    <cellStyle name="표준 6 5 11" xfId="3132"/>
    <cellStyle name="표준 6 5 11 2" xfId="3133"/>
    <cellStyle name="표준 6 5 11 2 2" xfId="6299"/>
    <cellStyle name="표준 6 5 11 2 2 2" xfId="12635"/>
    <cellStyle name="표준 6 5 11 2 2 2 2" xfId="25309"/>
    <cellStyle name="표준 6 5 11 2 2 2 2 2" xfId="50661"/>
    <cellStyle name="표준 6 5 11 2 2 2 3" xfId="37989"/>
    <cellStyle name="표준 6 5 11 2 2 3" xfId="18973"/>
    <cellStyle name="표준 6 5 11 2 2 3 2" xfId="44325"/>
    <cellStyle name="표준 6 5 11 2 2 4" xfId="31653"/>
    <cellStyle name="표준 6 5 11 2 3" xfId="9470"/>
    <cellStyle name="표준 6 5 11 2 3 2" xfId="22144"/>
    <cellStyle name="표준 6 5 11 2 3 2 2" xfId="47496"/>
    <cellStyle name="표준 6 5 11 2 3 3" xfId="34824"/>
    <cellStyle name="표준 6 5 11 2 4" xfId="15808"/>
    <cellStyle name="표준 6 5 11 2 4 2" xfId="41160"/>
    <cellStyle name="표준 6 5 11 2 5" xfId="28488"/>
    <cellStyle name="표준 6 5 11 3" xfId="6300"/>
    <cellStyle name="표준 6 5 11 3 2" xfId="12636"/>
    <cellStyle name="표준 6 5 11 3 2 2" xfId="25310"/>
    <cellStyle name="표준 6 5 11 3 2 2 2" xfId="50662"/>
    <cellStyle name="표준 6 5 11 3 2 3" xfId="37990"/>
    <cellStyle name="표준 6 5 11 3 3" xfId="18974"/>
    <cellStyle name="표준 6 5 11 3 3 2" xfId="44326"/>
    <cellStyle name="표준 6 5 11 3 4" xfId="31654"/>
    <cellStyle name="표준 6 5 11 4" xfId="9469"/>
    <cellStyle name="표준 6 5 11 4 2" xfId="22143"/>
    <cellStyle name="표준 6 5 11 4 2 2" xfId="47495"/>
    <cellStyle name="표준 6 5 11 4 3" xfId="34823"/>
    <cellStyle name="표준 6 5 11 5" xfId="15807"/>
    <cellStyle name="표준 6 5 11 5 2" xfId="41159"/>
    <cellStyle name="표준 6 5 11 6" xfId="28487"/>
    <cellStyle name="표준 6 5 12" xfId="3134"/>
    <cellStyle name="표준 6 5 12 2" xfId="3135"/>
    <cellStyle name="표준 6 5 12 2 2" xfId="6301"/>
    <cellStyle name="표준 6 5 12 2 2 2" xfId="12637"/>
    <cellStyle name="표준 6 5 12 2 2 2 2" xfId="25311"/>
    <cellStyle name="표준 6 5 12 2 2 2 2 2" xfId="50663"/>
    <cellStyle name="표준 6 5 12 2 2 2 3" xfId="37991"/>
    <cellStyle name="표준 6 5 12 2 2 3" xfId="18975"/>
    <cellStyle name="표준 6 5 12 2 2 3 2" xfId="44327"/>
    <cellStyle name="표준 6 5 12 2 2 4" xfId="31655"/>
    <cellStyle name="표준 6 5 12 2 3" xfId="9472"/>
    <cellStyle name="표준 6 5 12 2 3 2" xfId="22146"/>
    <cellStyle name="표준 6 5 12 2 3 2 2" xfId="47498"/>
    <cellStyle name="표준 6 5 12 2 3 3" xfId="34826"/>
    <cellStyle name="표준 6 5 12 2 4" xfId="15810"/>
    <cellStyle name="표준 6 5 12 2 4 2" xfId="41162"/>
    <cellStyle name="표준 6 5 12 2 5" xfId="28490"/>
    <cellStyle name="표준 6 5 12 3" xfId="6302"/>
    <cellStyle name="표준 6 5 12 3 2" xfId="12638"/>
    <cellStyle name="표준 6 5 12 3 2 2" xfId="25312"/>
    <cellStyle name="표준 6 5 12 3 2 2 2" xfId="50664"/>
    <cellStyle name="표준 6 5 12 3 2 3" xfId="37992"/>
    <cellStyle name="표준 6 5 12 3 3" xfId="18976"/>
    <cellStyle name="표준 6 5 12 3 3 2" xfId="44328"/>
    <cellStyle name="표준 6 5 12 3 4" xfId="31656"/>
    <cellStyle name="표준 6 5 12 4" xfId="9471"/>
    <cellStyle name="표준 6 5 12 4 2" xfId="22145"/>
    <cellStyle name="표준 6 5 12 4 2 2" xfId="47497"/>
    <cellStyle name="표준 6 5 12 4 3" xfId="34825"/>
    <cellStyle name="표준 6 5 12 5" xfId="15809"/>
    <cellStyle name="표준 6 5 12 5 2" xfId="41161"/>
    <cellStyle name="표준 6 5 12 6" xfId="28489"/>
    <cellStyle name="표준 6 5 13" xfId="3136"/>
    <cellStyle name="표준 6 5 13 2" xfId="3137"/>
    <cellStyle name="표준 6 5 13 2 2" xfId="6303"/>
    <cellStyle name="표준 6 5 13 2 2 2" xfId="12639"/>
    <cellStyle name="표준 6 5 13 2 2 2 2" xfId="25313"/>
    <cellStyle name="표준 6 5 13 2 2 2 2 2" xfId="50665"/>
    <cellStyle name="표준 6 5 13 2 2 2 3" xfId="37993"/>
    <cellStyle name="표준 6 5 13 2 2 3" xfId="18977"/>
    <cellStyle name="표준 6 5 13 2 2 3 2" xfId="44329"/>
    <cellStyle name="표준 6 5 13 2 2 4" xfId="31657"/>
    <cellStyle name="표준 6 5 13 2 3" xfId="9474"/>
    <cellStyle name="표준 6 5 13 2 3 2" xfId="22148"/>
    <cellStyle name="표준 6 5 13 2 3 2 2" xfId="47500"/>
    <cellStyle name="표준 6 5 13 2 3 3" xfId="34828"/>
    <cellStyle name="표준 6 5 13 2 4" xfId="15812"/>
    <cellStyle name="표준 6 5 13 2 4 2" xfId="41164"/>
    <cellStyle name="표준 6 5 13 2 5" xfId="28492"/>
    <cellStyle name="표준 6 5 13 3" xfId="6304"/>
    <cellStyle name="표준 6 5 13 3 2" xfId="12640"/>
    <cellStyle name="표준 6 5 13 3 2 2" xfId="25314"/>
    <cellStyle name="표준 6 5 13 3 2 2 2" xfId="50666"/>
    <cellStyle name="표준 6 5 13 3 2 3" xfId="37994"/>
    <cellStyle name="표준 6 5 13 3 3" xfId="18978"/>
    <cellStyle name="표준 6 5 13 3 3 2" xfId="44330"/>
    <cellStyle name="표준 6 5 13 3 4" xfId="31658"/>
    <cellStyle name="표준 6 5 13 4" xfId="9473"/>
    <cellStyle name="표준 6 5 13 4 2" xfId="22147"/>
    <cellStyle name="표준 6 5 13 4 2 2" xfId="47499"/>
    <cellStyle name="표준 6 5 13 4 3" xfId="34827"/>
    <cellStyle name="표준 6 5 13 5" xfId="15811"/>
    <cellStyle name="표준 6 5 13 5 2" xfId="41163"/>
    <cellStyle name="표준 6 5 13 6" xfId="28491"/>
    <cellStyle name="표준 6 5 14" xfId="3138"/>
    <cellStyle name="표준 6 5 14 2" xfId="3139"/>
    <cellStyle name="표준 6 5 14 2 2" xfId="6305"/>
    <cellStyle name="표준 6 5 14 2 2 2" xfId="12641"/>
    <cellStyle name="표준 6 5 14 2 2 2 2" xfId="25315"/>
    <cellStyle name="표준 6 5 14 2 2 2 2 2" xfId="50667"/>
    <cellStyle name="표준 6 5 14 2 2 2 3" xfId="37995"/>
    <cellStyle name="표준 6 5 14 2 2 3" xfId="18979"/>
    <cellStyle name="표준 6 5 14 2 2 3 2" xfId="44331"/>
    <cellStyle name="표준 6 5 14 2 2 4" xfId="31659"/>
    <cellStyle name="표준 6 5 14 2 3" xfId="9476"/>
    <cellStyle name="표준 6 5 14 2 3 2" xfId="22150"/>
    <cellStyle name="표준 6 5 14 2 3 2 2" xfId="47502"/>
    <cellStyle name="표준 6 5 14 2 3 3" xfId="34830"/>
    <cellStyle name="표준 6 5 14 2 4" xfId="15814"/>
    <cellStyle name="표준 6 5 14 2 4 2" xfId="41166"/>
    <cellStyle name="표준 6 5 14 2 5" xfId="28494"/>
    <cellStyle name="표준 6 5 14 3" xfId="6306"/>
    <cellStyle name="표준 6 5 14 3 2" xfId="12642"/>
    <cellStyle name="표준 6 5 14 3 2 2" xfId="25316"/>
    <cellStyle name="표준 6 5 14 3 2 2 2" xfId="50668"/>
    <cellStyle name="표준 6 5 14 3 2 3" xfId="37996"/>
    <cellStyle name="표준 6 5 14 3 3" xfId="18980"/>
    <cellStyle name="표준 6 5 14 3 3 2" xfId="44332"/>
    <cellStyle name="표준 6 5 14 3 4" xfId="31660"/>
    <cellStyle name="표준 6 5 14 4" xfId="9475"/>
    <cellStyle name="표준 6 5 14 4 2" xfId="22149"/>
    <cellStyle name="표준 6 5 14 4 2 2" xfId="47501"/>
    <cellStyle name="표준 6 5 14 4 3" xfId="34829"/>
    <cellStyle name="표준 6 5 14 5" xfId="15813"/>
    <cellStyle name="표준 6 5 14 5 2" xfId="41165"/>
    <cellStyle name="표준 6 5 14 6" xfId="28493"/>
    <cellStyle name="표준 6 5 15" xfId="3140"/>
    <cellStyle name="표준 6 5 15 2" xfId="3141"/>
    <cellStyle name="표준 6 5 15 2 2" xfId="6307"/>
    <cellStyle name="표준 6 5 15 2 2 2" xfId="12643"/>
    <cellStyle name="표준 6 5 15 2 2 2 2" xfId="25317"/>
    <cellStyle name="표준 6 5 15 2 2 2 2 2" xfId="50669"/>
    <cellStyle name="표준 6 5 15 2 2 2 3" xfId="37997"/>
    <cellStyle name="표준 6 5 15 2 2 3" xfId="18981"/>
    <cellStyle name="표준 6 5 15 2 2 3 2" xfId="44333"/>
    <cellStyle name="표준 6 5 15 2 2 4" xfId="31661"/>
    <cellStyle name="표준 6 5 15 2 3" xfId="9478"/>
    <cellStyle name="표준 6 5 15 2 3 2" xfId="22152"/>
    <cellStyle name="표준 6 5 15 2 3 2 2" xfId="47504"/>
    <cellStyle name="표준 6 5 15 2 3 3" xfId="34832"/>
    <cellStyle name="표준 6 5 15 2 4" xfId="15816"/>
    <cellStyle name="표준 6 5 15 2 4 2" xfId="41168"/>
    <cellStyle name="표준 6 5 15 2 5" xfId="28496"/>
    <cellStyle name="표준 6 5 15 3" xfId="6308"/>
    <cellStyle name="표준 6 5 15 3 2" xfId="12644"/>
    <cellStyle name="표준 6 5 15 3 2 2" xfId="25318"/>
    <cellStyle name="표준 6 5 15 3 2 2 2" xfId="50670"/>
    <cellStyle name="표준 6 5 15 3 2 3" xfId="37998"/>
    <cellStyle name="표준 6 5 15 3 3" xfId="18982"/>
    <cellStyle name="표준 6 5 15 3 3 2" xfId="44334"/>
    <cellStyle name="표준 6 5 15 3 4" xfId="31662"/>
    <cellStyle name="표준 6 5 15 4" xfId="9477"/>
    <cellStyle name="표준 6 5 15 4 2" xfId="22151"/>
    <cellStyle name="표준 6 5 15 4 2 2" xfId="47503"/>
    <cellStyle name="표준 6 5 15 4 3" xfId="34831"/>
    <cellStyle name="표준 6 5 15 5" xfId="15815"/>
    <cellStyle name="표준 6 5 15 5 2" xfId="41167"/>
    <cellStyle name="표준 6 5 15 6" xfId="28495"/>
    <cellStyle name="표준 6 5 16" xfId="3142"/>
    <cellStyle name="표준 6 5 16 2" xfId="3143"/>
    <cellStyle name="표준 6 5 16 2 2" xfId="6309"/>
    <cellStyle name="표준 6 5 16 2 2 2" xfId="12645"/>
    <cellStyle name="표준 6 5 16 2 2 2 2" xfId="25319"/>
    <cellStyle name="표준 6 5 16 2 2 2 2 2" xfId="50671"/>
    <cellStyle name="표준 6 5 16 2 2 2 3" xfId="37999"/>
    <cellStyle name="표준 6 5 16 2 2 3" xfId="18983"/>
    <cellStyle name="표준 6 5 16 2 2 3 2" xfId="44335"/>
    <cellStyle name="표준 6 5 16 2 2 4" xfId="31663"/>
    <cellStyle name="표준 6 5 16 2 3" xfId="9480"/>
    <cellStyle name="표준 6 5 16 2 3 2" xfId="22154"/>
    <cellStyle name="표준 6 5 16 2 3 2 2" xfId="47506"/>
    <cellStyle name="표준 6 5 16 2 3 3" xfId="34834"/>
    <cellStyle name="표준 6 5 16 2 4" xfId="15818"/>
    <cellStyle name="표준 6 5 16 2 4 2" xfId="41170"/>
    <cellStyle name="표준 6 5 16 2 5" xfId="28498"/>
    <cellStyle name="표준 6 5 16 3" xfId="6310"/>
    <cellStyle name="표준 6 5 16 3 2" xfId="12646"/>
    <cellStyle name="표준 6 5 16 3 2 2" xfId="25320"/>
    <cellStyle name="표준 6 5 16 3 2 2 2" xfId="50672"/>
    <cellStyle name="표준 6 5 16 3 2 3" xfId="38000"/>
    <cellStyle name="표준 6 5 16 3 3" xfId="18984"/>
    <cellStyle name="표준 6 5 16 3 3 2" xfId="44336"/>
    <cellStyle name="표준 6 5 16 3 4" xfId="31664"/>
    <cellStyle name="표준 6 5 16 4" xfId="9479"/>
    <cellStyle name="표준 6 5 16 4 2" xfId="22153"/>
    <cellStyle name="표준 6 5 16 4 2 2" xfId="47505"/>
    <cellStyle name="표준 6 5 16 4 3" xfId="34833"/>
    <cellStyle name="표준 6 5 16 5" xfId="15817"/>
    <cellStyle name="표준 6 5 16 5 2" xfId="41169"/>
    <cellStyle name="표준 6 5 16 6" xfId="28497"/>
    <cellStyle name="표준 6 5 17" xfId="3144"/>
    <cellStyle name="표준 6 5 17 2" xfId="3145"/>
    <cellStyle name="표준 6 5 17 2 2" xfId="6311"/>
    <cellStyle name="표준 6 5 17 2 2 2" xfId="12647"/>
    <cellStyle name="표준 6 5 17 2 2 2 2" xfId="25321"/>
    <cellStyle name="표준 6 5 17 2 2 2 2 2" xfId="50673"/>
    <cellStyle name="표준 6 5 17 2 2 2 3" xfId="38001"/>
    <cellStyle name="표준 6 5 17 2 2 3" xfId="18985"/>
    <cellStyle name="표준 6 5 17 2 2 3 2" xfId="44337"/>
    <cellStyle name="표준 6 5 17 2 2 4" xfId="31665"/>
    <cellStyle name="표준 6 5 17 2 3" xfId="9482"/>
    <cellStyle name="표준 6 5 17 2 3 2" xfId="22156"/>
    <cellStyle name="표준 6 5 17 2 3 2 2" xfId="47508"/>
    <cellStyle name="표준 6 5 17 2 3 3" xfId="34836"/>
    <cellStyle name="표준 6 5 17 2 4" xfId="15820"/>
    <cellStyle name="표준 6 5 17 2 4 2" xfId="41172"/>
    <cellStyle name="표준 6 5 17 2 5" xfId="28500"/>
    <cellStyle name="표준 6 5 17 3" xfId="6312"/>
    <cellStyle name="표준 6 5 17 3 2" xfId="12648"/>
    <cellStyle name="표준 6 5 17 3 2 2" xfId="25322"/>
    <cellStyle name="표준 6 5 17 3 2 2 2" xfId="50674"/>
    <cellStyle name="표준 6 5 17 3 2 3" xfId="38002"/>
    <cellStyle name="표준 6 5 17 3 3" xfId="18986"/>
    <cellStyle name="표준 6 5 17 3 3 2" xfId="44338"/>
    <cellStyle name="표준 6 5 17 3 4" xfId="31666"/>
    <cellStyle name="표준 6 5 17 4" xfId="9481"/>
    <cellStyle name="표준 6 5 17 4 2" xfId="22155"/>
    <cellStyle name="표준 6 5 17 4 2 2" xfId="47507"/>
    <cellStyle name="표준 6 5 17 4 3" xfId="34835"/>
    <cellStyle name="표준 6 5 17 5" xfId="15819"/>
    <cellStyle name="표준 6 5 17 5 2" xfId="41171"/>
    <cellStyle name="표준 6 5 17 6" xfId="28499"/>
    <cellStyle name="표준 6 5 18" xfId="3146"/>
    <cellStyle name="표준 6 5 18 2" xfId="3147"/>
    <cellStyle name="표준 6 5 18 2 2" xfId="6313"/>
    <cellStyle name="표준 6 5 18 2 2 2" xfId="12649"/>
    <cellStyle name="표준 6 5 18 2 2 2 2" xfId="25323"/>
    <cellStyle name="표준 6 5 18 2 2 2 2 2" xfId="50675"/>
    <cellStyle name="표준 6 5 18 2 2 2 3" xfId="38003"/>
    <cellStyle name="표준 6 5 18 2 2 3" xfId="18987"/>
    <cellStyle name="표준 6 5 18 2 2 3 2" xfId="44339"/>
    <cellStyle name="표준 6 5 18 2 2 4" xfId="31667"/>
    <cellStyle name="표준 6 5 18 2 3" xfId="9484"/>
    <cellStyle name="표준 6 5 18 2 3 2" xfId="22158"/>
    <cellStyle name="표준 6 5 18 2 3 2 2" xfId="47510"/>
    <cellStyle name="표준 6 5 18 2 3 3" xfId="34838"/>
    <cellStyle name="표준 6 5 18 2 4" xfId="15822"/>
    <cellStyle name="표준 6 5 18 2 4 2" xfId="41174"/>
    <cellStyle name="표준 6 5 18 2 5" xfId="28502"/>
    <cellStyle name="표준 6 5 18 3" xfId="6314"/>
    <cellStyle name="표준 6 5 18 3 2" xfId="12650"/>
    <cellStyle name="표준 6 5 18 3 2 2" xfId="25324"/>
    <cellStyle name="표준 6 5 18 3 2 2 2" xfId="50676"/>
    <cellStyle name="표준 6 5 18 3 2 3" xfId="38004"/>
    <cellStyle name="표준 6 5 18 3 3" xfId="18988"/>
    <cellStyle name="표준 6 5 18 3 3 2" xfId="44340"/>
    <cellStyle name="표준 6 5 18 3 4" xfId="31668"/>
    <cellStyle name="표준 6 5 18 4" xfId="9483"/>
    <cellStyle name="표준 6 5 18 4 2" xfId="22157"/>
    <cellStyle name="표준 6 5 18 4 2 2" xfId="47509"/>
    <cellStyle name="표준 6 5 18 4 3" xfId="34837"/>
    <cellStyle name="표준 6 5 18 5" xfId="15821"/>
    <cellStyle name="표준 6 5 18 5 2" xfId="41173"/>
    <cellStyle name="표준 6 5 18 6" xfId="28501"/>
    <cellStyle name="표준 6 5 19" xfId="3148"/>
    <cellStyle name="표준 6 5 19 2" xfId="3149"/>
    <cellStyle name="표준 6 5 19 2 2" xfId="6315"/>
    <cellStyle name="표준 6 5 19 2 2 2" xfId="12651"/>
    <cellStyle name="표준 6 5 19 2 2 2 2" xfId="25325"/>
    <cellStyle name="표준 6 5 19 2 2 2 2 2" xfId="50677"/>
    <cellStyle name="표준 6 5 19 2 2 2 3" xfId="38005"/>
    <cellStyle name="표준 6 5 19 2 2 3" xfId="18989"/>
    <cellStyle name="표준 6 5 19 2 2 3 2" xfId="44341"/>
    <cellStyle name="표준 6 5 19 2 2 4" xfId="31669"/>
    <cellStyle name="표준 6 5 19 2 3" xfId="9486"/>
    <cellStyle name="표준 6 5 19 2 3 2" xfId="22160"/>
    <cellStyle name="표준 6 5 19 2 3 2 2" xfId="47512"/>
    <cellStyle name="표준 6 5 19 2 3 3" xfId="34840"/>
    <cellStyle name="표준 6 5 19 2 4" xfId="15824"/>
    <cellStyle name="표준 6 5 19 2 4 2" xfId="41176"/>
    <cellStyle name="표준 6 5 19 2 5" xfId="28504"/>
    <cellStyle name="표준 6 5 19 3" xfId="6316"/>
    <cellStyle name="표준 6 5 19 3 2" xfId="12652"/>
    <cellStyle name="표준 6 5 19 3 2 2" xfId="25326"/>
    <cellStyle name="표준 6 5 19 3 2 2 2" xfId="50678"/>
    <cellStyle name="표준 6 5 19 3 2 3" xfId="38006"/>
    <cellStyle name="표준 6 5 19 3 3" xfId="18990"/>
    <cellStyle name="표준 6 5 19 3 3 2" xfId="44342"/>
    <cellStyle name="표준 6 5 19 3 4" xfId="31670"/>
    <cellStyle name="표준 6 5 19 4" xfId="9485"/>
    <cellStyle name="표준 6 5 19 4 2" xfId="22159"/>
    <cellStyle name="표준 6 5 19 4 2 2" xfId="47511"/>
    <cellStyle name="표준 6 5 19 4 3" xfId="34839"/>
    <cellStyle name="표준 6 5 19 5" xfId="15823"/>
    <cellStyle name="표준 6 5 19 5 2" xfId="41175"/>
    <cellStyle name="표준 6 5 19 6" xfId="28503"/>
    <cellStyle name="표준 6 5 2" xfId="3150"/>
    <cellStyle name="표준 6 5 2 2" xfId="3151"/>
    <cellStyle name="표준 6 5 2 2 2" xfId="6317"/>
    <cellStyle name="표준 6 5 2 2 2 2" xfId="12653"/>
    <cellStyle name="표준 6 5 2 2 2 2 2" xfId="25327"/>
    <cellStyle name="표준 6 5 2 2 2 2 2 2" xfId="50679"/>
    <cellStyle name="표준 6 5 2 2 2 2 3" xfId="38007"/>
    <cellStyle name="표준 6 5 2 2 2 3" xfId="18991"/>
    <cellStyle name="표준 6 5 2 2 2 3 2" xfId="44343"/>
    <cellStyle name="표준 6 5 2 2 2 4" xfId="31671"/>
    <cellStyle name="표준 6 5 2 2 3" xfId="9488"/>
    <cellStyle name="표준 6 5 2 2 3 2" xfId="22162"/>
    <cellStyle name="표준 6 5 2 2 3 2 2" xfId="47514"/>
    <cellStyle name="표준 6 5 2 2 3 3" xfId="34842"/>
    <cellStyle name="표준 6 5 2 2 4" xfId="15826"/>
    <cellStyle name="표준 6 5 2 2 4 2" xfId="41178"/>
    <cellStyle name="표준 6 5 2 2 5" xfId="28506"/>
    <cellStyle name="표준 6 5 2 3" xfId="6318"/>
    <cellStyle name="표준 6 5 2 3 2" xfId="12654"/>
    <cellStyle name="표준 6 5 2 3 2 2" xfId="25328"/>
    <cellStyle name="표준 6 5 2 3 2 2 2" xfId="50680"/>
    <cellStyle name="표준 6 5 2 3 2 3" xfId="38008"/>
    <cellStyle name="표준 6 5 2 3 3" xfId="18992"/>
    <cellStyle name="표준 6 5 2 3 3 2" xfId="44344"/>
    <cellStyle name="표준 6 5 2 3 4" xfId="31672"/>
    <cellStyle name="표준 6 5 2 4" xfId="9487"/>
    <cellStyle name="표준 6 5 2 4 2" xfId="22161"/>
    <cellStyle name="표준 6 5 2 4 2 2" xfId="47513"/>
    <cellStyle name="표준 6 5 2 4 3" xfId="34841"/>
    <cellStyle name="표준 6 5 2 5" xfId="15825"/>
    <cellStyle name="표준 6 5 2 5 2" xfId="41177"/>
    <cellStyle name="표준 6 5 2 6" xfId="28505"/>
    <cellStyle name="표준 6 5 20" xfId="3152"/>
    <cellStyle name="표준 6 5 20 2" xfId="3153"/>
    <cellStyle name="표준 6 5 20 2 2" xfId="6319"/>
    <cellStyle name="표준 6 5 20 2 2 2" xfId="12655"/>
    <cellStyle name="표준 6 5 20 2 2 2 2" xfId="25329"/>
    <cellStyle name="표준 6 5 20 2 2 2 2 2" xfId="50681"/>
    <cellStyle name="표준 6 5 20 2 2 2 3" xfId="38009"/>
    <cellStyle name="표준 6 5 20 2 2 3" xfId="18993"/>
    <cellStyle name="표준 6 5 20 2 2 3 2" xfId="44345"/>
    <cellStyle name="표준 6 5 20 2 2 4" xfId="31673"/>
    <cellStyle name="표준 6 5 20 2 3" xfId="9490"/>
    <cellStyle name="표준 6 5 20 2 3 2" xfId="22164"/>
    <cellStyle name="표준 6 5 20 2 3 2 2" xfId="47516"/>
    <cellStyle name="표준 6 5 20 2 3 3" xfId="34844"/>
    <cellStyle name="표준 6 5 20 2 4" xfId="15828"/>
    <cellStyle name="표준 6 5 20 2 4 2" xfId="41180"/>
    <cellStyle name="표준 6 5 20 2 5" xfId="28508"/>
    <cellStyle name="표준 6 5 20 3" xfId="6320"/>
    <cellStyle name="표준 6 5 20 3 2" xfId="12656"/>
    <cellStyle name="표준 6 5 20 3 2 2" xfId="25330"/>
    <cellStyle name="표준 6 5 20 3 2 2 2" xfId="50682"/>
    <cellStyle name="표준 6 5 20 3 2 3" xfId="38010"/>
    <cellStyle name="표준 6 5 20 3 3" xfId="18994"/>
    <cellStyle name="표준 6 5 20 3 3 2" xfId="44346"/>
    <cellStyle name="표준 6 5 20 3 4" xfId="31674"/>
    <cellStyle name="표준 6 5 20 4" xfId="9489"/>
    <cellStyle name="표준 6 5 20 4 2" xfId="22163"/>
    <cellStyle name="표준 6 5 20 4 2 2" xfId="47515"/>
    <cellStyle name="표준 6 5 20 4 3" xfId="34843"/>
    <cellStyle name="표준 6 5 20 5" xfId="15827"/>
    <cellStyle name="표준 6 5 20 5 2" xfId="41179"/>
    <cellStyle name="표준 6 5 20 6" xfId="28507"/>
    <cellStyle name="표준 6 5 21" xfId="3154"/>
    <cellStyle name="표준 6 5 21 2" xfId="3155"/>
    <cellStyle name="표준 6 5 21 2 2" xfId="6321"/>
    <cellStyle name="표준 6 5 21 2 2 2" xfId="12657"/>
    <cellStyle name="표준 6 5 21 2 2 2 2" xfId="25331"/>
    <cellStyle name="표준 6 5 21 2 2 2 2 2" xfId="50683"/>
    <cellStyle name="표준 6 5 21 2 2 2 3" xfId="38011"/>
    <cellStyle name="표준 6 5 21 2 2 3" xfId="18995"/>
    <cellStyle name="표준 6 5 21 2 2 3 2" xfId="44347"/>
    <cellStyle name="표준 6 5 21 2 2 4" xfId="31675"/>
    <cellStyle name="표준 6 5 21 2 3" xfId="9492"/>
    <cellStyle name="표준 6 5 21 2 3 2" xfId="22166"/>
    <cellStyle name="표준 6 5 21 2 3 2 2" xfId="47518"/>
    <cellStyle name="표준 6 5 21 2 3 3" xfId="34846"/>
    <cellStyle name="표준 6 5 21 2 4" xfId="15830"/>
    <cellStyle name="표준 6 5 21 2 4 2" xfId="41182"/>
    <cellStyle name="표준 6 5 21 2 5" xfId="28510"/>
    <cellStyle name="표준 6 5 21 3" xfId="6322"/>
    <cellStyle name="표준 6 5 21 3 2" xfId="12658"/>
    <cellStyle name="표준 6 5 21 3 2 2" xfId="25332"/>
    <cellStyle name="표준 6 5 21 3 2 2 2" xfId="50684"/>
    <cellStyle name="표준 6 5 21 3 2 3" xfId="38012"/>
    <cellStyle name="표준 6 5 21 3 3" xfId="18996"/>
    <cellStyle name="표준 6 5 21 3 3 2" xfId="44348"/>
    <cellStyle name="표준 6 5 21 3 4" xfId="31676"/>
    <cellStyle name="표준 6 5 21 4" xfId="9491"/>
    <cellStyle name="표준 6 5 21 4 2" xfId="22165"/>
    <cellStyle name="표준 6 5 21 4 2 2" xfId="47517"/>
    <cellStyle name="표준 6 5 21 4 3" xfId="34845"/>
    <cellStyle name="표준 6 5 21 5" xfId="15829"/>
    <cellStyle name="표준 6 5 21 5 2" xfId="41181"/>
    <cellStyle name="표준 6 5 21 6" xfId="28509"/>
    <cellStyle name="표준 6 5 22" xfId="3156"/>
    <cellStyle name="표준 6 5 22 2" xfId="3157"/>
    <cellStyle name="표준 6 5 22 2 2" xfId="6323"/>
    <cellStyle name="표준 6 5 22 2 2 2" xfId="12659"/>
    <cellStyle name="표준 6 5 22 2 2 2 2" xfId="25333"/>
    <cellStyle name="표준 6 5 22 2 2 2 2 2" xfId="50685"/>
    <cellStyle name="표준 6 5 22 2 2 2 3" xfId="38013"/>
    <cellStyle name="표준 6 5 22 2 2 3" xfId="18997"/>
    <cellStyle name="표준 6 5 22 2 2 3 2" xfId="44349"/>
    <cellStyle name="표준 6 5 22 2 2 4" xfId="31677"/>
    <cellStyle name="표준 6 5 22 2 3" xfId="9494"/>
    <cellStyle name="표준 6 5 22 2 3 2" xfId="22168"/>
    <cellStyle name="표준 6 5 22 2 3 2 2" xfId="47520"/>
    <cellStyle name="표준 6 5 22 2 3 3" xfId="34848"/>
    <cellStyle name="표준 6 5 22 2 4" xfId="15832"/>
    <cellStyle name="표준 6 5 22 2 4 2" xfId="41184"/>
    <cellStyle name="표준 6 5 22 2 5" xfId="28512"/>
    <cellStyle name="표준 6 5 22 3" xfId="6324"/>
    <cellStyle name="표준 6 5 22 3 2" xfId="12660"/>
    <cellStyle name="표준 6 5 22 3 2 2" xfId="25334"/>
    <cellStyle name="표준 6 5 22 3 2 2 2" xfId="50686"/>
    <cellStyle name="표준 6 5 22 3 2 3" xfId="38014"/>
    <cellStyle name="표준 6 5 22 3 3" xfId="18998"/>
    <cellStyle name="표준 6 5 22 3 3 2" xfId="44350"/>
    <cellStyle name="표준 6 5 22 3 4" xfId="31678"/>
    <cellStyle name="표준 6 5 22 4" xfId="9493"/>
    <cellStyle name="표준 6 5 22 4 2" xfId="22167"/>
    <cellStyle name="표준 6 5 22 4 2 2" xfId="47519"/>
    <cellStyle name="표준 6 5 22 4 3" xfId="34847"/>
    <cellStyle name="표준 6 5 22 5" xfId="15831"/>
    <cellStyle name="표준 6 5 22 5 2" xfId="41183"/>
    <cellStyle name="표준 6 5 22 6" xfId="28511"/>
    <cellStyle name="표준 6 5 23" xfId="3158"/>
    <cellStyle name="표준 6 5 23 2" xfId="3159"/>
    <cellStyle name="표준 6 5 23 2 2" xfId="6325"/>
    <cellStyle name="표준 6 5 23 2 2 2" xfId="12661"/>
    <cellStyle name="표준 6 5 23 2 2 2 2" xfId="25335"/>
    <cellStyle name="표준 6 5 23 2 2 2 2 2" xfId="50687"/>
    <cellStyle name="표준 6 5 23 2 2 2 3" xfId="38015"/>
    <cellStyle name="표준 6 5 23 2 2 3" xfId="18999"/>
    <cellStyle name="표준 6 5 23 2 2 3 2" xfId="44351"/>
    <cellStyle name="표준 6 5 23 2 2 4" xfId="31679"/>
    <cellStyle name="표준 6 5 23 2 3" xfId="9496"/>
    <cellStyle name="표준 6 5 23 2 3 2" xfId="22170"/>
    <cellStyle name="표준 6 5 23 2 3 2 2" xfId="47522"/>
    <cellStyle name="표준 6 5 23 2 3 3" xfId="34850"/>
    <cellStyle name="표준 6 5 23 2 4" xfId="15834"/>
    <cellStyle name="표준 6 5 23 2 4 2" xfId="41186"/>
    <cellStyle name="표준 6 5 23 2 5" xfId="28514"/>
    <cellStyle name="표준 6 5 23 3" xfId="6326"/>
    <cellStyle name="표준 6 5 23 3 2" xfId="12662"/>
    <cellStyle name="표준 6 5 23 3 2 2" xfId="25336"/>
    <cellStyle name="표준 6 5 23 3 2 2 2" xfId="50688"/>
    <cellStyle name="표준 6 5 23 3 2 3" xfId="38016"/>
    <cellStyle name="표준 6 5 23 3 3" xfId="19000"/>
    <cellStyle name="표준 6 5 23 3 3 2" xfId="44352"/>
    <cellStyle name="표준 6 5 23 3 4" xfId="31680"/>
    <cellStyle name="표준 6 5 23 4" xfId="9495"/>
    <cellStyle name="표준 6 5 23 4 2" xfId="22169"/>
    <cellStyle name="표준 6 5 23 4 2 2" xfId="47521"/>
    <cellStyle name="표준 6 5 23 4 3" xfId="34849"/>
    <cellStyle name="표준 6 5 23 5" xfId="15833"/>
    <cellStyle name="표준 6 5 23 5 2" xfId="41185"/>
    <cellStyle name="표준 6 5 23 6" xfId="28513"/>
    <cellStyle name="표준 6 5 24" xfId="3160"/>
    <cellStyle name="표준 6 5 24 2" xfId="3161"/>
    <cellStyle name="표준 6 5 24 2 2" xfId="6327"/>
    <cellStyle name="표준 6 5 24 2 2 2" xfId="12663"/>
    <cellStyle name="표준 6 5 24 2 2 2 2" xfId="25337"/>
    <cellStyle name="표준 6 5 24 2 2 2 2 2" xfId="50689"/>
    <cellStyle name="표준 6 5 24 2 2 2 3" xfId="38017"/>
    <cellStyle name="표준 6 5 24 2 2 3" xfId="19001"/>
    <cellStyle name="표준 6 5 24 2 2 3 2" xfId="44353"/>
    <cellStyle name="표준 6 5 24 2 2 4" xfId="31681"/>
    <cellStyle name="표준 6 5 24 2 3" xfId="9498"/>
    <cellStyle name="표준 6 5 24 2 3 2" xfId="22172"/>
    <cellStyle name="표준 6 5 24 2 3 2 2" xfId="47524"/>
    <cellStyle name="표준 6 5 24 2 3 3" xfId="34852"/>
    <cellStyle name="표준 6 5 24 2 4" xfId="15836"/>
    <cellStyle name="표준 6 5 24 2 4 2" xfId="41188"/>
    <cellStyle name="표준 6 5 24 2 5" xfId="28516"/>
    <cellStyle name="표준 6 5 24 3" xfId="6328"/>
    <cellStyle name="표준 6 5 24 3 2" xfId="12664"/>
    <cellStyle name="표준 6 5 24 3 2 2" xfId="25338"/>
    <cellStyle name="표준 6 5 24 3 2 2 2" xfId="50690"/>
    <cellStyle name="표준 6 5 24 3 2 3" xfId="38018"/>
    <cellStyle name="표준 6 5 24 3 3" xfId="19002"/>
    <cellStyle name="표준 6 5 24 3 3 2" xfId="44354"/>
    <cellStyle name="표준 6 5 24 3 4" xfId="31682"/>
    <cellStyle name="표준 6 5 24 4" xfId="9497"/>
    <cellStyle name="표준 6 5 24 4 2" xfId="22171"/>
    <cellStyle name="표준 6 5 24 4 2 2" xfId="47523"/>
    <cellStyle name="표준 6 5 24 4 3" xfId="34851"/>
    <cellStyle name="표준 6 5 24 5" xfId="15835"/>
    <cellStyle name="표준 6 5 24 5 2" xfId="41187"/>
    <cellStyle name="표준 6 5 24 6" xfId="28515"/>
    <cellStyle name="표준 6 5 25" xfId="3162"/>
    <cellStyle name="표준 6 5 25 2" xfId="3163"/>
    <cellStyle name="표준 6 5 25 2 2" xfId="6329"/>
    <cellStyle name="표준 6 5 25 2 2 2" xfId="12665"/>
    <cellStyle name="표준 6 5 25 2 2 2 2" xfId="25339"/>
    <cellStyle name="표준 6 5 25 2 2 2 2 2" xfId="50691"/>
    <cellStyle name="표준 6 5 25 2 2 2 3" xfId="38019"/>
    <cellStyle name="표준 6 5 25 2 2 3" xfId="19003"/>
    <cellStyle name="표준 6 5 25 2 2 3 2" xfId="44355"/>
    <cellStyle name="표준 6 5 25 2 2 4" xfId="31683"/>
    <cellStyle name="표준 6 5 25 2 3" xfId="9500"/>
    <cellStyle name="표준 6 5 25 2 3 2" xfId="22174"/>
    <cellStyle name="표준 6 5 25 2 3 2 2" xfId="47526"/>
    <cellStyle name="표준 6 5 25 2 3 3" xfId="34854"/>
    <cellStyle name="표준 6 5 25 2 4" xfId="15838"/>
    <cellStyle name="표준 6 5 25 2 4 2" xfId="41190"/>
    <cellStyle name="표준 6 5 25 2 5" xfId="28518"/>
    <cellStyle name="표준 6 5 25 3" xfId="6330"/>
    <cellStyle name="표준 6 5 25 3 2" xfId="12666"/>
    <cellStyle name="표준 6 5 25 3 2 2" xfId="25340"/>
    <cellStyle name="표준 6 5 25 3 2 2 2" xfId="50692"/>
    <cellStyle name="표준 6 5 25 3 2 3" xfId="38020"/>
    <cellStyle name="표준 6 5 25 3 3" xfId="19004"/>
    <cellStyle name="표준 6 5 25 3 3 2" xfId="44356"/>
    <cellStyle name="표준 6 5 25 3 4" xfId="31684"/>
    <cellStyle name="표준 6 5 25 4" xfId="9499"/>
    <cellStyle name="표준 6 5 25 4 2" xfId="22173"/>
    <cellStyle name="표준 6 5 25 4 2 2" xfId="47525"/>
    <cellStyle name="표준 6 5 25 4 3" xfId="34853"/>
    <cellStyle name="표준 6 5 25 5" xfId="15837"/>
    <cellStyle name="표준 6 5 25 5 2" xfId="41189"/>
    <cellStyle name="표준 6 5 25 6" xfId="28517"/>
    <cellStyle name="표준 6 5 26" xfId="3164"/>
    <cellStyle name="표준 6 5 26 2" xfId="3165"/>
    <cellStyle name="표준 6 5 26 2 2" xfId="6331"/>
    <cellStyle name="표준 6 5 26 2 2 2" xfId="12667"/>
    <cellStyle name="표준 6 5 26 2 2 2 2" xfId="25341"/>
    <cellStyle name="표준 6 5 26 2 2 2 2 2" xfId="50693"/>
    <cellStyle name="표준 6 5 26 2 2 2 3" xfId="38021"/>
    <cellStyle name="표준 6 5 26 2 2 3" xfId="19005"/>
    <cellStyle name="표준 6 5 26 2 2 3 2" xfId="44357"/>
    <cellStyle name="표준 6 5 26 2 2 4" xfId="31685"/>
    <cellStyle name="표준 6 5 26 2 3" xfId="9502"/>
    <cellStyle name="표준 6 5 26 2 3 2" xfId="22176"/>
    <cellStyle name="표준 6 5 26 2 3 2 2" xfId="47528"/>
    <cellStyle name="표준 6 5 26 2 3 3" xfId="34856"/>
    <cellStyle name="표준 6 5 26 2 4" xfId="15840"/>
    <cellStyle name="표준 6 5 26 2 4 2" xfId="41192"/>
    <cellStyle name="표준 6 5 26 2 5" xfId="28520"/>
    <cellStyle name="표준 6 5 26 3" xfId="6332"/>
    <cellStyle name="표준 6 5 26 3 2" xfId="12668"/>
    <cellStyle name="표준 6 5 26 3 2 2" xfId="25342"/>
    <cellStyle name="표준 6 5 26 3 2 2 2" xfId="50694"/>
    <cellStyle name="표준 6 5 26 3 2 3" xfId="38022"/>
    <cellStyle name="표준 6 5 26 3 3" xfId="19006"/>
    <cellStyle name="표준 6 5 26 3 3 2" xfId="44358"/>
    <cellStyle name="표준 6 5 26 3 4" xfId="31686"/>
    <cellStyle name="표준 6 5 26 4" xfId="9501"/>
    <cellStyle name="표준 6 5 26 4 2" xfId="22175"/>
    <cellStyle name="표준 6 5 26 4 2 2" xfId="47527"/>
    <cellStyle name="표준 6 5 26 4 3" xfId="34855"/>
    <cellStyle name="표준 6 5 26 5" xfId="15839"/>
    <cellStyle name="표준 6 5 26 5 2" xfId="41191"/>
    <cellStyle name="표준 6 5 26 6" xfId="28519"/>
    <cellStyle name="표준 6 5 27" xfId="3166"/>
    <cellStyle name="표준 6 5 27 2" xfId="3167"/>
    <cellStyle name="표준 6 5 27 2 2" xfId="6333"/>
    <cellStyle name="표준 6 5 27 2 2 2" xfId="12669"/>
    <cellStyle name="표준 6 5 27 2 2 2 2" xfId="25343"/>
    <cellStyle name="표준 6 5 27 2 2 2 2 2" xfId="50695"/>
    <cellStyle name="표준 6 5 27 2 2 2 3" xfId="38023"/>
    <cellStyle name="표준 6 5 27 2 2 3" xfId="19007"/>
    <cellStyle name="표준 6 5 27 2 2 3 2" xfId="44359"/>
    <cellStyle name="표준 6 5 27 2 2 4" xfId="31687"/>
    <cellStyle name="표준 6 5 27 2 3" xfId="9504"/>
    <cellStyle name="표준 6 5 27 2 3 2" xfId="22178"/>
    <cellStyle name="표준 6 5 27 2 3 2 2" xfId="47530"/>
    <cellStyle name="표준 6 5 27 2 3 3" xfId="34858"/>
    <cellStyle name="표준 6 5 27 2 4" xfId="15842"/>
    <cellStyle name="표준 6 5 27 2 4 2" xfId="41194"/>
    <cellStyle name="표준 6 5 27 2 5" xfId="28522"/>
    <cellStyle name="표준 6 5 27 3" xfId="6334"/>
    <cellStyle name="표준 6 5 27 3 2" xfId="12670"/>
    <cellStyle name="표준 6 5 27 3 2 2" xfId="25344"/>
    <cellStyle name="표준 6 5 27 3 2 2 2" xfId="50696"/>
    <cellStyle name="표준 6 5 27 3 2 3" xfId="38024"/>
    <cellStyle name="표준 6 5 27 3 3" xfId="19008"/>
    <cellStyle name="표준 6 5 27 3 3 2" xfId="44360"/>
    <cellStyle name="표준 6 5 27 3 4" xfId="31688"/>
    <cellStyle name="표준 6 5 27 4" xfId="9503"/>
    <cellStyle name="표준 6 5 27 4 2" xfId="22177"/>
    <cellStyle name="표준 6 5 27 4 2 2" xfId="47529"/>
    <cellStyle name="표준 6 5 27 4 3" xfId="34857"/>
    <cellStyle name="표준 6 5 27 5" xfId="15841"/>
    <cellStyle name="표준 6 5 27 5 2" xfId="41193"/>
    <cellStyle name="표준 6 5 27 6" xfId="28521"/>
    <cellStyle name="표준 6 5 28" xfId="3168"/>
    <cellStyle name="표준 6 5 28 2" xfId="3169"/>
    <cellStyle name="표준 6 5 28 2 2" xfId="6335"/>
    <cellStyle name="표준 6 5 28 2 2 2" xfId="12671"/>
    <cellStyle name="표준 6 5 28 2 2 2 2" xfId="25345"/>
    <cellStyle name="표준 6 5 28 2 2 2 2 2" xfId="50697"/>
    <cellStyle name="표준 6 5 28 2 2 2 3" xfId="38025"/>
    <cellStyle name="표준 6 5 28 2 2 3" xfId="19009"/>
    <cellStyle name="표준 6 5 28 2 2 3 2" xfId="44361"/>
    <cellStyle name="표준 6 5 28 2 2 4" xfId="31689"/>
    <cellStyle name="표준 6 5 28 2 3" xfId="9506"/>
    <cellStyle name="표준 6 5 28 2 3 2" xfId="22180"/>
    <cellStyle name="표준 6 5 28 2 3 2 2" xfId="47532"/>
    <cellStyle name="표준 6 5 28 2 3 3" xfId="34860"/>
    <cellStyle name="표준 6 5 28 2 4" xfId="15844"/>
    <cellStyle name="표준 6 5 28 2 4 2" xfId="41196"/>
    <cellStyle name="표준 6 5 28 2 5" xfId="28524"/>
    <cellStyle name="표준 6 5 28 3" xfId="6336"/>
    <cellStyle name="표준 6 5 28 3 2" xfId="12672"/>
    <cellStyle name="표준 6 5 28 3 2 2" xfId="25346"/>
    <cellStyle name="표준 6 5 28 3 2 2 2" xfId="50698"/>
    <cellStyle name="표준 6 5 28 3 2 3" xfId="38026"/>
    <cellStyle name="표준 6 5 28 3 3" xfId="19010"/>
    <cellStyle name="표준 6 5 28 3 3 2" xfId="44362"/>
    <cellStyle name="표준 6 5 28 3 4" xfId="31690"/>
    <cellStyle name="표준 6 5 28 4" xfId="9505"/>
    <cellStyle name="표준 6 5 28 4 2" xfId="22179"/>
    <cellStyle name="표준 6 5 28 4 2 2" xfId="47531"/>
    <cellStyle name="표준 6 5 28 4 3" xfId="34859"/>
    <cellStyle name="표준 6 5 28 5" xfId="15843"/>
    <cellStyle name="표준 6 5 28 5 2" xfId="41195"/>
    <cellStyle name="표준 6 5 28 6" xfId="28523"/>
    <cellStyle name="표준 6 5 29" xfId="3170"/>
    <cellStyle name="표준 6 5 29 2" xfId="3171"/>
    <cellStyle name="표준 6 5 29 2 2" xfId="6337"/>
    <cellStyle name="표준 6 5 29 2 2 2" xfId="12673"/>
    <cellStyle name="표준 6 5 29 2 2 2 2" xfId="25347"/>
    <cellStyle name="표준 6 5 29 2 2 2 2 2" xfId="50699"/>
    <cellStyle name="표준 6 5 29 2 2 2 3" xfId="38027"/>
    <cellStyle name="표준 6 5 29 2 2 3" xfId="19011"/>
    <cellStyle name="표준 6 5 29 2 2 3 2" xfId="44363"/>
    <cellStyle name="표준 6 5 29 2 2 4" xfId="31691"/>
    <cellStyle name="표준 6 5 29 2 3" xfId="9508"/>
    <cellStyle name="표준 6 5 29 2 3 2" xfId="22182"/>
    <cellStyle name="표준 6 5 29 2 3 2 2" xfId="47534"/>
    <cellStyle name="표준 6 5 29 2 3 3" xfId="34862"/>
    <cellStyle name="표준 6 5 29 2 4" xfId="15846"/>
    <cellStyle name="표준 6 5 29 2 4 2" xfId="41198"/>
    <cellStyle name="표준 6 5 29 2 5" xfId="28526"/>
    <cellStyle name="표준 6 5 29 3" xfId="6338"/>
    <cellStyle name="표준 6 5 29 3 2" xfId="12674"/>
    <cellStyle name="표준 6 5 29 3 2 2" xfId="25348"/>
    <cellStyle name="표준 6 5 29 3 2 2 2" xfId="50700"/>
    <cellStyle name="표준 6 5 29 3 2 3" xfId="38028"/>
    <cellStyle name="표준 6 5 29 3 3" xfId="19012"/>
    <cellStyle name="표준 6 5 29 3 3 2" xfId="44364"/>
    <cellStyle name="표준 6 5 29 3 4" xfId="31692"/>
    <cellStyle name="표준 6 5 29 4" xfId="9507"/>
    <cellStyle name="표준 6 5 29 4 2" xfId="22181"/>
    <cellStyle name="표준 6 5 29 4 2 2" xfId="47533"/>
    <cellStyle name="표준 6 5 29 4 3" xfId="34861"/>
    <cellStyle name="표준 6 5 29 5" xfId="15845"/>
    <cellStyle name="표준 6 5 29 5 2" xfId="41197"/>
    <cellStyle name="표준 6 5 29 6" xfId="28525"/>
    <cellStyle name="표준 6 5 3" xfId="3172"/>
    <cellStyle name="표준 6 5 3 2" xfId="3173"/>
    <cellStyle name="표준 6 5 3 2 2" xfId="6339"/>
    <cellStyle name="표준 6 5 3 2 2 2" xfId="12675"/>
    <cellStyle name="표준 6 5 3 2 2 2 2" xfId="25349"/>
    <cellStyle name="표준 6 5 3 2 2 2 2 2" xfId="50701"/>
    <cellStyle name="표준 6 5 3 2 2 2 3" xfId="38029"/>
    <cellStyle name="표준 6 5 3 2 2 3" xfId="19013"/>
    <cellStyle name="표준 6 5 3 2 2 3 2" xfId="44365"/>
    <cellStyle name="표준 6 5 3 2 2 4" xfId="31693"/>
    <cellStyle name="표준 6 5 3 2 3" xfId="9510"/>
    <cellStyle name="표준 6 5 3 2 3 2" xfId="22184"/>
    <cellStyle name="표준 6 5 3 2 3 2 2" xfId="47536"/>
    <cellStyle name="표준 6 5 3 2 3 3" xfId="34864"/>
    <cellStyle name="표준 6 5 3 2 4" xfId="15848"/>
    <cellStyle name="표준 6 5 3 2 4 2" xfId="41200"/>
    <cellStyle name="표준 6 5 3 2 5" xfId="28528"/>
    <cellStyle name="표준 6 5 3 3" xfId="6340"/>
    <cellStyle name="표준 6 5 3 3 2" xfId="12676"/>
    <cellStyle name="표준 6 5 3 3 2 2" xfId="25350"/>
    <cellStyle name="표준 6 5 3 3 2 2 2" xfId="50702"/>
    <cellStyle name="표준 6 5 3 3 2 3" xfId="38030"/>
    <cellStyle name="표준 6 5 3 3 3" xfId="19014"/>
    <cellStyle name="표준 6 5 3 3 3 2" xfId="44366"/>
    <cellStyle name="표준 6 5 3 3 4" xfId="31694"/>
    <cellStyle name="표준 6 5 3 4" xfId="9509"/>
    <cellStyle name="표준 6 5 3 4 2" xfId="22183"/>
    <cellStyle name="표준 6 5 3 4 2 2" xfId="47535"/>
    <cellStyle name="표준 6 5 3 4 3" xfId="34863"/>
    <cellStyle name="표준 6 5 3 5" xfId="15847"/>
    <cellStyle name="표준 6 5 3 5 2" xfId="41199"/>
    <cellStyle name="표준 6 5 3 6" xfId="28527"/>
    <cellStyle name="표준 6 5 30" xfId="3174"/>
    <cellStyle name="표준 6 5 30 2" xfId="3175"/>
    <cellStyle name="표준 6 5 30 2 2" xfId="6341"/>
    <cellStyle name="표준 6 5 30 2 2 2" xfId="12677"/>
    <cellStyle name="표준 6 5 30 2 2 2 2" xfId="25351"/>
    <cellStyle name="표준 6 5 30 2 2 2 2 2" xfId="50703"/>
    <cellStyle name="표준 6 5 30 2 2 2 3" xfId="38031"/>
    <cellStyle name="표준 6 5 30 2 2 3" xfId="19015"/>
    <cellStyle name="표준 6 5 30 2 2 3 2" xfId="44367"/>
    <cellStyle name="표준 6 5 30 2 2 4" xfId="31695"/>
    <cellStyle name="표준 6 5 30 2 3" xfId="9512"/>
    <cellStyle name="표준 6 5 30 2 3 2" xfId="22186"/>
    <cellStyle name="표준 6 5 30 2 3 2 2" xfId="47538"/>
    <cellStyle name="표준 6 5 30 2 3 3" xfId="34866"/>
    <cellStyle name="표준 6 5 30 2 4" xfId="15850"/>
    <cellStyle name="표준 6 5 30 2 4 2" xfId="41202"/>
    <cellStyle name="표준 6 5 30 2 5" xfId="28530"/>
    <cellStyle name="표준 6 5 30 3" xfId="6342"/>
    <cellStyle name="표준 6 5 30 3 2" xfId="12678"/>
    <cellStyle name="표준 6 5 30 3 2 2" xfId="25352"/>
    <cellStyle name="표준 6 5 30 3 2 2 2" xfId="50704"/>
    <cellStyle name="표준 6 5 30 3 2 3" xfId="38032"/>
    <cellStyle name="표준 6 5 30 3 3" xfId="19016"/>
    <cellStyle name="표준 6 5 30 3 3 2" xfId="44368"/>
    <cellStyle name="표준 6 5 30 3 4" xfId="31696"/>
    <cellStyle name="표준 6 5 30 4" xfId="9511"/>
    <cellStyle name="표준 6 5 30 4 2" xfId="22185"/>
    <cellStyle name="표준 6 5 30 4 2 2" xfId="47537"/>
    <cellStyle name="표준 6 5 30 4 3" xfId="34865"/>
    <cellStyle name="표준 6 5 30 5" xfId="15849"/>
    <cellStyle name="표준 6 5 30 5 2" xfId="41201"/>
    <cellStyle name="표준 6 5 30 6" xfId="28529"/>
    <cellStyle name="표준 6 5 31" xfId="3176"/>
    <cellStyle name="표준 6 5 31 2" xfId="3177"/>
    <cellStyle name="표준 6 5 31 2 2" xfId="6343"/>
    <cellStyle name="표준 6 5 31 2 2 2" xfId="12679"/>
    <cellStyle name="표준 6 5 31 2 2 2 2" xfId="25353"/>
    <cellStyle name="표준 6 5 31 2 2 2 2 2" xfId="50705"/>
    <cellStyle name="표준 6 5 31 2 2 2 3" xfId="38033"/>
    <cellStyle name="표준 6 5 31 2 2 3" xfId="19017"/>
    <cellStyle name="표준 6 5 31 2 2 3 2" xfId="44369"/>
    <cellStyle name="표준 6 5 31 2 2 4" xfId="31697"/>
    <cellStyle name="표준 6 5 31 2 3" xfId="9514"/>
    <cellStyle name="표준 6 5 31 2 3 2" xfId="22188"/>
    <cellStyle name="표준 6 5 31 2 3 2 2" xfId="47540"/>
    <cellStyle name="표준 6 5 31 2 3 3" xfId="34868"/>
    <cellStyle name="표준 6 5 31 2 4" xfId="15852"/>
    <cellStyle name="표준 6 5 31 2 4 2" xfId="41204"/>
    <cellStyle name="표준 6 5 31 2 5" xfId="28532"/>
    <cellStyle name="표준 6 5 31 3" xfId="6344"/>
    <cellStyle name="표준 6 5 31 3 2" xfId="12680"/>
    <cellStyle name="표준 6 5 31 3 2 2" xfId="25354"/>
    <cellStyle name="표준 6 5 31 3 2 2 2" xfId="50706"/>
    <cellStyle name="표준 6 5 31 3 2 3" xfId="38034"/>
    <cellStyle name="표준 6 5 31 3 3" xfId="19018"/>
    <cellStyle name="표준 6 5 31 3 3 2" xfId="44370"/>
    <cellStyle name="표준 6 5 31 3 4" xfId="31698"/>
    <cellStyle name="표준 6 5 31 4" xfId="9513"/>
    <cellStyle name="표준 6 5 31 4 2" xfId="22187"/>
    <cellStyle name="표준 6 5 31 4 2 2" xfId="47539"/>
    <cellStyle name="표준 6 5 31 4 3" xfId="34867"/>
    <cellStyle name="표준 6 5 31 5" xfId="15851"/>
    <cellStyle name="표준 6 5 31 5 2" xfId="41203"/>
    <cellStyle name="표준 6 5 31 6" xfId="28531"/>
    <cellStyle name="표준 6 5 32" xfId="3178"/>
    <cellStyle name="표준 6 5 32 2" xfId="3179"/>
    <cellStyle name="표준 6 5 32 2 2" xfId="6345"/>
    <cellStyle name="표준 6 5 32 2 2 2" xfId="12681"/>
    <cellStyle name="표준 6 5 32 2 2 2 2" xfId="25355"/>
    <cellStyle name="표준 6 5 32 2 2 2 2 2" xfId="50707"/>
    <cellStyle name="표준 6 5 32 2 2 2 3" xfId="38035"/>
    <cellStyle name="표준 6 5 32 2 2 3" xfId="19019"/>
    <cellStyle name="표준 6 5 32 2 2 3 2" xfId="44371"/>
    <cellStyle name="표준 6 5 32 2 2 4" xfId="31699"/>
    <cellStyle name="표준 6 5 32 2 3" xfId="9516"/>
    <cellStyle name="표준 6 5 32 2 3 2" xfId="22190"/>
    <cellStyle name="표준 6 5 32 2 3 2 2" xfId="47542"/>
    <cellStyle name="표준 6 5 32 2 3 3" xfId="34870"/>
    <cellStyle name="표준 6 5 32 2 4" xfId="15854"/>
    <cellStyle name="표준 6 5 32 2 4 2" xfId="41206"/>
    <cellStyle name="표준 6 5 32 2 5" xfId="28534"/>
    <cellStyle name="표준 6 5 32 3" xfId="6346"/>
    <cellStyle name="표준 6 5 32 3 2" xfId="12682"/>
    <cellStyle name="표준 6 5 32 3 2 2" xfId="25356"/>
    <cellStyle name="표준 6 5 32 3 2 2 2" xfId="50708"/>
    <cellStyle name="표준 6 5 32 3 2 3" xfId="38036"/>
    <cellStyle name="표준 6 5 32 3 3" xfId="19020"/>
    <cellStyle name="표준 6 5 32 3 3 2" xfId="44372"/>
    <cellStyle name="표준 6 5 32 3 4" xfId="31700"/>
    <cellStyle name="표준 6 5 32 4" xfId="9515"/>
    <cellStyle name="표준 6 5 32 4 2" xfId="22189"/>
    <cellStyle name="표준 6 5 32 4 2 2" xfId="47541"/>
    <cellStyle name="표준 6 5 32 4 3" xfId="34869"/>
    <cellStyle name="표준 6 5 32 5" xfId="15853"/>
    <cellStyle name="표준 6 5 32 5 2" xfId="41205"/>
    <cellStyle name="표준 6 5 32 6" xfId="28533"/>
    <cellStyle name="표준 6 5 33" xfId="3180"/>
    <cellStyle name="표준 6 5 33 2" xfId="3181"/>
    <cellStyle name="표준 6 5 33 2 2" xfId="6347"/>
    <cellStyle name="표준 6 5 33 2 2 2" xfId="12683"/>
    <cellStyle name="표준 6 5 33 2 2 2 2" xfId="25357"/>
    <cellStyle name="표준 6 5 33 2 2 2 2 2" xfId="50709"/>
    <cellStyle name="표준 6 5 33 2 2 2 3" xfId="38037"/>
    <cellStyle name="표준 6 5 33 2 2 3" xfId="19021"/>
    <cellStyle name="표준 6 5 33 2 2 3 2" xfId="44373"/>
    <cellStyle name="표준 6 5 33 2 2 4" xfId="31701"/>
    <cellStyle name="표준 6 5 33 2 3" xfId="9518"/>
    <cellStyle name="표준 6 5 33 2 3 2" xfId="22192"/>
    <cellStyle name="표준 6 5 33 2 3 2 2" xfId="47544"/>
    <cellStyle name="표준 6 5 33 2 3 3" xfId="34872"/>
    <cellStyle name="표준 6 5 33 2 4" xfId="15856"/>
    <cellStyle name="표준 6 5 33 2 4 2" xfId="41208"/>
    <cellStyle name="표준 6 5 33 2 5" xfId="28536"/>
    <cellStyle name="표준 6 5 33 3" xfId="6348"/>
    <cellStyle name="표준 6 5 33 3 2" xfId="12684"/>
    <cellStyle name="표준 6 5 33 3 2 2" xfId="25358"/>
    <cellStyle name="표준 6 5 33 3 2 2 2" xfId="50710"/>
    <cellStyle name="표준 6 5 33 3 2 3" xfId="38038"/>
    <cellStyle name="표준 6 5 33 3 3" xfId="19022"/>
    <cellStyle name="표준 6 5 33 3 3 2" xfId="44374"/>
    <cellStyle name="표준 6 5 33 3 4" xfId="31702"/>
    <cellStyle name="표준 6 5 33 4" xfId="9517"/>
    <cellStyle name="표준 6 5 33 4 2" xfId="22191"/>
    <cellStyle name="표준 6 5 33 4 2 2" xfId="47543"/>
    <cellStyle name="표준 6 5 33 4 3" xfId="34871"/>
    <cellStyle name="표준 6 5 33 5" xfId="15855"/>
    <cellStyle name="표준 6 5 33 5 2" xfId="41207"/>
    <cellStyle name="표준 6 5 33 6" xfId="28535"/>
    <cellStyle name="표준 6 5 34" xfId="3182"/>
    <cellStyle name="표준 6 5 34 2" xfId="6349"/>
    <cellStyle name="표준 6 5 34 2 2" xfId="12685"/>
    <cellStyle name="표준 6 5 34 2 2 2" xfId="25359"/>
    <cellStyle name="표준 6 5 34 2 2 2 2" xfId="50711"/>
    <cellStyle name="표준 6 5 34 2 2 3" xfId="38039"/>
    <cellStyle name="표준 6 5 34 2 3" xfId="19023"/>
    <cellStyle name="표준 6 5 34 2 3 2" xfId="44375"/>
    <cellStyle name="표준 6 5 34 2 4" xfId="31703"/>
    <cellStyle name="표준 6 5 34 3" xfId="9519"/>
    <cellStyle name="표준 6 5 34 3 2" xfId="22193"/>
    <cellStyle name="표준 6 5 34 3 2 2" xfId="47545"/>
    <cellStyle name="표준 6 5 34 3 3" xfId="34873"/>
    <cellStyle name="표준 6 5 34 4" xfId="15857"/>
    <cellStyle name="표준 6 5 34 4 2" xfId="41209"/>
    <cellStyle name="표준 6 5 34 5" xfId="28537"/>
    <cellStyle name="표준 6 5 35" xfId="6350"/>
    <cellStyle name="표준 6 5 35 2" xfId="12686"/>
    <cellStyle name="표준 6 5 35 2 2" xfId="25360"/>
    <cellStyle name="표준 6 5 35 2 2 2" xfId="50712"/>
    <cellStyle name="표준 6 5 35 2 3" xfId="38040"/>
    <cellStyle name="표준 6 5 35 3" xfId="19024"/>
    <cellStyle name="표준 6 5 35 3 2" xfId="44376"/>
    <cellStyle name="표준 6 5 35 4" xfId="31704"/>
    <cellStyle name="표준 6 5 36" xfId="6441"/>
    <cellStyle name="표준 6 5 36 2" xfId="19115"/>
    <cellStyle name="표준 6 5 36 2 2" xfId="44467"/>
    <cellStyle name="표준 6 5 36 3" xfId="31795"/>
    <cellStyle name="표준 6 5 37" xfId="12779"/>
    <cellStyle name="표준 6 5 37 2" xfId="38131"/>
    <cellStyle name="표준 6 5 38" xfId="25459"/>
    <cellStyle name="표준 6 5 4" xfId="3183"/>
    <cellStyle name="표준 6 5 4 2" xfId="3184"/>
    <cellStyle name="표준 6 5 4 2 2" xfId="6351"/>
    <cellStyle name="표준 6 5 4 2 2 2" xfId="12687"/>
    <cellStyle name="표준 6 5 4 2 2 2 2" xfId="25361"/>
    <cellStyle name="표준 6 5 4 2 2 2 2 2" xfId="50713"/>
    <cellStyle name="표준 6 5 4 2 2 2 3" xfId="38041"/>
    <cellStyle name="표준 6 5 4 2 2 3" xfId="19025"/>
    <cellStyle name="표준 6 5 4 2 2 3 2" xfId="44377"/>
    <cellStyle name="표준 6 5 4 2 2 4" xfId="31705"/>
    <cellStyle name="표준 6 5 4 2 3" xfId="9521"/>
    <cellStyle name="표준 6 5 4 2 3 2" xfId="22195"/>
    <cellStyle name="표준 6 5 4 2 3 2 2" xfId="47547"/>
    <cellStyle name="표준 6 5 4 2 3 3" xfId="34875"/>
    <cellStyle name="표준 6 5 4 2 4" xfId="15859"/>
    <cellStyle name="표준 6 5 4 2 4 2" xfId="41211"/>
    <cellStyle name="표준 6 5 4 2 5" xfId="28539"/>
    <cellStyle name="표준 6 5 4 3" xfId="6352"/>
    <cellStyle name="표준 6 5 4 3 2" xfId="12688"/>
    <cellStyle name="표준 6 5 4 3 2 2" xfId="25362"/>
    <cellStyle name="표준 6 5 4 3 2 2 2" xfId="50714"/>
    <cellStyle name="표준 6 5 4 3 2 3" xfId="38042"/>
    <cellStyle name="표준 6 5 4 3 3" xfId="19026"/>
    <cellStyle name="표준 6 5 4 3 3 2" xfId="44378"/>
    <cellStyle name="표준 6 5 4 3 4" xfId="31706"/>
    <cellStyle name="표준 6 5 4 4" xfId="9520"/>
    <cellStyle name="표준 6 5 4 4 2" xfId="22194"/>
    <cellStyle name="표준 6 5 4 4 2 2" xfId="47546"/>
    <cellStyle name="표준 6 5 4 4 3" xfId="34874"/>
    <cellStyle name="표준 6 5 4 5" xfId="15858"/>
    <cellStyle name="표준 6 5 4 5 2" xfId="41210"/>
    <cellStyle name="표준 6 5 4 6" xfId="28538"/>
    <cellStyle name="표준 6 5 5" xfId="3185"/>
    <cellStyle name="표준 6 5 5 2" xfId="3186"/>
    <cellStyle name="표준 6 5 5 2 2" xfId="6353"/>
    <cellStyle name="표준 6 5 5 2 2 2" xfId="12689"/>
    <cellStyle name="표준 6 5 5 2 2 2 2" xfId="25363"/>
    <cellStyle name="표준 6 5 5 2 2 2 2 2" xfId="50715"/>
    <cellStyle name="표준 6 5 5 2 2 2 3" xfId="38043"/>
    <cellStyle name="표준 6 5 5 2 2 3" xfId="19027"/>
    <cellStyle name="표준 6 5 5 2 2 3 2" xfId="44379"/>
    <cellStyle name="표준 6 5 5 2 2 4" xfId="31707"/>
    <cellStyle name="표준 6 5 5 2 3" xfId="9523"/>
    <cellStyle name="표준 6 5 5 2 3 2" xfId="22197"/>
    <cellStyle name="표준 6 5 5 2 3 2 2" xfId="47549"/>
    <cellStyle name="표준 6 5 5 2 3 3" xfId="34877"/>
    <cellStyle name="표준 6 5 5 2 4" xfId="15861"/>
    <cellStyle name="표준 6 5 5 2 4 2" xfId="41213"/>
    <cellStyle name="표준 6 5 5 2 5" xfId="28541"/>
    <cellStyle name="표준 6 5 5 3" xfId="6354"/>
    <cellStyle name="표준 6 5 5 3 2" xfId="12690"/>
    <cellStyle name="표준 6 5 5 3 2 2" xfId="25364"/>
    <cellStyle name="표준 6 5 5 3 2 2 2" xfId="50716"/>
    <cellStyle name="표준 6 5 5 3 2 3" xfId="38044"/>
    <cellStyle name="표준 6 5 5 3 3" xfId="19028"/>
    <cellStyle name="표준 6 5 5 3 3 2" xfId="44380"/>
    <cellStyle name="표준 6 5 5 3 4" xfId="31708"/>
    <cellStyle name="표준 6 5 5 4" xfId="9522"/>
    <cellStyle name="표준 6 5 5 4 2" xfId="22196"/>
    <cellStyle name="표준 6 5 5 4 2 2" xfId="47548"/>
    <cellStyle name="표준 6 5 5 4 3" xfId="34876"/>
    <cellStyle name="표준 6 5 5 5" xfId="15860"/>
    <cellStyle name="표준 6 5 5 5 2" xfId="41212"/>
    <cellStyle name="표준 6 5 5 6" xfId="28540"/>
    <cellStyle name="표준 6 5 6" xfId="3187"/>
    <cellStyle name="표준 6 5 6 2" xfId="3188"/>
    <cellStyle name="표준 6 5 6 2 2" xfId="6355"/>
    <cellStyle name="표준 6 5 6 2 2 2" xfId="12691"/>
    <cellStyle name="표준 6 5 6 2 2 2 2" xfId="25365"/>
    <cellStyle name="표준 6 5 6 2 2 2 2 2" xfId="50717"/>
    <cellStyle name="표준 6 5 6 2 2 2 3" xfId="38045"/>
    <cellStyle name="표준 6 5 6 2 2 3" xfId="19029"/>
    <cellStyle name="표준 6 5 6 2 2 3 2" xfId="44381"/>
    <cellStyle name="표준 6 5 6 2 2 4" xfId="31709"/>
    <cellStyle name="표준 6 5 6 2 3" xfId="9525"/>
    <cellStyle name="표준 6 5 6 2 3 2" xfId="22199"/>
    <cellStyle name="표준 6 5 6 2 3 2 2" xfId="47551"/>
    <cellStyle name="표준 6 5 6 2 3 3" xfId="34879"/>
    <cellStyle name="표준 6 5 6 2 4" xfId="15863"/>
    <cellStyle name="표준 6 5 6 2 4 2" xfId="41215"/>
    <cellStyle name="표준 6 5 6 2 5" xfId="28543"/>
    <cellStyle name="표준 6 5 6 3" xfId="6356"/>
    <cellStyle name="표준 6 5 6 3 2" xfId="12692"/>
    <cellStyle name="표준 6 5 6 3 2 2" xfId="25366"/>
    <cellStyle name="표준 6 5 6 3 2 2 2" xfId="50718"/>
    <cellStyle name="표준 6 5 6 3 2 3" xfId="38046"/>
    <cellStyle name="표준 6 5 6 3 3" xfId="19030"/>
    <cellStyle name="표준 6 5 6 3 3 2" xfId="44382"/>
    <cellStyle name="표준 6 5 6 3 4" xfId="31710"/>
    <cellStyle name="표준 6 5 6 4" xfId="9524"/>
    <cellStyle name="표준 6 5 6 4 2" xfId="22198"/>
    <cellStyle name="표준 6 5 6 4 2 2" xfId="47550"/>
    <cellStyle name="표준 6 5 6 4 3" xfId="34878"/>
    <cellStyle name="표준 6 5 6 5" xfId="15862"/>
    <cellStyle name="표준 6 5 6 5 2" xfId="41214"/>
    <cellStyle name="표준 6 5 6 6" xfId="28542"/>
    <cellStyle name="표준 6 5 7" xfId="3189"/>
    <cellStyle name="표준 6 5 7 2" xfId="3190"/>
    <cellStyle name="표준 6 5 7 2 2" xfId="6357"/>
    <cellStyle name="표준 6 5 7 2 2 2" xfId="12693"/>
    <cellStyle name="표준 6 5 7 2 2 2 2" xfId="25367"/>
    <cellStyle name="표준 6 5 7 2 2 2 2 2" xfId="50719"/>
    <cellStyle name="표준 6 5 7 2 2 2 3" xfId="38047"/>
    <cellStyle name="표준 6 5 7 2 2 3" xfId="19031"/>
    <cellStyle name="표준 6 5 7 2 2 3 2" xfId="44383"/>
    <cellStyle name="표준 6 5 7 2 2 4" xfId="31711"/>
    <cellStyle name="표준 6 5 7 2 3" xfId="9527"/>
    <cellStyle name="표준 6 5 7 2 3 2" xfId="22201"/>
    <cellStyle name="표준 6 5 7 2 3 2 2" xfId="47553"/>
    <cellStyle name="표준 6 5 7 2 3 3" xfId="34881"/>
    <cellStyle name="표준 6 5 7 2 4" xfId="15865"/>
    <cellStyle name="표준 6 5 7 2 4 2" xfId="41217"/>
    <cellStyle name="표준 6 5 7 2 5" xfId="28545"/>
    <cellStyle name="표준 6 5 7 3" xfId="6358"/>
    <cellStyle name="표준 6 5 7 3 2" xfId="12694"/>
    <cellStyle name="표준 6 5 7 3 2 2" xfId="25368"/>
    <cellStyle name="표준 6 5 7 3 2 2 2" xfId="50720"/>
    <cellStyle name="표준 6 5 7 3 2 3" xfId="38048"/>
    <cellStyle name="표준 6 5 7 3 3" xfId="19032"/>
    <cellStyle name="표준 6 5 7 3 3 2" xfId="44384"/>
    <cellStyle name="표준 6 5 7 3 4" xfId="31712"/>
    <cellStyle name="표준 6 5 7 4" xfId="9526"/>
    <cellStyle name="표준 6 5 7 4 2" xfId="22200"/>
    <cellStyle name="표준 6 5 7 4 2 2" xfId="47552"/>
    <cellStyle name="표준 6 5 7 4 3" xfId="34880"/>
    <cellStyle name="표준 6 5 7 5" xfId="15864"/>
    <cellStyle name="표준 6 5 7 5 2" xfId="41216"/>
    <cellStyle name="표준 6 5 7 6" xfId="28544"/>
    <cellStyle name="표준 6 5 8" xfId="3191"/>
    <cellStyle name="표준 6 5 8 2" xfId="3192"/>
    <cellStyle name="표준 6 5 8 2 2" xfId="6359"/>
    <cellStyle name="표준 6 5 8 2 2 2" xfId="12695"/>
    <cellStyle name="표준 6 5 8 2 2 2 2" xfId="25369"/>
    <cellStyle name="표준 6 5 8 2 2 2 2 2" xfId="50721"/>
    <cellStyle name="표준 6 5 8 2 2 2 3" xfId="38049"/>
    <cellStyle name="표준 6 5 8 2 2 3" xfId="19033"/>
    <cellStyle name="표준 6 5 8 2 2 3 2" xfId="44385"/>
    <cellStyle name="표준 6 5 8 2 2 4" xfId="31713"/>
    <cellStyle name="표준 6 5 8 2 3" xfId="9529"/>
    <cellStyle name="표준 6 5 8 2 3 2" xfId="22203"/>
    <cellStyle name="표준 6 5 8 2 3 2 2" xfId="47555"/>
    <cellStyle name="표준 6 5 8 2 3 3" xfId="34883"/>
    <cellStyle name="표준 6 5 8 2 4" xfId="15867"/>
    <cellStyle name="표준 6 5 8 2 4 2" xfId="41219"/>
    <cellStyle name="표준 6 5 8 2 5" xfId="28547"/>
    <cellStyle name="표준 6 5 8 3" xfId="6360"/>
    <cellStyle name="표준 6 5 8 3 2" xfId="12696"/>
    <cellStyle name="표준 6 5 8 3 2 2" xfId="25370"/>
    <cellStyle name="표준 6 5 8 3 2 2 2" xfId="50722"/>
    <cellStyle name="표준 6 5 8 3 2 3" xfId="38050"/>
    <cellStyle name="표준 6 5 8 3 3" xfId="19034"/>
    <cellStyle name="표준 6 5 8 3 3 2" xfId="44386"/>
    <cellStyle name="표준 6 5 8 3 4" xfId="31714"/>
    <cellStyle name="표준 6 5 8 4" xfId="9528"/>
    <cellStyle name="표준 6 5 8 4 2" xfId="22202"/>
    <cellStyle name="표준 6 5 8 4 2 2" xfId="47554"/>
    <cellStyle name="표준 6 5 8 4 3" xfId="34882"/>
    <cellStyle name="표준 6 5 8 5" xfId="15866"/>
    <cellStyle name="표준 6 5 8 5 2" xfId="41218"/>
    <cellStyle name="표준 6 5 8 6" xfId="28546"/>
    <cellStyle name="표준 6 5 9" xfId="3193"/>
    <cellStyle name="표준 6 5 9 2" xfId="3194"/>
    <cellStyle name="표준 6 5 9 2 2" xfId="6361"/>
    <cellStyle name="표준 6 5 9 2 2 2" xfId="12697"/>
    <cellStyle name="표준 6 5 9 2 2 2 2" xfId="25371"/>
    <cellStyle name="표준 6 5 9 2 2 2 2 2" xfId="50723"/>
    <cellStyle name="표준 6 5 9 2 2 2 3" xfId="38051"/>
    <cellStyle name="표준 6 5 9 2 2 3" xfId="19035"/>
    <cellStyle name="표준 6 5 9 2 2 3 2" xfId="44387"/>
    <cellStyle name="표준 6 5 9 2 2 4" xfId="31715"/>
    <cellStyle name="표준 6 5 9 2 3" xfId="9531"/>
    <cellStyle name="표준 6 5 9 2 3 2" xfId="22205"/>
    <cellStyle name="표준 6 5 9 2 3 2 2" xfId="47557"/>
    <cellStyle name="표준 6 5 9 2 3 3" xfId="34885"/>
    <cellStyle name="표준 6 5 9 2 4" xfId="15869"/>
    <cellStyle name="표준 6 5 9 2 4 2" xfId="41221"/>
    <cellStyle name="표준 6 5 9 2 5" xfId="28549"/>
    <cellStyle name="표준 6 5 9 3" xfId="6362"/>
    <cellStyle name="표준 6 5 9 3 2" xfId="12698"/>
    <cellStyle name="표준 6 5 9 3 2 2" xfId="25372"/>
    <cellStyle name="표준 6 5 9 3 2 2 2" xfId="50724"/>
    <cellStyle name="표준 6 5 9 3 2 3" xfId="38052"/>
    <cellStyle name="표준 6 5 9 3 3" xfId="19036"/>
    <cellStyle name="표준 6 5 9 3 3 2" xfId="44388"/>
    <cellStyle name="표준 6 5 9 3 4" xfId="31716"/>
    <cellStyle name="표준 6 5 9 4" xfId="9530"/>
    <cellStyle name="표준 6 5 9 4 2" xfId="22204"/>
    <cellStyle name="표준 6 5 9 4 2 2" xfId="47556"/>
    <cellStyle name="표준 6 5 9 4 3" xfId="34884"/>
    <cellStyle name="표준 6 5 9 5" xfId="15868"/>
    <cellStyle name="표준 6 5 9 5 2" xfId="41220"/>
    <cellStyle name="표준 6 5 9 6" xfId="28548"/>
    <cellStyle name="표준 6 6" xfId="104"/>
    <cellStyle name="표준 6 6 2" xfId="3195"/>
    <cellStyle name="표준 6 6 2 2" xfId="6363"/>
    <cellStyle name="표준 6 6 2 2 2" xfId="12699"/>
    <cellStyle name="표준 6 6 2 2 2 2" xfId="25373"/>
    <cellStyle name="표준 6 6 2 2 2 2 2" xfId="50725"/>
    <cellStyle name="표준 6 6 2 2 2 3" xfId="38053"/>
    <cellStyle name="표준 6 6 2 2 3" xfId="19037"/>
    <cellStyle name="표준 6 6 2 2 3 2" xfId="44389"/>
    <cellStyle name="표준 6 6 2 2 4" xfId="31717"/>
    <cellStyle name="표준 6 6 2 3" xfId="9532"/>
    <cellStyle name="표준 6 6 2 3 2" xfId="22206"/>
    <cellStyle name="표준 6 6 2 3 2 2" xfId="47558"/>
    <cellStyle name="표준 6 6 2 3 3" xfId="34886"/>
    <cellStyle name="표준 6 6 2 4" xfId="15870"/>
    <cellStyle name="표준 6 6 2 4 2" xfId="41222"/>
    <cellStyle name="표준 6 6 2 5" xfId="28550"/>
    <cellStyle name="표준 6 6 3" xfId="6364"/>
    <cellStyle name="표준 6 6 3 2" xfId="12700"/>
    <cellStyle name="표준 6 6 3 2 2" xfId="25374"/>
    <cellStyle name="표준 6 6 3 2 2 2" xfId="50726"/>
    <cellStyle name="표준 6 6 3 2 3" xfId="38054"/>
    <cellStyle name="표준 6 6 3 3" xfId="19038"/>
    <cellStyle name="표준 6 6 3 3 2" xfId="44390"/>
    <cellStyle name="표준 6 6 3 4" xfId="31718"/>
    <cellStyle name="표준 6 6 4" xfId="6442"/>
    <cellStyle name="표준 6 6 4 2" xfId="19116"/>
    <cellStyle name="표준 6 6 4 2 2" xfId="44468"/>
    <cellStyle name="표준 6 6 4 3" xfId="31796"/>
    <cellStyle name="표준 6 6 5" xfId="12780"/>
    <cellStyle name="표준 6 6 5 2" xfId="38132"/>
    <cellStyle name="표준 6 6 6" xfId="25460"/>
    <cellStyle name="표준 6 7" xfId="3196"/>
    <cellStyle name="표준 6 7 2" xfId="3197"/>
    <cellStyle name="표준 6 7 2 2" xfId="6365"/>
    <cellStyle name="표준 6 7 2 2 2" xfId="12701"/>
    <cellStyle name="표준 6 7 2 2 2 2" xfId="25375"/>
    <cellStyle name="표준 6 7 2 2 2 2 2" xfId="50727"/>
    <cellStyle name="표준 6 7 2 2 2 3" xfId="38055"/>
    <cellStyle name="표준 6 7 2 2 3" xfId="19039"/>
    <cellStyle name="표준 6 7 2 2 3 2" xfId="44391"/>
    <cellStyle name="표준 6 7 2 2 4" xfId="31719"/>
    <cellStyle name="표준 6 7 2 3" xfId="9534"/>
    <cellStyle name="표준 6 7 2 3 2" xfId="22208"/>
    <cellStyle name="표준 6 7 2 3 2 2" xfId="47560"/>
    <cellStyle name="표준 6 7 2 3 3" xfId="34888"/>
    <cellStyle name="표준 6 7 2 4" xfId="15872"/>
    <cellStyle name="표준 6 7 2 4 2" xfId="41224"/>
    <cellStyle name="표준 6 7 2 5" xfId="28552"/>
    <cellStyle name="표준 6 7 3" xfId="6366"/>
    <cellStyle name="표준 6 7 3 2" xfId="12702"/>
    <cellStyle name="표준 6 7 3 2 2" xfId="25376"/>
    <cellStyle name="표준 6 7 3 2 2 2" xfId="50728"/>
    <cellStyle name="표준 6 7 3 2 3" xfId="38056"/>
    <cellStyle name="표준 6 7 3 3" xfId="19040"/>
    <cellStyle name="표준 6 7 3 3 2" xfId="44392"/>
    <cellStyle name="표준 6 7 3 4" xfId="31720"/>
    <cellStyle name="표준 6 7 4" xfId="9533"/>
    <cellStyle name="표준 6 7 4 2" xfId="22207"/>
    <cellStyle name="표준 6 7 4 2 2" xfId="47559"/>
    <cellStyle name="표준 6 7 4 3" xfId="34887"/>
    <cellStyle name="표준 6 7 5" xfId="15871"/>
    <cellStyle name="표준 6 7 5 2" xfId="41223"/>
    <cellStyle name="표준 6 7 6" xfId="28551"/>
    <cellStyle name="표준 6 8" xfId="3198"/>
    <cellStyle name="표준 6 8 2" xfId="3199"/>
    <cellStyle name="표준 6 8 2 2" xfId="6367"/>
    <cellStyle name="표준 6 8 2 2 2" xfId="12703"/>
    <cellStyle name="표준 6 8 2 2 2 2" xfId="25377"/>
    <cellStyle name="표준 6 8 2 2 2 2 2" xfId="50729"/>
    <cellStyle name="표준 6 8 2 2 2 3" xfId="38057"/>
    <cellStyle name="표준 6 8 2 2 3" xfId="19041"/>
    <cellStyle name="표준 6 8 2 2 3 2" xfId="44393"/>
    <cellStyle name="표준 6 8 2 2 4" xfId="31721"/>
    <cellStyle name="표준 6 8 2 3" xfId="9536"/>
    <cellStyle name="표준 6 8 2 3 2" xfId="22210"/>
    <cellStyle name="표준 6 8 2 3 2 2" xfId="47562"/>
    <cellStyle name="표준 6 8 2 3 3" xfId="34890"/>
    <cellStyle name="표준 6 8 2 4" xfId="15874"/>
    <cellStyle name="표준 6 8 2 4 2" xfId="41226"/>
    <cellStyle name="표준 6 8 2 5" xfId="28554"/>
    <cellStyle name="표준 6 8 3" xfId="6368"/>
    <cellStyle name="표준 6 8 3 2" xfId="12704"/>
    <cellStyle name="표준 6 8 3 2 2" xfId="25378"/>
    <cellStyle name="표준 6 8 3 2 2 2" xfId="50730"/>
    <cellStyle name="표준 6 8 3 2 3" xfId="38058"/>
    <cellStyle name="표준 6 8 3 3" xfId="19042"/>
    <cellStyle name="표준 6 8 3 3 2" xfId="44394"/>
    <cellStyle name="표준 6 8 3 4" xfId="31722"/>
    <cellStyle name="표준 6 8 4" xfId="9535"/>
    <cellStyle name="표준 6 8 4 2" xfId="22209"/>
    <cellStyle name="표준 6 8 4 2 2" xfId="47561"/>
    <cellStyle name="표준 6 8 4 3" xfId="34889"/>
    <cellStyle name="표준 6 8 5" xfId="15873"/>
    <cellStyle name="표준 6 8 5 2" xfId="41225"/>
    <cellStyle name="표준 6 8 6" xfId="28553"/>
    <cellStyle name="표준 6 9" xfId="3200"/>
    <cellStyle name="표준 6 9 2" xfId="3201"/>
    <cellStyle name="표준 6 9 2 2" xfId="6369"/>
    <cellStyle name="표준 6 9 2 2 2" xfId="12705"/>
    <cellStyle name="표준 6 9 2 2 2 2" xfId="25379"/>
    <cellStyle name="표준 6 9 2 2 2 2 2" xfId="50731"/>
    <cellStyle name="표준 6 9 2 2 2 3" xfId="38059"/>
    <cellStyle name="표준 6 9 2 2 3" xfId="19043"/>
    <cellStyle name="표준 6 9 2 2 3 2" xfId="44395"/>
    <cellStyle name="표준 6 9 2 2 4" xfId="31723"/>
    <cellStyle name="표준 6 9 2 3" xfId="9538"/>
    <cellStyle name="표준 6 9 2 3 2" xfId="22212"/>
    <cellStyle name="표준 6 9 2 3 2 2" xfId="47564"/>
    <cellStyle name="표준 6 9 2 3 3" xfId="34892"/>
    <cellStyle name="표준 6 9 2 4" xfId="15876"/>
    <cellStyle name="표준 6 9 2 4 2" xfId="41228"/>
    <cellStyle name="표준 6 9 2 5" xfId="28556"/>
    <cellStyle name="표준 6 9 3" xfId="6370"/>
    <cellStyle name="표준 6 9 3 2" xfId="12706"/>
    <cellStyle name="표준 6 9 3 2 2" xfId="25380"/>
    <cellStyle name="표준 6 9 3 2 2 2" xfId="50732"/>
    <cellStyle name="표준 6 9 3 2 3" xfId="38060"/>
    <cellStyle name="표준 6 9 3 3" xfId="19044"/>
    <cellStyle name="표준 6 9 3 3 2" xfId="44396"/>
    <cellStyle name="표준 6 9 3 4" xfId="31724"/>
    <cellStyle name="표준 6 9 4" xfId="9537"/>
    <cellStyle name="표준 6 9 4 2" xfId="22211"/>
    <cellStyle name="표준 6 9 4 2 2" xfId="47563"/>
    <cellStyle name="표준 6 9 4 3" xfId="34891"/>
    <cellStyle name="표준 6 9 5" xfId="15875"/>
    <cellStyle name="표준 6 9 5 2" xfId="41227"/>
    <cellStyle name="표준 6 9 6" xfId="28555"/>
    <cellStyle name="표준 7" xfId="37"/>
    <cellStyle name="표준 8" xfId="3202"/>
    <cellStyle name="표준 9" xfId="50733"/>
    <cellStyle name="표준_일반관리비(07예산)" xfId="6"/>
    <cellStyle name="하이퍼링크" xfId="12707" builtinId="8"/>
  </cellStyles>
  <dxfs count="0"/>
  <tableStyles count="0" defaultTableStyle="TableStyleMedium9" defaultPivotStyle="PivotStyleLight16"/>
  <colors>
    <mruColors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2</xdr:row>
      <xdr:rowOff>114300</xdr:rowOff>
    </xdr:from>
    <xdr:to>
      <xdr:col>5</xdr:col>
      <xdr:colOff>0</xdr:colOff>
      <xdr:row>3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839450" y="800100"/>
          <a:ext cx="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17</xdr:row>
      <xdr:rowOff>6350</xdr:rowOff>
    </xdr:from>
    <xdr:to>
      <xdr:col>5</xdr:col>
      <xdr:colOff>0</xdr:colOff>
      <xdr:row>17</xdr:row>
      <xdr:rowOff>6350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0839450" y="62642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2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3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4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5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6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7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8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59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0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1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2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3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5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6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7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8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69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0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1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2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3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4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5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6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7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8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79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0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1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2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3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4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5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6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7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8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89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0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1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92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93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4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5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6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7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8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99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0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1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2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3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4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5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7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8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09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0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1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2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3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4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5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6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7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8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19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0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1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2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3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4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5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6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7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8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29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0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1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2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3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134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135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6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7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8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39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0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1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2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3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4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5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6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7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8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49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0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1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2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3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4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5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6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7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8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59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0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1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2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3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4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5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6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7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8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69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0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1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2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3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4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5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176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62</xdr:row>
      <xdr:rowOff>0</xdr:rowOff>
    </xdr:from>
    <xdr:to>
      <xdr:col>20</xdr:col>
      <xdr:colOff>0</xdr:colOff>
      <xdr:row>62</xdr:row>
      <xdr:rowOff>0</xdr:rowOff>
    </xdr:to>
    <xdr:sp macro="" textlink="">
      <xdr:nvSpPr>
        <xdr:cNvPr id="177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8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79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0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1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2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3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4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5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6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7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8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89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1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2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3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4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5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6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7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8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199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0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1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2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3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4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5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6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7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8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09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0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1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2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3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4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5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6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62</xdr:row>
      <xdr:rowOff>0</xdr:rowOff>
    </xdr:from>
    <xdr:to>
      <xdr:col>19</xdr:col>
      <xdr:colOff>1476375</xdr:colOff>
      <xdr:row>62</xdr:row>
      <xdr:rowOff>0</xdr:rowOff>
    </xdr:to>
    <xdr:sp macro="" textlink="">
      <xdr:nvSpPr>
        <xdr:cNvPr id="217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6"/>
  <sheetViews>
    <sheetView view="pageBreakPreview" zoomScale="115" zoomScaleNormal="100" zoomScaleSheetLayoutView="115" workbookViewId="0">
      <selection activeCell="G12" sqref="G12"/>
    </sheetView>
  </sheetViews>
  <sheetFormatPr defaultRowHeight="31.5"/>
  <cols>
    <col min="1" max="1" width="3.6640625" style="884" customWidth="1"/>
    <col min="2" max="2" width="20.77734375" style="875" customWidth="1"/>
    <col min="3" max="3" width="25.77734375" style="875" customWidth="1"/>
    <col min="4" max="4" width="25.77734375" style="884" customWidth="1"/>
    <col min="5" max="5" width="24.88671875" style="884" customWidth="1"/>
    <col min="6" max="6" width="4.6640625" style="884" customWidth="1"/>
    <col min="7" max="7" width="28.44140625" style="1648" bestFit="1" customWidth="1"/>
    <col min="8" max="8" width="24" style="884" bestFit="1" customWidth="1"/>
    <col min="9" max="9" width="17.44140625" style="875" bestFit="1" customWidth="1"/>
    <col min="10" max="16384" width="8.88671875" style="875"/>
  </cols>
  <sheetData>
    <row r="1" spans="1:9">
      <c r="A1" s="3716" t="s">
        <v>171</v>
      </c>
      <c r="B1" s="3716"/>
      <c r="C1" s="3716"/>
      <c r="D1" s="3716"/>
      <c r="E1" s="3716"/>
      <c r="F1" s="3716"/>
      <c r="G1" s="1621"/>
      <c r="H1" s="875"/>
    </row>
    <row r="2" spans="1:9">
      <c r="A2" s="875"/>
      <c r="D2" s="875"/>
      <c r="E2" s="1836" t="s">
        <v>1933</v>
      </c>
      <c r="F2" s="875"/>
      <c r="G2" s="1621"/>
      <c r="H2" s="875"/>
    </row>
    <row r="3" spans="1:9">
      <c r="A3" s="3717" t="s">
        <v>5925</v>
      </c>
      <c r="B3" s="3717"/>
      <c r="C3" s="3717"/>
      <c r="D3" s="3717"/>
      <c r="E3" s="3717"/>
      <c r="F3" s="3717"/>
      <c r="G3" s="1621"/>
      <c r="H3" s="875"/>
    </row>
    <row r="4" spans="1:9">
      <c r="A4" s="875"/>
      <c r="D4" s="875"/>
      <c r="E4" s="875"/>
      <c r="F4" s="875"/>
      <c r="G4" s="1621"/>
      <c r="H4" s="875"/>
    </row>
    <row r="5" spans="1:9" ht="32.25" thickBot="1">
      <c r="A5" s="875"/>
      <c r="D5" s="875"/>
      <c r="E5" s="1650" t="s">
        <v>1410</v>
      </c>
      <c r="F5" s="875"/>
      <c r="G5" s="1649"/>
      <c r="H5" s="875"/>
    </row>
    <row r="6" spans="1:9" ht="50.1" customHeight="1">
      <c r="A6" s="875"/>
      <c r="B6" s="147" t="s">
        <v>173</v>
      </c>
      <c r="C6" s="148" t="s">
        <v>174</v>
      </c>
      <c r="D6" s="148" t="s">
        <v>1078</v>
      </c>
      <c r="E6" s="149" t="s">
        <v>175</v>
      </c>
      <c r="F6" s="875"/>
      <c r="G6" s="1649"/>
      <c r="H6" s="875"/>
    </row>
    <row r="7" spans="1:9" ht="50.1" customHeight="1">
      <c r="A7" s="875"/>
      <c r="B7" s="150" t="s">
        <v>176</v>
      </c>
      <c r="C7" s="151">
        <f>+'수입예산 총괄'!C4</f>
        <v>97137962.171999991</v>
      </c>
      <c r="D7" s="151">
        <f>+'수입예산 총괄'!D4</f>
        <v>96475524.246999994</v>
      </c>
      <c r="E7" s="152">
        <f>C7-D7</f>
        <v>662437.92499999702</v>
      </c>
      <c r="F7" s="875"/>
      <c r="G7" s="1649">
        <f t="shared" ref="G7:I8" si="0">C7*1000000</f>
        <v>97137962171999.984</v>
      </c>
      <c r="H7" s="1649">
        <f t="shared" si="0"/>
        <v>96475524247000</v>
      </c>
      <c r="I7" s="1649">
        <f t="shared" si="0"/>
        <v>662437924999.99707</v>
      </c>
    </row>
    <row r="8" spans="1:9" ht="50.1" customHeight="1" thickBot="1">
      <c r="A8" s="875"/>
      <c r="B8" s="153" t="s">
        <v>177</v>
      </c>
      <c r="C8" s="154">
        <f>+'지출예산 총괄'!C4</f>
        <v>97137962.171999991</v>
      </c>
      <c r="D8" s="154">
        <f>+'지출예산 총괄'!D4</f>
        <v>96475524.246999994</v>
      </c>
      <c r="E8" s="155">
        <f>C8-D8</f>
        <v>662437.92499999702</v>
      </c>
      <c r="F8" s="875"/>
      <c r="G8" s="1649">
        <f t="shared" si="0"/>
        <v>97137962171999.984</v>
      </c>
      <c r="H8" s="1649">
        <f t="shared" si="0"/>
        <v>96475524247000</v>
      </c>
      <c r="I8" s="1649">
        <f t="shared" si="0"/>
        <v>662437924999.99707</v>
      </c>
    </row>
    <row r="9" spans="1:9" ht="48" customHeight="1">
      <c r="A9" s="875"/>
      <c r="C9" s="1873"/>
      <c r="D9" s="875"/>
      <c r="E9" s="1866"/>
      <c r="F9" s="875"/>
      <c r="G9" s="1649">
        <f>G7-G8</f>
        <v>0</v>
      </c>
      <c r="H9" s="1649">
        <f t="shared" ref="H9:I9" si="1">H7-H8</f>
        <v>0</v>
      </c>
      <c r="I9" s="1649">
        <f t="shared" si="1"/>
        <v>0</v>
      </c>
    </row>
    <row r="10" spans="1:9" ht="60" customHeight="1">
      <c r="A10" s="3717" t="s">
        <v>6108</v>
      </c>
      <c r="B10" s="3717"/>
      <c r="C10" s="3717"/>
      <c r="D10" s="3717"/>
      <c r="E10" s="3717"/>
      <c r="F10" s="3717"/>
      <c r="G10" s="1621"/>
      <c r="H10" s="875"/>
    </row>
    <row r="11" spans="1:9">
      <c r="A11" s="875"/>
      <c r="D11" s="875"/>
      <c r="E11" s="875"/>
      <c r="F11" s="875"/>
      <c r="G11" s="1621"/>
      <c r="H11" s="875"/>
    </row>
    <row r="12" spans="1:9">
      <c r="A12" s="156"/>
      <c r="B12" s="156"/>
      <c r="C12" s="156"/>
      <c r="D12" s="156"/>
      <c r="E12" s="156"/>
      <c r="F12" s="156"/>
      <c r="G12" s="1621"/>
    </row>
    <row r="13" spans="1:9">
      <c r="A13" s="875"/>
      <c r="D13" s="875"/>
      <c r="E13" s="875"/>
      <c r="F13" s="875"/>
      <c r="G13" s="1621"/>
    </row>
    <row r="36" spans="1:2" ht="32.25" thickBot="1">
      <c r="A36" s="157"/>
      <c r="B36" s="156"/>
    </row>
  </sheetData>
  <mergeCells count="3">
    <mergeCell ref="A1:F1"/>
    <mergeCell ref="A3:F3"/>
    <mergeCell ref="A10:F10"/>
  </mergeCells>
  <phoneticPr fontId="15" type="noConversion"/>
  <pageMargins left="0.98425196850393704" right="0.98425196850393704" top="0.98425196850393704" bottom="0.98425196850393704" header="0.51181102362204722" footer="0.51181102362204722"/>
  <pageSetup paperSize="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86"/>
  <sheetViews>
    <sheetView view="pageBreakPreview" zoomScale="70" zoomScaleNormal="85" zoomScaleSheetLayoutView="70" workbookViewId="0">
      <pane ySplit="6" topLeftCell="A227" activePane="bottomLeft" state="frozen"/>
      <selection activeCell="F663" sqref="F663:G663"/>
      <selection pane="bottomLeft" activeCell="G314" sqref="G314"/>
    </sheetView>
  </sheetViews>
  <sheetFormatPr defaultColWidth="8.88671875" defaultRowHeight="13.5"/>
  <cols>
    <col min="1" max="1" width="7.109375" style="425" customWidth="1"/>
    <col min="2" max="4" width="6.77734375" style="425" customWidth="1"/>
    <col min="5" max="5" width="16.33203125" style="425" customWidth="1"/>
    <col min="6" max="8" width="13.77734375" style="425" customWidth="1"/>
    <col min="9" max="9" width="1.6640625" style="438" customWidth="1"/>
    <col min="10" max="10" width="2.88671875" style="425" customWidth="1"/>
    <col min="11" max="11" width="1.88671875" style="425" customWidth="1"/>
    <col min="12" max="12" width="8.77734375" style="425" customWidth="1"/>
    <col min="13" max="13" width="10.88671875" style="425" customWidth="1"/>
    <col min="14" max="14" width="5" style="425" customWidth="1"/>
    <col min="15" max="15" width="6.77734375" style="425" customWidth="1"/>
    <col min="16" max="16" width="6.6640625" style="425" customWidth="1"/>
    <col min="17" max="17" width="7.77734375" style="425" customWidth="1"/>
    <col min="18" max="18" width="8.77734375" style="444" customWidth="1"/>
    <col min="19" max="19" width="19.21875" style="450" customWidth="1"/>
    <col min="20" max="20" width="6.88671875" style="444" customWidth="1"/>
    <col min="21" max="21" width="6.88671875" style="425" customWidth="1"/>
    <col min="22" max="22" width="8" style="425" customWidth="1"/>
    <col min="23" max="23" width="7.44140625" style="425" customWidth="1"/>
    <col min="24" max="24" width="3" style="425" customWidth="1"/>
    <col min="25" max="25" width="13.33203125" style="425" customWidth="1"/>
    <col min="26" max="26" width="17.44140625" style="425" customWidth="1"/>
    <col min="27" max="27" width="17.5546875" style="433" customWidth="1"/>
    <col min="28" max="28" width="13" style="433" bestFit="1" customWidth="1"/>
    <col min="29" max="29" width="13.77734375" style="425" customWidth="1"/>
    <col min="30" max="16384" width="8.88671875" style="425"/>
  </cols>
  <sheetData>
    <row r="1" spans="1:29" ht="23.25" customHeight="1">
      <c r="A1" s="967"/>
      <c r="B1" s="3956" t="s">
        <v>6113</v>
      </c>
      <c r="C1" s="3956"/>
      <c r="D1" s="3956"/>
      <c r="E1" s="3956"/>
      <c r="F1" s="3956"/>
      <c r="G1" s="3956"/>
      <c r="H1" s="3956"/>
      <c r="I1" s="3956"/>
      <c r="J1" s="3956"/>
      <c r="K1" s="3956"/>
      <c r="L1" s="3956"/>
      <c r="M1" s="3956"/>
      <c r="N1" s="3956"/>
      <c r="O1" s="3956"/>
      <c r="P1" s="3956"/>
      <c r="Q1" s="3956"/>
      <c r="R1" s="3956"/>
      <c r="S1" s="3956"/>
      <c r="T1" s="3956"/>
      <c r="U1" s="3956"/>
      <c r="V1" s="3956"/>
      <c r="W1" s="3956"/>
      <c r="X1" s="3956"/>
      <c r="Y1" s="3956"/>
      <c r="Z1" s="1482"/>
    </row>
    <row r="2" spans="1:29" ht="23.25" customHeight="1" thickBot="1">
      <c r="A2" s="967"/>
      <c r="B2" s="951"/>
      <c r="C2" s="951"/>
      <c r="D2" s="951" t="s">
        <v>378</v>
      </c>
      <c r="E2" s="951"/>
      <c r="F2" s="915"/>
      <c r="G2" s="2477" t="s">
        <v>378</v>
      </c>
      <c r="H2" s="2477" t="s">
        <v>194</v>
      </c>
      <c r="I2" s="709"/>
      <c r="J2" s="951" t="s">
        <v>378</v>
      </c>
      <c r="K2" s="951"/>
      <c r="L2" s="2144" t="s">
        <v>378</v>
      </c>
      <c r="M2" s="951"/>
      <c r="N2" s="951"/>
      <c r="O2" s="1671"/>
      <c r="P2" s="915"/>
      <c r="Q2" s="917"/>
      <c r="R2" s="1678"/>
      <c r="S2" s="2478"/>
      <c r="T2" s="1678"/>
      <c r="U2" s="709"/>
      <c r="V2" s="709"/>
      <c r="W2" s="709"/>
      <c r="X2" s="709"/>
      <c r="Y2" s="1038" t="s">
        <v>194</v>
      </c>
      <c r="Z2" s="709"/>
    </row>
    <row r="3" spans="1:29" ht="23.25" customHeight="1">
      <c r="A3" s="3957" t="s">
        <v>218</v>
      </c>
      <c r="B3" s="3958"/>
      <c r="C3" s="3958"/>
      <c r="D3" s="3958"/>
      <c r="E3" s="3959"/>
      <c r="F3" s="3851" t="s">
        <v>174</v>
      </c>
      <c r="G3" s="3960" t="s">
        <v>1077</v>
      </c>
      <c r="H3" s="3962" t="s">
        <v>11</v>
      </c>
      <c r="I3" s="734"/>
      <c r="J3" s="3964" t="s">
        <v>220</v>
      </c>
      <c r="K3" s="3965"/>
      <c r="L3" s="3965"/>
      <c r="M3" s="3965"/>
      <c r="N3" s="3965"/>
      <c r="O3" s="3965"/>
      <c r="P3" s="3965"/>
      <c r="Q3" s="3965"/>
      <c r="R3" s="3965"/>
      <c r="S3" s="3965"/>
      <c r="T3" s="3965"/>
      <c r="U3" s="3965"/>
      <c r="V3" s="3965"/>
      <c r="W3" s="3965"/>
      <c r="X3" s="3965"/>
      <c r="Y3" s="3966"/>
      <c r="Z3" s="1671"/>
    </row>
    <row r="4" spans="1:29" ht="23.1" customHeight="1" thickBot="1">
      <c r="A4" s="1491" t="s">
        <v>252</v>
      </c>
      <c r="B4" s="2479" t="s">
        <v>234</v>
      </c>
      <c r="C4" s="1492" t="s">
        <v>221</v>
      </c>
      <c r="D4" s="1492" t="s">
        <v>235</v>
      </c>
      <c r="E4" s="1492" t="s">
        <v>49</v>
      </c>
      <c r="F4" s="3852"/>
      <c r="G4" s="3961"/>
      <c r="H4" s="3963"/>
      <c r="I4" s="1724"/>
      <c r="J4" s="3967"/>
      <c r="K4" s="3968"/>
      <c r="L4" s="3968"/>
      <c r="M4" s="3968"/>
      <c r="N4" s="3968"/>
      <c r="O4" s="3968"/>
      <c r="P4" s="3968"/>
      <c r="Q4" s="3968"/>
      <c r="R4" s="3968"/>
      <c r="S4" s="3968"/>
      <c r="T4" s="3968"/>
      <c r="U4" s="3968"/>
      <c r="V4" s="3968"/>
      <c r="W4" s="3968"/>
      <c r="X4" s="3968"/>
      <c r="Y4" s="3969"/>
      <c r="Z4" s="684"/>
    </row>
    <row r="5" spans="1:29" ht="22.5" customHeight="1" thickBot="1">
      <c r="A5" s="3970" t="s">
        <v>1057</v>
      </c>
      <c r="B5" s="3971"/>
      <c r="C5" s="3971"/>
      <c r="D5" s="3971"/>
      <c r="E5" s="3972"/>
      <c r="F5" s="2480">
        <f>+F6+F244</f>
        <v>3412930</v>
      </c>
      <c r="G5" s="2480">
        <f>+G6+G244</f>
        <v>3257300</v>
      </c>
      <c r="H5" s="2483">
        <f>F5-G5</f>
        <v>155630</v>
      </c>
      <c r="I5" s="1724"/>
      <c r="J5" s="2097"/>
      <c r="K5" s="2098"/>
      <c r="L5" s="2098"/>
      <c r="M5" s="2098"/>
      <c r="N5" s="2098"/>
      <c r="O5" s="2098"/>
      <c r="P5" s="2098"/>
      <c r="Q5" s="2098"/>
      <c r="R5" s="2098"/>
      <c r="S5" s="2098"/>
      <c r="T5" s="2098"/>
      <c r="U5" s="2098"/>
      <c r="V5" s="2098"/>
      <c r="W5" s="2098"/>
      <c r="X5" s="2098"/>
      <c r="Y5" s="2099"/>
      <c r="Z5" s="684"/>
      <c r="AA5" s="433">
        <f>F5*1000000</f>
        <v>3412930000000</v>
      </c>
    </row>
    <row r="6" spans="1:29" ht="22.5" customHeight="1" thickBot="1">
      <c r="A6" s="2481"/>
      <c r="B6" s="3973" t="s">
        <v>395</v>
      </c>
      <c r="C6" s="3973"/>
      <c r="D6" s="3973"/>
      <c r="E6" s="3974"/>
      <c r="F6" s="2482">
        <f>F7+F87</f>
        <v>3379930</v>
      </c>
      <c r="G6" s="2482">
        <f>G7+G87</f>
        <v>3224300</v>
      </c>
      <c r="H6" s="2483">
        <f>F6-G6</f>
        <v>155630</v>
      </c>
      <c r="I6" s="2060"/>
      <c r="J6" s="2484"/>
      <c r="K6" s="2485"/>
      <c r="L6" s="2485"/>
      <c r="M6" s="2485"/>
      <c r="N6" s="2485"/>
      <c r="O6" s="2485"/>
      <c r="P6" s="2485"/>
      <c r="Q6" s="1485"/>
      <c r="R6" s="2486"/>
      <c r="S6" s="2487"/>
      <c r="T6" s="2486"/>
      <c r="U6" s="2485"/>
      <c r="V6" s="2485"/>
      <c r="W6" s="2485"/>
      <c r="X6" s="1023"/>
      <c r="Y6" s="2488"/>
      <c r="Z6" s="993"/>
      <c r="AA6" s="433">
        <f t="shared" ref="AA6:AA69" si="0">F6*1000000</f>
        <v>3379930000000</v>
      </c>
    </row>
    <row r="7" spans="1:29" ht="22.5" customHeight="1">
      <c r="A7" s="2489"/>
      <c r="B7" s="2490"/>
      <c r="C7" s="3975" t="s">
        <v>201</v>
      </c>
      <c r="D7" s="3976"/>
      <c r="E7" s="3977"/>
      <c r="F7" s="2491">
        <f>F8+F20+F85</f>
        <v>1215900</v>
      </c>
      <c r="G7" s="2491">
        <f>G8+G20+G85</f>
        <v>1215900</v>
      </c>
      <c r="H7" s="2492">
        <f>F7-G7</f>
        <v>0</v>
      </c>
      <c r="I7" s="2060"/>
      <c r="J7" s="1115"/>
      <c r="K7" s="1093"/>
      <c r="L7" s="1093"/>
      <c r="M7" s="1093"/>
      <c r="N7" s="1093"/>
      <c r="O7" s="1231"/>
      <c r="P7" s="2114"/>
      <c r="Q7" s="1232"/>
      <c r="R7" s="2493"/>
      <c r="S7" s="2494"/>
      <c r="T7" s="2495"/>
      <c r="U7" s="1231"/>
      <c r="V7" s="1093"/>
      <c r="W7" s="1093"/>
      <c r="X7" s="1231"/>
      <c r="Y7" s="981"/>
      <c r="Z7" s="736"/>
      <c r="AA7" s="433">
        <f t="shared" si="0"/>
        <v>1215900000000</v>
      </c>
    </row>
    <row r="8" spans="1:29" ht="22.5" customHeight="1">
      <c r="A8" s="2489"/>
      <c r="B8" s="2490"/>
      <c r="C8" s="1034"/>
      <c r="D8" s="3978" t="s">
        <v>278</v>
      </c>
      <c r="E8" s="3979"/>
      <c r="F8" s="1479">
        <f>SUM(F9:F19)</f>
        <v>945300</v>
      </c>
      <c r="G8" s="1479">
        <f>SUM(G9:G19)</f>
        <v>945300</v>
      </c>
      <c r="H8" s="2496">
        <f>+F8-G8</f>
        <v>0</v>
      </c>
      <c r="I8" s="2060"/>
      <c r="J8" s="1074"/>
      <c r="K8" s="2094"/>
      <c r="L8" s="2094"/>
      <c r="M8" s="2094"/>
      <c r="N8" s="2094"/>
      <c r="O8" s="938"/>
      <c r="P8" s="2110"/>
      <c r="Q8" s="1250"/>
      <c r="R8" s="2497"/>
      <c r="S8" s="2498"/>
      <c r="T8" s="2499"/>
      <c r="U8" s="938"/>
      <c r="V8" s="2094"/>
      <c r="W8" s="2094"/>
      <c r="X8" s="1184"/>
      <c r="Y8" s="1056"/>
      <c r="Z8" s="736"/>
      <c r="AA8" s="433">
        <f t="shared" si="0"/>
        <v>945300000000</v>
      </c>
    </row>
    <row r="9" spans="1:29" ht="22.5" customHeight="1">
      <c r="A9" s="2489"/>
      <c r="B9" s="2117"/>
      <c r="C9" s="675"/>
      <c r="D9" s="2500"/>
      <c r="E9" s="675" t="s">
        <v>602</v>
      </c>
      <c r="F9" s="1198">
        <f>Y9</f>
        <v>767600</v>
      </c>
      <c r="G9" s="1423">
        <v>767600</v>
      </c>
      <c r="H9" s="942"/>
      <c r="I9" s="2060"/>
      <c r="J9" s="2501" t="s">
        <v>224</v>
      </c>
      <c r="K9" s="682"/>
      <c r="L9" s="682"/>
      <c r="M9" s="682"/>
      <c r="N9" s="709"/>
      <c r="O9" s="709"/>
      <c r="P9" s="915"/>
      <c r="Q9" s="684"/>
      <c r="R9" s="682"/>
      <c r="S9" s="2502"/>
      <c r="T9" s="682"/>
      <c r="U9" s="682"/>
      <c r="V9" s="682"/>
      <c r="W9" s="682"/>
      <c r="X9" s="870"/>
      <c r="Y9" s="2234">
        <f>Z9/1000</f>
        <v>767600</v>
      </c>
      <c r="Z9" s="993">
        <f>SUM(Z10,Z12,Z14,Z15)</f>
        <v>767600000</v>
      </c>
      <c r="AA9" s="433">
        <f t="shared" si="0"/>
        <v>767600000000</v>
      </c>
    </row>
    <row r="10" spans="1:29" ht="22.5" customHeight="1">
      <c r="A10" s="2489"/>
      <c r="B10" s="2117"/>
      <c r="C10" s="675"/>
      <c r="D10" s="675"/>
      <c r="E10" s="2503"/>
      <c r="F10" s="1261"/>
      <c r="G10" s="1261"/>
      <c r="H10" s="1239"/>
      <c r="I10" s="2060"/>
      <c r="J10" s="3952" t="s">
        <v>269</v>
      </c>
      <c r="K10" s="3953"/>
      <c r="L10" s="3953"/>
      <c r="M10" s="3953"/>
      <c r="N10" s="709"/>
      <c r="O10" s="709"/>
      <c r="P10" s="915"/>
      <c r="Q10" s="684"/>
      <c r="R10" s="685"/>
      <c r="S10" s="2502" t="s">
        <v>265</v>
      </c>
      <c r="T10" s="684" t="s">
        <v>265</v>
      </c>
      <c r="U10" s="684" t="s">
        <v>265</v>
      </c>
      <c r="V10" s="684" t="s">
        <v>265</v>
      </c>
      <c r="W10" s="684" t="s">
        <v>265</v>
      </c>
      <c r="X10" s="686" t="s">
        <v>265</v>
      </c>
      <c r="Y10" s="2234">
        <f>SUM(Y11:Y11)</f>
        <v>677040</v>
      </c>
      <c r="Z10" s="868">
        <f>SUM(Z11:Z11)</f>
        <v>677040000</v>
      </c>
      <c r="AA10" s="433">
        <f t="shared" si="0"/>
        <v>0</v>
      </c>
    </row>
    <row r="11" spans="1:29" ht="22.5" customHeight="1">
      <c r="A11" s="2489"/>
      <c r="B11" s="2117"/>
      <c r="C11" s="675"/>
      <c r="D11" s="675"/>
      <c r="E11" s="2503"/>
      <c r="F11" s="1261"/>
      <c r="G11" s="1261"/>
      <c r="H11" s="1239"/>
      <c r="I11" s="2060"/>
      <c r="J11" s="681"/>
      <c r="K11" s="953" t="s">
        <v>741</v>
      </c>
      <c r="L11" s="682"/>
      <c r="M11" s="682"/>
      <c r="N11" s="709"/>
      <c r="O11" s="709"/>
      <c r="P11" s="915"/>
      <c r="Q11" s="684">
        <v>13</v>
      </c>
      <c r="R11" s="685" t="s">
        <v>227</v>
      </c>
      <c r="S11" s="2502">
        <v>4340000</v>
      </c>
      <c r="T11" s="684" t="s">
        <v>37</v>
      </c>
      <c r="U11" s="684"/>
      <c r="V11" s="684">
        <v>12</v>
      </c>
      <c r="W11" s="684" t="s">
        <v>228</v>
      </c>
      <c r="X11" s="686" t="s">
        <v>489</v>
      </c>
      <c r="Y11" s="2234">
        <f>Z11/1000</f>
        <v>677040</v>
      </c>
      <c r="Z11" s="868">
        <f>Q11*S11*V11</f>
        <v>677040000</v>
      </c>
      <c r="AA11" s="433">
        <f t="shared" si="0"/>
        <v>0</v>
      </c>
      <c r="AC11" s="463"/>
    </row>
    <row r="12" spans="1:29" ht="22.5" customHeight="1">
      <c r="A12" s="2489"/>
      <c r="B12" s="2117"/>
      <c r="C12" s="675"/>
      <c r="D12" s="675"/>
      <c r="E12" s="675"/>
      <c r="F12" s="1261"/>
      <c r="G12" s="1261"/>
      <c r="H12" s="1239"/>
      <c r="I12" s="2060"/>
      <c r="J12" s="2501" t="s">
        <v>743</v>
      </c>
      <c r="K12" s="685"/>
      <c r="L12" s="685"/>
      <c r="M12" s="685"/>
      <c r="N12" s="685"/>
      <c r="O12" s="685"/>
      <c r="P12" s="685"/>
      <c r="Q12" s="685"/>
      <c r="R12" s="685"/>
      <c r="S12" s="2502"/>
      <c r="T12" s="684"/>
      <c r="U12" s="684"/>
      <c r="V12" s="684"/>
      <c r="W12" s="684"/>
      <c r="X12" s="686"/>
      <c r="Y12" s="2234">
        <f>SUM(Y13:Y13)</f>
        <v>54960</v>
      </c>
      <c r="Z12" s="868">
        <f>SUM(Z13:Z13)</f>
        <v>54960000</v>
      </c>
      <c r="AA12" s="433">
        <f t="shared" si="0"/>
        <v>0</v>
      </c>
    </row>
    <row r="13" spans="1:29" ht="22.5" customHeight="1">
      <c r="A13" s="2489"/>
      <c r="B13" s="2117"/>
      <c r="C13" s="675"/>
      <c r="D13" s="675"/>
      <c r="E13" s="675"/>
      <c r="F13" s="1261"/>
      <c r="G13" s="1261"/>
      <c r="H13" s="1239"/>
      <c r="I13" s="2060"/>
      <c r="J13" s="681"/>
      <c r="K13" s="953" t="s">
        <v>741</v>
      </c>
      <c r="L13" s="682"/>
      <c r="M13" s="682"/>
      <c r="N13" s="709"/>
      <c r="O13" s="709"/>
      <c r="P13" s="915"/>
      <c r="Q13" s="684">
        <v>13</v>
      </c>
      <c r="R13" s="685" t="s">
        <v>227</v>
      </c>
      <c r="S13" s="2502">
        <v>352307.69230769231</v>
      </c>
      <c r="T13" s="684" t="s">
        <v>37</v>
      </c>
      <c r="U13" s="684"/>
      <c r="V13" s="1678">
        <v>12</v>
      </c>
      <c r="W13" s="684" t="s">
        <v>228</v>
      </c>
      <c r="X13" s="686" t="s">
        <v>489</v>
      </c>
      <c r="Y13" s="2234">
        <f t="shared" ref="Y13:Y19" si="1">Z13/1000</f>
        <v>54960</v>
      </c>
      <c r="Z13" s="868">
        <f>Q13*S13*V13</f>
        <v>54960000</v>
      </c>
      <c r="AA13" s="433">
        <f t="shared" si="0"/>
        <v>0</v>
      </c>
      <c r="AC13" s="452"/>
    </row>
    <row r="14" spans="1:29" s="796" customFormat="1" ht="22.5" customHeight="1">
      <c r="A14" s="673"/>
      <c r="B14" s="674"/>
      <c r="C14" s="851"/>
      <c r="D14" s="676"/>
      <c r="E14" s="2449"/>
      <c r="F14" s="989"/>
      <c r="G14" s="989"/>
      <c r="H14" s="1021"/>
      <c r="I14" s="2060"/>
      <c r="J14" s="681" t="s">
        <v>1367</v>
      </c>
      <c r="K14" s="684"/>
      <c r="L14" s="684"/>
      <c r="M14" s="682"/>
      <c r="N14" s="709"/>
      <c r="O14" s="709"/>
      <c r="P14" s="709"/>
      <c r="Q14" s="684">
        <v>2</v>
      </c>
      <c r="R14" s="685" t="s">
        <v>227</v>
      </c>
      <c r="S14" s="2504">
        <v>300000</v>
      </c>
      <c r="T14" s="684" t="s">
        <v>37</v>
      </c>
      <c r="U14" s="684"/>
      <c r="V14" s="684">
        <v>11</v>
      </c>
      <c r="W14" s="684" t="s">
        <v>228</v>
      </c>
      <c r="X14" s="684" t="s">
        <v>489</v>
      </c>
      <c r="Y14" s="2234">
        <f t="shared" si="1"/>
        <v>6600</v>
      </c>
      <c r="Z14" s="868">
        <f>Q14*S14*V14</f>
        <v>6600000</v>
      </c>
      <c r="AA14" s="433">
        <f t="shared" si="0"/>
        <v>0</v>
      </c>
      <c r="AB14" s="449"/>
    </row>
    <row r="15" spans="1:29" ht="22.5" customHeight="1">
      <c r="A15" s="2489"/>
      <c r="B15" s="2117"/>
      <c r="C15" s="675"/>
      <c r="D15" s="675"/>
      <c r="E15" s="675"/>
      <c r="F15" s="1261"/>
      <c r="G15" s="1261"/>
      <c r="H15" s="1239"/>
      <c r="I15" s="2060"/>
      <c r="J15" s="2501" t="s">
        <v>1368</v>
      </c>
      <c r="K15" s="685"/>
      <c r="L15" s="685"/>
      <c r="M15" s="685"/>
      <c r="N15" s="685"/>
      <c r="O15" s="685"/>
      <c r="P15" s="685"/>
      <c r="Q15" s="684">
        <v>13</v>
      </c>
      <c r="R15" s="685" t="s">
        <v>227</v>
      </c>
      <c r="S15" s="2502">
        <v>2230769.230769231</v>
      </c>
      <c r="T15" s="684" t="s">
        <v>37</v>
      </c>
      <c r="U15" s="684"/>
      <c r="V15" s="1678">
        <v>1</v>
      </c>
      <c r="W15" s="684" t="s">
        <v>226</v>
      </c>
      <c r="X15" s="686" t="s">
        <v>489</v>
      </c>
      <c r="Y15" s="2234">
        <f t="shared" si="1"/>
        <v>29000.000000000004</v>
      </c>
      <c r="Z15" s="868">
        <f>Q15*S15*V15</f>
        <v>29000000.000000004</v>
      </c>
      <c r="AA15" s="433">
        <f t="shared" si="0"/>
        <v>0</v>
      </c>
      <c r="AC15" s="463"/>
    </row>
    <row r="16" spans="1:29" ht="22.5" customHeight="1">
      <c r="A16" s="2489"/>
      <c r="B16" s="2117"/>
      <c r="C16" s="2505"/>
      <c r="D16" s="675"/>
      <c r="E16" s="1191" t="s">
        <v>601</v>
      </c>
      <c r="F16" s="2061">
        <f>Y16</f>
        <v>91500</v>
      </c>
      <c r="G16" s="2061">
        <v>91500</v>
      </c>
      <c r="H16" s="933"/>
      <c r="I16" s="2060"/>
      <c r="J16" s="1074" t="s">
        <v>1668</v>
      </c>
      <c r="K16" s="2110"/>
      <c r="L16" s="2110"/>
      <c r="M16" s="2110"/>
      <c r="N16" s="2110"/>
      <c r="O16" s="2094"/>
      <c r="P16" s="2110"/>
      <c r="Q16" s="2110"/>
      <c r="R16" s="2499"/>
      <c r="S16" s="2498">
        <f>+Z11+Z13</f>
        <v>732000000</v>
      </c>
      <c r="T16" s="2499" t="s">
        <v>725</v>
      </c>
      <c r="U16" s="2094">
        <v>12</v>
      </c>
      <c r="V16" s="938" t="s">
        <v>724</v>
      </c>
      <c r="W16" s="2506">
        <v>1.5</v>
      </c>
      <c r="X16" s="2112" t="s">
        <v>38</v>
      </c>
      <c r="Y16" s="2470">
        <f t="shared" si="1"/>
        <v>91500</v>
      </c>
      <c r="Z16" s="993">
        <f>(S16/12)*W16</f>
        <v>91500000</v>
      </c>
      <c r="AA16" s="433">
        <f t="shared" si="0"/>
        <v>91500000000</v>
      </c>
    </row>
    <row r="17" spans="1:28" ht="22.5" customHeight="1">
      <c r="A17" s="2489"/>
      <c r="B17" s="2117"/>
      <c r="C17" s="2505"/>
      <c r="D17" s="675"/>
      <c r="E17" s="2507" t="s">
        <v>718</v>
      </c>
      <c r="F17" s="1423">
        <f>Y17</f>
        <v>86200</v>
      </c>
      <c r="G17" s="1423">
        <v>86200</v>
      </c>
      <c r="H17" s="942"/>
      <c r="I17" s="2060"/>
      <c r="J17" s="2501" t="s">
        <v>224</v>
      </c>
      <c r="K17" s="709"/>
      <c r="L17" s="709"/>
      <c r="M17" s="709"/>
      <c r="N17" s="709"/>
      <c r="O17" s="993"/>
      <c r="P17" s="917"/>
      <c r="Q17" s="993"/>
      <c r="R17" s="2508"/>
      <c r="S17" s="2478"/>
      <c r="T17" s="1678"/>
      <c r="U17" s="993"/>
      <c r="V17" s="709"/>
      <c r="W17" s="2509"/>
      <c r="X17" s="731"/>
      <c r="Y17" s="2234">
        <f t="shared" si="1"/>
        <v>86200</v>
      </c>
      <c r="Z17" s="736">
        <f>SUM(Z18:Z19)</f>
        <v>86200000</v>
      </c>
      <c r="AA17" s="433">
        <f t="shared" si="0"/>
        <v>86200000000</v>
      </c>
    </row>
    <row r="18" spans="1:28" ht="22.5" customHeight="1">
      <c r="A18" s="2489"/>
      <c r="B18" s="2117"/>
      <c r="C18" s="675"/>
      <c r="D18" s="675"/>
      <c r="E18" s="675"/>
      <c r="F18" s="1261"/>
      <c r="G18" s="1261"/>
      <c r="H18" s="1239"/>
      <c r="I18" s="2060"/>
      <c r="J18" s="2501" t="s">
        <v>835</v>
      </c>
      <c r="K18" s="682"/>
      <c r="L18" s="682"/>
      <c r="M18" s="682"/>
      <c r="N18" s="709"/>
      <c r="O18" s="709"/>
      <c r="P18" s="709"/>
      <c r="Q18" s="1038"/>
      <c r="R18" s="917"/>
      <c r="S18" s="2502">
        <f>S16</f>
        <v>732000000</v>
      </c>
      <c r="T18" s="684" t="s">
        <v>0</v>
      </c>
      <c r="U18" s="709"/>
      <c r="V18" s="1262">
        <v>0.1</v>
      </c>
      <c r="W18" s="684"/>
      <c r="X18" s="686" t="s">
        <v>1</v>
      </c>
      <c r="Y18" s="2234">
        <f t="shared" si="1"/>
        <v>73200</v>
      </c>
      <c r="Z18" s="684">
        <f>S18*V18</f>
        <v>73200000</v>
      </c>
      <c r="AA18" s="433">
        <f t="shared" si="0"/>
        <v>0</v>
      </c>
    </row>
    <row r="19" spans="1:28" ht="22.5" customHeight="1">
      <c r="A19" s="2489"/>
      <c r="B19" s="2117"/>
      <c r="C19" s="675"/>
      <c r="D19" s="675"/>
      <c r="E19" s="675"/>
      <c r="F19" s="1261"/>
      <c r="G19" s="1261"/>
      <c r="H19" s="1239"/>
      <c r="I19" s="2060"/>
      <c r="J19" s="2510" t="s">
        <v>1694</v>
      </c>
      <c r="K19" s="2043"/>
      <c r="L19" s="2043"/>
      <c r="M19" s="2043"/>
      <c r="N19" s="1093"/>
      <c r="O19" s="1093"/>
      <c r="P19" s="1093"/>
      <c r="Q19" s="2511"/>
      <c r="R19" s="2114"/>
      <c r="S19" s="2512">
        <v>1000000</v>
      </c>
      <c r="T19" s="2045" t="s">
        <v>0</v>
      </c>
      <c r="U19" s="1093"/>
      <c r="V19" s="2045">
        <v>13</v>
      </c>
      <c r="W19" s="2045" t="s">
        <v>28</v>
      </c>
      <c r="X19" s="2047" t="s">
        <v>1</v>
      </c>
      <c r="Y19" s="2513">
        <f t="shared" si="1"/>
        <v>13000</v>
      </c>
      <c r="Z19" s="684">
        <f>ROUNDUP(S19*V19,-3)</f>
        <v>13000000</v>
      </c>
      <c r="AA19" s="433">
        <f t="shared" si="0"/>
        <v>0</v>
      </c>
    </row>
    <row r="20" spans="1:28" ht="22.5" customHeight="1">
      <c r="A20" s="2489"/>
      <c r="B20" s="2117"/>
      <c r="C20" s="675"/>
      <c r="D20" s="3955" t="s">
        <v>486</v>
      </c>
      <c r="E20" s="3883"/>
      <c r="F20" s="1479">
        <f>SUM(F21,F25,F26,F60,F27,F31,F34,F40,F51,F54,F48,F63,F67,F72,F76,F79,F84)</f>
        <v>269100</v>
      </c>
      <c r="G20" s="1479">
        <f>SUM(G21,G25,G26,G60,G27,G31,G34,G40,G51,G54,G48,G63,G67,G72,G76,G79,G84)</f>
        <v>269100</v>
      </c>
      <c r="H20" s="933">
        <f>+F20-G20</f>
        <v>0</v>
      </c>
      <c r="I20" s="2060"/>
      <c r="J20" s="1233"/>
      <c r="K20" s="2112"/>
      <c r="L20" s="2112"/>
      <c r="M20" s="2112"/>
      <c r="N20" s="2112"/>
      <c r="O20" s="2112"/>
      <c r="P20" s="1033"/>
      <c r="Q20" s="2112"/>
      <c r="R20" s="2514"/>
      <c r="S20" s="2498"/>
      <c r="T20" s="2514"/>
      <c r="U20" s="2112"/>
      <c r="V20" s="1033"/>
      <c r="W20" s="2112"/>
      <c r="X20" s="2112"/>
      <c r="Y20" s="940"/>
      <c r="Z20" s="736"/>
      <c r="AA20" s="433">
        <f t="shared" si="0"/>
        <v>269100000000</v>
      </c>
    </row>
    <row r="21" spans="1:28" s="438" customFormat="1" ht="22.5" customHeight="1">
      <c r="A21" s="2489"/>
      <c r="B21" s="2117"/>
      <c r="C21" s="675"/>
      <c r="D21" s="675"/>
      <c r="E21" s="1034" t="s">
        <v>723</v>
      </c>
      <c r="F21" s="1423">
        <f>+Y21</f>
        <v>23900</v>
      </c>
      <c r="G21" s="1423">
        <v>23900</v>
      </c>
      <c r="H21" s="942"/>
      <c r="I21" s="2060"/>
      <c r="J21" s="2515" t="s">
        <v>224</v>
      </c>
      <c r="K21" s="1035"/>
      <c r="L21" s="1035"/>
      <c r="M21" s="1035"/>
      <c r="N21" s="1035"/>
      <c r="O21" s="1035"/>
      <c r="P21" s="1194"/>
      <c r="Q21" s="1035"/>
      <c r="R21" s="2516"/>
      <c r="S21" s="2517"/>
      <c r="T21" s="2516"/>
      <c r="U21" s="1035"/>
      <c r="V21" s="1194"/>
      <c r="W21" s="1035"/>
      <c r="X21" s="1035"/>
      <c r="Y21" s="871">
        <f>+Z21/1000</f>
        <v>23900</v>
      </c>
      <c r="Z21" s="736">
        <f>SUM(Z22:Z24)</f>
        <v>23900000</v>
      </c>
      <c r="AA21" s="433">
        <f t="shared" si="0"/>
        <v>23900000000</v>
      </c>
      <c r="AB21" s="449"/>
    </row>
    <row r="22" spans="1:28" s="479" customFormat="1" ht="22.5" customHeight="1">
      <c r="A22" s="2489"/>
      <c r="B22" s="2117"/>
      <c r="C22" s="675"/>
      <c r="D22" s="675"/>
      <c r="E22" s="675"/>
      <c r="F22" s="1261"/>
      <c r="G22" s="1261"/>
      <c r="H22" s="1239"/>
      <c r="I22" s="2060"/>
      <c r="J22" s="791" t="s">
        <v>1031</v>
      </c>
      <c r="K22" s="709"/>
      <c r="L22" s="709"/>
      <c r="M22" s="709"/>
      <c r="N22" s="709"/>
      <c r="O22" s="709"/>
      <c r="P22" s="736"/>
      <c r="Q22" s="709"/>
      <c r="R22" s="1678"/>
      <c r="S22" s="2518">
        <v>120000</v>
      </c>
      <c r="T22" s="1678" t="s">
        <v>56</v>
      </c>
      <c r="U22" s="709"/>
      <c r="V22" s="1678">
        <v>25</v>
      </c>
      <c r="W22" s="709" t="s">
        <v>28</v>
      </c>
      <c r="X22" s="709" t="s">
        <v>1</v>
      </c>
      <c r="Y22" s="871">
        <f>Z22/1000</f>
        <v>3000</v>
      </c>
      <c r="Z22" s="736">
        <f>S22*V22</f>
        <v>3000000</v>
      </c>
      <c r="AA22" s="433">
        <f t="shared" si="0"/>
        <v>0</v>
      </c>
      <c r="AB22" s="480"/>
    </row>
    <row r="23" spans="1:28" s="479" customFormat="1" ht="22.5" customHeight="1">
      <c r="A23" s="2489"/>
      <c r="B23" s="2117"/>
      <c r="C23" s="675"/>
      <c r="D23" s="675"/>
      <c r="E23" s="675"/>
      <c r="F23" s="1261"/>
      <c r="G23" s="1261"/>
      <c r="H23" s="1239"/>
      <c r="I23" s="2060"/>
      <c r="J23" s="866" t="s">
        <v>3507</v>
      </c>
      <c r="K23" s="867"/>
      <c r="L23" s="867"/>
      <c r="M23" s="867"/>
      <c r="N23" s="868"/>
      <c r="O23" s="867"/>
      <c r="P23" s="867"/>
      <c r="Q23" s="869"/>
      <c r="R23" s="1524"/>
      <c r="S23" s="1671">
        <v>150000</v>
      </c>
      <c r="T23" s="709" t="s">
        <v>3508</v>
      </c>
      <c r="U23" s="709"/>
      <c r="V23" s="1678">
        <v>38</v>
      </c>
      <c r="W23" s="709" t="s">
        <v>3509</v>
      </c>
      <c r="X23" s="709" t="s">
        <v>3510</v>
      </c>
      <c r="Y23" s="871">
        <f>Z23/1000</f>
        <v>5700</v>
      </c>
      <c r="Z23" s="736">
        <f>S23*V23</f>
        <v>5700000</v>
      </c>
      <c r="AA23" s="433">
        <f t="shared" si="0"/>
        <v>0</v>
      </c>
      <c r="AB23" s="480"/>
    </row>
    <row r="24" spans="1:28" s="479" customFormat="1" ht="22.5" customHeight="1">
      <c r="A24" s="2489"/>
      <c r="B24" s="2117"/>
      <c r="C24" s="675"/>
      <c r="D24" s="675"/>
      <c r="E24" s="675"/>
      <c r="F24" s="1261"/>
      <c r="G24" s="1261"/>
      <c r="H24" s="1239"/>
      <c r="I24" s="2060"/>
      <c r="J24" s="866" t="s">
        <v>3511</v>
      </c>
      <c r="K24" s="867"/>
      <c r="L24" s="867"/>
      <c r="M24" s="867"/>
      <c r="N24" s="868"/>
      <c r="O24" s="867"/>
      <c r="P24" s="867"/>
      <c r="Q24" s="869"/>
      <c r="R24" s="1524"/>
      <c r="S24" s="1671">
        <v>400000</v>
      </c>
      <c r="T24" s="709" t="s">
        <v>3508</v>
      </c>
      <c r="U24" s="709"/>
      <c r="V24" s="1678">
        <v>38</v>
      </c>
      <c r="W24" s="709" t="s">
        <v>3509</v>
      </c>
      <c r="X24" s="709" t="s">
        <v>3510</v>
      </c>
      <c r="Y24" s="871">
        <f>Z24/1000</f>
        <v>15200</v>
      </c>
      <c r="Z24" s="736">
        <f>S24*V24</f>
        <v>15200000</v>
      </c>
      <c r="AA24" s="433">
        <f t="shared" si="0"/>
        <v>0</v>
      </c>
      <c r="AB24" s="480"/>
    </row>
    <row r="25" spans="1:28" s="479" customFormat="1" ht="22.5" customHeight="1">
      <c r="A25" s="2489"/>
      <c r="B25" s="2117"/>
      <c r="C25" s="675"/>
      <c r="D25" s="675"/>
      <c r="E25" s="1191" t="s">
        <v>3512</v>
      </c>
      <c r="F25" s="2061">
        <f>+Y25</f>
        <v>1300</v>
      </c>
      <c r="G25" s="2061">
        <v>1300</v>
      </c>
      <c r="H25" s="933"/>
      <c r="I25" s="2060"/>
      <c r="J25" s="1209" t="s">
        <v>3513</v>
      </c>
      <c r="K25" s="1009"/>
      <c r="L25" s="1009"/>
      <c r="M25" s="1009"/>
      <c r="N25" s="1010"/>
      <c r="O25" s="1009"/>
      <c r="P25" s="1009"/>
      <c r="Q25" s="2175">
        <v>13</v>
      </c>
      <c r="R25" s="2519" t="s">
        <v>25</v>
      </c>
      <c r="S25" s="2520">
        <v>100000</v>
      </c>
      <c r="T25" s="2519" t="s">
        <v>0</v>
      </c>
      <c r="U25" s="1009"/>
      <c r="V25" s="1009">
        <v>1</v>
      </c>
      <c r="W25" s="1009" t="s">
        <v>3</v>
      </c>
      <c r="X25" s="1009" t="s">
        <v>1</v>
      </c>
      <c r="Y25" s="965">
        <f t="shared" ref="Y25:Y84" si="2">+Z25/1000</f>
        <v>1300</v>
      </c>
      <c r="Z25" s="867">
        <f>Q25*S25*V25</f>
        <v>1300000</v>
      </c>
      <c r="AA25" s="433">
        <f t="shared" si="0"/>
        <v>1300000000</v>
      </c>
      <c r="AB25" s="480"/>
    </row>
    <row r="26" spans="1:28" s="491" customFormat="1" ht="22.5" customHeight="1">
      <c r="A26" s="2489"/>
      <c r="B26" s="2117"/>
      <c r="C26" s="675"/>
      <c r="D26" s="675"/>
      <c r="E26" s="1191" t="s">
        <v>3514</v>
      </c>
      <c r="F26" s="2061">
        <f>+Y26</f>
        <v>300</v>
      </c>
      <c r="G26" s="2061">
        <v>300</v>
      </c>
      <c r="H26" s="933"/>
      <c r="I26" s="2060"/>
      <c r="J26" s="1074" t="s">
        <v>3515</v>
      </c>
      <c r="K26" s="2094"/>
      <c r="L26" s="2094"/>
      <c r="M26" s="2094"/>
      <c r="N26" s="2094"/>
      <c r="O26" s="2094"/>
      <c r="P26" s="1075"/>
      <c r="Q26" s="2521"/>
      <c r="R26" s="2499"/>
      <c r="S26" s="2498">
        <v>100000</v>
      </c>
      <c r="T26" s="2499" t="s">
        <v>56</v>
      </c>
      <c r="U26" s="1259"/>
      <c r="V26" s="1063">
        <v>3</v>
      </c>
      <c r="W26" s="2094" t="s">
        <v>3516</v>
      </c>
      <c r="X26" s="1994" t="s">
        <v>3517</v>
      </c>
      <c r="Y26" s="965">
        <f t="shared" si="2"/>
        <v>300</v>
      </c>
      <c r="Z26" s="867">
        <f>S26*V26</f>
        <v>300000</v>
      </c>
      <c r="AA26" s="433">
        <f t="shared" si="0"/>
        <v>300000000</v>
      </c>
      <c r="AB26" s="492"/>
    </row>
    <row r="27" spans="1:28" s="491" customFormat="1" ht="22.5" customHeight="1">
      <c r="A27" s="2489"/>
      <c r="B27" s="2117"/>
      <c r="C27" s="675"/>
      <c r="D27" s="675"/>
      <c r="E27" s="675" t="s">
        <v>3518</v>
      </c>
      <c r="F27" s="1261">
        <f>+Y27</f>
        <v>10000</v>
      </c>
      <c r="G27" s="1261">
        <v>10000</v>
      </c>
      <c r="H27" s="1239"/>
      <c r="I27" s="2060"/>
      <c r="J27" s="791" t="s">
        <v>3519</v>
      </c>
      <c r="K27" s="709"/>
      <c r="L27" s="709"/>
      <c r="M27" s="709"/>
      <c r="N27" s="709"/>
      <c r="O27" s="709"/>
      <c r="P27" s="736"/>
      <c r="Q27" s="709"/>
      <c r="R27" s="1678"/>
      <c r="S27" s="2478"/>
      <c r="T27" s="1678"/>
      <c r="U27" s="709"/>
      <c r="V27" s="736"/>
      <c r="W27" s="709"/>
      <c r="X27" s="709"/>
      <c r="Y27" s="871">
        <f t="shared" si="2"/>
        <v>10000</v>
      </c>
      <c r="Z27" s="736">
        <f>SUM(Z28:Z30)</f>
        <v>10000000</v>
      </c>
      <c r="AA27" s="433">
        <f t="shared" si="0"/>
        <v>10000000000</v>
      </c>
      <c r="AB27" s="492"/>
    </row>
    <row r="28" spans="1:28" s="491" customFormat="1" ht="22.5" customHeight="1">
      <c r="A28" s="2489"/>
      <c r="B28" s="2117"/>
      <c r="C28" s="675"/>
      <c r="D28" s="675"/>
      <c r="E28" s="675"/>
      <c r="F28" s="1261"/>
      <c r="G28" s="1261"/>
      <c r="H28" s="1239"/>
      <c r="I28" s="2060"/>
      <c r="J28" s="791" t="s">
        <v>3520</v>
      </c>
      <c r="K28" s="709"/>
      <c r="L28" s="709"/>
      <c r="M28" s="709"/>
      <c r="N28" s="709"/>
      <c r="O28" s="709"/>
      <c r="P28" s="683"/>
      <c r="Q28" s="683"/>
      <c r="R28" s="2522"/>
      <c r="S28" s="2523">
        <v>100000</v>
      </c>
      <c r="T28" s="684" t="s">
        <v>3508</v>
      </c>
      <c r="U28" s="709"/>
      <c r="V28" s="684">
        <v>2</v>
      </c>
      <c r="W28" s="709" t="s">
        <v>3521</v>
      </c>
      <c r="X28" s="2509" t="s">
        <v>3517</v>
      </c>
      <c r="Y28" s="871">
        <f t="shared" si="2"/>
        <v>200</v>
      </c>
      <c r="Z28" s="736">
        <f>+S28*V28</f>
        <v>200000</v>
      </c>
      <c r="AA28" s="433">
        <f t="shared" si="0"/>
        <v>0</v>
      </c>
      <c r="AB28" s="492"/>
    </row>
    <row r="29" spans="1:28" s="491" customFormat="1" ht="22.5" customHeight="1">
      <c r="A29" s="2489"/>
      <c r="B29" s="2117"/>
      <c r="C29" s="675"/>
      <c r="D29" s="675"/>
      <c r="E29" s="675"/>
      <c r="F29" s="1261"/>
      <c r="G29" s="1261"/>
      <c r="H29" s="1239"/>
      <c r="I29" s="2060"/>
      <c r="J29" s="791" t="s">
        <v>3522</v>
      </c>
      <c r="K29" s="709"/>
      <c r="L29" s="709"/>
      <c r="M29" s="709"/>
      <c r="N29" s="709"/>
      <c r="O29" s="709"/>
      <c r="P29" s="683"/>
      <c r="Q29" s="683"/>
      <c r="R29" s="2522"/>
      <c r="S29" s="2523">
        <v>250000</v>
      </c>
      <c r="T29" s="684" t="s">
        <v>3508</v>
      </c>
      <c r="U29" s="709"/>
      <c r="V29" s="684">
        <v>20</v>
      </c>
      <c r="W29" s="709" t="s">
        <v>3523</v>
      </c>
      <c r="X29" s="2509" t="s">
        <v>3517</v>
      </c>
      <c r="Y29" s="871">
        <f t="shared" si="2"/>
        <v>5000</v>
      </c>
      <c r="Z29" s="736">
        <f>+S29*V29</f>
        <v>5000000</v>
      </c>
      <c r="AA29" s="433">
        <f t="shared" si="0"/>
        <v>0</v>
      </c>
      <c r="AB29" s="492"/>
    </row>
    <row r="30" spans="1:28" s="479" customFormat="1" ht="22.5" customHeight="1">
      <c r="A30" s="2489"/>
      <c r="B30" s="2117"/>
      <c r="C30" s="675"/>
      <c r="D30" s="675"/>
      <c r="E30" s="675"/>
      <c r="F30" s="1261"/>
      <c r="G30" s="1261"/>
      <c r="H30" s="1239"/>
      <c r="I30" s="2060"/>
      <c r="J30" s="791" t="s">
        <v>3524</v>
      </c>
      <c r="K30" s="709"/>
      <c r="L30" s="709"/>
      <c r="M30" s="709"/>
      <c r="N30" s="709"/>
      <c r="O30" s="709"/>
      <c r="P30" s="683"/>
      <c r="Q30" s="683"/>
      <c r="R30" s="2522"/>
      <c r="S30" s="2478">
        <v>400000</v>
      </c>
      <c r="T30" s="1678" t="s">
        <v>3508</v>
      </c>
      <c r="U30" s="683"/>
      <c r="V30" s="730">
        <v>12</v>
      </c>
      <c r="W30" s="709" t="s">
        <v>3525</v>
      </c>
      <c r="X30" s="2509" t="s">
        <v>3517</v>
      </c>
      <c r="Y30" s="981">
        <f t="shared" si="2"/>
        <v>4800</v>
      </c>
      <c r="Z30" s="736">
        <f>+S30*V30</f>
        <v>4800000</v>
      </c>
      <c r="AA30" s="433">
        <f t="shared" si="0"/>
        <v>0</v>
      </c>
      <c r="AB30" s="480"/>
    </row>
    <row r="31" spans="1:28" s="479" customFormat="1" ht="22.5" customHeight="1">
      <c r="A31" s="2489"/>
      <c r="B31" s="2117"/>
      <c r="C31" s="675"/>
      <c r="D31" s="676"/>
      <c r="E31" s="2223" t="s">
        <v>3526</v>
      </c>
      <c r="F31" s="1423">
        <f>+Y31</f>
        <v>8400</v>
      </c>
      <c r="G31" s="1423">
        <v>8400</v>
      </c>
      <c r="H31" s="942"/>
      <c r="I31" s="2060"/>
      <c r="J31" s="3980" t="s">
        <v>3519</v>
      </c>
      <c r="K31" s="3981"/>
      <c r="L31" s="3981"/>
      <c r="M31" s="3981"/>
      <c r="N31" s="3981"/>
      <c r="O31" s="3981"/>
      <c r="P31" s="1194"/>
      <c r="Q31" s="1035"/>
      <c r="R31" s="2516"/>
      <c r="S31" s="2517"/>
      <c r="T31" s="2516"/>
      <c r="U31" s="1035"/>
      <c r="V31" s="1194"/>
      <c r="W31" s="1035"/>
      <c r="X31" s="1035"/>
      <c r="Y31" s="861">
        <f t="shared" si="2"/>
        <v>8400</v>
      </c>
      <c r="Z31" s="736">
        <f>SUM(Z32:Z33)</f>
        <v>8400000</v>
      </c>
      <c r="AA31" s="433">
        <f t="shared" si="0"/>
        <v>8400000000</v>
      </c>
      <c r="AB31" s="480"/>
    </row>
    <row r="32" spans="1:28" s="479" customFormat="1" ht="22.5" customHeight="1">
      <c r="A32" s="2489"/>
      <c r="B32" s="2117"/>
      <c r="C32" s="675"/>
      <c r="D32" s="676"/>
      <c r="E32" s="676"/>
      <c r="F32" s="1261"/>
      <c r="G32" s="1261"/>
      <c r="H32" s="1239"/>
      <c r="I32" s="2060"/>
      <c r="J32" s="791" t="s">
        <v>3527</v>
      </c>
      <c r="K32" s="917"/>
      <c r="L32" s="917"/>
      <c r="M32" s="917"/>
      <c r="N32" s="709"/>
      <c r="O32" s="709"/>
      <c r="P32" s="736"/>
      <c r="Q32" s="709"/>
      <c r="R32" s="2522"/>
      <c r="S32" s="2478">
        <v>100000</v>
      </c>
      <c r="T32" s="1678" t="s">
        <v>3508</v>
      </c>
      <c r="U32" s="709"/>
      <c r="V32" s="730">
        <v>12</v>
      </c>
      <c r="W32" s="709" t="s">
        <v>3525</v>
      </c>
      <c r="X32" s="2509" t="s">
        <v>3517</v>
      </c>
      <c r="Y32" s="871">
        <f t="shared" si="2"/>
        <v>1200</v>
      </c>
      <c r="Z32" s="736">
        <f>S32*V32</f>
        <v>1200000</v>
      </c>
      <c r="AA32" s="433">
        <f t="shared" si="0"/>
        <v>0</v>
      </c>
      <c r="AB32" s="480"/>
    </row>
    <row r="33" spans="1:28" s="479" customFormat="1" ht="22.5" customHeight="1">
      <c r="A33" s="2489"/>
      <c r="B33" s="2117"/>
      <c r="C33" s="675"/>
      <c r="D33" s="675"/>
      <c r="E33" s="970"/>
      <c r="F33" s="1385"/>
      <c r="G33" s="1385"/>
      <c r="H33" s="1208"/>
      <c r="I33" s="2060"/>
      <c r="J33" s="1115" t="s">
        <v>3528</v>
      </c>
      <c r="K33" s="1093"/>
      <c r="L33" s="1093"/>
      <c r="M33" s="1093"/>
      <c r="N33" s="1093"/>
      <c r="O33" s="1093"/>
      <c r="P33" s="1116"/>
      <c r="Q33" s="1019">
        <v>2</v>
      </c>
      <c r="R33" s="2524" t="s">
        <v>3529</v>
      </c>
      <c r="S33" s="2494">
        <v>300000</v>
      </c>
      <c r="T33" s="2495" t="s">
        <v>3508</v>
      </c>
      <c r="U33" s="1093"/>
      <c r="V33" s="1094">
        <v>12</v>
      </c>
      <c r="W33" s="1093" t="s">
        <v>3525</v>
      </c>
      <c r="X33" s="2525" t="s">
        <v>3517</v>
      </c>
      <c r="Y33" s="981">
        <f t="shared" si="2"/>
        <v>7200</v>
      </c>
      <c r="Z33" s="736">
        <f>S33*V33*Q33</f>
        <v>7200000</v>
      </c>
      <c r="AA33" s="433">
        <f t="shared" si="0"/>
        <v>0</v>
      </c>
      <c r="AB33" s="480"/>
    </row>
    <row r="34" spans="1:28" s="479" customFormat="1" ht="22.5" customHeight="1">
      <c r="A34" s="2489"/>
      <c r="B34" s="2117"/>
      <c r="C34" s="675"/>
      <c r="D34" s="675"/>
      <c r="E34" s="675" t="s">
        <v>3530</v>
      </c>
      <c r="F34" s="1261">
        <f>+Y34</f>
        <v>115200</v>
      </c>
      <c r="G34" s="1261">
        <v>115200</v>
      </c>
      <c r="H34" s="942"/>
      <c r="I34" s="2060"/>
      <c r="J34" s="791" t="s">
        <v>3519</v>
      </c>
      <c r="K34" s="709"/>
      <c r="L34" s="709"/>
      <c r="M34" s="709"/>
      <c r="N34" s="709"/>
      <c r="O34" s="709"/>
      <c r="P34" s="736"/>
      <c r="Q34" s="709"/>
      <c r="R34" s="1678"/>
      <c r="S34" s="2478"/>
      <c r="T34" s="1678"/>
      <c r="U34" s="709"/>
      <c r="V34" s="736"/>
      <c r="W34" s="709"/>
      <c r="X34" s="709"/>
      <c r="Y34" s="861">
        <f t="shared" si="2"/>
        <v>115200</v>
      </c>
      <c r="Z34" s="736">
        <f>SUM(Z35:Z39)</f>
        <v>115200000</v>
      </c>
      <c r="AA34" s="433">
        <f t="shared" si="0"/>
        <v>115200000000</v>
      </c>
      <c r="AB34" s="480"/>
    </row>
    <row r="35" spans="1:28" s="491" customFormat="1" ht="22.5" customHeight="1">
      <c r="A35" s="2489"/>
      <c r="B35" s="2117"/>
      <c r="C35" s="675"/>
      <c r="D35" s="675"/>
      <c r="E35" s="675"/>
      <c r="F35" s="1261"/>
      <c r="G35" s="1261"/>
      <c r="H35" s="1239"/>
      <c r="I35" s="2060"/>
      <c r="J35" s="673" t="s">
        <v>3531</v>
      </c>
      <c r="K35" s="917"/>
      <c r="L35" s="917"/>
      <c r="M35" s="917"/>
      <c r="N35" s="917"/>
      <c r="O35" s="683"/>
      <c r="P35" s="683"/>
      <c r="Q35" s="683"/>
      <c r="R35" s="2522"/>
      <c r="S35" s="2478">
        <v>40000</v>
      </c>
      <c r="T35" s="1678" t="s">
        <v>3508</v>
      </c>
      <c r="U35" s="683"/>
      <c r="V35" s="730">
        <v>20</v>
      </c>
      <c r="W35" s="709" t="s">
        <v>3523</v>
      </c>
      <c r="X35" s="2509" t="s">
        <v>3517</v>
      </c>
      <c r="Y35" s="871">
        <f t="shared" si="2"/>
        <v>800</v>
      </c>
      <c r="Z35" s="736">
        <f>+S35*V35</f>
        <v>800000</v>
      </c>
      <c r="AA35" s="433">
        <f t="shared" si="0"/>
        <v>0</v>
      </c>
      <c r="AB35" s="492"/>
    </row>
    <row r="36" spans="1:28" s="491" customFormat="1" ht="22.5" customHeight="1">
      <c r="A36" s="2489"/>
      <c r="B36" s="2117"/>
      <c r="C36" s="675"/>
      <c r="D36" s="675"/>
      <c r="E36" s="675"/>
      <c r="F36" s="1261"/>
      <c r="G36" s="1261"/>
      <c r="H36" s="1239"/>
      <c r="I36" s="2060"/>
      <c r="J36" s="673" t="s">
        <v>3532</v>
      </c>
      <c r="K36" s="917"/>
      <c r="L36" s="917"/>
      <c r="M36" s="917"/>
      <c r="N36" s="917"/>
      <c r="O36" s="683"/>
      <c r="P36" s="683"/>
      <c r="Q36" s="683"/>
      <c r="R36" s="2522"/>
      <c r="S36" s="2478">
        <v>20000</v>
      </c>
      <c r="T36" s="1678" t="s">
        <v>3508</v>
      </c>
      <c r="U36" s="683"/>
      <c r="V36" s="730">
        <v>20</v>
      </c>
      <c r="W36" s="709" t="s">
        <v>3523</v>
      </c>
      <c r="X36" s="2509" t="s">
        <v>3517</v>
      </c>
      <c r="Y36" s="871">
        <f t="shared" si="2"/>
        <v>400</v>
      </c>
      <c r="Z36" s="736">
        <f>+S36*V36</f>
        <v>400000</v>
      </c>
      <c r="AA36" s="433">
        <f t="shared" si="0"/>
        <v>0</v>
      </c>
      <c r="AB36" s="492"/>
    </row>
    <row r="37" spans="1:28" s="491" customFormat="1" ht="22.5" customHeight="1">
      <c r="A37" s="2489"/>
      <c r="B37" s="2117"/>
      <c r="C37" s="675"/>
      <c r="D37" s="675"/>
      <c r="E37" s="675"/>
      <c r="F37" s="1261"/>
      <c r="G37" s="1261"/>
      <c r="H37" s="1239"/>
      <c r="I37" s="2060"/>
      <c r="J37" s="673" t="s">
        <v>3533</v>
      </c>
      <c r="K37" s="917"/>
      <c r="L37" s="917"/>
      <c r="M37" s="917"/>
      <c r="N37" s="917"/>
      <c r="O37" s="683"/>
      <c r="P37" s="683"/>
      <c r="Q37" s="683"/>
      <c r="R37" s="2522"/>
      <c r="S37" s="2478">
        <v>1000000</v>
      </c>
      <c r="T37" s="1678" t="s">
        <v>3508</v>
      </c>
      <c r="U37" s="683"/>
      <c r="V37" s="730">
        <v>12</v>
      </c>
      <c r="W37" s="709" t="s">
        <v>3534</v>
      </c>
      <c r="X37" s="2509" t="s">
        <v>3517</v>
      </c>
      <c r="Y37" s="871">
        <f t="shared" si="2"/>
        <v>12000</v>
      </c>
      <c r="Z37" s="736">
        <f>+S37*V37</f>
        <v>12000000</v>
      </c>
      <c r="AA37" s="433">
        <f t="shared" si="0"/>
        <v>0</v>
      </c>
      <c r="AB37" s="492"/>
    </row>
    <row r="38" spans="1:28" s="491" customFormat="1" ht="22.5" customHeight="1">
      <c r="A38" s="2489"/>
      <c r="B38" s="2117"/>
      <c r="C38" s="675"/>
      <c r="D38" s="675"/>
      <c r="E38" s="675"/>
      <c r="F38" s="1261"/>
      <c r="G38" s="1261"/>
      <c r="H38" s="1239"/>
      <c r="I38" s="2060"/>
      <c r="J38" s="673" t="s">
        <v>3535</v>
      </c>
      <c r="K38" s="917"/>
      <c r="L38" s="917"/>
      <c r="M38" s="917"/>
      <c r="N38" s="917"/>
      <c r="O38" s="683"/>
      <c r="P38" s="683"/>
      <c r="Q38" s="683"/>
      <c r="R38" s="2522"/>
      <c r="S38" s="2478">
        <v>47500000</v>
      </c>
      <c r="T38" s="1678" t="s">
        <v>3508</v>
      </c>
      <c r="U38" s="683"/>
      <c r="V38" s="730">
        <v>2</v>
      </c>
      <c r="W38" s="709" t="s">
        <v>3534</v>
      </c>
      <c r="X38" s="709" t="s">
        <v>3517</v>
      </c>
      <c r="Y38" s="871">
        <f t="shared" si="2"/>
        <v>95000</v>
      </c>
      <c r="Z38" s="736">
        <f>+S38*V38</f>
        <v>95000000</v>
      </c>
      <c r="AA38" s="433">
        <f t="shared" si="0"/>
        <v>0</v>
      </c>
      <c r="AB38" s="492"/>
    </row>
    <row r="39" spans="1:28" s="491" customFormat="1" ht="22.5" customHeight="1">
      <c r="A39" s="2489"/>
      <c r="B39" s="2117"/>
      <c r="C39" s="675"/>
      <c r="D39" s="675"/>
      <c r="E39" s="675"/>
      <c r="F39" s="1261"/>
      <c r="G39" s="1261"/>
      <c r="H39" s="1239"/>
      <c r="I39" s="2060"/>
      <c r="J39" s="673" t="s">
        <v>3536</v>
      </c>
      <c r="K39" s="917"/>
      <c r="L39" s="917"/>
      <c r="M39" s="917" t="s">
        <v>3537</v>
      </c>
      <c r="N39" s="917"/>
      <c r="O39" s="683"/>
      <c r="P39" s="683"/>
      <c r="Q39" s="736"/>
      <c r="R39" s="1678"/>
      <c r="S39" s="2478">
        <v>7000000</v>
      </c>
      <c r="T39" s="1678" t="s">
        <v>3508</v>
      </c>
      <c r="U39" s="736"/>
      <c r="V39" s="730">
        <v>1</v>
      </c>
      <c r="W39" s="709" t="s">
        <v>3534</v>
      </c>
      <c r="X39" s="2509" t="s">
        <v>3517</v>
      </c>
      <c r="Y39" s="871">
        <f t="shared" si="2"/>
        <v>7000</v>
      </c>
      <c r="Z39" s="736">
        <f>+S39*V39</f>
        <v>7000000</v>
      </c>
      <c r="AA39" s="433">
        <f t="shared" si="0"/>
        <v>0</v>
      </c>
      <c r="AB39" s="492"/>
    </row>
    <row r="40" spans="1:28" s="491" customFormat="1" ht="22.5" customHeight="1">
      <c r="A40" s="2489"/>
      <c r="B40" s="2117"/>
      <c r="C40" s="675"/>
      <c r="D40" s="675"/>
      <c r="E40" s="1034" t="s">
        <v>3538</v>
      </c>
      <c r="F40" s="1423">
        <f>+Y40</f>
        <v>14910</v>
      </c>
      <c r="G40" s="1423">
        <v>14910</v>
      </c>
      <c r="H40" s="942"/>
      <c r="I40" s="2060"/>
      <c r="J40" s="2515" t="s">
        <v>3519</v>
      </c>
      <c r="K40" s="1035"/>
      <c r="L40" s="1035"/>
      <c r="M40" s="1035"/>
      <c r="N40" s="1035"/>
      <c r="O40" s="1035"/>
      <c r="P40" s="1194"/>
      <c r="Q40" s="1035"/>
      <c r="R40" s="2516"/>
      <c r="S40" s="2517"/>
      <c r="T40" s="2516"/>
      <c r="U40" s="1035"/>
      <c r="V40" s="1194"/>
      <c r="W40" s="1035"/>
      <c r="X40" s="1035"/>
      <c r="Y40" s="861">
        <f t="shared" si="2"/>
        <v>14910</v>
      </c>
      <c r="Z40" s="736">
        <f>SUM(Z41:Z47)</f>
        <v>14910000</v>
      </c>
      <c r="AA40" s="433">
        <f t="shared" si="0"/>
        <v>14910000000</v>
      </c>
      <c r="AB40" s="492"/>
    </row>
    <row r="41" spans="1:28" s="491" customFormat="1" ht="22.5" customHeight="1">
      <c r="A41" s="2489"/>
      <c r="B41" s="2117"/>
      <c r="C41" s="675"/>
      <c r="D41" s="675"/>
      <c r="E41" s="675"/>
      <c r="F41" s="1261"/>
      <c r="G41" s="1261"/>
      <c r="H41" s="1239"/>
      <c r="I41" s="2060"/>
      <c r="J41" s="673" t="s">
        <v>3539</v>
      </c>
      <c r="K41" s="917"/>
      <c r="L41" s="917"/>
      <c r="M41" s="917"/>
      <c r="N41" s="917"/>
      <c r="O41" s="917"/>
      <c r="P41" s="683"/>
      <c r="Q41" s="683">
        <v>8</v>
      </c>
      <c r="R41" s="2522" t="s">
        <v>3540</v>
      </c>
      <c r="S41" s="2478">
        <v>25000</v>
      </c>
      <c r="T41" s="1678" t="s">
        <v>3508</v>
      </c>
      <c r="U41" s="736"/>
      <c r="V41" s="709">
        <v>10</v>
      </c>
      <c r="W41" s="709" t="s">
        <v>3516</v>
      </c>
      <c r="X41" s="2509" t="s">
        <v>3517</v>
      </c>
      <c r="Y41" s="871">
        <f t="shared" si="2"/>
        <v>2000</v>
      </c>
      <c r="Z41" s="736">
        <f>Q41*S41*V41</f>
        <v>2000000</v>
      </c>
      <c r="AA41" s="433">
        <f t="shared" si="0"/>
        <v>0</v>
      </c>
      <c r="AB41" s="492"/>
    </row>
    <row r="42" spans="1:28" s="479" customFormat="1" ht="22.5" customHeight="1">
      <c r="A42" s="2489"/>
      <c r="B42" s="2117"/>
      <c r="C42" s="675"/>
      <c r="D42" s="675"/>
      <c r="E42" s="675"/>
      <c r="F42" s="1261"/>
      <c r="G42" s="1261"/>
      <c r="H42" s="1239"/>
      <c r="I42" s="2060"/>
      <c r="J42" s="673" t="s">
        <v>3541</v>
      </c>
      <c r="K42" s="917"/>
      <c r="L42" s="917"/>
      <c r="M42" s="917"/>
      <c r="N42" s="917"/>
      <c r="O42" s="917"/>
      <c r="P42" s="709"/>
      <c r="Q42" s="709">
        <v>2</v>
      </c>
      <c r="R42" s="1678" t="s">
        <v>3542</v>
      </c>
      <c r="S42" s="2478">
        <v>250000</v>
      </c>
      <c r="T42" s="1678" t="s">
        <v>3508</v>
      </c>
      <c r="U42" s="736"/>
      <c r="V42" s="709">
        <v>12</v>
      </c>
      <c r="W42" s="709" t="s">
        <v>3525</v>
      </c>
      <c r="X42" s="709" t="s">
        <v>3517</v>
      </c>
      <c r="Y42" s="871">
        <f t="shared" si="2"/>
        <v>6000</v>
      </c>
      <c r="Z42" s="736">
        <f>Q42*S42*V42</f>
        <v>6000000</v>
      </c>
      <c r="AA42" s="433">
        <f t="shared" si="0"/>
        <v>0</v>
      </c>
      <c r="AB42" s="480"/>
    </row>
    <row r="43" spans="1:28" s="479" customFormat="1" ht="22.5" customHeight="1">
      <c r="A43" s="2489"/>
      <c r="B43" s="2117"/>
      <c r="C43" s="675"/>
      <c r="D43" s="675"/>
      <c r="E43" s="675"/>
      <c r="F43" s="1261"/>
      <c r="G43" s="1261"/>
      <c r="H43" s="1239"/>
      <c r="I43" s="2060"/>
      <c r="J43" s="673" t="s">
        <v>3543</v>
      </c>
      <c r="K43" s="917"/>
      <c r="L43" s="917"/>
      <c r="M43" s="917"/>
      <c r="N43" s="917"/>
      <c r="O43" s="917"/>
      <c r="P43" s="709"/>
      <c r="Q43" s="709">
        <v>30</v>
      </c>
      <c r="R43" s="1678" t="s">
        <v>3544</v>
      </c>
      <c r="S43" s="2478">
        <v>5000</v>
      </c>
      <c r="T43" s="1678" t="s">
        <v>3508</v>
      </c>
      <c r="U43" s="736"/>
      <c r="V43" s="709">
        <v>12</v>
      </c>
      <c r="W43" s="709" t="s">
        <v>3525</v>
      </c>
      <c r="X43" s="709" t="s">
        <v>3517</v>
      </c>
      <c r="Y43" s="871">
        <f t="shared" si="2"/>
        <v>1800</v>
      </c>
      <c r="Z43" s="736">
        <f>Q43*S43*V43</f>
        <v>1800000</v>
      </c>
      <c r="AA43" s="433">
        <f t="shared" si="0"/>
        <v>0</v>
      </c>
      <c r="AB43" s="480"/>
    </row>
    <row r="44" spans="1:28" s="479" customFormat="1" ht="22.5" customHeight="1">
      <c r="A44" s="2489"/>
      <c r="B44" s="2117"/>
      <c r="C44" s="675"/>
      <c r="D44" s="675"/>
      <c r="E44" s="675"/>
      <c r="F44" s="1261"/>
      <c r="G44" s="1261"/>
      <c r="H44" s="1239"/>
      <c r="I44" s="2060"/>
      <c r="J44" s="673" t="s">
        <v>3545</v>
      </c>
      <c r="K44" s="917"/>
      <c r="L44" s="917"/>
      <c r="M44" s="917"/>
      <c r="N44" s="917"/>
      <c r="O44" s="917"/>
      <c r="P44" s="683"/>
      <c r="Q44" s="683"/>
      <c r="R44" s="2522"/>
      <c r="S44" s="2478">
        <v>200000</v>
      </c>
      <c r="T44" s="1678" t="s">
        <v>3508</v>
      </c>
      <c r="U44" s="736"/>
      <c r="V44" s="709">
        <v>5</v>
      </c>
      <c r="W44" s="709" t="s">
        <v>3516</v>
      </c>
      <c r="X44" s="2509" t="s">
        <v>3517</v>
      </c>
      <c r="Y44" s="871">
        <f t="shared" si="2"/>
        <v>1000</v>
      </c>
      <c r="Z44" s="736">
        <f>S44*V44</f>
        <v>1000000</v>
      </c>
      <c r="AA44" s="433">
        <f t="shared" si="0"/>
        <v>0</v>
      </c>
      <c r="AB44" s="480"/>
    </row>
    <row r="45" spans="1:28" s="491" customFormat="1" ht="22.5" customHeight="1">
      <c r="A45" s="2489"/>
      <c r="B45" s="2117"/>
      <c r="C45" s="675"/>
      <c r="D45" s="675"/>
      <c r="E45" s="675"/>
      <c r="F45" s="1261"/>
      <c r="G45" s="1261"/>
      <c r="H45" s="1239"/>
      <c r="I45" s="2060"/>
      <c r="J45" s="673" t="s">
        <v>3546</v>
      </c>
      <c r="K45" s="917"/>
      <c r="L45" s="917"/>
      <c r="M45" s="917"/>
      <c r="N45" s="917"/>
      <c r="O45" s="917"/>
      <c r="P45" s="736"/>
      <c r="Q45" s="709"/>
      <c r="R45" s="1678"/>
      <c r="S45" s="2478">
        <v>150000</v>
      </c>
      <c r="T45" s="1678" t="s">
        <v>3508</v>
      </c>
      <c r="U45" s="736"/>
      <c r="V45" s="2526">
        <v>10</v>
      </c>
      <c r="W45" s="709" t="s">
        <v>3516</v>
      </c>
      <c r="X45" s="709" t="s">
        <v>3517</v>
      </c>
      <c r="Y45" s="871">
        <f t="shared" si="2"/>
        <v>1500</v>
      </c>
      <c r="Z45" s="736">
        <f>S45*V45</f>
        <v>1500000</v>
      </c>
      <c r="AA45" s="433">
        <f t="shared" si="0"/>
        <v>0</v>
      </c>
      <c r="AB45" s="492"/>
    </row>
    <row r="46" spans="1:28" s="491" customFormat="1" ht="22.5" customHeight="1">
      <c r="A46" s="2489"/>
      <c r="B46" s="2117"/>
      <c r="C46" s="675"/>
      <c r="D46" s="675"/>
      <c r="E46" s="675"/>
      <c r="F46" s="1261"/>
      <c r="G46" s="1261"/>
      <c r="H46" s="1239"/>
      <c r="I46" s="2060"/>
      <c r="J46" s="673" t="s">
        <v>3547</v>
      </c>
      <c r="K46" s="917"/>
      <c r="L46" s="917"/>
      <c r="M46" s="917"/>
      <c r="N46" s="917"/>
      <c r="O46" s="917"/>
      <c r="P46" s="736"/>
      <c r="Q46" s="709"/>
      <c r="R46" s="1678"/>
      <c r="S46" s="2478">
        <v>22000</v>
      </c>
      <c r="T46" s="1678" t="s">
        <v>3508</v>
      </c>
      <c r="U46" s="736"/>
      <c r="V46" s="2526">
        <v>5</v>
      </c>
      <c r="W46" s="709" t="s">
        <v>3516</v>
      </c>
      <c r="X46" s="709" t="s">
        <v>3517</v>
      </c>
      <c r="Y46" s="871">
        <f t="shared" si="2"/>
        <v>110</v>
      </c>
      <c r="Z46" s="736">
        <f>S46*V46</f>
        <v>110000</v>
      </c>
      <c r="AA46" s="433">
        <f t="shared" si="0"/>
        <v>0</v>
      </c>
      <c r="AB46" s="492"/>
    </row>
    <row r="47" spans="1:28" s="491" customFormat="1" ht="22.5" customHeight="1">
      <c r="A47" s="2489"/>
      <c r="B47" s="2117"/>
      <c r="C47" s="675"/>
      <c r="D47" s="675"/>
      <c r="E47" s="675"/>
      <c r="F47" s="1261"/>
      <c r="G47" s="1261"/>
      <c r="H47" s="1239"/>
      <c r="I47" s="2060"/>
      <c r="J47" s="673" t="s">
        <v>3548</v>
      </c>
      <c r="K47" s="917"/>
      <c r="L47" s="917"/>
      <c r="M47" s="917"/>
      <c r="N47" s="917"/>
      <c r="O47" s="917"/>
      <c r="P47" s="736"/>
      <c r="Q47" s="709"/>
      <c r="R47" s="1678"/>
      <c r="S47" s="2478">
        <v>250000</v>
      </c>
      <c r="T47" s="1678" t="s">
        <v>3508</v>
      </c>
      <c r="U47" s="736"/>
      <c r="V47" s="2526">
        <v>10</v>
      </c>
      <c r="W47" s="709" t="s">
        <v>3516</v>
      </c>
      <c r="X47" s="709" t="s">
        <v>3517</v>
      </c>
      <c r="Y47" s="871">
        <f t="shared" si="2"/>
        <v>2500</v>
      </c>
      <c r="Z47" s="736">
        <f>S47*V47</f>
        <v>2500000</v>
      </c>
      <c r="AA47" s="433">
        <f t="shared" si="0"/>
        <v>0</v>
      </c>
      <c r="AB47" s="492"/>
    </row>
    <row r="48" spans="1:28" s="491" customFormat="1" ht="22.5" customHeight="1">
      <c r="A48" s="2489"/>
      <c r="B48" s="2117"/>
      <c r="C48" s="675"/>
      <c r="D48" s="675"/>
      <c r="E48" s="2223" t="s">
        <v>3549</v>
      </c>
      <c r="F48" s="1423">
        <f>+Y48</f>
        <v>10799.999999999993</v>
      </c>
      <c r="G48" s="1423">
        <v>10799.999999999993</v>
      </c>
      <c r="H48" s="942"/>
      <c r="I48" s="2060"/>
      <c r="J48" s="3980" t="s">
        <v>3519</v>
      </c>
      <c r="K48" s="3981"/>
      <c r="L48" s="3981"/>
      <c r="M48" s="3981"/>
      <c r="N48" s="3981"/>
      <c r="O48" s="3981"/>
      <c r="P48" s="1194"/>
      <c r="Q48" s="1035"/>
      <c r="R48" s="2516"/>
      <c r="S48" s="2517"/>
      <c r="T48" s="2516"/>
      <c r="U48" s="1035"/>
      <c r="V48" s="1194"/>
      <c r="W48" s="1035"/>
      <c r="X48" s="1035"/>
      <c r="Y48" s="861">
        <f t="shared" si="2"/>
        <v>10799.999999999993</v>
      </c>
      <c r="Z48" s="736">
        <f>SUM(Z49:Z50)</f>
        <v>10799999.999999993</v>
      </c>
      <c r="AA48" s="433">
        <f t="shared" si="0"/>
        <v>10799999999.999992</v>
      </c>
      <c r="AB48" s="492"/>
    </row>
    <row r="49" spans="1:29" s="491" customFormat="1" ht="22.5" customHeight="1">
      <c r="A49" s="2489"/>
      <c r="B49" s="2117"/>
      <c r="C49" s="675"/>
      <c r="D49" s="675"/>
      <c r="E49" s="675"/>
      <c r="F49" s="1261"/>
      <c r="G49" s="1261"/>
      <c r="H49" s="1239"/>
      <c r="I49" s="2060"/>
      <c r="J49" s="791" t="s">
        <v>3550</v>
      </c>
      <c r="K49" s="709"/>
      <c r="L49" s="709"/>
      <c r="M49" s="709"/>
      <c r="N49" s="709"/>
      <c r="O49" s="709"/>
      <c r="P49" s="736"/>
      <c r="Q49" s="709"/>
      <c r="R49" s="1678"/>
      <c r="S49" s="2145">
        <v>691666.66666666605</v>
      </c>
      <c r="T49" s="867" t="s">
        <v>3551</v>
      </c>
      <c r="U49" s="867"/>
      <c r="V49" s="867">
        <v>12</v>
      </c>
      <c r="W49" s="867" t="s">
        <v>3525</v>
      </c>
      <c r="X49" s="867" t="s">
        <v>3517</v>
      </c>
      <c r="Y49" s="871">
        <f t="shared" si="2"/>
        <v>8299.9999999999927</v>
      </c>
      <c r="Z49" s="736">
        <f>S49*V49</f>
        <v>8299999.9999999925</v>
      </c>
      <c r="AA49" s="433">
        <f t="shared" si="0"/>
        <v>0</v>
      </c>
      <c r="AB49" s="492"/>
      <c r="AC49" s="509"/>
    </row>
    <row r="50" spans="1:29" s="479" customFormat="1" ht="22.5" customHeight="1">
      <c r="A50" s="2489"/>
      <c r="B50" s="2117"/>
      <c r="C50" s="675"/>
      <c r="D50" s="675"/>
      <c r="E50" s="970"/>
      <c r="F50" s="1385"/>
      <c r="G50" s="1385"/>
      <c r="H50" s="1208"/>
      <c r="I50" s="2060"/>
      <c r="J50" s="1115" t="s">
        <v>3552</v>
      </c>
      <c r="K50" s="1093"/>
      <c r="L50" s="1093"/>
      <c r="M50" s="1093"/>
      <c r="N50" s="1093"/>
      <c r="O50" s="1093"/>
      <c r="P50" s="1116"/>
      <c r="Q50" s="1093"/>
      <c r="R50" s="2495"/>
      <c r="S50" s="2527">
        <v>2500000000</v>
      </c>
      <c r="T50" s="978" t="s">
        <v>3551</v>
      </c>
      <c r="U50" s="978"/>
      <c r="V50" s="2528">
        <v>1E-3</v>
      </c>
      <c r="W50" s="978"/>
      <c r="X50" s="978" t="s">
        <v>3510</v>
      </c>
      <c r="Y50" s="981">
        <f t="shared" si="2"/>
        <v>2500</v>
      </c>
      <c r="Z50" s="736">
        <f>S50*V50</f>
        <v>2500000</v>
      </c>
      <c r="AA50" s="433">
        <f t="shared" si="0"/>
        <v>0</v>
      </c>
      <c r="AB50" s="480"/>
    </row>
    <row r="51" spans="1:29" s="491" customFormat="1" ht="22.5" customHeight="1">
      <c r="A51" s="2489"/>
      <c r="B51" s="2117"/>
      <c r="C51" s="675"/>
      <c r="D51" s="675"/>
      <c r="E51" s="675" t="s">
        <v>3553</v>
      </c>
      <c r="F51" s="1261">
        <f>Y51</f>
        <v>11400</v>
      </c>
      <c r="G51" s="1261">
        <v>11400</v>
      </c>
      <c r="H51" s="942"/>
      <c r="I51" s="2060"/>
      <c r="J51" s="791" t="s">
        <v>3519</v>
      </c>
      <c r="K51" s="709"/>
      <c r="L51" s="709"/>
      <c r="M51" s="709"/>
      <c r="N51" s="709"/>
      <c r="O51" s="709"/>
      <c r="P51" s="736"/>
      <c r="Q51" s="709"/>
      <c r="R51" s="1678"/>
      <c r="S51" s="2478"/>
      <c r="T51" s="1678"/>
      <c r="U51" s="709"/>
      <c r="V51" s="736"/>
      <c r="W51" s="709"/>
      <c r="X51" s="709"/>
      <c r="Y51" s="861">
        <f t="shared" si="2"/>
        <v>11400</v>
      </c>
      <c r="Z51" s="736">
        <f>SUM(Z52:Z53)</f>
        <v>11400000</v>
      </c>
      <c r="AA51" s="433">
        <f t="shared" si="0"/>
        <v>11400000000</v>
      </c>
      <c r="AB51" s="492"/>
    </row>
    <row r="52" spans="1:29" s="491" customFormat="1" ht="22.5" customHeight="1">
      <c r="A52" s="2489"/>
      <c r="B52" s="2117"/>
      <c r="C52" s="675"/>
      <c r="D52" s="675"/>
      <c r="E52" s="675"/>
      <c r="F52" s="1261"/>
      <c r="G52" s="1261"/>
      <c r="H52" s="1239"/>
      <c r="I52" s="2060"/>
      <c r="J52" s="791" t="s">
        <v>3554</v>
      </c>
      <c r="K52" s="709"/>
      <c r="L52" s="709"/>
      <c r="M52" s="709"/>
      <c r="N52" s="709"/>
      <c r="O52" s="709"/>
      <c r="P52" s="736"/>
      <c r="Q52" s="709">
        <v>13</v>
      </c>
      <c r="R52" s="1678" t="s">
        <v>3555</v>
      </c>
      <c r="S52" s="2478">
        <v>25000</v>
      </c>
      <c r="T52" s="1678" t="s">
        <v>3508</v>
      </c>
      <c r="U52" s="709"/>
      <c r="V52" s="736">
        <v>12</v>
      </c>
      <c r="W52" s="709" t="s">
        <v>3525</v>
      </c>
      <c r="X52" s="709" t="s">
        <v>3517</v>
      </c>
      <c r="Y52" s="871">
        <f t="shared" si="2"/>
        <v>3900</v>
      </c>
      <c r="Z52" s="736">
        <f>Q52*S52*V52</f>
        <v>3900000</v>
      </c>
      <c r="AA52" s="433">
        <f t="shared" si="0"/>
        <v>0</v>
      </c>
      <c r="AB52" s="492"/>
    </row>
    <row r="53" spans="1:29" s="491" customFormat="1" ht="22.5" customHeight="1">
      <c r="A53" s="2489"/>
      <c r="B53" s="2117"/>
      <c r="C53" s="675"/>
      <c r="D53" s="675"/>
      <c r="E53" s="675"/>
      <c r="F53" s="1261"/>
      <c r="G53" s="1261"/>
      <c r="H53" s="1239"/>
      <c r="I53" s="2060"/>
      <c r="J53" s="791" t="s">
        <v>3556</v>
      </c>
      <c r="K53" s="709"/>
      <c r="L53" s="709"/>
      <c r="M53" s="709"/>
      <c r="N53" s="709"/>
      <c r="O53" s="709"/>
      <c r="P53" s="736"/>
      <c r="Q53" s="709">
        <v>3</v>
      </c>
      <c r="R53" s="1678" t="s">
        <v>3555</v>
      </c>
      <c r="S53" s="2478">
        <v>2500000</v>
      </c>
      <c r="T53" s="1678" t="s">
        <v>3508</v>
      </c>
      <c r="U53" s="709"/>
      <c r="V53" s="736">
        <v>1</v>
      </c>
      <c r="W53" s="709" t="s">
        <v>3516</v>
      </c>
      <c r="X53" s="709" t="s">
        <v>3517</v>
      </c>
      <c r="Y53" s="981">
        <f t="shared" si="2"/>
        <v>7500</v>
      </c>
      <c r="Z53" s="736">
        <f>Q53*S53*V53</f>
        <v>7500000</v>
      </c>
      <c r="AA53" s="433">
        <f t="shared" si="0"/>
        <v>0</v>
      </c>
      <c r="AB53" s="492"/>
    </row>
    <row r="54" spans="1:29" s="491" customFormat="1" ht="22.5" customHeight="1">
      <c r="A54" s="2489"/>
      <c r="B54" s="2117"/>
      <c r="C54" s="675"/>
      <c r="D54" s="675"/>
      <c r="E54" s="1034" t="s">
        <v>3557</v>
      </c>
      <c r="F54" s="1423">
        <f>+Y54</f>
        <v>5990</v>
      </c>
      <c r="G54" s="1423">
        <v>5990</v>
      </c>
      <c r="H54" s="942"/>
      <c r="I54" s="2060"/>
      <c r="J54" s="2515" t="s">
        <v>3519</v>
      </c>
      <c r="K54" s="1035"/>
      <c r="L54" s="1035"/>
      <c r="M54" s="1035"/>
      <c r="N54" s="1035"/>
      <c r="O54" s="1035"/>
      <c r="P54" s="1194"/>
      <c r="Q54" s="1035"/>
      <c r="R54" s="2516"/>
      <c r="S54" s="2517"/>
      <c r="T54" s="2516"/>
      <c r="U54" s="1035"/>
      <c r="V54" s="1194"/>
      <c r="W54" s="1035"/>
      <c r="X54" s="1035"/>
      <c r="Y54" s="861">
        <f t="shared" si="2"/>
        <v>5990</v>
      </c>
      <c r="Z54" s="736">
        <f>SUM(Z55:Z59)</f>
        <v>5990000</v>
      </c>
      <c r="AA54" s="433">
        <f t="shared" si="0"/>
        <v>5990000000</v>
      </c>
      <c r="AB54" s="492"/>
    </row>
    <row r="55" spans="1:29" s="491" customFormat="1" ht="22.5" customHeight="1">
      <c r="A55" s="2489"/>
      <c r="B55" s="2117"/>
      <c r="C55" s="675"/>
      <c r="D55" s="675"/>
      <c r="E55" s="675"/>
      <c r="F55" s="1261"/>
      <c r="G55" s="1261"/>
      <c r="H55" s="1239"/>
      <c r="I55" s="2060"/>
      <c r="J55" s="791" t="s">
        <v>3558</v>
      </c>
      <c r="K55" s="709"/>
      <c r="L55" s="709"/>
      <c r="M55" s="709"/>
      <c r="N55" s="709"/>
      <c r="O55" s="709"/>
      <c r="P55" s="683"/>
      <c r="Q55" s="683"/>
      <c r="R55" s="2522"/>
      <c r="S55" s="2478">
        <v>200000</v>
      </c>
      <c r="T55" s="1678" t="s">
        <v>3508</v>
      </c>
      <c r="U55" s="683"/>
      <c r="V55" s="736">
        <v>3</v>
      </c>
      <c r="W55" s="709" t="s">
        <v>3516</v>
      </c>
      <c r="X55" s="2509" t="s">
        <v>3517</v>
      </c>
      <c r="Y55" s="871">
        <f t="shared" si="2"/>
        <v>600</v>
      </c>
      <c r="Z55" s="736">
        <f>+S55*V55</f>
        <v>600000</v>
      </c>
      <c r="AA55" s="433">
        <f t="shared" si="0"/>
        <v>0</v>
      </c>
      <c r="AB55" s="492"/>
    </row>
    <row r="56" spans="1:29" s="479" customFormat="1" ht="22.5" customHeight="1">
      <c r="A56" s="2489"/>
      <c r="B56" s="2117"/>
      <c r="C56" s="675"/>
      <c r="D56" s="675"/>
      <c r="E56" s="675"/>
      <c r="F56" s="1261"/>
      <c r="G56" s="1261"/>
      <c r="H56" s="1239"/>
      <c r="I56" s="2060"/>
      <c r="J56" s="791" t="s">
        <v>3559</v>
      </c>
      <c r="K56" s="709"/>
      <c r="L56" s="709"/>
      <c r="M56" s="709"/>
      <c r="N56" s="709"/>
      <c r="O56" s="709"/>
      <c r="P56" s="683"/>
      <c r="Q56" s="736">
        <v>20</v>
      </c>
      <c r="R56" s="1678" t="s">
        <v>3542</v>
      </c>
      <c r="S56" s="2478">
        <v>10000</v>
      </c>
      <c r="T56" s="1678" t="s">
        <v>3508</v>
      </c>
      <c r="U56" s="683"/>
      <c r="V56" s="736">
        <v>12</v>
      </c>
      <c r="W56" s="709" t="s">
        <v>3560</v>
      </c>
      <c r="X56" s="2509" t="s">
        <v>3517</v>
      </c>
      <c r="Y56" s="871">
        <f t="shared" si="2"/>
        <v>2400</v>
      </c>
      <c r="Z56" s="736">
        <f>+Q56*S56*V56</f>
        <v>2400000</v>
      </c>
      <c r="AA56" s="433">
        <f t="shared" si="0"/>
        <v>0</v>
      </c>
      <c r="AB56" s="480"/>
    </row>
    <row r="57" spans="1:29" s="479" customFormat="1" ht="22.5" customHeight="1">
      <c r="A57" s="2489"/>
      <c r="B57" s="2117"/>
      <c r="C57" s="675"/>
      <c r="D57" s="675"/>
      <c r="E57" s="675"/>
      <c r="F57" s="1261"/>
      <c r="G57" s="1261"/>
      <c r="H57" s="1239"/>
      <c r="I57" s="2060"/>
      <c r="J57" s="791" t="s">
        <v>3561</v>
      </c>
      <c r="K57" s="709"/>
      <c r="L57" s="709"/>
      <c r="M57" s="709"/>
      <c r="N57" s="709"/>
      <c r="O57" s="709"/>
      <c r="P57" s="683"/>
      <c r="Q57" s="683"/>
      <c r="R57" s="2522"/>
      <c r="S57" s="2478">
        <v>30000</v>
      </c>
      <c r="T57" s="1678" t="s">
        <v>3508</v>
      </c>
      <c r="U57" s="683"/>
      <c r="V57" s="736">
        <v>3</v>
      </c>
      <c r="W57" s="709" t="s">
        <v>3516</v>
      </c>
      <c r="X57" s="2509" t="s">
        <v>3517</v>
      </c>
      <c r="Y57" s="871">
        <f t="shared" si="2"/>
        <v>90</v>
      </c>
      <c r="Z57" s="736">
        <f>+S57*V57</f>
        <v>90000</v>
      </c>
      <c r="AA57" s="433">
        <f t="shared" si="0"/>
        <v>0</v>
      </c>
      <c r="AB57" s="480"/>
    </row>
    <row r="58" spans="1:29" s="479" customFormat="1" ht="22.5" customHeight="1">
      <c r="A58" s="2489"/>
      <c r="B58" s="2117"/>
      <c r="C58" s="675"/>
      <c r="D58" s="675"/>
      <c r="E58" s="675"/>
      <c r="F58" s="1261"/>
      <c r="G58" s="1261"/>
      <c r="H58" s="1239"/>
      <c r="I58" s="2060"/>
      <c r="J58" s="791" t="s">
        <v>3562</v>
      </c>
      <c r="K58" s="709"/>
      <c r="L58" s="709"/>
      <c r="M58" s="709"/>
      <c r="N58" s="709"/>
      <c r="O58" s="709"/>
      <c r="P58" s="683"/>
      <c r="Q58" s="683"/>
      <c r="R58" s="2522"/>
      <c r="S58" s="2478">
        <v>150000</v>
      </c>
      <c r="T58" s="1678" t="s">
        <v>3508</v>
      </c>
      <c r="U58" s="683"/>
      <c r="V58" s="736">
        <v>12</v>
      </c>
      <c r="W58" s="709" t="s">
        <v>3525</v>
      </c>
      <c r="X58" s="2509" t="s">
        <v>3517</v>
      </c>
      <c r="Y58" s="871">
        <f t="shared" si="2"/>
        <v>1800</v>
      </c>
      <c r="Z58" s="736">
        <f>+S58*V58</f>
        <v>1800000</v>
      </c>
      <c r="AA58" s="433">
        <f t="shared" si="0"/>
        <v>0</v>
      </c>
      <c r="AB58" s="480"/>
    </row>
    <row r="59" spans="1:29" s="491" customFormat="1" ht="22.5" customHeight="1">
      <c r="A59" s="2489"/>
      <c r="B59" s="2117"/>
      <c r="C59" s="675"/>
      <c r="D59" s="675"/>
      <c r="E59" s="675"/>
      <c r="F59" s="1261"/>
      <c r="G59" s="1261"/>
      <c r="H59" s="1239"/>
      <c r="I59" s="2060"/>
      <c r="J59" s="791" t="s">
        <v>3563</v>
      </c>
      <c r="K59" s="709"/>
      <c r="L59" s="709"/>
      <c r="M59" s="709"/>
      <c r="N59" s="709"/>
      <c r="O59" s="709"/>
      <c r="P59" s="683"/>
      <c r="Q59" s="683">
        <v>1</v>
      </c>
      <c r="R59" s="2522" t="s">
        <v>3542</v>
      </c>
      <c r="S59" s="2478">
        <v>220000</v>
      </c>
      <c r="T59" s="1678" t="s">
        <v>3508</v>
      </c>
      <c r="U59" s="683"/>
      <c r="V59" s="736">
        <v>5</v>
      </c>
      <c r="W59" s="709" t="s">
        <v>3525</v>
      </c>
      <c r="X59" s="2509" t="s">
        <v>3517</v>
      </c>
      <c r="Y59" s="981">
        <f t="shared" si="2"/>
        <v>1100</v>
      </c>
      <c r="Z59" s="736">
        <f>+S59*V59</f>
        <v>1100000</v>
      </c>
      <c r="AA59" s="433">
        <f t="shared" si="0"/>
        <v>0</v>
      </c>
      <c r="AB59" s="492"/>
    </row>
    <row r="60" spans="1:29" s="491" customFormat="1" ht="22.5" customHeight="1">
      <c r="A60" s="2489"/>
      <c r="B60" s="2117"/>
      <c r="C60" s="675"/>
      <c r="D60" s="675"/>
      <c r="E60" s="1034" t="s">
        <v>3564</v>
      </c>
      <c r="F60" s="1423">
        <f>+Y60</f>
        <v>3660</v>
      </c>
      <c r="G60" s="1423">
        <v>3660</v>
      </c>
      <c r="H60" s="942"/>
      <c r="I60" s="2060"/>
      <c r="J60" s="2515" t="s">
        <v>3565</v>
      </c>
      <c r="K60" s="2529"/>
      <c r="L60" s="2529"/>
      <c r="M60" s="2529"/>
      <c r="N60" s="2529"/>
      <c r="O60" s="2529"/>
      <c r="P60" s="1194"/>
      <c r="Q60" s="1035"/>
      <c r="R60" s="2516"/>
      <c r="S60" s="2517"/>
      <c r="T60" s="2516"/>
      <c r="U60" s="1035"/>
      <c r="V60" s="1194"/>
      <c r="W60" s="1035"/>
      <c r="X60" s="1035"/>
      <c r="Y60" s="861">
        <f t="shared" si="2"/>
        <v>3660</v>
      </c>
      <c r="Z60" s="736">
        <f>SUM(Z61:Z62)</f>
        <v>3660000</v>
      </c>
      <c r="AA60" s="433">
        <f t="shared" si="0"/>
        <v>3660000000</v>
      </c>
      <c r="AB60" s="492"/>
    </row>
    <row r="61" spans="1:29" s="491" customFormat="1" ht="22.5" customHeight="1">
      <c r="A61" s="2489"/>
      <c r="B61" s="2117"/>
      <c r="C61" s="675"/>
      <c r="D61" s="675"/>
      <c r="E61" s="675"/>
      <c r="F61" s="1261"/>
      <c r="G61" s="1261"/>
      <c r="H61" s="1239"/>
      <c r="I61" s="2060"/>
      <c r="J61" s="791" t="s">
        <v>3566</v>
      </c>
      <c r="K61" s="917"/>
      <c r="L61" s="917"/>
      <c r="M61" s="917"/>
      <c r="N61" s="917"/>
      <c r="O61" s="917"/>
      <c r="P61" s="736"/>
      <c r="Q61" s="709"/>
      <c r="R61" s="1678"/>
      <c r="S61" s="2478">
        <v>20000</v>
      </c>
      <c r="T61" s="1678" t="s">
        <v>3508</v>
      </c>
      <c r="U61" s="709"/>
      <c r="V61" s="736">
        <v>30</v>
      </c>
      <c r="W61" s="709" t="s">
        <v>3567</v>
      </c>
      <c r="X61" s="709" t="s">
        <v>3517</v>
      </c>
      <c r="Y61" s="871">
        <f t="shared" si="2"/>
        <v>600</v>
      </c>
      <c r="Z61" s="736">
        <f>+S61*V61</f>
        <v>600000</v>
      </c>
      <c r="AA61" s="433">
        <f t="shared" si="0"/>
        <v>0</v>
      </c>
      <c r="AB61" s="492"/>
    </row>
    <row r="62" spans="1:29" s="491" customFormat="1" ht="22.5" customHeight="1">
      <c r="A62" s="2489"/>
      <c r="B62" s="2117"/>
      <c r="C62" s="675"/>
      <c r="D62" s="675"/>
      <c r="E62" s="675"/>
      <c r="F62" s="1261"/>
      <c r="G62" s="1261"/>
      <c r="H62" s="1239"/>
      <c r="I62" s="2060"/>
      <c r="J62" s="791" t="s">
        <v>3568</v>
      </c>
      <c r="K62" s="917"/>
      <c r="L62" s="917"/>
      <c r="M62" s="917"/>
      <c r="N62" s="917"/>
      <c r="O62" s="917"/>
      <c r="P62" s="736"/>
      <c r="Q62" s="709">
        <v>15</v>
      </c>
      <c r="R62" s="1678" t="s">
        <v>3569</v>
      </c>
      <c r="S62" s="2478">
        <v>17000</v>
      </c>
      <c r="T62" s="1678" t="s">
        <v>3508</v>
      </c>
      <c r="U62" s="709"/>
      <c r="V62" s="736">
        <v>12</v>
      </c>
      <c r="W62" s="709" t="s">
        <v>3570</v>
      </c>
      <c r="X62" s="709" t="s">
        <v>3517</v>
      </c>
      <c r="Y62" s="871">
        <f t="shared" si="2"/>
        <v>3060</v>
      </c>
      <c r="Z62" s="736">
        <f>+Q62*S62*V62</f>
        <v>3060000</v>
      </c>
      <c r="AA62" s="433">
        <f t="shared" si="0"/>
        <v>0</v>
      </c>
      <c r="AB62" s="492"/>
    </row>
    <row r="63" spans="1:29" s="479" customFormat="1" ht="22.5" customHeight="1">
      <c r="A63" s="2489"/>
      <c r="B63" s="2117"/>
      <c r="C63" s="675"/>
      <c r="D63" s="675"/>
      <c r="E63" s="1034" t="s">
        <v>3571</v>
      </c>
      <c r="F63" s="1423">
        <f>+Y63</f>
        <v>9600</v>
      </c>
      <c r="G63" s="1423">
        <v>9600</v>
      </c>
      <c r="H63" s="942"/>
      <c r="I63" s="2060"/>
      <c r="J63" s="2515" t="s">
        <v>3519</v>
      </c>
      <c r="K63" s="2529"/>
      <c r="L63" s="2529"/>
      <c r="M63" s="2529"/>
      <c r="N63" s="2529"/>
      <c r="O63" s="2529"/>
      <c r="P63" s="1194"/>
      <c r="Q63" s="1035"/>
      <c r="R63" s="2516"/>
      <c r="S63" s="2517"/>
      <c r="T63" s="2516"/>
      <c r="U63" s="1035"/>
      <c r="V63" s="1194"/>
      <c r="W63" s="1035"/>
      <c r="X63" s="1035"/>
      <c r="Y63" s="861">
        <f t="shared" si="2"/>
        <v>9600</v>
      </c>
      <c r="Z63" s="736">
        <f>SUM(Z64:Z66)</f>
        <v>9600000</v>
      </c>
      <c r="AA63" s="433">
        <f t="shared" si="0"/>
        <v>9600000000</v>
      </c>
      <c r="AB63" s="480"/>
    </row>
    <row r="64" spans="1:29" s="479" customFormat="1" ht="22.5" customHeight="1">
      <c r="A64" s="2489"/>
      <c r="B64" s="2117"/>
      <c r="C64" s="675"/>
      <c r="D64" s="675"/>
      <c r="E64" s="675"/>
      <c r="F64" s="1261"/>
      <c r="G64" s="1261"/>
      <c r="H64" s="1239"/>
      <c r="I64" s="2060"/>
      <c r="J64" s="673" t="s">
        <v>3572</v>
      </c>
      <c r="K64" s="917"/>
      <c r="L64" s="917"/>
      <c r="M64" s="917"/>
      <c r="N64" s="917"/>
      <c r="O64" s="917"/>
      <c r="P64" s="736"/>
      <c r="Q64" s="709"/>
      <c r="R64" s="1678"/>
      <c r="S64" s="2478">
        <v>300000</v>
      </c>
      <c r="T64" s="1678" t="s">
        <v>3508</v>
      </c>
      <c r="U64" s="709"/>
      <c r="V64" s="736">
        <v>12</v>
      </c>
      <c r="W64" s="683" t="s">
        <v>3525</v>
      </c>
      <c r="X64" s="709" t="s">
        <v>3517</v>
      </c>
      <c r="Y64" s="871">
        <f t="shared" si="2"/>
        <v>3600</v>
      </c>
      <c r="Z64" s="736">
        <f>+S64*V64</f>
        <v>3600000</v>
      </c>
      <c r="AA64" s="433">
        <f t="shared" si="0"/>
        <v>0</v>
      </c>
      <c r="AB64" s="480"/>
    </row>
    <row r="65" spans="1:28" s="479" customFormat="1" ht="22.5" customHeight="1">
      <c r="A65" s="2489"/>
      <c r="B65" s="2117"/>
      <c r="C65" s="675"/>
      <c r="D65" s="675"/>
      <c r="E65" s="675"/>
      <c r="F65" s="1261"/>
      <c r="G65" s="1261"/>
      <c r="H65" s="1239"/>
      <c r="I65" s="2060"/>
      <c r="J65" s="673" t="s">
        <v>3573</v>
      </c>
      <c r="K65" s="917"/>
      <c r="L65" s="917"/>
      <c r="M65" s="917"/>
      <c r="N65" s="917"/>
      <c r="O65" s="917"/>
      <c r="P65" s="736"/>
      <c r="Q65" s="709"/>
      <c r="R65" s="1678"/>
      <c r="S65" s="2478">
        <v>200000</v>
      </c>
      <c r="T65" s="1678" t="s">
        <v>3508</v>
      </c>
      <c r="U65" s="709"/>
      <c r="V65" s="736">
        <v>12</v>
      </c>
      <c r="W65" s="683" t="s">
        <v>3525</v>
      </c>
      <c r="X65" s="2509" t="s">
        <v>3517</v>
      </c>
      <c r="Y65" s="871">
        <f t="shared" si="2"/>
        <v>2400</v>
      </c>
      <c r="Z65" s="736">
        <f>S65*V65</f>
        <v>2400000</v>
      </c>
      <c r="AA65" s="433">
        <f t="shared" si="0"/>
        <v>0</v>
      </c>
      <c r="AB65" s="480"/>
    </row>
    <row r="66" spans="1:28" s="491" customFormat="1" ht="22.5" customHeight="1">
      <c r="A66" s="2489"/>
      <c r="B66" s="2117"/>
      <c r="C66" s="675"/>
      <c r="D66" s="675"/>
      <c r="E66" s="970"/>
      <c r="F66" s="1385"/>
      <c r="G66" s="1385"/>
      <c r="H66" s="1208"/>
      <c r="I66" s="2060"/>
      <c r="J66" s="1235" t="s">
        <v>3574</v>
      </c>
      <c r="K66" s="2114"/>
      <c r="L66" s="2114"/>
      <c r="M66" s="2114"/>
      <c r="N66" s="2114"/>
      <c r="O66" s="2114"/>
      <c r="P66" s="2044"/>
      <c r="Q66" s="1116"/>
      <c r="R66" s="2495"/>
      <c r="S66" s="2494">
        <v>300000</v>
      </c>
      <c r="T66" s="2495" t="s">
        <v>3508</v>
      </c>
      <c r="U66" s="1116"/>
      <c r="V66" s="1116">
        <v>12</v>
      </c>
      <c r="W66" s="2044" t="s">
        <v>3525</v>
      </c>
      <c r="X66" s="2525" t="s">
        <v>3517</v>
      </c>
      <c r="Y66" s="981">
        <f t="shared" si="2"/>
        <v>3600</v>
      </c>
      <c r="Z66" s="736">
        <f>S66*V66</f>
        <v>3600000</v>
      </c>
      <c r="AA66" s="433">
        <f t="shared" si="0"/>
        <v>0</v>
      </c>
      <c r="AB66" s="492"/>
    </row>
    <row r="67" spans="1:28" s="491" customFormat="1" ht="22.5" customHeight="1">
      <c r="A67" s="2489"/>
      <c r="B67" s="2117"/>
      <c r="C67" s="675"/>
      <c r="D67" s="675"/>
      <c r="E67" s="675" t="s">
        <v>3575</v>
      </c>
      <c r="F67" s="1261">
        <f>+Y67</f>
        <v>15760</v>
      </c>
      <c r="G67" s="1261">
        <v>15760</v>
      </c>
      <c r="H67" s="942"/>
      <c r="I67" s="2060"/>
      <c r="J67" s="791" t="s">
        <v>3519</v>
      </c>
      <c r="K67" s="709"/>
      <c r="L67" s="709"/>
      <c r="M67" s="709"/>
      <c r="N67" s="709"/>
      <c r="O67" s="709"/>
      <c r="P67" s="736"/>
      <c r="Q67" s="709"/>
      <c r="R67" s="1678"/>
      <c r="S67" s="2478"/>
      <c r="T67" s="1678"/>
      <c r="U67" s="709"/>
      <c r="V67" s="736"/>
      <c r="W67" s="709"/>
      <c r="X67" s="709"/>
      <c r="Y67" s="861">
        <f t="shared" si="2"/>
        <v>15760</v>
      </c>
      <c r="Z67" s="736">
        <f>SUM(Z68:Z71)</f>
        <v>15760000</v>
      </c>
      <c r="AA67" s="433">
        <f t="shared" si="0"/>
        <v>15760000000</v>
      </c>
      <c r="AB67" s="492"/>
    </row>
    <row r="68" spans="1:28" s="491" customFormat="1" ht="22.5" customHeight="1">
      <c r="A68" s="2489"/>
      <c r="B68" s="2117"/>
      <c r="C68" s="675"/>
      <c r="D68" s="675"/>
      <c r="E68" s="675"/>
      <c r="F68" s="1261"/>
      <c r="G68" s="1261"/>
      <c r="H68" s="1239"/>
      <c r="I68" s="2060"/>
      <c r="J68" s="673" t="s">
        <v>3576</v>
      </c>
      <c r="K68" s="917"/>
      <c r="L68" s="917"/>
      <c r="M68" s="917"/>
      <c r="N68" s="917"/>
      <c r="O68" s="917"/>
      <c r="P68" s="683"/>
      <c r="Q68" s="683"/>
      <c r="R68" s="2530" t="s">
        <v>3577</v>
      </c>
      <c r="S68" s="2478">
        <v>2000000</v>
      </c>
      <c r="T68" s="1678" t="s">
        <v>3508</v>
      </c>
      <c r="U68" s="736"/>
      <c r="V68" s="736">
        <v>2</v>
      </c>
      <c r="W68" s="709" t="s">
        <v>3516</v>
      </c>
      <c r="X68" s="2509" t="s">
        <v>3517</v>
      </c>
      <c r="Y68" s="871">
        <f t="shared" si="2"/>
        <v>4000</v>
      </c>
      <c r="Z68" s="736">
        <f>S68*V68</f>
        <v>4000000</v>
      </c>
      <c r="AA68" s="433">
        <f t="shared" si="0"/>
        <v>0</v>
      </c>
      <c r="AB68" s="492"/>
    </row>
    <row r="69" spans="1:28" s="491" customFormat="1" ht="22.5" customHeight="1">
      <c r="A69" s="2489"/>
      <c r="B69" s="2117"/>
      <c r="C69" s="675"/>
      <c r="D69" s="675"/>
      <c r="E69" s="675"/>
      <c r="F69" s="1261"/>
      <c r="G69" s="1261"/>
      <c r="H69" s="1239"/>
      <c r="I69" s="2060"/>
      <c r="J69" s="673" t="s">
        <v>3578</v>
      </c>
      <c r="K69" s="917"/>
      <c r="L69" s="917"/>
      <c r="M69" s="917"/>
      <c r="N69" s="917"/>
      <c r="O69" s="917"/>
      <c r="P69" s="683"/>
      <c r="Q69" s="683"/>
      <c r="R69" s="2530"/>
      <c r="S69" s="2478">
        <v>1500000</v>
      </c>
      <c r="T69" s="1678" t="s">
        <v>3508</v>
      </c>
      <c r="U69" s="736"/>
      <c r="V69" s="736">
        <v>1</v>
      </c>
      <c r="W69" s="709" t="s">
        <v>3579</v>
      </c>
      <c r="X69" s="2509" t="s">
        <v>3517</v>
      </c>
      <c r="Y69" s="871">
        <f t="shared" si="2"/>
        <v>1500</v>
      </c>
      <c r="Z69" s="736">
        <f>S69*V69</f>
        <v>1500000</v>
      </c>
      <c r="AA69" s="433">
        <f t="shared" si="0"/>
        <v>0</v>
      </c>
      <c r="AB69" s="492"/>
    </row>
    <row r="70" spans="1:28" s="491" customFormat="1" ht="22.5" customHeight="1">
      <c r="A70" s="2489"/>
      <c r="B70" s="2117"/>
      <c r="C70" s="675"/>
      <c r="D70" s="675"/>
      <c r="E70" s="675"/>
      <c r="F70" s="1261"/>
      <c r="G70" s="1261"/>
      <c r="H70" s="1239"/>
      <c r="I70" s="2060"/>
      <c r="J70" s="673" t="s">
        <v>3580</v>
      </c>
      <c r="K70" s="917"/>
      <c r="L70" s="917"/>
      <c r="M70" s="917"/>
      <c r="N70" s="917"/>
      <c r="O70" s="917"/>
      <c r="P70" s="683"/>
      <c r="Q70" s="683"/>
      <c r="R70" s="2530"/>
      <c r="S70" s="2478">
        <v>730000</v>
      </c>
      <c r="T70" s="1678" t="s">
        <v>3508</v>
      </c>
      <c r="U70" s="736"/>
      <c r="V70" s="736">
        <v>12</v>
      </c>
      <c r="W70" s="709" t="s">
        <v>3525</v>
      </c>
      <c r="X70" s="709" t="s">
        <v>3517</v>
      </c>
      <c r="Y70" s="871">
        <f t="shared" si="2"/>
        <v>8760</v>
      </c>
      <c r="Z70" s="736">
        <f>S70*V70</f>
        <v>8760000</v>
      </c>
      <c r="AA70" s="433">
        <f t="shared" ref="AA70:AA133" si="3">F70*1000000</f>
        <v>0</v>
      </c>
      <c r="AB70" s="492"/>
    </row>
    <row r="71" spans="1:28" s="479" customFormat="1" ht="22.5" customHeight="1">
      <c r="A71" s="2489"/>
      <c r="B71" s="2117"/>
      <c r="C71" s="675"/>
      <c r="D71" s="675"/>
      <c r="E71" s="675"/>
      <c r="F71" s="1261"/>
      <c r="G71" s="1261"/>
      <c r="H71" s="1239"/>
      <c r="I71" s="2060"/>
      <c r="J71" s="673" t="s">
        <v>3581</v>
      </c>
      <c r="K71" s="709"/>
      <c r="L71" s="709"/>
      <c r="M71" s="709"/>
      <c r="N71" s="709"/>
      <c r="O71" s="709"/>
      <c r="P71" s="683"/>
      <c r="Q71" s="736"/>
      <c r="R71" s="1678"/>
      <c r="S71" s="2478">
        <v>300000</v>
      </c>
      <c r="T71" s="1678" t="s">
        <v>3508</v>
      </c>
      <c r="U71" s="736"/>
      <c r="V71" s="736">
        <v>5</v>
      </c>
      <c r="W71" s="709" t="s">
        <v>3516</v>
      </c>
      <c r="X71" s="2509" t="s">
        <v>3517</v>
      </c>
      <c r="Y71" s="981">
        <f t="shared" si="2"/>
        <v>1500</v>
      </c>
      <c r="Z71" s="736">
        <f>S71*V71</f>
        <v>1500000</v>
      </c>
      <c r="AA71" s="433">
        <f t="shared" si="3"/>
        <v>0</v>
      </c>
      <c r="AB71" s="480"/>
    </row>
    <row r="72" spans="1:28" s="491" customFormat="1" ht="22.5" customHeight="1">
      <c r="A72" s="2489"/>
      <c r="B72" s="2117"/>
      <c r="C72" s="675"/>
      <c r="D72" s="675"/>
      <c r="E72" s="1034" t="s">
        <v>3582</v>
      </c>
      <c r="F72" s="1423">
        <f>+Y72</f>
        <v>15000</v>
      </c>
      <c r="G72" s="1423">
        <v>15000</v>
      </c>
      <c r="H72" s="942"/>
      <c r="I72" s="2060"/>
      <c r="J72" s="3980" t="s">
        <v>3519</v>
      </c>
      <c r="K72" s="3981"/>
      <c r="L72" s="3981"/>
      <c r="M72" s="3981"/>
      <c r="N72" s="3981"/>
      <c r="O72" s="3981"/>
      <c r="P72" s="1194"/>
      <c r="Q72" s="1035"/>
      <c r="R72" s="2516"/>
      <c r="S72" s="2517"/>
      <c r="T72" s="2516"/>
      <c r="U72" s="1035"/>
      <c r="V72" s="1194"/>
      <c r="W72" s="1035"/>
      <c r="X72" s="1035"/>
      <c r="Y72" s="861">
        <f t="shared" si="2"/>
        <v>15000</v>
      </c>
      <c r="Z72" s="736">
        <f>SUM(Z73:Z75)</f>
        <v>15000000</v>
      </c>
      <c r="AA72" s="433">
        <f t="shared" si="3"/>
        <v>15000000000</v>
      </c>
      <c r="AB72" s="492"/>
    </row>
    <row r="73" spans="1:28" s="491" customFormat="1" ht="22.5" customHeight="1">
      <c r="A73" s="2489"/>
      <c r="B73" s="2117"/>
      <c r="C73" s="675"/>
      <c r="D73" s="675"/>
      <c r="E73" s="675"/>
      <c r="F73" s="1261"/>
      <c r="G73" s="1261"/>
      <c r="H73" s="1239"/>
      <c r="I73" s="2060"/>
      <c r="J73" s="791" t="s">
        <v>3583</v>
      </c>
      <c r="K73" s="709"/>
      <c r="L73" s="709"/>
      <c r="M73" s="709"/>
      <c r="N73" s="709"/>
      <c r="O73" s="709"/>
      <c r="P73" s="736"/>
      <c r="Q73" s="709"/>
      <c r="R73" s="2531"/>
      <c r="S73" s="2523">
        <v>600000</v>
      </c>
      <c r="T73" s="684" t="s">
        <v>0</v>
      </c>
      <c r="U73" s="709"/>
      <c r="V73" s="684">
        <v>5</v>
      </c>
      <c r="W73" s="709" t="s">
        <v>3570</v>
      </c>
      <c r="X73" s="2509" t="s">
        <v>3517</v>
      </c>
      <c r="Y73" s="871">
        <f t="shared" si="2"/>
        <v>3000</v>
      </c>
      <c r="Z73" s="736">
        <f>S73*V73</f>
        <v>3000000</v>
      </c>
      <c r="AA73" s="433">
        <f t="shared" si="3"/>
        <v>0</v>
      </c>
      <c r="AB73" s="492"/>
    </row>
    <row r="74" spans="1:28" s="491" customFormat="1" ht="22.5" customHeight="1">
      <c r="A74" s="2489"/>
      <c r="B74" s="2117"/>
      <c r="C74" s="675"/>
      <c r="D74" s="675"/>
      <c r="E74" s="675"/>
      <c r="F74" s="1261"/>
      <c r="G74" s="1261"/>
      <c r="H74" s="1239"/>
      <c r="I74" s="2060"/>
      <c r="J74" s="791" t="s">
        <v>3584</v>
      </c>
      <c r="K74" s="709"/>
      <c r="L74" s="709"/>
      <c r="M74" s="709"/>
      <c r="N74" s="709"/>
      <c r="O74" s="709"/>
      <c r="P74" s="736"/>
      <c r="Q74" s="709">
        <v>2</v>
      </c>
      <c r="R74" s="2531" t="s">
        <v>3542</v>
      </c>
      <c r="S74" s="2523">
        <v>150000</v>
      </c>
      <c r="T74" s="684" t="s">
        <v>0</v>
      </c>
      <c r="U74" s="709"/>
      <c r="V74" s="684">
        <v>12</v>
      </c>
      <c r="W74" s="709" t="s">
        <v>3570</v>
      </c>
      <c r="X74" s="2509" t="s">
        <v>3517</v>
      </c>
      <c r="Y74" s="871">
        <f t="shared" si="2"/>
        <v>3600</v>
      </c>
      <c r="Z74" s="736">
        <f>Q74*S74*V74</f>
        <v>3600000</v>
      </c>
      <c r="AA74" s="433">
        <f t="shared" si="3"/>
        <v>0</v>
      </c>
      <c r="AB74" s="492"/>
    </row>
    <row r="75" spans="1:28" s="491" customFormat="1" ht="22.5" customHeight="1">
      <c r="A75" s="2489"/>
      <c r="B75" s="2117"/>
      <c r="C75" s="675"/>
      <c r="D75" s="675"/>
      <c r="E75" s="675"/>
      <c r="F75" s="1261"/>
      <c r="G75" s="1261"/>
      <c r="H75" s="1239"/>
      <c r="I75" s="2060"/>
      <c r="J75" s="791" t="s">
        <v>3585</v>
      </c>
      <c r="K75" s="709"/>
      <c r="L75" s="709"/>
      <c r="M75" s="709"/>
      <c r="N75" s="709"/>
      <c r="O75" s="709"/>
      <c r="P75" s="736"/>
      <c r="Q75" s="709">
        <v>2</v>
      </c>
      <c r="R75" s="2531" t="s">
        <v>3542</v>
      </c>
      <c r="S75" s="2523">
        <v>350000</v>
      </c>
      <c r="T75" s="684" t="s">
        <v>3551</v>
      </c>
      <c r="U75" s="709"/>
      <c r="V75" s="684">
        <v>12</v>
      </c>
      <c r="W75" s="709" t="s">
        <v>3570</v>
      </c>
      <c r="X75" s="2509" t="s">
        <v>3517</v>
      </c>
      <c r="Y75" s="871">
        <f t="shared" si="2"/>
        <v>8400</v>
      </c>
      <c r="Z75" s="736">
        <f>Q75*S75*V75</f>
        <v>8400000</v>
      </c>
      <c r="AA75" s="433">
        <f t="shared" si="3"/>
        <v>0</v>
      </c>
      <c r="AB75" s="492"/>
    </row>
    <row r="76" spans="1:28" s="491" customFormat="1" ht="21" customHeight="1">
      <c r="A76" s="2489"/>
      <c r="B76" s="2117"/>
      <c r="C76" s="675"/>
      <c r="D76" s="675"/>
      <c r="E76" s="2223" t="s">
        <v>3586</v>
      </c>
      <c r="F76" s="1423">
        <f>+Y76</f>
        <v>13999.999999999993</v>
      </c>
      <c r="G76" s="1423">
        <v>13999.999999999993</v>
      </c>
      <c r="H76" s="942"/>
      <c r="I76" s="2060"/>
      <c r="J76" s="3980" t="s">
        <v>3519</v>
      </c>
      <c r="K76" s="3981"/>
      <c r="L76" s="3981"/>
      <c r="M76" s="3981"/>
      <c r="N76" s="3981"/>
      <c r="O76" s="3981"/>
      <c r="P76" s="1194"/>
      <c r="Q76" s="1035"/>
      <c r="R76" s="2516"/>
      <c r="S76" s="2517"/>
      <c r="T76" s="2516"/>
      <c r="U76" s="1035"/>
      <c r="V76" s="1194"/>
      <c r="W76" s="1035"/>
      <c r="X76" s="1035"/>
      <c r="Y76" s="861">
        <f t="shared" si="2"/>
        <v>13999.999999999993</v>
      </c>
      <c r="Z76" s="736">
        <f>SUM(Z77:Z78)</f>
        <v>13999999.999999993</v>
      </c>
      <c r="AA76" s="433">
        <f t="shared" si="3"/>
        <v>13999999999.999992</v>
      </c>
      <c r="AB76" s="492"/>
    </row>
    <row r="77" spans="1:28" s="491" customFormat="1" ht="21" customHeight="1">
      <c r="A77" s="2489"/>
      <c r="B77" s="2117"/>
      <c r="C77" s="675"/>
      <c r="D77" s="675"/>
      <c r="E77" s="675"/>
      <c r="F77" s="1261"/>
      <c r="G77" s="1261"/>
      <c r="H77" s="1239"/>
      <c r="I77" s="2060"/>
      <c r="J77" s="673" t="s">
        <v>3587</v>
      </c>
      <c r="K77" s="917"/>
      <c r="L77" s="917"/>
      <c r="M77" s="917"/>
      <c r="N77" s="917"/>
      <c r="O77" s="683"/>
      <c r="P77" s="683"/>
      <c r="Q77" s="736">
        <v>1</v>
      </c>
      <c r="R77" s="1678" t="s">
        <v>3588</v>
      </c>
      <c r="S77" s="2478">
        <v>591666.66666666605</v>
      </c>
      <c r="T77" s="1678" t="s">
        <v>3508</v>
      </c>
      <c r="U77" s="683"/>
      <c r="V77" s="736">
        <v>12</v>
      </c>
      <c r="W77" s="709" t="s">
        <v>3525</v>
      </c>
      <c r="X77" s="2509" t="s">
        <v>3517</v>
      </c>
      <c r="Y77" s="871">
        <f t="shared" si="2"/>
        <v>7099.9999999999927</v>
      </c>
      <c r="Z77" s="736">
        <f>+Q77*S77*V77</f>
        <v>7099999.9999999925</v>
      </c>
      <c r="AA77" s="433">
        <f t="shared" si="3"/>
        <v>0</v>
      </c>
      <c r="AB77" s="492"/>
    </row>
    <row r="78" spans="1:28" s="491" customFormat="1" ht="21" customHeight="1">
      <c r="A78" s="2489"/>
      <c r="B78" s="917"/>
      <c r="C78" s="675"/>
      <c r="D78" s="675"/>
      <c r="E78" s="675"/>
      <c r="F78" s="1261"/>
      <c r="G78" s="1261"/>
      <c r="H78" s="1239"/>
      <c r="I78" s="2060"/>
      <c r="J78" s="3982" t="s">
        <v>3589</v>
      </c>
      <c r="K78" s="3983"/>
      <c r="L78" s="3983"/>
      <c r="M78" s="917"/>
      <c r="N78" s="917"/>
      <c r="O78" s="683"/>
      <c r="P78" s="683"/>
      <c r="Q78" s="736">
        <v>2</v>
      </c>
      <c r="R78" s="1678" t="s">
        <v>3588</v>
      </c>
      <c r="S78" s="2478">
        <v>287500</v>
      </c>
      <c r="T78" s="1678" t="s">
        <v>3508</v>
      </c>
      <c r="U78" s="683"/>
      <c r="V78" s="736">
        <v>12</v>
      </c>
      <c r="W78" s="709" t="s">
        <v>3560</v>
      </c>
      <c r="X78" s="2509" t="s">
        <v>3517</v>
      </c>
      <c r="Y78" s="981">
        <f t="shared" si="2"/>
        <v>6900</v>
      </c>
      <c r="Z78" s="736">
        <f>Q78*S78*V78</f>
        <v>6900000</v>
      </c>
      <c r="AA78" s="433">
        <f t="shared" si="3"/>
        <v>0</v>
      </c>
      <c r="AB78" s="492"/>
    </row>
    <row r="79" spans="1:28" s="479" customFormat="1" ht="21" customHeight="1">
      <c r="A79" s="2489"/>
      <c r="B79" s="2117"/>
      <c r="C79" s="675"/>
      <c r="D79" s="675"/>
      <c r="E79" s="1034" t="s">
        <v>3590</v>
      </c>
      <c r="F79" s="1423">
        <f>+Y79</f>
        <v>6080</v>
      </c>
      <c r="G79" s="1423">
        <v>6080</v>
      </c>
      <c r="H79" s="942"/>
      <c r="I79" s="2060"/>
      <c r="J79" s="2515" t="s">
        <v>3519</v>
      </c>
      <c r="K79" s="1035"/>
      <c r="L79" s="1035"/>
      <c r="M79" s="1035"/>
      <c r="N79" s="1035"/>
      <c r="O79" s="1035"/>
      <c r="P79" s="1194"/>
      <c r="Q79" s="1035"/>
      <c r="R79" s="2516"/>
      <c r="S79" s="2517"/>
      <c r="T79" s="2516"/>
      <c r="U79" s="1035"/>
      <c r="V79" s="1194"/>
      <c r="W79" s="1035"/>
      <c r="X79" s="1035"/>
      <c r="Y79" s="861">
        <f t="shared" si="2"/>
        <v>6080</v>
      </c>
      <c r="Z79" s="736">
        <f>SUM(Z80:Z83)</f>
        <v>6080000</v>
      </c>
      <c r="AA79" s="433">
        <f t="shared" si="3"/>
        <v>6080000000</v>
      </c>
      <c r="AB79" s="480"/>
    </row>
    <row r="80" spans="1:28" s="479" customFormat="1" ht="21" customHeight="1">
      <c r="A80" s="2489"/>
      <c r="B80" s="2117"/>
      <c r="C80" s="675"/>
      <c r="D80" s="675"/>
      <c r="E80" s="675"/>
      <c r="F80" s="1261"/>
      <c r="G80" s="1261"/>
      <c r="H80" s="1239"/>
      <c r="I80" s="2060"/>
      <c r="J80" s="791" t="s">
        <v>3591</v>
      </c>
      <c r="K80" s="709"/>
      <c r="L80" s="709"/>
      <c r="M80" s="709"/>
      <c r="N80" s="709"/>
      <c r="O80" s="709"/>
      <c r="P80" s="683"/>
      <c r="Q80" s="736">
        <v>500</v>
      </c>
      <c r="R80" s="1678" t="s">
        <v>3569</v>
      </c>
      <c r="S80" s="2478">
        <v>5000</v>
      </c>
      <c r="T80" s="1678" t="s">
        <v>3508</v>
      </c>
      <c r="U80" s="683"/>
      <c r="V80" s="736">
        <v>2</v>
      </c>
      <c r="W80" s="709" t="s">
        <v>3592</v>
      </c>
      <c r="X80" s="2509" t="s">
        <v>3517</v>
      </c>
      <c r="Y80" s="871">
        <f t="shared" si="2"/>
        <v>5000</v>
      </c>
      <c r="Z80" s="736">
        <f>+Q80*S80*V80</f>
        <v>5000000</v>
      </c>
      <c r="AA80" s="433">
        <f t="shared" si="3"/>
        <v>0</v>
      </c>
      <c r="AB80" s="480"/>
    </row>
    <row r="81" spans="1:28" s="479" customFormat="1" ht="21" customHeight="1">
      <c r="A81" s="2489"/>
      <c r="B81" s="2117"/>
      <c r="C81" s="675"/>
      <c r="D81" s="675"/>
      <c r="E81" s="675"/>
      <c r="F81" s="1261"/>
      <c r="G81" s="1261"/>
      <c r="H81" s="1239"/>
      <c r="I81" s="2060"/>
      <c r="J81" s="791" t="s">
        <v>3593</v>
      </c>
      <c r="K81" s="709"/>
      <c r="L81" s="709"/>
      <c r="M81" s="709"/>
      <c r="N81" s="709"/>
      <c r="O81" s="709"/>
      <c r="P81" s="683"/>
      <c r="Q81" s="736"/>
      <c r="R81" s="1678"/>
      <c r="S81" s="2478">
        <v>20000</v>
      </c>
      <c r="T81" s="1678" t="s">
        <v>3508</v>
      </c>
      <c r="U81" s="683"/>
      <c r="V81" s="736">
        <v>12</v>
      </c>
      <c r="W81" s="709" t="s">
        <v>3525</v>
      </c>
      <c r="X81" s="2509" t="s">
        <v>3517</v>
      </c>
      <c r="Y81" s="871">
        <f t="shared" si="2"/>
        <v>240</v>
      </c>
      <c r="Z81" s="736">
        <f>+S81*V81</f>
        <v>240000</v>
      </c>
      <c r="AA81" s="433">
        <f t="shared" si="3"/>
        <v>0</v>
      </c>
      <c r="AB81" s="480"/>
    </row>
    <row r="82" spans="1:28" s="479" customFormat="1" ht="21" customHeight="1">
      <c r="A82" s="2489"/>
      <c r="B82" s="2117"/>
      <c r="C82" s="675"/>
      <c r="D82" s="675"/>
      <c r="E82" s="675"/>
      <c r="F82" s="1261"/>
      <c r="G82" s="1261"/>
      <c r="H82" s="1239"/>
      <c r="I82" s="2060"/>
      <c r="J82" s="791" t="s">
        <v>3594</v>
      </c>
      <c r="K82" s="709"/>
      <c r="L82" s="709"/>
      <c r="M82" s="709"/>
      <c r="N82" s="709"/>
      <c r="O82" s="709"/>
      <c r="P82" s="683"/>
      <c r="Q82" s="736">
        <v>20</v>
      </c>
      <c r="R82" s="1678" t="s">
        <v>3595</v>
      </c>
      <c r="S82" s="2478">
        <v>45000</v>
      </c>
      <c r="T82" s="1678" t="s">
        <v>3508</v>
      </c>
      <c r="U82" s="683"/>
      <c r="V82" s="736">
        <v>12</v>
      </c>
      <c r="W82" s="709" t="s">
        <v>3525</v>
      </c>
      <c r="X82" s="2509" t="s">
        <v>3517</v>
      </c>
      <c r="Y82" s="871">
        <f t="shared" si="2"/>
        <v>540</v>
      </c>
      <c r="Z82" s="736">
        <f>+S82*V82</f>
        <v>540000</v>
      </c>
      <c r="AA82" s="433">
        <f t="shared" si="3"/>
        <v>0</v>
      </c>
      <c r="AB82" s="480"/>
    </row>
    <row r="83" spans="1:28" s="479" customFormat="1" ht="21" customHeight="1">
      <c r="A83" s="2489"/>
      <c r="B83" s="2117"/>
      <c r="C83" s="675"/>
      <c r="D83" s="675"/>
      <c r="E83" s="675"/>
      <c r="F83" s="1261"/>
      <c r="G83" s="1261"/>
      <c r="H83" s="1239"/>
      <c r="I83" s="2060"/>
      <c r="J83" s="791" t="s">
        <v>3596</v>
      </c>
      <c r="K83" s="709"/>
      <c r="L83" s="709"/>
      <c r="M83" s="709"/>
      <c r="N83" s="709"/>
      <c r="O83" s="709"/>
      <c r="P83" s="683"/>
      <c r="Q83" s="736">
        <v>1</v>
      </c>
      <c r="R83" s="1678" t="s">
        <v>3542</v>
      </c>
      <c r="S83" s="2478">
        <v>25000</v>
      </c>
      <c r="T83" s="1678" t="s">
        <v>3508</v>
      </c>
      <c r="U83" s="683"/>
      <c r="V83" s="736">
        <v>12</v>
      </c>
      <c r="W83" s="709" t="s">
        <v>3525</v>
      </c>
      <c r="X83" s="2509" t="s">
        <v>3517</v>
      </c>
      <c r="Y83" s="871">
        <f t="shared" si="2"/>
        <v>300</v>
      </c>
      <c r="Z83" s="736">
        <f>+S83*V83</f>
        <v>300000</v>
      </c>
      <c r="AA83" s="433">
        <f t="shared" si="3"/>
        <v>0</v>
      </c>
      <c r="AB83" s="480"/>
    </row>
    <row r="84" spans="1:28" s="491" customFormat="1" ht="21" customHeight="1">
      <c r="A84" s="2489"/>
      <c r="B84" s="2117"/>
      <c r="C84" s="675"/>
      <c r="D84" s="675"/>
      <c r="E84" s="1034" t="s">
        <v>3597</v>
      </c>
      <c r="F84" s="1423">
        <f>+Y84</f>
        <v>2800</v>
      </c>
      <c r="G84" s="1423">
        <v>2800</v>
      </c>
      <c r="H84" s="942">
        <f>F84-G84</f>
        <v>0</v>
      </c>
      <c r="I84" s="2060"/>
      <c r="J84" s="1074" t="s">
        <v>3598</v>
      </c>
      <c r="K84" s="2094"/>
      <c r="L84" s="2094"/>
      <c r="M84" s="2094"/>
      <c r="N84" s="2094"/>
      <c r="O84" s="2094"/>
      <c r="P84" s="1259"/>
      <c r="Q84" s="1119">
        <v>35</v>
      </c>
      <c r="R84" s="2499" t="s">
        <v>3599</v>
      </c>
      <c r="S84" s="2498">
        <v>20000</v>
      </c>
      <c r="T84" s="2499" t="s">
        <v>3508</v>
      </c>
      <c r="U84" s="1075"/>
      <c r="V84" s="1075">
        <v>4</v>
      </c>
      <c r="W84" s="2094" t="s">
        <v>3516</v>
      </c>
      <c r="X84" s="1994" t="s">
        <v>3517</v>
      </c>
      <c r="Y84" s="965">
        <f t="shared" si="2"/>
        <v>2800</v>
      </c>
      <c r="Z84" s="736">
        <f>S84*Q84*V84</f>
        <v>2800000</v>
      </c>
      <c r="AA84" s="433">
        <f t="shared" si="3"/>
        <v>2800000000</v>
      </c>
      <c r="AB84" s="492"/>
    </row>
    <row r="85" spans="1:28" s="479" customFormat="1" ht="21" customHeight="1">
      <c r="A85" s="2489"/>
      <c r="B85" s="2117"/>
      <c r="C85" s="675"/>
      <c r="D85" s="3955" t="s">
        <v>3600</v>
      </c>
      <c r="E85" s="3883"/>
      <c r="F85" s="2061">
        <f>+F86</f>
        <v>1500</v>
      </c>
      <c r="G85" s="2061">
        <f>SUM(G86)</f>
        <v>1500</v>
      </c>
      <c r="H85" s="933">
        <f>+F85-G85</f>
        <v>0</v>
      </c>
      <c r="I85" s="2060"/>
      <c r="J85" s="1233"/>
      <c r="K85" s="2112"/>
      <c r="L85" s="2112"/>
      <c r="M85" s="2112"/>
      <c r="N85" s="2112"/>
      <c r="O85" s="2112"/>
      <c r="P85" s="1033"/>
      <c r="Q85" s="2112"/>
      <c r="R85" s="2514"/>
      <c r="S85" s="2498"/>
      <c r="T85" s="2514"/>
      <c r="U85" s="2112"/>
      <c r="V85" s="1033"/>
      <c r="W85" s="2112"/>
      <c r="X85" s="2112"/>
      <c r="Y85" s="965"/>
      <c r="Z85" s="736">
        <f>+Z86</f>
        <v>1500000</v>
      </c>
      <c r="AA85" s="433">
        <f t="shared" si="3"/>
        <v>1500000000</v>
      </c>
      <c r="AB85" s="480"/>
    </row>
    <row r="86" spans="1:28" s="491" customFormat="1" ht="21" customHeight="1" thickBot="1">
      <c r="A86" s="2489"/>
      <c r="B86" s="2117"/>
      <c r="C86" s="675"/>
      <c r="D86" s="675"/>
      <c r="E86" s="675" t="s">
        <v>3601</v>
      </c>
      <c r="F86" s="1261">
        <f>+Y86</f>
        <v>1500</v>
      </c>
      <c r="G86" s="1261">
        <v>1500</v>
      </c>
      <c r="H86" s="942"/>
      <c r="I86" s="2060"/>
      <c r="J86" s="2484" t="s">
        <v>3602</v>
      </c>
      <c r="K86" s="1023"/>
      <c r="L86" s="1023"/>
      <c r="M86" s="1023"/>
      <c r="N86" s="1023"/>
      <c r="O86" s="1023"/>
      <c r="P86" s="1271"/>
      <c r="Q86" s="1271">
        <v>1</v>
      </c>
      <c r="R86" s="2532" t="s">
        <v>3603</v>
      </c>
      <c r="S86" s="2487">
        <v>1500000</v>
      </c>
      <c r="T86" s="2486" t="s">
        <v>3508</v>
      </c>
      <c r="U86" s="1271"/>
      <c r="V86" s="1217">
        <v>1</v>
      </c>
      <c r="W86" s="1023" t="s">
        <v>3579</v>
      </c>
      <c r="X86" s="2533" t="s">
        <v>3517</v>
      </c>
      <c r="Y86" s="2000">
        <f t="shared" ref="Y86" si="4">+Z86/1000</f>
        <v>1500</v>
      </c>
      <c r="Z86" s="736">
        <f>Q86*S86*V86</f>
        <v>1500000</v>
      </c>
      <c r="AA86" s="433">
        <f t="shared" si="3"/>
        <v>1500000000</v>
      </c>
      <c r="AB86" s="492"/>
    </row>
    <row r="87" spans="1:28" s="438" customFormat="1" ht="21" customHeight="1" thickBot="1">
      <c r="A87" s="2489"/>
      <c r="B87" s="2117"/>
      <c r="C87" s="3988" t="s">
        <v>3604</v>
      </c>
      <c r="D87" s="3989"/>
      <c r="E87" s="3990"/>
      <c r="F87" s="2534">
        <f>F88+F148+F170+F209+F239</f>
        <v>2164030</v>
      </c>
      <c r="G87" s="2534">
        <f>G88+G148+G170+G209+G239</f>
        <v>2008400</v>
      </c>
      <c r="H87" s="2535">
        <f>F87-G87</f>
        <v>155630</v>
      </c>
      <c r="I87" s="2060"/>
      <c r="J87" s="2484"/>
      <c r="K87" s="1023"/>
      <c r="L87" s="1023"/>
      <c r="M87" s="1023"/>
      <c r="N87" s="1023"/>
      <c r="O87" s="1023"/>
      <c r="P87" s="1271"/>
      <c r="Q87" s="1271"/>
      <c r="R87" s="2532"/>
      <c r="S87" s="2487"/>
      <c r="T87" s="2486"/>
      <c r="U87" s="1271"/>
      <c r="V87" s="1217"/>
      <c r="W87" s="1023"/>
      <c r="X87" s="2533"/>
      <c r="Y87" s="2000"/>
      <c r="Z87" s="736">
        <f t="shared" ref="Z87:Z88" si="5">F87*1000</f>
        <v>2164030000</v>
      </c>
      <c r="AA87" s="433">
        <f t="shared" si="3"/>
        <v>2164030000000</v>
      </c>
      <c r="AB87" s="449"/>
    </row>
    <row r="88" spans="1:28" ht="21" customHeight="1">
      <c r="A88" s="2489"/>
      <c r="B88" s="2117"/>
      <c r="C88" s="3978" t="s">
        <v>3605</v>
      </c>
      <c r="D88" s="3991"/>
      <c r="E88" s="3979"/>
      <c r="F88" s="2491">
        <f>F89</f>
        <v>1733400</v>
      </c>
      <c r="G88" s="2491">
        <f>G89</f>
        <v>1583400</v>
      </c>
      <c r="H88" s="2492">
        <f>F88-G88</f>
        <v>150000</v>
      </c>
      <c r="I88" s="2060"/>
      <c r="J88" s="1115"/>
      <c r="K88" s="1093"/>
      <c r="L88" s="1093"/>
      <c r="M88" s="1093"/>
      <c r="N88" s="1093"/>
      <c r="O88" s="1231"/>
      <c r="P88" s="2114"/>
      <c r="Q88" s="1232"/>
      <c r="R88" s="2493"/>
      <c r="S88" s="2494"/>
      <c r="T88" s="2495"/>
      <c r="U88" s="1231"/>
      <c r="V88" s="1093"/>
      <c r="W88" s="1093"/>
      <c r="X88" s="1231"/>
      <c r="Y88" s="871"/>
      <c r="Z88" s="736">
        <f t="shared" si="5"/>
        <v>1733400000</v>
      </c>
      <c r="AA88" s="433">
        <f t="shared" si="3"/>
        <v>1733400000000</v>
      </c>
    </row>
    <row r="89" spans="1:28" ht="21" customHeight="1">
      <c r="A89" s="2489"/>
      <c r="B89" s="2117"/>
      <c r="C89" s="692"/>
      <c r="D89" s="3992" t="s">
        <v>3605</v>
      </c>
      <c r="E89" s="3993"/>
      <c r="F89" s="1479">
        <f>SUM(F90:F147)</f>
        <v>1733400</v>
      </c>
      <c r="G89" s="1479">
        <f>SUM(G90:G147)</f>
        <v>1583400</v>
      </c>
      <c r="H89" s="2496">
        <f>F89-G89</f>
        <v>150000</v>
      </c>
      <c r="I89" s="2060"/>
      <c r="J89" s="1074"/>
      <c r="K89" s="2094"/>
      <c r="L89" s="2094"/>
      <c r="M89" s="2094"/>
      <c r="N89" s="2094"/>
      <c r="O89" s="938"/>
      <c r="P89" s="2110"/>
      <c r="Q89" s="1250"/>
      <c r="R89" s="2497"/>
      <c r="S89" s="2498"/>
      <c r="T89" s="2499"/>
      <c r="U89" s="938"/>
      <c r="V89" s="2094"/>
      <c r="W89" s="2094"/>
      <c r="X89" s="938"/>
      <c r="Y89" s="965">
        <f t="shared" ref="Y89:Y147" si="6">+Z89/1000</f>
        <v>1733400</v>
      </c>
      <c r="Z89" s="736">
        <f>F89*1000</f>
        <v>1733400000</v>
      </c>
      <c r="AA89" s="433">
        <f t="shared" si="3"/>
        <v>1733400000000</v>
      </c>
    </row>
    <row r="90" spans="1:28" ht="21" customHeight="1">
      <c r="A90" s="2489"/>
      <c r="B90" s="2117"/>
      <c r="C90" s="2505"/>
      <c r="D90" s="675"/>
      <c r="E90" s="1034" t="s">
        <v>3606</v>
      </c>
      <c r="F90" s="1423">
        <f>Y90</f>
        <v>459800</v>
      </c>
      <c r="G90" s="1423">
        <v>459800</v>
      </c>
      <c r="H90" s="942"/>
      <c r="I90" s="2060"/>
      <c r="J90" s="2536" t="s">
        <v>3607</v>
      </c>
      <c r="K90" s="1111"/>
      <c r="L90" s="1111"/>
      <c r="M90" s="1111"/>
      <c r="N90" s="1111"/>
      <c r="O90" s="1096"/>
      <c r="P90" s="1111"/>
      <c r="Q90" s="2537">
        <v>12</v>
      </c>
      <c r="R90" s="2538" t="s">
        <v>3608</v>
      </c>
      <c r="S90" s="1109">
        <v>2394791.6666666665</v>
      </c>
      <c r="T90" s="2495" t="s">
        <v>3609</v>
      </c>
      <c r="U90" s="1111"/>
      <c r="V90" s="1112">
        <v>16</v>
      </c>
      <c r="W90" s="1093" t="s">
        <v>3610</v>
      </c>
      <c r="X90" s="1093" t="s">
        <v>3611</v>
      </c>
      <c r="Y90" s="981">
        <f t="shared" si="6"/>
        <v>459800</v>
      </c>
      <c r="Z90" s="915">
        <f>S90*V90*Q90</f>
        <v>459800000</v>
      </c>
      <c r="AA90" s="433">
        <f t="shared" si="3"/>
        <v>459800000000</v>
      </c>
    </row>
    <row r="91" spans="1:28" ht="21" customHeight="1">
      <c r="A91" s="2489"/>
      <c r="B91" s="2117"/>
      <c r="C91" s="675"/>
      <c r="D91" s="675"/>
      <c r="E91" s="1034" t="s">
        <v>3612</v>
      </c>
      <c r="F91" s="1423">
        <f>+Y91</f>
        <v>49700</v>
      </c>
      <c r="G91" s="1423">
        <v>49700</v>
      </c>
      <c r="H91" s="942"/>
      <c r="I91" s="2060"/>
      <c r="J91" s="2515" t="s">
        <v>3613</v>
      </c>
      <c r="K91" s="1035"/>
      <c r="L91" s="1035"/>
      <c r="M91" s="1035"/>
      <c r="N91" s="1035"/>
      <c r="O91" s="1035"/>
      <c r="P91" s="1194"/>
      <c r="Q91" s="1035"/>
      <c r="R91" s="2516"/>
      <c r="S91" s="2539"/>
      <c r="T91" s="2516"/>
      <c r="U91" s="1035"/>
      <c r="V91" s="1194"/>
      <c r="W91" s="1035"/>
      <c r="X91" s="1035"/>
      <c r="Y91" s="861">
        <f t="shared" si="6"/>
        <v>49700</v>
      </c>
      <c r="Z91" s="736">
        <f>SUM(Z92:Z95)</f>
        <v>49700000</v>
      </c>
      <c r="AA91" s="433">
        <f t="shared" si="3"/>
        <v>49700000000</v>
      </c>
    </row>
    <row r="92" spans="1:28" s="438" customFormat="1" ht="21" customHeight="1">
      <c r="A92" s="2489"/>
      <c r="B92" s="2117"/>
      <c r="C92" s="675"/>
      <c r="D92" s="675"/>
      <c r="E92" s="675"/>
      <c r="F92" s="1261"/>
      <c r="G92" s="1261"/>
      <c r="H92" s="1239"/>
      <c r="I92" s="2060"/>
      <c r="J92" s="791" t="s">
        <v>3614</v>
      </c>
      <c r="K92" s="709"/>
      <c r="L92" s="709"/>
      <c r="M92" s="709"/>
      <c r="N92" s="709"/>
      <c r="O92" s="709"/>
      <c r="P92" s="736"/>
      <c r="Q92" s="2540">
        <v>500</v>
      </c>
      <c r="R92" s="1678" t="s">
        <v>72</v>
      </c>
      <c r="S92" s="735">
        <v>17000</v>
      </c>
      <c r="T92" s="1678" t="s">
        <v>56</v>
      </c>
      <c r="U92" s="683"/>
      <c r="V92" s="730">
        <v>5</v>
      </c>
      <c r="W92" s="709" t="s">
        <v>3516</v>
      </c>
      <c r="X92" s="2509" t="s">
        <v>3517</v>
      </c>
      <c r="Y92" s="871">
        <f t="shared" si="6"/>
        <v>42500</v>
      </c>
      <c r="Z92" s="867">
        <f>Q92*S92*V92</f>
        <v>42500000</v>
      </c>
      <c r="AA92" s="433">
        <f t="shared" si="3"/>
        <v>0</v>
      </c>
      <c r="AB92" s="449"/>
    </row>
    <row r="93" spans="1:28" ht="21" customHeight="1">
      <c r="A93" s="2489"/>
      <c r="B93" s="2117"/>
      <c r="C93" s="675"/>
      <c r="D93" s="675"/>
      <c r="E93" s="675"/>
      <c r="F93" s="1261"/>
      <c r="G93" s="1261"/>
      <c r="H93" s="1239"/>
      <c r="I93" s="2060"/>
      <c r="J93" s="791" t="s">
        <v>3615</v>
      </c>
      <c r="K93" s="709"/>
      <c r="L93" s="709"/>
      <c r="M93" s="709"/>
      <c r="N93" s="709"/>
      <c r="O93" s="709"/>
      <c r="P93" s="736"/>
      <c r="Q93" s="2541">
        <v>100</v>
      </c>
      <c r="R93" s="1678" t="s">
        <v>72</v>
      </c>
      <c r="S93" s="735">
        <v>2000</v>
      </c>
      <c r="T93" s="1678" t="s">
        <v>56</v>
      </c>
      <c r="U93" s="683"/>
      <c r="V93" s="730">
        <v>5</v>
      </c>
      <c r="W93" s="709" t="s">
        <v>3516</v>
      </c>
      <c r="X93" s="2509" t="s">
        <v>3517</v>
      </c>
      <c r="Y93" s="871">
        <f t="shared" si="6"/>
        <v>1000</v>
      </c>
      <c r="Z93" s="867">
        <f>Q93*S93*V93</f>
        <v>1000000</v>
      </c>
      <c r="AA93" s="433">
        <f t="shared" si="3"/>
        <v>0</v>
      </c>
    </row>
    <row r="94" spans="1:28" ht="21" customHeight="1">
      <c r="A94" s="2489"/>
      <c r="B94" s="2117"/>
      <c r="C94" s="675"/>
      <c r="D94" s="675"/>
      <c r="E94" s="675"/>
      <c r="F94" s="1261"/>
      <c r="G94" s="1261"/>
      <c r="H94" s="1239"/>
      <c r="I94" s="2060"/>
      <c r="J94" s="791" t="s">
        <v>3616</v>
      </c>
      <c r="K94" s="709"/>
      <c r="L94" s="709"/>
      <c r="M94" s="709"/>
      <c r="N94" s="709"/>
      <c r="O94" s="709"/>
      <c r="P94" s="736"/>
      <c r="Q94" s="2540">
        <v>300</v>
      </c>
      <c r="R94" s="1678" t="s">
        <v>72</v>
      </c>
      <c r="S94" s="735">
        <v>10000</v>
      </c>
      <c r="T94" s="1678" t="s">
        <v>56</v>
      </c>
      <c r="U94" s="683"/>
      <c r="V94" s="730">
        <v>2</v>
      </c>
      <c r="W94" s="709" t="s">
        <v>3516</v>
      </c>
      <c r="X94" s="709" t="s">
        <v>3517</v>
      </c>
      <c r="Y94" s="871">
        <f t="shared" si="6"/>
        <v>6000</v>
      </c>
      <c r="Z94" s="867">
        <f>Q94*S94*V94</f>
        <v>6000000</v>
      </c>
      <c r="AA94" s="433">
        <f t="shared" si="3"/>
        <v>0</v>
      </c>
    </row>
    <row r="95" spans="1:28" s="438" customFormat="1" ht="21" customHeight="1">
      <c r="A95" s="2489"/>
      <c r="B95" s="2117"/>
      <c r="C95" s="675"/>
      <c r="D95" s="675"/>
      <c r="E95" s="970"/>
      <c r="F95" s="1385"/>
      <c r="G95" s="1385"/>
      <c r="H95" s="1208"/>
      <c r="I95" s="2060"/>
      <c r="J95" s="1115" t="s">
        <v>3617</v>
      </c>
      <c r="K95" s="1093"/>
      <c r="L95" s="1093"/>
      <c r="M95" s="1093"/>
      <c r="N95" s="1093"/>
      <c r="O95" s="1093"/>
      <c r="P95" s="1116"/>
      <c r="Q95" s="2542">
        <v>20</v>
      </c>
      <c r="R95" s="2495" t="s">
        <v>72</v>
      </c>
      <c r="S95" s="1187">
        <v>5000</v>
      </c>
      <c r="T95" s="2495" t="s">
        <v>56</v>
      </c>
      <c r="U95" s="2044"/>
      <c r="V95" s="1094">
        <v>2</v>
      </c>
      <c r="W95" s="1093" t="s">
        <v>3516</v>
      </c>
      <c r="X95" s="2525" t="s">
        <v>3517</v>
      </c>
      <c r="Y95" s="981">
        <f t="shared" si="6"/>
        <v>200</v>
      </c>
      <c r="Z95" s="867">
        <f>Q95*S95*V95</f>
        <v>200000</v>
      </c>
      <c r="AA95" s="433">
        <f t="shared" si="3"/>
        <v>0</v>
      </c>
      <c r="AB95" s="449"/>
    </row>
    <row r="96" spans="1:28" ht="21" customHeight="1">
      <c r="A96" s="2489"/>
      <c r="B96" s="2117"/>
      <c r="C96" s="675"/>
      <c r="D96" s="675"/>
      <c r="E96" s="1191" t="s">
        <v>3518</v>
      </c>
      <c r="F96" s="2061">
        <f>+Y96</f>
        <v>400</v>
      </c>
      <c r="G96" s="2061">
        <v>400</v>
      </c>
      <c r="H96" s="933"/>
      <c r="I96" s="2060"/>
      <c r="J96" s="1074" t="s">
        <v>3618</v>
      </c>
      <c r="K96" s="2094"/>
      <c r="L96" s="2094"/>
      <c r="M96" s="2094"/>
      <c r="N96" s="2094"/>
      <c r="O96" s="2094"/>
      <c r="P96" s="1259"/>
      <c r="Q96" s="1259"/>
      <c r="R96" s="2543"/>
      <c r="S96" s="1210">
        <v>100000</v>
      </c>
      <c r="T96" s="2499" t="s">
        <v>3508</v>
      </c>
      <c r="U96" s="1259"/>
      <c r="V96" s="1063">
        <v>4</v>
      </c>
      <c r="W96" s="2094" t="s">
        <v>3619</v>
      </c>
      <c r="X96" s="1994" t="s">
        <v>3517</v>
      </c>
      <c r="Y96" s="965">
        <f t="shared" si="6"/>
        <v>400</v>
      </c>
      <c r="Z96" s="736">
        <f>+S96*V96</f>
        <v>400000</v>
      </c>
      <c r="AA96" s="433">
        <f t="shared" si="3"/>
        <v>400000000</v>
      </c>
    </row>
    <row r="97" spans="1:28" s="438" customFormat="1" ht="21" customHeight="1">
      <c r="A97" s="2489"/>
      <c r="B97" s="2117"/>
      <c r="C97" s="675"/>
      <c r="D97" s="676"/>
      <c r="E97" s="2544" t="s">
        <v>3620</v>
      </c>
      <c r="F97" s="2061">
        <f>+Y97</f>
        <v>9800</v>
      </c>
      <c r="G97" s="2061">
        <v>9800</v>
      </c>
      <c r="H97" s="933"/>
      <c r="I97" s="2060"/>
      <c r="J97" s="1074" t="s">
        <v>3621</v>
      </c>
      <c r="K97" s="2094"/>
      <c r="L97" s="2094"/>
      <c r="M97" s="2094"/>
      <c r="N97" s="2094"/>
      <c r="O97" s="2094"/>
      <c r="P97" s="1075"/>
      <c r="Q97" s="2094">
        <v>7</v>
      </c>
      <c r="R97" s="2499" t="s">
        <v>3622</v>
      </c>
      <c r="S97" s="1210">
        <v>350000</v>
      </c>
      <c r="T97" s="2499" t="s">
        <v>3508</v>
      </c>
      <c r="U97" s="1259"/>
      <c r="V97" s="1063">
        <v>4</v>
      </c>
      <c r="W97" s="2094" t="s">
        <v>3623</v>
      </c>
      <c r="X97" s="1994" t="s">
        <v>3517</v>
      </c>
      <c r="Y97" s="965">
        <f t="shared" si="6"/>
        <v>9800</v>
      </c>
      <c r="Z97" s="736">
        <f>Q97*S97*V97</f>
        <v>9800000</v>
      </c>
      <c r="AA97" s="433">
        <f t="shared" si="3"/>
        <v>9800000000</v>
      </c>
      <c r="AB97" s="449"/>
    </row>
    <row r="98" spans="1:28" ht="21" customHeight="1">
      <c r="A98" s="2489"/>
      <c r="B98" s="2117"/>
      <c r="C98" s="675"/>
      <c r="D98" s="675"/>
      <c r="E98" s="1034" t="s">
        <v>3538</v>
      </c>
      <c r="F98" s="1423">
        <f>+Y98</f>
        <v>115800</v>
      </c>
      <c r="G98" s="1423">
        <v>90600</v>
      </c>
      <c r="H98" s="942">
        <f>F98-G98</f>
        <v>25200</v>
      </c>
      <c r="I98" s="2060"/>
      <c r="J98" s="2515" t="s">
        <v>3519</v>
      </c>
      <c r="K98" s="1035"/>
      <c r="L98" s="1035"/>
      <c r="M98" s="1035"/>
      <c r="N98" s="1035"/>
      <c r="O98" s="1035"/>
      <c r="P98" s="1194"/>
      <c r="Q98" s="1035"/>
      <c r="R98" s="2516"/>
      <c r="S98" s="2539"/>
      <c r="T98" s="2516"/>
      <c r="U98" s="1035"/>
      <c r="V98" s="1194"/>
      <c r="W98" s="1035"/>
      <c r="X98" s="1035"/>
      <c r="Y98" s="861">
        <f>SUM(Y99:Y104)</f>
        <v>115800</v>
      </c>
      <c r="Z98" s="736">
        <f>SUM(Z99:Z103)</f>
        <v>111000000</v>
      </c>
      <c r="AA98" s="433">
        <f t="shared" si="3"/>
        <v>115800000000</v>
      </c>
    </row>
    <row r="99" spans="1:28" ht="21" customHeight="1">
      <c r="A99" s="2489"/>
      <c r="B99" s="2117"/>
      <c r="C99" s="675"/>
      <c r="D99" s="675"/>
      <c r="E99" s="675"/>
      <c r="F99" s="1261"/>
      <c r="G99" s="1261"/>
      <c r="H99" s="1239"/>
      <c r="I99" s="2060"/>
      <c r="J99" s="673" t="s">
        <v>3624</v>
      </c>
      <c r="K99" s="917"/>
      <c r="L99" s="917"/>
      <c r="M99" s="917"/>
      <c r="N99" s="917"/>
      <c r="O99" s="917"/>
      <c r="P99" s="683"/>
      <c r="Q99" s="683"/>
      <c r="R99" s="2522"/>
      <c r="S99" s="728">
        <v>3000000</v>
      </c>
      <c r="T99" s="1678" t="s">
        <v>3508</v>
      </c>
      <c r="U99" s="736"/>
      <c r="V99" s="709">
        <v>16</v>
      </c>
      <c r="W99" s="709" t="s">
        <v>3516</v>
      </c>
      <c r="X99" s="2509" t="s">
        <v>3517</v>
      </c>
      <c r="Y99" s="871">
        <f>+Z99/1000</f>
        <v>48000</v>
      </c>
      <c r="Z99" s="736">
        <f>S99*V99</f>
        <v>48000000</v>
      </c>
      <c r="AA99" s="433">
        <f t="shared" si="3"/>
        <v>0</v>
      </c>
    </row>
    <row r="100" spans="1:28" s="438" customFormat="1" ht="21" customHeight="1">
      <c r="A100" s="2489"/>
      <c r="B100" s="2117"/>
      <c r="C100" s="675"/>
      <c r="D100" s="675"/>
      <c r="E100" s="675"/>
      <c r="F100" s="1261"/>
      <c r="G100" s="1261"/>
      <c r="H100" s="1239"/>
      <c r="I100" s="2060"/>
      <c r="J100" s="673" t="s">
        <v>3625</v>
      </c>
      <c r="K100" s="917"/>
      <c r="L100" s="917"/>
      <c r="M100" s="917"/>
      <c r="N100" s="917"/>
      <c r="O100" s="917"/>
      <c r="P100" s="683"/>
      <c r="Q100" s="683"/>
      <c r="R100" s="2522"/>
      <c r="S100" s="728">
        <v>300000</v>
      </c>
      <c r="T100" s="1678" t="s">
        <v>3508</v>
      </c>
      <c r="U100" s="736"/>
      <c r="V100" s="709">
        <v>12</v>
      </c>
      <c r="W100" s="709" t="s">
        <v>3516</v>
      </c>
      <c r="X100" s="2509" t="s">
        <v>3517</v>
      </c>
      <c r="Y100" s="871">
        <f t="shared" si="6"/>
        <v>3600</v>
      </c>
      <c r="Z100" s="736">
        <f>S100*V100</f>
        <v>3600000</v>
      </c>
      <c r="AA100" s="433">
        <f t="shared" si="3"/>
        <v>0</v>
      </c>
      <c r="AB100" s="449"/>
    </row>
    <row r="101" spans="1:28" s="438" customFormat="1" ht="21" customHeight="1">
      <c r="A101" s="2489"/>
      <c r="B101" s="2117"/>
      <c r="C101" s="675"/>
      <c r="D101" s="675"/>
      <c r="E101" s="675"/>
      <c r="F101" s="1261"/>
      <c r="G101" s="1261"/>
      <c r="H101" s="1239"/>
      <c r="I101" s="2060"/>
      <c r="J101" s="673" t="s">
        <v>3626</v>
      </c>
      <c r="K101" s="917"/>
      <c r="L101" s="917"/>
      <c r="M101" s="917"/>
      <c r="N101" s="917"/>
      <c r="O101" s="917"/>
      <c r="P101" s="683"/>
      <c r="Q101" s="683"/>
      <c r="R101" s="2522"/>
      <c r="S101" s="728">
        <v>1350000</v>
      </c>
      <c r="T101" s="1678" t="s">
        <v>3508</v>
      </c>
      <c r="U101" s="736"/>
      <c r="V101" s="709">
        <v>12</v>
      </c>
      <c r="W101" s="709" t="s">
        <v>3516</v>
      </c>
      <c r="X101" s="2509" t="s">
        <v>3517</v>
      </c>
      <c r="Y101" s="871">
        <f t="shared" si="6"/>
        <v>16200</v>
      </c>
      <c r="Z101" s="736">
        <f>S101*V101</f>
        <v>16200000</v>
      </c>
      <c r="AA101" s="433">
        <f t="shared" si="3"/>
        <v>0</v>
      </c>
      <c r="AB101" s="449"/>
    </row>
    <row r="102" spans="1:28" s="438" customFormat="1" ht="21" customHeight="1">
      <c r="A102" s="2489"/>
      <c r="B102" s="2117"/>
      <c r="C102" s="675"/>
      <c r="D102" s="675"/>
      <c r="E102" s="675"/>
      <c r="F102" s="1261"/>
      <c r="G102" s="1261"/>
      <c r="H102" s="1239"/>
      <c r="I102" s="2060"/>
      <c r="J102" s="673" t="s">
        <v>3627</v>
      </c>
      <c r="K102" s="917"/>
      <c r="L102" s="917"/>
      <c r="M102" s="917"/>
      <c r="N102" s="917"/>
      <c r="O102" s="917"/>
      <c r="P102" s="683"/>
      <c r="Q102" s="683"/>
      <c r="R102" s="2522"/>
      <c r="S102" s="728">
        <v>2500000</v>
      </c>
      <c r="T102" s="1678" t="s">
        <v>3508</v>
      </c>
      <c r="U102" s="736"/>
      <c r="V102" s="709">
        <v>12</v>
      </c>
      <c r="W102" s="709" t="s">
        <v>3516</v>
      </c>
      <c r="X102" s="2509" t="s">
        <v>3517</v>
      </c>
      <c r="Y102" s="871">
        <f t="shared" si="6"/>
        <v>30000</v>
      </c>
      <c r="Z102" s="736">
        <f>S102*V102</f>
        <v>30000000</v>
      </c>
      <c r="AA102" s="433">
        <f t="shared" si="3"/>
        <v>0</v>
      </c>
      <c r="AB102" s="449"/>
    </row>
    <row r="103" spans="1:28" s="438" customFormat="1" ht="21" customHeight="1">
      <c r="A103" s="2489"/>
      <c r="B103" s="2117"/>
      <c r="C103" s="675"/>
      <c r="D103" s="675"/>
      <c r="E103" s="675"/>
      <c r="F103" s="1261"/>
      <c r="G103" s="1261"/>
      <c r="H103" s="1239"/>
      <c r="I103" s="2060"/>
      <c r="J103" s="3644" t="s">
        <v>5975</v>
      </c>
      <c r="K103" s="917"/>
      <c r="L103" s="917"/>
      <c r="M103" s="917"/>
      <c r="N103" s="917"/>
      <c r="O103" s="917"/>
      <c r="P103" s="709"/>
      <c r="Q103" s="709"/>
      <c r="R103" s="2522"/>
      <c r="S103" s="728">
        <v>6600000</v>
      </c>
      <c r="T103" s="1678" t="s">
        <v>3508</v>
      </c>
      <c r="U103" s="736"/>
      <c r="V103" s="709">
        <v>2</v>
      </c>
      <c r="W103" s="3641" t="s">
        <v>233</v>
      </c>
      <c r="X103" s="2509" t="s">
        <v>3517</v>
      </c>
      <c r="Y103" s="871">
        <f t="shared" si="6"/>
        <v>13200</v>
      </c>
      <c r="Z103" s="736">
        <f>S103*V103</f>
        <v>13200000</v>
      </c>
      <c r="AA103" s="433">
        <f t="shared" si="3"/>
        <v>0</v>
      </c>
      <c r="AB103" s="449"/>
    </row>
    <row r="104" spans="1:28" s="1679" customFormat="1" ht="21" customHeight="1">
      <c r="A104" s="2489"/>
      <c r="B104" s="3655"/>
      <c r="C104" s="675"/>
      <c r="D104" s="675"/>
      <c r="E104" s="675"/>
      <c r="F104" s="1261"/>
      <c r="G104" s="1261"/>
      <c r="H104" s="1239"/>
      <c r="I104" s="2060"/>
      <c r="J104" s="2988" t="s">
        <v>5970</v>
      </c>
      <c r="K104" s="457"/>
      <c r="L104" s="457"/>
      <c r="M104" s="457"/>
      <c r="N104" s="457"/>
      <c r="O104" s="457"/>
      <c r="P104" s="1842"/>
      <c r="Q104" s="1842">
        <v>4</v>
      </c>
      <c r="R104" s="3667" t="s">
        <v>5971</v>
      </c>
      <c r="S104" s="3668">
        <v>150000</v>
      </c>
      <c r="T104" s="3669" t="s">
        <v>5972</v>
      </c>
      <c r="U104" s="3670"/>
      <c r="V104" s="1842">
        <v>8</v>
      </c>
      <c r="W104" s="1842" t="s">
        <v>5973</v>
      </c>
      <c r="X104" s="3671" t="s">
        <v>5974</v>
      </c>
      <c r="Y104" s="3672">
        <f t="shared" si="6"/>
        <v>4800</v>
      </c>
      <c r="Z104" s="3670">
        <f>Q104*S104*V104</f>
        <v>4800000</v>
      </c>
      <c r="AA104" s="433">
        <f t="shared" si="3"/>
        <v>0</v>
      </c>
      <c r="AB104" s="449"/>
    </row>
    <row r="105" spans="1:28" s="438" customFormat="1" ht="21" customHeight="1">
      <c r="A105" s="2489"/>
      <c r="B105" s="2117"/>
      <c r="C105" s="675"/>
      <c r="D105" s="675"/>
      <c r="E105" s="1191" t="s">
        <v>3628</v>
      </c>
      <c r="F105" s="2061">
        <f>+Y105</f>
        <v>3900</v>
      </c>
      <c r="G105" s="2061">
        <v>3600</v>
      </c>
      <c r="H105" s="933">
        <f>F105-G105</f>
        <v>300</v>
      </c>
      <c r="I105" s="2060"/>
      <c r="J105" s="1074" t="s">
        <v>3629</v>
      </c>
      <c r="K105" s="2094"/>
      <c r="L105" s="2094"/>
      <c r="M105" s="2094"/>
      <c r="N105" s="2094"/>
      <c r="O105" s="2094"/>
      <c r="P105" s="1075"/>
      <c r="Q105" s="2094"/>
      <c r="R105" s="2499"/>
      <c r="S105" s="2545">
        <v>325000</v>
      </c>
      <c r="T105" s="2499" t="s">
        <v>3508</v>
      </c>
      <c r="U105" s="2094"/>
      <c r="V105" s="1084">
        <v>12</v>
      </c>
      <c r="W105" s="1084" t="s">
        <v>3525</v>
      </c>
      <c r="X105" s="1994" t="s">
        <v>3517</v>
      </c>
      <c r="Y105" s="965">
        <f t="shared" si="6"/>
        <v>3900</v>
      </c>
      <c r="Z105" s="736">
        <f>S105*V105</f>
        <v>3900000</v>
      </c>
      <c r="AA105" s="433">
        <f t="shared" si="3"/>
        <v>3900000000</v>
      </c>
      <c r="AB105" s="449"/>
    </row>
    <row r="106" spans="1:28" ht="21" customHeight="1">
      <c r="A106" s="2489"/>
      <c r="B106" s="2117"/>
      <c r="C106" s="675"/>
      <c r="D106" s="675"/>
      <c r="E106" s="675" t="s">
        <v>3553</v>
      </c>
      <c r="F106" s="1261">
        <f>Y106</f>
        <v>74650</v>
      </c>
      <c r="G106" s="1261">
        <v>74400</v>
      </c>
      <c r="H106" s="1239">
        <f>F106-G106</f>
        <v>250</v>
      </c>
      <c r="I106" s="2060"/>
      <c r="J106" s="791" t="s">
        <v>3519</v>
      </c>
      <c r="K106" s="709"/>
      <c r="L106" s="709"/>
      <c r="M106" s="709"/>
      <c r="N106" s="709"/>
      <c r="O106" s="709"/>
      <c r="P106" s="736"/>
      <c r="Q106" s="709"/>
      <c r="R106" s="1678"/>
      <c r="S106" s="2181"/>
      <c r="T106" s="1678"/>
      <c r="U106" s="709"/>
      <c r="V106" s="736"/>
      <c r="W106" s="709"/>
      <c r="X106" s="709"/>
      <c r="Y106" s="861">
        <f t="shared" si="6"/>
        <v>74650</v>
      </c>
      <c r="Z106" s="736">
        <f>SUM(Z107:Z109)</f>
        <v>74650000</v>
      </c>
      <c r="AA106" s="433">
        <f t="shared" si="3"/>
        <v>74650000000</v>
      </c>
    </row>
    <row r="107" spans="1:28" ht="21" customHeight="1">
      <c r="A107" s="2489"/>
      <c r="B107" s="2117"/>
      <c r="C107" s="675"/>
      <c r="D107" s="675"/>
      <c r="E107" s="675"/>
      <c r="F107" s="1261"/>
      <c r="G107" s="1261"/>
      <c r="H107" s="1239"/>
      <c r="I107" s="2060"/>
      <c r="J107" s="791" t="s">
        <v>3630</v>
      </c>
      <c r="K107" s="709"/>
      <c r="L107" s="709"/>
      <c r="M107" s="709"/>
      <c r="N107" s="709"/>
      <c r="O107" s="709">
        <v>6</v>
      </c>
      <c r="P107" s="736" t="s">
        <v>3631</v>
      </c>
      <c r="Q107" s="709">
        <v>4</v>
      </c>
      <c r="R107" s="1678" t="s">
        <v>3555</v>
      </c>
      <c r="S107" s="728">
        <v>35416.666666666664</v>
      </c>
      <c r="T107" s="1678" t="s">
        <v>3508</v>
      </c>
      <c r="U107" s="709"/>
      <c r="V107" s="736">
        <v>1</v>
      </c>
      <c r="W107" s="709" t="s">
        <v>3570</v>
      </c>
      <c r="X107" s="2509" t="s">
        <v>3517</v>
      </c>
      <c r="Y107" s="871">
        <f t="shared" si="6"/>
        <v>850</v>
      </c>
      <c r="Z107" s="736">
        <f>O107*Q107*S107*V107</f>
        <v>850000</v>
      </c>
      <c r="AA107" s="433">
        <f t="shared" si="3"/>
        <v>0</v>
      </c>
    </row>
    <row r="108" spans="1:28" s="438" customFormat="1" ht="21" customHeight="1">
      <c r="A108" s="2489"/>
      <c r="B108" s="2117"/>
      <c r="C108" s="675"/>
      <c r="D108" s="675"/>
      <c r="E108" s="675"/>
      <c r="F108" s="1261"/>
      <c r="G108" s="1261"/>
      <c r="H108" s="1239"/>
      <c r="I108" s="2060"/>
      <c r="J108" s="791" t="s">
        <v>3632</v>
      </c>
      <c r="K108" s="709"/>
      <c r="L108" s="709"/>
      <c r="M108" s="709"/>
      <c r="N108" s="709"/>
      <c r="O108" s="709">
        <v>5</v>
      </c>
      <c r="P108" s="736" t="s">
        <v>3555</v>
      </c>
      <c r="Q108" s="709">
        <v>4</v>
      </c>
      <c r="R108" s="1678" t="s">
        <v>3633</v>
      </c>
      <c r="S108" s="728">
        <v>565000</v>
      </c>
      <c r="T108" s="1678" t="s">
        <v>3508</v>
      </c>
      <c r="U108" s="709"/>
      <c r="V108" s="736">
        <v>6</v>
      </c>
      <c r="W108" s="709" t="s">
        <v>3570</v>
      </c>
      <c r="X108" s="2509" t="s">
        <v>3517</v>
      </c>
      <c r="Y108" s="871">
        <f t="shared" si="6"/>
        <v>67800</v>
      </c>
      <c r="Z108" s="736">
        <f>O108*Q108*S108*V108</f>
        <v>67800000</v>
      </c>
      <c r="AA108" s="433">
        <f t="shared" si="3"/>
        <v>0</v>
      </c>
      <c r="AB108" s="449"/>
    </row>
    <row r="109" spans="1:28" ht="21" customHeight="1">
      <c r="A109" s="2489"/>
      <c r="B109" s="2117"/>
      <c r="C109" s="675"/>
      <c r="D109" s="675"/>
      <c r="E109" s="675"/>
      <c r="F109" s="1261"/>
      <c r="G109" s="1261"/>
      <c r="H109" s="1239"/>
      <c r="I109" s="2060"/>
      <c r="J109" s="791" t="s">
        <v>3634</v>
      </c>
      <c r="K109" s="709"/>
      <c r="L109" s="709"/>
      <c r="M109" s="709"/>
      <c r="N109" s="709"/>
      <c r="O109" s="709">
        <v>10</v>
      </c>
      <c r="P109" s="736" t="s">
        <v>3635</v>
      </c>
      <c r="Q109" s="709">
        <v>10</v>
      </c>
      <c r="R109" s="1678" t="s">
        <v>3555</v>
      </c>
      <c r="S109" s="728">
        <v>20000</v>
      </c>
      <c r="T109" s="1678" t="s">
        <v>3508</v>
      </c>
      <c r="U109" s="709"/>
      <c r="V109" s="736">
        <v>3</v>
      </c>
      <c r="W109" s="709" t="s">
        <v>3570</v>
      </c>
      <c r="X109" s="2509" t="s">
        <v>3517</v>
      </c>
      <c r="Y109" s="871">
        <f t="shared" si="6"/>
        <v>6000</v>
      </c>
      <c r="Z109" s="736">
        <f>O109*Q109*S109*V109</f>
        <v>6000000</v>
      </c>
      <c r="AA109" s="433">
        <f t="shared" si="3"/>
        <v>0</v>
      </c>
    </row>
    <row r="110" spans="1:28" ht="21" customHeight="1">
      <c r="A110" s="2489"/>
      <c r="B110" s="2117"/>
      <c r="C110" s="675"/>
      <c r="D110" s="675"/>
      <c r="E110" s="1191" t="s">
        <v>3557</v>
      </c>
      <c r="F110" s="2061">
        <f>+Y110</f>
        <v>6400</v>
      </c>
      <c r="G110" s="2061">
        <v>5600</v>
      </c>
      <c r="H110" s="933">
        <f>F110-G110</f>
        <v>800</v>
      </c>
      <c r="I110" s="2060"/>
      <c r="J110" s="1074" t="s">
        <v>3636</v>
      </c>
      <c r="K110" s="2094"/>
      <c r="L110" s="2094"/>
      <c r="M110" s="2094"/>
      <c r="N110" s="2094"/>
      <c r="O110" s="2094"/>
      <c r="P110" s="1075"/>
      <c r="Q110" s="1075">
        <v>8</v>
      </c>
      <c r="R110" s="2543" t="s">
        <v>3622</v>
      </c>
      <c r="S110" s="1210">
        <v>200000</v>
      </c>
      <c r="T110" s="2499" t="s">
        <v>3508</v>
      </c>
      <c r="U110" s="1259"/>
      <c r="V110" s="1075">
        <v>4</v>
      </c>
      <c r="W110" s="2094" t="s">
        <v>3623</v>
      </c>
      <c r="X110" s="1994" t="s">
        <v>3517</v>
      </c>
      <c r="Y110" s="965">
        <f t="shared" si="6"/>
        <v>6400</v>
      </c>
      <c r="Z110" s="736">
        <f>+Q110*S110*V110</f>
        <v>6400000</v>
      </c>
      <c r="AA110" s="433">
        <f t="shared" si="3"/>
        <v>6400000000</v>
      </c>
    </row>
    <row r="111" spans="1:28" s="438" customFormat="1" ht="21" customHeight="1">
      <c r="A111" s="2489"/>
      <c r="B111" s="2117"/>
      <c r="C111" s="675"/>
      <c r="D111" s="675"/>
      <c r="E111" s="675" t="s">
        <v>3571</v>
      </c>
      <c r="F111" s="1261">
        <f>+Y111</f>
        <v>32700</v>
      </c>
      <c r="G111" s="1261">
        <v>31200</v>
      </c>
      <c r="H111" s="1239">
        <f>F111-G111</f>
        <v>1500</v>
      </c>
      <c r="I111" s="2060"/>
      <c r="J111" s="791" t="s">
        <v>3519</v>
      </c>
      <c r="K111" s="917"/>
      <c r="L111" s="917"/>
      <c r="M111" s="917"/>
      <c r="N111" s="917"/>
      <c r="O111" s="917"/>
      <c r="P111" s="736"/>
      <c r="Q111" s="709"/>
      <c r="R111" s="1678"/>
      <c r="S111" s="2181"/>
      <c r="T111" s="1678"/>
      <c r="U111" s="709"/>
      <c r="V111" s="736"/>
      <c r="W111" s="709"/>
      <c r="X111" s="709"/>
      <c r="Y111" s="871">
        <f t="shared" si="6"/>
        <v>32700</v>
      </c>
      <c r="Z111" s="736">
        <f>SUM(Z112:Z114)</f>
        <v>32700000</v>
      </c>
      <c r="AA111" s="433">
        <f t="shared" si="3"/>
        <v>32700000000</v>
      </c>
      <c r="AB111" s="449"/>
    </row>
    <row r="112" spans="1:28" ht="22.5" customHeight="1">
      <c r="A112" s="2489"/>
      <c r="B112" s="2117"/>
      <c r="C112" s="675"/>
      <c r="D112" s="675"/>
      <c r="E112" s="675"/>
      <c r="F112" s="1261"/>
      <c r="G112" s="1261"/>
      <c r="H112" s="1239"/>
      <c r="I112" s="2060"/>
      <c r="J112" s="673" t="s">
        <v>3637</v>
      </c>
      <c r="K112" s="917"/>
      <c r="L112" s="917"/>
      <c r="M112" s="917"/>
      <c r="N112" s="917"/>
      <c r="O112" s="917"/>
      <c r="P112" s="683"/>
      <c r="Q112" s="736">
        <v>3</v>
      </c>
      <c r="R112" s="1678" t="s">
        <v>3599</v>
      </c>
      <c r="S112" s="728">
        <v>300000</v>
      </c>
      <c r="T112" s="1678" t="s">
        <v>3508</v>
      </c>
      <c r="U112" s="736"/>
      <c r="V112" s="736">
        <v>15</v>
      </c>
      <c r="W112" s="683" t="s">
        <v>3516</v>
      </c>
      <c r="X112" s="2509" t="s">
        <v>3517</v>
      </c>
      <c r="Y112" s="871">
        <f t="shared" si="6"/>
        <v>13500</v>
      </c>
      <c r="Z112" s="736">
        <f>S112*Q112*V112</f>
        <v>13500000</v>
      </c>
      <c r="AA112" s="433">
        <f t="shared" si="3"/>
        <v>0</v>
      </c>
    </row>
    <row r="113" spans="1:28" ht="22.5" customHeight="1">
      <c r="A113" s="2489"/>
      <c r="B113" s="2117"/>
      <c r="C113" s="675"/>
      <c r="D113" s="675"/>
      <c r="E113" s="675"/>
      <c r="F113" s="1261"/>
      <c r="G113" s="1261"/>
      <c r="H113" s="1239"/>
      <c r="I113" s="2060"/>
      <c r="J113" s="673" t="s">
        <v>3638</v>
      </c>
      <c r="K113" s="917"/>
      <c r="L113" s="917"/>
      <c r="M113" s="917"/>
      <c r="N113" s="917"/>
      <c r="O113" s="917"/>
      <c r="P113" s="683"/>
      <c r="Q113" s="736">
        <v>4</v>
      </c>
      <c r="R113" s="1678" t="s">
        <v>3599</v>
      </c>
      <c r="S113" s="728">
        <v>1125000</v>
      </c>
      <c r="T113" s="1678" t="s">
        <v>3508</v>
      </c>
      <c r="U113" s="736"/>
      <c r="V113" s="736">
        <v>4</v>
      </c>
      <c r="W113" s="683" t="s">
        <v>3516</v>
      </c>
      <c r="X113" s="2509" t="s">
        <v>3517</v>
      </c>
      <c r="Y113" s="871">
        <f t="shared" si="6"/>
        <v>18000</v>
      </c>
      <c r="Z113" s="736">
        <f>S113*Q113*V113</f>
        <v>18000000</v>
      </c>
      <c r="AA113" s="433">
        <f t="shared" si="3"/>
        <v>0</v>
      </c>
    </row>
    <row r="114" spans="1:28" ht="22.5" customHeight="1">
      <c r="A114" s="2489"/>
      <c r="B114" s="2117"/>
      <c r="C114" s="675"/>
      <c r="D114" s="675"/>
      <c r="E114" s="675"/>
      <c r="F114" s="1261"/>
      <c r="G114" s="1261"/>
      <c r="H114" s="1239"/>
      <c r="I114" s="2060"/>
      <c r="J114" s="673" t="s">
        <v>3639</v>
      </c>
      <c r="K114" s="917"/>
      <c r="L114" s="917"/>
      <c r="M114" s="917"/>
      <c r="N114" s="917"/>
      <c r="O114" s="917"/>
      <c r="P114" s="683"/>
      <c r="Q114" s="736"/>
      <c r="R114" s="1678"/>
      <c r="S114" s="728">
        <v>100000</v>
      </c>
      <c r="T114" s="1678" t="s">
        <v>3508</v>
      </c>
      <c r="U114" s="736"/>
      <c r="V114" s="736">
        <v>12</v>
      </c>
      <c r="W114" s="683" t="s">
        <v>3525</v>
      </c>
      <c r="X114" s="2509" t="s">
        <v>3517</v>
      </c>
      <c r="Y114" s="871">
        <f t="shared" si="6"/>
        <v>1200</v>
      </c>
      <c r="Z114" s="736">
        <f>S114*V114</f>
        <v>1200000</v>
      </c>
      <c r="AA114" s="433">
        <f t="shared" si="3"/>
        <v>0</v>
      </c>
    </row>
    <row r="115" spans="1:28" ht="21" customHeight="1">
      <c r="A115" s="2489"/>
      <c r="B115" s="2117"/>
      <c r="C115" s="675"/>
      <c r="D115" s="675"/>
      <c r="E115" s="1034" t="s">
        <v>3575</v>
      </c>
      <c r="F115" s="1423">
        <f>+Y115</f>
        <v>541006</v>
      </c>
      <c r="G115" s="1423">
        <v>467400</v>
      </c>
      <c r="H115" s="942">
        <f>F115-G115</f>
        <v>73606</v>
      </c>
      <c r="I115" s="2060"/>
      <c r="J115" s="2515" t="s">
        <v>5976</v>
      </c>
      <c r="K115" s="3642"/>
      <c r="L115" s="3642"/>
      <c r="M115" s="3642"/>
      <c r="N115" s="3642"/>
      <c r="O115" s="3642"/>
      <c r="P115" s="1194"/>
      <c r="Q115" s="3642"/>
      <c r="R115" s="2516"/>
      <c r="S115" s="2539"/>
      <c r="T115" s="2516"/>
      <c r="U115" s="3642"/>
      <c r="V115" s="1194"/>
      <c r="W115" s="3642"/>
      <c r="X115" s="3642"/>
      <c r="Y115" s="861">
        <f t="shared" si="6"/>
        <v>541006</v>
      </c>
      <c r="Z115" s="736">
        <f>SUM(Z116:Z129)</f>
        <v>541006000</v>
      </c>
      <c r="AA115" s="433">
        <f t="shared" si="3"/>
        <v>541006000000</v>
      </c>
    </row>
    <row r="116" spans="1:28" ht="21" customHeight="1">
      <c r="A116" s="2489"/>
      <c r="B116" s="2546"/>
      <c r="C116" s="2505"/>
      <c r="D116" s="2547"/>
      <c r="E116" s="2547"/>
      <c r="F116" s="2547"/>
      <c r="G116" s="2547"/>
      <c r="H116" s="2548"/>
      <c r="I116" s="2060"/>
      <c r="J116" s="791" t="s">
        <v>5977</v>
      </c>
      <c r="K116" s="3166"/>
      <c r="L116" s="3166"/>
      <c r="M116" s="3166"/>
      <c r="N116" s="3166"/>
      <c r="O116" s="1073"/>
      <c r="P116" s="1073"/>
      <c r="Q116" s="2549">
        <v>180</v>
      </c>
      <c r="R116" s="1678" t="s">
        <v>5978</v>
      </c>
      <c r="S116" s="2183">
        <v>73500</v>
      </c>
      <c r="T116" s="1678" t="s">
        <v>5979</v>
      </c>
      <c r="U116" s="3166"/>
      <c r="V116" s="736">
        <v>26</v>
      </c>
      <c r="W116" s="3641" t="s">
        <v>5980</v>
      </c>
      <c r="X116" s="3641" t="s">
        <v>5981</v>
      </c>
      <c r="Y116" s="871">
        <f t="shared" si="6"/>
        <v>343980</v>
      </c>
      <c r="Z116" s="3166">
        <f>S116*V116*Q116</f>
        <v>343980000</v>
      </c>
      <c r="AA116" s="433">
        <f t="shared" si="3"/>
        <v>0</v>
      </c>
    </row>
    <row r="117" spans="1:28" ht="21" customHeight="1">
      <c r="A117" s="2489"/>
      <c r="B117" s="2546"/>
      <c r="C117" s="2505"/>
      <c r="D117" s="2547"/>
      <c r="E117" s="2547"/>
      <c r="F117" s="2547"/>
      <c r="G117" s="2547"/>
      <c r="H117" s="2548"/>
      <c r="I117" s="2060"/>
      <c r="J117" s="791" t="s">
        <v>5982</v>
      </c>
      <c r="K117" s="3166"/>
      <c r="L117" s="3166"/>
      <c r="M117" s="3166"/>
      <c r="N117" s="3166"/>
      <c r="O117" s="1073"/>
      <c r="P117" s="1073"/>
      <c r="Q117" s="2549">
        <v>120</v>
      </c>
      <c r="R117" s="1678" t="s">
        <v>5978</v>
      </c>
      <c r="S117" s="2183">
        <v>70000</v>
      </c>
      <c r="T117" s="1678" t="s">
        <v>5979</v>
      </c>
      <c r="U117" s="3166"/>
      <c r="V117" s="736">
        <v>11</v>
      </c>
      <c r="W117" s="3641" t="s">
        <v>5980</v>
      </c>
      <c r="X117" s="3641" t="s">
        <v>5981</v>
      </c>
      <c r="Y117" s="871">
        <f t="shared" si="6"/>
        <v>92400</v>
      </c>
      <c r="Z117" s="3166">
        <f>S117*V117*Q117</f>
        <v>92400000</v>
      </c>
      <c r="AA117" s="433">
        <f t="shared" si="3"/>
        <v>0</v>
      </c>
    </row>
    <row r="118" spans="1:28" ht="21" customHeight="1">
      <c r="A118" s="2489"/>
      <c r="B118" s="2546"/>
      <c r="C118" s="2505"/>
      <c r="D118" s="2547"/>
      <c r="E118" s="2547"/>
      <c r="F118" s="2547"/>
      <c r="G118" s="2547"/>
      <c r="H118" s="2548"/>
      <c r="I118" s="2060"/>
      <c r="J118" s="791" t="s">
        <v>5983</v>
      </c>
      <c r="K118" s="3166"/>
      <c r="L118" s="3166"/>
      <c r="M118" s="3166"/>
      <c r="N118" s="3166"/>
      <c r="O118" s="1073"/>
      <c r="P118" s="1073"/>
      <c r="Q118" s="2549">
        <v>90</v>
      </c>
      <c r="R118" s="1678" t="s">
        <v>5978</v>
      </c>
      <c r="S118" s="2183">
        <v>70000</v>
      </c>
      <c r="T118" s="1678" t="s">
        <v>5979</v>
      </c>
      <c r="U118" s="3166"/>
      <c r="V118" s="736">
        <v>4</v>
      </c>
      <c r="W118" s="3641" t="s">
        <v>5980</v>
      </c>
      <c r="X118" s="3641" t="s">
        <v>5981</v>
      </c>
      <c r="Y118" s="871">
        <f t="shared" si="6"/>
        <v>25200</v>
      </c>
      <c r="Z118" s="3166">
        <f>S118*V118*Q118</f>
        <v>25200000</v>
      </c>
      <c r="AA118" s="433">
        <f t="shared" si="3"/>
        <v>0</v>
      </c>
    </row>
    <row r="119" spans="1:28" ht="21" customHeight="1">
      <c r="A119" s="2489"/>
      <c r="B119" s="2117"/>
      <c r="C119" s="675"/>
      <c r="D119" s="675"/>
      <c r="E119" s="675"/>
      <c r="F119" s="1261"/>
      <c r="G119" s="1261"/>
      <c r="H119" s="1239"/>
      <c r="I119" s="2060"/>
      <c r="J119" s="791" t="s">
        <v>5984</v>
      </c>
      <c r="K119" s="3641"/>
      <c r="L119" s="3641"/>
      <c r="M119" s="3641"/>
      <c r="N119" s="3641"/>
      <c r="O119" s="3641"/>
      <c r="P119" s="683"/>
      <c r="Q119" s="736"/>
      <c r="R119" s="1678"/>
      <c r="S119" s="728">
        <v>4000000</v>
      </c>
      <c r="T119" s="1678" t="s">
        <v>5972</v>
      </c>
      <c r="U119" s="736"/>
      <c r="V119" s="736">
        <v>4</v>
      </c>
      <c r="W119" s="3641" t="s">
        <v>5985</v>
      </c>
      <c r="X119" s="2509" t="s">
        <v>5974</v>
      </c>
      <c r="Y119" s="871">
        <f t="shared" si="6"/>
        <v>16000</v>
      </c>
      <c r="Z119" s="736">
        <f>S119*V119</f>
        <v>16000000</v>
      </c>
      <c r="AA119" s="433">
        <f t="shared" si="3"/>
        <v>0</v>
      </c>
    </row>
    <row r="120" spans="1:28" s="438" customFormat="1" ht="21" customHeight="1">
      <c r="A120" s="2489"/>
      <c r="B120" s="2117"/>
      <c r="C120" s="675"/>
      <c r="D120" s="675"/>
      <c r="E120" s="675"/>
      <c r="F120" s="1261"/>
      <c r="G120" s="1261"/>
      <c r="H120" s="1239"/>
      <c r="I120" s="2060"/>
      <c r="J120" s="791" t="s">
        <v>5986</v>
      </c>
      <c r="K120" s="3641"/>
      <c r="L120" s="3641"/>
      <c r="M120" s="3641"/>
      <c r="N120" s="3641"/>
      <c r="O120" s="3641"/>
      <c r="P120" s="683"/>
      <c r="Q120" s="736"/>
      <c r="R120" s="1678"/>
      <c r="S120" s="728">
        <v>13071000</v>
      </c>
      <c r="T120" s="1678" t="s">
        <v>5972</v>
      </c>
      <c r="U120" s="736"/>
      <c r="V120" s="736">
        <v>2</v>
      </c>
      <c r="W120" s="3641" t="s">
        <v>5985</v>
      </c>
      <c r="X120" s="2509" t="s">
        <v>5974</v>
      </c>
      <c r="Y120" s="871">
        <f t="shared" si="6"/>
        <v>26142</v>
      </c>
      <c r="Z120" s="736">
        <f>S120*V120</f>
        <v>26142000</v>
      </c>
      <c r="AA120" s="433">
        <f t="shared" si="3"/>
        <v>0</v>
      </c>
      <c r="AB120" s="449"/>
    </row>
    <row r="121" spans="1:28" ht="21" customHeight="1">
      <c r="A121" s="2489"/>
      <c r="B121" s="2117"/>
      <c r="C121" s="675"/>
      <c r="D121" s="675"/>
      <c r="E121" s="675"/>
      <c r="F121" s="1261"/>
      <c r="G121" s="1261"/>
      <c r="H121" s="1239"/>
      <c r="I121" s="2060"/>
      <c r="J121" s="791" t="s">
        <v>5987</v>
      </c>
      <c r="K121" s="3641"/>
      <c r="L121" s="3641"/>
      <c r="M121" s="3641"/>
      <c r="N121" s="3641"/>
      <c r="O121" s="3641"/>
      <c r="P121" s="683"/>
      <c r="Q121" s="683"/>
      <c r="R121" s="2522"/>
      <c r="S121" s="728">
        <v>1000000</v>
      </c>
      <c r="T121" s="1678" t="s">
        <v>5972</v>
      </c>
      <c r="U121" s="736"/>
      <c r="V121" s="736">
        <v>4</v>
      </c>
      <c r="W121" s="3641" t="s">
        <v>5985</v>
      </c>
      <c r="X121" s="2509" t="s">
        <v>5974</v>
      </c>
      <c r="Y121" s="871">
        <f t="shared" si="6"/>
        <v>4000</v>
      </c>
      <c r="Z121" s="736">
        <f>S121*V121</f>
        <v>4000000</v>
      </c>
      <c r="AA121" s="433">
        <f t="shared" si="3"/>
        <v>0</v>
      </c>
    </row>
    <row r="122" spans="1:28" ht="21" customHeight="1">
      <c r="A122" s="2489"/>
      <c r="B122" s="2117"/>
      <c r="C122" s="675"/>
      <c r="D122" s="675"/>
      <c r="E122" s="675"/>
      <c r="F122" s="1261"/>
      <c r="G122" s="1261"/>
      <c r="H122" s="1239"/>
      <c r="I122" s="2060"/>
      <c r="J122" s="791" t="s">
        <v>5988</v>
      </c>
      <c r="K122" s="3641"/>
      <c r="L122" s="3641"/>
      <c r="M122" s="3641"/>
      <c r="N122" s="3641"/>
      <c r="O122" s="3641"/>
      <c r="P122" s="736"/>
      <c r="Q122" s="3641"/>
      <c r="R122" s="1678"/>
      <c r="S122" s="2526">
        <v>3000000</v>
      </c>
      <c r="T122" s="1678" t="s">
        <v>5972</v>
      </c>
      <c r="U122" s="3641"/>
      <c r="V122" s="736">
        <v>1</v>
      </c>
      <c r="W122" s="3641" t="s">
        <v>5985</v>
      </c>
      <c r="X122" s="3641" t="s">
        <v>5974</v>
      </c>
      <c r="Y122" s="871">
        <f t="shared" si="6"/>
        <v>3000</v>
      </c>
      <c r="Z122" s="736">
        <f>S122*V122</f>
        <v>3000000</v>
      </c>
      <c r="AA122" s="433">
        <f t="shared" si="3"/>
        <v>0</v>
      </c>
    </row>
    <row r="123" spans="1:28" ht="21" customHeight="1">
      <c r="A123" s="2489"/>
      <c r="B123" s="2117"/>
      <c r="C123" s="675"/>
      <c r="D123" s="675"/>
      <c r="E123" s="675"/>
      <c r="F123" s="1261"/>
      <c r="G123" s="1261"/>
      <c r="H123" s="1239"/>
      <c r="I123" s="2060"/>
      <c r="J123" s="3644" t="s">
        <v>5989</v>
      </c>
      <c r="K123" s="3645"/>
      <c r="L123" s="3645"/>
      <c r="M123" s="3645"/>
      <c r="N123" s="3645"/>
      <c r="O123" s="3645"/>
      <c r="P123" s="683"/>
      <c r="Q123" s="736"/>
      <c r="R123" s="1678"/>
      <c r="S123" s="728">
        <v>3000000</v>
      </c>
      <c r="T123" s="1678" t="s">
        <v>5972</v>
      </c>
      <c r="U123" s="683"/>
      <c r="V123" s="736">
        <v>1</v>
      </c>
      <c r="W123" s="3641" t="s">
        <v>5990</v>
      </c>
      <c r="X123" s="2509" t="s">
        <v>5974</v>
      </c>
      <c r="Y123" s="871">
        <f t="shared" si="6"/>
        <v>3000</v>
      </c>
      <c r="Z123" s="736">
        <f>S123*V123</f>
        <v>3000000</v>
      </c>
      <c r="AA123" s="433">
        <f t="shared" si="3"/>
        <v>0</v>
      </c>
    </row>
    <row r="124" spans="1:28" ht="21" customHeight="1">
      <c r="A124" s="2489"/>
      <c r="B124" s="2117"/>
      <c r="C124" s="675"/>
      <c r="D124" s="675"/>
      <c r="E124" s="675"/>
      <c r="F124" s="1261"/>
      <c r="G124" s="1261"/>
      <c r="H124" s="1239"/>
      <c r="I124" s="2060"/>
      <c r="J124" s="791" t="s">
        <v>5991</v>
      </c>
      <c r="K124" s="3641"/>
      <c r="L124" s="3641"/>
      <c r="M124" s="3641"/>
      <c r="N124" s="3641"/>
      <c r="O124" s="3641"/>
      <c r="P124" s="683"/>
      <c r="Q124" s="1079">
        <v>10000</v>
      </c>
      <c r="R124" s="3641" t="s">
        <v>5992</v>
      </c>
      <c r="S124" s="728">
        <v>500</v>
      </c>
      <c r="T124" s="1678" t="s">
        <v>5972</v>
      </c>
      <c r="U124" s="736"/>
      <c r="V124" s="736">
        <v>1</v>
      </c>
      <c r="W124" s="3641" t="s">
        <v>5990</v>
      </c>
      <c r="X124" s="2509" t="s">
        <v>5974</v>
      </c>
      <c r="Y124" s="871">
        <f t="shared" si="6"/>
        <v>5000</v>
      </c>
      <c r="Z124" s="736">
        <f>Q124*S124*V124</f>
        <v>5000000</v>
      </c>
      <c r="AA124" s="433">
        <f t="shared" si="3"/>
        <v>0</v>
      </c>
    </row>
    <row r="125" spans="1:28" s="438" customFormat="1" ht="21" customHeight="1">
      <c r="A125" s="2489"/>
      <c r="B125" s="2117"/>
      <c r="C125" s="675"/>
      <c r="D125" s="675"/>
      <c r="E125" s="675"/>
      <c r="F125" s="1261"/>
      <c r="G125" s="1261"/>
      <c r="H125" s="1239"/>
      <c r="I125" s="2060"/>
      <c r="J125" s="3644" t="s">
        <v>5993</v>
      </c>
      <c r="K125" s="3645"/>
      <c r="L125" s="3645"/>
      <c r="M125" s="3645"/>
      <c r="N125" s="3645"/>
      <c r="O125" s="3645"/>
      <c r="P125" s="683"/>
      <c r="Q125" s="736">
        <v>4</v>
      </c>
      <c r="R125" s="2508" t="s">
        <v>5994</v>
      </c>
      <c r="S125" s="728">
        <v>1200000</v>
      </c>
      <c r="T125" s="1678" t="s">
        <v>5972</v>
      </c>
      <c r="U125" s="736"/>
      <c r="V125" s="736">
        <v>2</v>
      </c>
      <c r="W125" s="683" t="s">
        <v>5985</v>
      </c>
      <c r="X125" s="2509" t="s">
        <v>5974</v>
      </c>
      <c r="Y125" s="871">
        <f t="shared" si="6"/>
        <v>9600</v>
      </c>
      <c r="Z125" s="736">
        <f>Q125*S125*V125</f>
        <v>9600000</v>
      </c>
      <c r="AA125" s="433">
        <f t="shared" si="3"/>
        <v>0</v>
      </c>
      <c r="AB125" s="449"/>
    </row>
    <row r="126" spans="1:28" s="438" customFormat="1" ht="21" customHeight="1">
      <c r="A126" s="2489"/>
      <c r="B126" s="2117"/>
      <c r="C126" s="675"/>
      <c r="D126" s="675"/>
      <c r="E126" s="675"/>
      <c r="F126" s="1261"/>
      <c r="G126" s="1261"/>
      <c r="H126" s="1239"/>
      <c r="I126" s="2060"/>
      <c r="J126" s="3644" t="s">
        <v>5995</v>
      </c>
      <c r="K126" s="3645"/>
      <c r="L126" s="3645"/>
      <c r="M126" s="3645"/>
      <c r="N126" s="3645"/>
      <c r="O126" s="3645"/>
      <c r="P126" s="683"/>
      <c r="Q126" s="736" t="s">
        <v>5996</v>
      </c>
      <c r="R126" s="1678" t="s">
        <v>5996</v>
      </c>
      <c r="S126" s="728">
        <v>271000</v>
      </c>
      <c r="T126" s="1678" t="s">
        <v>5972</v>
      </c>
      <c r="U126" s="683"/>
      <c r="V126" s="736">
        <v>4</v>
      </c>
      <c r="W126" s="3641" t="s">
        <v>5985</v>
      </c>
      <c r="X126" s="3641" t="s">
        <v>5974</v>
      </c>
      <c r="Y126" s="871">
        <f t="shared" si="6"/>
        <v>1084</v>
      </c>
      <c r="Z126" s="736">
        <f>S126*V126</f>
        <v>1084000</v>
      </c>
      <c r="AA126" s="433">
        <f t="shared" si="3"/>
        <v>0</v>
      </c>
      <c r="AB126" s="449"/>
    </row>
    <row r="127" spans="1:28" s="438" customFormat="1" ht="21" customHeight="1">
      <c r="A127" s="2489"/>
      <c r="B127" s="2117"/>
      <c r="C127" s="675"/>
      <c r="D127" s="675"/>
      <c r="E127" s="675"/>
      <c r="F127" s="1261"/>
      <c r="G127" s="1261"/>
      <c r="H127" s="1239"/>
      <c r="I127" s="2060"/>
      <c r="J127" s="3644" t="s">
        <v>5997</v>
      </c>
      <c r="K127" s="3645"/>
      <c r="L127" s="3645"/>
      <c r="M127" s="3645"/>
      <c r="N127" s="3645"/>
      <c r="O127" s="3645"/>
      <c r="P127" s="683"/>
      <c r="Q127" s="736">
        <v>6</v>
      </c>
      <c r="R127" s="2508" t="s">
        <v>5994</v>
      </c>
      <c r="S127" s="728">
        <v>1100000</v>
      </c>
      <c r="T127" s="1678" t="s">
        <v>5972</v>
      </c>
      <c r="U127" s="683"/>
      <c r="V127" s="736">
        <v>1</v>
      </c>
      <c r="W127" s="3641" t="s">
        <v>5985</v>
      </c>
      <c r="X127" s="2509" t="s">
        <v>5974</v>
      </c>
      <c r="Y127" s="871">
        <f t="shared" si="6"/>
        <v>6600</v>
      </c>
      <c r="Z127" s="736">
        <f>Q127*S127*V127</f>
        <v>6600000</v>
      </c>
      <c r="AA127" s="433">
        <f t="shared" si="3"/>
        <v>0</v>
      </c>
      <c r="AB127" s="449"/>
    </row>
    <row r="128" spans="1:28" ht="21" customHeight="1">
      <c r="A128" s="2489"/>
      <c r="B128" s="2117"/>
      <c r="C128" s="675"/>
      <c r="D128" s="675"/>
      <c r="E128" s="675"/>
      <c r="F128" s="1261"/>
      <c r="G128" s="1261"/>
      <c r="H128" s="1239"/>
      <c r="I128" s="2060"/>
      <c r="J128" s="3984" t="s">
        <v>5998</v>
      </c>
      <c r="K128" s="3985"/>
      <c r="L128" s="3985"/>
      <c r="M128" s="3985"/>
      <c r="N128" s="3985"/>
      <c r="O128" s="3985"/>
      <c r="P128" s="683"/>
      <c r="Q128" s="736">
        <v>3</v>
      </c>
      <c r="R128" s="2508" t="s">
        <v>5994</v>
      </c>
      <c r="S128" s="728">
        <v>1000000</v>
      </c>
      <c r="T128" s="1678" t="s">
        <v>5972</v>
      </c>
      <c r="U128" s="683"/>
      <c r="V128" s="736">
        <v>1</v>
      </c>
      <c r="W128" s="3641" t="s">
        <v>5985</v>
      </c>
      <c r="X128" s="2509" t="s">
        <v>5974</v>
      </c>
      <c r="Y128" s="871">
        <f t="shared" si="6"/>
        <v>3000</v>
      </c>
      <c r="Z128" s="736">
        <f>Q128*S128*V128</f>
        <v>3000000</v>
      </c>
      <c r="AA128" s="433">
        <f t="shared" si="3"/>
        <v>0</v>
      </c>
    </row>
    <row r="129" spans="1:28" ht="21" customHeight="1">
      <c r="A129" s="2489"/>
      <c r="B129" s="2117"/>
      <c r="C129" s="675"/>
      <c r="D129" s="675"/>
      <c r="E129" s="675"/>
      <c r="F129" s="1261"/>
      <c r="G129" s="1261"/>
      <c r="H129" s="1239"/>
      <c r="I129" s="2060"/>
      <c r="J129" s="3984" t="s">
        <v>5999</v>
      </c>
      <c r="K129" s="3985"/>
      <c r="L129" s="3985"/>
      <c r="M129" s="3985"/>
      <c r="N129" s="3985"/>
      <c r="O129" s="3985"/>
      <c r="P129" s="683"/>
      <c r="Q129" s="736">
        <v>2</v>
      </c>
      <c r="R129" s="1678" t="s">
        <v>6000</v>
      </c>
      <c r="S129" s="728">
        <v>1000000</v>
      </c>
      <c r="T129" s="1678" t="s">
        <v>5972</v>
      </c>
      <c r="U129" s="683"/>
      <c r="V129" s="736">
        <v>1</v>
      </c>
      <c r="W129" s="3641" t="s">
        <v>6001</v>
      </c>
      <c r="X129" s="2509" t="s">
        <v>5974</v>
      </c>
      <c r="Y129" s="981">
        <f t="shared" si="6"/>
        <v>2000</v>
      </c>
      <c r="Z129" s="736">
        <f>Q129*V129*S129</f>
        <v>2000000</v>
      </c>
      <c r="AA129" s="433">
        <f t="shared" si="3"/>
        <v>0</v>
      </c>
    </row>
    <row r="130" spans="1:28" ht="21" customHeight="1">
      <c r="A130" s="2489"/>
      <c r="B130" s="2117"/>
      <c r="C130" s="675"/>
      <c r="D130" s="675"/>
      <c r="E130" s="1034" t="s">
        <v>3582</v>
      </c>
      <c r="F130" s="1423">
        <f>+Y130</f>
        <v>424944</v>
      </c>
      <c r="G130" s="1423">
        <v>376600</v>
      </c>
      <c r="H130" s="942">
        <f>F130-G130</f>
        <v>48344</v>
      </c>
      <c r="I130" s="2060"/>
      <c r="J130" s="3980" t="s">
        <v>5976</v>
      </c>
      <c r="K130" s="3981"/>
      <c r="L130" s="3981"/>
      <c r="M130" s="3981"/>
      <c r="N130" s="3981"/>
      <c r="O130" s="3981"/>
      <c r="P130" s="1194"/>
      <c r="Q130" s="3642"/>
      <c r="R130" s="2516"/>
      <c r="S130" s="2539"/>
      <c r="T130" s="2516"/>
      <c r="U130" s="3642"/>
      <c r="V130" s="1194"/>
      <c r="W130" s="3642"/>
      <c r="X130" s="3642"/>
      <c r="Y130" s="861">
        <f t="shared" si="6"/>
        <v>424944</v>
      </c>
      <c r="Z130" s="736">
        <f>SUM(Z131:Z141)</f>
        <v>424944000</v>
      </c>
      <c r="AA130" s="433">
        <f t="shared" si="3"/>
        <v>424944000000</v>
      </c>
    </row>
    <row r="131" spans="1:28" ht="21" customHeight="1">
      <c r="A131" s="2489"/>
      <c r="B131" s="2117"/>
      <c r="C131" s="675"/>
      <c r="D131" s="675"/>
      <c r="E131" s="675"/>
      <c r="F131" s="1261"/>
      <c r="G131" s="1261"/>
      <c r="H131" s="1239"/>
      <c r="I131" s="2060"/>
      <c r="J131" s="791" t="s">
        <v>6002</v>
      </c>
      <c r="K131" s="3641"/>
      <c r="L131" s="3641"/>
      <c r="M131" s="3641"/>
      <c r="N131" s="3641"/>
      <c r="O131" s="3641"/>
      <c r="P131" s="736">
        <v>65</v>
      </c>
      <c r="Q131" s="3641" t="s">
        <v>6003</v>
      </c>
      <c r="R131" s="2531">
        <v>517000</v>
      </c>
      <c r="S131" s="3647" t="s">
        <v>5972</v>
      </c>
      <c r="T131" s="1678">
        <v>1</v>
      </c>
      <c r="U131" s="3641" t="s">
        <v>6004</v>
      </c>
      <c r="V131" s="736">
        <v>4</v>
      </c>
      <c r="W131" s="3641" t="s">
        <v>6005</v>
      </c>
      <c r="X131" s="2509" t="s">
        <v>5974</v>
      </c>
      <c r="Y131" s="871">
        <f t="shared" si="6"/>
        <v>134420</v>
      </c>
      <c r="Z131" s="736">
        <f>+P131*R131*T131*V131</f>
        <v>134420000</v>
      </c>
      <c r="AA131" s="433">
        <f t="shared" si="3"/>
        <v>0</v>
      </c>
    </row>
    <row r="132" spans="1:28" s="438" customFormat="1" ht="21" customHeight="1">
      <c r="A132" s="2489"/>
      <c r="B132" s="2117"/>
      <c r="C132" s="675"/>
      <c r="D132" s="675"/>
      <c r="E132" s="675"/>
      <c r="F132" s="1261"/>
      <c r="G132" s="1261"/>
      <c r="H132" s="1239"/>
      <c r="I132" s="2060"/>
      <c r="J132" s="791" t="s">
        <v>6011</v>
      </c>
      <c r="K132" s="3641"/>
      <c r="L132" s="3641"/>
      <c r="M132" s="3641"/>
      <c r="N132" s="3641"/>
      <c r="O132" s="3641"/>
      <c r="P132" s="736">
        <v>74</v>
      </c>
      <c r="Q132" s="3641" t="s">
        <v>6003</v>
      </c>
      <c r="R132" s="2531">
        <v>605000</v>
      </c>
      <c r="S132" s="3647" t="s">
        <v>5972</v>
      </c>
      <c r="T132" s="1678">
        <v>1</v>
      </c>
      <c r="U132" s="3641" t="s">
        <v>6004</v>
      </c>
      <c r="V132" s="736">
        <v>4</v>
      </c>
      <c r="W132" s="3641" t="s">
        <v>6005</v>
      </c>
      <c r="X132" s="2509" t="s">
        <v>5974</v>
      </c>
      <c r="Y132" s="871">
        <f t="shared" si="6"/>
        <v>179080</v>
      </c>
      <c r="Z132" s="736">
        <f>+P132*R132*T132*V132</f>
        <v>179080000</v>
      </c>
      <c r="AA132" s="433">
        <f t="shared" si="3"/>
        <v>0</v>
      </c>
      <c r="AB132" s="449"/>
    </row>
    <row r="133" spans="1:28" s="438" customFormat="1" ht="21" customHeight="1">
      <c r="A133" s="2489"/>
      <c r="B133" s="2117"/>
      <c r="C133" s="675"/>
      <c r="D133" s="675"/>
      <c r="E133" s="675"/>
      <c r="F133" s="1261"/>
      <c r="G133" s="1261"/>
      <c r="H133" s="1239"/>
      <c r="I133" s="2060"/>
      <c r="J133" s="791" t="s">
        <v>6012</v>
      </c>
      <c r="K133" s="3641"/>
      <c r="L133" s="3641"/>
      <c r="M133" s="3641"/>
      <c r="N133" s="3641"/>
      <c r="O133" s="3641"/>
      <c r="P133" s="736">
        <v>8</v>
      </c>
      <c r="Q133" s="3641" t="s">
        <v>6003</v>
      </c>
      <c r="R133" s="2531">
        <v>460000</v>
      </c>
      <c r="S133" s="3647" t="s">
        <v>5972</v>
      </c>
      <c r="T133" s="1678">
        <v>1</v>
      </c>
      <c r="U133" s="3641" t="s">
        <v>6004</v>
      </c>
      <c r="V133" s="736">
        <v>4</v>
      </c>
      <c r="W133" s="3641" t="s">
        <v>6005</v>
      </c>
      <c r="X133" s="2509" t="s">
        <v>5974</v>
      </c>
      <c r="Y133" s="871">
        <f t="shared" si="6"/>
        <v>14720</v>
      </c>
      <c r="Z133" s="736">
        <f>+P133*R133*T133*V133</f>
        <v>14720000</v>
      </c>
      <c r="AA133" s="433">
        <f t="shared" si="3"/>
        <v>0</v>
      </c>
      <c r="AB133" s="449"/>
    </row>
    <row r="134" spans="1:28" ht="21" customHeight="1">
      <c r="A134" s="2489"/>
      <c r="B134" s="2117"/>
      <c r="C134" s="675"/>
      <c r="D134" s="675"/>
      <c r="E134" s="675"/>
      <c r="F134" s="1261"/>
      <c r="G134" s="1261"/>
      <c r="H134" s="1239"/>
      <c r="I134" s="2060"/>
      <c r="J134" s="791" t="s">
        <v>6013</v>
      </c>
      <c r="K134" s="3641"/>
      <c r="L134" s="3641"/>
      <c r="M134" s="3641"/>
      <c r="N134" s="3641"/>
      <c r="O134" s="3641"/>
      <c r="P134" s="736"/>
      <c r="Q134" s="3641"/>
      <c r="R134" s="2531">
        <v>330000</v>
      </c>
      <c r="S134" s="3647" t="s">
        <v>5972</v>
      </c>
      <c r="T134" s="1678">
        <v>3</v>
      </c>
      <c r="U134" s="3641" t="s">
        <v>6004</v>
      </c>
      <c r="V134" s="736">
        <v>4</v>
      </c>
      <c r="W134" s="3641" t="s">
        <v>6005</v>
      </c>
      <c r="X134" s="2509" t="s">
        <v>5974</v>
      </c>
      <c r="Y134" s="871">
        <f t="shared" si="6"/>
        <v>3960</v>
      </c>
      <c r="Z134" s="736">
        <f>R134*T134*V134</f>
        <v>3960000</v>
      </c>
      <c r="AA134" s="433">
        <f t="shared" ref="AA134:AA197" si="7">F134*1000000</f>
        <v>0</v>
      </c>
    </row>
    <row r="135" spans="1:28" ht="21" customHeight="1">
      <c r="A135" s="2489"/>
      <c r="B135" s="2117"/>
      <c r="C135" s="675"/>
      <c r="D135" s="675"/>
      <c r="E135" s="675"/>
      <c r="F135" s="1261"/>
      <c r="G135" s="1261"/>
      <c r="H135" s="1239"/>
      <c r="I135" s="2060"/>
      <c r="J135" s="791" t="s">
        <v>6014</v>
      </c>
      <c r="K135" s="3641"/>
      <c r="L135" s="3641"/>
      <c r="M135" s="3641"/>
      <c r="N135" s="3641"/>
      <c r="O135" s="3641"/>
      <c r="P135" s="736"/>
      <c r="Q135" s="3641"/>
      <c r="R135" s="2531">
        <v>330000</v>
      </c>
      <c r="S135" s="3647" t="s">
        <v>5972</v>
      </c>
      <c r="T135" s="1678">
        <v>2</v>
      </c>
      <c r="U135" s="3641" t="s">
        <v>6004</v>
      </c>
      <c r="V135" s="736">
        <v>4</v>
      </c>
      <c r="W135" s="3641" t="s">
        <v>6005</v>
      </c>
      <c r="X135" s="2509" t="s">
        <v>5974</v>
      </c>
      <c r="Y135" s="871">
        <f t="shared" si="6"/>
        <v>2640</v>
      </c>
      <c r="Z135" s="736">
        <f>R135*T135*V135</f>
        <v>2640000</v>
      </c>
      <c r="AA135" s="433">
        <f t="shared" si="7"/>
        <v>0</v>
      </c>
    </row>
    <row r="136" spans="1:28" ht="21" customHeight="1">
      <c r="A136" s="2489"/>
      <c r="B136" s="2117"/>
      <c r="C136" s="675"/>
      <c r="D136" s="675"/>
      <c r="E136" s="675"/>
      <c r="F136" s="1261"/>
      <c r="G136" s="1261"/>
      <c r="H136" s="1239"/>
      <c r="I136" s="2060"/>
      <c r="J136" s="791" t="s">
        <v>6015</v>
      </c>
      <c r="K136" s="3641"/>
      <c r="L136" s="3641"/>
      <c r="M136" s="3641"/>
      <c r="N136" s="3641"/>
      <c r="O136" s="3641"/>
      <c r="P136" s="736"/>
      <c r="Q136" s="3641"/>
      <c r="R136" s="2531">
        <v>302000</v>
      </c>
      <c r="S136" s="3647" t="s">
        <v>5972</v>
      </c>
      <c r="T136" s="1678">
        <v>1</v>
      </c>
      <c r="U136" s="3641" t="s">
        <v>6016</v>
      </c>
      <c r="V136" s="736">
        <v>2</v>
      </c>
      <c r="W136" s="3641" t="s">
        <v>6005</v>
      </c>
      <c r="X136" s="2509" t="s">
        <v>5974</v>
      </c>
      <c r="Y136" s="871">
        <f t="shared" si="6"/>
        <v>604</v>
      </c>
      <c r="Z136" s="736">
        <f>R136*T136*V136</f>
        <v>604000</v>
      </c>
      <c r="AA136" s="433">
        <f t="shared" si="7"/>
        <v>0</v>
      </c>
    </row>
    <row r="137" spans="1:28" s="438" customFormat="1" ht="21" customHeight="1">
      <c r="A137" s="2489"/>
      <c r="B137" s="2117"/>
      <c r="C137" s="675"/>
      <c r="D137" s="675"/>
      <c r="E137" s="675"/>
      <c r="F137" s="1261"/>
      <c r="G137" s="1261"/>
      <c r="H137" s="1239"/>
      <c r="I137" s="2060"/>
      <c r="J137" s="791" t="s">
        <v>6017</v>
      </c>
      <c r="K137" s="3641"/>
      <c r="L137" s="3641"/>
      <c r="M137" s="3641"/>
      <c r="N137" s="3641"/>
      <c r="O137" s="3641"/>
      <c r="P137" s="736">
        <v>9</v>
      </c>
      <c r="Q137" s="3641" t="s">
        <v>6018</v>
      </c>
      <c r="R137" s="1678"/>
      <c r="S137" s="728">
        <v>1200000</v>
      </c>
      <c r="T137" s="1678" t="s">
        <v>5972</v>
      </c>
      <c r="U137" s="683"/>
      <c r="V137" s="736">
        <v>2</v>
      </c>
      <c r="W137" s="3641" t="s">
        <v>6005</v>
      </c>
      <c r="X137" s="2509" t="s">
        <v>5974</v>
      </c>
      <c r="Y137" s="871">
        <f t="shared" si="6"/>
        <v>21600</v>
      </c>
      <c r="Z137" s="736">
        <f>+P137*S137*V137</f>
        <v>21600000</v>
      </c>
      <c r="AA137" s="433">
        <f t="shared" si="7"/>
        <v>0</v>
      </c>
      <c r="AB137" s="449"/>
    </row>
    <row r="138" spans="1:28" ht="21" customHeight="1">
      <c r="A138" s="2489"/>
      <c r="B138" s="2117"/>
      <c r="C138" s="675"/>
      <c r="D138" s="675"/>
      <c r="E138" s="675"/>
      <c r="F138" s="1261"/>
      <c r="G138" s="1261"/>
      <c r="H138" s="1239"/>
      <c r="I138" s="2060"/>
      <c r="J138" s="791" t="s">
        <v>6019</v>
      </c>
      <c r="K138" s="3641"/>
      <c r="L138" s="3641"/>
      <c r="M138" s="3641"/>
      <c r="N138" s="3641"/>
      <c r="O138" s="3641"/>
      <c r="P138" s="736">
        <v>6</v>
      </c>
      <c r="Q138" s="3641" t="s">
        <v>6018</v>
      </c>
      <c r="R138" s="1678"/>
      <c r="S138" s="728">
        <v>3300000</v>
      </c>
      <c r="T138" s="1678" t="s">
        <v>5972</v>
      </c>
      <c r="U138" s="683"/>
      <c r="V138" s="736">
        <v>1</v>
      </c>
      <c r="W138" s="3641" t="s">
        <v>6005</v>
      </c>
      <c r="X138" s="2509" t="s">
        <v>5974</v>
      </c>
      <c r="Y138" s="871">
        <f t="shared" si="6"/>
        <v>19800</v>
      </c>
      <c r="Z138" s="736">
        <f>+P138*S138*V138</f>
        <v>19800000</v>
      </c>
      <c r="AA138" s="433">
        <f t="shared" si="7"/>
        <v>0</v>
      </c>
    </row>
    <row r="139" spans="1:28" ht="21" customHeight="1">
      <c r="A139" s="2489"/>
      <c r="B139" s="2117"/>
      <c r="C139" s="675"/>
      <c r="D139" s="675"/>
      <c r="E139" s="675"/>
      <c r="F139" s="1261"/>
      <c r="G139" s="1261"/>
      <c r="H139" s="1239"/>
      <c r="I139" s="2060"/>
      <c r="J139" s="791" t="s">
        <v>6020</v>
      </c>
      <c r="K139" s="3641"/>
      <c r="L139" s="3641"/>
      <c r="M139" s="3641"/>
      <c r="N139" s="3641"/>
      <c r="O139" s="3641"/>
      <c r="P139" s="736"/>
      <c r="Q139" s="3641"/>
      <c r="R139" s="2522"/>
      <c r="S139" s="728">
        <v>110000</v>
      </c>
      <c r="T139" s="1678" t="s">
        <v>5972</v>
      </c>
      <c r="U139" s="3641"/>
      <c r="V139" s="736">
        <v>12</v>
      </c>
      <c r="W139" s="3641" t="s">
        <v>5985</v>
      </c>
      <c r="X139" s="2509" t="s">
        <v>5974</v>
      </c>
      <c r="Y139" s="871">
        <f t="shared" si="6"/>
        <v>1320</v>
      </c>
      <c r="Z139" s="736">
        <f>+V139*S139</f>
        <v>1320000</v>
      </c>
      <c r="AA139" s="433">
        <f t="shared" si="7"/>
        <v>0</v>
      </c>
    </row>
    <row r="140" spans="1:28" ht="21" customHeight="1">
      <c r="A140" s="2489"/>
      <c r="B140" s="3655"/>
      <c r="C140" s="675"/>
      <c r="D140" s="675"/>
      <c r="E140" s="675"/>
      <c r="F140" s="1261"/>
      <c r="G140" s="1261"/>
      <c r="H140" s="1239"/>
      <c r="I140" s="2060"/>
      <c r="J140" s="791" t="s">
        <v>6021</v>
      </c>
      <c r="K140" s="3641"/>
      <c r="L140" s="3641"/>
      <c r="M140" s="3641"/>
      <c r="N140" s="3641"/>
      <c r="O140" s="3641"/>
      <c r="P140" s="736">
        <v>9</v>
      </c>
      <c r="Q140" s="3641" t="s">
        <v>6018</v>
      </c>
      <c r="R140" s="2522"/>
      <c r="S140" s="728">
        <v>800000</v>
      </c>
      <c r="T140" s="1678" t="s">
        <v>5972</v>
      </c>
      <c r="U140" s="3641"/>
      <c r="V140" s="736">
        <v>4</v>
      </c>
      <c r="W140" s="3641" t="s">
        <v>6005</v>
      </c>
      <c r="X140" s="2509" t="s">
        <v>5974</v>
      </c>
      <c r="Y140" s="871">
        <f t="shared" si="6"/>
        <v>28800</v>
      </c>
      <c r="Z140" s="736">
        <f>+P140*S140*V140</f>
        <v>28800000</v>
      </c>
      <c r="AA140" s="433">
        <f t="shared" si="7"/>
        <v>0</v>
      </c>
    </row>
    <row r="141" spans="1:28" ht="21" customHeight="1">
      <c r="A141" s="2489"/>
      <c r="B141" s="2117"/>
      <c r="C141" s="675"/>
      <c r="D141" s="675"/>
      <c r="E141" s="675"/>
      <c r="F141" s="1261"/>
      <c r="G141" s="1261"/>
      <c r="H141" s="1239"/>
      <c r="I141" s="2060"/>
      <c r="J141" s="3986" t="s">
        <v>6010</v>
      </c>
      <c r="K141" s="3987"/>
      <c r="L141" s="3987"/>
      <c r="M141" s="3987"/>
      <c r="N141" s="3987"/>
      <c r="O141" s="3987"/>
      <c r="P141" s="2016">
        <v>9</v>
      </c>
      <c r="Q141" s="2075" t="s">
        <v>6009</v>
      </c>
      <c r="R141" s="3316"/>
      <c r="S141" s="718">
        <v>500000</v>
      </c>
      <c r="T141" s="477" t="s">
        <v>6006</v>
      </c>
      <c r="U141" s="2075"/>
      <c r="V141" s="2016">
        <v>4</v>
      </c>
      <c r="W141" s="2075" t="s">
        <v>6007</v>
      </c>
      <c r="X141" s="3323" t="s">
        <v>6008</v>
      </c>
      <c r="Y141" s="3110">
        <f t="shared" si="6"/>
        <v>18000</v>
      </c>
      <c r="Z141" s="2016">
        <f>+P141*S141*V141</f>
        <v>18000000</v>
      </c>
      <c r="AA141" s="433">
        <f t="shared" si="7"/>
        <v>0</v>
      </c>
    </row>
    <row r="142" spans="1:28" s="438" customFormat="1" ht="21" customHeight="1">
      <c r="A142" s="2489"/>
      <c r="B142" s="2117"/>
      <c r="C142" s="675"/>
      <c r="D142" s="675"/>
      <c r="E142" s="1034" t="s">
        <v>3590</v>
      </c>
      <c r="F142" s="1423">
        <f>+Y142</f>
        <v>1800</v>
      </c>
      <c r="G142" s="1423">
        <v>1800</v>
      </c>
      <c r="H142" s="942"/>
      <c r="I142" s="2060"/>
      <c r="J142" s="1074" t="s">
        <v>3641</v>
      </c>
      <c r="K142" s="2094"/>
      <c r="L142" s="2094"/>
      <c r="M142" s="2094"/>
      <c r="N142" s="2094"/>
      <c r="O142" s="2094"/>
      <c r="P142" s="1259"/>
      <c r="Q142" s="1075"/>
      <c r="R142" s="2499"/>
      <c r="S142" s="1210">
        <v>150000</v>
      </c>
      <c r="T142" s="2499" t="s">
        <v>3508</v>
      </c>
      <c r="U142" s="1259"/>
      <c r="V142" s="1075">
        <v>12</v>
      </c>
      <c r="W142" s="2094" t="s">
        <v>3525</v>
      </c>
      <c r="X142" s="1994" t="s">
        <v>3517</v>
      </c>
      <c r="Y142" s="965">
        <f t="shared" si="6"/>
        <v>1800</v>
      </c>
      <c r="Z142" s="736">
        <f>+S142*V142</f>
        <v>1800000</v>
      </c>
      <c r="AA142" s="433">
        <f t="shared" si="7"/>
        <v>1800000000</v>
      </c>
      <c r="AB142" s="449"/>
    </row>
    <row r="143" spans="1:28" s="1679" customFormat="1" ht="21" customHeight="1">
      <c r="A143" s="2489"/>
      <c r="B143" s="2117"/>
      <c r="C143" s="675"/>
      <c r="D143" s="675"/>
      <c r="E143" s="1034" t="s">
        <v>3642</v>
      </c>
      <c r="F143" s="1423">
        <v>5000</v>
      </c>
      <c r="G143" s="1423">
        <v>5000</v>
      </c>
      <c r="H143" s="942"/>
      <c r="I143" s="2060"/>
      <c r="J143" s="681" t="s">
        <v>3643</v>
      </c>
      <c r="K143" s="709"/>
      <c r="L143" s="709"/>
      <c r="M143" s="709"/>
      <c r="N143" s="709"/>
      <c r="O143" s="709"/>
      <c r="P143" s="736"/>
      <c r="Q143" s="735"/>
      <c r="R143" s="682"/>
      <c r="S143" s="2453">
        <v>5000000</v>
      </c>
      <c r="T143" s="1678" t="s">
        <v>3644</v>
      </c>
      <c r="U143" s="682"/>
      <c r="V143" s="2453">
        <v>1</v>
      </c>
      <c r="W143" s="682" t="s">
        <v>3645</v>
      </c>
      <c r="X143" s="686" t="s">
        <v>1</v>
      </c>
      <c r="Y143" s="1022">
        <f>(Z143)/1000</f>
        <v>5000</v>
      </c>
      <c r="Z143" s="2454">
        <f>S143*V143</f>
        <v>5000000</v>
      </c>
      <c r="AA143" s="433">
        <f t="shared" si="7"/>
        <v>5000000000</v>
      </c>
      <c r="AB143" s="449"/>
    </row>
    <row r="144" spans="1:28" ht="21" customHeight="1">
      <c r="A144" s="2489"/>
      <c r="B144" s="2117"/>
      <c r="C144" s="675"/>
      <c r="D144" s="675"/>
      <c r="E144" s="1034" t="s">
        <v>3646</v>
      </c>
      <c r="F144" s="1423">
        <f>+Y144</f>
        <v>7500</v>
      </c>
      <c r="G144" s="1423">
        <v>7500</v>
      </c>
      <c r="H144" s="942"/>
      <c r="I144" s="2060"/>
      <c r="J144" s="2515" t="s">
        <v>3647</v>
      </c>
      <c r="K144" s="1035"/>
      <c r="L144" s="1035"/>
      <c r="M144" s="1035"/>
      <c r="N144" s="1035"/>
      <c r="O144" s="1035"/>
      <c r="P144" s="1194"/>
      <c r="Q144" s="1035"/>
      <c r="R144" s="2516"/>
      <c r="S144" s="2539"/>
      <c r="T144" s="2516"/>
      <c r="U144" s="1035"/>
      <c r="V144" s="1194"/>
      <c r="W144" s="1035"/>
      <c r="X144" s="1035"/>
      <c r="Y144" s="861">
        <f t="shared" si="6"/>
        <v>7500</v>
      </c>
      <c r="Z144" s="736">
        <f>SUM(Z145:Z147)</f>
        <v>7500000</v>
      </c>
      <c r="AA144" s="433">
        <f t="shared" si="7"/>
        <v>7500000000</v>
      </c>
    </row>
    <row r="145" spans="1:28" ht="21" customHeight="1">
      <c r="A145" s="2489"/>
      <c r="B145" s="2117"/>
      <c r="C145" s="675"/>
      <c r="D145" s="675"/>
      <c r="E145" s="675"/>
      <c r="F145" s="1261"/>
      <c r="G145" s="1261"/>
      <c r="H145" s="1239"/>
      <c r="I145" s="2060"/>
      <c r="J145" s="791" t="s">
        <v>3648</v>
      </c>
      <c r="K145" s="709"/>
      <c r="L145" s="709" t="s">
        <v>3649</v>
      </c>
      <c r="M145" s="709"/>
      <c r="N145" s="709"/>
      <c r="O145" s="709"/>
      <c r="P145" s="683"/>
      <c r="Q145" s="735">
        <v>15</v>
      </c>
      <c r="R145" s="1678" t="s">
        <v>3650</v>
      </c>
      <c r="S145" s="728">
        <v>20000</v>
      </c>
      <c r="T145" s="1678" t="s">
        <v>3644</v>
      </c>
      <c r="U145" s="736"/>
      <c r="V145" s="736">
        <v>10</v>
      </c>
      <c r="W145" s="709" t="s">
        <v>3645</v>
      </c>
      <c r="X145" s="2509" t="s">
        <v>3651</v>
      </c>
      <c r="Y145" s="871">
        <f t="shared" si="6"/>
        <v>3000</v>
      </c>
      <c r="Z145" s="736">
        <f>S145*Q145*V145</f>
        <v>3000000</v>
      </c>
      <c r="AA145" s="433">
        <f t="shared" si="7"/>
        <v>0</v>
      </c>
    </row>
    <row r="146" spans="1:28" ht="21" customHeight="1">
      <c r="A146" s="2489"/>
      <c r="B146" s="2117"/>
      <c r="C146" s="675"/>
      <c r="D146" s="675"/>
      <c r="E146" s="675"/>
      <c r="F146" s="1261"/>
      <c r="G146" s="1261"/>
      <c r="H146" s="1239"/>
      <c r="I146" s="2060"/>
      <c r="J146" s="791" t="s">
        <v>3652</v>
      </c>
      <c r="K146" s="709"/>
      <c r="L146" s="709"/>
      <c r="M146" s="709"/>
      <c r="N146" s="709"/>
      <c r="O146" s="709"/>
      <c r="P146" s="683"/>
      <c r="Q146" s="735">
        <v>15</v>
      </c>
      <c r="R146" s="1678" t="s">
        <v>3650</v>
      </c>
      <c r="S146" s="728">
        <v>20000</v>
      </c>
      <c r="T146" s="1678" t="s">
        <v>3644</v>
      </c>
      <c r="U146" s="736"/>
      <c r="V146" s="736">
        <v>10</v>
      </c>
      <c r="W146" s="709" t="s">
        <v>3645</v>
      </c>
      <c r="X146" s="709" t="s">
        <v>3651</v>
      </c>
      <c r="Y146" s="871">
        <f t="shared" si="6"/>
        <v>3000</v>
      </c>
      <c r="Z146" s="736">
        <f>S146*Q146*V146</f>
        <v>3000000</v>
      </c>
      <c r="AA146" s="433">
        <f t="shared" si="7"/>
        <v>0</v>
      </c>
    </row>
    <row r="147" spans="1:28" ht="21" customHeight="1">
      <c r="A147" s="2489"/>
      <c r="B147" s="2117"/>
      <c r="C147" s="675"/>
      <c r="D147" s="675"/>
      <c r="E147" s="675"/>
      <c r="F147" s="1261"/>
      <c r="G147" s="1261"/>
      <c r="H147" s="1239"/>
      <c r="I147" s="2060"/>
      <c r="J147" s="791" t="s">
        <v>3653</v>
      </c>
      <c r="K147" s="709"/>
      <c r="L147" s="709"/>
      <c r="M147" s="709"/>
      <c r="N147" s="709"/>
      <c r="O147" s="709"/>
      <c r="P147" s="736"/>
      <c r="Q147" s="735">
        <v>15</v>
      </c>
      <c r="R147" s="1678" t="s">
        <v>3650</v>
      </c>
      <c r="S147" s="728">
        <v>10000</v>
      </c>
      <c r="T147" s="1678" t="s">
        <v>3644</v>
      </c>
      <c r="U147" s="736"/>
      <c r="V147" s="736">
        <v>10</v>
      </c>
      <c r="W147" s="709" t="s">
        <v>3645</v>
      </c>
      <c r="X147" s="2509" t="s">
        <v>3651</v>
      </c>
      <c r="Y147" s="871">
        <f t="shared" si="6"/>
        <v>1500</v>
      </c>
      <c r="Z147" s="736">
        <f>S147*Q147*V147</f>
        <v>1500000</v>
      </c>
      <c r="AA147" s="433">
        <f t="shared" si="7"/>
        <v>0</v>
      </c>
    </row>
    <row r="148" spans="1:28" ht="21" customHeight="1">
      <c r="A148" s="673"/>
      <c r="B148" s="674"/>
      <c r="C148" s="3949" t="s">
        <v>3654</v>
      </c>
      <c r="D148" s="3949"/>
      <c r="E148" s="3949"/>
      <c r="F148" s="2550">
        <f>F149+F150+F168</f>
        <v>75000</v>
      </c>
      <c r="G148" s="2550">
        <f>G150+G168</f>
        <v>75000</v>
      </c>
      <c r="H148" s="2496">
        <f>F148-G148</f>
        <v>0</v>
      </c>
      <c r="I148" s="2060"/>
      <c r="J148" s="1989"/>
      <c r="K148" s="2094"/>
      <c r="L148" s="2094"/>
      <c r="M148" s="2094"/>
      <c r="N148" s="2094"/>
      <c r="O148" s="2094"/>
      <c r="P148" s="1075"/>
      <c r="Q148" s="1119"/>
      <c r="R148" s="2469"/>
      <c r="S148" s="2468"/>
      <c r="T148" s="2469"/>
      <c r="U148" s="1536"/>
      <c r="V148" s="2468"/>
      <c r="W148" s="1536"/>
      <c r="X148" s="1536"/>
      <c r="Y148" s="2551"/>
      <c r="Z148" s="2552"/>
      <c r="AA148" s="433">
        <f t="shared" si="7"/>
        <v>75000000000</v>
      </c>
    </row>
    <row r="149" spans="1:28" ht="21" hidden="1" customHeight="1">
      <c r="A149" s="673"/>
      <c r="B149" s="674"/>
      <c r="C149" s="2553"/>
      <c r="D149" s="3947" t="s">
        <v>3655</v>
      </c>
      <c r="E149" s="3948"/>
      <c r="F149" s="1507">
        <v>0</v>
      </c>
      <c r="G149" s="1507">
        <v>0</v>
      </c>
      <c r="H149" s="1421">
        <f>F149-G149</f>
        <v>0</v>
      </c>
      <c r="I149" s="2060"/>
      <c r="J149" s="1989"/>
      <c r="K149" s="2094"/>
      <c r="L149" s="2094"/>
      <c r="M149" s="2094"/>
      <c r="N149" s="2094"/>
      <c r="O149" s="2094"/>
      <c r="P149" s="1075"/>
      <c r="Q149" s="2468"/>
      <c r="R149" s="2469"/>
      <c r="S149" s="2468"/>
      <c r="T149" s="2469"/>
      <c r="U149" s="1259"/>
      <c r="V149" s="2468"/>
      <c r="W149" s="1536"/>
      <c r="X149" s="1422"/>
      <c r="Y149" s="2470"/>
      <c r="Z149" s="2471"/>
      <c r="AA149" s="433">
        <f t="shared" si="7"/>
        <v>0</v>
      </c>
    </row>
    <row r="150" spans="1:28" ht="21" customHeight="1">
      <c r="A150" s="673"/>
      <c r="B150" s="674"/>
      <c r="C150" s="2553"/>
      <c r="D150" s="3947" t="s">
        <v>3656</v>
      </c>
      <c r="E150" s="3948"/>
      <c r="F150" s="1507">
        <f>SUM(F151:F167)</f>
        <v>73500</v>
      </c>
      <c r="G150" s="1507">
        <f>SUM(G151:G167)</f>
        <v>73500</v>
      </c>
      <c r="H150" s="1421">
        <f>SUM(H151:H167)</f>
        <v>0</v>
      </c>
      <c r="I150" s="2060"/>
      <c r="J150" s="1989"/>
      <c r="K150" s="2094"/>
      <c r="L150" s="2094"/>
      <c r="M150" s="2094"/>
      <c r="N150" s="2094"/>
      <c r="O150" s="2094"/>
      <c r="P150" s="1075"/>
      <c r="Q150" s="2468"/>
      <c r="R150" s="2469"/>
      <c r="S150" s="2468"/>
      <c r="T150" s="2469"/>
      <c r="U150" s="1259"/>
      <c r="V150" s="2468"/>
      <c r="W150" s="1536"/>
      <c r="X150" s="1422"/>
      <c r="Y150" s="2470"/>
      <c r="Z150" s="2471"/>
      <c r="AA150" s="433">
        <f t="shared" si="7"/>
        <v>73500000000</v>
      </c>
    </row>
    <row r="151" spans="1:28" ht="22.5" customHeight="1">
      <c r="A151" s="673"/>
      <c r="B151" s="2116"/>
      <c r="C151" s="2292"/>
      <c r="D151" s="2554"/>
      <c r="E151" s="3278" t="s">
        <v>4310</v>
      </c>
      <c r="F151" s="1131">
        <f>Y151</f>
        <v>800</v>
      </c>
      <c r="G151" s="1509">
        <v>800</v>
      </c>
      <c r="H151" s="949"/>
      <c r="I151" s="2060"/>
      <c r="J151" s="681" t="s">
        <v>4289</v>
      </c>
      <c r="K151" s="3228"/>
      <c r="L151" s="3228"/>
      <c r="M151" s="3228"/>
      <c r="N151" s="3228"/>
      <c r="O151" s="3228"/>
      <c r="P151" s="736"/>
      <c r="Q151" s="735"/>
      <c r="R151" s="2472"/>
      <c r="S151" s="2453">
        <v>800000</v>
      </c>
      <c r="T151" s="1678" t="s">
        <v>4290</v>
      </c>
      <c r="U151" s="3016"/>
      <c r="V151" s="2453">
        <v>1</v>
      </c>
      <c r="W151" s="3016" t="s">
        <v>4224</v>
      </c>
      <c r="X151" s="686" t="s">
        <v>4249</v>
      </c>
      <c r="Y151" s="1022">
        <f t="shared" ref="Y151" si="8">(Z151)/1000</f>
        <v>800</v>
      </c>
      <c r="Z151" s="688">
        <f>S151*V151</f>
        <v>800000</v>
      </c>
      <c r="AA151" s="433">
        <f t="shared" si="7"/>
        <v>800000000</v>
      </c>
    </row>
    <row r="152" spans="1:28" ht="22.5" customHeight="1">
      <c r="A152" s="673"/>
      <c r="B152" s="2116"/>
      <c r="C152" s="2292"/>
      <c r="D152" s="2554"/>
      <c r="E152" s="2292" t="s">
        <v>4226</v>
      </c>
      <c r="F152" s="1131">
        <f>Y152</f>
        <v>4000</v>
      </c>
      <c r="G152" s="2126">
        <v>4000</v>
      </c>
      <c r="H152" s="949"/>
      <c r="I152" s="2060"/>
      <c r="J152" s="866" t="s">
        <v>4291</v>
      </c>
      <c r="K152" s="3228"/>
      <c r="L152" s="3228"/>
      <c r="M152" s="3228"/>
      <c r="N152" s="3228"/>
      <c r="O152" s="3228"/>
      <c r="P152" s="736"/>
      <c r="Q152" s="3279"/>
      <c r="R152" s="683"/>
      <c r="S152" s="3280"/>
      <c r="T152" s="683"/>
      <c r="U152" s="683"/>
      <c r="V152" s="3279"/>
      <c r="W152" s="683"/>
      <c r="X152" s="731"/>
      <c r="Y152" s="790">
        <f>Z152/1000</f>
        <v>4000</v>
      </c>
      <c r="Z152" s="688">
        <f>SUM(Z153:Z154)</f>
        <v>4000000</v>
      </c>
      <c r="AA152" s="433">
        <f t="shared" si="7"/>
        <v>4000000000</v>
      </c>
    </row>
    <row r="153" spans="1:28" ht="22.5" customHeight="1">
      <c r="A153" s="673"/>
      <c r="B153" s="2116"/>
      <c r="C153" s="2292"/>
      <c r="D153" s="2554"/>
      <c r="E153" s="2292"/>
      <c r="F153" s="1131"/>
      <c r="G153" s="2126"/>
      <c r="H153" s="680"/>
      <c r="I153" s="2060"/>
      <c r="J153" s="866" t="s">
        <v>4292</v>
      </c>
      <c r="K153" s="3163"/>
      <c r="L153" s="3163"/>
      <c r="M153" s="3228"/>
      <c r="N153" s="3228"/>
      <c r="O153" s="3228"/>
      <c r="P153" s="736"/>
      <c r="Q153" s="1444"/>
      <c r="R153" s="3016"/>
      <c r="S153" s="2142">
        <v>5000</v>
      </c>
      <c r="T153" s="3228" t="s">
        <v>4290</v>
      </c>
      <c r="U153" s="683"/>
      <c r="V153" s="2526">
        <v>320</v>
      </c>
      <c r="W153" s="684" t="s">
        <v>4293</v>
      </c>
      <c r="X153" s="731" t="s">
        <v>4221</v>
      </c>
      <c r="Y153" s="790">
        <f>Z153/1000</f>
        <v>1600</v>
      </c>
      <c r="Z153" s="688">
        <f>S153*V153</f>
        <v>1600000</v>
      </c>
      <c r="AA153" s="433">
        <f t="shared" si="7"/>
        <v>0</v>
      </c>
    </row>
    <row r="154" spans="1:28" s="438" customFormat="1" ht="22.5" customHeight="1">
      <c r="A154" s="673"/>
      <c r="B154" s="674"/>
      <c r="C154" s="2553"/>
      <c r="D154" s="2554"/>
      <c r="E154" s="2292"/>
      <c r="F154" s="1131"/>
      <c r="G154" s="2126"/>
      <c r="H154" s="680"/>
      <c r="I154" s="2060"/>
      <c r="J154" s="866" t="s">
        <v>4294</v>
      </c>
      <c r="K154" s="3163"/>
      <c r="L154" s="3163"/>
      <c r="M154" s="3228"/>
      <c r="N154" s="3228"/>
      <c r="O154" s="3228"/>
      <c r="P154" s="736"/>
      <c r="Q154" s="1444"/>
      <c r="R154" s="3016"/>
      <c r="S154" s="1444">
        <v>4000</v>
      </c>
      <c r="T154" s="3228" t="s">
        <v>4290</v>
      </c>
      <c r="U154" s="683"/>
      <c r="V154" s="2526">
        <v>600</v>
      </c>
      <c r="W154" s="3228" t="s">
        <v>4293</v>
      </c>
      <c r="X154" s="731" t="s">
        <v>4221</v>
      </c>
      <c r="Y154" s="790">
        <f>Z154/1000</f>
        <v>2400</v>
      </c>
      <c r="Z154" s="688">
        <f>S154*V154</f>
        <v>2400000</v>
      </c>
      <c r="AA154" s="433">
        <f t="shared" si="7"/>
        <v>0</v>
      </c>
      <c r="AB154" s="449"/>
    </row>
    <row r="155" spans="1:28" s="438" customFormat="1" ht="21.95" customHeight="1">
      <c r="A155" s="673"/>
      <c r="B155" s="674"/>
      <c r="C155" s="2553"/>
      <c r="D155" s="2554"/>
      <c r="E155" s="2455" t="s">
        <v>4311</v>
      </c>
      <c r="F155" s="1131">
        <f>Y155</f>
        <v>2400</v>
      </c>
      <c r="G155" s="2466">
        <v>2400</v>
      </c>
      <c r="H155" s="949"/>
      <c r="I155" s="2060"/>
      <c r="J155" s="681" t="s">
        <v>4295</v>
      </c>
      <c r="K155" s="3228"/>
      <c r="L155" s="3228"/>
      <c r="M155" s="3228"/>
      <c r="N155" s="3228"/>
      <c r="O155" s="3228"/>
      <c r="P155" s="736"/>
      <c r="Q155" s="736">
        <v>1</v>
      </c>
      <c r="R155" s="1678" t="s">
        <v>4296</v>
      </c>
      <c r="S155" s="735">
        <v>200000</v>
      </c>
      <c r="T155" s="1678" t="s">
        <v>4290</v>
      </c>
      <c r="U155" s="683"/>
      <c r="V155" s="736">
        <v>12</v>
      </c>
      <c r="W155" s="3228" t="s">
        <v>4269</v>
      </c>
      <c r="X155" s="686" t="s">
        <v>4221</v>
      </c>
      <c r="Y155" s="1022">
        <f t="shared" ref="Y155:Y167" si="9">(Z155)/1000</f>
        <v>2400</v>
      </c>
      <c r="Z155" s="688">
        <f>Q155*S155*V155</f>
        <v>2400000</v>
      </c>
      <c r="AA155" s="433">
        <f t="shared" si="7"/>
        <v>2400000000</v>
      </c>
      <c r="AB155" s="449"/>
    </row>
    <row r="156" spans="1:28" s="438" customFormat="1" ht="21.95" customHeight="1">
      <c r="A156" s="673"/>
      <c r="B156" s="674"/>
      <c r="C156" s="2553"/>
      <c r="D156" s="2554"/>
      <c r="E156" s="2455" t="s">
        <v>4312</v>
      </c>
      <c r="F156" s="1131">
        <f>Y156</f>
        <v>6000</v>
      </c>
      <c r="G156" s="2466">
        <v>6000</v>
      </c>
      <c r="H156" s="949"/>
      <c r="I156" s="2060"/>
      <c r="J156" s="681" t="s">
        <v>4297</v>
      </c>
      <c r="K156" s="3228"/>
      <c r="L156" s="3228"/>
      <c r="M156" s="3228"/>
      <c r="N156" s="3228"/>
      <c r="O156" s="3228"/>
      <c r="P156" s="736"/>
      <c r="Q156" s="735">
        <v>1</v>
      </c>
      <c r="R156" s="2472" t="s">
        <v>4298</v>
      </c>
      <c r="S156" s="2453">
        <v>500000</v>
      </c>
      <c r="T156" s="1678" t="s">
        <v>4290</v>
      </c>
      <c r="U156" s="3016"/>
      <c r="V156" s="2453">
        <v>12</v>
      </c>
      <c r="W156" s="3016" t="s">
        <v>4269</v>
      </c>
      <c r="X156" s="686" t="s">
        <v>4249</v>
      </c>
      <c r="Y156" s="1022">
        <f t="shared" si="9"/>
        <v>6000</v>
      </c>
      <c r="Z156" s="688">
        <f>Q156*S156*V156</f>
        <v>6000000</v>
      </c>
      <c r="AA156" s="433">
        <f t="shared" si="7"/>
        <v>6000000000</v>
      </c>
      <c r="AB156" s="449"/>
    </row>
    <row r="157" spans="1:28" ht="21.95" customHeight="1">
      <c r="A157" s="673"/>
      <c r="B157" s="674"/>
      <c r="C157" s="2553"/>
      <c r="D157" s="2554"/>
      <c r="E157" s="2292" t="s">
        <v>4228</v>
      </c>
      <c r="F157" s="1131">
        <f>Y157</f>
        <v>37620</v>
      </c>
      <c r="G157" s="2126">
        <v>37620</v>
      </c>
      <c r="H157" s="949"/>
      <c r="I157" s="2060"/>
      <c r="J157" s="866" t="s">
        <v>4291</v>
      </c>
      <c r="K157" s="3228"/>
      <c r="L157" s="3228"/>
      <c r="M157" s="3228"/>
      <c r="N157" s="3228"/>
      <c r="O157" s="3228"/>
      <c r="P157" s="736"/>
      <c r="Q157" s="3279"/>
      <c r="R157" s="683"/>
      <c r="S157" s="3280"/>
      <c r="T157" s="683"/>
      <c r="U157" s="683"/>
      <c r="V157" s="3279"/>
      <c r="W157" s="683"/>
      <c r="X157" s="3281"/>
      <c r="Y157" s="1022">
        <f t="shared" si="9"/>
        <v>37620</v>
      </c>
      <c r="Z157" s="688">
        <f>SUM(Z158:Z160)</f>
        <v>37620000</v>
      </c>
      <c r="AA157" s="433">
        <f t="shared" si="7"/>
        <v>37620000000</v>
      </c>
    </row>
    <row r="158" spans="1:28" ht="21.95" customHeight="1">
      <c r="A158" s="673"/>
      <c r="B158" s="674"/>
      <c r="C158" s="2553"/>
      <c r="D158" s="2554"/>
      <c r="E158" s="2292"/>
      <c r="F158" s="1131"/>
      <c r="G158" s="2126"/>
      <c r="H158" s="680"/>
      <c r="I158" s="2060"/>
      <c r="J158" s="3845" t="s">
        <v>4299</v>
      </c>
      <c r="K158" s="3846"/>
      <c r="L158" s="3846"/>
      <c r="M158" s="3846"/>
      <c r="N158" s="3228"/>
      <c r="O158" s="3228"/>
      <c r="P158" s="736"/>
      <c r="Q158" s="1444">
        <v>2</v>
      </c>
      <c r="R158" s="3016" t="s">
        <v>4300</v>
      </c>
      <c r="S158" s="2142">
        <v>200000</v>
      </c>
      <c r="T158" s="3228" t="s">
        <v>4290</v>
      </c>
      <c r="U158" s="683"/>
      <c r="V158" s="2453">
        <v>12</v>
      </c>
      <c r="W158" s="3016" t="s">
        <v>4269</v>
      </c>
      <c r="X158" s="731" t="s">
        <v>4221</v>
      </c>
      <c r="Y158" s="1022">
        <f t="shared" si="9"/>
        <v>4800</v>
      </c>
      <c r="Z158" s="688">
        <f>Q158*S158*V158</f>
        <v>4800000</v>
      </c>
      <c r="AA158" s="433">
        <f t="shared" si="7"/>
        <v>0</v>
      </c>
    </row>
    <row r="159" spans="1:28" s="438" customFormat="1" ht="21.95" customHeight="1">
      <c r="A159" s="1701"/>
      <c r="B159" s="2554"/>
      <c r="C159" s="2553"/>
      <c r="D159" s="2554"/>
      <c r="E159" s="2292"/>
      <c r="F159" s="1131"/>
      <c r="G159" s="2126"/>
      <c r="H159" s="680"/>
      <c r="I159" s="2060"/>
      <c r="J159" s="3845" t="s">
        <v>4301</v>
      </c>
      <c r="K159" s="3846"/>
      <c r="L159" s="3846"/>
      <c r="M159" s="3228"/>
      <c r="N159" s="3228"/>
      <c r="O159" s="3228"/>
      <c r="P159" s="736"/>
      <c r="Q159" s="1444">
        <v>7</v>
      </c>
      <c r="R159" s="3016" t="s">
        <v>4300</v>
      </c>
      <c r="S159" s="2142">
        <v>230000</v>
      </c>
      <c r="T159" s="3228" t="s">
        <v>4290</v>
      </c>
      <c r="U159" s="683"/>
      <c r="V159" s="2453">
        <v>12</v>
      </c>
      <c r="W159" s="3016" t="s">
        <v>4269</v>
      </c>
      <c r="X159" s="731" t="s">
        <v>4221</v>
      </c>
      <c r="Y159" s="1022">
        <f t="shared" si="9"/>
        <v>19320</v>
      </c>
      <c r="Z159" s="688">
        <f>Q159*S159*V159</f>
        <v>19320000</v>
      </c>
      <c r="AA159" s="433">
        <f t="shared" si="7"/>
        <v>0</v>
      </c>
      <c r="AB159" s="449"/>
    </row>
    <row r="160" spans="1:28" s="457" customFormat="1" ht="21.95" customHeight="1">
      <c r="A160" s="916"/>
      <c r="B160" s="674"/>
      <c r="C160" s="2292"/>
      <c r="D160" s="2554"/>
      <c r="E160" s="2292"/>
      <c r="F160" s="1131"/>
      <c r="G160" s="2126"/>
      <c r="H160" s="680"/>
      <c r="I160" s="2060"/>
      <c r="J160" s="3845" t="s">
        <v>4302</v>
      </c>
      <c r="K160" s="3846"/>
      <c r="L160" s="3846"/>
      <c r="M160" s="3228"/>
      <c r="N160" s="3228"/>
      <c r="O160" s="3228"/>
      <c r="P160" s="736"/>
      <c r="Q160" s="1444">
        <v>3</v>
      </c>
      <c r="R160" s="3016" t="s">
        <v>4300</v>
      </c>
      <c r="S160" s="1444">
        <v>4500000</v>
      </c>
      <c r="T160" s="3228" t="s">
        <v>4290</v>
      </c>
      <c r="U160" s="683"/>
      <c r="V160" s="2526">
        <v>1</v>
      </c>
      <c r="W160" s="3228" t="s">
        <v>4222</v>
      </c>
      <c r="X160" s="731" t="s">
        <v>4221</v>
      </c>
      <c r="Y160" s="1022">
        <f t="shared" si="9"/>
        <v>13500</v>
      </c>
      <c r="Z160" s="688">
        <f>Q160*S160*V160</f>
        <v>13500000</v>
      </c>
      <c r="AA160" s="433">
        <f t="shared" si="7"/>
        <v>0</v>
      </c>
      <c r="AB160" s="423"/>
    </row>
    <row r="161" spans="1:28" ht="21.95" customHeight="1">
      <c r="A161" s="673"/>
      <c r="B161" s="674"/>
      <c r="C161" s="2553"/>
      <c r="D161" s="2554"/>
      <c r="E161" s="2455" t="s">
        <v>4313</v>
      </c>
      <c r="F161" s="1131">
        <f t="shared" ref="F161:F167" si="10">Y161</f>
        <v>1980</v>
      </c>
      <c r="G161" s="1131">
        <v>1980</v>
      </c>
      <c r="H161" s="949"/>
      <c r="I161" s="2060"/>
      <c r="J161" s="681" t="s">
        <v>4303</v>
      </c>
      <c r="K161" s="3228"/>
      <c r="L161" s="3228"/>
      <c r="M161" s="3228"/>
      <c r="N161" s="3228"/>
      <c r="O161" s="3228"/>
      <c r="P161" s="736"/>
      <c r="Q161" s="735"/>
      <c r="R161" s="2472"/>
      <c r="S161" s="2453">
        <v>165000</v>
      </c>
      <c r="T161" s="1678" t="s">
        <v>4290</v>
      </c>
      <c r="U161" s="3016"/>
      <c r="V161" s="2453">
        <v>12</v>
      </c>
      <c r="W161" s="3016" t="s">
        <v>4269</v>
      </c>
      <c r="X161" s="686" t="s">
        <v>4221</v>
      </c>
      <c r="Y161" s="1022">
        <f t="shared" si="9"/>
        <v>1980</v>
      </c>
      <c r="Z161" s="688">
        <f>S161*V161</f>
        <v>1980000</v>
      </c>
      <c r="AA161" s="433">
        <f t="shared" si="7"/>
        <v>1980000000</v>
      </c>
    </row>
    <row r="162" spans="1:28" s="438" customFormat="1" ht="21.95" customHeight="1">
      <c r="A162" s="673"/>
      <c r="B162" s="674"/>
      <c r="C162" s="2553"/>
      <c r="D162" s="2554"/>
      <c r="E162" s="2455" t="s">
        <v>4314</v>
      </c>
      <c r="F162" s="1131">
        <f t="shared" si="10"/>
        <v>1300</v>
      </c>
      <c r="G162" s="2466">
        <v>1300</v>
      </c>
      <c r="H162" s="949"/>
      <c r="I162" s="2060"/>
      <c r="J162" s="681" t="s">
        <v>4304</v>
      </c>
      <c r="K162" s="3228"/>
      <c r="L162" s="3228"/>
      <c r="M162" s="3228"/>
      <c r="N162" s="3228"/>
      <c r="O162" s="3228"/>
      <c r="P162" s="736"/>
      <c r="Q162" s="735">
        <v>1</v>
      </c>
      <c r="R162" s="2472" t="s">
        <v>4298</v>
      </c>
      <c r="S162" s="2453">
        <v>130000</v>
      </c>
      <c r="T162" s="1678" t="s">
        <v>4290</v>
      </c>
      <c r="U162" s="3016"/>
      <c r="V162" s="2453">
        <v>10</v>
      </c>
      <c r="W162" s="3016" t="s">
        <v>4222</v>
      </c>
      <c r="X162" s="686" t="s">
        <v>4249</v>
      </c>
      <c r="Y162" s="1022">
        <f t="shared" si="9"/>
        <v>1300</v>
      </c>
      <c r="Z162" s="688">
        <f>Q162*S162*V162</f>
        <v>1300000</v>
      </c>
      <c r="AA162" s="433">
        <f t="shared" si="7"/>
        <v>1300000000</v>
      </c>
      <c r="AB162" s="449"/>
    </row>
    <row r="163" spans="1:28" s="457" customFormat="1" ht="21.95" customHeight="1">
      <c r="A163" s="916"/>
      <c r="B163" s="674"/>
      <c r="C163" s="2292"/>
      <c r="D163" s="2554"/>
      <c r="E163" s="2455" t="s">
        <v>4315</v>
      </c>
      <c r="F163" s="1131">
        <f t="shared" si="10"/>
        <v>2000</v>
      </c>
      <c r="G163" s="2466">
        <v>2000</v>
      </c>
      <c r="H163" s="949"/>
      <c r="I163" s="2060"/>
      <c r="J163" s="681" t="s">
        <v>4305</v>
      </c>
      <c r="K163" s="3228"/>
      <c r="L163" s="3228"/>
      <c r="M163" s="3228"/>
      <c r="N163" s="3228"/>
      <c r="O163" s="3228"/>
      <c r="P163" s="736"/>
      <c r="Q163" s="735">
        <v>10</v>
      </c>
      <c r="R163" s="2472" t="s">
        <v>4300</v>
      </c>
      <c r="S163" s="2453">
        <v>200000</v>
      </c>
      <c r="T163" s="1678" t="s">
        <v>4290</v>
      </c>
      <c r="U163" s="3016"/>
      <c r="V163" s="2453">
        <v>1</v>
      </c>
      <c r="W163" s="3016" t="s">
        <v>4222</v>
      </c>
      <c r="X163" s="686" t="s">
        <v>4221</v>
      </c>
      <c r="Y163" s="1022">
        <f t="shared" si="9"/>
        <v>2000</v>
      </c>
      <c r="Z163" s="688">
        <f>Q163*S163*V163</f>
        <v>2000000</v>
      </c>
      <c r="AA163" s="433">
        <f t="shared" si="7"/>
        <v>2000000000</v>
      </c>
      <c r="AB163" s="423"/>
    </row>
    <row r="164" spans="1:28" s="457" customFormat="1" ht="21.95" customHeight="1">
      <c r="A164" s="916"/>
      <c r="B164" s="674"/>
      <c r="C164" s="2292"/>
      <c r="D164" s="2554"/>
      <c r="E164" s="2455" t="s">
        <v>4225</v>
      </c>
      <c r="F164" s="1131">
        <f t="shared" si="10"/>
        <v>4200</v>
      </c>
      <c r="G164" s="1131">
        <v>4200</v>
      </c>
      <c r="H164" s="949"/>
      <c r="I164" s="2060"/>
      <c r="J164" s="681" t="s">
        <v>4306</v>
      </c>
      <c r="K164" s="3228"/>
      <c r="L164" s="3228"/>
      <c r="M164" s="3228"/>
      <c r="N164" s="3228"/>
      <c r="O164" s="3228"/>
      <c r="P164" s="736"/>
      <c r="Q164" s="735"/>
      <c r="R164" s="2472"/>
      <c r="S164" s="2453">
        <v>350000</v>
      </c>
      <c r="T164" s="1678" t="s">
        <v>4290</v>
      </c>
      <c r="U164" s="3016"/>
      <c r="V164" s="2453">
        <v>12</v>
      </c>
      <c r="W164" s="3016" t="s">
        <v>4269</v>
      </c>
      <c r="X164" s="686" t="s">
        <v>4221</v>
      </c>
      <c r="Y164" s="1022">
        <f t="shared" si="9"/>
        <v>4200</v>
      </c>
      <c r="Z164" s="688">
        <f>S164*V164</f>
        <v>4200000</v>
      </c>
      <c r="AA164" s="433">
        <f t="shared" si="7"/>
        <v>4200000000</v>
      </c>
      <c r="AB164" s="423"/>
    </row>
    <row r="165" spans="1:28" ht="21.95" customHeight="1">
      <c r="A165" s="673"/>
      <c r="B165" s="674"/>
      <c r="C165" s="2553"/>
      <c r="D165" s="2554"/>
      <c r="E165" s="2455" t="s">
        <v>4229</v>
      </c>
      <c r="F165" s="1131">
        <f t="shared" si="10"/>
        <v>2400</v>
      </c>
      <c r="G165" s="1131">
        <v>2400</v>
      </c>
      <c r="H165" s="949"/>
      <c r="I165" s="2060"/>
      <c r="J165" s="681" t="s">
        <v>4307</v>
      </c>
      <c r="K165" s="3228"/>
      <c r="L165" s="3228"/>
      <c r="M165" s="3228"/>
      <c r="N165" s="3228"/>
      <c r="O165" s="3228"/>
      <c r="P165" s="736"/>
      <c r="Q165" s="735"/>
      <c r="R165" s="2472"/>
      <c r="S165" s="2453">
        <v>200000</v>
      </c>
      <c r="T165" s="1678" t="s">
        <v>4290</v>
      </c>
      <c r="U165" s="3016"/>
      <c r="V165" s="2453">
        <v>12</v>
      </c>
      <c r="W165" s="3016" t="s">
        <v>4269</v>
      </c>
      <c r="X165" s="686" t="s">
        <v>4249</v>
      </c>
      <c r="Y165" s="1022">
        <f t="shared" si="9"/>
        <v>2400</v>
      </c>
      <c r="Z165" s="688">
        <f>S165*V165</f>
        <v>2400000</v>
      </c>
      <c r="AA165" s="433">
        <f t="shared" si="7"/>
        <v>2400000000</v>
      </c>
    </row>
    <row r="166" spans="1:28" ht="21.95" customHeight="1">
      <c r="A166" s="3132"/>
      <c r="B166" s="674"/>
      <c r="C166" s="2553"/>
      <c r="D166" s="2554"/>
      <c r="E166" s="2455" t="s">
        <v>4316</v>
      </c>
      <c r="F166" s="1131">
        <f t="shared" si="10"/>
        <v>2000</v>
      </c>
      <c r="G166" s="1131">
        <v>2000</v>
      </c>
      <c r="H166" s="949"/>
      <c r="I166" s="2060"/>
      <c r="J166" s="681" t="s">
        <v>4308</v>
      </c>
      <c r="K166" s="3228"/>
      <c r="L166" s="3228"/>
      <c r="M166" s="3228"/>
      <c r="N166" s="3228"/>
      <c r="O166" s="3228"/>
      <c r="P166" s="736"/>
      <c r="Q166" s="735">
        <v>1</v>
      </c>
      <c r="R166" s="2472" t="s">
        <v>4298</v>
      </c>
      <c r="S166" s="2453">
        <v>200000</v>
      </c>
      <c r="T166" s="1678" t="s">
        <v>4290</v>
      </c>
      <c r="U166" s="3016"/>
      <c r="V166" s="2453">
        <v>10</v>
      </c>
      <c r="W166" s="3016" t="s">
        <v>4269</v>
      </c>
      <c r="X166" s="686" t="s">
        <v>4249</v>
      </c>
      <c r="Y166" s="1022">
        <f t="shared" si="9"/>
        <v>2000</v>
      </c>
      <c r="Z166" s="688">
        <f>Q166*S166*V166</f>
        <v>2000000</v>
      </c>
      <c r="AA166" s="433">
        <f t="shared" si="7"/>
        <v>2000000000</v>
      </c>
    </row>
    <row r="167" spans="1:28" s="457" customFormat="1" ht="21.95" customHeight="1">
      <c r="A167" s="916"/>
      <c r="B167" s="674"/>
      <c r="C167" s="2292"/>
      <c r="D167" s="2554"/>
      <c r="E167" s="2455" t="s">
        <v>4309</v>
      </c>
      <c r="F167" s="1131">
        <f t="shared" si="10"/>
        <v>8800</v>
      </c>
      <c r="G167" s="1131">
        <v>8800</v>
      </c>
      <c r="H167" s="949"/>
      <c r="I167" s="2060"/>
      <c r="J167" s="681" t="s">
        <v>4297</v>
      </c>
      <c r="K167" s="3228" t="s">
        <v>4309</v>
      </c>
      <c r="L167" s="3228"/>
      <c r="M167" s="3228"/>
      <c r="N167" s="3228"/>
      <c r="O167" s="3228"/>
      <c r="P167" s="736"/>
      <c r="Q167" s="735">
        <v>20</v>
      </c>
      <c r="R167" s="2472" t="s">
        <v>4300</v>
      </c>
      <c r="S167" s="2453">
        <v>20000</v>
      </c>
      <c r="T167" s="1678" t="s">
        <v>4290</v>
      </c>
      <c r="U167" s="3016"/>
      <c r="V167" s="2453">
        <v>22</v>
      </c>
      <c r="W167" s="3016" t="s">
        <v>4222</v>
      </c>
      <c r="X167" s="686" t="s">
        <v>4221</v>
      </c>
      <c r="Y167" s="1022">
        <f t="shared" si="9"/>
        <v>8800</v>
      </c>
      <c r="Z167" s="688">
        <f>Q167*S167*V167</f>
        <v>8800000</v>
      </c>
      <c r="AA167" s="433">
        <f t="shared" si="7"/>
        <v>8800000000</v>
      </c>
      <c r="AB167" s="423"/>
    </row>
    <row r="168" spans="1:28" ht="21.95" customHeight="1">
      <c r="A168" s="673"/>
      <c r="B168" s="674"/>
      <c r="C168" s="2553"/>
      <c r="D168" s="3947" t="s">
        <v>3659</v>
      </c>
      <c r="E168" s="3948"/>
      <c r="F168" s="1507">
        <f>SUM(F169:F169)</f>
        <v>1500</v>
      </c>
      <c r="G168" s="1507">
        <f>G169</f>
        <v>1500</v>
      </c>
      <c r="H168" s="1421">
        <f>F168-G168</f>
        <v>0</v>
      </c>
      <c r="I168" s="2060"/>
      <c r="J168" s="1989"/>
      <c r="K168" s="2094"/>
      <c r="L168" s="2094"/>
      <c r="M168" s="2094"/>
      <c r="N168" s="2094"/>
      <c r="O168" s="2094"/>
      <c r="P168" s="1075"/>
      <c r="Q168" s="2468"/>
      <c r="R168" s="2469"/>
      <c r="S168" s="2468"/>
      <c r="T168" s="2469"/>
      <c r="U168" s="1259"/>
      <c r="V168" s="2468"/>
      <c r="W168" s="1536"/>
      <c r="X168" s="1536"/>
      <c r="Y168" s="2555"/>
      <c r="Z168" s="2471"/>
      <c r="AA168" s="433">
        <f t="shared" si="7"/>
        <v>1500000000</v>
      </c>
    </row>
    <row r="169" spans="1:28" s="438" customFormat="1" ht="21.95" customHeight="1">
      <c r="A169" s="673"/>
      <c r="B169" s="674"/>
      <c r="C169" s="2553"/>
      <c r="D169" s="2554"/>
      <c r="E169" s="2455" t="s">
        <v>3660</v>
      </c>
      <c r="F169" s="1131">
        <f>Y169</f>
        <v>1500</v>
      </c>
      <c r="G169" s="2466">
        <v>1500</v>
      </c>
      <c r="H169" s="680"/>
      <c r="I169" s="2060"/>
      <c r="J169" s="2042" t="s">
        <v>3661</v>
      </c>
      <c r="K169" s="1093"/>
      <c r="L169" s="1093"/>
      <c r="M169" s="1093"/>
      <c r="N169" s="1093"/>
      <c r="O169" s="1093"/>
      <c r="P169" s="1116"/>
      <c r="Q169" s="1187">
        <v>1</v>
      </c>
      <c r="R169" s="2556" t="s">
        <v>3662</v>
      </c>
      <c r="S169" s="2557">
        <v>1500000</v>
      </c>
      <c r="T169" s="2495" t="s">
        <v>3663</v>
      </c>
      <c r="U169" s="2043"/>
      <c r="V169" s="2557"/>
      <c r="W169" s="2043"/>
      <c r="X169" s="2045" t="s">
        <v>3657</v>
      </c>
      <c r="Y169" s="2048">
        <f>(Z169)/1000</f>
        <v>1500</v>
      </c>
      <c r="Z169" s="736">
        <f>Q169*S169</f>
        <v>1500000</v>
      </c>
      <c r="AA169" s="433">
        <f t="shared" si="7"/>
        <v>1500000000</v>
      </c>
      <c r="AB169" s="449"/>
    </row>
    <row r="170" spans="1:28" ht="21.95" customHeight="1">
      <c r="A170" s="673"/>
      <c r="B170" s="674"/>
      <c r="C170" s="3949" t="s">
        <v>5941</v>
      </c>
      <c r="D170" s="3949"/>
      <c r="E170" s="3949"/>
      <c r="F170" s="2550">
        <f>F171+F192</f>
        <v>105630</v>
      </c>
      <c r="G170" s="2550">
        <f>G171+G192</f>
        <v>100000</v>
      </c>
      <c r="H170" s="2496">
        <f>F170-G170</f>
        <v>5630</v>
      </c>
      <c r="I170" s="2060"/>
      <c r="J170" s="1989"/>
      <c r="K170" s="2094"/>
      <c r="L170" s="2094"/>
      <c r="M170" s="2094"/>
      <c r="N170" s="2094"/>
      <c r="O170" s="2094"/>
      <c r="P170" s="1075"/>
      <c r="Q170" s="1119"/>
      <c r="R170" s="2469"/>
      <c r="S170" s="2468"/>
      <c r="T170" s="2469"/>
      <c r="U170" s="1536"/>
      <c r="V170" s="2468"/>
      <c r="W170" s="1536"/>
      <c r="X170" s="1536"/>
      <c r="Y170" s="2551"/>
      <c r="Z170" s="2552"/>
      <c r="AA170" s="433">
        <f t="shared" si="7"/>
        <v>105630000000</v>
      </c>
    </row>
    <row r="171" spans="1:28" s="438" customFormat="1" ht="21.95" customHeight="1">
      <c r="A171" s="673"/>
      <c r="B171" s="674"/>
      <c r="C171" s="2553"/>
      <c r="D171" s="3947" t="s">
        <v>5943</v>
      </c>
      <c r="E171" s="3948"/>
      <c r="F171" s="1507">
        <f>SUM(F172:F191)</f>
        <v>100000</v>
      </c>
      <c r="G171" s="1507">
        <f>SUM(G172:G191)</f>
        <v>100000</v>
      </c>
      <c r="H171" s="1421">
        <f>F171-G171</f>
        <v>0</v>
      </c>
      <c r="I171" s="2060"/>
      <c r="J171" s="1989"/>
      <c r="K171" s="2094"/>
      <c r="L171" s="2094"/>
      <c r="M171" s="2094"/>
      <c r="N171" s="2094"/>
      <c r="O171" s="2094"/>
      <c r="P171" s="1075"/>
      <c r="Q171" s="2468"/>
      <c r="R171" s="2469"/>
      <c r="S171" s="2468"/>
      <c r="T171" s="2469"/>
      <c r="U171" s="1259"/>
      <c r="V171" s="2468"/>
      <c r="W171" s="1536"/>
      <c r="X171" s="1422"/>
      <c r="Y171" s="2470"/>
      <c r="Z171" s="2471"/>
      <c r="AA171" s="433">
        <f t="shared" si="7"/>
        <v>100000000000</v>
      </c>
      <c r="AB171" s="449"/>
    </row>
    <row r="172" spans="1:28" s="438" customFormat="1" ht="21.95" customHeight="1">
      <c r="A172" s="673"/>
      <c r="B172" s="674"/>
      <c r="C172" s="948"/>
      <c r="D172" s="2464"/>
      <c r="E172" s="675" t="s">
        <v>3664</v>
      </c>
      <c r="F172" s="1131">
        <f>Y172</f>
        <v>27700</v>
      </c>
      <c r="G172" s="2475">
        <v>27700</v>
      </c>
      <c r="H172" s="680"/>
      <c r="I172" s="2060"/>
      <c r="J172" s="681" t="s">
        <v>3665</v>
      </c>
      <c r="K172" s="709"/>
      <c r="L172" s="709"/>
      <c r="M172" s="709"/>
      <c r="N172" s="709"/>
      <c r="O172" s="709"/>
      <c r="P172" s="736"/>
      <c r="Q172" s="2453">
        <v>1</v>
      </c>
      <c r="R172" s="2472" t="s">
        <v>3658</v>
      </c>
      <c r="S172" s="2453">
        <v>2308333</v>
      </c>
      <c r="T172" s="1678" t="s">
        <v>56</v>
      </c>
      <c r="U172" s="683"/>
      <c r="V172" s="2453">
        <v>12</v>
      </c>
      <c r="W172" s="682" t="s">
        <v>2</v>
      </c>
      <c r="X172" s="686" t="s">
        <v>1</v>
      </c>
      <c r="Y172" s="1022">
        <f t="shared" ref="Y172:Y181" si="11">(Z172)/1000</f>
        <v>27700</v>
      </c>
      <c r="Z172" s="736">
        <v>27700000</v>
      </c>
      <c r="AA172" s="433">
        <f t="shared" si="7"/>
        <v>27700000000</v>
      </c>
      <c r="AB172" s="449"/>
    </row>
    <row r="173" spans="1:28" s="438" customFormat="1" ht="21.95" customHeight="1">
      <c r="A173" s="673"/>
      <c r="B173" s="674"/>
      <c r="C173" s="2553"/>
      <c r="D173" s="2554"/>
      <c r="E173" s="2457" t="s">
        <v>57</v>
      </c>
      <c r="F173" s="1131">
        <f>Y173</f>
        <v>7000</v>
      </c>
      <c r="G173" s="2466">
        <v>7000</v>
      </c>
      <c r="H173" s="680"/>
      <c r="I173" s="2060"/>
      <c r="J173" s="681" t="s">
        <v>3519</v>
      </c>
      <c r="K173" s="709"/>
      <c r="L173" s="709"/>
      <c r="M173" s="709"/>
      <c r="N173" s="709"/>
      <c r="O173" s="709"/>
      <c r="P173" s="736"/>
      <c r="Q173" s="735"/>
      <c r="R173" s="682"/>
      <c r="S173" s="2453"/>
      <c r="T173" s="682"/>
      <c r="U173" s="682"/>
      <c r="V173" s="2453"/>
      <c r="W173" s="682"/>
      <c r="X173" s="686"/>
      <c r="Y173" s="1022">
        <f t="shared" si="11"/>
        <v>7000</v>
      </c>
      <c r="Z173" s="736">
        <f>SUM(Z174:Z175)</f>
        <v>7000000</v>
      </c>
      <c r="AA173" s="433">
        <f t="shared" si="7"/>
        <v>7000000000</v>
      </c>
      <c r="AB173" s="449"/>
    </row>
    <row r="174" spans="1:28" s="438" customFormat="1" ht="21.95" customHeight="1">
      <c r="A174" s="673"/>
      <c r="B174" s="674"/>
      <c r="C174" s="2553"/>
      <c r="D174" s="2554"/>
      <c r="E174" s="2457"/>
      <c r="F174" s="1131"/>
      <c r="G174" s="2466"/>
      <c r="H174" s="680"/>
      <c r="I174" s="2060"/>
      <c r="J174" s="681" t="s">
        <v>3666</v>
      </c>
      <c r="K174" s="709"/>
      <c r="L174" s="709"/>
      <c r="M174" s="709"/>
      <c r="N174" s="709"/>
      <c r="O174" s="709"/>
      <c r="P174" s="736"/>
      <c r="Q174" s="735">
        <v>1</v>
      </c>
      <c r="R174" s="682" t="s">
        <v>63</v>
      </c>
      <c r="S174" s="2453">
        <v>1100000</v>
      </c>
      <c r="T174" s="1678" t="s">
        <v>56</v>
      </c>
      <c r="U174" s="682"/>
      <c r="V174" s="2453">
        <v>2</v>
      </c>
      <c r="W174" s="682" t="s">
        <v>3</v>
      </c>
      <c r="X174" s="686" t="s">
        <v>1</v>
      </c>
      <c r="Y174" s="1022">
        <f t="shared" si="11"/>
        <v>2200</v>
      </c>
      <c r="Z174" s="736">
        <f>Q174*S174*V174</f>
        <v>2200000</v>
      </c>
      <c r="AA174" s="433">
        <f t="shared" si="7"/>
        <v>0</v>
      </c>
      <c r="AB174" s="449"/>
    </row>
    <row r="175" spans="1:28" ht="21.95" customHeight="1">
      <c r="A175" s="673"/>
      <c r="B175" s="674"/>
      <c r="C175" s="2553"/>
      <c r="D175" s="2554"/>
      <c r="E175" s="2457"/>
      <c r="F175" s="1131"/>
      <c r="G175" s="2466"/>
      <c r="H175" s="680"/>
      <c r="I175" s="2060"/>
      <c r="J175" s="681" t="s">
        <v>3667</v>
      </c>
      <c r="K175" s="709"/>
      <c r="L175" s="709"/>
      <c r="M175" s="709"/>
      <c r="N175" s="709"/>
      <c r="O175" s="709"/>
      <c r="P175" s="736"/>
      <c r="Q175" s="735">
        <v>1</v>
      </c>
      <c r="R175" s="682" t="s">
        <v>63</v>
      </c>
      <c r="S175" s="2453">
        <v>1200000</v>
      </c>
      <c r="T175" s="1678" t="s">
        <v>56</v>
      </c>
      <c r="U175" s="682"/>
      <c r="V175" s="2453">
        <v>4</v>
      </c>
      <c r="W175" s="682" t="s">
        <v>3</v>
      </c>
      <c r="X175" s="686" t="s">
        <v>1</v>
      </c>
      <c r="Y175" s="1022">
        <f t="shared" si="11"/>
        <v>4800</v>
      </c>
      <c r="Z175" s="736">
        <f>Q175*S175*V175</f>
        <v>4800000</v>
      </c>
      <c r="AA175" s="433">
        <f t="shared" si="7"/>
        <v>0</v>
      </c>
    </row>
    <row r="176" spans="1:28" ht="21.95" customHeight="1">
      <c r="A176" s="673"/>
      <c r="B176" s="674"/>
      <c r="C176" s="2553"/>
      <c r="D176" s="2554"/>
      <c r="E176" s="2458" t="s">
        <v>3518</v>
      </c>
      <c r="F176" s="1131">
        <f>Y176</f>
        <v>1630</v>
      </c>
      <c r="G176" s="2466">
        <v>1630</v>
      </c>
      <c r="H176" s="680"/>
      <c r="I176" s="2060"/>
      <c r="J176" s="681" t="s">
        <v>3668</v>
      </c>
      <c r="K176" s="709"/>
      <c r="L176" s="709"/>
      <c r="M176" s="709"/>
      <c r="N176" s="709"/>
      <c r="O176" s="709"/>
      <c r="P176" s="736"/>
      <c r="Q176" s="735"/>
      <c r="R176" s="682"/>
      <c r="S176" s="2453">
        <v>1630000</v>
      </c>
      <c r="T176" s="1678" t="s">
        <v>56</v>
      </c>
      <c r="U176" s="682"/>
      <c r="V176" s="2453">
        <v>1</v>
      </c>
      <c r="W176" s="682" t="s">
        <v>3579</v>
      </c>
      <c r="X176" s="686" t="s">
        <v>1</v>
      </c>
      <c r="Y176" s="1022">
        <f t="shared" si="11"/>
        <v>1630</v>
      </c>
      <c r="Z176" s="736">
        <f>S176*V176</f>
        <v>1630000</v>
      </c>
      <c r="AA176" s="433">
        <f t="shared" si="7"/>
        <v>1630000000</v>
      </c>
    </row>
    <row r="177" spans="1:27" ht="21.95" customHeight="1">
      <c r="A177" s="673"/>
      <c r="B177" s="674"/>
      <c r="C177" s="2553"/>
      <c r="D177" s="2554"/>
      <c r="E177" s="2457" t="s">
        <v>166</v>
      </c>
      <c r="F177" s="1131">
        <f>Y177</f>
        <v>6000</v>
      </c>
      <c r="G177" s="2466">
        <v>6000</v>
      </c>
      <c r="H177" s="680"/>
      <c r="I177" s="2060"/>
      <c r="J177" s="681" t="s">
        <v>3669</v>
      </c>
      <c r="K177" s="709"/>
      <c r="L177" s="709"/>
      <c r="M177" s="709"/>
      <c r="N177" s="709"/>
      <c r="O177" s="709"/>
      <c r="P177" s="736"/>
      <c r="Q177" s="735"/>
      <c r="R177" s="682"/>
      <c r="S177" s="2453">
        <v>500000</v>
      </c>
      <c r="T177" s="1678" t="s">
        <v>3508</v>
      </c>
      <c r="U177" s="682"/>
      <c r="V177" s="2453">
        <v>12</v>
      </c>
      <c r="W177" s="682" t="s">
        <v>3525</v>
      </c>
      <c r="X177" s="686" t="s">
        <v>1</v>
      </c>
      <c r="Y177" s="1022">
        <f t="shared" si="11"/>
        <v>6000</v>
      </c>
      <c r="Z177" s="736">
        <f>S177*V177</f>
        <v>6000000</v>
      </c>
      <c r="AA177" s="433">
        <f t="shared" si="7"/>
        <v>6000000000</v>
      </c>
    </row>
    <row r="178" spans="1:27" ht="21.95" customHeight="1">
      <c r="A178" s="673"/>
      <c r="B178" s="674"/>
      <c r="C178" s="2553"/>
      <c r="D178" s="2554"/>
      <c r="E178" s="2457" t="s">
        <v>58</v>
      </c>
      <c r="F178" s="1131">
        <v>12820</v>
      </c>
      <c r="G178" s="2466">
        <v>12820</v>
      </c>
      <c r="H178" s="680"/>
      <c r="I178" s="2060"/>
      <c r="J178" s="681" t="s">
        <v>3519</v>
      </c>
      <c r="K178" s="709"/>
      <c r="L178" s="709"/>
      <c r="M178" s="709"/>
      <c r="N178" s="709"/>
      <c r="O178" s="709"/>
      <c r="P178" s="736"/>
      <c r="Q178" s="735"/>
      <c r="R178" s="682"/>
      <c r="S178" s="2453"/>
      <c r="T178" s="682"/>
      <c r="U178" s="682"/>
      <c r="V178" s="2453"/>
      <c r="W178" s="682"/>
      <c r="X178" s="686"/>
      <c r="Y178" s="1022">
        <f t="shared" si="11"/>
        <v>12820</v>
      </c>
      <c r="Z178" s="736">
        <f>SUM(Z179:Z181)</f>
        <v>12820000</v>
      </c>
      <c r="AA178" s="433">
        <f t="shared" si="7"/>
        <v>12820000000</v>
      </c>
    </row>
    <row r="179" spans="1:27" ht="21.95" customHeight="1">
      <c r="A179" s="673"/>
      <c r="B179" s="674"/>
      <c r="C179" s="2553"/>
      <c r="D179" s="2554"/>
      <c r="E179" s="2457"/>
      <c r="F179" s="1131"/>
      <c r="G179" s="2466"/>
      <c r="H179" s="680"/>
      <c r="I179" s="2060"/>
      <c r="J179" s="681" t="s">
        <v>3670</v>
      </c>
      <c r="K179" s="709"/>
      <c r="L179" s="709"/>
      <c r="M179" s="709"/>
      <c r="N179" s="709"/>
      <c r="O179" s="709"/>
      <c r="P179" s="736"/>
      <c r="Q179" s="735">
        <v>1</v>
      </c>
      <c r="R179" s="682" t="s">
        <v>3588</v>
      </c>
      <c r="S179" s="2453">
        <v>32000</v>
      </c>
      <c r="T179" s="1678" t="s">
        <v>56</v>
      </c>
      <c r="U179" s="682"/>
      <c r="V179" s="2453">
        <v>185</v>
      </c>
      <c r="W179" s="682" t="s">
        <v>3</v>
      </c>
      <c r="X179" s="686" t="s">
        <v>1</v>
      </c>
      <c r="Y179" s="1022">
        <f t="shared" si="11"/>
        <v>5920</v>
      </c>
      <c r="Z179" s="736">
        <f>Q179*S179*V179</f>
        <v>5920000</v>
      </c>
      <c r="AA179" s="433">
        <f t="shared" si="7"/>
        <v>0</v>
      </c>
    </row>
    <row r="180" spans="1:27" ht="21.95" customHeight="1">
      <c r="A180" s="2375"/>
      <c r="B180" s="674"/>
      <c r="C180" s="2553"/>
      <c r="D180" s="2554"/>
      <c r="E180" s="2457"/>
      <c r="F180" s="1131"/>
      <c r="G180" s="2466"/>
      <c r="H180" s="680"/>
      <c r="I180" s="2060"/>
      <c r="J180" s="681" t="s">
        <v>3671</v>
      </c>
      <c r="K180" s="709"/>
      <c r="L180" s="709"/>
      <c r="M180" s="709"/>
      <c r="N180" s="709"/>
      <c r="O180" s="709"/>
      <c r="P180" s="736"/>
      <c r="Q180" s="735">
        <v>1</v>
      </c>
      <c r="R180" s="682" t="s">
        <v>59</v>
      </c>
      <c r="S180" s="1410">
        <v>250000</v>
      </c>
      <c r="T180" s="1678" t="s">
        <v>56</v>
      </c>
      <c r="U180" s="683"/>
      <c r="V180" s="735">
        <v>15</v>
      </c>
      <c r="W180" s="682" t="s">
        <v>3</v>
      </c>
      <c r="X180" s="686" t="s">
        <v>1</v>
      </c>
      <c r="Y180" s="1022">
        <f t="shared" si="11"/>
        <v>3750</v>
      </c>
      <c r="Z180" s="736">
        <f>Q180*S180*V180</f>
        <v>3750000</v>
      </c>
      <c r="AA180" s="433">
        <f t="shared" si="7"/>
        <v>0</v>
      </c>
    </row>
    <row r="181" spans="1:27" ht="21.95" customHeight="1">
      <c r="A181" s="673"/>
      <c r="B181" s="674"/>
      <c r="C181" s="2553"/>
      <c r="D181" s="2554"/>
      <c r="E181" s="2457"/>
      <c r="F181" s="1131"/>
      <c r="G181" s="2466"/>
      <c r="H181" s="680"/>
      <c r="I181" s="2060"/>
      <c r="J181" s="681" t="s">
        <v>3672</v>
      </c>
      <c r="K181" s="709"/>
      <c r="L181" s="709"/>
      <c r="M181" s="709"/>
      <c r="N181" s="709"/>
      <c r="O181" s="709"/>
      <c r="P181" s="736"/>
      <c r="Q181" s="735">
        <v>3</v>
      </c>
      <c r="R181" s="682" t="s">
        <v>59</v>
      </c>
      <c r="S181" s="1410">
        <v>105000</v>
      </c>
      <c r="T181" s="1678" t="s">
        <v>56</v>
      </c>
      <c r="U181" s="683"/>
      <c r="V181" s="735">
        <v>10</v>
      </c>
      <c r="W181" s="682" t="s">
        <v>3</v>
      </c>
      <c r="X181" s="686" t="s">
        <v>1</v>
      </c>
      <c r="Y181" s="1022">
        <f t="shared" si="11"/>
        <v>3150</v>
      </c>
      <c r="Z181" s="736">
        <f>Q181*S181*V181</f>
        <v>3150000</v>
      </c>
      <c r="AA181" s="433">
        <f t="shared" si="7"/>
        <v>0</v>
      </c>
    </row>
    <row r="182" spans="1:27" ht="21.95" customHeight="1">
      <c r="A182" s="673"/>
      <c r="B182" s="674"/>
      <c r="C182" s="2553"/>
      <c r="D182" s="2554"/>
      <c r="E182" s="2457" t="s">
        <v>71</v>
      </c>
      <c r="F182" s="1131">
        <f>Y182</f>
        <v>2420</v>
      </c>
      <c r="G182" s="2466">
        <v>2420</v>
      </c>
      <c r="H182" s="680"/>
      <c r="I182" s="2060"/>
      <c r="J182" s="681" t="s">
        <v>3519</v>
      </c>
      <c r="K182" s="709"/>
      <c r="L182" s="709"/>
      <c r="M182" s="709"/>
      <c r="N182" s="709"/>
      <c r="O182" s="709"/>
      <c r="P182" s="736"/>
      <c r="Q182" s="735"/>
      <c r="R182" s="682"/>
      <c r="S182" s="2453"/>
      <c r="T182" s="682"/>
      <c r="U182" s="682"/>
      <c r="V182" s="2453"/>
      <c r="W182" s="682"/>
      <c r="X182" s="686"/>
      <c r="Y182" s="1022">
        <f>SUM(Y183:Y184)</f>
        <v>2420</v>
      </c>
      <c r="Z182" s="736">
        <f>SUM(Z183:Z184)</f>
        <v>2420000</v>
      </c>
      <c r="AA182" s="433">
        <f t="shared" si="7"/>
        <v>2420000000</v>
      </c>
    </row>
    <row r="183" spans="1:27" ht="21.95" customHeight="1">
      <c r="A183" s="673"/>
      <c r="B183" s="674"/>
      <c r="C183" s="2553"/>
      <c r="D183" s="2554"/>
      <c r="E183" s="2457"/>
      <c r="F183" s="1131"/>
      <c r="G183" s="2466"/>
      <c r="H183" s="680"/>
      <c r="I183" s="2060"/>
      <c r="J183" s="681" t="s">
        <v>393</v>
      </c>
      <c r="K183" s="709"/>
      <c r="L183" s="709"/>
      <c r="M183" s="709"/>
      <c r="N183" s="709"/>
      <c r="O183" s="709"/>
      <c r="P183" s="736"/>
      <c r="Q183" s="735">
        <v>1</v>
      </c>
      <c r="R183" s="682" t="s">
        <v>63</v>
      </c>
      <c r="S183" s="2453">
        <v>135000</v>
      </c>
      <c r="T183" s="1678" t="s">
        <v>56</v>
      </c>
      <c r="U183" s="682"/>
      <c r="V183" s="2453">
        <v>12</v>
      </c>
      <c r="W183" s="682" t="s">
        <v>2</v>
      </c>
      <c r="X183" s="686" t="s">
        <v>1</v>
      </c>
      <c r="Y183" s="1022">
        <f>(Z183)/1000</f>
        <v>1620</v>
      </c>
      <c r="Z183" s="736">
        <f>Q183*S183*V183</f>
        <v>1620000</v>
      </c>
      <c r="AA183" s="433">
        <f t="shared" si="7"/>
        <v>0</v>
      </c>
    </row>
    <row r="184" spans="1:27" ht="21.95" customHeight="1">
      <c r="A184" s="673"/>
      <c r="B184" s="674"/>
      <c r="C184" s="2553"/>
      <c r="D184" s="2554"/>
      <c r="E184" s="2457"/>
      <c r="F184" s="1131"/>
      <c r="G184" s="2466"/>
      <c r="H184" s="680"/>
      <c r="I184" s="2060"/>
      <c r="J184" s="681" t="s">
        <v>3673</v>
      </c>
      <c r="K184" s="709"/>
      <c r="L184" s="709"/>
      <c r="M184" s="709"/>
      <c r="N184" s="709"/>
      <c r="O184" s="709"/>
      <c r="P184" s="736"/>
      <c r="Q184" s="735">
        <v>1</v>
      </c>
      <c r="R184" s="682" t="s">
        <v>63</v>
      </c>
      <c r="S184" s="2453">
        <v>800000</v>
      </c>
      <c r="T184" s="1678" t="s">
        <v>56</v>
      </c>
      <c r="U184" s="682"/>
      <c r="V184" s="2453">
        <v>1</v>
      </c>
      <c r="W184" s="682" t="s">
        <v>3</v>
      </c>
      <c r="X184" s="686" t="s">
        <v>1</v>
      </c>
      <c r="Y184" s="1022">
        <f>(Z184)/1000</f>
        <v>800</v>
      </c>
      <c r="Z184" s="736">
        <f>Q184*S184*V184</f>
        <v>800000</v>
      </c>
      <c r="AA184" s="433">
        <f t="shared" si="7"/>
        <v>0</v>
      </c>
    </row>
    <row r="185" spans="1:27" ht="21.95" customHeight="1">
      <c r="A185" s="673"/>
      <c r="B185" s="674"/>
      <c r="C185" s="2553"/>
      <c r="D185" s="2554"/>
      <c r="E185" s="2457" t="s">
        <v>70</v>
      </c>
      <c r="F185" s="1131">
        <v>21660</v>
      </c>
      <c r="G185" s="2466">
        <v>21660</v>
      </c>
      <c r="H185" s="680"/>
      <c r="I185" s="2060"/>
      <c r="J185" s="681" t="s">
        <v>3674</v>
      </c>
      <c r="K185" s="709"/>
      <c r="L185" s="709"/>
      <c r="M185" s="709"/>
      <c r="N185" s="709"/>
      <c r="O185" s="709"/>
      <c r="P185" s="736"/>
      <c r="Q185" s="735">
        <v>1</v>
      </c>
      <c r="R185" s="682" t="s">
        <v>63</v>
      </c>
      <c r="S185" s="2453">
        <v>1805000</v>
      </c>
      <c r="T185" s="1678" t="s">
        <v>56</v>
      </c>
      <c r="U185" s="682"/>
      <c r="V185" s="2453">
        <v>12</v>
      </c>
      <c r="W185" s="682" t="s">
        <v>2</v>
      </c>
      <c r="X185" s="686" t="s">
        <v>1</v>
      </c>
      <c r="Y185" s="1022">
        <f t="shared" ref="Y185:Y191" si="12">(Z185)/1000</f>
        <v>21660</v>
      </c>
      <c r="Z185" s="736">
        <f>Q185*S185*V185</f>
        <v>21660000</v>
      </c>
      <c r="AA185" s="433">
        <f t="shared" si="7"/>
        <v>21660000000</v>
      </c>
    </row>
    <row r="186" spans="1:27" ht="21.95" customHeight="1">
      <c r="A186" s="673"/>
      <c r="B186" s="674"/>
      <c r="C186" s="2553"/>
      <c r="D186" s="2554"/>
      <c r="E186" s="2455" t="s">
        <v>60</v>
      </c>
      <c r="F186" s="1131">
        <f>Y186</f>
        <v>1800</v>
      </c>
      <c r="G186" s="2466">
        <v>1800</v>
      </c>
      <c r="H186" s="680"/>
      <c r="I186" s="2060"/>
      <c r="J186" s="681" t="s">
        <v>3675</v>
      </c>
      <c r="K186" s="709"/>
      <c r="L186" s="709"/>
      <c r="M186" s="709"/>
      <c r="N186" s="709"/>
      <c r="O186" s="709"/>
      <c r="P186" s="736"/>
      <c r="Q186" s="735"/>
      <c r="R186" s="2472"/>
      <c r="S186" s="2453">
        <v>150000</v>
      </c>
      <c r="T186" s="1678" t="s">
        <v>56</v>
      </c>
      <c r="U186" s="682"/>
      <c r="V186" s="2453">
        <v>12</v>
      </c>
      <c r="W186" s="682" t="s">
        <v>2</v>
      </c>
      <c r="X186" s="686" t="s">
        <v>1</v>
      </c>
      <c r="Y186" s="1022">
        <f t="shared" si="12"/>
        <v>1800</v>
      </c>
      <c r="Z186" s="736">
        <f>S186*V186</f>
        <v>1800000</v>
      </c>
      <c r="AA186" s="433">
        <f t="shared" si="7"/>
        <v>1800000000</v>
      </c>
    </row>
    <row r="187" spans="1:27" ht="21.95" customHeight="1">
      <c r="A187" s="673"/>
      <c r="B187" s="674"/>
      <c r="C187" s="2553"/>
      <c r="D187" s="2554"/>
      <c r="E187" s="2458" t="s">
        <v>62</v>
      </c>
      <c r="F187" s="1131">
        <v>16000</v>
      </c>
      <c r="G187" s="2466">
        <v>16000</v>
      </c>
      <c r="H187" s="680"/>
      <c r="I187" s="2060"/>
      <c r="J187" s="681" t="s">
        <v>3519</v>
      </c>
      <c r="K187" s="709"/>
      <c r="L187" s="709"/>
      <c r="M187" s="709"/>
      <c r="N187" s="709"/>
      <c r="O187" s="709"/>
      <c r="P187" s="736"/>
      <c r="Q187" s="735"/>
      <c r="R187" s="682"/>
      <c r="S187" s="2453"/>
      <c r="T187" s="682"/>
      <c r="U187" s="682"/>
      <c r="V187" s="2453"/>
      <c r="W187" s="682"/>
      <c r="X187" s="686"/>
      <c r="Y187" s="1022">
        <f t="shared" si="12"/>
        <v>16000</v>
      </c>
      <c r="Z187" s="736">
        <f>SUM(Z188:Z190)</f>
        <v>16000000</v>
      </c>
      <c r="AA187" s="433">
        <f t="shared" si="7"/>
        <v>16000000000</v>
      </c>
    </row>
    <row r="188" spans="1:27" ht="21.95" customHeight="1">
      <c r="A188" s="673"/>
      <c r="B188" s="674"/>
      <c r="C188" s="2553"/>
      <c r="D188" s="2554"/>
      <c r="E188" s="2458"/>
      <c r="F188" s="1131"/>
      <c r="G188" s="2466"/>
      <c r="H188" s="680"/>
      <c r="I188" s="2060"/>
      <c r="J188" s="866" t="s">
        <v>3676</v>
      </c>
      <c r="K188" s="709"/>
      <c r="L188" s="709"/>
      <c r="M188" s="709"/>
      <c r="N188" s="709"/>
      <c r="O188" s="709"/>
      <c r="P188" s="736"/>
      <c r="Q188" s="735">
        <v>1</v>
      </c>
      <c r="R188" s="682" t="s">
        <v>63</v>
      </c>
      <c r="S188" s="2453">
        <v>2500</v>
      </c>
      <c r="T188" s="1678" t="s">
        <v>56</v>
      </c>
      <c r="U188" s="682"/>
      <c r="V188" s="2453">
        <v>1000</v>
      </c>
      <c r="W188" s="682" t="s">
        <v>64</v>
      </c>
      <c r="X188" s="686" t="s">
        <v>1</v>
      </c>
      <c r="Y188" s="1022">
        <f t="shared" si="12"/>
        <v>2500</v>
      </c>
      <c r="Z188" s="736">
        <f>Q188*S188*V188</f>
        <v>2500000</v>
      </c>
      <c r="AA188" s="433">
        <f t="shared" si="7"/>
        <v>0</v>
      </c>
    </row>
    <row r="189" spans="1:27" ht="21.95" customHeight="1">
      <c r="A189" s="673"/>
      <c r="B189" s="674"/>
      <c r="C189" s="2553"/>
      <c r="D189" s="2554"/>
      <c r="E189" s="2458"/>
      <c r="F189" s="1131"/>
      <c r="G189" s="2466"/>
      <c r="H189" s="680"/>
      <c r="I189" s="2060"/>
      <c r="J189" s="866" t="s">
        <v>3677</v>
      </c>
      <c r="K189" s="709"/>
      <c r="L189" s="709"/>
      <c r="M189" s="709"/>
      <c r="N189" s="709"/>
      <c r="O189" s="709"/>
      <c r="P189" s="736"/>
      <c r="Q189" s="735"/>
      <c r="R189" s="682"/>
      <c r="S189" s="1410">
        <v>300000</v>
      </c>
      <c r="T189" s="1678" t="s">
        <v>56</v>
      </c>
      <c r="U189" s="683"/>
      <c r="V189" s="735">
        <v>25</v>
      </c>
      <c r="W189" s="682" t="s">
        <v>3</v>
      </c>
      <c r="X189" s="686" t="s">
        <v>1</v>
      </c>
      <c r="Y189" s="1022">
        <f t="shared" si="12"/>
        <v>7500</v>
      </c>
      <c r="Z189" s="736">
        <f>S189*V189</f>
        <v>7500000</v>
      </c>
      <c r="AA189" s="433">
        <f t="shared" si="7"/>
        <v>0</v>
      </c>
    </row>
    <row r="190" spans="1:27" ht="21.95" customHeight="1">
      <c r="A190" s="916"/>
      <c r="B190" s="674"/>
      <c r="C190" s="2553"/>
      <c r="D190" s="2554"/>
      <c r="E190" s="2455"/>
      <c r="F190" s="1131"/>
      <c r="G190" s="2466"/>
      <c r="H190" s="680"/>
      <c r="I190" s="2060"/>
      <c r="J190" s="866" t="s">
        <v>3678</v>
      </c>
      <c r="K190" s="709"/>
      <c r="L190" s="709"/>
      <c r="M190" s="709"/>
      <c r="N190" s="709"/>
      <c r="O190" s="709"/>
      <c r="P190" s="736"/>
      <c r="Q190" s="735">
        <v>25</v>
      </c>
      <c r="R190" s="682" t="s">
        <v>59</v>
      </c>
      <c r="S190" s="1410">
        <v>12000</v>
      </c>
      <c r="T190" s="1678" t="s">
        <v>56</v>
      </c>
      <c r="U190" s="683"/>
      <c r="V190" s="735">
        <v>20</v>
      </c>
      <c r="W190" s="682" t="s">
        <v>3</v>
      </c>
      <c r="X190" s="686" t="s">
        <v>1</v>
      </c>
      <c r="Y190" s="1022">
        <f t="shared" si="12"/>
        <v>6000</v>
      </c>
      <c r="Z190" s="736">
        <f>Q190*S190*V190</f>
        <v>6000000</v>
      </c>
      <c r="AA190" s="433">
        <f t="shared" si="7"/>
        <v>0</v>
      </c>
    </row>
    <row r="191" spans="1:27" ht="21.95" customHeight="1">
      <c r="A191" s="673"/>
      <c r="B191" s="674"/>
      <c r="C191" s="2553"/>
      <c r="D191" s="2554"/>
      <c r="E191" s="2458" t="s">
        <v>61</v>
      </c>
      <c r="F191" s="1131">
        <f>Y191</f>
        <v>2970</v>
      </c>
      <c r="G191" s="1131">
        <v>2970</v>
      </c>
      <c r="H191" s="680"/>
      <c r="I191" s="2060"/>
      <c r="J191" s="866" t="s">
        <v>3679</v>
      </c>
      <c r="K191" s="709"/>
      <c r="L191" s="709"/>
      <c r="M191" s="709"/>
      <c r="N191" s="709"/>
      <c r="O191" s="709"/>
      <c r="P191" s="736"/>
      <c r="Q191" s="735">
        <v>10</v>
      </c>
      <c r="R191" s="682" t="s">
        <v>59</v>
      </c>
      <c r="S191" s="1410">
        <v>14850</v>
      </c>
      <c r="T191" s="1678" t="s">
        <v>56</v>
      </c>
      <c r="U191" s="683"/>
      <c r="V191" s="735">
        <v>20</v>
      </c>
      <c r="W191" s="684" t="s">
        <v>3</v>
      </c>
      <c r="X191" s="686" t="s">
        <v>1</v>
      </c>
      <c r="Y191" s="1022">
        <f t="shared" si="12"/>
        <v>2970</v>
      </c>
      <c r="Z191" s="736">
        <f>Q191*S191*V191</f>
        <v>2970000</v>
      </c>
      <c r="AA191" s="433">
        <f t="shared" si="7"/>
        <v>2970000000</v>
      </c>
    </row>
    <row r="192" spans="1:27" ht="22.5" customHeight="1">
      <c r="A192" s="3644"/>
      <c r="B192" s="3160"/>
      <c r="C192" s="2553"/>
      <c r="D192" s="3947" t="s">
        <v>5942</v>
      </c>
      <c r="E192" s="3948"/>
      <c r="F192" s="1507">
        <f>SUM(F193:F208)</f>
        <v>5630</v>
      </c>
      <c r="G192" s="1507">
        <f>SUM(G193:G208)</f>
        <v>0</v>
      </c>
      <c r="H192" s="1421">
        <f>F192-G192</f>
        <v>5630</v>
      </c>
      <c r="I192" s="2060"/>
      <c r="J192" s="1989"/>
      <c r="K192" s="3648"/>
      <c r="L192" s="3648"/>
      <c r="M192" s="3648"/>
      <c r="N192" s="3648"/>
      <c r="O192" s="3648"/>
      <c r="P192" s="1075"/>
      <c r="Q192" s="2468"/>
      <c r="R192" s="2469"/>
      <c r="S192" s="2468"/>
      <c r="T192" s="2469"/>
      <c r="U192" s="1259"/>
      <c r="V192" s="2468"/>
      <c r="W192" s="3636"/>
      <c r="X192" s="1422"/>
      <c r="Y192" s="2470"/>
      <c r="Z192" s="2471"/>
      <c r="AA192" s="433">
        <f t="shared" si="7"/>
        <v>5630000000</v>
      </c>
    </row>
    <row r="193" spans="1:27" ht="22.5" customHeight="1">
      <c r="A193" s="3644"/>
      <c r="B193" s="3160"/>
      <c r="C193" s="2553"/>
      <c r="D193" s="2554"/>
      <c r="E193" s="2458" t="s">
        <v>5944</v>
      </c>
      <c r="F193" s="1131">
        <f>Y193</f>
        <v>1200</v>
      </c>
      <c r="G193" s="1131">
        <v>0</v>
      </c>
      <c r="H193" s="680">
        <f>F193-G193</f>
        <v>1200</v>
      </c>
      <c r="I193" s="2060"/>
      <c r="J193" s="681" t="s">
        <v>5945</v>
      </c>
      <c r="K193" s="3641"/>
      <c r="L193" s="3641"/>
      <c r="M193" s="3641"/>
      <c r="N193" s="3641"/>
      <c r="O193" s="3641"/>
      <c r="P193" s="736"/>
      <c r="Q193" s="2453"/>
      <c r="R193" s="2472"/>
      <c r="S193" s="2453">
        <v>8000</v>
      </c>
      <c r="T193" s="1678" t="s">
        <v>56</v>
      </c>
      <c r="U193" s="683"/>
      <c r="V193" s="2453">
        <v>150</v>
      </c>
      <c r="W193" s="3637" t="s">
        <v>5946</v>
      </c>
      <c r="X193" s="686" t="s">
        <v>1</v>
      </c>
      <c r="Y193" s="1022">
        <f t="shared" ref="Y193:Y197" si="13">(Z193)/1000</f>
        <v>1200</v>
      </c>
      <c r="Z193" s="736">
        <f>S193*V193</f>
        <v>1200000</v>
      </c>
      <c r="AA193" s="433">
        <f t="shared" si="7"/>
        <v>1200000000</v>
      </c>
    </row>
    <row r="194" spans="1:27" ht="22.5" customHeight="1">
      <c r="A194" s="3644"/>
      <c r="B194" s="3160"/>
      <c r="C194" s="2553"/>
      <c r="D194" s="2554"/>
      <c r="E194" s="2458" t="s">
        <v>5955</v>
      </c>
      <c r="F194" s="1131">
        <f>Y194</f>
        <v>100</v>
      </c>
      <c r="G194" s="1131">
        <v>0</v>
      </c>
      <c r="H194" s="680">
        <f>F194-G194</f>
        <v>100</v>
      </c>
      <c r="I194" s="2060"/>
      <c r="J194" s="681" t="s">
        <v>2070</v>
      </c>
      <c r="K194" s="3641"/>
      <c r="L194" s="3641"/>
      <c r="M194" s="3641"/>
      <c r="N194" s="3641"/>
      <c r="O194" s="3641"/>
      <c r="P194" s="736"/>
      <c r="Q194" s="735">
        <v>25</v>
      </c>
      <c r="R194" s="3637" t="s">
        <v>5956</v>
      </c>
      <c r="S194" s="2453">
        <v>2000</v>
      </c>
      <c r="T194" s="1678" t="s">
        <v>56</v>
      </c>
      <c r="U194" s="3637"/>
      <c r="V194" s="2453">
        <v>2</v>
      </c>
      <c r="W194" s="3637" t="s">
        <v>5953</v>
      </c>
      <c r="X194" s="686" t="s">
        <v>1</v>
      </c>
      <c r="Y194" s="1022">
        <f>(Z194)/1000</f>
        <v>100</v>
      </c>
      <c r="Z194" s="736">
        <f>Q194*S194*V194</f>
        <v>100000</v>
      </c>
      <c r="AA194" s="433">
        <f>F194*1000000</f>
        <v>100000000</v>
      </c>
    </row>
    <row r="195" spans="1:27" ht="22.5" customHeight="1">
      <c r="A195" s="3644"/>
      <c r="B195" s="3160"/>
      <c r="C195" s="2553"/>
      <c r="D195" s="2554"/>
      <c r="E195" s="2458" t="s">
        <v>5949</v>
      </c>
      <c r="F195" s="1131">
        <f>Y195</f>
        <v>1800</v>
      </c>
      <c r="G195" s="1131">
        <v>0</v>
      </c>
      <c r="H195" s="680">
        <f>F195-G195</f>
        <v>1800</v>
      </c>
      <c r="I195" s="2060"/>
      <c r="J195" s="681" t="s">
        <v>224</v>
      </c>
      <c r="K195" s="3641"/>
      <c r="L195" s="3641"/>
      <c r="M195" s="3641"/>
      <c r="N195" s="3641"/>
      <c r="O195" s="3641"/>
      <c r="P195" s="736"/>
      <c r="Q195" s="735"/>
      <c r="R195" s="3637"/>
      <c r="S195" s="2453"/>
      <c r="T195" s="3637"/>
      <c r="U195" s="3637"/>
      <c r="V195" s="2453"/>
      <c r="W195" s="3637"/>
      <c r="X195" s="686"/>
      <c r="Y195" s="1022">
        <f t="shared" si="13"/>
        <v>1800</v>
      </c>
      <c r="Z195" s="736">
        <f>SUM(Z196:Z197)</f>
        <v>1800000</v>
      </c>
      <c r="AA195" s="433">
        <f t="shared" si="7"/>
        <v>1800000000</v>
      </c>
    </row>
    <row r="196" spans="1:27" ht="22.5" customHeight="1">
      <c r="A196" s="3644"/>
      <c r="B196" s="3160"/>
      <c r="C196" s="2553"/>
      <c r="D196" s="2554"/>
      <c r="E196" s="2458"/>
      <c r="F196" s="1131"/>
      <c r="G196" s="1131"/>
      <c r="H196" s="680"/>
      <c r="I196" s="2060"/>
      <c r="J196" s="681" t="s">
        <v>5947</v>
      </c>
      <c r="K196" s="3641"/>
      <c r="L196" s="3641"/>
      <c r="M196" s="3641"/>
      <c r="N196" s="3641"/>
      <c r="O196" s="3641"/>
      <c r="P196" s="736"/>
      <c r="Q196" s="735">
        <v>1</v>
      </c>
      <c r="R196" s="3637" t="s">
        <v>385</v>
      </c>
      <c r="S196" s="2453">
        <v>300000</v>
      </c>
      <c r="T196" s="1678" t="s">
        <v>56</v>
      </c>
      <c r="U196" s="3637"/>
      <c r="V196" s="2453">
        <v>2</v>
      </c>
      <c r="W196" s="3637" t="s">
        <v>3</v>
      </c>
      <c r="X196" s="686" t="s">
        <v>1</v>
      </c>
      <c r="Y196" s="1022">
        <f t="shared" si="13"/>
        <v>600</v>
      </c>
      <c r="Z196" s="736">
        <f>Q196*S196*V196</f>
        <v>600000</v>
      </c>
      <c r="AA196" s="433">
        <f t="shared" si="7"/>
        <v>0</v>
      </c>
    </row>
    <row r="197" spans="1:27" ht="22.5" customHeight="1">
      <c r="A197" s="3644"/>
      <c r="B197" s="3160"/>
      <c r="C197" s="2553"/>
      <c r="D197" s="2554"/>
      <c r="E197" s="2458"/>
      <c r="F197" s="1131"/>
      <c r="G197" s="1131"/>
      <c r="H197" s="680"/>
      <c r="I197" s="2060"/>
      <c r="J197" s="681" t="s">
        <v>5948</v>
      </c>
      <c r="K197" s="3641"/>
      <c r="L197" s="3641"/>
      <c r="M197" s="3641"/>
      <c r="N197" s="3641"/>
      <c r="O197" s="3641"/>
      <c r="P197" s="736"/>
      <c r="Q197" s="735">
        <v>6</v>
      </c>
      <c r="R197" s="3637" t="s">
        <v>59</v>
      </c>
      <c r="S197" s="1410">
        <v>100000</v>
      </c>
      <c r="T197" s="1678" t="s">
        <v>56</v>
      </c>
      <c r="U197" s="683"/>
      <c r="V197" s="735">
        <v>2</v>
      </c>
      <c r="W197" s="3637" t="s">
        <v>3</v>
      </c>
      <c r="X197" s="686" t="s">
        <v>1</v>
      </c>
      <c r="Y197" s="1022">
        <f t="shared" si="13"/>
        <v>1200</v>
      </c>
      <c r="Z197" s="736">
        <f>Q197*S197*V197</f>
        <v>1200000</v>
      </c>
      <c r="AA197" s="433">
        <f t="shared" si="7"/>
        <v>0</v>
      </c>
    </row>
    <row r="198" spans="1:27" ht="22.5" customHeight="1">
      <c r="A198" s="3644"/>
      <c r="B198" s="3160"/>
      <c r="C198" s="2553"/>
      <c r="D198" s="2554"/>
      <c r="E198" s="2458" t="s">
        <v>5951</v>
      </c>
      <c r="F198" s="1131">
        <f>Y198</f>
        <v>650</v>
      </c>
      <c r="G198" s="1131">
        <v>0</v>
      </c>
      <c r="H198" s="680">
        <f>F198-G198</f>
        <v>650</v>
      </c>
      <c r="I198" s="2060"/>
      <c r="J198" s="3640" t="s">
        <v>5950</v>
      </c>
      <c r="K198" s="3641"/>
      <c r="L198" s="3641"/>
      <c r="M198" s="3641"/>
      <c r="N198" s="3641"/>
      <c r="O198" s="3641"/>
      <c r="P198" s="736"/>
      <c r="Q198" s="735">
        <v>7</v>
      </c>
      <c r="R198" s="3637" t="s">
        <v>59</v>
      </c>
      <c r="S198" s="1410">
        <v>92857.142857142855</v>
      </c>
      <c r="T198" s="1678" t="s">
        <v>56</v>
      </c>
      <c r="U198" s="683"/>
      <c r="V198" s="735">
        <v>1</v>
      </c>
      <c r="W198" s="684" t="s">
        <v>3</v>
      </c>
      <c r="X198" s="686" t="s">
        <v>1</v>
      </c>
      <c r="Y198" s="1022">
        <f>Z198/1000</f>
        <v>650</v>
      </c>
      <c r="Z198" s="736">
        <f>Q198*S198*V198</f>
        <v>650000</v>
      </c>
      <c r="AA198" s="433">
        <v>650000</v>
      </c>
    </row>
    <row r="199" spans="1:27" ht="22.5" customHeight="1">
      <c r="A199" s="3644"/>
      <c r="B199" s="3160"/>
      <c r="C199" s="2553"/>
      <c r="D199" s="2554"/>
      <c r="E199" s="2458" t="s">
        <v>5954</v>
      </c>
      <c r="F199" s="1131">
        <f>Y199</f>
        <v>1000</v>
      </c>
      <c r="G199" s="1131">
        <v>0</v>
      </c>
      <c r="H199" s="680">
        <f>F199-G199</f>
        <v>1000</v>
      </c>
      <c r="I199" s="2060"/>
      <c r="J199" s="681" t="s">
        <v>3042</v>
      </c>
      <c r="K199" s="3641"/>
      <c r="L199" s="3641"/>
      <c r="M199" s="3641"/>
      <c r="N199" s="3641"/>
      <c r="O199" s="3641"/>
      <c r="P199" s="736"/>
      <c r="Q199" s="735">
        <v>1</v>
      </c>
      <c r="R199" s="3637" t="s">
        <v>5952</v>
      </c>
      <c r="S199" s="2453">
        <v>500000</v>
      </c>
      <c r="T199" s="1678" t="s">
        <v>56</v>
      </c>
      <c r="U199" s="3637"/>
      <c r="V199" s="2453">
        <v>2</v>
      </c>
      <c r="W199" s="3637" t="s">
        <v>5953</v>
      </c>
      <c r="X199" s="686" t="s">
        <v>1</v>
      </c>
      <c r="Y199" s="1022">
        <f t="shared" ref="Y199" si="14">(Z199)/1000</f>
        <v>1000</v>
      </c>
      <c r="Z199" s="736">
        <f>Q199*S199*V199</f>
        <v>1000000</v>
      </c>
      <c r="AA199" s="433">
        <f t="shared" ref="AA199:AA261" si="15">F199*1000000</f>
        <v>1000000000</v>
      </c>
    </row>
    <row r="200" spans="1:27" ht="22.5" customHeight="1">
      <c r="A200" s="3644"/>
      <c r="B200" s="3160"/>
      <c r="C200" s="2553"/>
      <c r="D200" s="2554"/>
      <c r="E200" s="2458" t="s">
        <v>5957</v>
      </c>
      <c r="F200" s="1131">
        <f>Y200</f>
        <v>880</v>
      </c>
      <c r="G200" s="1131">
        <v>0</v>
      </c>
      <c r="H200" s="680">
        <f>F200-G200</f>
        <v>880</v>
      </c>
      <c r="I200" s="2060"/>
      <c r="J200" s="681" t="s">
        <v>224</v>
      </c>
      <c r="K200" s="3641"/>
      <c r="L200" s="3641"/>
      <c r="M200" s="3641"/>
      <c r="N200" s="3641"/>
      <c r="O200" s="3641"/>
      <c r="P200" s="736"/>
      <c r="Q200" s="735"/>
      <c r="R200" s="3637"/>
      <c r="S200" s="2453"/>
      <c r="T200" s="3637"/>
      <c r="U200" s="3637"/>
      <c r="V200" s="2453"/>
      <c r="W200" s="3637"/>
      <c r="X200" s="686"/>
      <c r="Y200" s="1022">
        <f>(Z200)/1000</f>
        <v>880</v>
      </c>
      <c r="Z200" s="736">
        <f>SUM(Z201:Z208)</f>
        <v>880000</v>
      </c>
      <c r="AA200" s="433">
        <f t="shared" si="15"/>
        <v>880000000</v>
      </c>
    </row>
    <row r="201" spans="1:27" ht="22.5" customHeight="1">
      <c r="A201" s="3644"/>
      <c r="B201" s="3160"/>
      <c r="C201" s="2553"/>
      <c r="D201" s="2554"/>
      <c r="E201" s="2458"/>
      <c r="F201" s="1131"/>
      <c r="G201" s="1131"/>
      <c r="H201" s="680"/>
      <c r="I201" s="2060"/>
      <c r="J201" s="681" t="s">
        <v>5958</v>
      </c>
      <c r="K201" s="3641"/>
      <c r="L201" s="3641"/>
      <c r="M201" s="3641"/>
      <c r="N201" s="3641"/>
      <c r="O201" s="3641"/>
      <c r="P201" s="736"/>
      <c r="Q201" s="735">
        <v>50</v>
      </c>
      <c r="R201" s="3637" t="s">
        <v>385</v>
      </c>
      <c r="S201" s="2453">
        <v>2000</v>
      </c>
      <c r="T201" s="1678" t="s">
        <v>56</v>
      </c>
      <c r="U201" s="3637"/>
      <c r="V201" s="2453">
        <v>1</v>
      </c>
      <c r="W201" s="3637" t="s">
        <v>3</v>
      </c>
      <c r="X201" s="686" t="s">
        <v>1</v>
      </c>
      <c r="Y201" s="1022">
        <f t="shared" ref="Y201:Y203" si="16">(Z201)/1000</f>
        <v>100</v>
      </c>
      <c r="Z201" s="736">
        <f>Q201*S201*V201</f>
        <v>100000</v>
      </c>
      <c r="AA201" s="433">
        <f t="shared" si="15"/>
        <v>0</v>
      </c>
    </row>
    <row r="202" spans="1:27" ht="22.5" customHeight="1">
      <c r="A202" s="3644"/>
      <c r="B202" s="3160"/>
      <c r="C202" s="2553"/>
      <c r="D202" s="2554"/>
      <c r="E202" s="2458"/>
      <c r="F202" s="1131"/>
      <c r="G202" s="1131"/>
      <c r="H202" s="680"/>
      <c r="I202" s="2060"/>
      <c r="J202" s="681" t="s">
        <v>5959</v>
      </c>
      <c r="K202" s="3641"/>
      <c r="L202" s="3641"/>
      <c r="M202" s="3641"/>
      <c r="N202" s="3641"/>
      <c r="O202" s="3641"/>
      <c r="P202" s="736"/>
      <c r="Q202" s="735">
        <v>10</v>
      </c>
      <c r="R202" s="3637" t="s">
        <v>5965</v>
      </c>
      <c r="S202" s="1410">
        <v>2500</v>
      </c>
      <c r="T202" s="1678" t="s">
        <v>56</v>
      </c>
      <c r="U202" s="683"/>
      <c r="V202" s="735">
        <v>2</v>
      </c>
      <c r="W202" s="3637" t="s">
        <v>3</v>
      </c>
      <c r="X202" s="686" t="s">
        <v>1</v>
      </c>
      <c r="Y202" s="1022">
        <f t="shared" si="16"/>
        <v>50</v>
      </c>
      <c r="Z202" s="736">
        <f>Q202*S202*V202</f>
        <v>50000</v>
      </c>
      <c r="AA202" s="433">
        <f t="shared" si="15"/>
        <v>0</v>
      </c>
    </row>
    <row r="203" spans="1:27" ht="22.5" customHeight="1">
      <c r="A203" s="3644"/>
      <c r="B203" s="3160"/>
      <c r="C203" s="2553"/>
      <c r="D203" s="2554"/>
      <c r="E203" s="2458"/>
      <c r="F203" s="1131"/>
      <c r="G203" s="1131"/>
      <c r="H203" s="680"/>
      <c r="I203" s="2060"/>
      <c r="J203" s="681" t="s">
        <v>5960</v>
      </c>
      <c r="K203" s="3641"/>
      <c r="L203" s="3641"/>
      <c r="M203" s="3641"/>
      <c r="N203" s="3641"/>
      <c r="O203" s="3641"/>
      <c r="P203" s="736"/>
      <c r="Q203" s="735"/>
      <c r="R203" s="3637"/>
      <c r="S203" s="1410">
        <v>150000</v>
      </c>
      <c r="T203" s="1678" t="s">
        <v>56</v>
      </c>
      <c r="U203" s="683"/>
      <c r="V203" s="735">
        <v>1</v>
      </c>
      <c r="W203" s="3637" t="s">
        <v>3</v>
      </c>
      <c r="X203" s="686" t="s">
        <v>1</v>
      </c>
      <c r="Y203" s="1022">
        <f t="shared" si="16"/>
        <v>150</v>
      </c>
      <c r="Z203" s="736">
        <f>S203*V203</f>
        <v>150000</v>
      </c>
      <c r="AA203" s="433">
        <f t="shared" si="15"/>
        <v>0</v>
      </c>
    </row>
    <row r="204" spans="1:27" ht="22.5" customHeight="1">
      <c r="A204" s="3644"/>
      <c r="B204" s="3160"/>
      <c r="C204" s="2553"/>
      <c r="D204" s="2554"/>
      <c r="E204" s="2458"/>
      <c r="F204" s="1131"/>
      <c r="G204" s="1131"/>
      <c r="H204" s="680"/>
      <c r="I204" s="2060"/>
      <c r="J204" s="681" t="s">
        <v>5961</v>
      </c>
      <c r="K204" s="3641"/>
      <c r="L204" s="3641"/>
      <c r="M204" s="3641"/>
      <c r="N204" s="3641"/>
      <c r="O204" s="3641"/>
      <c r="P204" s="736"/>
      <c r="Q204" s="735">
        <v>1</v>
      </c>
      <c r="R204" s="3637" t="s">
        <v>5966</v>
      </c>
      <c r="S204" s="2453">
        <v>40000</v>
      </c>
      <c r="T204" s="1678" t="s">
        <v>56</v>
      </c>
      <c r="U204" s="3637"/>
      <c r="V204" s="2453">
        <v>1</v>
      </c>
      <c r="W204" s="3637" t="s">
        <v>3</v>
      </c>
      <c r="X204" s="686" t="s">
        <v>1</v>
      </c>
      <c r="Y204" s="1022">
        <f t="shared" ref="Y204:Y206" si="17">(Z204)/1000</f>
        <v>40</v>
      </c>
      <c r="Z204" s="736">
        <f>Q204*S204*V204</f>
        <v>40000</v>
      </c>
      <c r="AA204" s="433">
        <f t="shared" si="15"/>
        <v>0</v>
      </c>
    </row>
    <row r="205" spans="1:27" ht="22.5" customHeight="1">
      <c r="A205" s="3644"/>
      <c r="B205" s="3160"/>
      <c r="C205" s="2553"/>
      <c r="D205" s="2554"/>
      <c r="E205" s="2458"/>
      <c r="F205" s="1131"/>
      <c r="G205" s="1131"/>
      <c r="H205" s="680"/>
      <c r="I205" s="2060"/>
      <c r="J205" s="681" t="s">
        <v>5962</v>
      </c>
      <c r="K205" s="3641"/>
      <c r="L205" s="3641"/>
      <c r="M205" s="3641"/>
      <c r="N205" s="3641"/>
      <c r="O205" s="3641"/>
      <c r="P205" s="736"/>
      <c r="Q205" s="735">
        <v>1</v>
      </c>
      <c r="R205" s="3637" t="s">
        <v>59</v>
      </c>
      <c r="S205" s="1410">
        <v>40000</v>
      </c>
      <c r="T205" s="1678" t="s">
        <v>56</v>
      </c>
      <c r="U205" s="683"/>
      <c r="V205" s="735">
        <v>1</v>
      </c>
      <c r="W205" s="3637" t="s">
        <v>3</v>
      </c>
      <c r="X205" s="686" t="s">
        <v>1</v>
      </c>
      <c r="Y205" s="1022">
        <f t="shared" si="17"/>
        <v>40</v>
      </c>
      <c r="Z205" s="736">
        <f>Q205*S205*V205</f>
        <v>40000</v>
      </c>
      <c r="AA205" s="433">
        <f t="shared" si="15"/>
        <v>0</v>
      </c>
    </row>
    <row r="206" spans="1:27" ht="22.5" customHeight="1">
      <c r="A206" s="3644"/>
      <c r="B206" s="3160"/>
      <c r="C206" s="2553"/>
      <c r="D206" s="2554"/>
      <c r="E206" s="2458"/>
      <c r="F206" s="1131"/>
      <c r="G206" s="1131"/>
      <c r="H206" s="680"/>
      <c r="I206" s="2060"/>
      <c r="J206" s="681" t="s">
        <v>5967</v>
      </c>
      <c r="K206" s="3641"/>
      <c r="L206" s="3641"/>
      <c r="M206" s="3641"/>
      <c r="N206" s="3641"/>
      <c r="O206" s="3641"/>
      <c r="P206" s="736"/>
      <c r="Q206" s="735">
        <v>1</v>
      </c>
      <c r="R206" s="3637" t="s">
        <v>5968</v>
      </c>
      <c r="S206" s="1410">
        <v>100000</v>
      </c>
      <c r="T206" s="1678" t="s">
        <v>56</v>
      </c>
      <c r="U206" s="683"/>
      <c r="V206" s="735">
        <v>2</v>
      </c>
      <c r="W206" s="3637" t="s">
        <v>3</v>
      </c>
      <c r="X206" s="686" t="s">
        <v>1</v>
      </c>
      <c r="Y206" s="1022">
        <f t="shared" si="17"/>
        <v>200</v>
      </c>
      <c r="Z206" s="736">
        <f>Q206*S206*V206</f>
        <v>200000</v>
      </c>
      <c r="AA206" s="433">
        <f t="shared" si="15"/>
        <v>0</v>
      </c>
    </row>
    <row r="207" spans="1:27" ht="22.5" customHeight="1">
      <c r="A207" s="3644"/>
      <c r="B207" s="3160"/>
      <c r="C207" s="2553"/>
      <c r="D207" s="2554"/>
      <c r="E207" s="2458"/>
      <c r="F207" s="1131"/>
      <c r="G207" s="1131"/>
      <c r="H207" s="680"/>
      <c r="I207" s="2060"/>
      <c r="J207" s="681" t="s">
        <v>5963</v>
      </c>
      <c r="K207" s="3641"/>
      <c r="L207" s="3641"/>
      <c r="M207" s="3641"/>
      <c r="N207" s="3641"/>
      <c r="O207" s="3641"/>
      <c r="P207" s="736"/>
      <c r="Q207" s="735">
        <v>1</v>
      </c>
      <c r="R207" s="3637" t="s">
        <v>387</v>
      </c>
      <c r="S207" s="2453">
        <v>100000</v>
      </c>
      <c r="T207" s="1678" t="s">
        <v>56</v>
      </c>
      <c r="U207" s="3637"/>
      <c r="V207" s="2453">
        <v>2</v>
      </c>
      <c r="W207" s="3637" t="s">
        <v>3</v>
      </c>
      <c r="X207" s="686" t="s">
        <v>1</v>
      </c>
      <c r="Y207" s="1022">
        <f t="shared" ref="Y207:Y208" si="18">(Z207)/1000</f>
        <v>200</v>
      </c>
      <c r="Z207" s="736">
        <f>Q207*S207*V207</f>
        <v>200000</v>
      </c>
      <c r="AA207" s="433">
        <f t="shared" si="15"/>
        <v>0</v>
      </c>
    </row>
    <row r="208" spans="1:27" ht="22.5" customHeight="1">
      <c r="A208" s="3644"/>
      <c r="B208" s="3160"/>
      <c r="C208" s="2553"/>
      <c r="D208" s="2554"/>
      <c r="E208" s="2458"/>
      <c r="F208" s="1131"/>
      <c r="G208" s="1131"/>
      <c r="H208" s="680"/>
      <c r="I208" s="2060"/>
      <c r="J208" s="681" t="s">
        <v>5964</v>
      </c>
      <c r="K208" s="3641"/>
      <c r="L208" s="3641"/>
      <c r="M208" s="3641"/>
      <c r="N208" s="3641"/>
      <c r="O208" s="3641"/>
      <c r="P208" s="736"/>
      <c r="Q208" s="735">
        <v>1</v>
      </c>
      <c r="R208" s="3637" t="s">
        <v>5969</v>
      </c>
      <c r="S208" s="1410">
        <v>50000</v>
      </c>
      <c r="T208" s="1678" t="s">
        <v>56</v>
      </c>
      <c r="U208" s="683"/>
      <c r="V208" s="735">
        <v>2</v>
      </c>
      <c r="W208" s="3637" t="s">
        <v>3</v>
      </c>
      <c r="X208" s="686" t="s">
        <v>1</v>
      </c>
      <c r="Y208" s="1022">
        <f t="shared" si="18"/>
        <v>100</v>
      </c>
      <c r="Z208" s="736">
        <f>Q208*S208*V208</f>
        <v>100000</v>
      </c>
      <c r="AA208" s="433">
        <f t="shared" si="15"/>
        <v>0</v>
      </c>
    </row>
    <row r="209" spans="1:28" ht="22.5" customHeight="1">
      <c r="A209" s="673"/>
      <c r="B209" s="674"/>
      <c r="C209" s="3949" t="s">
        <v>3680</v>
      </c>
      <c r="D209" s="3949"/>
      <c r="E209" s="3949"/>
      <c r="F209" s="2550">
        <f>F210+F216+F228</f>
        <v>200000</v>
      </c>
      <c r="G209" s="2550">
        <f>G210+G216+G228</f>
        <v>200000</v>
      </c>
      <c r="H209" s="2496">
        <f t="shared" ref="H209:H210" si="19">F209-G209</f>
        <v>0</v>
      </c>
      <c r="I209" s="2060"/>
      <c r="J209" s="1989"/>
      <c r="K209" s="2094"/>
      <c r="L209" s="2094"/>
      <c r="M209" s="2094"/>
      <c r="N209" s="2094"/>
      <c r="O209" s="2094"/>
      <c r="P209" s="1075"/>
      <c r="Q209" s="1119"/>
      <c r="R209" s="2469"/>
      <c r="S209" s="2468"/>
      <c r="T209" s="2469"/>
      <c r="U209" s="1536"/>
      <c r="V209" s="2468"/>
      <c r="W209" s="1536"/>
      <c r="X209" s="1536"/>
      <c r="Y209" s="2551"/>
      <c r="Z209" s="2552"/>
      <c r="AA209" s="433">
        <f t="shared" si="15"/>
        <v>200000000000</v>
      </c>
    </row>
    <row r="210" spans="1:28" s="438" customFormat="1" ht="22.5" customHeight="1">
      <c r="A210" s="673"/>
      <c r="B210" s="674"/>
      <c r="C210" s="2553"/>
      <c r="D210" s="3947" t="s">
        <v>3681</v>
      </c>
      <c r="E210" s="3948"/>
      <c r="F210" s="1507">
        <v>85000</v>
      </c>
      <c r="G210" s="1507">
        <f>SUM(G211:G215)</f>
        <v>85000</v>
      </c>
      <c r="H210" s="1421">
        <f t="shared" si="19"/>
        <v>0</v>
      </c>
      <c r="I210" s="2060"/>
      <c r="J210" s="1989"/>
      <c r="K210" s="2094"/>
      <c r="L210" s="2094"/>
      <c r="M210" s="2094"/>
      <c r="N210" s="2094"/>
      <c r="O210" s="2094"/>
      <c r="P210" s="1075"/>
      <c r="Q210" s="2468"/>
      <c r="R210" s="2469"/>
      <c r="S210" s="2468"/>
      <c r="T210" s="2469"/>
      <c r="U210" s="1259"/>
      <c r="V210" s="2468"/>
      <c r="W210" s="1536"/>
      <c r="X210" s="1422"/>
      <c r="Y210" s="2470"/>
      <c r="Z210" s="2471"/>
      <c r="AA210" s="433">
        <f t="shared" si="15"/>
        <v>85000000000</v>
      </c>
      <c r="AB210" s="449"/>
    </row>
    <row r="211" spans="1:28" s="1679" customFormat="1" ht="22.5" customHeight="1">
      <c r="A211" s="673"/>
      <c r="B211" s="674"/>
      <c r="C211" s="2553"/>
      <c r="D211" s="2459"/>
      <c r="E211" s="2460" t="s">
        <v>3682</v>
      </c>
      <c r="F211" s="1131">
        <f>Y211</f>
        <v>28000</v>
      </c>
      <c r="G211" s="2461">
        <v>28000</v>
      </c>
      <c r="H211" s="680"/>
      <c r="I211" s="2060"/>
      <c r="J211" s="681" t="s">
        <v>3683</v>
      </c>
      <c r="K211" s="709"/>
      <c r="L211" s="709"/>
      <c r="M211" s="709"/>
      <c r="N211" s="709"/>
      <c r="O211" s="709"/>
      <c r="P211" s="736"/>
      <c r="Q211" s="2453">
        <v>1</v>
      </c>
      <c r="R211" s="2472" t="s">
        <v>3684</v>
      </c>
      <c r="S211" s="2453">
        <v>2800</v>
      </c>
      <c r="T211" s="1678" t="s">
        <v>56</v>
      </c>
      <c r="U211" s="683"/>
      <c r="V211" s="2453">
        <v>10</v>
      </c>
      <c r="W211" s="682" t="s">
        <v>2</v>
      </c>
      <c r="X211" s="686" t="s">
        <v>1</v>
      </c>
      <c r="Y211" s="1022">
        <f>S211*V211</f>
        <v>28000</v>
      </c>
      <c r="Z211" s="688">
        <f>Q211*S211*V211*1000</f>
        <v>28000000</v>
      </c>
      <c r="AA211" s="433">
        <f t="shared" si="15"/>
        <v>28000000000</v>
      </c>
      <c r="AB211" s="449"/>
    </row>
    <row r="212" spans="1:28" s="1679" customFormat="1" ht="22.5" customHeight="1">
      <c r="A212" s="673"/>
      <c r="B212" s="674"/>
      <c r="C212" s="2553"/>
      <c r="D212" s="2459"/>
      <c r="E212" s="2463" t="s">
        <v>3553</v>
      </c>
      <c r="F212" s="1131">
        <f>Y212</f>
        <v>4000</v>
      </c>
      <c r="G212" s="2461">
        <v>4000</v>
      </c>
      <c r="H212" s="680"/>
      <c r="I212" s="2060"/>
      <c r="J212" s="681" t="s">
        <v>3685</v>
      </c>
      <c r="K212" s="709"/>
      <c r="L212" s="709"/>
      <c r="M212" s="709"/>
      <c r="N212" s="709"/>
      <c r="O212" s="709"/>
      <c r="P212" s="736"/>
      <c r="Q212" s="2453">
        <v>10</v>
      </c>
      <c r="R212" s="2472" t="s">
        <v>3588</v>
      </c>
      <c r="S212" s="2453">
        <v>200000</v>
      </c>
      <c r="T212" s="1678" t="s">
        <v>56</v>
      </c>
      <c r="U212" s="683"/>
      <c r="V212" s="2453">
        <v>2</v>
      </c>
      <c r="W212" s="682" t="s">
        <v>2</v>
      </c>
      <c r="X212" s="686" t="s">
        <v>1</v>
      </c>
      <c r="Y212" s="1022">
        <f>(Z212)/1000</f>
        <v>4000</v>
      </c>
      <c r="Z212" s="688">
        <f>Q212*S212*V212</f>
        <v>4000000</v>
      </c>
      <c r="AA212" s="433">
        <f t="shared" si="15"/>
        <v>4000000000</v>
      </c>
      <c r="AB212" s="449"/>
    </row>
    <row r="213" spans="1:28" s="438" customFormat="1" ht="22.5" customHeight="1">
      <c r="A213" s="673"/>
      <c r="B213" s="674"/>
      <c r="C213" s="948"/>
      <c r="D213" s="2464"/>
      <c r="E213" s="675" t="s">
        <v>3686</v>
      </c>
      <c r="F213" s="1131">
        <f>Y213</f>
        <v>51000</v>
      </c>
      <c r="G213" s="2461">
        <v>51000</v>
      </c>
      <c r="H213" s="680"/>
      <c r="I213" s="2060"/>
      <c r="J213" s="681" t="s">
        <v>3687</v>
      </c>
      <c r="K213" s="709"/>
      <c r="L213" s="709"/>
      <c r="M213" s="709"/>
      <c r="N213" s="709"/>
      <c r="O213" s="709"/>
      <c r="P213" s="736"/>
      <c r="Q213" s="735"/>
      <c r="R213" s="682"/>
      <c r="S213" s="2453">
        <v>5100</v>
      </c>
      <c r="T213" s="1678" t="s">
        <v>3508</v>
      </c>
      <c r="U213" s="682"/>
      <c r="V213" s="2453">
        <v>10000</v>
      </c>
      <c r="W213" s="682" t="s">
        <v>3688</v>
      </c>
      <c r="X213" s="686" t="s">
        <v>1</v>
      </c>
      <c r="Y213" s="1022">
        <f>(Z213)/1000</f>
        <v>51000</v>
      </c>
      <c r="Z213" s="688">
        <f>S213*V213</f>
        <v>51000000</v>
      </c>
      <c r="AA213" s="433">
        <f t="shared" si="15"/>
        <v>51000000000</v>
      </c>
      <c r="AB213" s="449"/>
    </row>
    <row r="214" spans="1:28" ht="22.5" customHeight="1">
      <c r="A214" s="673"/>
      <c r="B214" s="674"/>
      <c r="C214" s="2553"/>
      <c r="D214" s="2465"/>
      <c r="E214" s="2455" t="s">
        <v>3689</v>
      </c>
      <c r="F214" s="1131">
        <f>Y214</f>
        <v>1000</v>
      </c>
      <c r="G214" s="2466">
        <v>1000</v>
      </c>
      <c r="H214" s="680"/>
      <c r="I214" s="2060"/>
      <c r="J214" s="681" t="s">
        <v>3690</v>
      </c>
      <c r="K214" s="709"/>
      <c r="L214" s="709"/>
      <c r="M214" s="709"/>
      <c r="N214" s="709"/>
      <c r="O214" s="709"/>
      <c r="P214" s="736"/>
      <c r="Q214" s="2453">
        <v>10</v>
      </c>
      <c r="R214" s="2472" t="s">
        <v>3588</v>
      </c>
      <c r="S214" s="2453">
        <v>20000</v>
      </c>
      <c r="T214" s="1678" t="s">
        <v>56</v>
      </c>
      <c r="U214" s="683"/>
      <c r="V214" s="2453">
        <v>5</v>
      </c>
      <c r="W214" s="682" t="s">
        <v>3516</v>
      </c>
      <c r="X214" s="686" t="s">
        <v>1</v>
      </c>
      <c r="Y214" s="1022">
        <f>(Z214)/1000</f>
        <v>1000</v>
      </c>
      <c r="Z214" s="688">
        <f>Q214*S214*V214</f>
        <v>1000000</v>
      </c>
      <c r="AA214" s="433">
        <f t="shared" si="15"/>
        <v>1000000000</v>
      </c>
    </row>
    <row r="215" spans="1:28" ht="22.5" customHeight="1">
      <c r="A215" s="673"/>
      <c r="B215" s="674"/>
      <c r="C215" s="2553"/>
      <c r="D215" s="2465"/>
      <c r="E215" s="2467" t="s">
        <v>3597</v>
      </c>
      <c r="F215" s="1131">
        <f>Y215</f>
        <v>1000</v>
      </c>
      <c r="G215" s="2466">
        <v>1000</v>
      </c>
      <c r="H215" s="680"/>
      <c r="I215" s="2060"/>
      <c r="J215" s="681" t="s">
        <v>3691</v>
      </c>
      <c r="K215" s="709"/>
      <c r="L215" s="709"/>
      <c r="M215" s="709"/>
      <c r="N215" s="709"/>
      <c r="O215" s="709"/>
      <c r="P215" s="736"/>
      <c r="Q215" s="2453">
        <v>10</v>
      </c>
      <c r="R215" s="2472" t="s">
        <v>3588</v>
      </c>
      <c r="S215" s="2453">
        <v>20000</v>
      </c>
      <c r="T215" s="1678" t="s">
        <v>56</v>
      </c>
      <c r="U215" s="683"/>
      <c r="V215" s="2453">
        <v>5</v>
      </c>
      <c r="W215" s="682" t="s">
        <v>3516</v>
      </c>
      <c r="X215" s="686" t="s">
        <v>1</v>
      </c>
      <c r="Y215" s="1022">
        <f>(Z215)/1000</f>
        <v>1000</v>
      </c>
      <c r="Z215" s="688">
        <f>Q215*S215*V215</f>
        <v>1000000</v>
      </c>
      <c r="AA215" s="433">
        <f t="shared" si="15"/>
        <v>1000000000</v>
      </c>
    </row>
    <row r="216" spans="1:28" s="438" customFormat="1" ht="22.5" customHeight="1">
      <c r="A216" s="673"/>
      <c r="B216" s="674"/>
      <c r="C216" s="2553"/>
      <c r="D216" s="3947" t="s">
        <v>3692</v>
      </c>
      <c r="E216" s="3948"/>
      <c r="F216" s="1507">
        <f>SUM(F217:F227)</f>
        <v>50000</v>
      </c>
      <c r="G216" s="1507">
        <f>SUM(G217:G227)</f>
        <v>50000</v>
      </c>
      <c r="H216" s="1421">
        <f t="shared" ref="H216" si="20">F216-G216</f>
        <v>0</v>
      </c>
      <c r="I216" s="2060"/>
      <c r="J216" s="1989"/>
      <c r="K216" s="2094"/>
      <c r="L216" s="2094"/>
      <c r="M216" s="2094"/>
      <c r="N216" s="2094"/>
      <c r="O216" s="2094"/>
      <c r="P216" s="1075"/>
      <c r="Q216" s="2468"/>
      <c r="R216" s="2469"/>
      <c r="S216" s="2468"/>
      <c r="T216" s="2469"/>
      <c r="U216" s="1259"/>
      <c r="V216" s="2468"/>
      <c r="W216" s="1536"/>
      <c r="X216" s="1422"/>
      <c r="Y216" s="2470"/>
      <c r="Z216" s="2471"/>
      <c r="AA216" s="433">
        <f t="shared" si="15"/>
        <v>50000000000</v>
      </c>
      <c r="AB216" s="449"/>
    </row>
    <row r="217" spans="1:28" s="1679" customFormat="1" ht="22.5" customHeight="1">
      <c r="A217" s="673"/>
      <c r="B217" s="674"/>
      <c r="C217" s="2553"/>
      <c r="D217" s="2459"/>
      <c r="E217" s="1034" t="s">
        <v>3693</v>
      </c>
      <c r="F217" s="1514">
        <v>4000</v>
      </c>
      <c r="G217" s="2461">
        <v>4000</v>
      </c>
      <c r="H217" s="680"/>
      <c r="I217" s="2060"/>
      <c r="J217" s="681" t="s">
        <v>3694</v>
      </c>
      <c r="K217" s="709"/>
      <c r="L217" s="709"/>
      <c r="M217" s="709"/>
      <c r="N217" s="709"/>
      <c r="O217" s="709"/>
      <c r="P217" s="736"/>
      <c r="Q217" s="2453">
        <v>1</v>
      </c>
      <c r="R217" s="2472" t="s">
        <v>3588</v>
      </c>
      <c r="S217" s="2453">
        <v>2000</v>
      </c>
      <c r="T217" s="1678" t="s">
        <v>56</v>
      </c>
      <c r="U217" s="683"/>
      <c r="V217" s="2453">
        <v>2</v>
      </c>
      <c r="W217" s="682" t="s">
        <v>2</v>
      </c>
      <c r="X217" s="686" t="s">
        <v>1</v>
      </c>
      <c r="Y217" s="1022">
        <f>S217*V217</f>
        <v>4000</v>
      </c>
      <c r="Z217" s="2558"/>
      <c r="AA217" s="433">
        <f t="shared" si="15"/>
        <v>4000000000</v>
      </c>
      <c r="AB217" s="449"/>
    </row>
    <row r="218" spans="1:28" s="1679" customFormat="1" ht="22.5" customHeight="1">
      <c r="A218" s="673"/>
      <c r="B218" s="674"/>
      <c r="C218" s="2553"/>
      <c r="D218" s="2459"/>
      <c r="E218" s="675" t="s">
        <v>3514</v>
      </c>
      <c r="F218" s="2473">
        <v>4200</v>
      </c>
      <c r="G218" s="2461">
        <v>4200</v>
      </c>
      <c r="H218" s="680"/>
      <c r="I218" s="2060"/>
      <c r="J218" s="681" t="s">
        <v>3695</v>
      </c>
      <c r="K218" s="709"/>
      <c r="L218" s="709"/>
      <c r="M218" s="709"/>
      <c r="N218" s="709"/>
      <c r="O218" s="709"/>
      <c r="P218" s="736"/>
      <c r="Q218" s="2453">
        <v>1</v>
      </c>
      <c r="R218" s="682" t="s">
        <v>3696</v>
      </c>
      <c r="S218" s="2453">
        <v>2100</v>
      </c>
      <c r="T218" s="1678" t="s">
        <v>56</v>
      </c>
      <c r="U218" s="683"/>
      <c r="V218" s="2453">
        <v>2</v>
      </c>
      <c r="W218" s="682" t="s">
        <v>3</v>
      </c>
      <c r="X218" s="686" t="s">
        <v>1</v>
      </c>
      <c r="Y218" s="1022">
        <f>S218*V218</f>
        <v>4200</v>
      </c>
      <c r="Z218" s="2558"/>
      <c r="AA218" s="433">
        <f t="shared" si="15"/>
        <v>4200000000</v>
      </c>
      <c r="AB218" s="449"/>
    </row>
    <row r="219" spans="1:28" s="1679" customFormat="1" ht="22.5" customHeight="1">
      <c r="A219" s="673"/>
      <c r="B219" s="674"/>
      <c r="C219" s="2553"/>
      <c r="D219" s="2459"/>
      <c r="E219" s="2455" t="s">
        <v>3553</v>
      </c>
      <c r="F219" s="993">
        <v>1600</v>
      </c>
      <c r="G219" s="2461">
        <v>1600</v>
      </c>
      <c r="H219" s="680"/>
      <c r="I219" s="2060"/>
      <c r="J219" s="681" t="s">
        <v>3691</v>
      </c>
      <c r="K219" s="3946" t="s">
        <v>3697</v>
      </c>
      <c r="L219" s="3946"/>
      <c r="M219" s="3946"/>
      <c r="N219" s="709"/>
      <c r="O219" s="709"/>
      <c r="P219" s="736"/>
      <c r="Q219" s="2453">
        <v>2</v>
      </c>
      <c r="R219" s="2472" t="s">
        <v>3588</v>
      </c>
      <c r="S219" s="2453">
        <v>40000</v>
      </c>
      <c r="T219" s="1678" t="s">
        <v>56</v>
      </c>
      <c r="U219" s="683"/>
      <c r="V219" s="2453">
        <v>20</v>
      </c>
      <c r="W219" s="682" t="s">
        <v>3516</v>
      </c>
      <c r="X219" s="686" t="s">
        <v>1</v>
      </c>
      <c r="Y219" s="1022">
        <f>(Z219)/1000</f>
        <v>1600</v>
      </c>
      <c r="Z219" s="2454">
        <f>Q219*S219*V219</f>
        <v>1600000</v>
      </c>
      <c r="AA219" s="433">
        <f t="shared" si="15"/>
        <v>1600000000</v>
      </c>
      <c r="AB219" s="449"/>
    </row>
    <row r="220" spans="1:28" s="438" customFormat="1" ht="22.5" customHeight="1">
      <c r="A220" s="673"/>
      <c r="B220" s="674"/>
      <c r="C220" s="948"/>
      <c r="D220" s="2464"/>
      <c r="E220" s="2455" t="s">
        <v>3689</v>
      </c>
      <c r="F220" s="2473">
        <f>Y220</f>
        <v>36200</v>
      </c>
      <c r="G220" s="2453">
        <v>36200</v>
      </c>
      <c r="H220" s="680"/>
      <c r="I220" s="2060"/>
      <c r="J220" s="681" t="s">
        <v>3698</v>
      </c>
      <c r="K220" s="709"/>
      <c r="L220" s="709"/>
      <c r="M220" s="709"/>
      <c r="N220" s="709"/>
      <c r="O220" s="709"/>
      <c r="P220" s="736"/>
      <c r="Q220" s="2453"/>
      <c r="R220" s="2472"/>
      <c r="S220" s="2453"/>
      <c r="T220" s="1678"/>
      <c r="U220" s="683"/>
      <c r="V220" s="2453"/>
      <c r="W220" s="682"/>
      <c r="X220" s="686"/>
      <c r="Y220" s="1022">
        <f>SUM(Y221:Y226)</f>
        <v>36200</v>
      </c>
      <c r="Z220" s="2454"/>
      <c r="AA220" s="433">
        <f t="shared" si="15"/>
        <v>36200000000</v>
      </c>
      <c r="AB220" s="449"/>
    </row>
    <row r="221" spans="1:28" ht="22.5" customHeight="1">
      <c r="A221" s="673"/>
      <c r="B221" s="674"/>
      <c r="C221" s="2553"/>
      <c r="D221" s="2465"/>
      <c r="E221" s="2474"/>
      <c r="F221" s="2473"/>
      <c r="G221" s="2466"/>
      <c r="H221" s="680"/>
      <c r="I221" s="2060"/>
      <c r="J221" s="681" t="s">
        <v>3699</v>
      </c>
      <c r="K221" s="709"/>
      <c r="L221" s="709"/>
      <c r="M221" s="709"/>
      <c r="N221" s="709"/>
      <c r="O221" s="709"/>
      <c r="P221" s="736"/>
      <c r="Q221" s="2453">
        <v>1</v>
      </c>
      <c r="R221" s="2472" t="s">
        <v>3588</v>
      </c>
      <c r="S221" s="2453">
        <v>3000000</v>
      </c>
      <c r="T221" s="1678" t="s">
        <v>56</v>
      </c>
      <c r="U221" s="683"/>
      <c r="V221" s="2453">
        <v>2</v>
      </c>
      <c r="W221" s="682" t="s">
        <v>3516</v>
      </c>
      <c r="X221" s="686" t="s">
        <v>1</v>
      </c>
      <c r="Y221" s="1022">
        <f t="shared" ref="Y221:Y227" si="21">(Z221)/1000</f>
        <v>6000</v>
      </c>
      <c r="Z221" s="2454">
        <f>S221*V221</f>
        <v>6000000</v>
      </c>
      <c r="AA221" s="433">
        <f t="shared" si="15"/>
        <v>0</v>
      </c>
    </row>
    <row r="222" spans="1:28" ht="22.5" customHeight="1">
      <c r="A222" s="673"/>
      <c r="B222" s="674"/>
      <c r="C222" s="2553"/>
      <c r="D222" s="2465"/>
      <c r="E222" s="2455"/>
      <c r="F222" s="967"/>
      <c r="G222" s="2466"/>
      <c r="H222" s="680"/>
      <c r="I222" s="2060"/>
      <c r="J222" s="681" t="s">
        <v>3700</v>
      </c>
      <c r="K222" s="709"/>
      <c r="L222" s="709"/>
      <c r="M222" s="709"/>
      <c r="N222" s="709"/>
      <c r="O222" s="709"/>
      <c r="P222" s="736"/>
      <c r="Q222" s="2453">
        <v>2</v>
      </c>
      <c r="R222" s="2472" t="s">
        <v>3588</v>
      </c>
      <c r="S222" s="2453">
        <v>375000</v>
      </c>
      <c r="T222" s="1678" t="s">
        <v>56</v>
      </c>
      <c r="U222" s="683"/>
      <c r="V222" s="2453">
        <v>20</v>
      </c>
      <c r="W222" s="682" t="s">
        <v>3516</v>
      </c>
      <c r="X222" s="686" t="s">
        <v>1</v>
      </c>
      <c r="Y222" s="1022">
        <f t="shared" si="21"/>
        <v>15000</v>
      </c>
      <c r="Z222" s="2454">
        <f t="shared" ref="Z222:Z227" si="22">Q222*S222*V222</f>
        <v>15000000</v>
      </c>
      <c r="AA222" s="433">
        <f t="shared" si="15"/>
        <v>0</v>
      </c>
    </row>
    <row r="223" spans="1:28" ht="22.5" customHeight="1">
      <c r="A223" s="673"/>
      <c r="B223" s="674"/>
      <c r="C223" s="2553"/>
      <c r="D223" s="2465"/>
      <c r="E223" s="2455"/>
      <c r="F223" s="2473"/>
      <c r="G223" s="2466"/>
      <c r="H223" s="680"/>
      <c r="I223" s="2060"/>
      <c r="J223" s="681" t="s">
        <v>3701</v>
      </c>
      <c r="K223" s="709"/>
      <c r="L223" s="709"/>
      <c r="M223" s="709"/>
      <c r="N223" s="709"/>
      <c r="O223" s="709"/>
      <c r="P223" s="736"/>
      <c r="Q223" s="2453">
        <v>1</v>
      </c>
      <c r="R223" s="2472" t="s">
        <v>3588</v>
      </c>
      <c r="S223" s="2453">
        <v>80000</v>
      </c>
      <c r="T223" s="1678" t="s">
        <v>56</v>
      </c>
      <c r="U223" s="683"/>
      <c r="V223" s="2453">
        <v>20</v>
      </c>
      <c r="W223" s="682" t="s">
        <v>3516</v>
      </c>
      <c r="X223" s="686" t="s">
        <v>1</v>
      </c>
      <c r="Y223" s="1022">
        <f t="shared" si="21"/>
        <v>1600</v>
      </c>
      <c r="Z223" s="2454">
        <f t="shared" si="22"/>
        <v>1600000</v>
      </c>
      <c r="AA223" s="433">
        <f t="shared" si="15"/>
        <v>0</v>
      </c>
    </row>
    <row r="224" spans="1:28" ht="22.5" customHeight="1">
      <c r="A224" s="673"/>
      <c r="B224" s="674"/>
      <c r="C224" s="2553"/>
      <c r="D224" s="2465"/>
      <c r="E224" s="2455"/>
      <c r="F224" s="2473"/>
      <c r="G224" s="2466"/>
      <c r="H224" s="680"/>
      <c r="I224" s="2060"/>
      <c r="J224" s="681" t="s">
        <v>3702</v>
      </c>
      <c r="K224" s="709"/>
      <c r="L224" s="709"/>
      <c r="M224" s="709"/>
      <c r="N224" s="709"/>
      <c r="O224" s="709"/>
      <c r="P224" s="736"/>
      <c r="Q224" s="2453">
        <v>30</v>
      </c>
      <c r="R224" s="2472" t="s">
        <v>3588</v>
      </c>
      <c r="S224" s="2453">
        <v>7000</v>
      </c>
      <c r="T224" s="1678" t="s">
        <v>56</v>
      </c>
      <c r="U224" s="683"/>
      <c r="V224" s="2453">
        <v>20</v>
      </c>
      <c r="W224" s="682" t="s">
        <v>3516</v>
      </c>
      <c r="X224" s="686" t="s">
        <v>1</v>
      </c>
      <c r="Y224" s="1022">
        <f t="shared" si="21"/>
        <v>4200</v>
      </c>
      <c r="Z224" s="2454">
        <f t="shared" si="22"/>
        <v>4200000</v>
      </c>
      <c r="AA224" s="433">
        <f t="shared" si="15"/>
        <v>0</v>
      </c>
    </row>
    <row r="225" spans="1:28" ht="22.5" customHeight="1">
      <c r="A225" s="2375"/>
      <c r="B225" s="674"/>
      <c r="C225" s="2553"/>
      <c r="D225" s="2465"/>
      <c r="E225" s="2455"/>
      <c r="F225" s="2473"/>
      <c r="G225" s="2466"/>
      <c r="H225" s="680"/>
      <c r="I225" s="2060"/>
      <c r="J225" s="681" t="s">
        <v>3703</v>
      </c>
      <c r="K225" s="709"/>
      <c r="L225" s="709"/>
      <c r="M225" s="709"/>
      <c r="N225" s="709"/>
      <c r="O225" s="709"/>
      <c r="P225" s="736"/>
      <c r="Q225" s="2453">
        <v>1</v>
      </c>
      <c r="R225" s="682" t="s">
        <v>3696</v>
      </c>
      <c r="S225" s="2453">
        <v>50000</v>
      </c>
      <c r="T225" s="1678" t="s">
        <v>56</v>
      </c>
      <c r="U225" s="683"/>
      <c r="V225" s="2453">
        <v>20</v>
      </c>
      <c r="W225" s="682" t="s">
        <v>3516</v>
      </c>
      <c r="X225" s="686" t="s">
        <v>1</v>
      </c>
      <c r="Y225" s="1022">
        <f t="shared" si="21"/>
        <v>1000</v>
      </c>
      <c r="Z225" s="2454">
        <f t="shared" si="22"/>
        <v>1000000</v>
      </c>
      <c r="AA225" s="433">
        <f t="shared" si="15"/>
        <v>0</v>
      </c>
    </row>
    <row r="226" spans="1:28" ht="22.5" customHeight="1">
      <c r="A226" s="673"/>
      <c r="B226" s="674"/>
      <c r="C226" s="2553"/>
      <c r="D226" s="2465"/>
      <c r="E226" s="2455"/>
      <c r="F226" s="2473"/>
      <c r="G226" s="2466"/>
      <c r="H226" s="680"/>
      <c r="I226" s="2060"/>
      <c r="J226" s="681" t="s">
        <v>3704</v>
      </c>
      <c r="K226" s="709"/>
      <c r="L226" s="709"/>
      <c r="M226" s="709"/>
      <c r="N226" s="709"/>
      <c r="O226" s="709"/>
      <c r="P226" s="736"/>
      <c r="Q226" s="2453">
        <v>1</v>
      </c>
      <c r="R226" s="682" t="s">
        <v>3542</v>
      </c>
      <c r="S226" s="2453">
        <v>420000</v>
      </c>
      <c r="T226" s="1678" t="s">
        <v>56</v>
      </c>
      <c r="U226" s="683"/>
      <c r="V226" s="2453">
        <v>20</v>
      </c>
      <c r="W226" s="682" t="s">
        <v>3516</v>
      </c>
      <c r="X226" s="686" t="s">
        <v>1</v>
      </c>
      <c r="Y226" s="1022">
        <f t="shared" si="21"/>
        <v>8400</v>
      </c>
      <c r="Z226" s="2454">
        <f t="shared" si="22"/>
        <v>8400000</v>
      </c>
      <c r="AA226" s="433">
        <f t="shared" si="15"/>
        <v>0</v>
      </c>
    </row>
    <row r="227" spans="1:28" s="438" customFormat="1" ht="22.5" customHeight="1">
      <c r="A227" s="673"/>
      <c r="B227" s="674"/>
      <c r="C227" s="2553"/>
      <c r="D227" s="2465"/>
      <c r="E227" s="2455" t="s">
        <v>3582</v>
      </c>
      <c r="F227" s="2473">
        <v>4000</v>
      </c>
      <c r="G227" s="2466">
        <v>4000</v>
      </c>
      <c r="H227" s="680"/>
      <c r="I227" s="2060"/>
      <c r="J227" s="681" t="s">
        <v>3705</v>
      </c>
      <c r="K227" s="709"/>
      <c r="L227" s="709"/>
      <c r="M227" s="709"/>
      <c r="N227" s="709"/>
      <c r="O227" s="709"/>
      <c r="P227" s="736"/>
      <c r="Q227" s="2453">
        <v>1</v>
      </c>
      <c r="R227" s="682" t="s">
        <v>3696</v>
      </c>
      <c r="S227" s="2453">
        <v>200000</v>
      </c>
      <c r="T227" s="1678" t="s">
        <v>56</v>
      </c>
      <c r="U227" s="683"/>
      <c r="V227" s="2453">
        <v>20</v>
      </c>
      <c r="W227" s="682" t="s">
        <v>3516</v>
      </c>
      <c r="X227" s="686" t="s">
        <v>1</v>
      </c>
      <c r="Y227" s="1022">
        <f t="shared" si="21"/>
        <v>4000</v>
      </c>
      <c r="Z227" s="2454">
        <f t="shared" si="22"/>
        <v>4000000</v>
      </c>
      <c r="AA227" s="433">
        <f t="shared" si="15"/>
        <v>4000000000</v>
      </c>
      <c r="AB227" s="449"/>
    </row>
    <row r="228" spans="1:28" s="1679" customFormat="1" ht="22.5" customHeight="1">
      <c r="A228" s="673"/>
      <c r="B228" s="674"/>
      <c r="C228" s="2553"/>
      <c r="D228" s="3947" t="s">
        <v>3706</v>
      </c>
      <c r="E228" s="3948"/>
      <c r="F228" s="1507">
        <f>SUM(F229:F238)</f>
        <v>65000</v>
      </c>
      <c r="G228" s="1507">
        <f>SUM(G229:G238)</f>
        <v>65000</v>
      </c>
      <c r="H228" s="1421">
        <f t="shared" ref="H228" si="23">F228-G228</f>
        <v>0</v>
      </c>
      <c r="I228" s="2060"/>
      <c r="J228" s="1989"/>
      <c r="K228" s="2094"/>
      <c r="L228" s="2094"/>
      <c r="M228" s="2094"/>
      <c r="N228" s="2094"/>
      <c r="O228" s="2094"/>
      <c r="P228" s="1075"/>
      <c r="Q228" s="2468"/>
      <c r="R228" s="2469"/>
      <c r="S228" s="2468"/>
      <c r="T228" s="2469"/>
      <c r="U228" s="1259"/>
      <c r="V228" s="2468"/>
      <c r="W228" s="1536"/>
      <c r="X228" s="1422"/>
      <c r="Y228" s="2470"/>
      <c r="Z228" s="2471"/>
      <c r="AA228" s="433">
        <f t="shared" si="15"/>
        <v>65000000000</v>
      </c>
      <c r="AB228" s="449"/>
    </row>
    <row r="229" spans="1:28" s="1679" customFormat="1" ht="22.5" customHeight="1">
      <c r="A229" s="673"/>
      <c r="B229" s="674"/>
      <c r="C229" s="2553"/>
      <c r="D229" s="2459"/>
      <c r="E229" s="1034" t="s">
        <v>3693</v>
      </c>
      <c r="F229" s="1131">
        <v>12000</v>
      </c>
      <c r="G229" s="2475">
        <v>12000</v>
      </c>
      <c r="H229" s="680"/>
      <c r="I229" s="2060"/>
      <c r="J229" s="681" t="s">
        <v>3694</v>
      </c>
      <c r="K229" s="709"/>
      <c r="L229" s="709"/>
      <c r="M229" s="709"/>
      <c r="N229" s="709"/>
      <c r="O229" s="709"/>
      <c r="P229" s="736"/>
      <c r="Q229" s="2453">
        <v>1</v>
      </c>
      <c r="R229" s="2472" t="s">
        <v>3588</v>
      </c>
      <c r="S229" s="2453">
        <v>2000000</v>
      </c>
      <c r="T229" s="1678" t="s">
        <v>56</v>
      </c>
      <c r="U229" s="683"/>
      <c r="V229" s="2453">
        <v>6</v>
      </c>
      <c r="W229" s="682" t="s">
        <v>2</v>
      </c>
      <c r="X229" s="686" t="s">
        <v>1</v>
      </c>
      <c r="Y229" s="1022">
        <f t="shared" ref="Y229:Y238" si="24">(Z229)/1000</f>
        <v>12000</v>
      </c>
      <c r="Z229" s="2476">
        <f t="shared" ref="Z229:Z237" si="25">Q229*S229*V229</f>
        <v>12000000</v>
      </c>
      <c r="AA229" s="433">
        <f t="shared" si="15"/>
        <v>12000000000</v>
      </c>
      <c r="AB229" s="449"/>
    </row>
    <row r="230" spans="1:28" s="438" customFormat="1" ht="22.5" customHeight="1">
      <c r="A230" s="673"/>
      <c r="B230" s="674"/>
      <c r="C230" s="2553"/>
      <c r="D230" s="2459"/>
      <c r="E230" s="2455" t="s">
        <v>3514</v>
      </c>
      <c r="F230" s="1131">
        <v>10000</v>
      </c>
      <c r="G230" s="2466">
        <v>10000</v>
      </c>
      <c r="H230" s="680"/>
      <c r="I230" s="2060"/>
      <c r="J230" s="681" t="s">
        <v>3707</v>
      </c>
      <c r="K230" s="967"/>
      <c r="L230" s="731"/>
      <c r="M230" s="709"/>
      <c r="N230" s="709"/>
      <c r="O230" s="709"/>
      <c r="P230" s="736"/>
      <c r="Q230" s="2453">
        <v>1</v>
      </c>
      <c r="R230" s="2472" t="s">
        <v>3708</v>
      </c>
      <c r="S230" s="2453">
        <v>1000000</v>
      </c>
      <c r="T230" s="1678" t="s">
        <v>3508</v>
      </c>
      <c r="U230" s="683"/>
      <c r="V230" s="2453">
        <v>10</v>
      </c>
      <c r="W230" s="682" t="s">
        <v>3516</v>
      </c>
      <c r="X230" s="686" t="s">
        <v>3517</v>
      </c>
      <c r="Y230" s="1022">
        <f t="shared" si="24"/>
        <v>10000</v>
      </c>
      <c r="Z230" s="2454">
        <f>Q230*S230*V230</f>
        <v>10000000</v>
      </c>
      <c r="AA230" s="433">
        <f t="shared" si="15"/>
        <v>10000000000</v>
      </c>
      <c r="AB230" s="449"/>
    </row>
    <row r="231" spans="1:28" ht="22.5" customHeight="1">
      <c r="A231" s="673"/>
      <c r="B231" s="674"/>
      <c r="C231" s="2553"/>
      <c r="D231" s="2459"/>
      <c r="E231" s="2455" t="s">
        <v>3709</v>
      </c>
      <c r="F231" s="1131">
        <v>2000</v>
      </c>
      <c r="G231" s="2466">
        <v>2000</v>
      </c>
      <c r="H231" s="680"/>
      <c r="I231" s="2060"/>
      <c r="J231" s="681" t="s">
        <v>3710</v>
      </c>
      <c r="K231" s="709"/>
      <c r="L231" s="709"/>
      <c r="M231" s="709"/>
      <c r="N231" s="709"/>
      <c r="O231" s="709"/>
      <c r="P231" s="736"/>
      <c r="Q231" s="735">
        <v>2</v>
      </c>
      <c r="R231" s="682" t="s">
        <v>3588</v>
      </c>
      <c r="S231" s="2453">
        <v>50000</v>
      </c>
      <c r="T231" s="1678" t="s">
        <v>3508</v>
      </c>
      <c r="U231" s="682"/>
      <c r="V231" s="2453">
        <v>20</v>
      </c>
      <c r="W231" s="682" t="s">
        <v>3516</v>
      </c>
      <c r="X231" s="686" t="s">
        <v>1</v>
      </c>
      <c r="Y231" s="1022">
        <f t="shared" si="24"/>
        <v>2000</v>
      </c>
      <c r="Z231" s="2454">
        <f>Q231*S231*V231</f>
        <v>2000000</v>
      </c>
      <c r="AA231" s="433">
        <f t="shared" si="15"/>
        <v>2000000000</v>
      </c>
    </row>
    <row r="232" spans="1:28" s="458" customFormat="1" ht="22.5" customHeight="1" thickBot="1">
      <c r="A232" s="673"/>
      <c r="B232" s="674"/>
      <c r="C232" s="2553"/>
      <c r="D232" s="2459"/>
      <c r="E232" s="675" t="s">
        <v>3686</v>
      </c>
      <c r="F232" s="1131">
        <v>11100</v>
      </c>
      <c r="G232" s="2475">
        <v>11100</v>
      </c>
      <c r="H232" s="680"/>
      <c r="I232" s="2060"/>
      <c r="J232" s="681" t="s">
        <v>3711</v>
      </c>
      <c r="K232" s="709"/>
      <c r="L232" s="709"/>
      <c r="M232" s="709"/>
      <c r="N232" s="709"/>
      <c r="O232" s="709"/>
      <c r="P232" s="736"/>
      <c r="Q232" s="2453">
        <v>2</v>
      </c>
      <c r="R232" s="2472" t="s">
        <v>3588</v>
      </c>
      <c r="S232" s="2453">
        <v>400000</v>
      </c>
      <c r="T232" s="1678" t="s">
        <v>56</v>
      </c>
      <c r="U232" s="683"/>
      <c r="V232" s="2453">
        <v>10</v>
      </c>
      <c r="W232" s="682" t="s">
        <v>3516</v>
      </c>
      <c r="X232" s="686" t="s">
        <v>1</v>
      </c>
      <c r="Y232" s="1022">
        <f t="shared" si="24"/>
        <v>8000</v>
      </c>
      <c r="Z232" s="2454">
        <f t="shared" si="25"/>
        <v>8000000</v>
      </c>
      <c r="AA232" s="433">
        <f t="shared" si="15"/>
        <v>11100000000</v>
      </c>
      <c r="AB232" s="874"/>
    </row>
    <row r="233" spans="1:28" s="491" customFormat="1" ht="22.5" customHeight="1">
      <c r="A233" s="673"/>
      <c r="B233" s="674"/>
      <c r="C233" s="2553"/>
      <c r="D233" s="2459"/>
      <c r="E233" s="675"/>
      <c r="F233" s="1131"/>
      <c r="G233" s="2475"/>
      <c r="H233" s="680"/>
      <c r="I233" s="2060"/>
      <c r="J233" s="681" t="s">
        <v>3712</v>
      </c>
      <c r="K233" s="709"/>
      <c r="L233" s="709"/>
      <c r="M233" s="709"/>
      <c r="N233" s="709"/>
      <c r="O233" s="709"/>
      <c r="P233" s="736"/>
      <c r="Q233" s="2453">
        <v>2</v>
      </c>
      <c r="R233" s="2472" t="s">
        <v>3588</v>
      </c>
      <c r="S233" s="2453">
        <v>100000</v>
      </c>
      <c r="T233" s="1678" t="s">
        <v>56</v>
      </c>
      <c r="U233" s="683"/>
      <c r="V233" s="2453">
        <v>10</v>
      </c>
      <c r="W233" s="682" t="s">
        <v>3516</v>
      </c>
      <c r="X233" s="686" t="s">
        <v>1</v>
      </c>
      <c r="Y233" s="1022">
        <f t="shared" si="24"/>
        <v>2000</v>
      </c>
      <c r="Z233" s="2454">
        <f t="shared" si="25"/>
        <v>2000000</v>
      </c>
      <c r="AA233" s="433">
        <f t="shared" si="15"/>
        <v>0</v>
      </c>
      <c r="AB233" s="492"/>
    </row>
    <row r="234" spans="1:28" s="479" customFormat="1" ht="22.5" customHeight="1">
      <c r="A234" s="673"/>
      <c r="B234" s="674"/>
      <c r="C234" s="948"/>
      <c r="D234" s="2464"/>
      <c r="E234" s="675"/>
      <c r="F234" s="1131"/>
      <c r="G234" s="2475"/>
      <c r="H234" s="680"/>
      <c r="I234" s="2060"/>
      <c r="J234" s="681" t="s">
        <v>4517</v>
      </c>
      <c r="K234" s="709"/>
      <c r="L234" s="709"/>
      <c r="M234" s="709"/>
      <c r="N234" s="709"/>
      <c r="O234" s="709"/>
      <c r="P234" s="736"/>
      <c r="Q234" s="2453"/>
      <c r="R234" s="2472"/>
      <c r="S234" s="2453"/>
      <c r="T234" s="1678"/>
      <c r="U234" s="683"/>
      <c r="V234" s="2453"/>
      <c r="W234" s="682"/>
      <c r="X234" s="686"/>
      <c r="Y234" s="1022">
        <f t="shared" si="24"/>
        <v>1100</v>
      </c>
      <c r="Z234" s="2454">
        <f>SUM(Z235:Z236)</f>
        <v>1100000</v>
      </c>
      <c r="AA234" s="433">
        <f t="shared" si="15"/>
        <v>0</v>
      </c>
      <c r="AB234" s="480"/>
    </row>
    <row r="235" spans="1:28" s="3119" customFormat="1" ht="22.5" customHeight="1">
      <c r="A235" s="3398"/>
      <c r="B235" s="3160"/>
      <c r="C235" s="3170"/>
      <c r="D235" s="2464"/>
      <c r="E235" s="675"/>
      <c r="F235" s="1131"/>
      <c r="G235" s="2475"/>
      <c r="H235" s="680"/>
      <c r="I235" s="2060"/>
      <c r="J235" s="681" t="s">
        <v>5404</v>
      </c>
      <c r="K235" s="3399"/>
      <c r="L235" s="3399"/>
      <c r="M235" s="3399"/>
      <c r="N235" s="3399"/>
      <c r="O235" s="3399"/>
      <c r="P235" s="736"/>
      <c r="Q235" s="2453">
        <v>4</v>
      </c>
      <c r="R235" s="2472" t="s">
        <v>385</v>
      </c>
      <c r="S235" s="2453">
        <v>250000</v>
      </c>
      <c r="T235" s="1678" t="s">
        <v>56</v>
      </c>
      <c r="U235" s="683"/>
      <c r="V235" s="2453">
        <v>1</v>
      </c>
      <c r="W235" s="3397" t="s">
        <v>369</v>
      </c>
      <c r="X235" s="686" t="s">
        <v>1</v>
      </c>
      <c r="Y235" s="1022">
        <f t="shared" si="24"/>
        <v>1000</v>
      </c>
      <c r="Z235" s="2454">
        <f t="shared" ref="Z235" si="26">Q235*S235*V235</f>
        <v>1000000</v>
      </c>
      <c r="AA235" s="433">
        <f t="shared" si="15"/>
        <v>0</v>
      </c>
      <c r="AB235" s="480"/>
    </row>
    <row r="236" spans="1:28" s="491" customFormat="1" ht="22.5" customHeight="1">
      <c r="A236" s="673"/>
      <c r="B236" s="674"/>
      <c r="C236" s="948"/>
      <c r="D236" s="2464"/>
      <c r="E236" s="675"/>
      <c r="F236" s="1131"/>
      <c r="G236" s="2475"/>
      <c r="H236" s="680"/>
      <c r="I236" s="2060"/>
      <c r="J236" s="681" t="s">
        <v>5405</v>
      </c>
      <c r="K236" s="709"/>
      <c r="L236" s="709"/>
      <c r="N236" s="709"/>
      <c r="O236" s="709"/>
      <c r="P236" s="736"/>
      <c r="Q236" s="2453">
        <v>4</v>
      </c>
      <c r="R236" s="2472" t="s">
        <v>3588</v>
      </c>
      <c r="S236" s="2453">
        <v>25000</v>
      </c>
      <c r="T236" s="1678" t="s">
        <v>3508</v>
      </c>
      <c r="U236" s="683"/>
      <c r="V236" s="2453">
        <v>1</v>
      </c>
      <c r="W236" s="682" t="s">
        <v>3516</v>
      </c>
      <c r="X236" s="686" t="s">
        <v>3517</v>
      </c>
      <c r="Y236" s="1022">
        <f t="shared" si="24"/>
        <v>100</v>
      </c>
      <c r="Z236" s="2454">
        <f t="shared" si="25"/>
        <v>100000</v>
      </c>
      <c r="AA236" s="433">
        <f t="shared" si="15"/>
        <v>0</v>
      </c>
      <c r="AB236" s="492"/>
    </row>
    <row r="237" spans="1:28" s="491" customFormat="1" ht="22.5" customHeight="1">
      <c r="A237" s="916"/>
      <c r="B237" s="674"/>
      <c r="C237" s="2553"/>
      <c r="D237" s="2465"/>
      <c r="E237" s="2455" t="s">
        <v>3582</v>
      </c>
      <c r="F237" s="1131">
        <f>Y237</f>
        <v>8000</v>
      </c>
      <c r="G237" s="2466">
        <v>8000</v>
      </c>
      <c r="H237" s="680"/>
      <c r="I237" s="2060"/>
      <c r="J237" s="681" t="s">
        <v>3713</v>
      </c>
      <c r="K237" s="709"/>
      <c r="L237" s="709"/>
      <c r="M237" s="709"/>
      <c r="N237" s="709"/>
      <c r="O237" s="709"/>
      <c r="P237" s="736"/>
      <c r="Q237" s="2453">
        <v>2</v>
      </c>
      <c r="R237" s="2472" t="s">
        <v>3542</v>
      </c>
      <c r="S237" s="2453">
        <v>400000</v>
      </c>
      <c r="T237" s="1678" t="s">
        <v>56</v>
      </c>
      <c r="U237" s="683"/>
      <c r="V237" s="2453">
        <v>10</v>
      </c>
      <c r="W237" s="682" t="s">
        <v>3516</v>
      </c>
      <c r="X237" s="686" t="s">
        <v>1</v>
      </c>
      <c r="Y237" s="1022">
        <f t="shared" si="24"/>
        <v>8000</v>
      </c>
      <c r="Z237" s="2454">
        <f t="shared" si="25"/>
        <v>8000000</v>
      </c>
      <c r="AA237" s="433">
        <f t="shared" si="15"/>
        <v>8000000000</v>
      </c>
      <c r="AB237" s="492"/>
    </row>
    <row r="238" spans="1:28" s="479" customFormat="1" ht="22.5" customHeight="1">
      <c r="A238" s="916"/>
      <c r="B238" s="674"/>
      <c r="C238" s="2553"/>
      <c r="D238" s="2465"/>
      <c r="E238" s="2467" t="s">
        <v>3714</v>
      </c>
      <c r="F238" s="2473">
        <v>21900</v>
      </c>
      <c r="G238" s="2466">
        <v>21900</v>
      </c>
      <c r="H238" s="680"/>
      <c r="I238" s="2060"/>
      <c r="J238" s="681" t="s">
        <v>3643</v>
      </c>
      <c r="K238" s="709"/>
      <c r="L238" s="709"/>
      <c r="M238" s="709"/>
      <c r="N238" s="709"/>
      <c r="O238" s="709"/>
      <c r="P238" s="736"/>
      <c r="Q238" s="735"/>
      <c r="R238" s="682"/>
      <c r="S238" s="2453">
        <v>2190000</v>
      </c>
      <c r="T238" s="1678" t="s">
        <v>3508</v>
      </c>
      <c r="U238" s="682"/>
      <c r="V238" s="2453">
        <v>10</v>
      </c>
      <c r="W238" s="682" t="s">
        <v>3516</v>
      </c>
      <c r="X238" s="686" t="s">
        <v>1</v>
      </c>
      <c r="Y238" s="1022">
        <f t="shared" si="24"/>
        <v>21900</v>
      </c>
      <c r="Z238" s="2454">
        <f>S238*V238</f>
        <v>21900000</v>
      </c>
      <c r="AA238" s="433">
        <f t="shared" si="15"/>
        <v>21900000000</v>
      </c>
      <c r="AB238" s="480"/>
    </row>
    <row r="239" spans="1:28" ht="22.5" customHeight="1">
      <c r="A239" s="673"/>
      <c r="B239" s="674"/>
      <c r="C239" s="3949" t="s">
        <v>3715</v>
      </c>
      <c r="D239" s="3949"/>
      <c r="E239" s="3949"/>
      <c r="F239" s="2550">
        <f>+F240</f>
        <v>50000</v>
      </c>
      <c r="G239" s="2550">
        <f>+G240</f>
        <v>50000</v>
      </c>
      <c r="H239" s="1421">
        <f t="shared" ref="H239:H244" si="27">F239-G239</f>
        <v>0</v>
      </c>
      <c r="I239" s="2060"/>
      <c r="J239" s="1989"/>
      <c r="K239" s="2094"/>
      <c r="L239" s="2094"/>
      <c r="M239" s="2094"/>
      <c r="N239" s="2094"/>
      <c r="O239" s="2094"/>
      <c r="P239" s="1075"/>
      <c r="Q239" s="1119"/>
      <c r="R239" s="2469"/>
      <c r="S239" s="2468"/>
      <c r="T239" s="2469"/>
      <c r="U239" s="1536"/>
      <c r="V239" s="2468"/>
      <c r="W239" s="1536"/>
      <c r="X239" s="1536"/>
      <c r="Y239" s="2551"/>
      <c r="Z239" s="2552"/>
      <c r="AA239" s="433">
        <f t="shared" si="15"/>
        <v>50000000000</v>
      </c>
    </row>
    <row r="240" spans="1:28" s="440" customFormat="1" ht="22.5" customHeight="1">
      <c r="A240" s="673"/>
      <c r="B240" s="674"/>
      <c r="C240" s="2553"/>
      <c r="D240" s="3947" t="s">
        <v>3715</v>
      </c>
      <c r="E240" s="3948"/>
      <c r="F240" s="1507">
        <f>SUM(F241:F243)</f>
        <v>50000</v>
      </c>
      <c r="G240" s="1507">
        <f>SUM(G241:G243)</f>
        <v>50000</v>
      </c>
      <c r="H240" s="1421">
        <f t="shared" si="27"/>
        <v>0</v>
      </c>
      <c r="I240" s="2060"/>
      <c r="J240" s="1989"/>
      <c r="K240" s="2094"/>
      <c r="L240" s="2094"/>
      <c r="M240" s="2094"/>
      <c r="N240" s="2094"/>
      <c r="O240" s="2094"/>
      <c r="P240" s="1075"/>
      <c r="Q240" s="2468"/>
      <c r="R240" s="2469"/>
      <c r="S240" s="2468"/>
      <c r="T240" s="2469"/>
      <c r="U240" s="1259"/>
      <c r="V240" s="2468"/>
      <c r="W240" s="1536"/>
      <c r="X240" s="1422"/>
      <c r="Y240" s="2470"/>
      <c r="Z240" s="2471"/>
      <c r="AA240" s="433">
        <f t="shared" si="15"/>
        <v>50000000000</v>
      </c>
      <c r="AB240" s="462"/>
    </row>
    <row r="241" spans="1:28" s="438" customFormat="1" ht="22.5" customHeight="1">
      <c r="A241" s="673"/>
      <c r="B241" s="674"/>
      <c r="C241" s="2553"/>
      <c r="D241" s="2554"/>
      <c r="E241" s="2457" t="s">
        <v>3709</v>
      </c>
      <c r="F241" s="1131">
        <f>Y241</f>
        <v>2070</v>
      </c>
      <c r="G241" s="2466">
        <v>2070</v>
      </c>
      <c r="H241" s="680"/>
      <c r="I241" s="2060"/>
      <c r="J241" s="2225" t="s">
        <v>3716</v>
      </c>
      <c r="K241" s="3950" t="s">
        <v>3717</v>
      </c>
      <c r="L241" s="3950"/>
      <c r="M241" s="3950"/>
      <c r="N241" s="3950"/>
      <c r="O241" s="3950"/>
      <c r="P241" s="1194"/>
      <c r="Q241" s="1193">
        <v>3</v>
      </c>
      <c r="R241" s="2559" t="s">
        <v>3588</v>
      </c>
      <c r="S241" s="2560">
        <v>115000</v>
      </c>
      <c r="T241" s="2516" t="s">
        <v>3508</v>
      </c>
      <c r="U241" s="2226"/>
      <c r="V241" s="2560">
        <v>6</v>
      </c>
      <c r="W241" s="2226" t="s">
        <v>3516</v>
      </c>
      <c r="X241" s="2228" t="s">
        <v>1</v>
      </c>
      <c r="Y241" s="1024">
        <f>(Q241*S241*V241)/1000</f>
        <v>2070</v>
      </c>
      <c r="Z241" s="736">
        <f>S241*V241</f>
        <v>690000</v>
      </c>
      <c r="AA241" s="433">
        <f t="shared" si="15"/>
        <v>2070000000</v>
      </c>
      <c r="AB241" s="449"/>
    </row>
    <row r="242" spans="1:28" s="438" customFormat="1" ht="22.5" customHeight="1">
      <c r="A242" s="673"/>
      <c r="B242" s="674"/>
      <c r="C242" s="2553"/>
      <c r="D242" s="2554"/>
      <c r="E242" s="2458" t="s">
        <v>3601</v>
      </c>
      <c r="F242" s="1131">
        <f>Y242</f>
        <v>9998</v>
      </c>
      <c r="G242" s="2466">
        <v>9998</v>
      </c>
      <c r="H242" s="680"/>
      <c r="I242" s="2060"/>
      <c r="J242" s="681" t="s">
        <v>3718</v>
      </c>
      <c r="K242" s="3946" t="s">
        <v>3719</v>
      </c>
      <c r="L242" s="3946"/>
      <c r="M242" s="3946"/>
      <c r="N242" s="3946"/>
      <c r="O242" s="709"/>
      <c r="P242" s="736"/>
      <c r="Q242" s="2453">
        <v>1</v>
      </c>
      <c r="R242" s="2472" t="s">
        <v>3542</v>
      </c>
      <c r="S242" s="2453">
        <v>9998000</v>
      </c>
      <c r="T242" s="1678" t="s">
        <v>56</v>
      </c>
      <c r="U242" s="683"/>
      <c r="V242" s="2453">
        <v>1</v>
      </c>
      <c r="W242" s="682" t="s">
        <v>3720</v>
      </c>
      <c r="X242" s="686" t="s">
        <v>1</v>
      </c>
      <c r="Y242" s="1022">
        <f>(Z242)/1000</f>
        <v>9998</v>
      </c>
      <c r="Z242" s="736">
        <f>Q242*S242*V242</f>
        <v>9998000</v>
      </c>
      <c r="AA242" s="433">
        <f t="shared" si="15"/>
        <v>9998000000</v>
      </c>
      <c r="AB242" s="449"/>
    </row>
    <row r="243" spans="1:28" s="438" customFormat="1" ht="22.5" customHeight="1" thickBot="1">
      <c r="A243" s="673"/>
      <c r="B243" s="674"/>
      <c r="C243" s="948"/>
      <c r="D243" s="2464"/>
      <c r="E243" s="675" t="s">
        <v>3689</v>
      </c>
      <c r="F243" s="1131">
        <f>Y243</f>
        <v>37932</v>
      </c>
      <c r="G243" s="2475">
        <v>37932</v>
      </c>
      <c r="H243" s="680"/>
      <c r="I243" s="2060"/>
      <c r="J243" s="1268" t="s">
        <v>3721</v>
      </c>
      <c r="K243" s="3951" t="s">
        <v>3722</v>
      </c>
      <c r="L243" s="3951"/>
      <c r="M243" s="3951"/>
      <c r="N243" s="3951"/>
      <c r="O243" s="3951"/>
      <c r="P243" s="1217"/>
      <c r="Q243" s="2561">
        <v>1</v>
      </c>
      <c r="R243" s="2562" t="s">
        <v>3696</v>
      </c>
      <c r="S243" s="2561">
        <v>6322000</v>
      </c>
      <c r="T243" s="2486" t="s">
        <v>56</v>
      </c>
      <c r="U243" s="1271"/>
      <c r="V243" s="2561">
        <v>6</v>
      </c>
      <c r="W243" s="1269" t="s">
        <v>3516</v>
      </c>
      <c r="X243" s="1272" t="s">
        <v>1</v>
      </c>
      <c r="Y243" s="2563">
        <f>(Z243)/1000</f>
        <v>37932</v>
      </c>
      <c r="Z243" s="736">
        <f>Q243*S243*V243</f>
        <v>37932000</v>
      </c>
      <c r="AA243" s="433">
        <f t="shared" si="15"/>
        <v>37932000000</v>
      </c>
      <c r="AB243" s="449"/>
    </row>
    <row r="244" spans="1:28" s="438" customFormat="1" ht="22.5" customHeight="1" thickBot="1">
      <c r="A244" s="916"/>
      <c r="B244" s="2564" t="s">
        <v>3723</v>
      </c>
      <c r="C244" s="2100"/>
      <c r="D244" s="2100"/>
      <c r="E244" s="2565"/>
      <c r="F244" s="1499">
        <f>+F245</f>
        <v>33000</v>
      </c>
      <c r="G244" s="1499">
        <f>+G245</f>
        <v>33000</v>
      </c>
      <c r="H244" s="1392">
        <f t="shared" si="27"/>
        <v>0</v>
      </c>
      <c r="I244" s="2060"/>
      <c r="J244" s="2566"/>
      <c r="K244" s="2567"/>
      <c r="L244" s="2567"/>
      <c r="M244" s="2567"/>
      <c r="N244" s="2567"/>
      <c r="O244" s="2567"/>
      <c r="P244" s="1271"/>
      <c r="Q244" s="1271"/>
      <c r="R244" s="2532"/>
      <c r="S244" s="1216"/>
      <c r="T244" s="2486"/>
      <c r="U244" s="1271"/>
      <c r="V244" s="1217"/>
      <c r="W244" s="1023"/>
      <c r="X244" s="2533"/>
      <c r="Y244" s="2568"/>
      <c r="Z244" s="736"/>
      <c r="AA244" s="433">
        <f t="shared" si="15"/>
        <v>33000000000</v>
      </c>
      <c r="AB244" s="449"/>
    </row>
    <row r="245" spans="1:28" s="438" customFormat="1" ht="22.5" customHeight="1">
      <c r="A245" s="916"/>
      <c r="B245" s="2569"/>
      <c r="C245" s="3879" t="s">
        <v>3724</v>
      </c>
      <c r="D245" s="3954"/>
      <c r="E245" s="3880"/>
      <c r="F245" s="2570">
        <f>+F246+F257+F285</f>
        <v>33000</v>
      </c>
      <c r="G245" s="2570">
        <f>+G246+G257+G285</f>
        <v>33000</v>
      </c>
      <c r="H245" s="1000">
        <f>+F245-G245</f>
        <v>0</v>
      </c>
      <c r="I245" s="2060"/>
      <c r="J245" s="1202"/>
      <c r="K245" s="2043"/>
      <c r="L245" s="2043"/>
      <c r="M245" s="2043"/>
      <c r="N245" s="1093"/>
      <c r="O245" s="1093"/>
      <c r="P245" s="1093"/>
      <c r="Q245" s="2045"/>
      <c r="R245" s="2043"/>
      <c r="S245" s="1110"/>
      <c r="T245" s="2043"/>
      <c r="U245" s="2043"/>
      <c r="V245" s="2043"/>
      <c r="W245" s="2043"/>
      <c r="X245" s="2043"/>
      <c r="Y245" s="1113"/>
      <c r="Z245" s="2571"/>
      <c r="AA245" s="433">
        <f t="shared" si="15"/>
        <v>33000000000</v>
      </c>
      <c r="AB245" s="449"/>
    </row>
    <row r="246" spans="1:28" s="438" customFormat="1" ht="22.5" customHeight="1">
      <c r="A246" s="673"/>
      <c r="B246" s="674"/>
      <c r="C246" s="851"/>
      <c r="D246" s="3863" t="s">
        <v>3725</v>
      </c>
      <c r="E246" s="3864"/>
      <c r="F246" s="1730">
        <f>SUM(F247:F256)</f>
        <v>30000</v>
      </c>
      <c r="G246" s="1730">
        <f>SUM(G247:G256)</f>
        <v>30000</v>
      </c>
      <c r="H246" s="1059">
        <f>+F246-G246</f>
        <v>0</v>
      </c>
      <c r="I246" s="2060"/>
      <c r="J246" s="1989"/>
      <c r="K246" s="1536"/>
      <c r="L246" s="1536"/>
      <c r="M246" s="1536"/>
      <c r="N246" s="2094"/>
      <c r="O246" s="2094"/>
      <c r="P246" s="2094"/>
      <c r="Q246" s="1084"/>
      <c r="R246" s="1536"/>
      <c r="S246" s="1102"/>
      <c r="T246" s="1536"/>
      <c r="U246" s="1536"/>
      <c r="V246" s="1536"/>
      <c r="W246" s="1536"/>
      <c r="X246" s="1536"/>
      <c r="Y246" s="1104"/>
      <c r="Z246" s="915"/>
      <c r="AA246" s="433">
        <f t="shared" si="15"/>
        <v>30000000000</v>
      </c>
      <c r="AB246" s="449"/>
    </row>
    <row r="247" spans="1:28" s="438" customFormat="1" ht="22.5" hidden="1" customHeight="1">
      <c r="A247" s="673"/>
      <c r="B247" s="674"/>
      <c r="C247" s="851"/>
      <c r="D247" s="676"/>
      <c r="E247" s="2572" t="s">
        <v>3726</v>
      </c>
      <c r="F247" s="1921">
        <f>Y247</f>
        <v>27300</v>
      </c>
      <c r="G247" s="1921">
        <v>27300</v>
      </c>
      <c r="H247" s="1004"/>
      <c r="I247" s="2060"/>
      <c r="J247" s="1016" t="s">
        <v>3519</v>
      </c>
      <c r="K247" s="682"/>
      <c r="L247" s="682"/>
      <c r="M247" s="682"/>
      <c r="N247" s="709"/>
      <c r="O247" s="709"/>
      <c r="P247" s="915"/>
      <c r="Q247" s="684"/>
      <c r="R247" s="682"/>
      <c r="S247" s="2504"/>
      <c r="T247" s="682"/>
      <c r="U247" s="682"/>
      <c r="V247" s="682"/>
      <c r="W247" s="682"/>
      <c r="X247" s="682"/>
      <c r="Y247" s="2573">
        <f>SUM(Y248,Y250,Y252)</f>
        <v>27300</v>
      </c>
      <c r="Z247" s="915">
        <f t="shared" ref="Z247:Z251" si="28">Y247*1000</f>
        <v>27300000</v>
      </c>
      <c r="AA247" s="433">
        <f t="shared" si="15"/>
        <v>27300000000</v>
      </c>
      <c r="AB247" s="449"/>
    </row>
    <row r="248" spans="1:28" s="438" customFormat="1" ht="22.5" hidden="1" customHeight="1">
      <c r="A248" s="673"/>
      <c r="B248" s="674"/>
      <c r="C248" s="851"/>
      <c r="D248" s="676"/>
      <c r="E248" s="2449"/>
      <c r="F248" s="989"/>
      <c r="G248" s="989"/>
      <c r="H248" s="1021"/>
      <c r="I248" s="2060"/>
      <c r="J248" s="3952" t="s">
        <v>3727</v>
      </c>
      <c r="K248" s="3953"/>
      <c r="L248" s="3953"/>
      <c r="M248" s="3953"/>
      <c r="N248" s="709"/>
      <c r="O248" s="709"/>
      <c r="P248" s="915"/>
      <c r="Q248" s="684"/>
      <c r="R248" s="685"/>
      <c r="S248" s="2504" t="s">
        <v>3577</v>
      </c>
      <c r="T248" s="684" t="s">
        <v>3577</v>
      </c>
      <c r="U248" s="684" t="s">
        <v>3577</v>
      </c>
      <c r="V248" s="684" t="s">
        <v>3577</v>
      </c>
      <c r="W248" s="684" t="s">
        <v>3577</v>
      </c>
      <c r="X248" s="684" t="s">
        <v>3577</v>
      </c>
      <c r="Y248" s="2573">
        <f>SUM(Y249:Y249)</f>
        <v>24000</v>
      </c>
      <c r="Z248" s="915">
        <f t="shared" si="28"/>
        <v>24000000</v>
      </c>
      <c r="AA248" s="433">
        <f t="shared" si="15"/>
        <v>0</v>
      </c>
      <c r="AB248" s="449"/>
    </row>
    <row r="249" spans="1:28" s="438" customFormat="1" ht="22.5" hidden="1" customHeight="1">
      <c r="A249" s="673"/>
      <c r="B249" s="674"/>
      <c r="C249" s="851"/>
      <c r="D249" s="676"/>
      <c r="E249" s="2449"/>
      <c r="F249" s="989"/>
      <c r="G249" s="989"/>
      <c r="H249" s="1021"/>
      <c r="I249" s="2060"/>
      <c r="J249" s="681"/>
      <c r="K249" s="2472" t="s">
        <v>3728</v>
      </c>
      <c r="L249" s="682"/>
      <c r="M249" s="682"/>
      <c r="N249" s="709"/>
      <c r="O249" s="709"/>
      <c r="P249" s="915"/>
      <c r="Q249" s="684">
        <v>6</v>
      </c>
      <c r="R249" s="685" t="s">
        <v>3555</v>
      </c>
      <c r="S249" s="2502">
        <v>4000000</v>
      </c>
      <c r="T249" s="684" t="s">
        <v>3551</v>
      </c>
      <c r="U249" s="684"/>
      <c r="V249" s="684">
        <v>1</v>
      </c>
      <c r="W249" s="684" t="s">
        <v>3525</v>
      </c>
      <c r="X249" s="684" t="s">
        <v>3510</v>
      </c>
      <c r="Y249" s="2573">
        <f>INT((Q249*S249*V249)/1000)</f>
        <v>24000</v>
      </c>
      <c r="Z249" s="915">
        <f t="shared" si="28"/>
        <v>24000000</v>
      </c>
      <c r="AA249" s="433">
        <f t="shared" si="15"/>
        <v>0</v>
      </c>
      <c r="AB249" s="449"/>
    </row>
    <row r="250" spans="1:28" s="438" customFormat="1" ht="22.5" hidden="1" customHeight="1">
      <c r="A250" s="673"/>
      <c r="B250" s="674"/>
      <c r="C250" s="851"/>
      <c r="D250" s="676"/>
      <c r="E250" s="2449"/>
      <c r="F250" s="989"/>
      <c r="G250" s="989"/>
      <c r="H250" s="1021"/>
      <c r="I250" s="2060"/>
      <c r="J250" s="2501" t="s">
        <v>3729</v>
      </c>
      <c r="K250" s="685"/>
      <c r="L250" s="685"/>
      <c r="M250" s="685"/>
      <c r="N250" s="685"/>
      <c r="O250" s="685"/>
      <c r="P250" s="685"/>
      <c r="Q250" s="685"/>
      <c r="R250" s="685"/>
      <c r="S250" s="2504"/>
      <c r="T250" s="684"/>
      <c r="U250" s="684"/>
      <c r="V250" s="684"/>
      <c r="W250" s="684"/>
      <c r="X250" s="684"/>
      <c r="Y250" s="2573">
        <f>SUM(Y251:Y251)</f>
        <v>2700</v>
      </c>
      <c r="Z250" s="915">
        <f t="shared" si="28"/>
        <v>2700000</v>
      </c>
      <c r="AA250" s="433">
        <f t="shared" si="15"/>
        <v>0</v>
      </c>
      <c r="AB250" s="449"/>
    </row>
    <row r="251" spans="1:28" ht="22.5" hidden="1" customHeight="1">
      <c r="A251" s="673"/>
      <c r="B251" s="674"/>
      <c r="C251" s="851"/>
      <c r="D251" s="676"/>
      <c r="E251" s="2449"/>
      <c r="F251" s="989"/>
      <c r="G251" s="989"/>
      <c r="H251" s="1021"/>
      <c r="I251" s="2060"/>
      <c r="J251" s="681"/>
      <c r="K251" s="682" t="s">
        <v>3728</v>
      </c>
      <c r="L251" s="682"/>
      <c r="M251" s="682"/>
      <c r="N251" s="709"/>
      <c r="O251" s="709"/>
      <c r="P251" s="915"/>
      <c r="Q251" s="684">
        <v>6</v>
      </c>
      <c r="R251" s="685" t="s">
        <v>3555</v>
      </c>
      <c r="S251" s="2504">
        <v>450000</v>
      </c>
      <c r="T251" s="684" t="s">
        <v>3551</v>
      </c>
      <c r="U251" s="684"/>
      <c r="V251" s="1678">
        <v>1</v>
      </c>
      <c r="W251" s="684" t="s">
        <v>3525</v>
      </c>
      <c r="X251" s="684" t="s">
        <v>3510</v>
      </c>
      <c r="Y251" s="2573">
        <f>INT((Q251*S251*V251)/1000)</f>
        <v>2700</v>
      </c>
      <c r="Z251" s="915">
        <f t="shared" si="28"/>
        <v>2700000</v>
      </c>
      <c r="AA251" s="433">
        <f t="shared" si="15"/>
        <v>0</v>
      </c>
    </row>
    <row r="252" spans="1:28" s="440" customFormat="1" ht="22.5" hidden="1" customHeight="1">
      <c r="A252" s="673"/>
      <c r="B252" s="674"/>
      <c r="C252" s="851"/>
      <c r="D252" s="676"/>
      <c r="E252" s="2449"/>
      <c r="F252" s="989"/>
      <c r="G252" s="989"/>
      <c r="H252" s="1021"/>
      <c r="I252" s="2060"/>
      <c r="J252" s="681" t="s">
        <v>3730</v>
      </c>
      <c r="K252" s="684"/>
      <c r="L252" s="684"/>
      <c r="M252" s="682"/>
      <c r="N252" s="709"/>
      <c r="O252" s="709"/>
      <c r="P252" s="709"/>
      <c r="Q252" s="684">
        <v>2</v>
      </c>
      <c r="R252" s="685" t="s">
        <v>3555</v>
      </c>
      <c r="S252" s="2504">
        <v>300000</v>
      </c>
      <c r="T252" s="684" t="s">
        <v>3551</v>
      </c>
      <c r="U252" s="684"/>
      <c r="V252" s="684">
        <v>1</v>
      </c>
      <c r="W252" s="684" t="s">
        <v>3525</v>
      </c>
      <c r="X252" s="684" t="s">
        <v>3510</v>
      </c>
      <c r="Y252" s="2573">
        <f>INT((Q252*S252*V252)/1000)</f>
        <v>600</v>
      </c>
      <c r="Z252" s="915"/>
      <c r="AA252" s="433">
        <f t="shared" si="15"/>
        <v>0</v>
      </c>
      <c r="AB252" s="462"/>
    </row>
    <row r="253" spans="1:28" s="440" customFormat="1" ht="22.5" hidden="1" customHeight="1">
      <c r="A253" s="673"/>
      <c r="B253" s="674"/>
      <c r="C253" s="851"/>
      <c r="D253" s="676"/>
      <c r="E253" s="2574" t="s">
        <v>3731</v>
      </c>
      <c r="F253" s="1730">
        <f>Y253</f>
        <v>0</v>
      </c>
      <c r="G253" s="1730">
        <v>0</v>
      </c>
      <c r="H253" s="1059"/>
      <c r="I253" s="2060"/>
      <c r="J253" s="1209" t="s">
        <v>3732</v>
      </c>
      <c r="K253" s="1536"/>
      <c r="L253" s="1536"/>
      <c r="M253" s="1536"/>
      <c r="N253" s="2094"/>
      <c r="O253" s="2094"/>
      <c r="P253" s="2094"/>
      <c r="Q253" s="1084"/>
      <c r="R253" s="1537"/>
      <c r="S253" s="1102"/>
      <c r="T253" s="1084"/>
      <c r="U253" s="1084"/>
      <c r="V253" s="1084"/>
      <c r="W253" s="2575"/>
      <c r="X253" s="1084" t="s">
        <v>3517</v>
      </c>
      <c r="Y253" s="2576">
        <v>0</v>
      </c>
      <c r="Z253" s="915">
        <f>Y253*1000</f>
        <v>0</v>
      </c>
      <c r="AA253" s="433">
        <f t="shared" si="15"/>
        <v>0</v>
      </c>
      <c r="AB253" s="462"/>
    </row>
    <row r="254" spans="1:28" s="440" customFormat="1" ht="22.5" hidden="1" customHeight="1">
      <c r="A254" s="673"/>
      <c r="B254" s="674"/>
      <c r="C254" s="851"/>
      <c r="D254" s="676"/>
      <c r="E254" s="2449" t="s">
        <v>3733</v>
      </c>
      <c r="F254" s="989">
        <f>Y254</f>
        <v>2700</v>
      </c>
      <c r="G254" s="989">
        <v>2700</v>
      </c>
      <c r="H254" s="1021"/>
      <c r="I254" s="2060"/>
      <c r="J254" s="2501" t="s">
        <v>3519</v>
      </c>
      <c r="K254" s="682"/>
      <c r="L254" s="682"/>
      <c r="M254" s="682"/>
      <c r="N254" s="709"/>
      <c r="O254" s="709"/>
      <c r="P254" s="709"/>
      <c r="Q254" s="1038"/>
      <c r="R254" s="917"/>
      <c r="S254" s="2504"/>
      <c r="T254" s="684"/>
      <c r="U254" s="709"/>
      <c r="V254" s="684"/>
      <c r="W254" s="684"/>
      <c r="X254" s="684"/>
      <c r="Y254" s="2573">
        <f>+Y255+Y256</f>
        <v>2700</v>
      </c>
      <c r="Z254" s="915">
        <f>Y254*1000</f>
        <v>2700000</v>
      </c>
      <c r="AA254" s="433">
        <f t="shared" si="15"/>
        <v>2700000000</v>
      </c>
      <c r="AB254" s="462"/>
    </row>
    <row r="255" spans="1:28" s="440" customFormat="1" ht="22.5" hidden="1" customHeight="1">
      <c r="A255" s="673"/>
      <c r="B255" s="674"/>
      <c r="C255" s="851"/>
      <c r="D255" s="676"/>
      <c r="E255" s="2449"/>
      <c r="F255" s="989"/>
      <c r="G255" s="989"/>
      <c r="H255" s="1021"/>
      <c r="I255" s="2060"/>
      <c r="J255" s="2501" t="s">
        <v>3734</v>
      </c>
      <c r="K255" s="682"/>
      <c r="L255" s="682"/>
      <c r="M255" s="682"/>
      <c r="N255" s="709"/>
      <c r="O255" s="709"/>
      <c r="P255" s="709"/>
      <c r="Q255" s="1038"/>
      <c r="R255" s="917"/>
      <c r="S255" s="2504">
        <f>+(Y249+Y251)*1000</f>
        <v>26700000</v>
      </c>
      <c r="T255" s="684" t="s">
        <v>0</v>
      </c>
      <c r="U255" s="709"/>
      <c r="V255" s="1262">
        <v>0.1</v>
      </c>
      <c r="W255" s="684"/>
      <c r="X255" s="684" t="s">
        <v>1</v>
      </c>
      <c r="Y255" s="2573">
        <f>INT((S255*V255)/1000)</f>
        <v>2670</v>
      </c>
      <c r="Z255" s="915">
        <f>Y255*1000</f>
        <v>2670000</v>
      </c>
      <c r="AA255" s="433">
        <f t="shared" si="15"/>
        <v>0</v>
      </c>
      <c r="AB255" s="462"/>
    </row>
    <row r="256" spans="1:28" s="440" customFormat="1" ht="22.5" hidden="1" customHeight="1">
      <c r="A256" s="2489"/>
      <c r="B256" s="2117"/>
      <c r="C256" s="675"/>
      <c r="D256" s="675"/>
      <c r="E256" s="675"/>
      <c r="F256" s="1261"/>
      <c r="G256" s="1261"/>
      <c r="H256" s="1239"/>
      <c r="I256" s="2060"/>
      <c r="J256" s="2510" t="s">
        <v>3735</v>
      </c>
      <c r="K256" s="2043"/>
      <c r="L256" s="2043"/>
      <c r="M256" s="2043"/>
      <c r="N256" s="1093"/>
      <c r="O256" s="1093"/>
      <c r="P256" s="1093"/>
      <c r="Q256" s="2511"/>
      <c r="R256" s="2114"/>
      <c r="S256" s="2512">
        <v>30000</v>
      </c>
      <c r="T256" s="2045" t="s">
        <v>0</v>
      </c>
      <c r="U256" s="1093"/>
      <c r="V256" s="2045">
        <v>1</v>
      </c>
      <c r="W256" s="2045" t="s">
        <v>28</v>
      </c>
      <c r="X256" s="2047" t="s">
        <v>1</v>
      </c>
      <c r="Y256" s="2513">
        <f t="shared" ref="Y256" si="29">Z256/1000</f>
        <v>30</v>
      </c>
      <c r="Z256" s="684">
        <f>ROUNDUP(S256*V256,-3)</f>
        <v>30000</v>
      </c>
      <c r="AA256" s="433">
        <f t="shared" si="15"/>
        <v>0</v>
      </c>
      <c r="AB256" s="462"/>
    </row>
    <row r="257" spans="1:28" s="440" customFormat="1" ht="22.5" customHeight="1">
      <c r="A257" s="673"/>
      <c r="B257" s="674"/>
      <c r="C257" s="851"/>
      <c r="D257" s="3863" t="s">
        <v>3736</v>
      </c>
      <c r="E257" s="3864"/>
      <c r="F257" s="1730">
        <f>SUM(F258:F284)</f>
        <v>3000</v>
      </c>
      <c r="G257" s="1730">
        <f>SUM(G258:G284)</f>
        <v>3000</v>
      </c>
      <c r="H257" s="1059">
        <f>+F257-G257</f>
        <v>0</v>
      </c>
      <c r="I257" s="2060"/>
      <c r="J257" s="2577"/>
      <c r="K257" s="1536"/>
      <c r="L257" s="1536"/>
      <c r="M257" s="1536"/>
      <c r="N257" s="2094"/>
      <c r="O257" s="2094"/>
      <c r="P257" s="2094"/>
      <c r="Q257" s="2230"/>
      <c r="R257" s="2110"/>
      <c r="S257" s="1103"/>
      <c r="T257" s="1084"/>
      <c r="U257" s="2094"/>
      <c r="V257" s="1084"/>
      <c r="W257" s="1084"/>
      <c r="X257" s="1084"/>
      <c r="Y257" s="965"/>
      <c r="Z257" s="2571"/>
      <c r="AA257" s="433">
        <f t="shared" si="15"/>
        <v>3000000000</v>
      </c>
      <c r="AB257" s="462"/>
    </row>
    <row r="258" spans="1:28" s="440" customFormat="1" ht="22.5" hidden="1" customHeight="1">
      <c r="A258" s="2167"/>
      <c r="B258" s="850"/>
      <c r="C258" s="968"/>
      <c r="D258" s="851"/>
      <c r="E258" s="1003" t="s">
        <v>3737</v>
      </c>
      <c r="F258" s="2174">
        <f>+Y258</f>
        <v>0</v>
      </c>
      <c r="G258" s="2174">
        <v>0</v>
      </c>
      <c r="H258" s="984"/>
      <c r="I258" s="2060"/>
      <c r="J258" s="1209" t="s">
        <v>3738</v>
      </c>
      <c r="K258" s="1009"/>
      <c r="L258" s="1009"/>
      <c r="M258" s="1009"/>
      <c r="N258" s="1010"/>
      <c r="O258" s="1010"/>
      <c r="P258" s="1009"/>
      <c r="Q258" s="2175"/>
      <c r="R258" s="1009"/>
      <c r="S258" s="1009"/>
      <c r="T258" s="1009"/>
      <c r="U258" s="1009"/>
      <c r="V258" s="1009"/>
      <c r="W258" s="1009"/>
      <c r="X258" s="1009"/>
      <c r="Y258" s="2576">
        <v>0</v>
      </c>
      <c r="Z258" s="2571"/>
      <c r="AA258" s="433">
        <f t="shared" si="15"/>
        <v>0</v>
      </c>
      <c r="AB258" s="462"/>
    </row>
    <row r="259" spans="1:28" s="440" customFormat="1" ht="22.5" hidden="1" customHeight="1">
      <c r="A259" s="2167"/>
      <c r="B259" s="850"/>
      <c r="C259" s="968"/>
      <c r="D259" s="851"/>
      <c r="E259" s="1003" t="s">
        <v>54</v>
      </c>
      <c r="F259" s="2174">
        <f>Y259</f>
        <v>0</v>
      </c>
      <c r="G259" s="2174">
        <v>0</v>
      </c>
      <c r="H259" s="854"/>
      <c r="I259" s="2060"/>
      <c r="J259" s="1209" t="s">
        <v>3738</v>
      </c>
      <c r="K259" s="1009"/>
      <c r="L259" s="1009"/>
      <c r="M259" s="1009"/>
      <c r="N259" s="1010"/>
      <c r="O259" s="1010"/>
      <c r="P259" s="1009"/>
      <c r="Q259" s="2175"/>
      <c r="R259" s="1009"/>
      <c r="S259" s="1009"/>
      <c r="T259" s="1009"/>
      <c r="U259" s="1009"/>
      <c r="V259" s="1009"/>
      <c r="W259" s="1009"/>
      <c r="X259" s="1009"/>
      <c r="Y259" s="2576">
        <v>0</v>
      </c>
      <c r="Z259" s="2571"/>
      <c r="AA259" s="433">
        <f t="shared" si="15"/>
        <v>0</v>
      </c>
      <c r="AB259" s="462"/>
    </row>
    <row r="260" spans="1:28" s="440" customFormat="1" ht="22.5" hidden="1" customHeight="1">
      <c r="A260" s="673"/>
      <c r="B260" s="674"/>
      <c r="C260" s="851"/>
      <c r="D260" s="676"/>
      <c r="E260" s="2574" t="s">
        <v>3514</v>
      </c>
      <c r="F260" s="1730">
        <f>Y260</f>
        <v>0</v>
      </c>
      <c r="G260" s="1730">
        <v>0</v>
      </c>
      <c r="H260" s="854"/>
      <c r="I260" s="2060"/>
      <c r="J260" s="1209" t="s">
        <v>3738</v>
      </c>
      <c r="K260" s="1009"/>
      <c r="L260" s="1009"/>
      <c r="M260" s="1009"/>
      <c r="N260" s="1010"/>
      <c r="O260" s="1010"/>
      <c r="P260" s="1009"/>
      <c r="Q260" s="2175"/>
      <c r="R260" s="1009"/>
      <c r="S260" s="1009"/>
      <c r="T260" s="1009"/>
      <c r="U260" s="1009"/>
      <c r="V260" s="1009"/>
      <c r="W260" s="1009"/>
      <c r="X260" s="1009"/>
      <c r="Y260" s="2576">
        <v>0</v>
      </c>
      <c r="Z260" s="2571"/>
      <c r="AA260" s="433">
        <f t="shared" si="15"/>
        <v>0</v>
      </c>
      <c r="AB260" s="462"/>
    </row>
    <row r="261" spans="1:28" s="440" customFormat="1" ht="22.5" hidden="1" customHeight="1">
      <c r="A261" s="673"/>
      <c r="B261" s="674"/>
      <c r="C261" s="851"/>
      <c r="D261" s="676"/>
      <c r="E261" s="2574" t="s">
        <v>3518</v>
      </c>
      <c r="F261" s="1730">
        <f>Y261</f>
        <v>0</v>
      </c>
      <c r="G261" s="1730">
        <v>0</v>
      </c>
      <c r="H261" s="854"/>
      <c r="I261" s="2060"/>
      <c r="J261" s="1209" t="s">
        <v>3738</v>
      </c>
      <c r="K261" s="1009"/>
      <c r="L261" s="1009"/>
      <c r="M261" s="1009"/>
      <c r="N261" s="1010"/>
      <c r="O261" s="1010"/>
      <c r="P261" s="1009"/>
      <c r="Q261" s="2175"/>
      <c r="R261" s="1009"/>
      <c r="S261" s="1009"/>
      <c r="T261" s="1009"/>
      <c r="U261" s="1009"/>
      <c r="V261" s="1009"/>
      <c r="W261" s="1009"/>
      <c r="X261" s="1009"/>
      <c r="Y261" s="2576">
        <v>0</v>
      </c>
      <c r="Z261" s="2571"/>
      <c r="AA261" s="433">
        <f t="shared" si="15"/>
        <v>0</v>
      </c>
      <c r="AB261" s="462"/>
    </row>
    <row r="262" spans="1:28" s="440" customFormat="1" ht="22.5" hidden="1" customHeight="1">
      <c r="A262" s="673"/>
      <c r="B262" s="674"/>
      <c r="C262" s="851"/>
      <c r="D262" s="676"/>
      <c r="E262" s="2572" t="s">
        <v>3526</v>
      </c>
      <c r="F262" s="1921">
        <f>Y262</f>
        <v>300</v>
      </c>
      <c r="G262" s="1921">
        <v>300</v>
      </c>
      <c r="H262" s="854"/>
      <c r="I262" s="2060"/>
      <c r="J262" s="2578" t="s">
        <v>3519</v>
      </c>
      <c r="K262" s="2226"/>
      <c r="L262" s="2226"/>
      <c r="M262" s="2226"/>
      <c r="N262" s="1035"/>
      <c r="O262" s="1035"/>
      <c r="P262" s="1035"/>
      <c r="Q262" s="2579"/>
      <c r="R262" s="2529"/>
      <c r="S262" s="2580"/>
      <c r="T262" s="1037"/>
      <c r="U262" s="1035"/>
      <c r="V262" s="1037"/>
      <c r="W262" s="1037"/>
      <c r="X262" s="1037"/>
      <c r="Y262" s="2581">
        <f>SUM(Y263:Y264)</f>
        <v>300</v>
      </c>
      <c r="Z262" s="2571"/>
      <c r="AA262" s="433">
        <f t="shared" ref="AA262:AA286" si="30">F262*1000000</f>
        <v>300000000</v>
      </c>
      <c r="AB262" s="462"/>
    </row>
    <row r="263" spans="1:28" s="440" customFormat="1" ht="22.5" hidden="1" customHeight="1">
      <c r="A263" s="673"/>
      <c r="B263" s="674"/>
      <c r="C263" s="851"/>
      <c r="D263" s="676"/>
      <c r="E263" s="2449"/>
      <c r="F263" s="989"/>
      <c r="G263" s="989"/>
      <c r="H263" s="1021"/>
      <c r="I263" s="2060"/>
      <c r="J263" s="681"/>
      <c r="K263" s="682"/>
      <c r="L263" s="682"/>
      <c r="M263" s="682"/>
      <c r="N263" s="709"/>
      <c r="O263" s="709"/>
      <c r="P263" s="709"/>
      <c r="Q263" s="1038">
        <v>1</v>
      </c>
      <c r="R263" s="917" t="s">
        <v>3739</v>
      </c>
      <c r="S263" s="2523">
        <v>200000</v>
      </c>
      <c r="T263" s="684" t="s">
        <v>0</v>
      </c>
      <c r="U263" s="709"/>
      <c r="V263" s="1038">
        <v>1</v>
      </c>
      <c r="W263" s="917" t="s">
        <v>3570</v>
      </c>
      <c r="X263" s="684" t="s">
        <v>1</v>
      </c>
      <c r="Y263" s="2573">
        <f>INT((Q263*S263*V263)/1000)</f>
        <v>200</v>
      </c>
      <c r="Z263" s="2571"/>
      <c r="AA263" s="433">
        <f t="shared" si="30"/>
        <v>0</v>
      </c>
      <c r="AB263" s="462"/>
    </row>
    <row r="264" spans="1:28" s="440" customFormat="1" ht="22.5" hidden="1" customHeight="1">
      <c r="A264" s="673"/>
      <c r="B264" s="674"/>
      <c r="C264" s="851"/>
      <c r="D264" s="676"/>
      <c r="E264" s="2582"/>
      <c r="F264" s="2570"/>
      <c r="G264" s="2570"/>
      <c r="H264" s="1000"/>
      <c r="I264" s="2060"/>
      <c r="J264" s="2042"/>
      <c r="K264" s="2043"/>
      <c r="L264" s="2043"/>
      <c r="M264" s="2043"/>
      <c r="N264" s="1093"/>
      <c r="O264" s="1093"/>
      <c r="P264" s="1093"/>
      <c r="Q264" s="2511">
        <v>1</v>
      </c>
      <c r="R264" s="2114" t="s">
        <v>3740</v>
      </c>
      <c r="S264" s="2583">
        <v>100000</v>
      </c>
      <c r="T264" s="684" t="s">
        <v>0</v>
      </c>
      <c r="U264" s="1093"/>
      <c r="V264" s="1038">
        <v>1</v>
      </c>
      <c r="W264" s="917" t="s">
        <v>3570</v>
      </c>
      <c r="X264" s="2045" t="s">
        <v>1</v>
      </c>
      <c r="Y264" s="2573">
        <f>INT((Q264*S264*V264)/1000)</f>
        <v>100</v>
      </c>
      <c r="Z264" s="2571"/>
      <c r="AA264" s="433">
        <f t="shared" si="30"/>
        <v>0</v>
      </c>
      <c r="AB264" s="462"/>
    </row>
    <row r="265" spans="1:28" s="440" customFormat="1" ht="22.5" hidden="1" customHeight="1">
      <c r="A265" s="673"/>
      <c r="B265" s="674"/>
      <c r="C265" s="851"/>
      <c r="D265" s="676"/>
      <c r="E265" s="2572" t="s">
        <v>3530</v>
      </c>
      <c r="F265" s="1921">
        <f>Y265</f>
        <v>0</v>
      </c>
      <c r="G265" s="1921">
        <v>0</v>
      </c>
      <c r="H265" s="854"/>
      <c r="I265" s="2060"/>
      <c r="J265" s="1209" t="s">
        <v>3738</v>
      </c>
      <c r="K265" s="1009"/>
      <c r="L265" s="1009"/>
      <c r="M265" s="1009"/>
      <c r="N265" s="1010"/>
      <c r="O265" s="1010"/>
      <c r="P265" s="1009"/>
      <c r="Q265" s="2175"/>
      <c r="R265" s="1009"/>
      <c r="S265" s="1009"/>
      <c r="T265" s="1009"/>
      <c r="U265" s="1009"/>
      <c r="V265" s="1009"/>
      <c r="W265" s="1009"/>
      <c r="X265" s="1009"/>
      <c r="Y265" s="2576">
        <v>0</v>
      </c>
      <c r="Z265" s="2571"/>
      <c r="AA265" s="433">
        <f t="shared" si="30"/>
        <v>0</v>
      </c>
      <c r="AB265" s="462"/>
    </row>
    <row r="266" spans="1:28" s="440" customFormat="1" ht="22.5" hidden="1" customHeight="1">
      <c r="A266" s="673"/>
      <c r="B266" s="674"/>
      <c r="C266" s="851"/>
      <c r="D266" s="676"/>
      <c r="E266" s="2572" t="s">
        <v>3538</v>
      </c>
      <c r="F266" s="1921">
        <f>Y266</f>
        <v>400</v>
      </c>
      <c r="G266" s="1921">
        <v>400</v>
      </c>
      <c r="H266" s="854"/>
      <c r="I266" s="2060"/>
      <c r="J266" s="2578" t="s">
        <v>3519</v>
      </c>
      <c r="K266" s="2226"/>
      <c r="L266" s="2226"/>
      <c r="M266" s="2226"/>
      <c r="N266" s="1035"/>
      <c r="O266" s="1035"/>
      <c r="P266" s="1035"/>
      <c r="Q266" s="2579"/>
      <c r="R266" s="2529"/>
      <c r="S266" s="2584"/>
      <c r="T266" s="1037"/>
      <c r="U266" s="1035"/>
      <c r="V266" s="1037"/>
      <c r="W266" s="1037"/>
      <c r="X266" s="1037"/>
      <c r="Y266" s="2581">
        <f>SUM(Y267:Y268)</f>
        <v>400</v>
      </c>
      <c r="Z266" s="2571"/>
      <c r="AA266" s="433">
        <f t="shared" si="30"/>
        <v>400000000</v>
      </c>
      <c r="AB266" s="462"/>
    </row>
    <row r="267" spans="1:28" s="440" customFormat="1" ht="22.5" hidden="1" customHeight="1">
      <c r="A267" s="673"/>
      <c r="B267" s="674"/>
      <c r="C267" s="851"/>
      <c r="D267" s="676"/>
      <c r="E267" s="2449"/>
      <c r="F267" s="989"/>
      <c r="G267" s="989"/>
      <c r="H267" s="1021"/>
      <c r="I267" s="2060"/>
      <c r="J267" s="2501" t="s">
        <v>3741</v>
      </c>
      <c r="K267" s="682"/>
      <c r="L267" s="682"/>
      <c r="M267" s="682"/>
      <c r="N267" s="709"/>
      <c r="O267" s="709"/>
      <c r="P267" s="709"/>
      <c r="Q267" s="1038"/>
      <c r="R267" s="917"/>
      <c r="S267" s="2504">
        <v>250000</v>
      </c>
      <c r="T267" s="684" t="s">
        <v>0</v>
      </c>
      <c r="U267" s="709"/>
      <c r="V267" s="684">
        <v>1</v>
      </c>
      <c r="W267" s="684" t="s">
        <v>3570</v>
      </c>
      <c r="X267" s="684" t="s">
        <v>1</v>
      </c>
      <c r="Y267" s="2573">
        <f>INT((S267*V267)/1000)</f>
        <v>250</v>
      </c>
      <c r="Z267" s="2571"/>
      <c r="AA267" s="433">
        <f t="shared" si="30"/>
        <v>0</v>
      </c>
      <c r="AB267" s="462"/>
    </row>
    <row r="268" spans="1:28" s="440" customFormat="1" ht="22.5" hidden="1" customHeight="1">
      <c r="A268" s="673"/>
      <c r="B268" s="674"/>
      <c r="C268" s="851"/>
      <c r="D268" s="676"/>
      <c r="E268" s="2449"/>
      <c r="F268" s="989"/>
      <c r="G268" s="989"/>
      <c r="H268" s="1021"/>
      <c r="I268" s="2060"/>
      <c r="J268" s="2501" t="s">
        <v>3742</v>
      </c>
      <c r="K268" s="709"/>
      <c r="L268" s="709"/>
      <c r="M268" s="709"/>
      <c r="N268" s="709"/>
      <c r="O268" s="709"/>
      <c r="P268" s="709"/>
      <c r="Q268" s="709"/>
      <c r="R268" s="709"/>
      <c r="S268" s="915">
        <v>150000</v>
      </c>
      <c r="T268" s="684" t="s">
        <v>0</v>
      </c>
      <c r="U268" s="709"/>
      <c r="V268" s="709">
        <v>1</v>
      </c>
      <c r="W268" s="709" t="s">
        <v>3</v>
      </c>
      <c r="X268" s="684" t="s">
        <v>1</v>
      </c>
      <c r="Y268" s="2573">
        <f>INT((S268*V268)/1000)</f>
        <v>150</v>
      </c>
      <c r="Z268" s="2571"/>
      <c r="AA268" s="433">
        <f t="shared" si="30"/>
        <v>0</v>
      </c>
      <c r="AB268" s="462"/>
    </row>
    <row r="269" spans="1:28" s="440" customFormat="1" ht="22.5" hidden="1" customHeight="1">
      <c r="A269" s="673"/>
      <c r="B269" s="674"/>
      <c r="C269" s="851"/>
      <c r="D269" s="676"/>
      <c r="E269" s="2572" t="s">
        <v>3549</v>
      </c>
      <c r="F269" s="1921">
        <f>Y269</f>
        <v>700</v>
      </c>
      <c r="G269" s="1921">
        <v>700</v>
      </c>
      <c r="H269" s="854"/>
      <c r="I269" s="2060"/>
      <c r="J269" s="1535" t="s">
        <v>3743</v>
      </c>
      <c r="K269" s="1536"/>
      <c r="L269" s="1536"/>
      <c r="M269" s="1536"/>
      <c r="N269" s="2094"/>
      <c r="O269" s="2094"/>
      <c r="P269" s="2094"/>
      <c r="Q269" s="2230"/>
      <c r="R269" s="2110"/>
      <c r="S269" s="2585">
        <v>700000</v>
      </c>
      <c r="T269" s="1084" t="s">
        <v>0</v>
      </c>
      <c r="U269" s="2094"/>
      <c r="V269" s="2230">
        <v>1</v>
      </c>
      <c r="W269" s="2110" t="s">
        <v>3525</v>
      </c>
      <c r="X269" s="1084" t="s">
        <v>1</v>
      </c>
      <c r="Y269" s="2576">
        <f>INT((S269*V269)/1000)</f>
        <v>700</v>
      </c>
      <c r="Z269" s="2571"/>
      <c r="AA269" s="433">
        <f t="shared" si="30"/>
        <v>700000000</v>
      </c>
      <c r="AB269" s="462"/>
    </row>
    <row r="270" spans="1:28" s="440" customFormat="1" ht="22.5" hidden="1" customHeight="1">
      <c r="A270" s="673"/>
      <c r="B270" s="674"/>
      <c r="C270" s="851"/>
      <c r="D270" s="676"/>
      <c r="E270" s="2572" t="s">
        <v>3553</v>
      </c>
      <c r="F270" s="1921">
        <f>Y270</f>
        <v>200</v>
      </c>
      <c r="G270" s="1921">
        <v>200</v>
      </c>
      <c r="H270" s="854"/>
      <c r="I270" s="2060"/>
      <c r="J270" s="2225" t="s">
        <v>3519</v>
      </c>
      <c r="K270" s="2226"/>
      <c r="L270" s="2226"/>
      <c r="M270" s="2226"/>
      <c r="N270" s="1035"/>
      <c r="O270" s="1035"/>
      <c r="P270" s="1035"/>
      <c r="Q270" s="2579"/>
      <c r="R270" s="2529"/>
      <c r="S270" s="2586" t="s">
        <v>3577</v>
      </c>
      <c r="T270" s="1037" t="s">
        <v>3577</v>
      </c>
      <c r="U270" s="1035"/>
      <c r="V270" s="1037" t="s">
        <v>3577</v>
      </c>
      <c r="W270" s="1037" t="s">
        <v>3577</v>
      </c>
      <c r="X270" s="1037" t="s">
        <v>3577</v>
      </c>
      <c r="Y270" s="2581">
        <f>SUM(Y271:Y272)</f>
        <v>200</v>
      </c>
      <c r="Z270" s="2571"/>
      <c r="AA270" s="433">
        <f t="shared" si="30"/>
        <v>200000000</v>
      </c>
      <c r="AB270" s="462"/>
    </row>
    <row r="271" spans="1:28" s="440" customFormat="1" ht="22.5" hidden="1" customHeight="1">
      <c r="A271" s="673"/>
      <c r="B271" s="674"/>
      <c r="C271" s="851"/>
      <c r="D271" s="676"/>
      <c r="E271" s="2449"/>
      <c r="F271" s="989"/>
      <c r="G271" s="989"/>
      <c r="H271" s="1021"/>
      <c r="I271" s="2060"/>
      <c r="J271" s="681" t="s">
        <v>3744</v>
      </c>
      <c r="K271" s="682"/>
      <c r="L271" s="682"/>
      <c r="M271" s="682"/>
      <c r="N271" s="709"/>
      <c r="O271" s="709"/>
      <c r="P271" s="709"/>
      <c r="Q271" s="1038">
        <v>2</v>
      </c>
      <c r="R271" s="917" t="s">
        <v>3555</v>
      </c>
      <c r="S271" s="2523">
        <v>70000</v>
      </c>
      <c r="T271" s="684" t="s">
        <v>3551</v>
      </c>
      <c r="U271" s="709"/>
      <c r="V271" s="684">
        <v>1</v>
      </c>
      <c r="W271" s="684" t="s">
        <v>3560</v>
      </c>
      <c r="X271" s="684" t="s">
        <v>3510</v>
      </c>
      <c r="Y271" s="2573">
        <f>INT((Q271*S271*V271)/1000)</f>
        <v>140</v>
      </c>
      <c r="Z271" s="2571"/>
      <c r="AA271" s="433">
        <f t="shared" si="30"/>
        <v>0</v>
      </c>
      <c r="AB271" s="462"/>
    </row>
    <row r="272" spans="1:28" s="440" customFormat="1" ht="22.5" hidden="1" customHeight="1">
      <c r="A272" s="673"/>
      <c r="B272" s="674"/>
      <c r="C272" s="851"/>
      <c r="D272" s="676"/>
      <c r="E272" s="2449"/>
      <c r="F272" s="989"/>
      <c r="G272" s="989"/>
      <c r="H272" s="1021"/>
      <c r="I272" s="2060"/>
      <c r="J272" s="2501" t="s">
        <v>3745</v>
      </c>
      <c r="K272" s="682"/>
      <c r="L272" s="682"/>
      <c r="M272" s="682"/>
      <c r="N272" s="1540"/>
      <c r="O272" s="709"/>
      <c r="P272" s="709"/>
      <c r="Q272" s="1038"/>
      <c r="R272" s="917"/>
      <c r="S272" s="2523">
        <v>20000</v>
      </c>
      <c r="T272" s="684" t="s">
        <v>3635</v>
      </c>
      <c r="U272" s="709"/>
      <c r="V272" s="684">
        <v>3</v>
      </c>
      <c r="W272" s="684" t="s">
        <v>3534</v>
      </c>
      <c r="X272" s="684" t="s">
        <v>3510</v>
      </c>
      <c r="Y272" s="2573">
        <f>INT((S272*V272)/1000)</f>
        <v>60</v>
      </c>
      <c r="Z272" s="2571"/>
      <c r="AA272" s="433">
        <f t="shared" si="30"/>
        <v>0</v>
      </c>
      <c r="AB272" s="462"/>
    </row>
    <row r="273" spans="1:28" s="440" customFormat="1" ht="22.5" hidden="1" customHeight="1">
      <c r="A273" s="673"/>
      <c r="B273" s="674"/>
      <c r="C273" s="851"/>
      <c r="D273" s="676"/>
      <c r="E273" s="2572" t="s">
        <v>3557</v>
      </c>
      <c r="F273" s="1921">
        <f>Y273</f>
        <v>100</v>
      </c>
      <c r="G273" s="1921">
        <v>100</v>
      </c>
      <c r="H273" s="854"/>
      <c r="I273" s="2060"/>
      <c r="J273" s="1535" t="s">
        <v>3746</v>
      </c>
      <c r="K273" s="1536"/>
      <c r="L273" s="1536"/>
      <c r="M273" s="1536"/>
      <c r="N273" s="2094"/>
      <c r="O273" s="2094"/>
      <c r="P273" s="2094"/>
      <c r="Q273" s="2230"/>
      <c r="R273" s="2110"/>
      <c r="S273" s="2585">
        <v>100000</v>
      </c>
      <c r="T273" s="1084" t="s">
        <v>3551</v>
      </c>
      <c r="U273" s="2094"/>
      <c r="V273" s="1084">
        <v>1</v>
      </c>
      <c r="W273" s="1084" t="s">
        <v>3525</v>
      </c>
      <c r="X273" s="1084" t="s">
        <v>1</v>
      </c>
      <c r="Y273" s="2576">
        <f>INT((S273*V273)/1000)</f>
        <v>100</v>
      </c>
      <c r="Z273" s="2571"/>
      <c r="AA273" s="433">
        <f t="shared" si="30"/>
        <v>100000000</v>
      </c>
      <c r="AB273" s="462"/>
    </row>
    <row r="274" spans="1:28" s="440" customFormat="1" ht="22.5" hidden="1" customHeight="1">
      <c r="A274" s="673"/>
      <c r="B274" s="674"/>
      <c r="C274" s="851"/>
      <c r="D274" s="676"/>
      <c r="E274" s="2572" t="s">
        <v>3564</v>
      </c>
      <c r="F274" s="1921">
        <f>Y274</f>
        <v>0</v>
      </c>
      <c r="G274" s="1921">
        <v>0</v>
      </c>
      <c r="H274" s="854"/>
      <c r="I274" s="2060"/>
      <c r="J274" s="1209" t="s">
        <v>3738</v>
      </c>
      <c r="K274" s="1009"/>
      <c r="L274" s="1009"/>
      <c r="M274" s="1009"/>
      <c r="N274" s="1010"/>
      <c r="O274" s="1010"/>
      <c r="P274" s="1009"/>
      <c r="Q274" s="2175"/>
      <c r="R274" s="1009"/>
      <c r="S274" s="1009"/>
      <c r="T274" s="1009"/>
      <c r="U274" s="1009"/>
      <c r="V274" s="1009"/>
      <c r="W274" s="1009"/>
      <c r="X274" s="1009"/>
      <c r="Y274" s="2576">
        <v>0</v>
      </c>
      <c r="Z274" s="2571"/>
      <c r="AA274" s="433">
        <f t="shared" si="30"/>
        <v>0</v>
      </c>
      <c r="AB274" s="462"/>
    </row>
    <row r="275" spans="1:28" s="440" customFormat="1" ht="22.5" hidden="1" customHeight="1">
      <c r="A275" s="673"/>
      <c r="B275" s="674"/>
      <c r="C275" s="851"/>
      <c r="D275" s="676"/>
      <c r="E275" s="2572" t="s">
        <v>3571</v>
      </c>
      <c r="F275" s="1921">
        <f>Y275</f>
        <v>50</v>
      </c>
      <c r="G275" s="1921">
        <v>50</v>
      </c>
      <c r="H275" s="854"/>
      <c r="I275" s="2060"/>
      <c r="J275" s="681" t="s">
        <v>3747</v>
      </c>
      <c r="K275" s="682"/>
      <c r="L275" s="682"/>
      <c r="M275" s="682"/>
      <c r="N275" s="709"/>
      <c r="O275" s="709"/>
      <c r="P275" s="709"/>
      <c r="Q275" s="1038"/>
      <c r="R275" s="917"/>
      <c r="S275" s="2523">
        <v>50000</v>
      </c>
      <c r="T275" s="684" t="s">
        <v>0</v>
      </c>
      <c r="U275" s="709"/>
      <c r="V275" s="684">
        <v>1</v>
      </c>
      <c r="W275" s="684" t="s">
        <v>3525</v>
      </c>
      <c r="X275" s="684" t="s">
        <v>1</v>
      </c>
      <c r="Y275" s="2573">
        <f>INT((S275*V275)/1000)</f>
        <v>50</v>
      </c>
      <c r="Z275" s="2571"/>
      <c r="AA275" s="433">
        <f t="shared" si="30"/>
        <v>50000000</v>
      </c>
      <c r="AB275" s="462"/>
    </row>
    <row r="276" spans="1:28" s="440" customFormat="1" ht="22.5" hidden="1" customHeight="1">
      <c r="A276" s="673"/>
      <c r="B276" s="674"/>
      <c r="C276" s="851"/>
      <c r="D276" s="676"/>
      <c r="E276" s="2574" t="s">
        <v>3582</v>
      </c>
      <c r="F276" s="1730">
        <f>Y276</f>
        <v>0</v>
      </c>
      <c r="G276" s="1730">
        <v>0</v>
      </c>
      <c r="H276" s="984"/>
      <c r="I276" s="2060"/>
      <c r="J276" s="1209" t="s">
        <v>3738</v>
      </c>
      <c r="K276" s="1009"/>
      <c r="L276" s="1009"/>
      <c r="M276" s="1009"/>
      <c r="N276" s="1010"/>
      <c r="O276" s="1010"/>
      <c r="P276" s="1009"/>
      <c r="Q276" s="2175"/>
      <c r="R276" s="1009"/>
      <c r="S276" s="1009"/>
      <c r="T276" s="1009"/>
      <c r="U276" s="1009"/>
      <c r="V276" s="1009"/>
      <c r="W276" s="1009"/>
      <c r="X276" s="1009"/>
      <c r="Y276" s="2576">
        <v>0</v>
      </c>
      <c r="Z276" s="2571"/>
      <c r="AA276" s="433">
        <f t="shared" si="30"/>
        <v>0</v>
      </c>
      <c r="AB276" s="462"/>
    </row>
    <row r="277" spans="1:28" s="440" customFormat="1" ht="22.5" hidden="1" customHeight="1">
      <c r="A277" s="673"/>
      <c r="B277" s="674"/>
      <c r="C277" s="851"/>
      <c r="D277" s="676"/>
      <c r="E277" s="2574" t="s">
        <v>3575</v>
      </c>
      <c r="F277" s="1730">
        <f>Y277</f>
        <v>0</v>
      </c>
      <c r="G277" s="1730">
        <v>0</v>
      </c>
      <c r="H277" s="984"/>
      <c r="I277" s="2060"/>
      <c r="J277" s="1209" t="s">
        <v>3738</v>
      </c>
      <c r="K277" s="1009"/>
      <c r="L277" s="1009"/>
      <c r="M277" s="1009"/>
      <c r="N277" s="1010"/>
      <c r="O277" s="1010"/>
      <c r="P277" s="1009"/>
      <c r="Q277" s="2175"/>
      <c r="R277" s="1009"/>
      <c r="S277" s="1009"/>
      <c r="T277" s="1009"/>
      <c r="U277" s="1009"/>
      <c r="V277" s="1009"/>
      <c r="W277" s="1009"/>
      <c r="X277" s="1009"/>
      <c r="Y277" s="2576">
        <v>0</v>
      </c>
      <c r="Z277" s="2571"/>
      <c r="AA277" s="433">
        <f t="shared" si="30"/>
        <v>0</v>
      </c>
      <c r="AB277" s="462"/>
    </row>
    <row r="278" spans="1:28" s="440" customFormat="1" ht="22.5" hidden="1" customHeight="1">
      <c r="A278" s="673"/>
      <c r="B278" s="674"/>
      <c r="C278" s="851"/>
      <c r="D278" s="676"/>
      <c r="E278" s="2572" t="s">
        <v>3748</v>
      </c>
      <c r="F278" s="1921">
        <f>+Y278</f>
        <v>1000</v>
      </c>
      <c r="G278" s="1921">
        <v>1000</v>
      </c>
      <c r="H278" s="854"/>
      <c r="I278" s="2060"/>
      <c r="J278" s="2578" t="s">
        <v>3519</v>
      </c>
      <c r="K278" s="2226"/>
      <c r="L278" s="2226"/>
      <c r="M278" s="2226"/>
      <c r="N278" s="1035"/>
      <c r="O278" s="1035"/>
      <c r="P278" s="1035"/>
      <c r="Q278" s="2579" t="s">
        <v>3640</v>
      </c>
      <c r="R278" s="2529" t="s">
        <v>3640</v>
      </c>
      <c r="S278" s="2586" t="s">
        <v>3640</v>
      </c>
      <c r="T278" s="1037" t="s">
        <v>3640</v>
      </c>
      <c r="U278" s="1035"/>
      <c r="V278" s="1037" t="s">
        <v>3640</v>
      </c>
      <c r="W278" s="1037" t="s">
        <v>3577</v>
      </c>
      <c r="X278" s="1037" t="s">
        <v>3577</v>
      </c>
      <c r="Y278" s="2581">
        <f>SUM(Y279:Y280)</f>
        <v>1000</v>
      </c>
      <c r="Z278" s="2571"/>
      <c r="AA278" s="433">
        <f t="shared" si="30"/>
        <v>1000000000</v>
      </c>
      <c r="AB278" s="462"/>
    </row>
    <row r="279" spans="1:28" s="440" customFormat="1" ht="22.5" hidden="1" customHeight="1">
      <c r="A279" s="673"/>
      <c r="B279" s="674"/>
      <c r="C279" s="851"/>
      <c r="D279" s="676"/>
      <c r="E279" s="2449"/>
      <c r="F279" s="989"/>
      <c r="G279" s="989"/>
      <c r="H279" s="1021"/>
      <c r="I279" s="2060"/>
      <c r="J279" s="681" t="s">
        <v>3749</v>
      </c>
      <c r="K279" s="684"/>
      <c r="L279" s="684"/>
      <c r="M279" s="682"/>
      <c r="N279" s="709"/>
      <c r="O279" s="709"/>
      <c r="P279" s="709"/>
      <c r="Q279" s="1038">
        <v>1</v>
      </c>
      <c r="R279" s="917" t="s">
        <v>3555</v>
      </c>
      <c r="S279" s="2523">
        <v>600000</v>
      </c>
      <c r="T279" s="684" t="s">
        <v>3551</v>
      </c>
      <c r="U279" s="709"/>
      <c r="V279" s="684">
        <v>1</v>
      </c>
      <c r="W279" s="684" t="s">
        <v>3525</v>
      </c>
      <c r="X279" s="684" t="s">
        <v>3510</v>
      </c>
      <c r="Y279" s="2573">
        <f>INT((Q279*S279*V279)/1000)</f>
        <v>600</v>
      </c>
      <c r="Z279" s="2571"/>
      <c r="AA279" s="433">
        <f t="shared" si="30"/>
        <v>0</v>
      </c>
      <c r="AB279" s="462"/>
    </row>
    <row r="280" spans="1:28" s="440" customFormat="1" ht="22.5" hidden="1" customHeight="1">
      <c r="A280" s="673"/>
      <c r="B280" s="674"/>
      <c r="C280" s="851"/>
      <c r="D280" s="676"/>
      <c r="E280" s="2582"/>
      <c r="F280" s="2570"/>
      <c r="G280" s="2570"/>
      <c r="H280" s="1000"/>
      <c r="I280" s="2060"/>
      <c r="J280" s="2042" t="s">
        <v>3750</v>
      </c>
      <c r="K280" s="2046"/>
      <c r="L280" s="2046"/>
      <c r="M280" s="2043"/>
      <c r="N280" s="1093"/>
      <c r="O280" s="1093"/>
      <c r="P280" s="1093"/>
      <c r="Q280" s="2511">
        <v>1</v>
      </c>
      <c r="R280" s="2114" t="s">
        <v>3555</v>
      </c>
      <c r="S280" s="2583">
        <v>400000</v>
      </c>
      <c r="T280" s="2045" t="s">
        <v>3551</v>
      </c>
      <c r="U280" s="1093"/>
      <c r="V280" s="2045">
        <v>1</v>
      </c>
      <c r="W280" s="2045" t="s">
        <v>3525</v>
      </c>
      <c r="X280" s="2045" t="s">
        <v>3510</v>
      </c>
      <c r="Y280" s="2587">
        <f>INT((Q280*S280*V280)/1000)</f>
        <v>400</v>
      </c>
      <c r="Z280" s="2571"/>
      <c r="AA280" s="433">
        <f t="shared" si="30"/>
        <v>0</v>
      </c>
      <c r="AB280" s="462"/>
    </row>
    <row r="281" spans="1:28" s="440" customFormat="1" ht="22.5" hidden="1" customHeight="1">
      <c r="A281" s="673"/>
      <c r="B281" s="674"/>
      <c r="C281" s="851"/>
      <c r="D281" s="676"/>
      <c r="E281" s="2449" t="s">
        <v>3590</v>
      </c>
      <c r="F281" s="989">
        <f>Y281</f>
        <v>250</v>
      </c>
      <c r="G281" s="989">
        <v>250</v>
      </c>
      <c r="H281" s="854"/>
      <c r="I281" s="2060"/>
      <c r="J281" s="2501" t="s">
        <v>3519</v>
      </c>
      <c r="K281" s="682"/>
      <c r="L281" s="682"/>
      <c r="M281" s="682"/>
      <c r="N281" s="709"/>
      <c r="O281" s="709"/>
      <c r="P281" s="709"/>
      <c r="Q281" s="1038"/>
      <c r="R281" s="917"/>
      <c r="S281" s="2523"/>
      <c r="T281" s="684"/>
      <c r="U281" s="709"/>
      <c r="V281" s="684"/>
      <c r="W281" s="684"/>
      <c r="X281" s="684"/>
      <c r="Y281" s="2573">
        <f>SUM(Y282:Y283)</f>
        <v>250</v>
      </c>
      <c r="Z281" s="2571"/>
      <c r="AA281" s="433">
        <f t="shared" si="30"/>
        <v>250000000</v>
      </c>
      <c r="AB281" s="462"/>
    </row>
    <row r="282" spans="1:28" ht="22.5" hidden="1" customHeight="1">
      <c r="A282" s="673"/>
      <c r="B282" s="674"/>
      <c r="C282" s="851"/>
      <c r="D282" s="676"/>
      <c r="E282" s="2449"/>
      <c r="F282" s="989"/>
      <c r="G282" s="989"/>
      <c r="H282" s="1021"/>
      <c r="I282" s="2060"/>
      <c r="J282" s="681" t="s">
        <v>3751</v>
      </c>
      <c r="K282" s="682"/>
      <c r="L282" s="682"/>
      <c r="M282" s="682"/>
      <c r="N282" s="709"/>
      <c r="O282" s="709"/>
      <c r="P282" s="709"/>
      <c r="Q282" s="1038"/>
      <c r="R282" s="917"/>
      <c r="S282" s="2523">
        <v>100000</v>
      </c>
      <c r="T282" s="684" t="s">
        <v>3551</v>
      </c>
      <c r="U282" s="709"/>
      <c r="V282" s="684">
        <v>1</v>
      </c>
      <c r="W282" s="684" t="s">
        <v>3525</v>
      </c>
      <c r="X282" s="684" t="s">
        <v>3517</v>
      </c>
      <c r="Y282" s="2573">
        <f>INT((S282*V282)/1000)</f>
        <v>100</v>
      </c>
      <c r="Z282" s="2571"/>
      <c r="AA282" s="433">
        <f t="shared" si="30"/>
        <v>0</v>
      </c>
    </row>
    <row r="283" spans="1:28" ht="22.5" hidden="1" customHeight="1">
      <c r="A283" s="673"/>
      <c r="B283" s="674"/>
      <c r="C283" s="851"/>
      <c r="D283" s="676"/>
      <c r="E283" s="2449"/>
      <c r="F283" s="989"/>
      <c r="G283" s="989"/>
      <c r="H283" s="1021"/>
      <c r="I283" s="2060"/>
      <c r="J283" s="681" t="s">
        <v>3752</v>
      </c>
      <c r="K283" s="682"/>
      <c r="L283" s="682"/>
      <c r="M283" s="682"/>
      <c r="N283" s="709"/>
      <c r="O283" s="709"/>
      <c r="P283" s="709"/>
      <c r="Q283" s="1038"/>
      <c r="R283" s="917"/>
      <c r="S283" s="2523">
        <v>150000</v>
      </c>
      <c r="T283" s="684" t="s">
        <v>3551</v>
      </c>
      <c r="U283" s="709"/>
      <c r="V283" s="684">
        <v>1</v>
      </c>
      <c r="W283" s="684" t="s">
        <v>3525</v>
      </c>
      <c r="X283" s="684" t="s">
        <v>3517</v>
      </c>
      <c r="Y283" s="2573">
        <f>INT((S283*V283)/1000)</f>
        <v>150</v>
      </c>
      <c r="Z283" s="2571"/>
      <c r="AA283" s="433">
        <f t="shared" si="30"/>
        <v>0</v>
      </c>
    </row>
    <row r="284" spans="1:28" ht="22.5" hidden="1" customHeight="1">
      <c r="A284" s="673"/>
      <c r="B284" s="674"/>
      <c r="C284" s="851"/>
      <c r="D284" s="1384"/>
      <c r="E284" s="2572" t="s">
        <v>3597</v>
      </c>
      <c r="F284" s="1921">
        <f>Y284</f>
        <v>0</v>
      </c>
      <c r="G284" s="1921">
        <v>0</v>
      </c>
      <c r="H284" s="1004"/>
      <c r="I284" s="2060"/>
      <c r="J284" s="1209" t="s">
        <v>3738</v>
      </c>
      <c r="K284" s="1009"/>
      <c r="L284" s="1009"/>
      <c r="M284" s="1009"/>
      <c r="N284" s="1010"/>
      <c r="O284" s="1010"/>
      <c r="P284" s="1009"/>
      <c r="Q284" s="2175"/>
      <c r="R284" s="1009"/>
      <c r="S284" s="1009"/>
      <c r="T284" s="1009"/>
      <c r="U284" s="1009"/>
      <c r="V284" s="1009"/>
      <c r="W284" s="1009"/>
      <c r="X284" s="1009"/>
      <c r="Y284" s="2576">
        <v>0</v>
      </c>
      <c r="Z284" s="2571"/>
      <c r="AA284" s="433">
        <f t="shared" si="30"/>
        <v>0</v>
      </c>
    </row>
    <row r="285" spans="1:28" ht="22.5" hidden="1" customHeight="1">
      <c r="A285" s="673"/>
      <c r="B285" s="674"/>
      <c r="C285" s="851"/>
      <c r="D285" s="3944" t="s">
        <v>3753</v>
      </c>
      <c r="E285" s="3945"/>
      <c r="F285" s="1730">
        <f>F286</f>
        <v>0</v>
      </c>
      <c r="G285" s="1730">
        <f>G286</f>
        <v>0</v>
      </c>
      <c r="H285" s="1059">
        <f>H286</f>
        <v>0</v>
      </c>
      <c r="I285" s="2060"/>
      <c r="J285" s="1074"/>
      <c r="K285" s="3196"/>
      <c r="L285" s="3196"/>
      <c r="M285" s="3196"/>
      <c r="N285" s="3197"/>
      <c r="O285" s="3197"/>
      <c r="P285" s="3197"/>
      <c r="Q285" s="2230"/>
      <c r="R285" s="3205"/>
      <c r="S285" s="2585"/>
      <c r="T285" s="1084"/>
      <c r="U285" s="3197"/>
      <c r="V285" s="1084"/>
      <c r="W285" s="1084"/>
      <c r="X285" s="1084"/>
      <c r="Y285" s="2576"/>
      <c r="Z285" s="2571"/>
      <c r="AA285" s="433">
        <f t="shared" si="30"/>
        <v>0</v>
      </c>
    </row>
    <row r="286" spans="1:28" ht="22.5" hidden="1" customHeight="1" thickBot="1">
      <c r="A286" s="1541"/>
      <c r="B286" s="1264"/>
      <c r="C286" s="1427"/>
      <c r="D286" s="1997"/>
      <c r="E286" s="2588" t="s">
        <v>3601</v>
      </c>
      <c r="F286" s="2194">
        <f>Y286</f>
        <v>0</v>
      </c>
      <c r="G286" s="2194">
        <v>0</v>
      </c>
      <c r="H286" s="2589"/>
      <c r="I286" s="2060"/>
      <c r="J286" s="2590" t="s">
        <v>3738</v>
      </c>
      <c r="K286" s="2591"/>
      <c r="L286" s="2591"/>
      <c r="M286" s="2591"/>
      <c r="N286" s="2592"/>
      <c r="O286" s="2592"/>
      <c r="P286" s="2591"/>
      <c r="Q286" s="2593"/>
      <c r="R286" s="2591"/>
      <c r="S286" s="2591"/>
      <c r="T286" s="2591"/>
      <c r="U286" s="2591"/>
      <c r="V286" s="2591"/>
      <c r="W286" s="2591"/>
      <c r="X286" s="2591"/>
      <c r="Y286" s="2594">
        <v>0</v>
      </c>
      <c r="Z286" s="2571"/>
      <c r="AA286" s="433">
        <f t="shared" si="30"/>
        <v>0</v>
      </c>
    </row>
  </sheetData>
  <mergeCells count="50">
    <mergeCell ref="J158:M158"/>
    <mergeCell ref="J160:L160"/>
    <mergeCell ref="C209:E209"/>
    <mergeCell ref="D210:E210"/>
    <mergeCell ref="D216:E216"/>
    <mergeCell ref="J159:L159"/>
    <mergeCell ref="D192:E192"/>
    <mergeCell ref="C87:E87"/>
    <mergeCell ref="C88:E88"/>
    <mergeCell ref="D89:E89"/>
    <mergeCell ref="D171:E171"/>
    <mergeCell ref="D150:E150"/>
    <mergeCell ref="D168:E168"/>
    <mergeCell ref="C170:E170"/>
    <mergeCell ref="D149:E149"/>
    <mergeCell ref="J129:O129"/>
    <mergeCell ref="J130:O130"/>
    <mergeCell ref="J141:O141"/>
    <mergeCell ref="C148:E148"/>
    <mergeCell ref="J128:O128"/>
    <mergeCell ref="J31:O31"/>
    <mergeCell ref="J48:O48"/>
    <mergeCell ref="J72:O72"/>
    <mergeCell ref="J76:O76"/>
    <mergeCell ref="J78:L78"/>
    <mergeCell ref="D85:E85"/>
    <mergeCell ref="A5:E5"/>
    <mergeCell ref="B6:E6"/>
    <mergeCell ref="C7:E7"/>
    <mergeCell ref="D8:E8"/>
    <mergeCell ref="J10:M10"/>
    <mergeCell ref="D20:E20"/>
    <mergeCell ref="B1:Y1"/>
    <mergeCell ref="A3:E3"/>
    <mergeCell ref="F3:F4"/>
    <mergeCell ref="G3:G4"/>
    <mergeCell ref="H3:H4"/>
    <mergeCell ref="J3:Y4"/>
    <mergeCell ref="D285:E285"/>
    <mergeCell ref="K219:M219"/>
    <mergeCell ref="D228:E228"/>
    <mergeCell ref="C239:E239"/>
    <mergeCell ref="D240:E240"/>
    <mergeCell ref="K241:O241"/>
    <mergeCell ref="D257:E257"/>
    <mergeCell ref="K242:N242"/>
    <mergeCell ref="K243:O243"/>
    <mergeCell ref="J248:M248"/>
    <mergeCell ref="C245:E245"/>
    <mergeCell ref="D246:E246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rowBreaks count="2" manualBreakCount="2">
    <brk id="191" max="24" man="1"/>
    <brk id="208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664"/>
  <sheetViews>
    <sheetView view="pageBreakPreview" zoomScale="70" zoomScaleNormal="60" zoomScaleSheetLayoutView="70" workbookViewId="0">
      <pane ySplit="6" topLeftCell="A305" activePane="bottomLeft" state="frozen"/>
      <selection activeCell="F663" sqref="F663:G663"/>
      <selection pane="bottomLeft" activeCell="F398" sqref="F398"/>
    </sheetView>
  </sheetViews>
  <sheetFormatPr defaultRowHeight="21.75" customHeight="1"/>
  <cols>
    <col min="1" max="1" width="6.6640625" style="491" customWidth="1"/>
    <col min="2" max="4" width="6.6640625" style="763" customWidth="1"/>
    <col min="5" max="5" width="16" style="763" customWidth="1"/>
    <col min="6" max="7" width="13.77734375" style="1617" customWidth="1"/>
    <col min="8" max="8" width="13.77734375" style="1618" customWidth="1"/>
    <col min="9" max="9" width="1.6640625" style="880" customWidth="1"/>
    <col min="10" max="10" width="4" style="763" customWidth="1"/>
    <col min="11" max="11" width="1.88671875" style="763" customWidth="1"/>
    <col min="12" max="12" width="8.6640625" style="763" customWidth="1"/>
    <col min="13" max="13" width="8.77734375" style="763" customWidth="1"/>
    <col min="14" max="14" width="10.77734375" style="763" customWidth="1"/>
    <col min="15" max="16" width="7.77734375" style="763" customWidth="1"/>
    <col min="17" max="17" width="8.109375" style="763" customWidth="1"/>
    <col min="18" max="18" width="6.88671875" style="763" customWidth="1"/>
    <col min="19" max="19" width="16.109375" style="763" customWidth="1"/>
    <col min="20" max="23" width="6.77734375" style="763" customWidth="1"/>
    <col min="24" max="24" width="3" style="1481" customWidth="1"/>
    <col min="25" max="25" width="14.77734375" style="763" customWidth="1"/>
    <col min="26" max="26" width="19.6640625" style="491" customWidth="1"/>
    <col min="27" max="27" width="18.88671875" style="492" customWidth="1"/>
    <col min="28" max="28" width="21.21875" style="492" customWidth="1"/>
    <col min="29" max="29" width="20.77734375" style="492" bestFit="1" customWidth="1"/>
    <col min="30" max="30" width="11.5546875" style="491" bestFit="1" customWidth="1"/>
    <col min="31" max="31" width="14.88671875" style="491" bestFit="1" customWidth="1"/>
    <col min="32" max="32" width="13.88671875" style="491" bestFit="1" customWidth="1"/>
    <col min="33" max="33" width="9.77734375" style="491" bestFit="1" customWidth="1"/>
    <col min="34" max="16384" width="8.88671875" style="491"/>
  </cols>
  <sheetData>
    <row r="1" spans="1:29" ht="42" customHeight="1">
      <c r="A1" s="3805" t="s">
        <v>6114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1545"/>
    </row>
    <row r="2" spans="1:29" ht="20.25" customHeight="1" thickBot="1">
      <c r="B2" s="886"/>
      <c r="C2" s="886"/>
      <c r="D2" s="886" t="s">
        <v>378</v>
      </c>
      <c r="E2" s="886"/>
      <c r="F2" s="1390"/>
      <c r="G2" s="1282"/>
      <c r="H2" s="887" t="s">
        <v>194</v>
      </c>
      <c r="I2" s="2075"/>
      <c r="J2" s="886" t="s">
        <v>378</v>
      </c>
      <c r="K2" s="886"/>
      <c r="L2" s="1283" t="s">
        <v>378</v>
      </c>
      <c r="M2" s="886"/>
      <c r="N2" s="886"/>
      <c r="O2" s="476"/>
      <c r="P2" s="308"/>
      <c r="Q2" s="2080"/>
      <c r="R2" s="2075"/>
      <c r="S2" s="2075"/>
      <c r="T2" s="2075"/>
      <c r="U2" s="2075"/>
      <c r="V2" s="2075"/>
      <c r="W2" s="2075"/>
      <c r="X2" s="719"/>
      <c r="Y2" s="556" t="s">
        <v>194</v>
      </c>
      <c r="Z2" s="2075"/>
    </row>
    <row r="3" spans="1:29" ht="20.25" customHeight="1">
      <c r="A3" s="3806" t="s">
        <v>218</v>
      </c>
      <c r="B3" s="3807"/>
      <c r="C3" s="3807"/>
      <c r="D3" s="3807"/>
      <c r="E3" s="3808"/>
      <c r="F3" s="3809" t="s">
        <v>174</v>
      </c>
      <c r="G3" s="3811" t="s">
        <v>1077</v>
      </c>
      <c r="H3" s="3813" t="s">
        <v>11</v>
      </c>
      <c r="I3" s="634"/>
      <c r="J3" s="3815" t="s">
        <v>353</v>
      </c>
      <c r="K3" s="3816"/>
      <c r="L3" s="3816"/>
      <c r="M3" s="3816"/>
      <c r="N3" s="3816"/>
      <c r="O3" s="3816"/>
      <c r="P3" s="3816"/>
      <c r="Q3" s="3816"/>
      <c r="R3" s="3816"/>
      <c r="S3" s="3816"/>
      <c r="T3" s="3816"/>
      <c r="U3" s="3816"/>
      <c r="V3" s="3816"/>
      <c r="W3" s="3816"/>
      <c r="X3" s="3816"/>
      <c r="Y3" s="3817"/>
      <c r="Z3" s="476"/>
    </row>
    <row r="4" spans="1:29" ht="21.95" customHeight="1" thickBot="1">
      <c r="A4" s="1546" t="s">
        <v>252</v>
      </c>
      <c r="B4" s="893" t="s">
        <v>234</v>
      </c>
      <c r="C4" s="894" t="s">
        <v>221</v>
      </c>
      <c r="D4" s="894" t="s">
        <v>235</v>
      </c>
      <c r="E4" s="894" t="s">
        <v>49</v>
      </c>
      <c r="F4" s="3810"/>
      <c r="G4" s="3812"/>
      <c r="H4" s="3814"/>
      <c r="I4" s="895"/>
      <c r="J4" s="3818"/>
      <c r="K4" s="3819"/>
      <c r="L4" s="3819"/>
      <c r="M4" s="3819"/>
      <c r="N4" s="3819"/>
      <c r="O4" s="3819"/>
      <c r="P4" s="3819"/>
      <c r="Q4" s="3819"/>
      <c r="R4" s="3819"/>
      <c r="S4" s="3819"/>
      <c r="T4" s="3819"/>
      <c r="U4" s="3819"/>
      <c r="V4" s="3819"/>
      <c r="W4" s="3819"/>
      <c r="X4" s="3819"/>
      <c r="Y4" s="3820"/>
      <c r="Z4" s="2106"/>
    </row>
    <row r="5" spans="1:29" s="1305" customFormat="1" ht="21.75" customHeight="1">
      <c r="A5" s="4001" t="s">
        <v>1273</v>
      </c>
      <c r="B5" s="4002"/>
      <c r="C5" s="4002"/>
      <c r="D5" s="4002"/>
      <c r="E5" s="4003"/>
      <c r="F5" s="1547">
        <f>+F6+F349</f>
        <v>3850200</v>
      </c>
      <c r="G5" s="1547">
        <f>+G6+G349</f>
        <v>3825200</v>
      </c>
      <c r="H5" s="1548">
        <f>F5-G5</f>
        <v>25000</v>
      </c>
      <c r="I5" s="1549"/>
      <c r="J5" s="1300"/>
      <c r="K5" s="1301"/>
      <c r="L5" s="1301"/>
      <c r="M5" s="1301"/>
      <c r="N5" s="1301"/>
      <c r="O5" s="1302"/>
      <c r="P5" s="2083"/>
      <c r="Q5" s="1550"/>
      <c r="R5" s="1551"/>
      <c r="S5" s="1552"/>
      <c r="T5" s="1553"/>
      <c r="U5" s="1552"/>
      <c r="V5" s="1553"/>
      <c r="W5" s="1553"/>
      <c r="X5" s="1554"/>
      <c r="Y5" s="1555"/>
      <c r="Z5" s="1664"/>
      <c r="AA5" s="1294"/>
      <c r="AB5" s="1294"/>
      <c r="AC5" s="1294"/>
    </row>
    <row r="6" spans="1:29" s="1305" customFormat="1" ht="21.75" customHeight="1">
      <c r="A6" s="1556"/>
      <c r="B6" s="3909" t="s">
        <v>1273</v>
      </c>
      <c r="C6" s="3909"/>
      <c r="D6" s="3909"/>
      <c r="E6" s="3910"/>
      <c r="F6" s="1547">
        <f>+F7+F91</f>
        <v>3784200</v>
      </c>
      <c r="G6" s="1547">
        <f>+G7+G91</f>
        <v>3759200</v>
      </c>
      <c r="H6" s="1548">
        <f>F6-G6</f>
        <v>25000</v>
      </c>
      <c r="I6" s="1549"/>
      <c r="J6" s="1300"/>
      <c r="K6" s="1301"/>
      <c r="L6" s="1301"/>
      <c r="M6" s="1301"/>
      <c r="N6" s="1301"/>
      <c r="O6" s="1302"/>
      <c r="P6" s="2083"/>
      <c r="Q6" s="1550"/>
      <c r="R6" s="1551"/>
      <c r="S6" s="1552"/>
      <c r="T6" s="1553"/>
      <c r="U6" s="1552"/>
      <c r="V6" s="1553"/>
      <c r="W6" s="1553"/>
      <c r="X6" s="1554"/>
      <c r="Y6" s="1555"/>
      <c r="Z6" s="1664"/>
      <c r="AA6" s="1294"/>
      <c r="AB6" s="1294"/>
      <c r="AC6" s="1294"/>
    </row>
    <row r="7" spans="1:29" ht="21.75" customHeight="1">
      <c r="A7" s="466"/>
      <c r="B7" s="2958"/>
      <c r="C7" s="3834" t="s">
        <v>76</v>
      </c>
      <c r="D7" s="3917"/>
      <c r="E7" s="3913"/>
      <c r="F7" s="1557">
        <f>F8+F20+F86</f>
        <v>2588200</v>
      </c>
      <c r="G7" s="1557">
        <f>G8+G20+G86</f>
        <v>2563200</v>
      </c>
      <c r="H7" s="1548">
        <f>F7-G7</f>
        <v>25000</v>
      </c>
      <c r="I7" s="634"/>
      <c r="J7" s="665"/>
      <c r="K7" s="2101"/>
      <c r="L7" s="2101"/>
      <c r="M7" s="2101"/>
      <c r="N7" s="2101"/>
      <c r="O7" s="1310"/>
      <c r="P7" s="2090"/>
      <c r="Q7" s="1374"/>
      <c r="R7" s="2090"/>
      <c r="S7" s="1310"/>
      <c r="T7" s="2101"/>
      <c r="U7" s="1310"/>
      <c r="V7" s="2101"/>
      <c r="W7" s="2101"/>
      <c r="X7" s="1558"/>
      <c r="Y7" s="517"/>
      <c r="Z7" s="2016"/>
    </row>
    <row r="8" spans="1:29" s="763" customFormat="1" ht="21.75" customHeight="1">
      <c r="A8" s="636"/>
      <c r="B8" s="467"/>
      <c r="C8" s="2013"/>
      <c r="D8" s="3911" t="s">
        <v>278</v>
      </c>
      <c r="E8" s="3912"/>
      <c r="F8" s="512">
        <f>+F9+F16+F17</f>
        <v>1182200</v>
      </c>
      <c r="G8" s="512">
        <f>+G9+G16+G17</f>
        <v>1157200</v>
      </c>
      <c r="H8" s="2021">
        <f>F8-G8</f>
        <v>25000</v>
      </c>
      <c r="I8" s="634"/>
      <c r="J8" s="1306"/>
      <c r="K8" s="1307"/>
      <c r="L8" s="1307"/>
      <c r="M8" s="1307"/>
      <c r="N8" s="1307"/>
      <c r="O8" s="1307"/>
      <c r="P8" s="1308"/>
      <c r="Q8" s="1309"/>
      <c r="R8" s="2090"/>
      <c r="S8" s="1310"/>
      <c r="T8" s="2101"/>
      <c r="U8" s="1310"/>
      <c r="V8" s="2101"/>
      <c r="W8" s="2101"/>
      <c r="X8" s="1558"/>
      <c r="Y8" s="1311"/>
      <c r="Z8" s="2016">
        <f>+Z9+Z16+Z17</f>
        <v>1182200000</v>
      </c>
      <c r="AA8" s="1560"/>
      <c r="AB8" s="669"/>
      <c r="AC8" s="669"/>
    </row>
    <row r="9" spans="1:29" s="763" customFormat="1" ht="21.75" customHeight="1">
      <c r="A9" s="636"/>
      <c r="B9" s="467"/>
      <c r="C9" s="2013"/>
      <c r="D9" s="2013"/>
      <c r="E9" s="624" t="s">
        <v>602</v>
      </c>
      <c r="F9" s="824">
        <f>+Y9</f>
        <v>958300</v>
      </c>
      <c r="G9" s="824">
        <v>937800</v>
      </c>
      <c r="H9" s="486">
        <f>F9-G9</f>
        <v>20500</v>
      </c>
      <c r="I9" s="634"/>
      <c r="J9" s="1312" t="s">
        <v>224</v>
      </c>
      <c r="K9" s="1313"/>
      <c r="L9" s="1313"/>
      <c r="M9" s="1313"/>
      <c r="N9" s="889"/>
      <c r="O9" s="889"/>
      <c r="P9" s="1313"/>
      <c r="Q9" s="1314"/>
      <c r="R9" s="473"/>
      <c r="S9" s="473"/>
      <c r="T9" s="473"/>
      <c r="U9" s="473"/>
      <c r="V9" s="473"/>
      <c r="W9" s="473"/>
      <c r="X9" s="542"/>
      <c r="Y9" s="483">
        <f t="shared" ref="Y9:Y16" si="0">+Z9/1000</f>
        <v>958300</v>
      </c>
      <c r="Z9" s="473">
        <f>+Z10+Z12+Z14</f>
        <v>958300000</v>
      </c>
      <c r="AA9" s="1560"/>
      <c r="AB9" s="669"/>
      <c r="AC9" s="669"/>
    </row>
    <row r="10" spans="1:29" s="763" customFormat="1" ht="21.75" customHeight="1">
      <c r="A10" s="2957"/>
      <c r="B10" s="2035"/>
      <c r="C10" s="631"/>
      <c r="D10" s="2013"/>
      <c r="E10" s="624"/>
      <c r="F10" s="824"/>
      <c r="G10" s="824"/>
      <c r="H10" s="551"/>
      <c r="I10" s="634"/>
      <c r="J10" s="1312" t="s">
        <v>269</v>
      </c>
      <c r="K10" s="1315"/>
      <c r="L10" s="886"/>
      <c r="M10" s="886"/>
      <c r="N10" s="889"/>
      <c r="O10" s="889"/>
      <c r="P10" s="1313"/>
      <c r="Q10" s="1314" t="s">
        <v>265</v>
      </c>
      <c r="R10" s="473" t="s">
        <v>378</v>
      </c>
      <c r="S10" s="1316"/>
      <c r="T10" s="473"/>
      <c r="U10" s="473"/>
      <c r="V10" s="473"/>
      <c r="W10" s="473"/>
      <c r="X10" s="542"/>
      <c r="Y10" s="483">
        <f t="shared" si="0"/>
        <v>833280</v>
      </c>
      <c r="Z10" s="473">
        <f>SUM(Z11:Z11)</f>
        <v>833280000</v>
      </c>
      <c r="AA10" s="1560"/>
      <c r="AB10" s="669"/>
      <c r="AC10" s="669">
        <f>AC11-Z11</f>
        <v>0</v>
      </c>
    </row>
    <row r="11" spans="1:29" s="763" customFormat="1" ht="21.75" customHeight="1">
      <c r="A11" s="2957"/>
      <c r="B11" s="2035"/>
      <c r="C11" s="631"/>
      <c r="D11" s="2013"/>
      <c r="E11" s="624"/>
      <c r="F11" s="824"/>
      <c r="G11" s="824"/>
      <c r="H11" s="551"/>
      <c r="I11" s="634"/>
      <c r="J11" s="1312"/>
      <c r="K11" s="1317" t="s">
        <v>741</v>
      </c>
      <c r="L11" s="886"/>
      <c r="M11" s="886"/>
      <c r="N11" s="1318"/>
      <c r="O11" s="1313"/>
      <c r="P11" s="1313"/>
      <c r="Q11" s="1314" t="s">
        <v>1371</v>
      </c>
      <c r="R11" s="473" t="s">
        <v>227</v>
      </c>
      <c r="S11" s="474">
        <v>4340000</v>
      </c>
      <c r="T11" s="473" t="s">
        <v>37</v>
      </c>
      <c r="U11" s="473"/>
      <c r="V11" s="473">
        <v>12</v>
      </c>
      <c r="W11" s="473" t="s">
        <v>228</v>
      </c>
      <c r="X11" s="542" t="s">
        <v>38</v>
      </c>
      <c r="Y11" s="483">
        <f t="shared" si="0"/>
        <v>833280</v>
      </c>
      <c r="Z11" s="474">
        <f>S11*Q11*V11</f>
        <v>833280000</v>
      </c>
      <c r="AA11" s="1560">
        <f>814080000+20000000</f>
        <v>834080000</v>
      </c>
      <c r="AB11" s="669">
        <v>4340000</v>
      </c>
      <c r="AC11" s="669">
        <f>AB11*16*12</f>
        <v>833280000</v>
      </c>
    </row>
    <row r="12" spans="1:29" s="763" customFormat="1" ht="21.75" customHeight="1">
      <c r="A12" s="2957"/>
      <c r="B12" s="2035"/>
      <c r="C12" s="631"/>
      <c r="D12" s="2013"/>
      <c r="E12" s="624"/>
      <c r="F12" s="824"/>
      <c r="G12" s="824"/>
      <c r="H12" s="551"/>
      <c r="I12" s="634"/>
      <c r="J12" s="1312" t="s">
        <v>749</v>
      </c>
      <c r="K12" s="1315"/>
      <c r="L12" s="886"/>
      <c r="M12" s="886"/>
      <c r="N12" s="1318"/>
      <c r="O12" s="1313"/>
      <c r="P12" s="1313"/>
      <c r="Q12" s="1314"/>
      <c r="R12" s="2082"/>
      <c r="S12" s="473"/>
      <c r="T12" s="2082"/>
      <c r="U12" s="473"/>
      <c r="V12" s="473"/>
      <c r="W12" s="473"/>
      <c r="X12" s="542"/>
      <c r="Y12" s="483">
        <f t="shared" si="0"/>
        <v>90720</v>
      </c>
      <c r="Z12" s="474">
        <f>SUM(Z13:Z13)</f>
        <v>90720000</v>
      </c>
      <c r="AA12" s="1560"/>
      <c r="AB12" s="669"/>
      <c r="AC12" s="669"/>
    </row>
    <row r="13" spans="1:29" s="763" customFormat="1" ht="21.75" customHeight="1">
      <c r="A13" s="2957"/>
      <c r="B13" s="2035"/>
      <c r="C13" s="631"/>
      <c r="D13" s="2013"/>
      <c r="E13" s="624"/>
      <c r="F13" s="824"/>
      <c r="G13" s="824"/>
      <c r="H13" s="551"/>
      <c r="I13" s="634"/>
      <c r="J13" s="1312"/>
      <c r="K13" s="1317" t="s">
        <v>741</v>
      </c>
      <c r="L13" s="886"/>
      <c r="M13" s="886"/>
      <c r="N13" s="1318"/>
      <c r="O13" s="1313"/>
      <c r="P13" s="1313"/>
      <c r="Q13" s="1314" t="s">
        <v>1371</v>
      </c>
      <c r="R13" s="473" t="s">
        <v>227</v>
      </c>
      <c r="S13" s="474">
        <v>472500</v>
      </c>
      <c r="T13" s="473" t="s">
        <v>37</v>
      </c>
      <c r="U13" s="473"/>
      <c r="V13" s="473">
        <v>12</v>
      </c>
      <c r="W13" s="473" t="s">
        <v>228</v>
      </c>
      <c r="X13" s="542" t="s">
        <v>38</v>
      </c>
      <c r="Y13" s="483">
        <f t="shared" si="0"/>
        <v>90720</v>
      </c>
      <c r="Z13" s="474">
        <f>ROUNDUP(S13*Q13*V13,-3)</f>
        <v>90720000</v>
      </c>
      <c r="AA13" s="1560">
        <f>89920000+800000</f>
        <v>90720000</v>
      </c>
      <c r="AB13" s="669">
        <f>AA13/V13/Q13</f>
        <v>472500</v>
      </c>
      <c r="AC13" s="669"/>
    </row>
    <row r="14" spans="1:29" s="763" customFormat="1" ht="21.75" customHeight="1">
      <c r="A14" s="2957"/>
      <c r="B14" s="2035"/>
      <c r="C14" s="631"/>
      <c r="D14" s="2013"/>
      <c r="E14" s="624"/>
      <c r="F14" s="824"/>
      <c r="G14" s="824"/>
      <c r="H14" s="551"/>
      <c r="I14" s="634"/>
      <c r="J14" s="1312" t="s">
        <v>270</v>
      </c>
      <c r="K14" s="1315"/>
      <c r="L14" s="886"/>
      <c r="M14" s="886"/>
      <c r="N14" s="1318"/>
      <c r="O14" s="1313"/>
      <c r="P14" s="1313"/>
      <c r="Q14" s="1314"/>
      <c r="R14" s="2082"/>
      <c r="S14" s="473"/>
      <c r="T14" s="2082"/>
      <c r="U14" s="473"/>
      <c r="V14" s="473"/>
      <c r="W14" s="473"/>
      <c r="X14" s="542"/>
      <c r="Y14" s="483">
        <f t="shared" si="0"/>
        <v>34300</v>
      </c>
      <c r="Z14" s="474">
        <f>SUM(Z15:Z15)</f>
        <v>34300000</v>
      </c>
      <c r="AA14" s="1560"/>
      <c r="AB14" s="669"/>
      <c r="AC14" s="669"/>
    </row>
    <row r="15" spans="1:29" s="763" customFormat="1" ht="21.75" customHeight="1">
      <c r="A15" s="2957"/>
      <c r="B15" s="2035"/>
      <c r="C15" s="631"/>
      <c r="D15" s="2013"/>
      <c r="E15" s="624"/>
      <c r="F15" s="824"/>
      <c r="G15" s="824"/>
      <c r="H15" s="551"/>
      <c r="I15" s="634"/>
      <c r="J15" s="1312"/>
      <c r="K15" s="1317" t="s">
        <v>741</v>
      </c>
      <c r="L15" s="886"/>
      <c r="M15" s="886"/>
      <c r="N15" s="1318"/>
      <c r="O15" s="1313"/>
      <c r="P15" s="1313"/>
      <c r="Q15" s="1314" t="s">
        <v>1371</v>
      </c>
      <c r="R15" s="473" t="s">
        <v>227</v>
      </c>
      <c r="S15" s="474">
        <v>2143750</v>
      </c>
      <c r="T15" s="473" t="s">
        <v>37</v>
      </c>
      <c r="U15" s="473"/>
      <c r="V15" s="473">
        <v>1</v>
      </c>
      <c r="W15" s="473" t="s">
        <v>226</v>
      </c>
      <c r="X15" s="542" t="s">
        <v>38</v>
      </c>
      <c r="Y15" s="483">
        <f t="shared" si="0"/>
        <v>34300</v>
      </c>
      <c r="Z15" s="474">
        <f>ROUNDUP(S15*Q15*V15,-3)</f>
        <v>34300000</v>
      </c>
      <c r="AA15" s="1560">
        <f>33800000+500000</f>
        <v>34300000</v>
      </c>
      <c r="AB15" s="669">
        <f>AA15/Q15</f>
        <v>2143750</v>
      </c>
      <c r="AC15" s="669"/>
    </row>
    <row r="16" spans="1:29" s="763" customFormat="1" ht="21.75" customHeight="1">
      <c r="A16" s="2957"/>
      <c r="B16" s="2035"/>
      <c r="C16" s="631"/>
      <c r="D16" s="2013"/>
      <c r="E16" s="1319" t="s">
        <v>601</v>
      </c>
      <c r="F16" s="598">
        <f>Y16</f>
        <v>115500</v>
      </c>
      <c r="G16" s="842">
        <v>113000</v>
      </c>
      <c r="H16" s="2021">
        <f>F16-G16</f>
        <v>2500</v>
      </c>
      <c r="I16" s="634"/>
      <c r="J16" s="1321" t="s">
        <v>1668</v>
      </c>
      <c r="K16" s="1322"/>
      <c r="L16" s="1323"/>
      <c r="M16" s="1323"/>
      <c r="N16" s="1324"/>
      <c r="O16" s="1324"/>
      <c r="P16" s="1322"/>
      <c r="Q16" s="1325"/>
      <c r="R16" s="1326"/>
      <c r="S16" s="608">
        <f>+Z11+Z13</f>
        <v>924000000</v>
      </c>
      <c r="T16" s="1326" t="s">
        <v>600</v>
      </c>
      <c r="U16" s="1327">
        <v>12</v>
      </c>
      <c r="V16" s="1326" t="s">
        <v>599</v>
      </c>
      <c r="W16" s="1328">
        <v>1.5</v>
      </c>
      <c r="X16" s="1559" t="s">
        <v>38</v>
      </c>
      <c r="Y16" s="517">
        <f t="shared" si="0"/>
        <v>115500</v>
      </c>
      <c r="Z16" s="473">
        <f>+(S16/U16*W16)</f>
        <v>115500000</v>
      </c>
      <c r="AA16" s="1560"/>
      <c r="AB16" s="669"/>
      <c r="AC16" s="669"/>
    </row>
    <row r="17" spans="1:30" s="763" customFormat="1" ht="21.75" customHeight="1">
      <c r="A17" s="2957"/>
      <c r="B17" s="2035"/>
      <c r="C17" s="631"/>
      <c r="D17" s="2013"/>
      <c r="E17" s="1319" t="s">
        <v>718</v>
      </c>
      <c r="F17" s="842">
        <f>Y17</f>
        <v>108400</v>
      </c>
      <c r="G17" s="842">
        <v>106400</v>
      </c>
      <c r="H17" s="1320">
        <f>F17-G17</f>
        <v>2000</v>
      </c>
      <c r="I17" s="634"/>
      <c r="J17" s="1321" t="s">
        <v>224</v>
      </c>
      <c r="K17" s="1322"/>
      <c r="L17" s="1322"/>
      <c r="M17" s="1322"/>
      <c r="N17" s="1324"/>
      <c r="O17" s="1324"/>
      <c r="P17" s="1322"/>
      <c r="Q17" s="1325"/>
      <c r="R17" s="1326"/>
      <c r="S17" s="1326"/>
      <c r="T17" s="1326"/>
      <c r="U17" s="1326"/>
      <c r="V17" s="1326"/>
      <c r="W17" s="1326"/>
      <c r="X17" s="1559"/>
      <c r="Y17" s="483">
        <f>+Z17/1000</f>
        <v>108400</v>
      </c>
      <c r="Z17" s="473">
        <f>SUM(Z18:Z19)</f>
        <v>108400000</v>
      </c>
      <c r="AA17" s="1560"/>
      <c r="AB17" s="669"/>
      <c r="AC17" s="669"/>
    </row>
    <row r="18" spans="1:30" ht="21.75" customHeight="1">
      <c r="A18" s="472"/>
      <c r="B18" s="624"/>
      <c r="C18" s="564"/>
      <c r="D18" s="2013"/>
      <c r="E18" s="624"/>
      <c r="F18" s="824"/>
      <c r="G18" s="824"/>
      <c r="H18" s="551"/>
      <c r="I18" s="634"/>
      <c r="J18" s="1312" t="s">
        <v>835</v>
      </c>
      <c r="K18" s="1313"/>
      <c r="L18" s="1313"/>
      <c r="M18" s="1313"/>
      <c r="N18" s="889"/>
      <c r="O18" s="1313"/>
      <c r="P18" s="1313"/>
      <c r="Q18" s="1314"/>
      <c r="R18" s="473"/>
      <c r="S18" s="474">
        <f>+S16</f>
        <v>924000000</v>
      </c>
      <c r="T18" s="473" t="s">
        <v>37</v>
      </c>
      <c r="U18" s="473"/>
      <c r="V18" s="1330">
        <v>0.1</v>
      </c>
      <c r="W18" s="473"/>
      <c r="X18" s="542" t="s">
        <v>38</v>
      </c>
      <c r="Y18" s="483">
        <f>+Z18/1000</f>
        <v>92400</v>
      </c>
      <c r="Z18" s="473">
        <f>ROUNDUP(S18*V18,-3)</f>
        <v>92400000</v>
      </c>
      <c r="AA18" s="1329"/>
      <c r="AB18" s="669"/>
      <c r="AC18" s="1329"/>
    </row>
    <row r="19" spans="1:30" s="763" customFormat="1" ht="21.75" customHeight="1">
      <c r="A19" s="2957"/>
      <c r="B19" s="2035"/>
      <c r="C19" s="631"/>
      <c r="D19" s="493"/>
      <c r="E19" s="1331"/>
      <c r="F19" s="823"/>
      <c r="G19" s="823"/>
      <c r="H19" s="1332"/>
      <c r="I19" s="634"/>
      <c r="J19" s="1333" t="s">
        <v>367</v>
      </c>
      <c r="K19" s="1334"/>
      <c r="L19" s="1334"/>
      <c r="M19" s="1334"/>
      <c r="N19" s="1335"/>
      <c r="O19" s="1335"/>
      <c r="P19" s="1334"/>
      <c r="Q19" s="1336"/>
      <c r="R19" s="510"/>
      <c r="S19" s="617">
        <v>1000000</v>
      </c>
      <c r="T19" s="510" t="s">
        <v>37</v>
      </c>
      <c r="U19" s="510"/>
      <c r="V19" s="1337">
        <v>16</v>
      </c>
      <c r="W19" s="510" t="s">
        <v>259</v>
      </c>
      <c r="X19" s="581" t="s">
        <v>38</v>
      </c>
      <c r="Y19" s="483">
        <f>+Z19/1000</f>
        <v>16000</v>
      </c>
      <c r="Z19" s="473">
        <f>ROUNDUP(S19*V19,-3)</f>
        <v>16000000</v>
      </c>
      <c r="AA19" s="1560"/>
      <c r="AB19" s="669"/>
      <c r="AC19" s="669"/>
    </row>
    <row r="20" spans="1:30" ht="21.75" customHeight="1">
      <c r="A20" s="466"/>
      <c r="B20" s="2958"/>
      <c r="C20" s="2013"/>
      <c r="D20" s="3834" t="s">
        <v>486</v>
      </c>
      <c r="E20" s="3916"/>
      <c r="F20" s="578">
        <f>SUM(F21:F85)</f>
        <v>1379500</v>
      </c>
      <c r="G20" s="578">
        <f>SUM(G21:G85)</f>
        <v>1379500</v>
      </c>
      <c r="H20" s="2021">
        <f>F20-G20</f>
        <v>0</v>
      </c>
      <c r="I20" s="634"/>
      <c r="J20" s="1338"/>
      <c r="K20" s="727"/>
      <c r="L20" s="727"/>
      <c r="M20" s="727"/>
      <c r="N20" s="727"/>
      <c r="O20" s="727"/>
      <c r="P20" s="1339"/>
      <c r="Q20" s="727"/>
      <c r="R20" s="1339"/>
      <c r="S20" s="727"/>
      <c r="T20" s="1339"/>
      <c r="U20" s="727"/>
      <c r="V20" s="1339"/>
      <c r="W20" s="727"/>
      <c r="X20" s="727"/>
      <c r="Y20" s="517"/>
      <c r="Z20" s="2016"/>
      <c r="AA20" s="1560"/>
      <c r="AB20" s="669"/>
      <c r="AD20" s="509"/>
    </row>
    <row r="21" spans="1:30" ht="21.75" customHeight="1">
      <c r="A21" s="466"/>
      <c r="B21" s="467"/>
      <c r="C21" s="2013"/>
      <c r="D21" s="2013"/>
      <c r="E21" s="1340" t="s">
        <v>396</v>
      </c>
      <c r="F21" s="593">
        <f>+Y21</f>
        <v>6700</v>
      </c>
      <c r="G21" s="593">
        <v>6700</v>
      </c>
      <c r="H21" s="1561"/>
      <c r="I21" s="1341"/>
      <c r="J21" s="472" t="s">
        <v>224</v>
      </c>
      <c r="K21" s="473"/>
      <c r="L21" s="473"/>
      <c r="M21" s="473"/>
      <c r="N21" s="474"/>
      <c r="O21" s="474"/>
      <c r="P21" s="473"/>
      <c r="Q21" s="475"/>
      <c r="R21" s="473"/>
      <c r="S21" s="473"/>
      <c r="T21" s="473"/>
      <c r="U21" s="473"/>
      <c r="V21" s="473"/>
      <c r="W21" s="473"/>
      <c r="X21" s="542"/>
      <c r="Y21" s="483">
        <f t="shared" ref="Y21:Y24" si="1">+Z21/1000</f>
        <v>6700</v>
      </c>
      <c r="Z21" s="473">
        <f>+Z22+Z23</f>
        <v>6700000</v>
      </c>
      <c r="AA21" s="1560"/>
      <c r="AB21" s="669"/>
    </row>
    <row r="22" spans="1:30" ht="21.75" customHeight="1">
      <c r="A22" s="466"/>
      <c r="B22" s="467"/>
      <c r="C22" s="631"/>
      <c r="D22" s="2013"/>
      <c r="E22" s="631"/>
      <c r="F22" s="593"/>
      <c r="G22" s="593"/>
      <c r="H22" s="534"/>
      <c r="I22" s="1341"/>
      <c r="J22" s="2105" t="s">
        <v>1708</v>
      </c>
      <c r="K22" s="2106"/>
      <c r="L22" s="2106"/>
      <c r="M22" s="2106"/>
      <c r="N22" s="474"/>
      <c r="O22" s="2106"/>
      <c r="P22" s="2016"/>
      <c r="Q22" s="475">
        <v>1</v>
      </c>
      <c r="R22" s="473" t="s">
        <v>487</v>
      </c>
      <c r="S22" s="474">
        <v>100000</v>
      </c>
      <c r="T22" s="473" t="s">
        <v>37</v>
      </c>
      <c r="U22" s="473"/>
      <c r="V22" s="1562">
        <v>12</v>
      </c>
      <c r="W22" s="2075" t="s">
        <v>488</v>
      </c>
      <c r="X22" s="719" t="s">
        <v>489</v>
      </c>
      <c r="Y22" s="1563">
        <f t="shared" si="1"/>
        <v>1200</v>
      </c>
      <c r="Z22" s="2106">
        <f>Q22*S22*V22</f>
        <v>1200000</v>
      </c>
      <c r="AA22" s="1560"/>
      <c r="AB22" s="669"/>
    </row>
    <row r="23" spans="1:30" ht="21.75" customHeight="1">
      <c r="A23" s="466"/>
      <c r="B23" s="564"/>
      <c r="C23" s="564"/>
      <c r="D23" s="624"/>
      <c r="E23" s="1331"/>
      <c r="F23" s="578"/>
      <c r="G23" s="578"/>
      <c r="H23" s="579"/>
      <c r="I23" s="1341"/>
      <c r="J23" s="1342" t="s">
        <v>1709</v>
      </c>
      <c r="K23" s="510"/>
      <c r="L23" s="510"/>
      <c r="M23" s="510"/>
      <c r="N23" s="617"/>
      <c r="O23" s="510"/>
      <c r="P23" s="510"/>
      <c r="Q23" s="507"/>
      <c r="R23" s="510"/>
      <c r="S23" s="617">
        <v>250000</v>
      </c>
      <c r="T23" s="510" t="s">
        <v>37</v>
      </c>
      <c r="U23" s="510"/>
      <c r="V23" s="1343">
        <v>22</v>
      </c>
      <c r="W23" s="510" t="s">
        <v>259</v>
      </c>
      <c r="X23" s="581" t="s">
        <v>38</v>
      </c>
      <c r="Y23" s="478">
        <f t="shared" si="1"/>
        <v>5500</v>
      </c>
      <c r="Z23" s="473">
        <f>S23*V23</f>
        <v>5500000</v>
      </c>
      <c r="AA23" s="1560"/>
      <c r="AB23" s="669"/>
      <c r="AC23" s="1564"/>
    </row>
    <row r="24" spans="1:30" ht="21.75" customHeight="1">
      <c r="A24" s="466"/>
      <c r="B24" s="2958"/>
      <c r="C24" s="2013"/>
      <c r="D24" s="2035"/>
      <c r="E24" s="624" t="s">
        <v>352</v>
      </c>
      <c r="F24" s="590">
        <f>+Y24</f>
        <v>1600</v>
      </c>
      <c r="G24" s="590">
        <v>1600</v>
      </c>
      <c r="H24" s="534"/>
      <c r="I24" s="634"/>
      <c r="J24" s="1312" t="s">
        <v>1792</v>
      </c>
      <c r="K24" s="1313"/>
      <c r="L24" s="1313"/>
      <c r="M24" s="1313"/>
      <c r="N24" s="889"/>
      <c r="O24" s="1313"/>
      <c r="P24" s="1313"/>
      <c r="Q24" s="1314"/>
      <c r="R24" s="473"/>
      <c r="S24" s="474">
        <v>100000</v>
      </c>
      <c r="T24" s="473" t="s">
        <v>37</v>
      </c>
      <c r="U24" s="473"/>
      <c r="V24" s="473">
        <v>16</v>
      </c>
      <c r="W24" s="473" t="s">
        <v>259</v>
      </c>
      <c r="X24" s="542" t="s">
        <v>38</v>
      </c>
      <c r="Y24" s="478">
        <f t="shared" si="1"/>
        <v>1600</v>
      </c>
      <c r="Z24" s="473">
        <f>S24*V24</f>
        <v>1600000</v>
      </c>
      <c r="AA24" s="1560"/>
      <c r="AB24" s="669"/>
    </row>
    <row r="25" spans="1:30" ht="21.75" customHeight="1">
      <c r="A25" s="1565"/>
      <c r="B25" s="467"/>
      <c r="C25" s="2013"/>
      <c r="D25" s="2035"/>
      <c r="E25" s="1319" t="s">
        <v>229</v>
      </c>
      <c r="F25" s="842">
        <f>+Y25</f>
        <v>2520</v>
      </c>
      <c r="G25" s="842">
        <v>2520</v>
      </c>
      <c r="H25" s="1320"/>
      <c r="I25" s="634"/>
      <c r="J25" s="1566" t="s">
        <v>224</v>
      </c>
      <c r="K25" s="1322"/>
      <c r="L25" s="1322"/>
      <c r="M25" s="1322"/>
      <c r="N25" s="1324"/>
      <c r="O25" s="1322"/>
      <c r="P25" s="1322"/>
      <c r="Q25" s="1325"/>
      <c r="R25" s="1326"/>
      <c r="S25" s="608"/>
      <c r="T25" s="1326"/>
      <c r="U25" s="1326"/>
      <c r="V25" s="1326"/>
      <c r="W25" s="1326"/>
      <c r="X25" s="1559"/>
      <c r="Y25" s="483">
        <f>SUM(Y26:Y28)</f>
        <v>2520</v>
      </c>
      <c r="Z25" s="473">
        <f>SUM(Z26:Z28)</f>
        <v>2520000</v>
      </c>
      <c r="AA25" s="1560"/>
      <c r="AB25" s="669"/>
    </row>
    <row r="26" spans="1:30" s="763" customFormat="1" ht="21.75" customHeight="1">
      <c r="A26" s="1565"/>
      <c r="B26" s="467"/>
      <c r="C26" s="2013"/>
      <c r="D26" s="2035"/>
      <c r="E26" s="624"/>
      <c r="F26" s="824"/>
      <c r="G26" s="824"/>
      <c r="H26" s="551"/>
      <c r="I26" s="634"/>
      <c r="J26" s="1312" t="s">
        <v>490</v>
      </c>
      <c r="K26" s="1313"/>
      <c r="L26" s="1313"/>
      <c r="M26" s="1313"/>
      <c r="N26" s="889"/>
      <c r="O26" s="1313"/>
      <c r="P26" s="1313"/>
      <c r="Q26" s="1314"/>
      <c r="R26" s="473"/>
      <c r="S26" s="474">
        <v>1000000</v>
      </c>
      <c r="T26" s="473" t="s">
        <v>37</v>
      </c>
      <c r="U26" s="473"/>
      <c r="V26" s="473">
        <v>1</v>
      </c>
      <c r="W26" s="473" t="s">
        <v>243</v>
      </c>
      <c r="X26" s="542" t="s">
        <v>38</v>
      </c>
      <c r="Y26" s="483">
        <f>+Z26/1000</f>
        <v>1000</v>
      </c>
      <c r="Z26" s="473">
        <f>S26*V26</f>
        <v>1000000</v>
      </c>
      <c r="AA26" s="1560"/>
      <c r="AB26" s="669"/>
      <c r="AC26" s="565"/>
    </row>
    <row r="27" spans="1:30" s="763" customFormat="1" ht="21.75" customHeight="1">
      <c r="A27" s="1565"/>
      <c r="B27" s="467"/>
      <c r="C27" s="2013"/>
      <c r="D27" s="2035"/>
      <c r="E27" s="624"/>
      <c r="F27" s="824"/>
      <c r="G27" s="824"/>
      <c r="H27" s="551"/>
      <c r="I27" s="634"/>
      <c r="J27" s="1312" t="s">
        <v>491</v>
      </c>
      <c r="K27" s="1313"/>
      <c r="L27" s="1313"/>
      <c r="M27" s="1313"/>
      <c r="N27" s="889"/>
      <c r="O27" s="1313"/>
      <c r="P27" s="1313"/>
      <c r="Q27" s="1314"/>
      <c r="R27" s="473"/>
      <c r="S27" s="474">
        <v>1000000</v>
      </c>
      <c r="T27" s="473" t="s">
        <v>37</v>
      </c>
      <c r="U27" s="473"/>
      <c r="V27" s="473">
        <v>1</v>
      </c>
      <c r="W27" s="473" t="s">
        <v>243</v>
      </c>
      <c r="X27" s="542" t="s">
        <v>38</v>
      </c>
      <c r="Y27" s="483">
        <f t="shared" ref="Y27:Y56" si="2">+Z27/1000</f>
        <v>1000</v>
      </c>
      <c r="Z27" s="473">
        <f>S27*V27</f>
        <v>1000000</v>
      </c>
      <c r="AA27" s="1560"/>
      <c r="AB27" s="669"/>
      <c r="AC27" s="565"/>
    </row>
    <row r="28" spans="1:30" s="763" customFormat="1" ht="21.75" customHeight="1">
      <c r="A28" s="1565"/>
      <c r="B28" s="467"/>
      <c r="C28" s="2013"/>
      <c r="D28" s="2035"/>
      <c r="E28" s="624"/>
      <c r="F28" s="824"/>
      <c r="G28" s="824"/>
      <c r="H28" s="1332"/>
      <c r="I28" s="634"/>
      <c r="J28" s="1567" t="s">
        <v>492</v>
      </c>
      <c r="K28" s="1334"/>
      <c r="L28" s="1334"/>
      <c r="M28" s="1334"/>
      <c r="N28" s="1335"/>
      <c r="O28" s="1334"/>
      <c r="P28" s="1334"/>
      <c r="Q28" s="1336"/>
      <c r="R28" s="510"/>
      <c r="S28" s="617">
        <v>520000</v>
      </c>
      <c r="T28" s="510" t="s">
        <v>37</v>
      </c>
      <c r="U28" s="510"/>
      <c r="V28" s="510">
        <v>1</v>
      </c>
      <c r="W28" s="473" t="s">
        <v>243</v>
      </c>
      <c r="X28" s="581" t="s">
        <v>38</v>
      </c>
      <c r="Y28" s="483">
        <f t="shared" si="2"/>
        <v>520</v>
      </c>
      <c r="Z28" s="473">
        <f>S28*V28</f>
        <v>520000</v>
      </c>
      <c r="AA28" s="1560"/>
      <c r="AB28" s="669"/>
      <c r="AC28" s="565"/>
    </row>
    <row r="29" spans="1:30" s="763" customFormat="1" ht="21.75" customHeight="1">
      <c r="A29" s="466"/>
      <c r="B29" s="2958"/>
      <c r="C29" s="2013"/>
      <c r="D29" s="2035"/>
      <c r="E29" s="1319" t="s">
        <v>445</v>
      </c>
      <c r="F29" s="1568">
        <f>Y29</f>
        <v>9000</v>
      </c>
      <c r="G29" s="1568">
        <v>9000</v>
      </c>
      <c r="H29" s="534"/>
      <c r="I29" s="634"/>
      <c r="J29" s="472" t="s">
        <v>224</v>
      </c>
      <c r="K29" s="1326"/>
      <c r="L29" s="1326"/>
      <c r="M29" s="1326"/>
      <c r="N29" s="608"/>
      <c r="O29" s="1326"/>
      <c r="P29" s="1326"/>
      <c r="Q29" s="1344"/>
      <c r="R29" s="1326"/>
      <c r="S29" s="608"/>
      <c r="T29" s="1326"/>
      <c r="U29" s="1326"/>
      <c r="V29" s="1326"/>
      <c r="W29" s="1326"/>
      <c r="X29" s="1559"/>
      <c r="Y29" s="490">
        <f t="shared" si="2"/>
        <v>9000</v>
      </c>
      <c r="Z29" s="473">
        <f>SUM(Z30:Z31)</f>
        <v>9000000</v>
      </c>
      <c r="AA29" s="1560"/>
      <c r="AB29" s="669"/>
      <c r="AC29" s="565"/>
    </row>
    <row r="30" spans="1:30" ht="21.75" customHeight="1">
      <c r="A30" s="466"/>
      <c r="B30" s="2958"/>
      <c r="C30" s="2013"/>
      <c r="D30" s="2035"/>
      <c r="E30" s="624"/>
      <c r="F30" s="590"/>
      <c r="G30" s="590"/>
      <c r="H30" s="534"/>
      <c r="I30" s="634"/>
      <c r="J30" s="472" t="s">
        <v>493</v>
      </c>
      <c r="K30" s="473"/>
      <c r="L30" s="473"/>
      <c r="M30" s="473"/>
      <c r="N30" s="474"/>
      <c r="O30" s="473"/>
      <c r="P30" s="473"/>
      <c r="Q30" s="475"/>
      <c r="R30" s="473"/>
      <c r="S30" s="474">
        <v>2000000</v>
      </c>
      <c r="T30" s="473" t="s">
        <v>37</v>
      </c>
      <c r="U30" s="473"/>
      <c r="V30" s="473">
        <v>2</v>
      </c>
      <c r="W30" s="473" t="s">
        <v>50</v>
      </c>
      <c r="X30" s="542" t="s">
        <v>38</v>
      </c>
      <c r="Y30" s="483">
        <f t="shared" si="2"/>
        <v>4000</v>
      </c>
      <c r="Z30" s="473">
        <f>S30*V30</f>
        <v>4000000</v>
      </c>
      <c r="AA30" s="1560"/>
      <c r="AB30" s="669"/>
    </row>
    <row r="31" spans="1:30" ht="21.75" customHeight="1">
      <c r="A31" s="466"/>
      <c r="B31" s="2958"/>
      <c r="C31" s="2013"/>
      <c r="D31" s="2035"/>
      <c r="E31" s="1331"/>
      <c r="F31" s="578"/>
      <c r="G31" s="578"/>
      <c r="H31" s="579"/>
      <c r="I31" s="634"/>
      <c r="J31" s="1342" t="s">
        <v>495</v>
      </c>
      <c r="K31" s="510"/>
      <c r="L31" s="510"/>
      <c r="M31" s="510"/>
      <c r="N31" s="617"/>
      <c r="O31" s="510"/>
      <c r="P31" s="510"/>
      <c r="Q31" s="507"/>
      <c r="R31" s="510"/>
      <c r="S31" s="617">
        <v>5000000</v>
      </c>
      <c r="T31" s="510" t="s">
        <v>37</v>
      </c>
      <c r="U31" s="510"/>
      <c r="V31" s="510">
        <v>1</v>
      </c>
      <c r="W31" s="510" t="s">
        <v>226</v>
      </c>
      <c r="X31" s="581" t="s">
        <v>38</v>
      </c>
      <c r="Y31" s="478">
        <f t="shared" si="2"/>
        <v>5000</v>
      </c>
      <c r="Z31" s="473">
        <f>S31*V31</f>
        <v>5000000</v>
      </c>
      <c r="AA31" s="1560"/>
      <c r="AB31" s="669"/>
    </row>
    <row r="32" spans="1:30" ht="21.75" customHeight="1">
      <c r="A32" s="466"/>
      <c r="B32" s="2958"/>
      <c r="C32" s="2013"/>
      <c r="D32" s="2035"/>
      <c r="E32" s="624" t="s">
        <v>496</v>
      </c>
      <c r="F32" s="590">
        <f>Y32</f>
        <v>6000</v>
      </c>
      <c r="G32" s="590">
        <v>6000</v>
      </c>
      <c r="H32" s="534"/>
      <c r="I32" s="634"/>
      <c r="J32" s="472" t="s">
        <v>224</v>
      </c>
      <c r="K32" s="473"/>
      <c r="L32" s="473"/>
      <c r="M32" s="473"/>
      <c r="N32" s="474"/>
      <c r="O32" s="473"/>
      <c r="P32" s="473"/>
      <c r="Q32" s="475"/>
      <c r="R32" s="473"/>
      <c r="S32" s="474"/>
      <c r="T32" s="473"/>
      <c r="U32" s="473"/>
      <c r="V32" s="473"/>
      <c r="W32" s="473"/>
      <c r="X32" s="542"/>
      <c r="Y32" s="483">
        <f t="shared" si="2"/>
        <v>6000</v>
      </c>
      <c r="Z32" s="473">
        <f>SUM(Z33:Z34)</f>
        <v>6000000</v>
      </c>
      <c r="AA32" s="1560"/>
      <c r="AB32" s="669"/>
    </row>
    <row r="33" spans="1:29" ht="21.75" customHeight="1">
      <c r="A33" s="466"/>
      <c r="B33" s="2958"/>
      <c r="C33" s="2013"/>
      <c r="D33" s="2035"/>
      <c r="E33" s="624" t="s">
        <v>378</v>
      </c>
      <c r="F33" s="590"/>
      <c r="G33" s="590"/>
      <c r="H33" s="534"/>
      <c r="I33" s="634"/>
      <c r="J33" s="472" t="s">
        <v>497</v>
      </c>
      <c r="K33" s="473"/>
      <c r="L33" s="473"/>
      <c r="M33" s="473"/>
      <c r="N33" s="474"/>
      <c r="O33" s="473"/>
      <c r="P33" s="473"/>
      <c r="Q33" s="475">
        <v>1</v>
      </c>
      <c r="R33" s="473" t="s">
        <v>498</v>
      </c>
      <c r="S33" s="474">
        <v>100000</v>
      </c>
      <c r="T33" s="473" t="s">
        <v>37</v>
      </c>
      <c r="U33" s="473"/>
      <c r="V33" s="473">
        <v>12</v>
      </c>
      <c r="W33" s="473" t="s">
        <v>228</v>
      </c>
      <c r="X33" s="542" t="s">
        <v>38</v>
      </c>
      <c r="Y33" s="483">
        <f>+Z33/1000</f>
        <v>1200</v>
      </c>
      <c r="Z33" s="473">
        <f>Q33*S33*V33</f>
        <v>1200000</v>
      </c>
      <c r="AA33" s="1560"/>
      <c r="AB33" s="669"/>
    </row>
    <row r="34" spans="1:29" ht="21.75" customHeight="1">
      <c r="A34" s="466"/>
      <c r="B34" s="2958"/>
      <c r="C34" s="2013"/>
      <c r="D34" s="2035"/>
      <c r="E34" s="624"/>
      <c r="F34" s="590"/>
      <c r="G34" s="590"/>
      <c r="H34" s="534"/>
      <c r="I34" s="634"/>
      <c r="J34" s="472" t="s">
        <v>1076</v>
      </c>
      <c r="K34" s="473"/>
      <c r="L34" s="473"/>
      <c r="M34" s="473"/>
      <c r="N34" s="474"/>
      <c r="O34" s="473"/>
      <c r="P34" s="473"/>
      <c r="Q34" s="475">
        <v>2</v>
      </c>
      <c r="R34" s="473" t="s">
        <v>715</v>
      </c>
      <c r="S34" s="474">
        <v>200000</v>
      </c>
      <c r="T34" s="473" t="s">
        <v>0</v>
      </c>
      <c r="U34" s="473"/>
      <c r="V34" s="473">
        <v>12</v>
      </c>
      <c r="W34" s="473" t="s">
        <v>228</v>
      </c>
      <c r="X34" s="542" t="s">
        <v>1</v>
      </c>
      <c r="Y34" s="483">
        <f>+Z34/1000</f>
        <v>4800</v>
      </c>
      <c r="Z34" s="473">
        <f t="shared" ref="Z34" si="3">Q34*S34*V34</f>
        <v>4800000</v>
      </c>
      <c r="AA34" s="1560"/>
      <c r="AB34" s="669"/>
    </row>
    <row r="35" spans="1:29" ht="21.75" customHeight="1">
      <c r="A35" s="466"/>
      <c r="B35" s="2958"/>
      <c r="C35" s="2013"/>
      <c r="D35" s="2035"/>
      <c r="E35" s="1319" t="s">
        <v>18</v>
      </c>
      <c r="F35" s="1568">
        <f>Y35</f>
        <v>35400</v>
      </c>
      <c r="G35" s="1568">
        <v>35400</v>
      </c>
      <c r="H35" s="1561"/>
      <c r="I35" s="634"/>
      <c r="J35" s="1566" t="s">
        <v>224</v>
      </c>
      <c r="K35" s="1326"/>
      <c r="L35" s="1326"/>
      <c r="M35" s="1326"/>
      <c r="N35" s="608"/>
      <c r="O35" s="608"/>
      <c r="P35" s="1326"/>
      <c r="Q35" s="1344"/>
      <c r="R35" s="1326"/>
      <c r="S35" s="1326"/>
      <c r="T35" s="1326"/>
      <c r="U35" s="1326"/>
      <c r="V35" s="1326"/>
      <c r="W35" s="1326"/>
      <c r="X35" s="1559"/>
      <c r="Y35" s="490">
        <f>SUM(Y36:Y40)</f>
        <v>35400</v>
      </c>
      <c r="Z35" s="473">
        <f>SUM(Z36:Z40)</f>
        <v>35400000</v>
      </c>
      <c r="AA35" s="1560"/>
      <c r="AB35" s="669"/>
    </row>
    <row r="36" spans="1:29" ht="21.75" customHeight="1">
      <c r="A36" s="466"/>
      <c r="B36" s="2958"/>
      <c r="C36" s="2013"/>
      <c r="D36" s="2035"/>
      <c r="E36" s="624"/>
      <c r="F36" s="590"/>
      <c r="G36" s="590"/>
      <c r="H36" s="534"/>
      <c r="I36" s="634"/>
      <c r="J36" s="472" t="s">
        <v>500</v>
      </c>
      <c r="K36" s="473"/>
      <c r="L36" s="473"/>
      <c r="M36" s="473"/>
      <c r="N36" s="474"/>
      <c r="O36" s="473"/>
      <c r="P36" s="473"/>
      <c r="Q36" s="475"/>
      <c r="R36" s="473"/>
      <c r="S36" s="474">
        <v>6900000</v>
      </c>
      <c r="T36" s="473" t="s">
        <v>0</v>
      </c>
      <c r="U36" s="473"/>
      <c r="V36" s="473">
        <v>4</v>
      </c>
      <c r="W36" s="473" t="s">
        <v>3</v>
      </c>
      <c r="X36" s="542" t="s">
        <v>1</v>
      </c>
      <c r="Y36" s="483">
        <f>Z36/1000</f>
        <v>27600</v>
      </c>
      <c r="Z36" s="473">
        <f>S36*V36</f>
        <v>27600000</v>
      </c>
      <c r="AA36" s="1560"/>
      <c r="AB36" s="669"/>
    </row>
    <row r="37" spans="1:29" ht="21.75" customHeight="1">
      <c r="A37" s="466"/>
      <c r="B37" s="2958"/>
      <c r="C37" s="2013"/>
      <c r="D37" s="2035"/>
      <c r="E37" s="624"/>
      <c r="F37" s="590"/>
      <c r="G37" s="590"/>
      <c r="H37" s="534"/>
      <c r="I37" s="634"/>
      <c r="J37" s="472" t="s">
        <v>501</v>
      </c>
      <c r="K37" s="473"/>
      <c r="L37" s="473"/>
      <c r="M37" s="473"/>
      <c r="N37" s="474"/>
      <c r="O37" s="473"/>
      <c r="P37" s="473"/>
      <c r="Q37" s="475"/>
      <c r="R37" s="473"/>
      <c r="S37" s="474">
        <v>1000000</v>
      </c>
      <c r="T37" s="473" t="s">
        <v>0</v>
      </c>
      <c r="U37" s="473"/>
      <c r="V37" s="473">
        <v>2</v>
      </c>
      <c r="W37" s="473" t="s">
        <v>3</v>
      </c>
      <c r="X37" s="542" t="s">
        <v>1</v>
      </c>
      <c r="Y37" s="483">
        <f>Z37/1000</f>
        <v>2000</v>
      </c>
      <c r="Z37" s="473">
        <f>S37*V37</f>
        <v>2000000</v>
      </c>
      <c r="AA37" s="1560"/>
      <c r="AB37" s="669"/>
    </row>
    <row r="38" spans="1:29" ht="21.75" customHeight="1">
      <c r="A38" s="466"/>
      <c r="B38" s="2958"/>
      <c r="C38" s="2013"/>
      <c r="D38" s="2035"/>
      <c r="E38" s="624"/>
      <c r="F38" s="590"/>
      <c r="G38" s="590"/>
      <c r="H38" s="534"/>
      <c r="I38" s="634"/>
      <c r="J38" s="472" t="s">
        <v>502</v>
      </c>
      <c r="K38" s="473"/>
      <c r="L38" s="473"/>
      <c r="M38" s="473"/>
      <c r="N38" s="474"/>
      <c r="O38" s="473"/>
      <c r="P38" s="473"/>
      <c r="Q38" s="475"/>
      <c r="R38" s="473"/>
      <c r="S38" s="474">
        <v>1500000</v>
      </c>
      <c r="T38" s="473" t="s">
        <v>0</v>
      </c>
      <c r="U38" s="473"/>
      <c r="V38" s="473">
        <v>2</v>
      </c>
      <c r="W38" s="473" t="s">
        <v>3</v>
      </c>
      <c r="X38" s="542" t="s">
        <v>1</v>
      </c>
      <c r="Y38" s="483">
        <f>Z38/1000</f>
        <v>3000</v>
      </c>
      <c r="Z38" s="473">
        <f>S38*V38</f>
        <v>3000000</v>
      </c>
      <c r="AA38" s="1560"/>
      <c r="AB38" s="669"/>
    </row>
    <row r="39" spans="1:29" ht="21.75" customHeight="1">
      <c r="A39" s="466"/>
      <c r="B39" s="2958"/>
      <c r="C39" s="2013"/>
      <c r="D39" s="2035"/>
      <c r="E39" s="624"/>
      <c r="F39" s="590"/>
      <c r="G39" s="590"/>
      <c r="H39" s="534"/>
      <c r="I39" s="634"/>
      <c r="J39" s="1312" t="s">
        <v>503</v>
      </c>
      <c r="K39" s="1313"/>
      <c r="L39" s="1313"/>
      <c r="M39" s="1313"/>
      <c r="N39" s="889"/>
      <c r="O39" s="1313"/>
      <c r="P39" s="1313"/>
      <c r="Q39" s="1314"/>
      <c r="R39" s="473"/>
      <c r="S39" s="474">
        <v>900000</v>
      </c>
      <c r="T39" s="473" t="s">
        <v>0</v>
      </c>
      <c r="U39" s="473"/>
      <c r="V39" s="473">
        <v>2</v>
      </c>
      <c r="W39" s="473" t="s">
        <v>3</v>
      </c>
      <c r="X39" s="542" t="s">
        <v>1</v>
      </c>
      <c r="Y39" s="483">
        <f>Z39/1000</f>
        <v>1800</v>
      </c>
      <c r="Z39" s="473">
        <f>S39*V39</f>
        <v>1800000</v>
      </c>
      <c r="AA39" s="1560"/>
      <c r="AB39" s="669"/>
    </row>
    <row r="40" spans="1:29" s="479" customFormat="1" ht="21.75" customHeight="1">
      <c r="A40" s="466"/>
      <c r="B40" s="2958"/>
      <c r="C40" s="2013"/>
      <c r="D40" s="2035"/>
      <c r="E40" s="624"/>
      <c r="F40" s="590"/>
      <c r="G40" s="590"/>
      <c r="H40" s="534"/>
      <c r="I40" s="634"/>
      <c r="J40" s="472" t="s">
        <v>504</v>
      </c>
      <c r="K40" s="473"/>
      <c r="L40" s="473"/>
      <c r="M40" s="473"/>
      <c r="N40" s="474"/>
      <c r="O40" s="473"/>
      <c r="P40" s="473"/>
      <c r="Q40" s="475"/>
      <c r="R40" s="473"/>
      <c r="S40" s="474">
        <v>1000000</v>
      </c>
      <c r="T40" s="473" t="s">
        <v>0</v>
      </c>
      <c r="U40" s="473"/>
      <c r="V40" s="473">
        <v>1</v>
      </c>
      <c r="W40" s="473" t="s">
        <v>6</v>
      </c>
      <c r="X40" s="542" t="s">
        <v>1</v>
      </c>
      <c r="Y40" s="483">
        <f>Z40/1000</f>
        <v>1000</v>
      </c>
      <c r="Z40" s="473">
        <f>S40*V40</f>
        <v>1000000</v>
      </c>
      <c r="AA40" s="1560"/>
      <c r="AB40" s="669"/>
      <c r="AC40" s="480"/>
    </row>
    <row r="41" spans="1:29" ht="21.75" customHeight="1">
      <c r="A41" s="466"/>
      <c r="B41" s="2958"/>
      <c r="C41" s="2013"/>
      <c r="D41" s="2035"/>
      <c r="E41" s="1319" t="s">
        <v>264</v>
      </c>
      <c r="F41" s="1568">
        <f>Y41</f>
        <v>37640</v>
      </c>
      <c r="G41" s="1568">
        <v>37640</v>
      </c>
      <c r="H41" s="1561"/>
      <c r="I41" s="634"/>
      <c r="J41" s="1566" t="s">
        <v>224</v>
      </c>
      <c r="K41" s="1326"/>
      <c r="L41" s="1326"/>
      <c r="M41" s="1326"/>
      <c r="N41" s="608"/>
      <c r="O41" s="608"/>
      <c r="P41" s="1326"/>
      <c r="Q41" s="1344"/>
      <c r="R41" s="1326"/>
      <c r="S41" s="1326"/>
      <c r="T41" s="1326"/>
      <c r="U41" s="1326"/>
      <c r="V41" s="1326"/>
      <c r="W41" s="1326"/>
      <c r="X41" s="1559"/>
      <c r="Y41" s="490">
        <f t="shared" si="2"/>
        <v>37640</v>
      </c>
      <c r="Z41" s="473">
        <f>SUM(Z42:Z45)</f>
        <v>37640000</v>
      </c>
      <c r="AA41" s="1560"/>
      <c r="AB41" s="669"/>
    </row>
    <row r="42" spans="1:29" ht="21.75" customHeight="1">
      <c r="A42" s="466"/>
      <c r="B42" s="2958"/>
      <c r="C42" s="2013"/>
      <c r="D42" s="2035"/>
      <c r="E42" s="624"/>
      <c r="F42" s="590"/>
      <c r="G42" s="590"/>
      <c r="H42" s="534"/>
      <c r="I42" s="634"/>
      <c r="J42" s="472" t="s">
        <v>505</v>
      </c>
      <c r="K42" s="473"/>
      <c r="L42" s="473"/>
      <c r="M42" s="473"/>
      <c r="N42" s="474"/>
      <c r="O42" s="473"/>
      <c r="P42" s="473"/>
      <c r="Q42" s="475"/>
      <c r="R42" s="473"/>
      <c r="S42" s="474">
        <v>2200000</v>
      </c>
      <c r="T42" s="473" t="s">
        <v>37</v>
      </c>
      <c r="U42" s="473"/>
      <c r="V42" s="473">
        <v>12</v>
      </c>
      <c r="W42" s="473" t="s">
        <v>228</v>
      </c>
      <c r="X42" s="542" t="s">
        <v>38</v>
      </c>
      <c r="Y42" s="483">
        <f t="shared" si="2"/>
        <v>26400</v>
      </c>
      <c r="Z42" s="473">
        <f>S42*V42</f>
        <v>26400000</v>
      </c>
      <c r="AA42" s="1560"/>
      <c r="AB42" s="669"/>
    </row>
    <row r="43" spans="1:29" s="479" customFormat="1" ht="21.75" customHeight="1">
      <c r="A43" s="466"/>
      <c r="B43" s="2958"/>
      <c r="C43" s="2013"/>
      <c r="D43" s="2035"/>
      <c r="E43" s="624"/>
      <c r="F43" s="590"/>
      <c r="G43" s="590"/>
      <c r="H43" s="534"/>
      <c r="I43" s="634"/>
      <c r="J43" s="472" t="s">
        <v>506</v>
      </c>
      <c r="K43" s="473"/>
      <c r="L43" s="473"/>
      <c r="M43" s="473"/>
      <c r="N43" s="474"/>
      <c r="O43" s="473"/>
      <c r="P43" s="473"/>
      <c r="Q43" s="1569">
        <v>100000</v>
      </c>
      <c r="R43" s="473" t="s">
        <v>414</v>
      </c>
      <c r="S43" s="474">
        <v>30</v>
      </c>
      <c r="T43" s="473" t="s">
        <v>37</v>
      </c>
      <c r="U43" s="473"/>
      <c r="V43" s="473">
        <v>1</v>
      </c>
      <c r="W43" s="473" t="s">
        <v>39</v>
      </c>
      <c r="X43" s="542" t="s">
        <v>38</v>
      </c>
      <c r="Y43" s="483">
        <f t="shared" si="2"/>
        <v>3000</v>
      </c>
      <c r="Z43" s="473">
        <f>S43*Q43*V43</f>
        <v>3000000</v>
      </c>
      <c r="AA43" s="1560"/>
      <c r="AB43" s="669"/>
      <c r="AC43" s="480"/>
    </row>
    <row r="44" spans="1:29" ht="21.75" customHeight="1">
      <c r="A44" s="466"/>
      <c r="B44" s="2958"/>
      <c r="C44" s="2013"/>
      <c r="D44" s="2035"/>
      <c r="E44" s="624"/>
      <c r="F44" s="590"/>
      <c r="G44" s="590"/>
      <c r="H44" s="534"/>
      <c r="I44" s="634"/>
      <c r="J44" s="2081" t="s">
        <v>507</v>
      </c>
      <c r="K44" s="2082"/>
      <c r="L44" s="2082"/>
      <c r="M44" s="2082"/>
      <c r="N44" s="672"/>
      <c r="O44" s="473"/>
      <c r="P44" s="473"/>
      <c r="Q44" s="473">
        <v>50</v>
      </c>
      <c r="R44" s="473" t="s">
        <v>508</v>
      </c>
      <c r="S44" s="474">
        <v>5400</v>
      </c>
      <c r="T44" s="473" t="s">
        <v>37</v>
      </c>
      <c r="U44" s="473"/>
      <c r="V44" s="473">
        <v>12</v>
      </c>
      <c r="W44" s="473" t="s">
        <v>39</v>
      </c>
      <c r="X44" s="542" t="s">
        <v>38</v>
      </c>
      <c r="Y44" s="483">
        <f t="shared" si="2"/>
        <v>3240</v>
      </c>
      <c r="Z44" s="473">
        <f>S44*V44*Q44</f>
        <v>3240000</v>
      </c>
      <c r="AA44" s="1560"/>
      <c r="AB44" s="669"/>
    </row>
    <row r="45" spans="1:29" s="479" customFormat="1" ht="21.75" customHeight="1">
      <c r="A45" s="466"/>
      <c r="B45" s="2958"/>
      <c r="C45" s="2013"/>
      <c r="D45" s="2035"/>
      <c r="E45" s="624"/>
      <c r="F45" s="590"/>
      <c r="G45" s="590"/>
      <c r="H45" s="534"/>
      <c r="I45" s="634"/>
      <c r="J45" s="2081" t="s">
        <v>509</v>
      </c>
      <c r="K45" s="2082"/>
      <c r="L45" s="2082"/>
      <c r="M45" s="2082"/>
      <c r="N45" s="672"/>
      <c r="O45" s="473"/>
      <c r="P45" s="473"/>
      <c r="Q45" s="473">
        <v>20</v>
      </c>
      <c r="R45" s="473" t="s">
        <v>510</v>
      </c>
      <c r="S45" s="474">
        <v>125000</v>
      </c>
      <c r="T45" s="473" t="s">
        <v>37</v>
      </c>
      <c r="U45" s="473"/>
      <c r="V45" s="473">
        <v>2</v>
      </c>
      <c r="W45" s="473" t="s">
        <v>39</v>
      </c>
      <c r="X45" s="542" t="s">
        <v>38</v>
      </c>
      <c r="Y45" s="483">
        <f t="shared" si="2"/>
        <v>5000</v>
      </c>
      <c r="Z45" s="473">
        <f>S45*V45*Q45</f>
        <v>5000000</v>
      </c>
      <c r="AA45" s="1560"/>
      <c r="AB45" s="669"/>
      <c r="AC45" s="480"/>
    </row>
    <row r="46" spans="1:29" ht="21.75" customHeight="1">
      <c r="A46" s="466"/>
      <c r="B46" s="2958"/>
      <c r="C46" s="2013"/>
      <c r="D46" s="2035"/>
      <c r="E46" s="1319" t="s">
        <v>511</v>
      </c>
      <c r="F46" s="1568">
        <f>Y46</f>
        <v>283200</v>
      </c>
      <c r="G46" s="1568">
        <v>283200</v>
      </c>
      <c r="H46" s="1561"/>
      <c r="I46" s="634"/>
      <c r="J46" s="1566" t="s">
        <v>224</v>
      </c>
      <c r="K46" s="1326"/>
      <c r="L46" s="1326"/>
      <c r="M46" s="1326"/>
      <c r="N46" s="608"/>
      <c r="O46" s="608"/>
      <c r="P46" s="1326"/>
      <c r="Q46" s="1344"/>
      <c r="R46" s="1326"/>
      <c r="S46" s="1326"/>
      <c r="T46" s="1326"/>
      <c r="U46" s="1326"/>
      <c r="V46" s="1326"/>
      <c r="W46" s="1326"/>
      <c r="X46" s="1559"/>
      <c r="Y46" s="490">
        <f t="shared" si="2"/>
        <v>283200</v>
      </c>
      <c r="Z46" s="473">
        <f>SUM(Z47:Z49)</f>
        <v>283200000</v>
      </c>
      <c r="AA46" s="1560"/>
      <c r="AB46" s="669"/>
    </row>
    <row r="47" spans="1:29" ht="21.75" customHeight="1">
      <c r="A47" s="466"/>
      <c r="B47" s="2958"/>
      <c r="C47" s="2013"/>
      <c r="D47" s="2035"/>
      <c r="E47" s="624"/>
      <c r="F47" s="590"/>
      <c r="G47" s="590"/>
      <c r="H47" s="534"/>
      <c r="I47" s="634"/>
      <c r="J47" s="472" t="s">
        <v>512</v>
      </c>
      <c r="K47" s="473"/>
      <c r="L47" s="473"/>
      <c r="M47" s="473"/>
      <c r="N47" s="474"/>
      <c r="O47" s="473"/>
      <c r="P47" s="473"/>
      <c r="Q47" s="475"/>
      <c r="R47" s="473"/>
      <c r="S47" s="474">
        <v>14000000</v>
      </c>
      <c r="T47" s="473" t="s">
        <v>37</v>
      </c>
      <c r="U47" s="473"/>
      <c r="V47" s="475">
        <v>12</v>
      </c>
      <c r="W47" s="473" t="s">
        <v>228</v>
      </c>
      <c r="X47" s="542" t="s">
        <v>38</v>
      </c>
      <c r="Y47" s="483">
        <f t="shared" si="2"/>
        <v>168000</v>
      </c>
      <c r="Z47" s="473">
        <f>+V47*S47</f>
        <v>168000000</v>
      </c>
      <c r="AA47" s="1560"/>
      <c r="AB47" s="669"/>
    </row>
    <row r="48" spans="1:29" ht="21.75" customHeight="1">
      <c r="A48" s="466"/>
      <c r="B48" s="2958"/>
      <c r="C48" s="2013"/>
      <c r="D48" s="2035"/>
      <c r="E48" s="624"/>
      <c r="F48" s="590"/>
      <c r="G48" s="590"/>
      <c r="H48" s="534"/>
      <c r="I48" s="634"/>
      <c r="J48" s="472" t="s">
        <v>513</v>
      </c>
      <c r="K48" s="473"/>
      <c r="L48" s="473"/>
      <c r="M48" s="473"/>
      <c r="N48" s="474"/>
      <c r="O48" s="474"/>
      <c r="P48" s="473"/>
      <c r="Q48" s="475"/>
      <c r="R48" s="473"/>
      <c r="S48" s="474">
        <v>8400000</v>
      </c>
      <c r="T48" s="473" t="s">
        <v>37</v>
      </c>
      <c r="U48" s="473"/>
      <c r="V48" s="475">
        <v>12</v>
      </c>
      <c r="W48" s="473" t="s">
        <v>228</v>
      </c>
      <c r="X48" s="542" t="s">
        <v>38</v>
      </c>
      <c r="Y48" s="483">
        <f t="shared" si="2"/>
        <v>100800</v>
      </c>
      <c r="Z48" s="473">
        <f>+V48*S48</f>
        <v>100800000</v>
      </c>
      <c r="AA48" s="1560"/>
      <c r="AB48" s="669"/>
    </row>
    <row r="49" spans="1:340" ht="21.75" customHeight="1">
      <c r="A49" s="466"/>
      <c r="B49" s="2958"/>
      <c r="C49" s="2013"/>
      <c r="D49" s="2035"/>
      <c r="E49" s="624"/>
      <c r="F49" s="590"/>
      <c r="G49" s="590"/>
      <c r="H49" s="534"/>
      <c r="I49" s="634"/>
      <c r="J49" s="472" t="s">
        <v>514</v>
      </c>
      <c r="K49" s="473"/>
      <c r="L49" s="473"/>
      <c r="M49" s="473"/>
      <c r="N49" s="474"/>
      <c r="O49" s="474"/>
      <c r="P49" s="473"/>
      <c r="Q49" s="475"/>
      <c r="R49" s="473"/>
      <c r="S49" s="474">
        <v>1200000</v>
      </c>
      <c r="T49" s="473" t="s">
        <v>37</v>
      </c>
      <c r="U49" s="473"/>
      <c r="V49" s="475">
        <v>12</v>
      </c>
      <c r="W49" s="473" t="s">
        <v>228</v>
      </c>
      <c r="X49" s="542" t="s">
        <v>38</v>
      </c>
      <c r="Y49" s="483">
        <f t="shared" si="2"/>
        <v>14400</v>
      </c>
      <c r="Z49" s="473">
        <f>+V49*S49</f>
        <v>14400000</v>
      </c>
      <c r="AA49" s="1560"/>
      <c r="AB49" s="669"/>
    </row>
    <row r="50" spans="1:340" ht="21.75" customHeight="1">
      <c r="A50" s="466"/>
      <c r="B50" s="2958"/>
      <c r="C50" s="2013"/>
      <c r="D50" s="2035"/>
      <c r="E50" s="1319" t="s">
        <v>515</v>
      </c>
      <c r="F50" s="1568">
        <f>Y50</f>
        <v>10934.999999999993</v>
      </c>
      <c r="G50" s="1568">
        <v>10934.999999999993</v>
      </c>
      <c r="H50" s="1561"/>
      <c r="I50" s="634"/>
      <c r="J50" s="1566" t="s">
        <v>224</v>
      </c>
      <c r="K50" s="1326"/>
      <c r="L50" s="1326"/>
      <c r="M50" s="1326"/>
      <c r="N50" s="608"/>
      <c r="O50" s="608"/>
      <c r="P50" s="1326"/>
      <c r="Q50" s="1344"/>
      <c r="R50" s="1326"/>
      <c r="S50" s="1326"/>
      <c r="T50" s="1326"/>
      <c r="U50" s="1326"/>
      <c r="V50" s="1326"/>
      <c r="W50" s="1326"/>
      <c r="X50" s="1559" t="s">
        <v>489</v>
      </c>
      <c r="Y50" s="490">
        <f>+Z50/1000</f>
        <v>10934.999999999993</v>
      </c>
      <c r="Z50" s="473">
        <f>SUM(Z51:Z52)</f>
        <v>10934999.999999993</v>
      </c>
      <c r="AA50" s="1560"/>
      <c r="AB50" s="669"/>
    </row>
    <row r="51" spans="1:340" ht="21.75" customHeight="1">
      <c r="A51" s="466"/>
      <c r="B51" s="2958"/>
      <c r="C51" s="2013"/>
      <c r="D51" s="2035"/>
      <c r="E51" s="624"/>
      <c r="F51" s="590"/>
      <c r="G51" s="590"/>
      <c r="H51" s="534"/>
      <c r="I51" s="634"/>
      <c r="J51" s="472" t="s">
        <v>516</v>
      </c>
      <c r="K51" s="473"/>
      <c r="L51" s="473"/>
      <c r="M51" s="473"/>
      <c r="N51" s="474"/>
      <c r="O51" s="474"/>
      <c r="P51" s="473"/>
      <c r="Q51" s="475"/>
      <c r="R51" s="473"/>
      <c r="S51" s="473">
        <v>691666.66666666605</v>
      </c>
      <c r="T51" s="473" t="s">
        <v>37</v>
      </c>
      <c r="U51" s="473"/>
      <c r="V51" s="473">
        <v>12</v>
      </c>
      <c r="W51" s="473" t="s">
        <v>228</v>
      </c>
      <c r="X51" s="542" t="s">
        <v>38</v>
      </c>
      <c r="Y51" s="483">
        <f>+Z51/1000</f>
        <v>8299.9999999999927</v>
      </c>
      <c r="Z51" s="473">
        <f>S51*V51</f>
        <v>8299999.9999999925</v>
      </c>
      <c r="AA51" s="1560"/>
      <c r="AB51" s="669"/>
    </row>
    <row r="52" spans="1:340" ht="21.75" customHeight="1">
      <c r="A52" s="466"/>
      <c r="B52" s="2958"/>
      <c r="C52" s="2013"/>
      <c r="D52" s="2035"/>
      <c r="E52" s="624"/>
      <c r="F52" s="590"/>
      <c r="G52" s="590"/>
      <c r="H52" s="534"/>
      <c r="I52" s="634"/>
      <c r="J52" s="472" t="s">
        <v>1789</v>
      </c>
      <c r="K52" s="473"/>
      <c r="L52" s="473"/>
      <c r="M52" s="473"/>
      <c r="N52" s="474"/>
      <c r="O52" s="474"/>
      <c r="P52" s="473"/>
      <c r="Q52" s="475"/>
      <c r="R52" s="473"/>
      <c r="S52" s="473">
        <v>2635000000</v>
      </c>
      <c r="T52" s="510" t="s">
        <v>37</v>
      </c>
      <c r="U52" s="473"/>
      <c r="V52" s="1570">
        <v>1E-3</v>
      </c>
      <c r="W52" s="473"/>
      <c r="X52" s="542" t="s">
        <v>489</v>
      </c>
      <c r="Y52" s="483">
        <f>+Z52/1000</f>
        <v>2635</v>
      </c>
      <c r="Z52" s="473">
        <f>+V52*S52</f>
        <v>2635000</v>
      </c>
      <c r="AA52" s="1560"/>
      <c r="AB52" s="669"/>
    </row>
    <row r="53" spans="1:340" ht="21.75" customHeight="1">
      <c r="A53" s="466"/>
      <c r="B53" s="2958"/>
      <c r="C53" s="2013"/>
      <c r="D53" s="2035"/>
      <c r="E53" s="1319" t="s">
        <v>225</v>
      </c>
      <c r="F53" s="1568">
        <f>Y53</f>
        <v>18300</v>
      </c>
      <c r="G53" s="1568">
        <v>18300</v>
      </c>
      <c r="H53" s="1561"/>
      <c r="I53" s="634"/>
      <c r="J53" s="1566" t="s">
        <v>224</v>
      </c>
      <c r="K53" s="1326"/>
      <c r="L53" s="1326"/>
      <c r="M53" s="1326"/>
      <c r="N53" s="608"/>
      <c r="O53" s="608"/>
      <c r="P53" s="1326"/>
      <c r="Q53" s="1344"/>
      <c r="R53" s="1326"/>
      <c r="S53" s="1326"/>
      <c r="T53" s="1326"/>
      <c r="U53" s="1326"/>
      <c r="V53" s="1326"/>
      <c r="W53" s="1326"/>
      <c r="X53" s="1559"/>
      <c r="Y53" s="490">
        <f t="shared" si="2"/>
        <v>18300</v>
      </c>
      <c r="Z53" s="473">
        <f>SUM(Z54:Z56)</f>
        <v>18300000</v>
      </c>
      <c r="AA53" s="1560"/>
      <c r="AB53" s="669"/>
    </row>
    <row r="54" spans="1:340" ht="21.75" customHeight="1">
      <c r="A54" s="466"/>
      <c r="B54" s="2958"/>
      <c r="C54" s="2013"/>
      <c r="D54" s="2035"/>
      <c r="E54" s="624" t="s">
        <v>378</v>
      </c>
      <c r="F54" s="590"/>
      <c r="G54" s="590"/>
      <c r="H54" s="534"/>
      <c r="I54" s="634"/>
      <c r="J54" s="472" t="s">
        <v>268</v>
      </c>
      <c r="K54" s="473"/>
      <c r="L54" s="473"/>
      <c r="M54" s="473"/>
      <c r="N54" s="474"/>
      <c r="O54" s="888" t="s">
        <v>517</v>
      </c>
      <c r="P54" s="1313" t="s">
        <v>227</v>
      </c>
      <c r="Q54" s="1314" t="s">
        <v>518</v>
      </c>
      <c r="R54" s="473" t="s">
        <v>232</v>
      </c>
      <c r="S54" s="474">
        <v>20000</v>
      </c>
      <c r="T54" s="473" t="s">
        <v>37</v>
      </c>
      <c r="U54" s="473"/>
      <c r="V54" s="1571">
        <v>12</v>
      </c>
      <c r="W54" s="473" t="s">
        <v>228</v>
      </c>
      <c r="X54" s="542" t="s">
        <v>38</v>
      </c>
      <c r="Y54" s="483">
        <f t="shared" si="2"/>
        <v>16320</v>
      </c>
      <c r="Z54" s="473">
        <f>SUM(O54*Q54*S54*V54)</f>
        <v>16320000</v>
      </c>
      <c r="AA54" s="1560"/>
      <c r="AB54" s="669"/>
    </row>
    <row r="55" spans="1:340" ht="21.75" customHeight="1">
      <c r="A55" s="466"/>
      <c r="B55" s="2958"/>
      <c r="C55" s="2013"/>
      <c r="D55" s="2035"/>
      <c r="E55" s="624"/>
      <c r="F55" s="590"/>
      <c r="G55" s="590"/>
      <c r="H55" s="534"/>
      <c r="I55" s="634"/>
      <c r="J55" s="472" t="s">
        <v>519</v>
      </c>
      <c r="K55" s="473"/>
      <c r="L55" s="473"/>
      <c r="M55" s="473"/>
      <c r="N55" s="474"/>
      <c r="O55" s="888" t="s">
        <v>520</v>
      </c>
      <c r="P55" s="1313" t="s">
        <v>521</v>
      </c>
      <c r="Q55" s="1314" t="s">
        <v>522</v>
      </c>
      <c r="R55" s="473" t="s">
        <v>232</v>
      </c>
      <c r="S55" s="474">
        <v>3000</v>
      </c>
      <c r="T55" s="473" t="s">
        <v>37</v>
      </c>
      <c r="U55" s="473"/>
      <c r="V55" s="1571">
        <v>12</v>
      </c>
      <c r="W55" s="473" t="s">
        <v>228</v>
      </c>
      <c r="X55" s="542" t="s">
        <v>38</v>
      </c>
      <c r="Y55" s="483">
        <f t="shared" si="2"/>
        <v>720</v>
      </c>
      <c r="Z55" s="473">
        <f>SUM(O55*Q55*S55*V55)</f>
        <v>720000</v>
      </c>
      <c r="AA55" s="1560"/>
      <c r="AB55" s="669"/>
    </row>
    <row r="56" spans="1:340" ht="21.75" customHeight="1">
      <c r="A56" s="466"/>
      <c r="B56" s="2958"/>
      <c r="C56" s="2013"/>
      <c r="D56" s="2035"/>
      <c r="E56" s="1331"/>
      <c r="F56" s="578"/>
      <c r="G56" s="578"/>
      <c r="H56" s="579"/>
      <c r="I56" s="634"/>
      <c r="J56" s="1342" t="s">
        <v>523</v>
      </c>
      <c r="K56" s="510"/>
      <c r="L56" s="510"/>
      <c r="M56" s="510"/>
      <c r="N56" s="617"/>
      <c r="O56" s="1572" t="s">
        <v>524</v>
      </c>
      <c r="P56" s="1334" t="s">
        <v>525</v>
      </c>
      <c r="Q56" s="1336" t="s">
        <v>522</v>
      </c>
      <c r="R56" s="510" t="s">
        <v>232</v>
      </c>
      <c r="S56" s="617">
        <v>3500</v>
      </c>
      <c r="T56" s="510" t="s">
        <v>37</v>
      </c>
      <c r="U56" s="510"/>
      <c r="V56" s="1573">
        <v>12</v>
      </c>
      <c r="W56" s="510" t="s">
        <v>228</v>
      </c>
      <c r="X56" s="581" t="s">
        <v>38</v>
      </c>
      <c r="Y56" s="478">
        <f t="shared" si="2"/>
        <v>1260</v>
      </c>
      <c r="Z56" s="473">
        <f>SUM(O56*Q56*S56*V56)</f>
        <v>1260000</v>
      </c>
      <c r="AA56" s="1560"/>
      <c r="AB56" s="669"/>
    </row>
    <row r="57" spans="1:340" ht="21.75" customHeight="1">
      <c r="A57" s="466"/>
      <c r="B57" s="2958"/>
      <c r="C57" s="2013"/>
      <c r="D57" s="2035"/>
      <c r="E57" s="624" t="s">
        <v>379</v>
      </c>
      <c r="F57" s="590">
        <f>Y57</f>
        <v>94242</v>
      </c>
      <c r="G57" s="590">
        <v>94242</v>
      </c>
      <c r="H57" s="534"/>
      <c r="I57" s="634"/>
      <c r="J57" s="472" t="s">
        <v>224</v>
      </c>
      <c r="K57" s="473"/>
      <c r="L57" s="473"/>
      <c r="M57" s="473"/>
      <c r="N57" s="474"/>
      <c r="O57" s="473"/>
      <c r="P57" s="473"/>
      <c r="Q57" s="475"/>
      <c r="R57" s="473"/>
      <c r="S57" s="474"/>
      <c r="T57" s="473"/>
      <c r="U57" s="473"/>
      <c r="V57" s="473"/>
      <c r="W57" s="473"/>
      <c r="X57" s="542"/>
      <c r="Y57" s="483">
        <f>SUM(Y58:Y59)</f>
        <v>94242</v>
      </c>
      <c r="Z57" s="473">
        <f>SUM(Z58:Z59)</f>
        <v>94241600</v>
      </c>
      <c r="AA57" s="1560"/>
      <c r="AB57" s="669"/>
    </row>
    <row r="58" spans="1:340" ht="21.75" customHeight="1">
      <c r="A58" s="466"/>
      <c r="B58" s="2958"/>
      <c r="C58" s="2013"/>
      <c r="D58" s="2035"/>
      <c r="E58" s="624"/>
      <c r="F58" s="590"/>
      <c r="G58" s="590"/>
      <c r="H58" s="534"/>
      <c r="I58" s="634"/>
      <c r="J58" s="472" t="s">
        <v>526</v>
      </c>
      <c r="K58" s="473"/>
      <c r="L58" s="473"/>
      <c r="M58" s="473"/>
      <c r="N58" s="474"/>
      <c r="O58" s="473"/>
      <c r="P58" s="473"/>
      <c r="Q58" s="475">
        <v>4741</v>
      </c>
      <c r="R58" s="473" t="s">
        <v>527</v>
      </c>
      <c r="S58" s="474">
        <v>8800</v>
      </c>
      <c r="T58" s="473" t="s">
        <v>37</v>
      </c>
      <c r="U58" s="473"/>
      <c r="V58" s="473">
        <v>2</v>
      </c>
      <c r="W58" s="473" t="s">
        <v>39</v>
      </c>
      <c r="X58" s="542" t="s">
        <v>38</v>
      </c>
      <c r="Y58" s="483">
        <v>83442</v>
      </c>
      <c r="Z58" s="473">
        <f>Q58*S58*V58</f>
        <v>83441600</v>
      </c>
      <c r="AA58" s="1560"/>
      <c r="AB58" s="669"/>
      <c r="AC58" s="480"/>
      <c r="AD58" s="479"/>
      <c r="AE58" s="479"/>
      <c r="AF58" s="479"/>
      <c r="AG58" s="479"/>
      <c r="AH58" s="479"/>
      <c r="AI58" s="479"/>
      <c r="AJ58" s="479"/>
      <c r="AK58" s="479"/>
      <c r="AL58" s="479"/>
      <c r="AM58" s="479"/>
      <c r="AN58" s="479"/>
      <c r="AO58" s="479"/>
      <c r="AP58" s="479"/>
      <c r="AQ58" s="479"/>
      <c r="AR58" s="479"/>
      <c r="AS58" s="479"/>
      <c r="AT58" s="479"/>
      <c r="AU58" s="479"/>
      <c r="AV58" s="479"/>
      <c r="AW58" s="479"/>
      <c r="AX58" s="479"/>
      <c r="AY58" s="479"/>
      <c r="AZ58" s="479"/>
      <c r="BA58" s="479"/>
      <c r="BB58" s="479"/>
      <c r="BC58" s="479"/>
      <c r="BD58" s="479"/>
      <c r="BE58" s="479"/>
      <c r="BF58" s="479"/>
      <c r="BG58" s="479"/>
      <c r="BH58" s="479"/>
      <c r="BI58" s="479"/>
      <c r="BJ58" s="479"/>
      <c r="BK58" s="479"/>
      <c r="BL58" s="479"/>
      <c r="BM58" s="479"/>
      <c r="BN58" s="479"/>
      <c r="BO58" s="479"/>
      <c r="BP58" s="479"/>
      <c r="BQ58" s="479"/>
      <c r="BR58" s="479"/>
      <c r="BS58" s="479"/>
      <c r="BT58" s="479"/>
      <c r="BU58" s="479"/>
      <c r="BV58" s="479"/>
      <c r="BW58" s="479"/>
      <c r="BX58" s="479"/>
      <c r="BY58" s="479"/>
      <c r="BZ58" s="479"/>
      <c r="CA58" s="479"/>
      <c r="CB58" s="479"/>
      <c r="CC58" s="479"/>
      <c r="CD58" s="479"/>
      <c r="CE58" s="479"/>
      <c r="CF58" s="479"/>
      <c r="CG58" s="479"/>
      <c r="CH58" s="479"/>
      <c r="CI58" s="479"/>
      <c r="CJ58" s="479"/>
      <c r="CK58" s="479"/>
      <c r="CL58" s="479"/>
      <c r="CM58" s="479"/>
      <c r="CN58" s="479"/>
      <c r="CO58" s="479"/>
      <c r="CP58" s="479"/>
      <c r="CQ58" s="479"/>
      <c r="CR58" s="479"/>
      <c r="CS58" s="479"/>
      <c r="CT58" s="479"/>
      <c r="CU58" s="479"/>
      <c r="CV58" s="479"/>
      <c r="CW58" s="479"/>
      <c r="CX58" s="479"/>
      <c r="CY58" s="479"/>
      <c r="CZ58" s="479"/>
      <c r="DA58" s="479"/>
      <c r="DB58" s="479"/>
      <c r="DC58" s="479"/>
      <c r="DD58" s="479"/>
      <c r="DE58" s="479"/>
      <c r="DF58" s="479"/>
      <c r="DG58" s="479"/>
      <c r="DH58" s="479"/>
      <c r="DI58" s="479"/>
      <c r="DJ58" s="479"/>
      <c r="DK58" s="479"/>
      <c r="DL58" s="479"/>
      <c r="DM58" s="479"/>
      <c r="DN58" s="479"/>
      <c r="DO58" s="479"/>
      <c r="DP58" s="479"/>
      <c r="DQ58" s="479"/>
      <c r="DR58" s="479"/>
      <c r="DS58" s="479"/>
      <c r="DT58" s="479"/>
      <c r="DU58" s="479"/>
      <c r="DV58" s="479"/>
      <c r="DW58" s="479"/>
      <c r="DX58" s="479"/>
      <c r="DY58" s="479"/>
      <c r="DZ58" s="479"/>
      <c r="EA58" s="479"/>
      <c r="EB58" s="479"/>
      <c r="EC58" s="479"/>
      <c r="ED58" s="479"/>
      <c r="EE58" s="479"/>
      <c r="EF58" s="479"/>
      <c r="EG58" s="479"/>
      <c r="EH58" s="479"/>
      <c r="EI58" s="479"/>
      <c r="EJ58" s="479"/>
      <c r="EK58" s="479"/>
      <c r="EL58" s="479"/>
      <c r="EM58" s="479"/>
      <c r="EN58" s="479"/>
      <c r="EO58" s="479"/>
      <c r="EP58" s="479"/>
      <c r="EQ58" s="479"/>
      <c r="ER58" s="479"/>
      <c r="ES58" s="479"/>
      <c r="ET58" s="479"/>
      <c r="EU58" s="479"/>
      <c r="EV58" s="479"/>
      <c r="EW58" s="479"/>
      <c r="EX58" s="479"/>
      <c r="EY58" s="479"/>
      <c r="EZ58" s="479"/>
      <c r="FA58" s="479"/>
      <c r="FB58" s="479"/>
      <c r="FC58" s="479"/>
      <c r="FD58" s="479"/>
      <c r="FE58" s="479"/>
      <c r="FF58" s="479"/>
      <c r="FG58" s="479"/>
      <c r="FH58" s="479"/>
      <c r="FI58" s="479"/>
      <c r="FJ58" s="479"/>
      <c r="FK58" s="479"/>
      <c r="FL58" s="479"/>
      <c r="FM58" s="479"/>
      <c r="FN58" s="479"/>
      <c r="FO58" s="479"/>
      <c r="FP58" s="479"/>
      <c r="FQ58" s="479"/>
      <c r="FR58" s="479"/>
      <c r="FS58" s="479"/>
      <c r="FT58" s="479"/>
      <c r="FU58" s="479"/>
      <c r="FV58" s="479"/>
      <c r="FW58" s="479"/>
      <c r="FX58" s="479"/>
      <c r="FY58" s="479"/>
      <c r="FZ58" s="479"/>
      <c r="GA58" s="479"/>
      <c r="GB58" s="479"/>
      <c r="GC58" s="479"/>
      <c r="GD58" s="479"/>
      <c r="GE58" s="479"/>
      <c r="GF58" s="479"/>
      <c r="GG58" s="479"/>
      <c r="GH58" s="479"/>
      <c r="GI58" s="479"/>
      <c r="GJ58" s="479"/>
      <c r="GK58" s="479"/>
      <c r="GL58" s="479"/>
      <c r="GM58" s="479"/>
      <c r="GN58" s="479"/>
      <c r="GO58" s="479"/>
      <c r="GP58" s="479"/>
      <c r="GQ58" s="479"/>
      <c r="GR58" s="479"/>
      <c r="GS58" s="479"/>
      <c r="GT58" s="479"/>
      <c r="GU58" s="479"/>
      <c r="GV58" s="479"/>
      <c r="GW58" s="479"/>
      <c r="GX58" s="479"/>
      <c r="GY58" s="479"/>
      <c r="GZ58" s="479"/>
      <c r="HA58" s="479"/>
      <c r="HB58" s="479"/>
      <c r="HC58" s="479"/>
      <c r="HD58" s="479"/>
      <c r="HE58" s="479"/>
      <c r="HF58" s="479"/>
      <c r="HG58" s="479"/>
      <c r="HH58" s="479"/>
      <c r="HI58" s="479"/>
      <c r="HJ58" s="479"/>
      <c r="HK58" s="479"/>
      <c r="HL58" s="479"/>
      <c r="HM58" s="479"/>
      <c r="HN58" s="479"/>
      <c r="HO58" s="479"/>
      <c r="HP58" s="479"/>
      <c r="HQ58" s="479"/>
      <c r="HR58" s="479"/>
      <c r="HS58" s="479"/>
      <c r="HT58" s="479"/>
      <c r="HU58" s="479"/>
      <c r="HV58" s="479"/>
      <c r="HW58" s="479"/>
      <c r="HX58" s="479"/>
      <c r="HY58" s="479"/>
      <c r="HZ58" s="479"/>
      <c r="IA58" s="479"/>
      <c r="IB58" s="479"/>
      <c r="IC58" s="479"/>
      <c r="ID58" s="479"/>
      <c r="IE58" s="479"/>
      <c r="IF58" s="479"/>
      <c r="IG58" s="479"/>
      <c r="IH58" s="479"/>
      <c r="II58" s="479"/>
      <c r="IJ58" s="479"/>
      <c r="IK58" s="479"/>
      <c r="IL58" s="479"/>
      <c r="IM58" s="479"/>
      <c r="IN58" s="479"/>
      <c r="IO58" s="479"/>
      <c r="IP58" s="479"/>
      <c r="IQ58" s="479"/>
      <c r="IR58" s="479"/>
      <c r="IS58" s="479"/>
      <c r="IT58" s="479"/>
      <c r="IU58" s="479"/>
      <c r="IV58" s="479"/>
      <c r="IW58" s="479"/>
      <c r="IX58" s="479"/>
      <c r="IY58" s="479"/>
      <c r="IZ58" s="479"/>
      <c r="JA58" s="479"/>
      <c r="JB58" s="479"/>
      <c r="JC58" s="479"/>
      <c r="JD58" s="479"/>
      <c r="JE58" s="479"/>
      <c r="JF58" s="479"/>
      <c r="JG58" s="479"/>
      <c r="JH58" s="479"/>
      <c r="JI58" s="479"/>
      <c r="JJ58" s="479"/>
      <c r="JK58" s="479"/>
      <c r="JL58" s="479"/>
      <c r="JM58" s="479"/>
      <c r="JN58" s="479"/>
      <c r="JO58" s="479"/>
      <c r="JP58" s="479"/>
      <c r="JQ58" s="479"/>
      <c r="JR58" s="479"/>
      <c r="JS58" s="479"/>
      <c r="JT58" s="479"/>
      <c r="JU58" s="479"/>
      <c r="JV58" s="479"/>
      <c r="JW58" s="479"/>
      <c r="JX58" s="479"/>
      <c r="JY58" s="479"/>
      <c r="JZ58" s="479"/>
      <c r="KA58" s="479"/>
      <c r="KB58" s="479"/>
      <c r="KC58" s="479"/>
      <c r="KD58" s="479"/>
      <c r="KE58" s="479"/>
      <c r="KF58" s="479"/>
      <c r="KG58" s="479"/>
      <c r="KH58" s="479"/>
      <c r="KI58" s="479"/>
      <c r="KJ58" s="479"/>
      <c r="KK58" s="479"/>
      <c r="KL58" s="479"/>
      <c r="KM58" s="479"/>
      <c r="KN58" s="479"/>
      <c r="KO58" s="479"/>
      <c r="KP58" s="479"/>
      <c r="KQ58" s="479"/>
      <c r="KR58" s="479"/>
      <c r="KS58" s="479"/>
      <c r="KT58" s="479"/>
      <c r="KU58" s="479"/>
      <c r="KV58" s="479"/>
      <c r="KW58" s="479"/>
      <c r="KX58" s="479"/>
      <c r="KY58" s="479"/>
      <c r="KZ58" s="479"/>
      <c r="LA58" s="479"/>
      <c r="LB58" s="479"/>
      <c r="LC58" s="479"/>
      <c r="LD58" s="479"/>
      <c r="LE58" s="479"/>
      <c r="LF58" s="479"/>
      <c r="LG58" s="479"/>
      <c r="LH58" s="479"/>
      <c r="LI58" s="479"/>
      <c r="LJ58" s="479"/>
      <c r="LK58" s="479"/>
      <c r="LL58" s="479"/>
      <c r="LM58" s="479"/>
      <c r="LN58" s="479"/>
      <c r="LO58" s="479"/>
      <c r="LP58" s="479"/>
      <c r="LQ58" s="479"/>
      <c r="LR58" s="479"/>
      <c r="LS58" s="479"/>
      <c r="LT58" s="479"/>
      <c r="LU58" s="479"/>
      <c r="LV58" s="479"/>
      <c r="LW58" s="479"/>
      <c r="LX58" s="479"/>
      <c r="LY58" s="479"/>
      <c r="LZ58" s="479"/>
      <c r="MA58" s="479"/>
      <c r="MB58" s="479"/>
    </row>
    <row r="59" spans="1:340" ht="21.75" customHeight="1">
      <c r="A59" s="466"/>
      <c r="B59" s="2958"/>
      <c r="C59" s="2013"/>
      <c r="D59" s="2035"/>
      <c r="E59" s="624" t="s">
        <v>378</v>
      </c>
      <c r="F59" s="590" t="s">
        <v>378</v>
      </c>
      <c r="G59" s="590" t="s">
        <v>20</v>
      </c>
      <c r="H59" s="534"/>
      <c r="I59" s="634"/>
      <c r="J59" s="472" t="s">
        <v>528</v>
      </c>
      <c r="K59" s="473"/>
      <c r="L59" s="473"/>
      <c r="M59" s="473"/>
      <c r="N59" s="474"/>
      <c r="O59" s="473"/>
      <c r="P59" s="473"/>
      <c r="Q59" s="475">
        <v>3</v>
      </c>
      <c r="R59" s="473" t="s">
        <v>510</v>
      </c>
      <c r="S59" s="474">
        <v>300000</v>
      </c>
      <c r="T59" s="473" t="s">
        <v>529</v>
      </c>
      <c r="U59" s="473"/>
      <c r="V59" s="473">
        <v>12</v>
      </c>
      <c r="W59" s="473" t="s">
        <v>231</v>
      </c>
      <c r="X59" s="542" t="s">
        <v>489</v>
      </c>
      <c r="Y59" s="483">
        <f>+Z59/1000</f>
        <v>10800</v>
      </c>
      <c r="Z59" s="473">
        <f>+Q59*S59*V59</f>
        <v>10800000</v>
      </c>
      <c r="AA59" s="1560"/>
      <c r="AB59" s="669"/>
      <c r="AC59" s="480"/>
      <c r="AD59" s="479"/>
      <c r="AE59" s="479"/>
      <c r="AF59" s="479"/>
      <c r="AG59" s="479"/>
      <c r="AH59" s="479"/>
      <c r="AI59" s="479"/>
      <c r="AJ59" s="479"/>
      <c r="AK59" s="479"/>
      <c r="AL59" s="479"/>
      <c r="AM59" s="479"/>
      <c r="AN59" s="479"/>
      <c r="AO59" s="479"/>
      <c r="AP59" s="479"/>
      <c r="AQ59" s="479"/>
      <c r="AR59" s="479"/>
      <c r="AS59" s="479"/>
      <c r="AT59" s="479"/>
      <c r="AU59" s="479"/>
      <c r="AV59" s="479"/>
      <c r="AW59" s="479"/>
      <c r="AX59" s="479"/>
      <c r="AY59" s="479"/>
      <c r="AZ59" s="479"/>
      <c r="BA59" s="479"/>
      <c r="BB59" s="479"/>
      <c r="BC59" s="479"/>
      <c r="BD59" s="479"/>
      <c r="BE59" s="479"/>
      <c r="BF59" s="479"/>
      <c r="BG59" s="479"/>
      <c r="BH59" s="479"/>
      <c r="BI59" s="479"/>
      <c r="BJ59" s="479"/>
      <c r="BK59" s="479"/>
      <c r="BL59" s="479"/>
      <c r="BM59" s="479"/>
      <c r="BN59" s="479"/>
      <c r="BO59" s="479"/>
      <c r="BP59" s="479"/>
      <c r="BQ59" s="479"/>
      <c r="BR59" s="479"/>
      <c r="BS59" s="479"/>
      <c r="BT59" s="479"/>
      <c r="BU59" s="479"/>
      <c r="BV59" s="479"/>
      <c r="BW59" s="479"/>
      <c r="BX59" s="479"/>
      <c r="BY59" s="479"/>
      <c r="BZ59" s="479"/>
      <c r="CA59" s="479"/>
      <c r="CB59" s="479"/>
      <c r="CC59" s="479"/>
      <c r="CD59" s="479"/>
      <c r="CE59" s="479"/>
      <c r="CF59" s="479"/>
      <c r="CG59" s="479"/>
      <c r="CH59" s="479"/>
      <c r="CI59" s="479"/>
      <c r="CJ59" s="479"/>
      <c r="CK59" s="479"/>
      <c r="CL59" s="479"/>
      <c r="CM59" s="479"/>
      <c r="CN59" s="479"/>
      <c r="CO59" s="479"/>
      <c r="CP59" s="479"/>
      <c r="CQ59" s="479"/>
      <c r="CR59" s="479"/>
      <c r="CS59" s="479"/>
      <c r="CT59" s="479"/>
      <c r="CU59" s="479"/>
      <c r="CV59" s="479"/>
      <c r="CW59" s="479"/>
      <c r="CX59" s="479"/>
      <c r="CY59" s="479"/>
      <c r="CZ59" s="479"/>
      <c r="DA59" s="479"/>
      <c r="DB59" s="479"/>
      <c r="DC59" s="479"/>
      <c r="DD59" s="479"/>
      <c r="DE59" s="479"/>
      <c r="DF59" s="479"/>
      <c r="DG59" s="479"/>
      <c r="DH59" s="479"/>
      <c r="DI59" s="479"/>
      <c r="DJ59" s="479"/>
      <c r="DK59" s="479"/>
      <c r="DL59" s="479"/>
      <c r="DM59" s="479"/>
      <c r="DN59" s="479"/>
      <c r="DO59" s="479"/>
      <c r="DP59" s="479"/>
      <c r="DQ59" s="479"/>
      <c r="DR59" s="479"/>
      <c r="DS59" s="479"/>
      <c r="DT59" s="479"/>
      <c r="DU59" s="479"/>
      <c r="DV59" s="479"/>
      <c r="DW59" s="479"/>
      <c r="DX59" s="479"/>
      <c r="DY59" s="479"/>
      <c r="DZ59" s="479"/>
      <c r="EA59" s="479"/>
      <c r="EB59" s="479"/>
      <c r="EC59" s="479"/>
      <c r="ED59" s="479"/>
      <c r="EE59" s="479"/>
      <c r="EF59" s="479"/>
      <c r="EG59" s="479"/>
      <c r="EH59" s="479"/>
      <c r="EI59" s="479"/>
      <c r="EJ59" s="479"/>
      <c r="EK59" s="479"/>
      <c r="EL59" s="479"/>
      <c r="EM59" s="479"/>
      <c r="EN59" s="479"/>
      <c r="EO59" s="479"/>
      <c r="EP59" s="479"/>
      <c r="EQ59" s="479"/>
      <c r="ER59" s="479"/>
      <c r="ES59" s="479"/>
      <c r="ET59" s="479"/>
      <c r="EU59" s="479"/>
      <c r="EV59" s="479"/>
      <c r="EW59" s="479"/>
      <c r="EX59" s="479"/>
      <c r="EY59" s="479"/>
      <c r="EZ59" s="479"/>
      <c r="FA59" s="479"/>
      <c r="FB59" s="479"/>
      <c r="FC59" s="479"/>
      <c r="FD59" s="479"/>
      <c r="FE59" s="479"/>
      <c r="FF59" s="479"/>
      <c r="FG59" s="479"/>
      <c r="FH59" s="479"/>
      <c r="FI59" s="479"/>
      <c r="FJ59" s="479"/>
      <c r="FK59" s="479"/>
      <c r="FL59" s="479"/>
      <c r="FM59" s="479"/>
      <c r="FN59" s="479"/>
      <c r="FO59" s="479"/>
      <c r="FP59" s="479"/>
      <c r="FQ59" s="479"/>
      <c r="FR59" s="479"/>
      <c r="FS59" s="479"/>
      <c r="FT59" s="479"/>
      <c r="FU59" s="479"/>
      <c r="FV59" s="479"/>
      <c r="FW59" s="479"/>
      <c r="FX59" s="479"/>
      <c r="FY59" s="479"/>
      <c r="FZ59" s="479"/>
      <c r="GA59" s="479"/>
      <c r="GB59" s="479"/>
      <c r="GC59" s="479"/>
      <c r="GD59" s="479"/>
      <c r="GE59" s="479"/>
      <c r="GF59" s="479"/>
      <c r="GG59" s="479"/>
      <c r="GH59" s="479"/>
      <c r="GI59" s="479"/>
      <c r="GJ59" s="479"/>
      <c r="GK59" s="479"/>
      <c r="GL59" s="479"/>
      <c r="GM59" s="479"/>
      <c r="GN59" s="479"/>
      <c r="GO59" s="479"/>
      <c r="GP59" s="479"/>
      <c r="GQ59" s="479"/>
      <c r="GR59" s="479"/>
      <c r="GS59" s="479"/>
      <c r="GT59" s="479"/>
      <c r="GU59" s="479"/>
      <c r="GV59" s="479"/>
      <c r="GW59" s="479"/>
      <c r="GX59" s="479"/>
      <c r="GY59" s="479"/>
      <c r="GZ59" s="479"/>
      <c r="HA59" s="479"/>
      <c r="HB59" s="479"/>
      <c r="HC59" s="479"/>
      <c r="HD59" s="479"/>
      <c r="HE59" s="479"/>
      <c r="HF59" s="479"/>
      <c r="HG59" s="479"/>
      <c r="HH59" s="479"/>
      <c r="HI59" s="479"/>
      <c r="HJ59" s="479"/>
      <c r="HK59" s="479"/>
      <c r="HL59" s="479"/>
      <c r="HM59" s="479"/>
      <c r="HN59" s="479"/>
      <c r="HO59" s="479"/>
      <c r="HP59" s="479"/>
      <c r="HQ59" s="479"/>
      <c r="HR59" s="479"/>
      <c r="HS59" s="479"/>
      <c r="HT59" s="479"/>
      <c r="HU59" s="479"/>
      <c r="HV59" s="479"/>
      <c r="HW59" s="479"/>
      <c r="HX59" s="479"/>
      <c r="HY59" s="479"/>
      <c r="HZ59" s="479"/>
      <c r="IA59" s="479"/>
      <c r="IB59" s="479"/>
      <c r="IC59" s="479"/>
      <c r="ID59" s="479"/>
      <c r="IE59" s="479"/>
      <c r="IF59" s="479"/>
      <c r="IG59" s="479"/>
      <c r="IH59" s="479"/>
      <c r="II59" s="479"/>
      <c r="IJ59" s="479"/>
      <c r="IK59" s="479"/>
      <c r="IL59" s="479"/>
      <c r="IM59" s="479"/>
      <c r="IN59" s="479"/>
      <c r="IO59" s="479"/>
      <c r="IP59" s="479"/>
      <c r="IQ59" s="479"/>
      <c r="IR59" s="479"/>
      <c r="IS59" s="479"/>
      <c r="IT59" s="479"/>
      <c r="IU59" s="479"/>
      <c r="IV59" s="479"/>
      <c r="IW59" s="479"/>
      <c r="IX59" s="479"/>
      <c r="IY59" s="479"/>
      <c r="IZ59" s="479"/>
      <c r="JA59" s="479"/>
      <c r="JB59" s="479"/>
      <c r="JC59" s="479"/>
      <c r="JD59" s="479"/>
      <c r="JE59" s="479"/>
      <c r="JF59" s="479"/>
      <c r="JG59" s="479"/>
      <c r="JH59" s="479"/>
      <c r="JI59" s="479"/>
      <c r="JJ59" s="479"/>
      <c r="JK59" s="479"/>
      <c r="JL59" s="479"/>
      <c r="JM59" s="479"/>
      <c r="JN59" s="479"/>
      <c r="JO59" s="479"/>
      <c r="JP59" s="479"/>
      <c r="JQ59" s="479"/>
      <c r="JR59" s="479"/>
      <c r="JS59" s="479"/>
      <c r="JT59" s="479"/>
      <c r="JU59" s="479"/>
      <c r="JV59" s="479"/>
      <c r="JW59" s="479"/>
      <c r="JX59" s="479"/>
      <c r="JY59" s="479"/>
      <c r="JZ59" s="479"/>
      <c r="KA59" s="479"/>
      <c r="KB59" s="479"/>
      <c r="KC59" s="479"/>
      <c r="KD59" s="479"/>
      <c r="KE59" s="479"/>
      <c r="KF59" s="479"/>
      <c r="KG59" s="479"/>
      <c r="KH59" s="479"/>
      <c r="KI59" s="479"/>
      <c r="KJ59" s="479"/>
      <c r="KK59" s="479"/>
      <c r="KL59" s="479"/>
      <c r="KM59" s="479"/>
      <c r="KN59" s="479"/>
      <c r="KO59" s="479"/>
      <c r="KP59" s="479"/>
      <c r="KQ59" s="479"/>
      <c r="KR59" s="479"/>
      <c r="KS59" s="479"/>
      <c r="KT59" s="479"/>
      <c r="KU59" s="479"/>
      <c r="KV59" s="479"/>
      <c r="KW59" s="479"/>
      <c r="KX59" s="479"/>
      <c r="KY59" s="479"/>
      <c r="KZ59" s="479"/>
      <c r="LA59" s="479"/>
      <c r="LB59" s="479"/>
      <c r="LC59" s="479"/>
      <c r="LD59" s="479"/>
      <c r="LE59" s="479"/>
      <c r="LF59" s="479"/>
      <c r="LG59" s="479"/>
      <c r="LH59" s="479"/>
      <c r="LI59" s="479"/>
      <c r="LJ59" s="479"/>
      <c r="LK59" s="479"/>
      <c r="LL59" s="479"/>
      <c r="LM59" s="479"/>
      <c r="LN59" s="479"/>
      <c r="LO59" s="479"/>
      <c r="LP59" s="479"/>
      <c r="LQ59" s="479"/>
      <c r="LR59" s="479"/>
      <c r="LS59" s="479"/>
      <c r="LT59" s="479"/>
      <c r="LU59" s="479"/>
      <c r="LV59" s="479"/>
      <c r="LW59" s="479"/>
      <c r="LX59" s="479"/>
      <c r="LY59" s="479"/>
      <c r="LZ59" s="479"/>
      <c r="MA59" s="479"/>
      <c r="MB59" s="479"/>
    </row>
    <row r="60" spans="1:340" ht="21.75" customHeight="1">
      <c r="A60" s="466"/>
      <c r="B60" s="2958"/>
      <c r="C60" s="2013"/>
      <c r="D60" s="2035"/>
      <c r="E60" s="1319" t="s">
        <v>255</v>
      </c>
      <c r="F60" s="1568">
        <f>+Y60</f>
        <v>1920</v>
      </c>
      <c r="G60" s="1568">
        <v>1920</v>
      </c>
      <c r="H60" s="1561"/>
      <c r="I60" s="634"/>
      <c r="J60" s="1348" t="s">
        <v>1721</v>
      </c>
      <c r="K60" s="621"/>
      <c r="L60" s="621"/>
      <c r="M60" s="621"/>
      <c r="N60" s="545"/>
      <c r="O60" s="621"/>
      <c r="P60" s="621"/>
      <c r="Q60" s="1349">
        <v>8</v>
      </c>
      <c r="R60" s="621" t="s">
        <v>266</v>
      </c>
      <c r="S60" s="545">
        <v>20000</v>
      </c>
      <c r="T60" s="621" t="s">
        <v>37</v>
      </c>
      <c r="U60" s="621"/>
      <c r="V60" s="621">
        <v>12</v>
      </c>
      <c r="W60" s="621" t="s">
        <v>228</v>
      </c>
      <c r="X60" s="585" t="s">
        <v>38</v>
      </c>
      <c r="Y60" s="517">
        <f>+Z60/1000</f>
        <v>1920</v>
      </c>
      <c r="Z60" s="473">
        <f>S60*Q60*V60</f>
        <v>1920000</v>
      </c>
      <c r="AA60" s="1560"/>
      <c r="AB60" s="669"/>
      <c r="AC60" s="480"/>
      <c r="AD60" s="479"/>
      <c r="AE60" s="479"/>
      <c r="AF60" s="479"/>
      <c r="AG60" s="479"/>
      <c r="AH60" s="479"/>
      <c r="AI60" s="479"/>
      <c r="AJ60" s="479"/>
      <c r="AK60" s="479"/>
      <c r="AL60" s="479"/>
      <c r="AM60" s="479"/>
      <c r="AN60" s="479"/>
      <c r="AO60" s="479"/>
      <c r="AP60" s="479"/>
      <c r="AQ60" s="479"/>
      <c r="AR60" s="479"/>
      <c r="AS60" s="479"/>
      <c r="AT60" s="479"/>
      <c r="AU60" s="479"/>
      <c r="AV60" s="479"/>
      <c r="AW60" s="479"/>
      <c r="AX60" s="479"/>
      <c r="AY60" s="479"/>
      <c r="AZ60" s="479"/>
      <c r="BA60" s="479"/>
      <c r="BB60" s="479"/>
      <c r="BC60" s="479"/>
      <c r="BD60" s="479"/>
      <c r="BE60" s="479"/>
      <c r="BF60" s="479"/>
      <c r="BG60" s="479"/>
      <c r="BH60" s="479"/>
      <c r="BI60" s="479"/>
      <c r="BJ60" s="479"/>
      <c r="BK60" s="479"/>
      <c r="BL60" s="479"/>
      <c r="BM60" s="479"/>
      <c r="BN60" s="479"/>
      <c r="BO60" s="479"/>
      <c r="BP60" s="479"/>
      <c r="BQ60" s="479"/>
      <c r="BR60" s="479"/>
      <c r="BS60" s="479"/>
      <c r="BT60" s="479"/>
      <c r="BU60" s="479"/>
      <c r="BV60" s="479"/>
      <c r="BW60" s="479"/>
      <c r="BX60" s="479"/>
      <c r="BY60" s="479"/>
      <c r="BZ60" s="479"/>
      <c r="CA60" s="479"/>
      <c r="CB60" s="479"/>
      <c r="CC60" s="479"/>
      <c r="CD60" s="479"/>
      <c r="CE60" s="479"/>
      <c r="CF60" s="479"/>
      <c r="CG60" s="479"/>
      <c r="CH60" s="479"/>
      <c r="CI60" s="479"/>
      <c r="CJ60" s="479"/>
      <c r="CK60" s="479"/>
      <c r="CL60" s="479"/>
      <c r="CM60" s="479"/>
      <c r="CN60" s="479"/>
      <c r="CO60" s="479"/>
      <c r="CP60" s="479"/>
      <c r="CQ60" s="479"/>
      <c r="CR60" s="479"/>
      <c r="CS60" s="479"/>
      <c r="CT60" s="479"/>
      <c r="CU60" s="479"/>
      <c r="CV60" s="479"/>
      <c r="CW60" s="479"/>
      <c r="CX60" s="479"/>
      <c r="CY60" s="479"/>
      <c r="CZ60" s="479"/>
      <c r="DA60" s="479"/>
      <c r="DB60" s="479"/>
      <c r="DC60" s="479"/>
      <c r="DD60" s="479"/>
      <c r="DE60" s="479"/>
      <c r="DF60" s="479"/>
      <c r="DG60" s="479"/>
      <c r="DH60" s="479"/>
      <c r="DI60" s="479"/>
      <c r="DJ60" s="479"/>
      <c r="DK60" s="479"/>
      <c r="DL60" s="479"/>
      <c r="DM60" s="479"/>
      <c r="DN60" s="479"/>
      <c r="DO60" s="479"/>
      <c r="DP60" s="479"/>
      <c r="DQ60" s="479"/>
      <c r="DR60" s="479"/>
      <c r="DS60" s="479"/>
      <c r="DT60" s="479"/>
      <c r="DU60" s="479"/>
      <c r="DV60" s="479"/>
      <c r="DW60" s="479"/>
      <c r="DX60" s="479"/>
      <c r="DY60" s="479"/>
      <c r="DZ60" s="479"/>
      <c r="EA60" s="479"/>
      <c r="EB60" s="479"/>
      <c r="EC60" s="479"/>
      <c r="ED60" s="479"/>
      <c r="EE60" s="479"/>
      <c r="EF60" s="479"/>
      <c r="EG60" s="479"/>
      <c r="EH60" s="479"/>
      <c r="EI60" s="479"/>
      <c r="EJ60" s="479"/>
      <c r="EK60" s="479"/>
      <c r="EL60" s="479"/>
      <c r="EM60" s="479"/>
      <c r="EN60" s="479"/>
      <c r="EO60" s="479"/>
      <c r="EP60" s="479"/>
      <c r="EQ60" s="479"/>
      <c r="ER60" s="479"/>
      <c r="ES60" s="479"/>
      <c r="ET60" s="479"/>
      <c r="EU60" s="479"/>
      <c r="EV60" s="479"/>
      <c r="EW60" s="479"/>
      <c r="EX60" s="479"/>
      <c r="EY60" s="479"/>
      <c r="EZ60" s="479"/>
      <c r="FA60" s="479"/>
      <c r="FB60" s="479"/>
      <c r="FC60" s="479"/>
      <c r="FD60" s="479"/>
      <c r="FE60" s="479"/>
      <c r="FF60" s="479"/>
      <c r="FG60" s="479"/>
      <c r="FH60" s="479"/>
      <c r="FI60" s="479"/>
      <c r="FJ60" s="479"/>
      <c r="FK60" s="479"/>
      <c r="FL60" s="479"/>
      <c r="FM60" s="479"/>
      <c r="FN60" s="479"/>
      <c r="FO60" s="479"/>
      <c r="FP60" s="479"/>
      <c r="FQ60" s="479"/>
      <c r="FR60" s="479"/>
      <c r="FS60" s="479"/>
      <c r="FT60" s="479"/>
      <c r="FU60" s="479"/>
      <c r="FV60" s="479"/>
      <c r="FW60" s="479"/>
      <c r="FX60" s="479"/>
      <c r="FY60" s="479"/>
      <c r="FZ60" s="479"/>
      <c r="GA60" s="479"/>
      <c r="GB60" s="479"/>
      <c r="GC60" s="479"/>
      <c r="GD60" s="479"/>
      <c r="GE60" s="479"/>
      <c r="GF60" s="479"/>
      <c r="GG60" s="479"/>
      <c r="GH60" s="479"/>
      <c r="GI60" s="479"/>
      <c r="GJ60" s="479"/>
      <c r="GK60" s="479"/>
      <c r="GL60" s="479"/>
      <c r="GM60" s="479"/>
      <c r="GN60" s="479"/>
      <c r="GO60" s="479"/>
      <c r="GP60" s="479"/>
      <c r="GQ60" s="479"/>
      <c r="GR60" s="479"/>
      <c r="GS60" s="479"/>
      <c r="GT60" s="479"/>
      <c r="GU60" s="479"/>
      <c r="GV60" s="479"/>
      <c r="GW60" s="479"/>
      <c r="GX60" s="479"/>
      <c r="GY60" s="479"/>
      <c r="GZ60" s="479"/>
      <c r="HA60" s="479"/>
      <c r="HB60" s="479"/>
      <c r="HC60" s="479"/>
      <c r="HD60" s="479"/>
      <c r="HE60" s="479"/>
      <c r="HF60" s="479"/>
      <c r="HG60" s="479"/>
      <c r="HH60" s="479"/>
      <c r="HI60" s="479"/>
      <c r="HJ60" s="479"/>
      <c r="HK60" s="479"/>
      <c r="HL60" s="479"/>
      <c r="HM60" s="479"/>
      <c r="HN60" s="479"/>
      <c r="HO60" s="479"/>
      <c r="HP60" s="479"/>
      <c r="HQ60" s="479"/>
      <c r="HR60" s="479"/>
      <c r="HS60" s="479"/>
      <c r="HT60" s="479"/>
      <c r="HU60" s="479"/>
      <c r="HV60" s="479"/>
      <c r="HW60" s="479"/>
      <c r="HX60" s="479"/>
      <c r="HY60" s="479"/>
      <c r="HZ60" s="479"/>
      <c r="IA60" s="479"/>
      <c r="IB60" s="479"/>
      <c r="IC60" s="479"/>
      <c r="ID60" s="479"/>
      <c r="IE60" s="479"/>
      <c r="IF60" s="479"/>
      <c r="IG60" s="479"/>
      <c r="IH60" s="479"/>
      <c r="II60" s="479"/>
      <c r="IJ60" s="479"/>
      <c r="IK60" s="479"/>
      <c r="IL60" s="479"/>
      <c r="IM60" s="479"/>
      <c r="IN60" s="479"/>
      <c r="IO60" s="479"/>
      <c r="IP60" s="479"/>
      <c r="IQ60" s="479"/>
      <c r="IR60" s="479"/>
      <c r="IS60" s="479"/>
      <c r="IT60" s="479"/>
      <c r="IU60" s="479"/>
      <c r="IV60" s="479"/>
      <c r="IW60" s="479"/>
      <c r="IX60" s="479"/>
      <c r="IY60" s="479"/>
      <c r="IZ60" s="479"/>
      <c r="JA60" s="479"/>
      <c r="JB60" s="479"/>
      <c r="JC60" s="479"/>
      <c r="JD60" s="479"/>
      <c r="JE60" s="479"/>
      <c r="JF60" s="479"/>
      <c r="JG60" s="479"/>
      <c r="JH60" s="479"/>
      <c r="JI60" s="479"/>
      <c r="JJ60" s="479"/>
      <c r="JK60" s="479"/>
      <c r="JL60" s="479"/>
      <c r="JM60" s="479"/>
      <c r="JN60" s="479"/>
      <c r="JO60" s="479"/>
      <c r="JP60" s="479"/>
      <c r="JQ60" s="479"/>
      <c r="JR60" s="479"/>
      <c r="JS60" s="479"/>
      <c r="JT60" s="479"/>
      <c r="JU60" s="479"/>
      <c r="JV60" s="479"/>
      <c r="JW60" s="479"/>
      <c r="JX60" s="479"/>
      <c r="JY60" s="479"/>
      <c r="JZ60" s="479"/>
      <c r="KA60" s="479"/>
      <c r="KB60" s="479"/>
      <c r="KC60" s="479"/>
      <c r="KD60" s="479"/>
      <c r="KE60" s="479"/>
      <c r="KF60" s="479"/>
      <c r="KG60" s="479"/>
      <c r="KH60" s="479"/>
      <c r="KI60" s="479"/>
      <c r="KJ60" s="479"/>
      <c r="KK60" s="479"/>
      <c r="KL60" s="479"/>
      <c r="KM60" s="479"/>
      <c r="KN60" s="479"/>
      <c r="KO60" s="479"/>
      <c r="KP60" s="479"/>
      <c r="KQ60" s="479"/>
      <c r="KR60" s="479"/>
      <c r="KS60" s="479"/>
      <c r="KT60" s="479"/>
      <c r="KU60" s="479"/>
      <c r="KV60" s="479"/>
      <c r="KW60" s="479"/>
      <c r="KX60" s="479"/>
      <c r="KY60" s="479"/>
      <c r="KZ60" s="479"/>
      <c r="LA60" s="479"/>
      <c r="LB60" s="479"/>
      <c r="LC60" s="479"/>
      <c r="LD60" s="479"/>
      <c r="LE60" s="479"/>
      <c r="LF60" s="479"/>
      <c r="LG60" s="479"/>
      <c r="LH60" s="479"/>
      <c r="LI60" s="479"/>
      <c r="LJ60" s="479"/>
      <c r="LK60" s="479"/>
      <c r="LL60" s="479"/>
      <c r="LM60" s="479"/>
      <c r="LN60" s="479"/>
      <c r="LO60" s="479"/>
      <c r="LP60" s="479"/>
      <c r="LQ60" s="479"/>
      <c r="LR60" s="479"/>
      <c r="LS60" s="479"/>
      <c r="LT60" s="479"/>
      <c r="LU60" s="479"/>
      <c r="LV60" s="479"/>
      <c r="LW60" s="479"/>
      <c r="LX60" s="479"/>
      <c r="LY60" s="479"/>
      <c r="LZ60" s="479"/>
      <c r="MA60" s="479"/>
      <c r="MB60" s="479"/>
    </row>
    <row r="61" spans="1:340" ht="21.75" customHeight="1">
      <c r="A61" s="466"/>
      <c r="B61" s="2958"/>
      <c r="C61" s="2013"/>
      <c r="D61" s="2035"/>
      <c r="E61" s="1319" t="s">
        <v>380</v>
      </c>
      <c r="F61" s="1568">
        <f>Y61</f>
        <v>18240</v>
      </c>
      <c r="G61" s="1568">
        <v>18240</v>
      </c>
      <c r="H61" s="1561"/>
      <c r="I61" s="634"/>
      <c r="J61" s="1566" t="s">
        <v>224</v>
      </c>
      <c r="K61" s="1326"/>
      <c r="L61" s="1326"/>
      <c r="M61" s="1326"/>
      <c r="N61" s="608"/>
      <c r="O61" s="608"/>
      <c r="P61" s="1326"/>
      <c r="Q61" s="1344"/>
      <c r="R61" s="1326"/>
      <c r="S61" s="1326"/>
      <c r="T61" s="1326"/>
      <c r="U61" s="1326"/>
      <c r="V61" s="1326"/>
      <c r="W61" s="1326"/>
      <c r="X61" s="1559"/>
      <c r="Y61" s="490">
        <f>SUM(Y62:Y66)</f>
        <v>18240</v>
      </c>
      <c r="Z61" s="473">
        <f>SUM(Z62:Z66)</f>
        <v>18240000</v>
      </c>
      <c r="AA61" s="1560"/>
      <c r="AB61" s="669"/>
    </row>
    <row r="62" spans="1:340" ht="21.75" customHeight="1">
      <c r="A62" s="466"/>
      <c r="B62" s="2958"/>
      <c r="C62" s="2013"/>
      <c r="D62" s="2035"/>
      <c r="E62" s="624"/>
      <c r="F62" s="590"/>
      <c r="G62" s="590"/>
      <c r="H62" s="534"/>
      <c r="I62" s="634"/>
      <c r="J62" s="472" t="s">
        <v>531</v>
      </c>
      <c r="K62" s="473"/>
      <c r="L62" s="473"/>
      <c r="M62" s="473"/>
      <c r="N62" s="474"/>
      <c r="O62" s="473"/>
      <c r="P62" s="473"/>
      <c r="Q62" s="475"/>
      <c r="R62" s="473"/>
      <c r="S62" s="474">
        <v>300000</v>
      </c>
      <c r="T62" s="473" t="s">
        <v>37</v>
      </c>
      <c r="U62" s="473"/>
      <c r="V62" s="473">
        <v>12</v>
      </c>
      <c r="W62" s="473" t="s">
        <v>228</v>
      </c>
      <c r="X62" s="542" t="s">
        <v>38</v>
      </c>
      <c r="Y62" s="483">
        <f t="shared" ref="Y62:Y72" si="4">+Z62/1000</f>
        <v>3600</v>
      </c>
      <c r="Z62" s="473">
        <f>S62*V62</f>
        <v>3600000</v>
      </c>
      <c r="AA62" s="1560"/>
      <c r="AB62" s="669"/>
      <c r="AC62" s="480"/>
      <c r="AD62" s="479"/>
      <c r="AE62" s="479"/>
      <c r="AF62" s="479"/>
      <c r="AG62" s="479"/>
      <c r="AH62" s="479"/>
      <c r="AI62" s="479"/>
      <c r="AJ62" s="479"/>
      <c r="AK62" s="479"/>
      <c r="AL62" s="479"/>
      <c r="AM62" s="479"/>
      <c r="AN62" s="479"/>
      <c r="AO62" s="479"/>
      <c r="AP62" s="479"/>
      <c r="AQ62" s="479"/>
      <c r="AR62" s="479"/>
      <c r="AS62" s="479"/>
      <c r="AT62" s="479"/>
      <c r="AU62" s="479"/>
      <c r="AV62" s="479"/>
      <c r="AW62" s="479"/>
      <c r="AX62" s="479"/>
      <c r="AY62" s="479"/>
      <c r="AZ62" s="479"/>
      <c r="BA62" s="479"/>
      <c r="BB62" s="479"/>
      <c r="BC62" s="479"/>
      <c r="BD62" s="479"/>
      <c r="BE62" s="479"/>
      <c r="BF62" s="479"/>
      <c r="BG62" s="479"/>
      <c r="BH62" s="479"/>
      <c r="BI62" s="479"/>
      <c r="BJ62" s="479"/>
      <c r="BK62" s="479"/>
      <c r="BL62" s="479"/>
      <c r="BM62" s="479"/>
      <c r="BN62" s="479"/>
      <c r="BO62" s="479"/>
      <c r="BP62" s="479"/>
      <c r="BQ62" s="479"/>
      <c r="BR62" s="479"/>
      <c r="BS62" s="479"/>
      <c r="BT62" s="479"/>
      <c r="BU62" s="479"/>
      <c r="BV62" s="479"/>
      <c r="BW62" s="479"/>
      <c r="BX62" s="479"/>
      <c r="BY62" s="479"/>
      <c r="BZ62" s="479"/>
      <c r="CA62" s="479"/>
      <c r="CB62" s="479"/>
      <c r="CC62" s="479"/>
      <c r="CD62" s="479"/>
      <c r="CE62" s="479"/>
      <c r="CF62" s="479"/>
      <c r="CG62" s="479"/>
      <c r="CH62" s="479"/>
      <c r="CI62" s="479"/>
      <c r="CJ62" s="479"/>
      <c r="CK62" s="479"/>
      <c r="CL62" s="479"/>
      <c r="CM62" s="479"/>
      <c r="CN62" s="479"/>
      <c r="CO62" s="479"/>
      <c r="CP62" s="479"/>
      <c r="CQ62" s="479"/>
      <c r="CR62" s="479"/>
      <c r="CS62" s="479"/>
      <c r="CT62" s="479"/>
      <c r="CU62" s="479"/>
      <c r="CV62" s="479"/>
      <c r="CW62" s="479"/>
      <c r="CX62" s="479"/>
      <c r="CY62" s="479"/>
      <c r="CZ62" s="479"/>
      <c r="DA62" s="479"/>
      <c r="DB62" s="479"/>
      <c r="DC62" s="479"/>
      <c r="DD62" s="479"/>
      <c r="DE62" s="479"/>
      <c r="DF62" s="479"/>
      <c r="DG62" s="479"/>
      <c r="DH62" s="479"/>
      <c r="DI62" s="479"/>
      <c r="DJ62" s="479"/>
      <c r="DK62" s="479"/>
      <c r="DL62" s="479"/>
      <c r="DM62" s="479"/>
      <c r="DN62" s="479"/>
      <c r="DO62" s="479"/>
      <c r="DP62" s="479"/>
      <c r="DQ62" s="479"/>
      <c r="DR62" s="479"/>
      <c r="DS62" s="479"/>
      <c r="DT62" s="479"/>
      <c r="DU62" s="479"/>
      <c r="DV62" s="479"/>
      <c r="DW62" s="479"/>
      <c r="DX62" s="479"/>
      <c r="DY62" s="479"/>
      <c r="DZ62" s="479"/>
      <c r="EA62" s="479"/>
      <c r="EB62" s="479"/>
      <c r="EC62" s="479"/>
      <c r="ED62" s="479"/>
      <c r="EE62" s="479"/>
      <c r="EF62" s="479"/>
      <c r="EG62" s="479"/>
      <c r="EH62" s="479"/>
      <c r="EI62" s="479"/>
      <c r="EJ62" s="479"/>
      <c r="EK62" s="479"/>
      <c r="EL62" s="479"/>
      <c r="EM62" s="479"/>
      <c r="EN62" s="479"/>
      <c r="EO62" s="479"/>
      <c r="EP62" s="479"/>
      <c r="EQ62" s="479"/>
      <c r="ER62" s="479"/>
      <c r="ES62" s="479"/>
      <c r="ET62" s="479"/>
      <c r="EU62" s="479"/>
      <c r="EV62" s="479"/>
      <c r="EW62" s="479"/>
      <c r="EX62" s="479"/>
      <c r="EY62" s="479"/>
      <c r="EZ62" s="479"/>
      <c r="FA62" s="479"/>
      <c r="FB62" s="479"/>
      <c r="FC62" s="479"/>
      <c r="FD62" s="479"/>
      <c r="FE62" s="479"/>
      <c r="FF62" s="479"/>
      <c r="FG62" s="479"/>
      <c r="FH62" s="479"/>
      <c r="FI62" s="479"/>
      <c r="FJ62" s="479"/>
      <c r="FK62" s="479"/>
      <c r="FL62" s="479"/>
      <c r="FM62" s="479"/>
      <c r="FN62" s="479"/>
      <c r="FO62" s="479"/>
      <c r="FP62" s="479"/>
      <c r="FQ62" s="479"/>
      <c r="FR62" s="479"/>
      <c r="FS62" s="479"/>
      <c r="FT62" s="479"/>
      <c r="FU62" s="479"/>
      <c r="FV62" s="479"/>
      <c r="FW62" s="479"/>
      <c r="FX62" s="479"/>
      <c r="FY62" s="479"/>
      <c r="FZ62" s="479"/>
      <c r="GA62" s="479"/>
      <c r="GB62" s="479"/>
      <c r="GC62" s="479"/>
      <c r="GD62" s="479"/>
      <c r="GE62" s="479"/>
      <c r="GF62" s="479"/>
      <c r="GG62" s="479"/>
      <c r="GH62" s="479"/>
      <c r="GI62" s="479"/>
      <c r="GJ62" s="479"/>
      <c r="GK62" s="479"/>
      <c r="GL62" s="479"/>
      <c r="GM62" s="479"/>
      <c r="GN62" s="479"/>
      <c r="GO62" s="479"/>
      <c r="GP62" s="479"/>
      <c r="GQ62" s="479"/>
      <c r="GR62" s="479"/>
      <c r="GS62" s="479"/>
      <c r="GT62" s="479"/>
      <c r="GU62" s="479"/>
      <c r="GV62" s="479"/>
      <c r="GW62" s="479"/>
      <c r="GX62" s="479"/>
      <c r="GY62" s="479"/>
      <c r="GZ62" s="479"/>
      <c r="HA62" s="479"/>
      <c r="HB62" s="479"/>
      <c r="HC62" s="479"/>
      <c r="HD62" s="479"/>
      <c r="HE62" s="479"/>
      <c r="HF62" s="479"/>
      <c r="HG62" s="479"/>
      <c r="HH62" s="479"/>
      <c r="HI62" s="479"/>
      <c r="HJ62" s="479"/>
      <c r="HK62" s="479"/>
      <c r="HL62" s="479"/>
      <c r="HM62" s="479"/>
      <c r="HN62" s="479"/>
      <c r="HO62" s="479"/>
      <c r="HP62" s="479"/>
      <c r="HQ62" s="479"/>
      <c r="HR62" s="479"/>
      <c r="HS62" s="479"/>
      <c r="HT62" s="479"/>
      <c r="HU62" s="479"/>
      <c r="HV62" s="479"/>
      <c r="HW62" s="479"/>
      <c r="HX62" s="479"/>
      <c r="HY62" s="479"/>
      <c r="HZ62" s="479"/>
      <c r="IA62" s="479"/>
      <c r="IB62" s="479"/>
      <c r="IC62" s="479"/>
      <c r="ID62" s="479"/>
      <c r="IE62" s="479"/>
      <c r="IF62" s="479"/>
      <c r="IG62" s="479"/>
      <c r="IH62" s="479"/>
      <c r="II62" s="479"/>
      <c r="IJ62" s="479"/>
      <c r="IK62" s="479"/>
      <c r="IL62" s="479"/>
      <c r="IM62" s="479"/>
      <c r="IN62" s="479"/>
      <c r="IO62" s="479"/>
      <c r="IP62" s="479"/>
      <c r="IQ62" s="479"/>
      <c r="IR62" s="479"/>
      <c r="IS62" s="479"/>
      <c r="IT62" s="479"/>
      <c r="IU62" s="479"/>
      <c r="IV62" s="479"/>
      <c r="IW62" s="479"/>
      <c r="IX62" s="479"/>
      <c r="IY62" s="479"/>
      <c r="IZ62" s="479"/>
      <c r="JA62" s="479"/>
      <c r="JB62" s="479"/>
      <c r="JC62" s="479"/>
      <c r="JD62" s="479"/>
      <c r="JE62" s="479"/>
      <c r="JF62" s="479"/>
      <c r="JG62" s="479"/>
      <c r="JH62" s="479"/>
      <c r="JI62" s="479"/>
      <c r="JJ62" s="479"/>
      <c r="JK62" s="479"/>
      <c r="JL62" s="479"/>
      <c r="JM62" s="479"/>
      <c r="JN62" s="479"/>
      <c r="JO62" s="479"/>
      <c r="JP62" s="479"/>
      <c r="JQ62" s="479"/>
      <c r="JR62" s="479"/>
      <c r="JS62" s="479"/>
      <c r="JT62" s="479"/>
      <c r="JU62" s="479"/>
      <c r="JV62" s="479"/>
      <c r="JW62" s="479"/>
      <c r="JX62" s="479"/>
      <c r="JY62" s="479"/>
      <c r="JZ62" s="479"/>
      <c r="KA62" s="479"/>
      <c r="KB62" s="479"/>
      <c r="KC62" s="479"/>
      <c r="KD62" s="479"/>
      <c r="KE62" s="479"/>
      <c r="KF62" s="479"/>
      <c r="KG62" s="479"/>
      <c r="KH62" s="479"/>
      <c r="KI62" s="479"/>
      <c r="KJ62" s="479"/>
      <c r="KK62" s="479"/>
      <c r="KL62" s="479"/>
      <c r="KM62" s="479"/>
      <c r="KN62" s="479"/>
      <c r="KO62" s="479"/>
      <c r="KP62" s="479"/>
      <c r="KQ62" s="479"/>
      <c r="KR62" s="479"/>
      <c r="KS62" s="479"/>
      <c r="KT62" s="479"/>
      <c r="KU62" s="479"/>
      <c r="KV62" s="479"/>
      <c r="KW62" s="479"/>
      <c r="KX62" s="479"/>
      <c r="KY62" s="479"/>
      <c r="KZ62" s="479"/>
      <c r="LA62" s="479"/>
      <c r="LB62" s="479"/>
      <c r="LC62" s="479"/>
      <c r="LD62" s="479"/>
      <c r="LE62" s="479"/>
      <c r="LF62" s="479"/>
      <c r="LG62" s="479"/>
      <c r="LH62" s="479"/>
      <c r="LI62" s="479"/>
      <c r="LJ62" s="479"/>
      <c r="LK62" s="479"/>
      <c r="LL62" s="479"/>
      <c r="LM62" s="479"/>
      <c r="LN62" s="479"/>
      <c r="LO62" s="479"/>
      <c r="LP62" s="479"/>
      <c r="LQ62" s="479"/>
      <c r="LR62" s="479"/>
      <c r="LS62" s="479"/>
      <c r="LT62" s="479"/>
      <c r="LU62" s="479"/>
      <c r="LV62" s="479"/>
      <c r="LW62" s="479"/>
      <c r="LX62" s="479"/>
      <c r="LY62" s="479"/>
      <c r="LZ62" s="479"/>
      <c r="MA62" s="479"/>
      <c r="MB62" s="479"/>
    </row>
    <row r="63" spans="1:340" s="521" customFormat="1" ht="21.75" customHeight="1" thickBot="1">
      <c r="A63" s="466"/>
      <c r="B63" s="2958"/>
      <c r="C63" s="2013"/>
      <c r="D63" s="2035"/>
      <c r="E63" s="624"/>
      <c r="F63" s="590"/>
      <c r="G63" s="590"/>
      <c r="H63" s="534"/>
      <c r="I63" s="634"/>
      <c r="J63" s="472" t="s">
        <v>532</v>
      </c>
      <c r="K63" s="473"/>
      <c r="L63" s="473"/>
      <c r="M63" s="473"/>
      <c r="N63" s="474"/>
      <c r="O63" s="473"/>
      <c r="P63" s="473"/>
      <c r="Q63" s="475">
        <v>10</v>
      </c>
      <c r="R63" s="473" t="s">
        <v>533</v>
      </c>
      <c r="S63" s="474">
        <v>800000</v>
      </c>
      <c r="T63" s="473" t="s">
        <v>37</v>
      </c>
      <c r="U63" s="473"/>
      <c r="V63" s="473">
        <v>1</v>
      </c>
      <c r="W63" s="473" t="s">
        <v>39</v>
      </c>
      <c r="X63" s="542" t="s">
        <v>38</v>
      </c>
      <c r="Y63" s="483">
        <f t="shared" si="4"/>
        <v>8000</v>
      </c>
      <c r="Z63" s="473">
        <f>S63*Q63*V63</f>
        <v>8000000</v>
      </c>
      <c r="AA63" s="1560"/>
      <c r="AB63" s="669"/>
      <c r="AC63" s="480"/>
      <c r="AD63" s="479"/>
      <c r="AE63" s="479"/>
      <c r="AF63" s="479"/>
      <c r="AG63" s="479"/>
      <c r="AH63" s="479"/>
      <c r="AI63" s="479"/>
      <c r="AJ63" s="479"/>
      <c r="AK63" s="479"/>
      <c r="AL63" s="479"/>
      <c r="AM63" s="479"/>
      <c r="AN63" s="479"/>
      <c r="AO63" s="479"/>
      <c r="AP63" s="479"/>
      <c r="AQ63" s="479"/>
      <c r="AR63" s="479"/>
      <c r="AS63" s="479"/>
      <c r="AT63" s="479"/>
      <c r="AU63" s="479"/>
      <c r="AV63" s="479"/>
      <c r="AW63" s="479"/>
      <c r="AX63" s="479"/>
      <c r="AY63" s="479"/>
      <c r="AZ63" s="479"/>
      <c r="BA63" s="479"/>
      <c r="BB63" s="479"/>
      <c r="BC63" s="479"/>
      <c r="BD63" s="479"/>
      <c r="BE63" s="479"/>
      <c r="BF63" s="479"/>
      <c r="BG63" s="479"/>
      <c r="BH63" s="479"/>
      <c r="BI63" s="479"/>
      <c r="BJ63" s="479"/>
      <c r="BK63" s="479"/>
      <c r="BL63" s="479"/>
      <c r="BM63" s="479"/>
      <c r="BN63" s="479"/>
      <c r="BO63" s="479"/>
      <c r="BP63" s="479"/>
      <c r="BQ63" s="479"/>
      <c r="BR63" s="479"/>
      <c r="BS63" s="479"/>
      <c r="BT63" s="479"/>
      <c r="BU63" s="479"/>
      <c r="BV63" s="479"/>
      <c r="BW63" s="479"/>
      <c r="BX63" s="479"/>
      <c r="BY63" s="479"/>
      <c r="BZ63" s="479"/>
      <c r="CA63" s="479"/>
      <c r="CB63" s="479"/>
      <c r="CC63" s="479"/>
      <c r="CD63" s="479"/>
      <c r="CE63" s="479"/>
      <c r="CF63" s="479"/>
      <c r="CG63" s="479"/>
      <c r="CH63" s="479"/>
      <c r="CI63" s="479"/>
      <c r="CJ63" s="479"/>
      <c r="CK63" s="479"/>
      <c r="CL63" s="479"/>
      <c r="CM63" s="479"/>
      <c r="CN63" s="479"/>
      <c r="CO63" s="479"/>
      <c r="CP63" s="479"/>
      <c r="CQ63" s="479"/>
      <c r="CR63" s="479"/>
      <c r="CS63" s="479"/>
      <c r="CT63" s="479"/>
      <c r="CU63" s="479"/>
      <c r="CV63" s="479"/>
      <c r="CW63" s="479"/>
      <c r="CX63" s="479"/>
      <c r="CY63" s="479"/>
      <c r="CZ63" s="479"/>
      <c r="DA63" s="479"/>
      <c r="DB63" s="479"/>
      <c r="DC63" s="479"/>
      <c r="DD63" s="479"/>
      <c r="DE63" s="479"/>
      <c r="DF63" s="479"/>
      <c r="DG63" s="479"/>
      <c r="DH63" s="479"/>
      <c r="DI63" s="479"/>
      <c r="DJ63" s="479"/>
      <c r="DK63" s="479"/>
      <c r="DL63" s="479"/>
      <c r="DM63" s="479"/>
      <c r="DN63" s="479"/>
      <c r="DO63" s="479"/>
      <c r="DP63" s="479"/>
      <c r="DQ63" s="479"/>
      <c r="DR63" s="479"/>
      <c r="DS63" s="479"/>
      <c r="DT63" s="479"/>
      <c r="DU63" s="479"/>
      <c r="DV63" s="479"/>
      <c r="DW63" s="479"/>
      <c r="DX63" s="479"/>
      <c r="DY63" s="479"/>
      <c r="DZ63" s="479"/>
      <c r="EA63" s="479"/>
      <c r="EB63" s="479"/>
      <c r="EC63" s="479"/>
      <c r="ED63" s="479"/>
      <c r="EE63" s="479"/>
      <c r="EF63" s="479"/>
      <c r="EG63" s="479"/>
      <c r="EH63" s="479"/>
      <c r="EI63" s="479"/>
      <c r="EJ63" s="479"/>
      <c r="EK63" s="479"/>
      <c r="EL63" s="479"/>
      <c r="EM63" s="479"/>
      <c r="EN63" s="479"/>
      <c r="EO63" s="479"/>
      <c r="EP63" s="479"/>
      <c r="EQ63" s="479"/>
      <c r="ER63" s="479"/>
      <c r="ES63" s="479"/>
      <c r="ET63" s="479"/>
      <c r="EU63" s="479"/>
      <c r="EV63" s="479"/>
      <c r="EW63" s="479"/>
      <c r="EX63" s="479"/>
      <c r="EY63" s="479"/>
      <c r="EZ63" s="479"/>
      <c r="FA63" s="479"/>
      <c r="FB63" s="479"/>
      <c r="FC63" s="479"/>
      <c r="FD63" s="479"/>
      <c r="FE63" s="479"/>
      <c r="FF63" s="479"/>
      <c r="FG63" s="479"/>
      <c r="FH63" s="479"/>
      <c r="FI63" s="479"/>
      <c r="FJ63" s="479"/>
      <c r="FK63" s="479"/>
      <c r="FL63" s="479"/>
      <c r="FM63" s="479"/>
      <c r="FN63" s="479"/>
      <c r="FO63" s="479"/>
      <c r="FP63" s="479"/>
      <c r="FQ63" s="479"/>
      <c r="FR63" s="479"/>
      <c r="FS63" s="479"/>
      <c r="FT63" s="479"/>
      <c r="FU63" s="479"/>
      <c r="FV63" s="479"/>
      <c r="FW63" s="479"/>
      <c r="FX63" s="479"/>
      <c r="FY63" s="479"/>
      <c r="FZ63" s="479"/>
      <c r="GA63" s="479"/>
      <c r="GB63" s="479"/>
      <c r="GC63" s="479"/>
      <c r="GD63" s="479"/>
      <c r="GE63" s="479"/>
      <c r="GF63" s="479"/>
      <c r="GG63" s="479"/>
      <c r="GH63" s="479"/>
      <c r="GI63" s="479"/>
      <c r="GJ63" s="479"/>
      <c r="GK63" s="479"/>
      <c r="GL63" s="479"/>
      <c r="GM63" s="479"/>
      <c r="GN63" s="479"/>
      <c r="GO63" s="479"/>
      <c r="GP63" s="479"/>
      <c r="GQ63" s="479"/>
      <c r="GR63" s="479"/>
      <c r="GS63" s="479"/>
      <c r="GT63" s="479"/>
      <c r="GU63" s="479"/>
      <c r="GV63" s="479"/>
      <c r="GW63" s="479"/>
      <c r="GX63" s="479"/>
      <c r="GY63" s="479"/>
      <c r="GZ63" s="479"/>
      <c r="HA63" s="479"/>
      <c r="HB63" s="479"/>
      <c r="HC63" s="479"/>
      <c r="HD63" s="479"/>
      <c r="HE63" s="479"/>
      <c r="HF63" s="479"/>
      <c r="HG63" s="479"/>
      <c r="HH63" s="479"/>
      <c r="HI63" s="479"/>
      <c r="HJ63" s="479"/>
      <c r="HK63" s="479"/>
      <c r="HL63" s="479"/>
      <c r="HM63" s="479"/>
      <c r="HN63" s="479"/>
      <c r="HO63" s="479"/>
      <c r="HP63" s="479"/>
      <c r="HQ63" s="479"/>
      <c r="HR63" s="479"/>
      <c r="HS63" s="479"/>
      <c r="HT63" s="479"/>
      <c r="HU63" s="479"/>
      <c r="HV63" s="479"/>
      <c r="HW63" s="479"/>
      <c r="HX63" s="479"/>
      <c r="HY63" s="479"/>
      <c r="HZ63" s="479"/>
      <c r="IA63" s="479"/>
      <c r="IB63" s="479"/>
      <c r="IC63" s="479"/>
      <c r="ID63" s="479"/>
      <c r="IE63" s="479"/>
      <c r="IF63" s="479"/>
      <c r="IG63" s="479"/>
      <c r="IH63" s="479"/>
      <c r="II63" s="479"/>
      <c r="IJ63" s="479"/>
      <c r="IK63" s="479"/>
      <c r="IL63" s="479"/>
      <c r="IM63" s="479"/>
      <c r="IN63" s="479"/>
      <c r="IO63" s="479"/>
      <c r="IP63" s="479"/>
      <c r="IQ63" s="479"/>
      <c r="IR63" s="479"/>
      <c r="IS63" s="479"/>
      <c r="IT63" s="479"/>
      <c r="IU63" s="479"/>
      <c r="IV63" s="479"/>
      <c r="IW63" s="479"/>
      <c r="IX63" s="479"/>
      <c r="IY63" s="479"/>
      <c r="IZ63" s="479"/>
      <c r="JA63" s="479"/>
      <c r="JB63" s="479"/>
      <c r="JC63" s="479"/>
      <c r="JD63" s="479"/>
      <c r="JE63" s="479"/>
      <c r="JF63" s="479"/>
      <c r="JG63" s="479"/>
      <c r="JH63" s="479"/>
      <c r="JI63" s="479"/>
      <c r="JJ63" s="479"/>
      <c r="JK63" s="479"/>
      <c r="JL63" s="479"/>
      <c r="JM63" s="479"/>
      <c r="JN63" s="479"/>
      <c r="JO63" s="479"/>
      <c r="JP63" s="479"/>
      <c r="JQ63" s="479"/>
      <c r="JR63" s="479"/>
      <c r="JS63" s="479"/>
      <c r="JT63" s="479"/>
      <c r="JU63" s="479"/>
      <c r="JV63" s="479"/>
      <c r="JW63" s="479"/>
      <c r="JX63" s="479"/>
      <c r="JY63" s="479"/>
      <c r="JZ63" s="479"/>
      <c r="KA63" s="479"/>
      <c r="KB63" s="479"/>
      <c r="KC63" s="479"/>
      <c r="KD63" s="479"/>
      <c r="KE63" s="479"/>
      <c r="KF63" s="479"/>
      <c r="KG63" s="479"/>
      <c r="KH63" s="479"/>
      <c r="KI63" s="479"/>
      <c r="KJ63" s="479"/>
      <c r="KK63" s="479"/>
      <c r="KL63" s="479"/>
      <c r="KM63" s="479"/>
      <c r="KN63" s="479"/>
      <c r="KO63" s="479"/>
      <c r="KP63" s="479"/>
      <c r="KQ63" s="479"/>
      <c r="KR63" s="479"/>
      <c r="KS63" s="479"/>
      <c r="KT63" s="479"/>
      <c r="KU63" s="479"/>
      <c r="KV63" s="479"/>
      <c r="KW63" s="479"/>
      <c r="KX63" s="479"/>
      <c r="KY63" s="479"/>
      <c r="KZ63" s="479"/>
      <c r="LA63" s="479"/>
      <c r="LB63" s="479"/>
      <c r="LC63" s="479"/>
      <c r="LD63" s="479"/>
      <c r="LE63" s="479"/>
      <c r="LF63" s="479"/>
      <c r="LG63" s="479"/>
      <c r="LH63" s="479"/>
      <c r="LI63" s="479"/>
      <c r="LJ63" s="479"/>
      <c r="LK63" s="479"/>
      <c r="LL63" s="479"/>
      <c r="LM63" s="479"/>
      <c r="LN63" s="479"/>
      <c r="LO63" s="479"/>
      <c r="LP63" s="479"/>
      <c r="LQ63" s="479"/>
      <c r="LR63" s="479"/>
      <c r="LS63" s="479"/>
      <c r="LT63" s="479"/>
      <c r="LU63" s="479"/>
      <c r="LV63" s="479"/>
      <c r="LW63" s="479"/>
      <c r="LX63" s="479"/>
      <c r="LY63" s="479"/>
      <c r="LZ63" s="479"/>
      <c r="MA63" s="479"/>
      <c r="MB63" s="479"/>
    </row>
    <row r="64" spans="1:340" s="521" customFormat="1" ht="21.75" customHeight="1" thickBot="1">
      <c r="A64" s="466"/>
      <c r="B64" s="2958"/>
      <c r="C64" s="2013"/>
      <c r="D64" s="2035"/>
      <c r="E64" s="624"/>
      <c r="F64" s="590"/>
      <c r="G64" s="590"/>
      <c r="H64" s="534"/>
      <c r="I64" s="634"/>
      <c r="J64" s="472" t="s">
        <v>271</v>
      </c>
      <c r="K64" s="473"/>
      <c r="L64" s="473"/>
      <c r="M64" s="473"/>
      <c r="N64" s="474"/>
      <c r="O64" s="473"/>
      <c r="P64" s="473"/>
      <c r="Q64" s="475">
        <v>4</v>
      </c>
      <c r="R64" s="473" t="s">
        <v>534</v>
      </c>
      <c r="S64" s="474">
        <v>5000</v>
      </c>
      <c r="T64" s="473" t="s">
        <v>37</v>
      </c>
      <c r="U64" s="473"/>
      <c r="V64" s="473">
        <v>12</v>
      </c>
      <c r="W64" s="473" t="s">
        <v>228</v>
      </c>
      <c r="X64" s="542" t="s">
        <v>38</v>
      </c>
      <c r="Y64" s="483">
        <f t="shared" si="4"/>
        <v>240</v>
      </c>
      <c r="Z64" s="473">
        <f>S64*Q64*V64</f>
        <v>240000</v>
      </c>
      <c r="AA64" s="1560"/>
      <c r="AB64" s="669"/>
      <c r="AC64" s="480"/>
      <c r="AD64" s="479"/>
      <c r="AE64" s="479"/>
      <c r="AF64" s="479"/>
      <c r="AG64" s="479"/>
      <c r="AH64" s="479"/>
      <c r="AI64" s="479"/>
      <c r="AJ64" s="479"/>
      <c r="AK64" s="479"/>
      <c r="AL64" s="479"/>
      <c r="AM64" s="479"/>
      <c r="AN64" s="479"/>
      <c r="AO64" s="479"/>
      <c r="AP64" s="479"/>
      <c r="AQ64" s="479"/>
      <c r="AR64" s="479"/>
      <c r="AS64" s="479"/>
      <c r="AT64" s="479"/>
      <c r="AU64" s="479"/>
      <c r="AV64" s="479"/>
      <c r="AW64" s="479"/>
      <c r="AX64" s="479"/>
      <c r="AY64" s="479"/>
      <c r="AZ64" s="479"/>
      <c r="BA64" s="479"/>
      <c r="BB64" s="479"/>
      <c r="BC64" s="479"/>
      <c r="BD64" s="479"/>
      <c r="BE64" s="479"/>
      <c r="BF64" s="479"/>
      <c r="BG64" s="479"/>
      <c r="BH64" s="479"/>
      <c r="BI64" s="479"/>
      <c r="BJ64" s="479"/>
      <c r="BK64" s="479"/>
      <c r="BL64" s="479"/>
      <c r="BM64" s="479"/>
      <c r="BN64" s="479"/>
      <c r="BO64" s="479"/>
      <c r="BP64" s="479"/>
      <c r="BQ64" s="479"/>
      <c r="BR64" s="479"/>
      <c r="BS64" s="479"/>
      <c r="BT64" s="479"/>
      <c r="BU64" s="479"/>
      <c r="BV64" s="479"/>
      <c r="BW64" s="479"/>
      <c r="BX64" s="479"/>
      <c r="BY64" s="479"/>
      <c r="BZ64" s="479"/>
      <c r="CA64" s="479"/>
      <c r="CB64" s="479"/>
      <c r="CC64" s="479"/>
      <c r="CD64" s="479"/>
      <c r="CE64" s="479"/>
      <c r="CF64" s="479"/>
      <c r="CG64" s="479"/>
      <c r="CH64" s="479"/>
      <c r="CI64" s="479"/>
      <c r="CJ64" s="479"/>
      <c r="CK64" s="479"/>
      <c r="CL64" s="479"/>
      <c r="CM64" s="479"/>
      <c r="CN64" s="479"/>
      <c r="CO64" s="479"/>
      <c r="CP64" s="479"/>
      <c r="CQ64" s="479"/>
      <c r="CR64" s="479"/>
      <c r="CS64" s="479"/>
      <c r="CT64" s="479"/>
      <c r="CU64" s="479"/>
      <c r="CV64" s="479"/>
      <c r="CW64" s="479"/>
      <c r="CX64" s="479"/>
      <c r="CY64" s="479"/>
      <c r="CZ64" s="479"/>
      <c r="DA64" s="479"/>
      <c r="DB64" s="479"/>
      <c r="DC64" s="479"/>
      <c r="DD64" s="479"/>
      <c r="DE64" s="479"/>
      <c r="DF64" s="479"/>
      <c r="DG64" s="479"/>
      <c r="DH64" s="479"/>
      <c r="DI64" s="479"/>
      <c r="DJ64" s="479"/>
      <c r="DK64" s="479"/>
      <c r="DL64" s="479"/>
      <c r="DM64" s="479"/>
      <c r="DN64" s="479"/>
      <c r="DO64" s="479"/>
      <c r="DP64" s="479"/>
      <c r="DQ64" s="479"/>
      <c r="DR64" s="479"/>
      <c r="DS64" s="479"/>
      <c r="DT64" s="479"/>
      <c r="DU64" s="479"/>
      <c r="DV64" s="479"/>
      <c r="DW64" s="479"/>
      <c r="DX64" s="479"/>
      <c r="DY64" s="479"/>
      <c r="DZ64" s="479"/>
      <c r="EA64" s="479"/>
      <c r="EB64" s="479"/>
      <c r="EC64" s="479"/>
      <c r="ED64" s="479"/>
      <c r="EE64" s="479"/>
      <c r="EF64" s="479"/>
      <c r="EG64" s="479"/>
      <c r="EH64" s="479"/>
      <c r="EI64" s="479"/>
      <c r="EJ64" s="479"/>
      <c r="EK64" s="479"/>
      <c r="EL64" s="479"/>
      <c r="EM64" s="479"/>
      <c r="EN64" s="479"/>
      <c r="EO64" s="479"/>
      <c r="EP64" s="479"/>
      <c r="EQ64" s="479"/>
      <c r="ER64" s="479"/>
      <c r="ES64" s="479"/>
      <c r="ET64" s="479"/>
      <c r="EU64" s="479"/>
      <c r="EV64" s="479"/>
      <c r="EW64" s="479"/>
      <c r="EX64" s="479"/>
      <c r="EY64" s="479"/>
      <c r="EZ64" s="479"/>
      <c r="FA64" s="479"/>
      <c r="FB64" s="479"/>
      <c r="FC64" s="479"/>
      <c r="FD64" s="479"/>
      <c r="FE64" s="479"/>
      <c r="FF64" s="479"/>
      <c r="FG64" s="479"/>
      <c r="FH64" s="479"/>
      <c r="FI64" s="479"/>
      <c r="FJ64" s="479"/>
      <c r="FK64" s="479"/>
      <c r="FL64" s="479"/>
      <c r="FM64" s="479"/>
      <c r="FN64" s="479"/>
      <c r="FO64" s="479"/>
      <c r="FP64" s="479"/>
      <c r="FQ64" s="479"/>
      <c r="FR64" s="479"/>
      <c r="FS64" s="479"/>
      <c r="FT64" s="479"/>
      <c r="FU64" s="479"/>
      <c r="FV64" s="479"/>
      <c r="FW64" s="479"/>
      <c r="FX64" s="479"/>
      <c r="FY64" s="479"/>
      <c r="FZ64" s="479"/>
      <c r="GA64" s="479"/>
      <c r="GB64" s="479"/>
      <c r="GC64" s="479"/>
      <c r="GD64" s="479"/>
      <c r="GE64" s="479"/>
      <c r="GF64" s="479"/>
      <c r="GG64" s="479"/>
      <c r="GH64" s="479"/>
      <c r="GI64" s="479"/>
      <c r="GJ64" s="479"/>
      <c r="GK64" s="479"/>
      <c r="GL64" s="479"/>
      <c r="GM64" s="479"/>
      <c r="GN64" s="479"/>
      <c r="GO64" s="479"/>
      <c r="GP64" s="479"/>
      <c r="GQ64" s="479"/>
      <c r="GR64" s="479"/>
      <c r="GS64" s="479"/>
      <c r="GT64" s="479"/>
      <c r="GU64" s="479"/>
      <c r="GV64" s="479"/>
      <c r="GW64" s="479"/>
      <c r="GX64" s="479"/>
      <c r="GY64" s="479"/>
      <c r="GZ64" s="479"/>
      <c r="HA64" s="479"/>
      <c r="HB64" s="479"/>
      <c r="HC64" s="479"/>
      <c r="HD64" s="479"/>
      <c r="HE64" s="479"/>
      <c r="HF64" s="479"/>
      <c r="HG64" s="479"/>
      <c r="HH64" s="479"/>
      <c r="HI64" s="479"/>
      <c r="HJ64" s="479"/>
      <c r="HK64" s="479"/>
      <c r="HL64" s="479"/>
      <c r="HM64" s="479"/>
      <c r="HN64" s="479"/>
      <c r="HO64" s="479"/>
      <c r="HP64" s="479"/>
      <c r="HQ64" s="479"/>
      <c r="HR64" s="479"/>
      <c r="HS64" s="479"/>
      <c r="HT64" s="479"/>
      <c r="HU64" s="479"/>
      <c r="HV64" s="479"/>
      <c r="HW64" s="479"/>
      <c r="HX64" s="479"/>
      <c r="HY64" s="479"/>
      <c r="HZ64" s="479"/>
      <c r="IA64" s="479"/>
      <c r="IB64" s="479"/>
      <c r="IC64" s="479"/>
      <c r="ID64" s="479"/>
      <c r="IE64" s="479"/>
      <c r="IF64" s="479"/>
      <c r="IG64" s="479"/>
      <c r="IH64" s="479"/>
      <c r="II64" s="479"/>
      <c r="IJ64" s="479"/>
      <c r="IK64" s="479"/>
      <c r="IL64" s="479"/>
      <c r="IM64" s="479"/>
      <c r="IN64" s="479"/>
      <c r="IO64" s="479"/>
      <c r="IP64" s="479"/>
      <c r="IQ64" s="479"/>
      <c r="IR64" s="479"/>
      <c r="IS64" s="479"/>
      <c r="IT64" s="479"/>
      <c r="IU64" s="479"/>
      <c r="IV64" s="479"/>
      <c r="IW64" s="479"/>
      <c r="IX64" s="479"/>
      <c r="IY64" s="479"/>
      <c r="IZ64" s="479"/>
      <c r="JA64" s="479"/>
      <c r="JB64" s="479"/>
      <c r="JC64" s="479"/>
      <c r="JD64" s="479"/>
      <c r="JE64" s="479"/>
      <c r="JF64" s="479"/>
      <c r="JG64" s="479"/>
      <c r="JH64" s="479"/>
      <c r="JI64" s="479"/>
      <c r="JJ64" s="479"/>
      <c r="JK64" s="479"/>
      <c r="JL64" s="479"/>
      <c r="JM64" s="479"/>
      <c r="JN64" s="479"/>
      <c r="JO64" s="479"/>
      <c r="JP64" s="479"/>
      <c r="JQ64" s="479"/>
      <c r="JR64" s="479"/>
      <c r="JS64" s="479"/>
      <c r="JT64" s="479"/>
      <c r="JU64" s="479"/>
      <c r="JV64" s="479"/>
      <c r="JW64" s="479"/>
      <c r="JX64" s="479"/>
      <c r="JY64" s="479"/>
      <c r="JZ64" s="479"/>
      <c r="KA64" s="479"/>
      <c r="KB64" s="479"/>
      <c r="KC64" s="479"/>
      <c r="KD64" s="479"/>
      <c r="KE64" s="479"/>
      <c r="KF64" s="479"/>
      <c r="KG64" s="479"/>
      <c r="KH64" s="479"/>
      <c r="KI64" s="479"/>
      <c r="KJ64" s="479"/>
      <c r="KK64" s="479"/>
      <c r="KL64" s="479"/>
      <c r="KM64" s="479"/>
      <c r="KN64" s="479"/>
      <c r="KO64" s="479"/>
      <c r="KP64" s="479"/>
      <c r="KQ64" s="479"/>
      <c r="KR64" s="479"/>
      <c r="KS64" s="479"/>
      <c r="KT64" s="479"/>
      <c r="KU64" s="479"/>
      <c r="KV64" s="479"/>
      <c r="KW64" s="479"/>
      <c r="KX64" s="479"/>
      <c r="KY64" s="479"/>
      <c r="KZ64" s="479"/>
      <c r="LA64" s="479"/>
      <c r="LB64" s="479"/>
      <c r="LC64" s="479"/>
      <c r="LD64" s="479"/>
      <c r="LE64" s="479"/>
      <c r="LF64" s="479"/>
      <c r="LG64" s="479"/>
      <c r="LH64" s="479"/>
      <c r="LI64" s="479"/>
      <c r="LJ64" s="479"/>
      <c r="LK64" s="479"/>
      <c r="LL64" s="479"/>
      <c r="LM64" s="479"/>
      <c r="LN64" s="479"/>
      <c r="LO64" s="479"/>
      <c r="LP64" s="479"/>
      <c r="LQ64" s="479"/>
      <c r="LR64" s="479"/>
      <c r="LS64" s="479"/>
      <c r="LT64" s="479"/>
      <c r="LU64" s="479"/>
      <c r="LV64" s="479"/>
      <c r="LW64" s="479"/>
      <c r="LX64" s="479"/>
      <c r="LY64" s="479"/>
      <c r="LZ64" s="479"/>
      <c r="MA64" s="479"/>
      <c r="MB64" s="479"/>
    </row>
    <row r="65" spans="1:340" s="521" customFormat="1" ht="21.75" customHeight="1" thickBot="1">
      <c r="A65" s="466"/>
      <c r="B65" s="2958"/>
      <c r="C65" s="2013"/>
      <c r="D65" s="2035"/>
      <c r="E65" s="624"/>
      <c r="F65" s="590"/>
      <c r="G65" s="590"/>
      <c r="H65" s="534"/>
      <c r="I65" s="634"/>
      <c r="J65" s="472" t="s">
        <v>535</v>
      </c>
      <c r="K65" s="473"/>
      <c r="L65" s="473"/>
      <c r="M65" s="473"/>
      <c r="N65" s="474"/>
      <c r="O65" s="473"/>
      <c r="P65" s="473"/>
      <c r="Q65" s="475">
        <v>8</v>
      </c>
      <c r="R65" s="473" t="s">
        <v>227</v>
      </c>
      <c r="S65" s="474">
        <v>200000</v>
      </c>
      <c r="T65" s="473" t="s">
        <v>37</v>
      </c>
      <c r="U65" s="473"/>
      <c r="V65" s="473">
        <v>2</v>
      </c>
      <c r="W65" s="473" t="s">
        <v>39</v>
      </c>
      <c r="X65" s="542" t="s">
        <v>38</v>
      </c>
      <c r="Y65" s="483">
        <f t="shared" si="4"/>
        <v>3200</v>
      </c>
      <c r="Z65" s="473">
        <f>S65*Q65*V65</f>
        <v>3200000</v>
      </c>
      <c r="AA65" s="1560"/>
      <c r="AB65" s="669"/>
      <c r="AC65" s="480"/>
      <c r="AD65" s="479"/>
      <c r="AE65" s="479"/>
      <c r="AF65" s="479"/>
      <c r="AG65" s="479"/>
      <c r="AH65" s="479"/>
      <c r="AI65" s="479"/>
      <c r="AJ65" s="479"/>
      <c r="AK65" s="479"/>
      <c r="AL65" s="479"/>
      <c r="AM65" s="479"/>
      <c r="AN65" s="479"/>
      <c r="AO65" s="479"/>
      <c r="AP65" s="479"/>
      <c r="AQ65" s="479"/>
      <c r="AR65" s="479"/>
      <c r="AS65" s="479"/>
      <c r="AT65" s="479"/>
      <c r="AU65" s="479"/>
      <c r="AV65" s="479"/>
      <c r="AW65" s="479"/>
      <c r="AX65" s="479"/>
      <c r="AY65" s="479"/>
      <c r="AZ65" s="479"/>
      <c r="BA65" s="479"/>
      <c r="BB65" s="479"/>
      <c r="BC65" s="479"/>
      <c r="BD65" s="479"/>
      <c r="BE65" s="479"/>
      <c r="BF65" s="479"/>
      <c r="BG65" s="479"/>
      <c r="BH65" s="479"/>
      <c r="BI65" s="479"/>
      <c r="BJ65" s="479"/>
      <c r="BK65" s="479"/>
      <c r="BL65" s="479"/>
      <c r="BM65" s="479"/>
      <c r="BN65" s="479"/>
      <c r="BO65" s="479"/>
      <c r="BP65" s="479"/>
      <c r="BQ65" s="479"/>
      <c r="BR65" s="479"/>
      <c r="BS65" s="479"/>
      <c r="BT65" s="479"/>
      <c r="BU65" s="479"/>
      <c r="BV65" s="479"/>
      <c r="BW65" s="479"/>
      <c r="BX65" s="479"/>
      <c r="BY65" s="479"/>
      <c r="BZ65" s="479"/>
      <c r="CA65" s="479"/>
      <c r="CB65" s="479"/>
      <c r="CC65" s="479"/>
      <c r="CD65" s="479"/>
      <c r="CE65" s="479"/>
      <c r="CF65" s="479"/>
      <c r="CG65" s="479"/>
      <c r="CH65" s="479"/>
      <c r="CI65" s="479"/>
      <c r="CJ65" s="479"/>
      <c r="CK65" s="479"/>
      <c r="CL65" s="479"/>
      <c r="CM65" s="479"/>
      <c r="CN65" s="479"/>
      <c r="CO65" s="479"/>
      <c r="CP65" s="479"/>
      <c r="CQ65" s="479"/>
      <c r="CR65" s="479"/>
      <c r="CS65" s="479"/>
      <c r="CT65" s="479"/>
      <c r="CU65" s="479"/>
      <c r="CV65" s="479"/>
      <c r="CW65" s="479"/>
      <c r="CX65" s="479"/>
      <c r="CY65" s="479"/>
      <c r="CZ65" s="479"/>
      <c r="DA65" s="479"/>
      <c r="DB65" s="479"/>
      <c r="DC65" s="479"/>
      <c r="DD65" s="479"/>
      <c r="DE65" s="479"/>
      <c r="DF65" s="479"/>
      <c r="DG65" s="479"/>
      <c r="DH65" s="479"/>
      <c r="DI65" s="479"/>
      <c r="DJ65" s="479"/>
      <c r="DK65" s="479"/>
      <c r="DL65" s="479"/>
      <c r="DM65" s="479"/>
      <c r="DN65" s="479"/>
      <c r="DO65" s="479"/>
      <c r="DP65" s="479"/>
      <c r="DQ65" s="479"/>
      <c r="DR65" s="479"/>
      <c r="DS65" s="479"/>
      <c r="DT65" s="479"/>
      <c r="DU65" s="479"/>
      <c r="DV65" s="479"/>
      <c r="DW65" s="479"/>
      <c r="DX65" s="479"/>
      <c r="DY65" s="479"/>
      <c r="DZ65" s="479"/>
      <c r="EA65" s="479"/>
      <c r="EB65" s="479"/>
      <c r="EC65" s="479"/>
      <c r="ED65" s="479"/>
      <c r="EE65" s="479"/>
      <c r="EF65" s="479"/>
      <c r="EG65" s="479"/>
      <c r="EH65" s="479"/>
      <c r="EI65" s="479"/>
      <c r="EJ65" s="479"/>
      <c r="EK65" s="479"/>
      <c r="EL65" s="479"/>
      <c r="EM65" s="479"/>
      <c r="EN65" s="479"/>
      <c r="EO65" s="479"/>
      <c r="EP65" s="479"/>
      <c r="EQ65" s="479"/>
      <c r="ER65" s="479"/>
      <c r="ES65" s="479"/>
      <c r="ET65" s="479"/>
      <c r="EU65" s="479"/>
      <c r="EV65" s="479"/>
      <c r="EW65" s="479"/>
      <c r="EX65" s="479"/>
      <c r="EY65" s="479"/>
      <c r="EZ65" s="479"/>
      <c r="FA65" s="479"/>
      <c r="FB65" s="479"/>
      <c r="FC65" s="479"/>
      <c r="FD65" s="479"/>
      <c r="FE65" s="479"/>
      <c r="FF65" s="479"/>
      <c r="FG65" s="479"/>
      <c r="FH65" s="479"/>
      <c r="FI65" s="479"/>
      <c r="FJ65" s="479"/>
      <c r="FK65" s="479"/>
      <c r="FL65" s="479"/>
      <c r="FM65" s="479"/>
      <c r="FN65" s="479"/>
      <c r="FO65" s="479"/>
      <c r="FP65" s="479"/>
      <c r="FQ65" s="479"/>
      <c r="FR65" s="479"/>
      <c r="FS65" s="479"/>
      <c r="FT65" s="479"/>
      <c r="FU65" s="479"/>
      <c r="FV65" s="479"/>
      <c r="FW65" s="479"/>
      <c r="FX65" s="479"/>
      <c r="FY65" s="479"/>
      <c r="FZ65" s="479"/>
      <c r="GA65" s="479"/>
      <c r="GB65" s="479"/>
      <c r="GC65" s="479"/>
      <c r="GD65" s="479"/>
      <c r="GE65" s="479"/>
      <c r="GF65" s="479"/>
      <c r="GG65" s="479"/>
      <c r="GH65" s="479"/>
      <c r="GI65" s="479"/>
      <c r="GJ65" s="479"/>
      <c r="GK65" s="479"/>
      <c r="GL65" s="479"/>
      <c r="GM65" s="479"/>
      <c r="GN65" s="479"/>
      <c r="GO65" s="479"/>
      <c r="GP65" s="479"/>
      <c r="GQ65" s="479"/>
      <c r="GR65" s="479"/>
      <c r="GS65" s="479"/>
      <c r="GT65" s="479"/>
      <c r="GU65" s="479"/>
      <c r="GV65" s="479"/>
      <c r="GW65" s="479"/>
      <c r="GX65" s="479"/>
      <c r="GY65" s="479"/>
      <c r="GZ65" s="479"/>
      <c r="HA65" s="479"/>
      <c r="HB65" s="479"/>
      <c r="HC65" s="479"/>
      <c r="HD65" s="479"/>
      <c r="HE65" s="479"/>
      <c r="HF65" s="479"/>
      <c r="HG65" s="479"/>
      <c r="HH65" s="479"/>
      <c r="HI65" s="479"/>
      <c r="HJ65" s="479"/>
      <c r="HK65" s="479"/>
      <c r="HL65" s="479"/>
      <c r="HM65" s="479"/>
      <c r="HN65" s="479"/>
      <c r="HO65" s="479"/>
      <c r="HP65" s="479"/>
      <c r="HQ65" s="479"/>
      <c r="HR65" s="479"/>
      <c r="HS65" s="479"/>
      <c r="HT65" s="479"/>
      <c r="HU65" s="479"/>
      <c r="HV65" s="479"/>
      <c r="HW65" s="479"/>
      <c r="HX65" s="479"/>
      <c r="HY65" s="479"/>
      <c r="HZ65" s="479"/>
      <c r="IA65" s="479"/>
      <c r="IB65" s="479"/>
      <c r="IC65" s="479"/>
      <c r="ID65" s="479"/>
      <c r="IE65" s="479"/>
      <c r="IF65" s="479"/>
      <c r="IG65" s="479"/>
      <c r="IH65" s="479"/>
      <c r="II65" s="479"/>
      <c r="IJ65" s="479"/>
      <c r="IK65" s="479"/>
      <c r="IL65" s="479"/>
      <c r="IM65" s="479"/>
      <c r="IN65" s="479"/>
      <c r="IO65" s="479"/>
      <c r="IP65" s="479"/>
      <c r="IQ65" s="479"/>
      <c r="IR65" s="479"/>
      <c r="IS65" s="479"/>
      <c r="IT65" s="479"/>
      <c r="IU65" s="479"/>
      <c r="IV65" s="479"/>
      <c r="IW65" s="479"/>
      <c r="IX65" s="479"/>
      <c r="IY65" s="479"/>
      <c r="IZ65" s="479"/>
      <c r="JA65" s="479"/>
      <c r="JB65" s="479"/>
      <c r="JC65" s="479"/>
      <c r="JD65" s="479"/>
      <c r="JE65" s="479"/>
      <c r="JF65" s="479"/>
      <c r="JG65" s="479"/>
      <c r="JH65" s="479"/>
      <c r="JI65" s="479"/>
      <c r="JJ65" s="479"/>
      <c r="JK65" s="479"/>
      <c r="JL65" s="479"/>
      <c r="JM65" s="479"/>
      <c r="JN65" s="479"/>
      <c r="JO65" s="479"/>
      <c r="JP65" s="479"/>
      <c r="JQ65" s="479"/>
      <c r="JR65" s="479"/>
      <c r="JS65" s="479"/>
      <c r="JT65" s="479"/>
      <c r="JU65" s="479"/>
      <c r="JV65" s="479"/>
      <c r="JW65" s="479"/>
      <c r="JX65" s="479"/>
      <c r="JY65" s="479"/>
      <c r="JZ65" s="479"/>
      <c r="KA65" s="479"/>
      <c r="KB65" s="479"/>
      <c r="KC65" s="479"/>
      <c r="KD65" s="479"/>
      <c r="KE65" s="479"/>
      <c r="KF65" s="479"/>
      <c r="KG65" s="479"/>
      <c r="KH65" s="479"/>
      <c r="KI65" s="479"/>
      <c r="KJ65" s="479"/>
      <c r="KK65" s="479"/>
      <c r="KL65" s="479"/>
      <c r="KM65" s="479"/>
      <c r="KN65" s="479"/>
      <c r="KO65" s="479"/>
      <c r="KP65" s="479"/>
      <c r="KQ65" s="479"/>
      <c r="KR65" s="479"/>
      <c r="KS65" s="479"/>
      <c r="KT65" s="479"/>
      <c r="KU65" s="479"/>
      <c r="KV65" s="479"/>
      <c r="KW65" s="479"/>
      <c r="KX65" s="479"/>
      <c r="KY65" s="479"/>
      <c r="KZ65" s="479"/>
      <c r="LA65" s="479"/>
      <c r="LB65" s="479"/>
      <c r="LC65" s="479"/>
      <c r="LD65" s="479"/>
      <c r="LE65" s="479"/>
      <c r="LF65" s="479"/>
      <c r="LG65" s="479"/>
      <c r="LH65" s="479"/>
      <c r="LI65" s="479"/>
      <c r="LJ65" s="479"/>
      <c r="LK65" s="479"/>
      <c r="LL65" s="479"/>
      <c r="LM65" s="479"/>
      <c r="LN65" s="479"/>
      <c r="LO65" s="479"/>
      <c r="LP65" s="479"/>
      <c r="LQ65" s="479"/>
      <c r="LR65" s="479"/>
      <c r="LS65" s="479"/>
      <c r="LT65" s="479"/>
      <c r="LU65" s="479"/>
      <c r="LV65" s="479"/>
      <c r="LW65" s="479"/>
      <c r="LX65" s="479"/>
      <c r="LY65" s="479"/>
      <c r="LZ65" s="479"/>
      <c r="MA65" s="479"/>
      <c r="MB65" s="479"/>
    </row>
    <row r="66" spans="1:340" s="521" customFormat="1" ht="21.75" customHeight="1" thickBot="1">
      <c r="A66" s="466"/>
      <c r="B66" s="2958"/>
      <c r="C66" s="2013"/>
      <c r="D66" s="2035"/>
      <c r="E66" s="624"/>
      <c r="F66" s="590"/>
      <c r="G66" s="590"/>
      <c r="H66" s="534"/>
      <c r="I66" s="634"/>
      <c r="J66" s="472" t="s">
        <v>536</v>
      </c>
      <c r="K66" s="473"/>
      <c r="L66" s="473"/>
      <c r="M66" s="473"/>
      <c r="N66" s="474"/>
      <c r="O66" s="473"/>
      <c r="P66" s="473"/>
      <c r="Q66" s="475">
        <v>4</v>
      </c>
      <c r="R66" s="473" t="s">
        <v>533</v>
      </c>
      <c r="S66" s="474">
        <v>800000</v>
      </c>
      <c r="T66" s="473" t="s">
        <v>37</v>
      </c>
      <c r="U66" s="473"/>
      <c r="V66" s="473">
        <v>1</v>
      </c>
      <c r="W66" s="473" t="s">
        <v>233</v>
      </c>
      <c r="X66" s="542" t="s">
        <v>489</v>
      </c>
      <c r="Y66" s="483">
        <f t="shared" si="4"/>
        <v>3200</v>
      </c>
      <c r="Z66" s="473">
        <f>S66*Q66*V66</f>
        <v>3200000</v>
      </c>
      <c r="AA66" s="1560"/>
      <c r="AB66" s="669"/>
      <c r="AC66" s="480"/>
      <c r="AD66" s="479"/>
      <c r="AE66" s="479"/>
      <c r="AF66" s="479"/>
      <c r="AG66" s="479"/>
      <c r="AH66" s="479"/>
      <c r="AI66" s="479"/>
      <c r="AJ66" s="479"/>
      <c r="AK66" s="479"/>
      <c r="AL66" s="479"/>
      <c r="AM66" s="479"/>
      <c r="AN66" s="479"/>
      <c r="AO66" s="479"/>
      <c r="AP66" s="479"/>
      <c r="AQ66" s="479"/>
      <c r="AR66" s="479"/>
      <c r="AS66" s="479"/>
      <c r="AT66" s="479"/>
      <c r="AU66" s="479"/>
      <c r="AV66" s="479"/>
      <c r="AW66" s="479"/>
      <c r="AX66" s="479"/>
      <c r="AY66" s="479"/>
      <c r="AZ66" s="479"/>
      <c r="BA66" s="479"/>
      <c r="BB66" s="479"/>
      <c r="BC66" s="479"/>
      <c r="BD66" s="479"/>
      <c r="BE66" s="479"/>
      <c r="BF66" s="479"/>
      <c r="BG66" s="479"/>
      <c r="BH66" s="479"/>
      <c r="BI66" s="479"/>
      <c r="BJ66" s="479"/>
      <c r="BK66" s="479"/>
      <c r="BL66" s="479"/>
      <c r="BM66" s="479"/>
      <c r="BN66" s="479"/>
      <c r="BO66" s="479"/>
      <c r="BP66" s="479"/>
      <c r="BQ66" s="479"/>
      <c r="BR66" s="479"/>
      <c r="BS66" s="479"/>
      <c r="BT66" s="479"/>
      <c r="BU66" s="479"/>
      <c r="BV66" s="479"/>
      <c r="BW66" s="479"/>
      <c r="BX66" s="479"/>
      <c r="BY66" s="479"/>
      <c r="BZ66" s="479"/>
      <c r="CA66" s="479"/>
      <c r="CB66" s="479"/>
      <c r="CC66" s="479"/>
      <c r="CD66" s="479"/>
      <c r="CE66" s="479"/>
      <c r="CF66" s="479"/>
      <c r="CG66" s="479"/>
      <c r="CH66" s="479"/>
      <c r="CI66" s="479"/>
      <c r="CJ66" s="479"/>
      <c r="CK66" s="479"/>
      <c r="CL66" s="479"/>
      <c r="CM66" s="479"/>
      <c r="CN66" s="479"/>
      <c r="CO66" s="479"/>
      <c r="CP66" s="479"/>
      <c r="CQ66" s="479"/>
      <c r="CR66" s="479"/>
      <c r="CS66" s="479"/>
      <c r="CT66" s="479"/>
      <c r="CU66" s="479"/>
      <c r="CV66" s="479"/>
      <c r="CW66" s="479"/>
      <c r="CX66" s="479"/>
      <c r="CY66" s="479"/>
      <c r="CZ66" s="479"/>
      <c r="DA66" s="479"/>
      <c r="DB66" s="479"/>
      <c r="DC66" s="479"/>
      <c r="DD66" s="479"/>
      <c r="DE66" s="479"/>
      <c r="DF66" s="479"/>
      <c r="DG66" s="479"/>
      <c r="DH66" s="479"/>
      <c r="DI66" s="479"/>
      <c r="DJ66" s="479"/>
      <c r="DK66" s="479"/>
      <c r="DL66" s="479"/>
      <c r="DM66" s="479"/>
      <c r="DN66" s="479"/>
      <c r="DO66" s="479"/>
      <c r="DP66" s="479"/>
      <c r="DQ66" s="479"/>
      <c r="DR66" s="479"/>
      <c r="DS66" s="479"/>
      <c r="DT66" s="479"/>
      <c r="DU66" s="479"/>
      <c r="DV66" s="479"/>
      <c r="DW66" s="479"/>
      <c r="DX66" s="479"/>
      <c r="DY66" s="479"/>
      <c r="DZ66" s="479"/>
      <c r="EA66" s="479"/>
      <c r="EB66" s="479"/>
      <c r="EC66" s="479"/>
      <c r="ED66" s="479"/>
      <c r="EE66" s="479"/>
      <c r="EF66" s="479"/>
      <c r="EG66" s="479"/>
      <c r="EH66" s="479"/>
      <c r="EI66" s="479"/>
      <c r="EJ66" s="479"/>
      <c r="EK66" s="479"/>
      <c r="EL66" s="479"/>
      <c r="EM66" s="479"/>
      <c r="EN66" s="479"/>
      <c r="EO66" s="479"/>
      <c r="EP66" s="479"/>
      <c r="EQ66" s="479"/>
      <c r="ER66" s="479"/>
      <c r="ES66" s="479"/>
      <c r="ET66" s="479"/>
      <c r="EU66" s="479"/>
      <c r="EV66" s="479"/>
      <c r="EW66" s="479"/>
      <c r="EX66" s="479"/>
      <c r="EY66" s="479"/>
      <c r="EZ66" s="479"/>
      <c r="FA66" s="479"/>
      <c r="FB66" s="479"/>
      <c r="FC66" s="479"/>
      <c r="FD66" s="479"/>
      <c r="FE66" s="479"/>
      <c r="FF66" s="479"/>
      <c r="FG66" s="479"/>
      <c r="FH66" s="479"/>
      <c r="FI66" s="479"/>
      <c r="FJ66" s="479"/>
      <c r="FK66" s="479"/>
      <c r="FL66" s="479"/>
      <c r="FM66" s="479"/>
      <c r="FN66" s="479"/>
      <c r="FO66" s="479"/>
      <c r="FP66" s="479"/>
      <c r="FQ66" s="479"/>
      <c r="FR66" s="479"/>
      <c r="FS66" s="479"/>
      <c r="FT66" s="479"/>
      <c r="FU66" s="479"/>
      <c r="FV66" s="479"/>
      <c r="FW66" s="479"/>
      <c r="FX66" s="479"/>
      <c r="FY66" s="479"/>
      <c r="FZ66" s="479"/>
      <c r="GA66" s="479"/>
      <c r="GB66" s="479"/>
      <c r="GC66" s="479"/>
      <c r="GD66" s="479"/>
      <c r="GE66" s="479"/>
      <c r="GF66" s="479"/>
      <c r="GG66" s="479"/>
      <c r="GH66" s="479"/>
      <c r="GI66" s="479"/>
      <c r="GJ66" s="479"/>
      <c r="GK66" s="479"/>
      <c r="GL66" s="479"/>
      <c r="GM66" s="479"/>
      <c r="GN66" s="479"/>
      <c r="GO66" s="479"/>
      <c r="GP66" s="479"/>
      <c r="GQ66" s="479"/>
      <c r="GR66" s="479"/>
      <c r="GS66" s="479"/>
      <c r="GT66" s="479"/>
      <c r="GU66" s="479"/>
      <c r="GV66" s="479"/>
      <c r="GW66" s="479"/>
      <c r="GX66" s="479"/>
      <c r="GY66" s="479"/>
      <c r="GZ66" s="479"/>
      <c r="HA66" s="479"/>
      <c r="HB66" s="479"/>
      <c r="HC66" s="479"/>
      <c r="HD66" s="479"/>
      <c r="HE66" s="479"/>
      <c r="HF66" s="479"/>
      <c r="HG66" s="479"/>
      <c r="HH66" s="479"/>
      <c r="HI66" s="479"/>
      <c r="HJ66" s="479"/>
      <c r="HK66" s="479"/>
      <c r="HL66" s="479"/>
      <c r="HM66" s="479"/>
      <c r="HN66" s="479"/>
      <c r="HO66" s="479"/>
      <c r="HP66" s="479"/>
      <c r="HQ66" s="479"/>
      <c r="HR66" s="479"/>
      <c r="HS66" s="479"/>
      <c r="HT66" s="479"/>
      <c r="HU66" s="479"/>
      <c r="HV66" s="479"/>
      <c r="HW66" s="479"/>
      <c r="HX66" s="479"/>
      <c r="HY66" s="479"/>
      <c r="HZ66" s="479"/>
      <c r="IA66" s="479"/>
      <c r="IB66" s="479"/>
      <c r="IC66" s="479"/>
      <c r="ID66" s="479"/>
      <c r="IE66" s="479"/>
      <c r="IF66" s="479"/>
      <c r="IG66" s="479"/>
      <c r="IH66" s="479"/>
      <c r="II66" s="479"/>
      <c r="IJ66" s="479"/>
      <c r="IK66" s="479"/>
      <c r="IL66" s="479"/>
      <c r="IM66" s="479"/>
      <c r="IN66" s="479"/>
      <c r="IO66" s="479"/>
      <c r="IP66" s="479"/>
      <c r="IQ66" s="479"/>
      <c r="IR66" s="479"/>
      <c r="IS66" s="479"/>
      <c r="IT66" s="479"/>
      <c r="IU66" s="479"/>
      <c r="IV66" s="479"/>
      <c r="IW66" s="479"/>
      <c r="IX66" s="479"/>
      <c r="IY66" s="479"/>
      <c r="IZ66" s="479"/>
      <c r="JA66" s="479"/>
      <c r="JB66" s="479"/>
      <c r="JC66" s="479"/>
      <c r="JD66" s="479"/>
      <c r="JE66" s="479"/>
      <c r="JF66" s="479"/>
      <c r="JG66" s="479"/>
      <c r="JH66" s="479"/>
      <c r="JI66" s="479"/>
      <c r="JJ66" s="479"/>
      <c r="JK66" s="479"/>
      <c r="JL66" s="479"/>
      <c r="JM66" s="479"/>
      <c r="JN66" s="479"/>
      <c r="JO66" s="479"/>
      <c r="JP66" s="479"/>
      <c r="JQ66" s="479"/>
      <c r="JR66" s="479"/>
      <c r="JS66" s="479"/>
      <c r="JT66" s="479"/>
      <c r="JU66" s="479"/>
      <c r="JV66" s="479"/>
      <c r="JW66" s="479"/>
      <c r="JX66" s="479"/>
      <c r="JY66" s="479"/>
      <c r="JZ66" s="479"/>
      <c r="KA66" s="479"/>
      <c r="KB66" s="479"/>
      <c r="KC66" s="479"/>
      <c r="KD66" s="479"/>
      <c r="KE66" s="479"/>
      <c r="KF66" s="479"/>
      <c r="KG66" s="479"/>
      <c r="KH66" s="479"/>
      <c r="KI66" s="479"/>
      <c r="KJ66" s="479"/>
      <c r="KK66" s="479"/>
      <c r="KL66" s="479"/>
      <c r="KM66" s="479"/>
      <c r="KN66" s="479"/>
      <c r="KO66" s="479"/>
      <c r="KP66" s="479"/>
      <c r="KQ66" s="479"/>
      <c r="KR66" s="479"/>
      <c r="KS66" s="479"/>
      <c r="KT66" s="479"/>
      <c r="KU66" s="479"/>
      <c r="KV66" s="479"/>
      <c r="KW66" s="479"/>
      <c r="KX66" s="479"/>
      <c r="KY66" s="479"/>
      <c r="KZ66" s="479"/>
      <c r="LA66" s="479"/>
      <c r="LB66" s="479"/>
      <c r="LC66" s="479"/>
      <c r="LD66" s="479"/>
      <c r="LE66" s="479"/>
      <c r="LF66" s="479"/>
      <c r="LG66" s="479"/>
      <c r="LH66" s="479"/>
      <c r="LI66" s="479"/>
      <c r="LJ66" s="479"/>
      <c r="LK66" s="479"/>
      <c r="LL66" s="479"/>
      <c r="LM66" s="479"/>
      <c r="LN66" s="479"/>
      <c r="LO66" s="479"/>
      <c r="LP66" s="479"/>
      <c r="LQ66" s="479"/>
      <c r="LR66" s="479"/>
      <c r="LS66" s="479"/>
      <c r="LT66" s="479"/>
      <c r="LU66" s="479"/>
      <c r="LV66" s="479"/>
      <c r="LW66" s="479"/>
      <c r="LX66" s="479"/>
      <c r="LY66" s="479"/>
      <c r="LZ66" s="479"/>
      <c r="MA66" s="479"/>
      <c r="MB66" s="479"/>
    </row>
    <row r="67" spans="1:340" s="521" customFormat="1" ht="21.75" customHeight="1" thickBot="1">
      <c r="A67" s="466"/>
      <c r="B67" s="2958"/>
      <c r="C67" s="2013"/>
      <c r="D67" s="2035"/>
      <c r="E67" s="1319" t="s">
        <v>431</v>
      </c>
      <c r="F67" s="1568">
        <f>Y67</f>
        <v>797463</v>
      </c>
      <c r="G67" s="1568">
        <v>797463</v>
      </c>
      <c r="H67" s="1561"/>
      <c r="I67" s="634"/>
      <c r="J67" s="1566" t="s">
        <v>224</v>
      </c>
      <c r="K67" s="1326"/>
      <c r="L67" s="1326"/>
      <c r="M67" s="1326"/>
      <c r="N67" s="608"/>
      <c r="O67" s="608"/>
      <c r="P67" s="1326"/>
      <c r="Q67" s="1344"/>
      <c r="R67" s="1326"/>
      <c r="S67" s="1326"/>
      <c r="T67" s="1326"/>
      <c r="U67" s="1326"/>
      <c r="V67" s="1326"/>
      <c r="W67" s="1326"/>
      <c r="X67" s="1559"/>
      <c r="Y67" s="490">
        <f t="shared" si="4"/>
        <v>797463</v>
      </c>
      <c r="Z67" s="473">
        <f>SUM(Z68:Z72)</f>
        <v>797463000</v>
      </c>
      <c r="AA67" s="1560"/>
      <c r="AB67" s="669"/>
      <c r="AC67" s="480"/>
      <c r="AD67" s="479"/>
      <c r="AE67" s="479"/>
      <c r="AF67" s="479"/>
      <c r="AG67" s="479"/>
      <c r="AH67" s="479"/>
      <c r="AI67" s="479"/>
      <c r="AJ67" s="479"/>
      <c r="AK67" s="479"/>
      <c r="AL67" s="479"/>
      <c r="AM67" s="479"/>
      <c r="AN67" s="479"/>
      <c r="AO67" s="479"/>
      <c r="AP67" s="479"/>
      <c r="AQ67" s="479"/>
      <c r="AR67" s="479"/>
      <c r="AS67" s="479"/>
      <c r="AT67" s="479"/>
      <c r="AU67" s="479"/>
      <c r="AV67" s="479"/>
      <c r="AW67" s="479"/>
      <c r="AX67" s="479"/>
      <c r="AY67" s="479"/>
      <c r="AZ67" s="479"/>
      <c r="BA67" s="479"/>
      <c r="BB67" s="479"/>
      <c r="BC67" s="479"/>
      <c r="BD67" s="479"/>
      <c r="BE67" s="479"/>
      <c r="BF67" s="479"/>
      <c r="BG67" s="479"/>
      <c r="BH67" s="479"/>
      <c r="BI67" s="479"/>
      <c r="BJ67" s="479"/>
      <c r="BK67" s="479"/>
      <c r="BL67" s="479"/>
      <c r="BM67" s="479"/>
      <c r="BN67" s="479"/>
      <c r="BO67" s="479"/>
      <c r="BP67" s="479"/>
      <c r="BQ67" s="479"/>
      <c r="BR67" s="479"/>
      <c r="BS67" s="479"/>
      <c r="BT67" s="479"/>
      <c r="BU67" s="479"/>
      <c r="BV67" s="479"/>
      <c r="BW67" s="479"/>
      <c r="BX67" s="479"/>
      <c r="BY67" s="479"/>
      <c r="BZ67" s="479"/>
      <c r="CA67" s="479"/>
      <c r="CB67" s="479"/>
      <c r="CC67" s="479"/>
      <c r="CD67" s="479"/>
      <c r="CE67" s="479"/>
      <c r="CF67" s="479"/>
      <c r="CG67" s="479"/>
      <c r="CH67" s="479"/>
      <c r="CI67" s="479"/>
      <c r="CJ67" s="479"/>
      <c r="CK67" s="479"/>
      <c r="CL67" s="479"/>
      <c r="CM67" s="479"/>
      <c r="CN67" s="479"/>
      <c r="CO67" s="479"/>
      <c r="CP67" s="479"/>
      <c r="CQ67" s="479"/>
      <c r="CR67" s="479"/>
      <c r="CS67" s="479"/>
      <c r="CT67" s="479"/>
      <c r="CU67" s="479"/>
      <c r="CV67" s="479"/>
      <c r="CW67" s="479"/>
      <c r="CX67" s="479"/>
      <c r="CY67" s="479"/>
      <c r="CZ67" s="479"/>
      <c r="DA67" s="479"/>
      <c r="DB67" s="479"/>
      <c r="DC67" s="479"/>
      <c r="DD67" s="479"/>
      <c r="DE67" s="479"/>
      <c r="DF67" s="479"/>
      <c r="DG67" s="479"/>
      <c r="DH67" s="479"/>
      <c r="DI67" s="479"/>
      <c r="DJ67" s="479"/>
      <c r="DK67" s="479"/>
      <c r="DL67" s="479"/>
      <c r="DM67" s="479"/>
      <c r="DN67" s="479"/>
      <c r="DO67" s="479"/>
      <c r="DP67" s="479"/>
      <c r="DQ67" s="479"/>
      <c r="DR67" s="479"/>
      <c r="DS67" s="479"/>
      <c r="DT67" s="479"/>
      <c r="DU67" s="479"/>
      <c r="DV67" s="479"/>
      <c r="DW67" s="479"/>
      <c r="DX67" s="479"/>
      <c r="DY67" s="479"/>
      <c r="DZ67" s="479"/>
      <c r="EA67" s="479"/>
      <c r="EB67" s="479"/>
      <c r="EC67" s="479"/>
      <c r="ED67" s="479"/>
      <c r="EE67" s="479"/>
      <c r="EF67" s="479"/>
      <c r="EG67" s="479"/>
      <c r="EH67" s="479"/>
      <c r="EI67" s="479"/>
      <c r="EJ67" s="479"/>
      <c r="EK67" s="479"/>
      <c r="EL67" s="479"/>
      <c r="EM67" s="479"/>
      <c r="EN67" s="479"/>
      <c r="EO67" s="479"/>
      <c r="EP67" s="479"/>
      <c r="EQ67" s="479"/>
      <c r="ER67" s="479"/>
      <c r="ES67" s="479"/>
      <c r="ET67" s="479"/>
      <c r="EU67" s="479"/>
      <c r="EV67" s="479"/>
      <c r="EW67" s="479"/>
      <c r="EX67" s="479"/>
      <c r="EY67" s="479"/>
      <c r="EZ67" s="479"/>
      <c r="FA67" s="479"/>
      <c r="FB67" s="479"/>
      <c r="FC67" s="479"/>
      <c r="FD67" s="479"/>
      <c r="FE67" s="479"/>
      <c r="FF67" s="479"/>
      <c r="FG67" s="479"/>
      <c r="FH67" s="479"/>
      <c r="FI67" s="479"/>
      <c r="FJ67" s="479"/>
      <c r="FK67" s="479"/>
      <c r="FL67" s="479"/>
      <c r="FM67" s="479"/>
      <c r="FN67" s="479"/>
      <c r="FO67" s="479"/>
      <c r="FP67" s="479"/>
      <c r="FQ67" s="479"/>
      <c r="FR67" s="479"/>
      <c r="FS67" s="479"/>
      <c r="FT67" s="479"/>
      <c r="FU67" s="479"/>
      <c r="FV67" s="479"/>
      <c r="FW67" s="479"/>
      <c r="FX67" s="479"/>
      <c r="FY67" s="479"/>
      <c r="FZ67" s="479"/>
      <c r="GA67" s="479"/>
      <c r="GB67" s="479"/>
      <c r="GC67" s="479"/>
      <c r="GD67" s="479"/>
      <c r="GE67" s="479"/>
      <c r="GF67" s="479"/>
      <c r="GG67" s="479"/>
      <c r="GH67" s="479"/>
      <c r="GI67" s="479"/>
      <c r="GJ67" s="479"/>
      <c r="GK67" s="479"/>
      <c r="GL67" s="479"/>
      <c r="GM67" s="479"/>
      <c r="GN67" s="479"/>
      <c r="GO67" s="479"/>
      <c r="GP67" s="479"/>
      <c r="GQ67" s="479"/>
      <c r="GR67" s="479"/>
      <c r="GS67" s="479"/>
      <c r="GT67" s="479"/>
      <c r="GU67" s="479"/>
      <c r="GV67" s="479"/>
      <c r="GW67" s="479"/>
      <c r="GX67" s="479"/>
      <c r="GY67" s="479"/>
      <c r="GZ67" s="479"/>
      <c r="HA67" s="479"/>
      <c r="HB67" s="479"/>
      <c r="HC67" s="479"/>
      <c r="HD67" s="479"/>
      <c r="HE67" s="479"/>
      <c r="HF67" s="479"/>
      <c r="HG67" s="479"/>
      <c r="HH67" s="479"/>
      <c r="HI67" s="479"/>
      <c r="HJ67" s="479"/>
      <c r="HK67" s="479"/>
      <c r="HL67" s="479"/>
      <c r="HM67" s="479"/>
      <c r="HN67" s="479"/>
      <c r="HO67" s="479"/>
      <c r="HP67" s="479"/>
      <c r="HQ67" s="479"/>
      <c r="HR67" s="479"/>
      <c r="HS67" s="479"/>
      <c r="HT67" s="479"/>
      <c r="HU67" s="479"/>
      <c r="HV67" s="479"/>
      <c r="HW67" s="479"/>
      <c r="HX67" s="479"/>
      <c r="HY67" s="479"/>
      <c r="HZ67" s="479"/>
      <c r="IA67" s="479"/>
      <c r="IB67" s="479"/>
      <c r="IC67" s="479"/>
      <c r="ID67" s="479"/>
      <c r="IE67" s="479"/>
      <c r="IF67" s="479"/>
      <c r="IG67" s="479"/>
      <c r="IH67" s="479"/>
      <c r="II67" s="479"/>
      <c r="IJ67" s="479"/>
      <c r="IK67" s="479"/>
      <c r="IL67" s="479"/>
      <c r="IM67" s="479"/>
      <c r="IN67" s="479"/>
      <c r="IO67" s="479"/>
      <c r="IP67" s="479"/>
      <c r="IQ67" s="479"/>
      <c r="IR67" s="479"/>
      <c r="IS67" s="479"/>
      <c r="IT67" s="479"/>
      <c r="IU67" s="479"/>
      <c r="IV67" s="479"/>
      <c r="IW67" s="479"/>
      <c r="IX67" s="479"/>
      <c r="IY67" s="479"/>
      <c r="IZ67" s="479"/>
      <c r="JA67" s="479"/>
      <c r="JB67" s="479"/>
      <c r="JC67" s="479"/>
      <c r="JD67" s="479"/>
      <c r="JE67" s="479"/>
      <c r="JF67" s="479"/>
      <c r="JG67" s="479"/>
      <c r="JH67" s="479"/>
      <c r="JI67" s="479"/>
      <c r="JJ67" s="479"/>
      <c r="JK67" s="479"/>
      <c r="JL67" s="479"/>
      <c r="JM67" s="479"/>
      <c r="JN67" s="479"/>
      <c r="JO67" s="479"/>
      <c r="JP67" s="479"/>
      <c r="JQ67" s="479"/>
      <c r="JR67" s="479"/>
      <c r="JS67" s="479"/>
      <c r="JT67" s="479"/>
      <c r="JU67" s="479"/>
      <c r="JV67" s="479"/>
      <c r="JW67" s="479"/>
      <c r="JX67" s="479"/>
      <c r="JY67" s="479"/>
      <c r="JZ67" s="479"/>
      <c r="KA67" s="479"/>
      <c r="KB67" s="479"/>
      <c r="KC67" s="479"/>
      <c r="KD67" s="479"/>
      <c r="KE67" s="479"/>
      <c r="KF67" s="479"/>
      <c r="KG67" s="479"/>
      <c r="KH67" s="479"/>
      <c r="KI67" s="479"/>
      <c r="KJ67" s="479"/>
      <c r="KK67" s="479"/>
      <c r="KL67" s="479"/>
      <c r="KM67" s="479"/>
      <c r="KN67" s="479"/>
      <c r="KO67" s="479"/>
      <c r="KP67" s="479"/>
      <c r="KQ67" s="479"/>
      <c r="KR67" s="479"/>
      <c r="KS67" s="479"/>
      <c r="KT67" s="479"/>
      <c r="KU67" s="479"/>
      <c r="KV67" s="479"/>
      <c r="KW67" s="479"/>
      <c r="KX67" s="479"/>
      <c r="KY67" s="479"/>
      <c r="KZ67" s="479"/>
      <c r="LA67" s="479"/>
      <c r="LB67" s="479"/>
      <c r="LC67" s="479"/>
      <c r="LD67" s="479"/>
      <c r="LE67" s="479"/>
      <c r="LF67" s="479"/>
      <c r="LG67" s="479"/>
      <c r="LH67" s="479"/>
      <c r="LI67" s="479"/>
      <c r="LJ67" s="479"/>
      <c r="LK67" s="479"/>
      <c r="LL67" s="479"/>
      <c r="LM67" s="479"/>
      <c r="LN67" s="479"/>
      <c r="LO67" s="479"/>
      <c r="LP67" s="479"/>
      <c r="LQ67" s="479"/>
      <c r="LR67" s="479"/>
      <c r="LS67" s="479"/>
      <c r="LT67" s="479"/>
      <c r="LU67" s="479"/>
      <c r="LV67" s="479"/>
      <c r="LW67" s="479"/>
      <c r="LX67" s="479"/>
      <c r="LY67" s="479"/>
      <c r="LZ67" s="479"/>
      <c r="MA67" s="479"/>
      <c r="MB67" s="479"/>
    </row>
    <row r="68" spans="1:340" ht="21.75" customHeight="1">
      <c r="A68" s="466"/>
      <c r="B68" s="2958"/>
      <c r="C68" s="2013"/>
      <c r="D68" s="2035"/>
      <c r="E68" s="624"/>
      <c r="F68" s="590"/>
      <c r="G68" s="590"/>
      <c r="H68" s="534"/>
      <c r="I68" s="634"/>
      <c r="J68" s="472" t="s">
        <v>539</v>
      </c>
      <c r="K68" s="473"/>
      <c r="L68" s="473"/>
      <c r="M68" s="473"/>
      <c r="N68" s="474"/>
      <c r="O68" s="473"/>
      <c r="P68" s="473"/>
      <c r="Q68" s="475"/>
      <c r="R68" s="473"/>
      <c r="S68" s="474">
        <v>677500000</v>
      </c>
      <c r="T68" s="473" t="s">
        <v>37</v>
      </c>
      <c r="U68" s="473"/>
      <c r="V68" s="473">
        <v>1</v>
      </c>
      <c r="W68" s="473" t="s">
        <v>226</v>
      </c>
      <c r="X68" s="542" t="s">
        <v>38</v>
      </c>
      <c r="Y68" s="483">
        <f t="shared" si="4"/>
        <v>677500</v>
      </c>
      <c r="Z68" s="473">
        <v>677500000</v>
      </c>
      <c r="AA68" s="1560"/>
      <c r="AB68" s="669"/>
      <c r="AC68" s="480"/>
      <c r="AD68" s="479"/>
      <c r="AE68" s="479"/>
      <c r="AF68" s="479"/>
      <c r="AG68" s="479"/>
      <c r="AH68" s="479"/>
      <c r="AI68" s="479"/>
      <c r="AJ68" s="479"/>
      <c r="AK68" s="479"/>
      <c r="AL68" s="479"/>
      <c r="AM68" s="479"/>
      <c r="AN68" s="479"/>
      <c r="AO68" s="479"/>
      <c r="AP68" s="479"/>
      <c r="AQ68" s="479"/>
      <c r="AR68" s="479"/>
      <c r="AS68" s="479"/>
      <c r="AT68" s="479"/>
      <c r="AU68" s="479"/>
      <c r="AV68" s="479"/>
      <c r="AW68" s="479"/>
      <c r="AX68" s="479"/>
      <c r="AY68" s="479"/>
      <c r="AZ68" s="479"/>
      <c r="BA68" s="479"/>
      <c r="BB68" s="479"/>
      <c r="BC68" s="479"/>
      <c r="BD68" s="479"/>
      <c r="BE68" s="479"/>
      <c r="BF68" s="479"/>
      <c r="BG68" s="479"/>
      <c r="BH68" s="479"/>
      <c r="BI68" s="479"/>
      <c r="BJ68" s="479"/>
      <c r="BK68" s="479"/>
      <c r="BL68" s="479"/>
      <c r="BM68" s="479"/>
      <c r="BN68" s="479"/>
      <c r="BO68" s="479"/>
      <c r="BP68" s="479"/>
      <c r="BQ68" s="479"/>
      <c r="BR68" s="479"/>
      <c r="BS68" s="479"/>
      <c r="BT68" s="479"/>
      <c r="BU68" s="479"/>
      <c r="BV68" s="479"/>
      <c r="BW68" s="479"/>
      <c r="BX68" s="479"/>
      <c r="BY68" s="479"/>
      <c r="BZ68" s="479"/>
      <c r="CA68" s="479"/>
      <c r="CB68" s="479"/>
      <c r="CC68" s="479"/>
      <c r="CD68" s="479"/>
      <c r="CE68" s="479"/>
      <c r="CF68" s="479"/>
      <c r="CG68" s="479"/>
      <c r="CH68" s="479"/>
      <c r="CI68" s="479"/>
      <c r="CJ68" s="479"/>
      <c r="CK68" s="479"/>
      <c r="CL68" s="479"/>
      <c r="CM68" s="479"/>
      <c r="CN68" s="479"/>
      <c r="CO68" s="479"/>
      <c r="CP68" s="479"/>
      <c r="CQ68" s="479"/>
      <c r="CR68" s="479"/>
      <c r="CS68" s="479"/>
      <c r="CT68" s="479"/>
      <c r="CU68" s="479"/>
      <c r="CV68" s="479"/>
      <c r="CW68" s="479"/>
      <c r="CX68" s="479"/>
      <c r="CY68" s="479"/>
      <c r="CZ68" s="479"/>
      <c r="DA68" s="479"/>
      <c r="DB68" s="479"/>
      <c r="DC68" s="479"/>
      <c r="DD68" s="479"/>
      <c r="DE68" s="479"/>
      <c r="DF68" s="479"/>
      <c r="DG68" s="479"/>
      <c r="DH68" s="479"/>
      <c r="DI68" s="479"/>
      <c r="DJ68" s="479"/>
      <c r="DK68" s="479"/>
      <c r="DL68" s="479"/>
      <c r="DM68" s="479"/>
      <c r="DN68" s="479"/>
      <c r="DO68" s="479"/>
      <c r="DP68" s="479"/>
      <c r="DQ68" s="479"/>
      <c r="DR68" s="479"/>
      <c r="DS68" s="479"/>
      <c r="DT68" s="479"/>
      <c r="DU68" s="479"/>
      <c r="DV68" s="479"/>
      <c r="DW68" s="479"/>
      <c r="DX68" s="479"/>
      <c r="DY68" s="479"/>
      <c r="DZ68" s="479"/>
      <c r="EA68" s="479"/>
      <c r="EB68" s="479"/>
      <c r="EC68" s="479"/>
      <c r="ED68" s="479"/>
      <c r="EE68" s="479"/>
      <c r="EF68" s="479"/>
      <c r="EG68" s="479"/>
      <c r="EH68" s="479"/>
      <c r="EI68" s="479"/>
      <c r="EJ68" s="479"/>
      <c r="EK68" s="479"/>
      <c r="EL68" s="479"/>
      <c r="EM68" s="479"/>
      <c r="EN68" s="479"/>
      <c r="EO68" s="479"/>
      <c r="EP68" s="479"/>
      <c r="EQ68" s="479"/>
      <c r="ER68" s="479"/>
      <c r="ES68" s="479"/>
      <c r="ET68" s="479"/>
      <c r="EU68" s="479"/>
      <c r="EV68" s="479"/>
      <c r="EW68" s="479"/>
      <c r="EX68" s="479"/>
      <c r="EY68" s="479"/>
      <c r="EZ68" s="479"/>
      <c r="FA68" s="479"/>
      <c r="FB68" s="479"/>
      <c r="FC68" s="479"/>
      <c r="FD68" s="479"/>
      <c r="FE68" s="479"/>
      <c r="FF68" s="479"/>
      <c r="FG68" s="479"/>
      <c r="FH68" s="479"/>
      <c r="FI68" s="479"/>
      <c r="FJ68" s="479"/>
      <c r="FK68" s="479"/>
      <c r="FL68" s="479"/>
      <c r="FM68" s="479"/>
      <c r="FN68" s="479"/>
      <c r="FO68" s="479"/>
      <c r="FP68" s="479"/>
      <c r="FQ68" s="479"/>
      <c r="FR68" s="479"/>
      <c r="FS68" s="479"/>
      <c r="FT68" s="479"/>
      <c r="FU68" s="479"/>
      <c r="FV68" s="479"/>
      <c r="FW68" s="479"/>
      <c r="FX68" s="479"/>
      <c r="FY68" s="479"/>
      <c r="FZ68" s="479"/>
      <c r="GA68" s="479"/>
      <c r="GB68" s="479"/>
      <c r="GC68" s="479"/>
      <c r="GD68" s="479"/>
      <c r="GE68" s="479"/>
      <c r="GF68" s="479"/>
      <c r="GG68" s="479"/>
      <c r="GH68" s="479"/>
      <c r="GI68" s="479"/>
      <c r="GJ68" s="479"/>
      <c r="GK68" s="479"/>
      <c r="GL68" s="479"/>
      <c r="GM68" s="479"/>
      <c r="GN68" s="479"/>
      <c r="GO68" s="479"/>
      <c r="GP68" s="479"/>
      <c r="GQ68" s="479"/>
      <c r="GR68" s="479"/>
      <c r="GS68" s="479"/>
      <c r="GT68" s="479"/>
      <c r="GU68" s="479"/>
      <c r="GV68" s="479"/>
      <c r="GW68" s="479"/>
      <c r="GX68" s="479"/>
      <c r="GY68" s="479"/>
      <c r="GZ68" s="479"/>
      <c r="HA68" s="479"/>
      <c r="HB68" s="479"/>
      <c r="HC68" s="479"/>
      <c r="HD68" s="479"/>
      <c r="HE68" s="479"/>
      <c r="HF68" s="479"/>
      <c r="HG68" s="479"/>
      <c r="HH68" s="479"/>
      <c r="HI68" s="479"/>
      <c r="HJ68" s="479"/>
      <c r="HK68" s="479"/>
      <c r="HL68" s="479"/>
      <c r="HM68" s="479"/>
      <c r="HN68" s="479"/>
      <c r="HO68" s="479"/>
      <c r="HP68" s="479"/>
      <c r="HQ68" s="479"/>
      <c r="HR68" s="479"/>
      <c r="HS68" s="479"/>
      <c r="HT68" s="479"/>
      <c r="HU68" s="479"/>
      <c r="HV68" s="479"/>
      <c r="HW68" s="479"/>
      <c r="HX68" s="479"/>
      <c r="HY68" s="479"/>
      <c r="HZ68" s="479"/>
      <c r="IA68" s="479"/>
      <c r="IB68" s="479"/>
      <c r="IC68" s="479"/>
      <c r="ID68" s="479"/>
      <c r="IE68" s="479"/>
      <c r="IF68" s="479"/>
      <c r="IG68" s="479"/>
      <c r="IH68" s="479"/>
      <c r="II68" s="479"/>
      <c r="IJ68" s="479"/>
      <c r="IK68" s="479"/>
      <c r="IL68" s="479"/>
      <c r="IM68" s="479"/>
      <c r="IN68" s="479"/>
      <c r="IO68" s="479"/>
      <c r="IP68" s="479"/>
      <c r="IQ68" s="479"/>
      <c r="IR68" s="479"/>
      <c r="IS68" s="479"/>
      <c r="IT68" s="479"/>
      <c r="IU68" s="479"/>
      <c r="IV68" s="479"/>
      <c r="IW68" s="479"/>
      <c r="IX68" s="479"/>
      <c r="IY68" s="479"/>
      <c r="IZ68" s="479"/>
      <c r="JA68" s="479"/>
      <c r="JB68" s="479"/>
      <c r="JC68" s="479"/>
      <c r="JD68" s="479"/>
      <c r="JE68" s="479"/>
      <c r="JF68" s="479"/>
      <c r="JG68" s="479"/>
      <c r="JH68" s="479"/>
      <c r="JI68" s="479"/>
      <c r="JJ68" s="479"/>
      <c r="JK68" s="479"/>
      <c r="JL68" s="479"/>
      <c r="JM68" s="479"/>
      <c r="JN68" s="479"/>
      <c r="JO68" s="479"/>
      <c r="JP68" s="479"/>
      <c r="JQ68" s="479"/>
      <c r="JR68" s="479"/>
      <c r="JS68" s="479"/>
      <c r="JT68" s="479"/>
      <c r="JU68" s="479"/>
      <c r="JV68" s="479"/>
      <c r="JW68" s="479"/>
      <c r="JX68" s="479"/>
      <c r="JY68" s="479"/>
      <c r="JZ68" s="479"/>
      <c r="KA68" s="479"/>
      <c r="KB68" s="479"/>
      <c r="KC68" s="479"/>
      <c r="KD68" s="479"/>
      <c r="KE68" s="479"/>
      <c r="KF68" s="479"/>
      <c r="KG68" s="479"/>
      <c r="KH68" s="479"/>
      <c r="KI68" s="479"/>
      <c r="KJ68" s="479"/>
      <c r="KK68" s="479"/>
      <c r="KL68" s="479"/>
      <c r="KM68" s="479"/>
      <c r="KN68" s="479"/>
      <c r="KO68" s="479"/>
      <c r="KP68" s="479"/>
      <c r="KQ68" s="479"/>
      <c r="KR68" s="479"/>
      <c r="KS68" s="479"/>
      <c r="KT68" s="479"/>
      <c r="KU68" s="479"/>
      <c r="KV68" s="479"/>
      <c r="KW68" s="479"/>
      <c r="KX68" s="479"/>
      <c r="KY68" s="479"/>
      <c r="KZ68" s="479"/>
      <c r="LA68" s="479"/>
      <c r="LB68" s="479"/>
      <c r="LC68" s="479"/>
      <c r="LD68" s="479"/>
      <c r="LE68" s="479"/>
      <c r="LF68" s="479"/>
      <c r="LG68" s="479"/>
      <c r="LH68" s="479"/>
      <c r="LI68" s="479"/>
      <c r="LJ68" s="479"/>
      <c r="LK68" s="479"/>
      <c r="LL68" s="479"/>
      <c r="LM68" s="479"/>
      <c r="LN68" s="479"/>
      <c r="LO68" s="479"/>
      <c r="LP68" s="479"/>
      <c r="LQ68" s="479"/>
      <c r="LR68" s="479"/>
      <c r="LS68" s="479"/>
      <c r="LT68" s="479"/>
      <c r="LU68" s="479"/>
      <c r="LV68" s="479"/>
      <c r="LW68" s="479"/>
      <c r="LX68" s="479"/>
      <c r="LY68" s="479"/>
      <c r="LZ68" s="479"/>
      <c r="MA68" s="479"/>
      <c r="MB68" s="479"/>
    </row>
    <row r="69" spans="1:340" s="479" customFormat="1" ht="21.75" customHeight="1">
      <c r="A69" s="466"/>
      <c r="B69" s="2958"/>
      <c r="C69" s="2013"/>
      <c r="D69" s="2035"/>
      <c r="E69" s="624"/>
      <c r="F69" s="590"/>
      <c r="G69" s="590"/>
      <c r="H69" s="534"/>
      <c r="I69" s="634"/>
      <c r="J69" s="472" t="s">
        <v>540</v>
      </c>
      <c r="K69" s="473"/>
      <c r="L69" s="473"/>
      <c r="M69" s="473"/>
      <c r="N69" s="474"/>
      <c r="O69" s="473"/>
      <c r="P69" s="473"/>
      <c r="Q69" s="475"/>
      <c r="R69" s="473"/>
      <c r="S69" s="474">
        <v>42539000</v>
      </c>
      <c r="T69" s="473" t="s">
        <v>37</v>
      </c>
      <c r="U69" s="473"/>
      <c r="V69" s="473">
        <v>1</v>
      </c>
      <c r="W69" s="473" t="s">
        <v>226</v>
      </c>
      <c r="X69" s="542" t="s">
        <v>38</v>
      </c>
      <c r="Y69" s="483">
        <f t="shared" si="4"/>
        <v>42539</v>
      </c>
      <c r="Z69" s="473">
        <f>S69*V69</f>
        <v>42539000</v>
      </c>
      <c r="AA69" s="1560"/>
      <c r="AB69" s="669"/>
      <c r="AC69" s="480"/>
    </row>
    <row r="70" spans="1:340" ht="21.75" customHeight="1">
      <c r="A70" s="466"/>
      <c r="B70" s="2958"/>
      <c r="C70" s="2013"/>
      <c r="D70" s="2035"/>
      <c r="E70" s="624"/>
      <c r="F70" s="590"/>
      <c r="G70" s="590"/>
      <c r="H70" s="534"/>
      <c r="I70" s="634"/>
      <c r="J70" s="472" t="s">
        <v>541</v>
      </c>
      <c r="K70" s="473"/>
      <c r="L70" s="473"/>
      <c r="M70" s="473"/>
      <c r="N70" s="474"/>
      <c r="O70" s="473"/>
      <c r="P70" s="473"/>
      <c r="Q70" s="475">
        <v>20000</v>
      </c>
      <c r="R70" s="473" t="s">
        <v>527</v>
      </c>
      <c r="S70" s="474">
        <v>1000</v>
      </c>
      <c r="T70" s="473" t="s">
        <v>37</v>
      </c>
      <c r="U70" s="473"/>
      <c r="V70" s="473">
        <v>2</v>
      </c>
      <c r="W70" s="473" t="s">
        <v>39</v>
      </c>
      <c r="X70" s="542" t="s">
        <v>38</v>
      </c>
      <c r="Y70" s="483">
        <f>+Z70/1000</f>
        <v>40000</v>
      </c>
      <c r="Z70" s="473">
        <f>Q70*S70*V70</f>
        <v>40000000</v>
      </c>
      <c r="AA70" s="1560"/>
      <c r="AB70" s="669"/>
      <c r="AC70" s="480"/>
      <c r="AD70" s="479"/>
      <c r="AE70" s="479"/>
      <c r="AF70" s="479"/>
      <c r="AG70" s="479"/>
      <c r="AH70" s="479"/>
      <c r="AI70" s="479"/>
      <c r="AJ70" s="479"/>
      <c r="AK70" s="479"/>
      <c r="AL70" s="479"/>
      <c r="AM70" s="479"/>
      <c r="AN70" s="479"/>
      <c r="AO70" s="479"/>
      <c r="AP70" s="479"/>
      <c r="AQ70" s="479"/>
      <c r="AR70" s="479"/>
      <c r="AS70" s="479"/>
      <c r="AT70" s="479"/>
      <c r="AU70" s="479"/>
      <c r="AV70" s="479"/>
      <c r="AW70" s="479"/>
      <c r="AX70" s="479"/>
      <c r="AY70" s="479"/>
      <c r="AZ70" s="479"/>
      <c r="BA70" s="479"/>
      <c r="BB70" s="479"/>
      <c r="BC70" s="479"/>
      <c r="BD70" s="479"/>
      <c r="BE70" s="479"/>
      <c r="BF70" s="479"/>
      <c r="BG70" s="479"/>
      <c r="BH70" s="479"/>
      <c r="BI70" s="479"/>
      <c r="BJ70" s="479"/>
      <c r="BK70" s="479"/>
      <c r="BL70" s="479"/>
      <c r="BM70" s="479"/>
      <c r="BN70" s="479"/>
      <c r="BO70" s="479"/>
      <c r="BP70" s="479"/>
      <c r="BQ70" s="479"/>
      <c r="BR70" s="479"/>
      <c r="BS70" s="479"/>
      <c r="BT70" s="479"/>
      <c r="BU70" s="479"/>
      <c r="BV70" s="479"/>
      <c r="BW70" s="479"/>
      <c r="BX70" s="479"/>
      <c r="BY70" s="479"/>
      <c r="BZ70" s="479"/>
      <c r="CA70" s="479"/>
      <c r="CB70" s="479"/>
      <c r="CC70" s="479"/>
      <c r="CD70" s="479"/>
      <c r="CE70" s="479"/>
      <c r="CF70" s="479"/>
      <c r="CG70" s="479"/>
      <c r="CH70" s="479"/>
      <c r="CI70" s="479"/>
      <c r="CJ70" s="479"/>
      <c r="CK70" s="479"/>
      <c r="CL70" s="479"/>
      <c r="CM70" s="479"/>
      <c r="CN70" s="479"/>
      <c r="CO70" s="479"/>
      <c r="CP70" s="479"/>
      <c r="CQ70" s="479"/>
      <c r="CR70" s="479"/>
      <c r="CS70" s="479"/>
      <c r="CT70" s="479"/>
      <c r="CU70" s="479"/>
      <c r="CV70" s="479"/>
      <c r="CW70" s="479"/>
      <c r="CX70" s="479"/>
      <c r="CY70" s="479"/>
      <c r="CZ70" s="479"/>
      <c r="DA70" s="479"/>
      <c r="DB70" s="479"/>
      <c r="DC70" s="479"/>
      <c r="DD70" s="479"/>
      <c r="DE70" s="479"/>
      <c r="DF70" s="479"/>
      <c r="DG70" s="479"/>
      <c r="DH70" s="479"/>
      <c r="DI70" s="479"/>
      <c r="DJ70" s="479"/>
      <c r="DK70" s="479"/>
      <c r="DL70" s="479"/>
      <c r="DM70" s="479"/>
      <c r="DN70" s="479"/>
      <c r="DO70" s="479"/>
      <c r="DP70" s="479"/>
      <c r="DQ70" s="479"/>
      <c r="DR70" s="479"/>
      <c r="DS70" s="479"/>
      <c r="DT70" s="479"/>
      <c r="DU70" s="479"/>
      <c r="DV70" s="479"/>
      <c r="DW70" s="479"/>
      <c r="DX70" s="479"/>
      <c r="DY70" s="479"/>
      <c r="DZ70" s="479"/>
      <c r="EA70" s="479"/>
      <c r="EB70" s="479"/>
      <c r="EC70" s="479"/>
      <c r="ED70" s="479"/>
      <c r="EE70" s="479"/>
      <c r="EF70" s="479"/>
      <c r="EG70" s="479"/>
      <c r="EH70" s="479"/>
      <c r="EI70" s="479"/>
      <c r="EJ70" s="479"/>
      <c r="EK70" s="479"/>
      <c r="EL70" s="479"/>
      <c r="EM70" s="479"/>
      <c r="EN70" s="479"/>
      <c r="EO70" s="479"/>
      <c r="EP70" s="479"/>
      <c r="EQ70" s="479"/>
      <c r="ER70" s="479"/>
      <c r="ES70" s="479"/>
      <c r="ET70" s="479"/>
      <c r="EU70" s="479"/>
      <c r="EV70" s="479"/>
      <c r="EW70" s="479"/>
      <c r="EX70" s="479"/>
      <c r="EY70" s="479"/>
      <c r="EZ70" s="479"/>
      <c r="FA70" s="479"/>
      <c r="FB70" s="479"/>
      <c r="FC70" s="479"/>
      <c r="FD70" s="479"/>
      <c r="FE70" s="479"/>
      <c r="FF70" s="479"/>
      <c r="FG70" s="479"/>
      <c r="FH70" s="479"/>
      <c r="FI70" s="479"/>
      <c r="FJ70" s="479"/>
      <c r="FK70" s="479"/>
      <c r="FL70" s="479"/>
      <c r="FM70" s="479"/>
      <c r="FN70" s="479"/>
      <c r="FO70" s="479"/>
      <c r="FP70" s="479"/>
      <c r="FQ70" s="479"/>
      <c r="FR70" s="479"/>
      <c r="FS70" s="479"/>
      <c r="FT70" s="479"/>
      <c r="FU70" s="479"/>
      <c r="FV70" s="479"/>
      <c r="FW70" s="479"/>
      <c r="FX70" s="479"/>
      <c r="FY70" s="479"/>
      <c r="FZ70" s="479"/>
      <c r="GA70" s="479"/>
      <c r="GB70" s="479"/>
      <c r="GC70" s="479"/>
      <c r="GD70" s="479"/>
      <c r="GE70" s="479"/>
      <c r="GF70" s="479"/>
      <c r="GG70" s="479"/>
      <c r="GH70" s="479"/>
      <c r="GI70" s="479"/>
      <c r="GJ70" s="479"/>
      <c r="GK70" s="479"/>
      <c r="GL70" s="479"/>
      <c r="GM70" s="479"/>
      <c r="GN70" s="479"/>
      <c r="GO70" s="479"/>
      <c r="GP70" s="479"/>
      <c r="GQ70" s="479"/>
      <c r="GR70" s="479"/>
      <c r="GS70" s="479"/>
      <c r="GT70" s="479"/>
      <c r="GU70" s="479"/>
      <c r="GV70" s="479"/>
      <c r="GW70" s="479"/>
      <c r="GX70" s="479"/>
      <c r="GY70" s="479"/>
      <c r="GZ70" s="479"/>
      <c r="HA70" s="479"/>
      <c r="HB70" s="479"/>
      <c r="HC70" s="479"/>
      <c r="HD70" s="479"/>
      <c r="HE70" s="479"/>
      <c r="HF70" s="479"/>
      <c r="HG70" s="479"/>
      <c r="HH70" s="479"/>
      <c r="HI70" s="479"/>
      <c r="HJ70" s="479"/>
      <c r="HK70" s="479"/>
      <c r="HL70" s="479"/>
      <c r="HM70" s="479"/>
      <c r="HN70" s="479"/>
      <c r="HO70" s="479"/>
      <c r="HP70" s="479"/>
      <c r="HQ70" s="479"/>
      <c r="HR70" s="479"/>
      <c r="HS70" s="479"/>
      <c r="HT70" s="479"/>
      <c r="HU70" s="479"/>
      <c r="HV70" s="479"/>
      <c r="HW70" s="479"/>
      <c r="HX70" s="479"/>
      <c r="HY70" s="479"/>
      <c r="HZ70" s="479"/>
      <c r="IA70" s="479"/>
      <c r="IB70" s="479"/>
      <c r="IC70" s="479"/>
      <c r="ID70" s="479"/>
      <c r="IE70" s="479"/>
      <c r="IF70" s="479"/>
      <c r="IG70" s="479"/>
      <c r="IH70" s="479"/>
      <c r="II70" s="479"/>
      <c r="IJ70" s="479"/>
      <c r="IK70" s="479"/>
      <c r="IL70" s="479"/>
      <c r="IM70" s="479"/>
      <c r="IN70" s="479"/>
      <c r="IO70" s="479"/>
      <c r="IP70" s="479"/>
      <c r="IQ70" s="479"/>
      <c r="IR70" s="479"/>
      <c r="IS70" s="479"/>
      <c r="IT70" s="479"/>
      <c r="IU70" s="479"/>
      <c r="IV70" s="479"/>
      <c r="IW70" s="479"/>
      <c r="IX70" s="479"/>
      <c r="IY70" s="479"/>
      <c r="IZ70" s="479"/>
      <c r="JA70" s="479"/>
      <c r="JB70" s="479"/>
      <c r="JC70" s="479"/>
      <c r="JD70" s="479"/>
      <c r="JE70" s="479"/>
      <c r="JF70" s="479"/>
      <c r="JG70" s="479"/>
      <c r="JH70" s="479"/>
      <c r="JI70" s="479"/>
      <c r="JJ70" s="479"/>
      <c r="JK70" s="479"/>
      <c r="JL70" s="479"/>
      <c r="JM70" s="479"/>
      <c r="JN70" s="479"/>
      <c r="JO70" s="479"/>
      <c r="JP70" s="479"/>
      <c r="JQ70" s="479"/>
      <c r="JR70" s="479"/>
      <c r="JS70" s="479"/>
      <c r="JT70" s="479"/>
      <c r="JU70" s="479"/>
      <c r="JV70" s="479"/>
      <c r="JW70" s="479"/>
      <c r="JX70" s="479"/>
      <c r="JY70" s="479"/>
      <c r="JZ70" s="479"/>
      <c r="KA70" s="479"/>
      <c r="KB70" s="479"/>
      <c r="KC70" s="479"/>
      <c r="KD70" s="479"/>
      <c r="KE70" s="479"/>
      <c r="KF70" s="479"/>
      <c r="KG70" s="479"/>
      <c r="KH70" s="479"/>
      <c r="KI70" s="479"/>
      <c r="KJ70" s="479"/>
      <c r="KK70" s="479"/>
      <c r="KL70" s="479"/>
      <c r="KM70" s="479"/>
      <c r="KN70" s="479"/>
      <c r="KO70" s="479"/>
      <c r="KP70" s="479"/>
      <c r="KQ70" s="479"/>
      <c r="KR70" s="479"/>
      <c r="KS70" s="479"/>
      <c r="KT70" s="479"/>
      <c r="KU70" s="479"/>
      <c r="KV70" s="479"/>
      <c r="KW70" s="479"/>
      <c r="KX70" s="479"/>
      <c r="KY70" s="479"/>
      <c r="KZ70" s="479"/>
      <c r="LA70" s="479"/>
      <c r="LB70" s="479"/>
      <c r="LC70" s="479"/>
      <c r="LD70" s="479"/>
      <c r="LE70" s="479"/>
      <c r="LF70" s="479"/>
      <c r="LG70" s="479"/>
      <c r="LH70" s="479"/>
      <c r="LI70" s="479"/>
      <c r="LJ70" s="479"/>
      <c r="LK70" s="479"/>
      <c r="LL70" s="479"/>
      <c r="LM70" s="479"/>
      <c r="LN70" s="479"/>
      <c r="LO70" s="479"/>
      <c r="LP70" s="479"/>
      <c r="LQ70" s="479"/>
      <c r="LR70" s="479"/>
      <c r="LS70" s="479"/>
      <c r="LT70" s="479"/>
      <c r="LU70" s="479"/>
      <c r="LV70" s="479"/>
      <c r="LW70" s="479"/>
      <c r="LX70" s="479"/>
      <c r="LY70" s="479"/>
      <c r="LZ70" s="479"/>
      <c r="MA70" s="479"/>
      <c r="MB70" s="479"/>
    </row>
    <row r="71" spans="1:340" ht="21.75" customHeight="1">
      <c r="A71" s="466"/>
      <c r="B71" s="2958"/>
      <c r="C71" s="2013"/>
      <c r="D71" s="2035"/>
      <c r="E71" s="624"/>
      <c r="F71" s="590"/>
      <c r="G71" s="590"/>
      <c r="H71" s="534"/>
      <c r="I71" s="634"/>
      <c r="J71" s="472" t="s">
        <v>542</v>
      </c>
      <c r="K71" s="473"/>
      <c r="L71" s="473"/>
      <c r="M71" s="473"/>
      <c r="N71" s="474"/>
      <c r="O71" s="473"/>
      <c r="P71" s="473"/>
      <c r="Q71" s="475">
        <v>1</v>
      </c>
      <c r="R71" s="473" t="s">
        <v>226</v>
      </c>
      <c r="S71" s="474">
        <v>2530000</v>
      </c>
      <c r="T71" s="473" t="s">
        <v>37</v>
      </c>
      <c r="U71" s="473"/>
      <c r="V71" s="473">
        <v>12</v>
      </c>
      <c r="W71" s="473" t="s">
        <v>228</v>
      </c>
      <c r="X71" s="542" t="s">
        <v>38</v>
      </c>
      <c r="Y71" s="483">
        <f>+Z71/1000</f>
        <v>30360</v>
      </c>
      <c r="Z71" s="473">
        <f>Q71*S71*V71</f>
        <v>30360000</v>
      </c>
      <c r="AA71" s="1560"/>
      <c r="AB71" s="669"/>
      <c r="AC71" s="480"/>
      <c r="AD71" s="479"/>
      <c r="AE71" s="479"/>
      <c r="AF71" s="479"/>
      <c r="AG71" s="479"/>
      <c r="AH71" s="479"/>
      <c r="AI71" s="479"/>
      <c r="AJ71" s="479"/>
      <c r="AK71" s="479"/>
      <c r="AL71" s="479"/>
      <c r="AM71" s="479"/>
      <c r="AN71" s="479"/>
      <c r="AO71" s="479"/>
      <c r="AP71" s="479"/>
      <c r="AQ71" s="479"/>
      <c r="AR71" s="479"/>
      <c r="AS71" s="479"/>
      <c r="AT71" s="479"/>
      <c r="AU71" s="479"/>
      <c r="AV71" s="479"/>
      <c r="AW71" s="479"/>
      <c r="AX71" s="479"/>
      <c r="AY71" s="479"/>
      <c r="AZ71" s="479"/>
      <c r="BA71" s="479"/>
      <c r="BB71" s="479"/>
      <c r="BC71" s="479"/>
      <c r="BD71" s="479"/>
      <c r="BE71" s="479"/>
      <c r="BF71" s="479"/>
      <c r="BG71" s="479"/>
      <c r="BH71" s="479"/>
      <c r="BI71" s="479"/>
      <c r="BJ71" s="479"/>
      <c r="BK71" s="479"/>
      <c r="BL71" s="479"/>
      <c r="BM71" s="479"/>
      <c r="BN71" s="479"/>
      <c r="BO71" s="479"/>
      <c r="BP71" s="479"/>
      <c r="BQ71" s="479"/>
      <c r="BR71" s="479"/>
      <c r="BS71" s="479"/>
      <c r="BT71" s="479"/>
      <c r="BU71" s="479"/>
      <c r="BV71" s="479"/>
      <c r="BW71" s="479"/>
      <c r="BX71" s="479"/>
      <c r="BY71" s="479"/>
      <c r="BZ71" s="479"/>
      <c r="CA71" s="479"/>
      <c r="CB71" s="479"/>
      <c r="CC71" s="479"/>
      <c r="CD71" s="479"/>
      <c r="CE71" s="479"/>
      <c r="CF71" s="479"/>
      <c r="CG71" s="479"/>
      <c r="CH71" s="479"/>
      <c r="CI71" s="479"/>
      <c r="CJ71" s="479"/>
      <c r="CK71" s="479"/>
      <c r="CL71" s="479"/>
      <c r="CM71" s="479"/>
      <c r="CN71" s="479"/>
      <c r="CO71" s="479"/>
      <c r="CP71" s="479"/>
      <c r="CQ71" s="479"/>
      <c r="CR71" s="479"/>
      <c r="CS71" s="479"/>
      <c r="CT71" s="479"/>
      <c r="CU71" s="479"/>
      <c r="CV71" s="479"/>
      <c r="CW71" s="479"/>
      <c r="CX71" s="479"/>
      <c r="CY71" s="479"/>
      <c r="CZ71" s="479"/>
      <c r="DA71" s="479"/>
      <c r="DB71" s="479"/>
      <c r="DC71" s="479"/>
      <c r="DD71" s="479"/>
      <c r="DE71" s="479"/>
      <c r="DF71" s="479"/>
      <c r="DG71" s="479"/>
      <c r="DH71" s="479"/>
      <c r="DI71" s="479"/>
      <c r="DJ71" s="479"/>
      <c r="DK71" s="479"/>
      <c r="DL71" s="479"/>
      <c r="DM71" s="479"/>
      <c r="DN71" s="479"/>
      <c r="DO71" s="479"/>
      <c r="DP71" s="479"/>
      <c r="DQ71" s="479"/>
      <c r="DR71" s="479"/>
      <c r="DS71" s="479"/>
      <c r="DT71" s="479"/>
      <c r="DU71" s="479"/>
      <c r="DV71" s="479"/>
      <c r="DW71" s="479"/>
      <c r="DX71" s="479"/>
      <c r="DY71" s="479"/>
      <c r="DZ71" s="479"/>
      <c r="EA71" s="479"/>
      <c r="EB71" s="479"/>
      <c r="EC71" s="479"/>
      <c r="ED71" s="479"/>
      <c r="EE71" s="479"/>
      <c r="EF71" s="479"/>
      <c r="EG71" s="479"/>
      <c r="EH71" s="479"/>
      <c r="EI71" s="479"/>
      <c r="EJ71" s="479"/>
      <c r="EK71" s="479"/>
      <c r="EL71" s="479"/>
      <c r="EM71" s="479"/>
      <c r="EN71" s="479"/>
      <c r="EO71" s="479"/>
      <c r="EP71" s="479"/>
      <c r="EQ71" s="479"/>
      <c r="ER71" s="479"/>
      <c r="ES71" s="479"/>
      <c r="ET71" s="479"/>
      <c r="EU71" s="479"/>
      <c r="EV71" s="479"/>
      <c r="EW71" s="479"/>
      <c r="EX71" s="479"/>
      <c r="EY71" s="479"/>
      <c r="EZ71" s="479"/>
      <c r="FA71" s="479"/>
      <c r="FB71" s="479"/>
      <c r="FC71" s="479"/>
      <c r="FD71" s="479"/>
      <c r="FE71" s="479"/>
      <c r="FF71" s="479"/>
      <c r="FG71" s="479"/>
      <c r="FH71" s="479"/>
      <c r="FI71" s="479"/>
      <c r="FJ71" s="479"/>
      <c r="FK71" s="479"/>
      <c r="FL71" s="479"/>
      <c r="FM71" s="479"/>
      <c r="FN71" s="479"/>
      <c r="FO71" s="479"/>
      <c r="FP71" s="479"/>
      <c r="FQ71" s="479"/>
      <c r="FR71" s="479"/>
      <c r="FS71" s="479"/>
      <c r="FT71" s="479"/>
      <c r="FU71" s="479"/>
      <c r="FV71" s="479"/>
      <c r="FW71" s="479"/>
      <c r="FX71" s="479"/>
      <c r="FY71" s="479"/>
      <c r="FZ71" s="479"/>
      <c r="GA71" s="479"/>
      <c r="GB71" s="479"/>
      <c r="GC71" s="479"/>
      <c r="GD71" s="479"/>
      <c r="GE71" s="479"/>
      <c r="GF71" s="479"/>
      <c r="GG71" s="479"/>
      <c r="GH71" s="479"/>
      <c r="GI71" s="479"/>
      <c r="GJ71" s="479"/>
      <c r="GK71" s="479"/>
      <c r="GL71" s="479"/>
      <c r="GM71" s="479"/>
      <c r="GN71" s="479"/>
      <c r="GO71" s="479"/>
      <c r="GP71" s="479"/>
      <c r="GQ71" s="479"/>
      <c r="GR71" s="479"/>
      <c r="GS71" s="479"/>
      <c r="GT71" s="479"/>
      <c r="GU71" s="479"/>
      <c r="GV71" s="479"/>
      <c r="GW71" s="479"/>
      <c r="GX71" s="479"/>
      <c r="GY71" s="479"/>
      <c r="GZ71" s="479"/>
      <c r="HA71" s="479"/>
      <c r="HB71" s="479"/>
      <c r="HC71" s="479"/>
      <c r="HD71" s="479"/>
      <c r="HE71" s="479"/>
      <c r="HF71" s="479"/>
      <c r="HG71" s="479"/>
      <c r="HH71" s="479"/>
      <c r="HI71" s="479"/>
      <c r="HJ71" s="479"/>
      <c r="HK71" s="479"/>
      <c r="HL71" s="479"/>
      <c r="HM71" s="479"/>
      <c r="HN71" s="479"/>
      <c r="HO71" s="479"/>
      <c r="HP71" s="479"/>
      <c r="HQ71" s="479"/>
      <c r="HR71" s="479"/>
      <c r="HS71" s="479"/>
      <c r="HT71" s="479"/>
      <c r="HU71" s="479"/>
      <c r="HV71" s="479"/>
      <c r="HW71" s="479"/>
      <c r="HX71" s="479"/>
      <c r="HY71" s="479"/>
      <c r="HZ71" s="479"/>
      <c r="IA71" s="479"/>
      <c r="IB71" s="479"/>
      <c r="IC71" s="479"/>
      <c r="ID71" s="479"/>
      <c r="IE71" s="479"/>
      <c r="IF71" s="479"/>
      <c r="IG71" s="479"/>
      <c r="IH71" s="479"/>
      <c r="II71" s="479"/>
      <c r="IJ71" s="479"/>
      <c r="IK71" s="479"/>
      <c r="IL71" s="479"/>
      <c r="IM71" s="479"/>
      <c r="IN71" s="479"/>
      <c r="IO71" s="479"/>
      <c r="IP71" s="479"/>
      <c r="IQ71" s="479"/>
      <c r="IR71" s="479"/>
      <c r="IS71" s="479"/>
      <c r="IT71" s="479"/>
      <c r="IU71" s="479"/>
      <c r="IV71" s="479"/>
      <c r="IW71" s="479"/>
      <c r="IX71" s="479"/>
      <c r="IY71" s="479"/>
      <c r="IZ71" s="479"/>
      <c r="JA71" s="479"/>
      <c r="JB71" s="479"/>
      <c r="JC71" s="479"/>
      <c r="JD71" s="479"/>
      <c r="JE71" s="479"/>
      <c r="JF71" s="479"/>
      <c r="JG71" s="479"/>
      <c r="JH71" s="479"/>
      <c r="JI71" s="479"/>
      <c r="JJ71" s="479"/>
      <c r="JK71" s="479"/>
      <c r="JL71" s="479"/>
      <c r="JM71" s="479"/>
      <c r="JN71" s="479"/>
      <c r="JO71" s="479"/>
      <c r="JP71" s="479"/>
      <c r="JQ71" s="479"/>
      <c r="JR71" s="479"/>
      <c r="JS71" s="479"/>
      <c r="JT71" s="479"/>
      <c r="JU71" s="479"/>
      <c r="JV71" s="479"/>
      <c r="JW71" s="479"/>
      <c r="JX71" s="479"/>
      <c r="JY71" s="479"/>
      <c r="JZ71" s="479"/>
      <c r="KA71" s="479"/>
      <c r="KB71" s="479"/>
      <c r="KC71" s="479"/>
      <c r="KD71" s="479"/>
      <c r="KE71" s="479"/>
      <c r="KF71" s="479"/>
      <c r="KG71" s="479"/>
      <c r="KH71" s="479"/>
      <c r="KI71" s="479"/>
      <c r="KJ71" s="479"/>
      <c r="KK71" s="479"/>
      <c r="KL71" s="479"/>
      <c r="KM71" s="479"/>
      <c r="KN71" s="479"/>
      <c r="KO71" s="479"/>
      <c r="KP71" s="479"/>
      <c r="KQ71" s="479"/>
      <c r="KR71" s="479"/>
      <c r="KS71" s="479"/>
      <c r="KT71" s="479"/>
      <c r="KU71" s="479"/>
      <c r="KV71" s="479"/>
      <c r="KW71" s="479"/>
      <c r="KX71" s="479"/>
      <c r="KY71" s="479"/>
      <c r="KZ71" s="479"/>
      <c r="LA71" s="479"/>
      <c r="LB71" s="479"/>
      <c r="LC71" s="479"/>
      <c r="LD71" s="479"/>
      <c r="LE71" s="479"/>
      <c r="LF71" s="479"/>
      <c r="LG71" s="479"/>
      <c r="LH71" s="479"/>
      <c r="LI71" s="479"/>
      <c r="LJ71" s="479"/>
      <c r="LK71" s="479"/>
      <c r="LL71" s="479"/>
      <c r="LM71" s="479"/>
      <c r="LN71" s="479"/>
      <c r="LO71" s="479"/>
      <c r="LP71" s="479"/>
      <c r="LQ71" s="479"/>
      <c r="LR71" s="479"/>
      <c r="LS71" s="479"/>
      <c r="LT71" s="479"/>
      <c r="LU71" s="479"/>
      <c r="LV71" s="479"/>
      <c r="LW71" s="479"/>
      <c r="LX71" s="479"/>
      <c r="LY71" s="479"/>
      <c r="LZ71" s="479"/>
      <c r="MA71" s="479"/>
      <c r="MB71" s="479"/>
    </row>
    <row r="72" spans="1:340" ht="21.75" customHeight="1">
      <c r="A72" s="466"/>
      <c r="B72" s="2958"/>
      <c r="C72" s="2013"/>
      <c r="D72" s="2035"/>
      <c r="E72" s="624"/>
      <c r="F72" s="590"/>
      <c r="G72" s="590"/>
      <c r="H72" s="534"/>
      <c r="I72" s="634"/>
      <c r="J72" s="472" t="s">
        <v>543</v>
      </c>
      <c r="K72" s="473"/>
      <c r="L72" s="473"/>
      <c r="M72" s="473"/>
      <c r="N72" s="474"/>
      <c r="O72" s="473"/>
      <c r="P72" s="473"/>
      <c r="Q72" s="475"/>
      <c r="R72" s="473"/>
      <c r="S72" s="474">
        <v>3532000</v>
      </c>
      <c r="T72" s="473" t="s">
        <v>37</v>
      </c>
      <c r="U72" s="473"/>
      <c r="V72" s="473">
        <v>2</v>
      </c>
      <c r="W72" s="473" t="s">
        <v>39</v>
      </c>
      <c r="X72" s="542" t="s">
        <v>38</v>
      </c>
      <c r="Y72" s="483">
        <f t="shared" si="4"/>
        <v>7064</v>
      </c>
      <c r="Z72" s="473">
        <f>S72*V72</f>
        <v>7064000</v>
      </c>
      <c r="AA72" s="1560"/>
      <c r="AB72" s="669"/>
      <c r="AC72" s="480"/>
      <c r="AD72" s="479"/>
      <c r="AE72" s="479"/>
      <c r="AF72" s="479"/>
      <c r="AG72" s="479"/>
      <c r="AH72" s="479"/>
      <c r="AI72" s="479"/>
      <c r="AJ72" s="479"/>
      <c r="AK72" s="479"/>
      <c r="AL72" s="479"/>
      <c r="AM72" s="479"/>
      <c r="AN72" s="479"/>
      <c r="AO72" s="479"/>
      <c r="AP72" s="479"/>
      <c r="AQ72" s="479"/>
      <c r="AR72" s="479"/>
      <c r="AS72" s="479"/>
      <c r="AT72" s="479"/>
      <c r="AU72" s="479"/>
      <c r="AV72" s="479"/>
      <c r="AW72" s="479"/>
      <c r="AX72" s="479"/>
      <c r="AY72" s="479"/>
      <c r="AZ72" s="479"/>
      <c r="BA72" s="479"/>
      <c r="BB72" s="479"/>
      <c r="BC72" s="479"/>
      <c r="BD72" s="479"/>
      <c r="BE72" s="479"/>
      <c r="BF72" s="479"/>
      <c r="BG72" s="479"/>
      <c r="BH72" s="479"/>
      <c r="BI72" s="479"/>
      <c r="BJ72" s="479"/>
      <c r="BK72" s="479"/>
      <c r="BL72" s="479"/>
      <c r="BM72" s="479"/>
      <c r="BN72" s="479"/>
      <c r="BO72" s="479"/>
      <c r="BP72" s="479"/>
      <c r="BQ72" s="479"/>
      <c r="BR72" s="479"/>
      <c r="BS72" s="479"/>
      <c r="BT72" s="479"/>
      <c r="BU72" s="479"/>
      <c r="BV72" s="479"/>
      <c r="BW72" s="479"/>
      <c r="BX72" s="479"/>
      <c r="BY72" s="479"/>
      <c r="BZ72" s="479"/>
      <c r="CA72" s="479"/>
      <c r="CB72" s="479"/>
      <c r="CC72" s="479"/>
      <c r="CD72" s="479"/>
      <c r="CE72" s="479"/>
      <c r="CF72" s="479"/>
      <c r="CG72" s="479"/>
      <c r="CH72" s="479"/>
      <c r="CI72" s="479"/>
      <c r="CJ72" s="479"/>
      <c r="CK72" s="479"/>
      <c r="CL72" s="479"/>
      <c r="CM72" s="479"/>
      <c r="CN72" s="479"/>
      <c r="CO72" s="479"/>
      <c r="CP72" s="479"/>
      <c r="CQ72" s="479"/>
      <c r="CR72" s="479"/>
      <c r="CS72" s="479"/>
      <c r="CT72" s="479"/>
      <c r="CU72" s="479"/>
      <c r="CV72" s="479"/>
      <c r="CW72" s="479"/>
      <c r="CX72" s="479"/>
      <c r="CY72" s="479"/>
      <c r="CZ72" s="479"/>
      <c r="DA72" s="479"/>
      <c r="DB72" s="479"/>
      <c r="DC72" s="479"/>
      <c r="DD72" s="479"/>
      <c r="DE72" s="479"/>
      <c r="DF72" s="479"/>
      <c r="DG72" s="479"/>
      <c r="DH72" s="479"/>
      <c r="DI72" s="479"/>
      <c r="DJ72" s="479"/>
      <c r="DK72" s="479"/>
      <c r="DL72" s="479"/>
      <c r="DM72" s="479"/>
      <c r="DN72" s="479"/>
      <c r="DO72" s="479"/>
      <c r="DP72" s="479"/>
      <c r="DQ72" s="479"/>
      <c r="DR72" s="479"/>
      <c r="DS72" s="479"/>
      <c r="DT72" s="479"/>
      <c r="DU72" s="479"/>
      <c r="DV72" s="479"/>
      <c r="DW72" s="479"/>
      <c r="DX72" s="479"/>
      <c r="DY72" s="479"/>
      <c r="DZ72" s="479"/>
      <c r="EA72" s="479"/>
      <c r="EB72" s="479"/>
      <c r="EC72" s="479"/>
      <c r="ED72" s="479"/>
      <c r="EE72" s="479"/>
      <c r="EF72" s="479"/>
      <c r="EG72" s="479"/>
      <c r="EH72" s="479"/>
      <c r="EI72" s="479"/>
      <c r="EJ72" s="479"/>
      <c r="EK72" s="479"/>
      <c r="EL72" s="479"/>
      <c r="EM72" s="479"/>
      <c r="EN72" s="479"/>
      <c r="EO72" s="479"/>
      <c r="EP72" s="479"/>
      <c r="EQ72" s="479"/>
      <c r="ER72" s="479"/>
      <c r="ES72" s="479"/>
      <c r="ET72" s="479"/>
      <c r="EU72" s="479"/>
      <c r="EV72" s="479"/>
      <c r="EW72" s="479"/>
      <c r="EX72" s="479"/>
      <c r="EY72" s="479"/>
      <c r="EZ72" s="479"/>
      <c r="FA72" s="479"/>
      <c r="FB72" s="479"/>
      <c r="FC72" s="479"/>
      <c r="FD72" s="479"/>
      <c r="FE72" s="479"/>
      <c r="FF72" s="479"/>
      <c r="FG72" s="479"/>
      <c r="FH72" s="479"/>
      <c r="FI72" s="479"/>
      <c r="FJ72" s="479"/>
      <c r="FK72" s="479"/>
      <c r="FL72" s="479"/>
      <c r="FM72" s="479"/>
      <c r="FN72" s="479"/>
      <c r="FO72" s="479"/>
      <c r="FP72" s="479"/>
      <c r="FQ72" s="479"/>
      <c r="FR72" s="479"/>
      <c r="FS72" s="479"/>
      <c r="FT72" s="479"/>
      <c r="FU72" s="479"/>
      <c r="FV72" s="479"/>
      <c r="FW72" s="479"/>
      <c r="FX72" s="479"/>
      <c r="FY72" s="479"/>
      <c r="FZ72" s="479"/>
      <c r="GA72" s="479"/>
      <c r="GB72" s="479"/>
      <c r="GC72" s="479"/>
      <c r="GD72" s="479"/>
      <c r="GE72" s="479"/>
      <c r="GF72" s="479"/>
      <c r="GG72" s="479"/>
      <c r="GH72" s="479"/>
      <c r="GI72" s="479"/>
      <c r="GJ72" s="479"/>
      <c r="GK72" s="479"/>
      <c r="GL72" s="479"/>
      <c r="GM72" s="479"/>
      <c r="GN72" s="479"/>
      <c r="GO72" s="479"/>
      <c r="GP72" s="479"/>
      <c r="GQ72" s="479"/>
      <c r="GR72" s="479"/>
      <c r="GS72" s="479"/>
      <c r="GT72" s="479"/>
      <c r="GU72" s="479"/>
      <c r="GV72" s="479"/>
      <c r="GW72" s="479"/>
      <c r="GX72" s="479"/>
      <c r="GY72" s="479"/>
      <c r="GZ72" s="479"/>
      <c r="HA72" s="479"/>
      <c r="HB72" s="479"/>
      <c r="HC72" s="479"/>
      <c r="HD72" s="479"/>
      <c r="HE72" s="479"/>
      <c r="HF72" s="479"/>
      <c r="HG72" s="479"/>
      <c r="HH72" s="479"/>
      <c r="HI72" s="479"/>
      <c r="HJ72" s="479"/>
      <c r="HK72" s="479"/>
      <c r="HL72" s="479"/>
      <c r="HM72" s="479"/>
      <c r="HN72" s="479"/>
      <c r="HO72" s="479"/>
      <c r="HP72" s="479"/>
      <c r="HQ72" s="479"/>
      <c r="HR72" s="479"/>
      <c r="HS72" s="479"/>
      <c r="HT72" s="479"/>
      <c r="HU72" s="479"/>
      <c r="HV72" s="479"/>
      <c r="HW72" s="479"/>
      <c r="HX72" s="479"/>
      <c r="HY72" s="479"/>
      <c r="HZ72" s="479"/>
      <c r="IA72" s="479"/>
      <c r="IB72" s="479"/>
      <c r="IC72" s="479"/>
      <c r="ID72" s="479"/>
      <c r="IE72" s="479"/>
      <c r="IF72" s="479"/>
      <c r="IG72" s="479"/>
      <c r="IH72" s="479"/>
      <c r="II72" s="479"/>
      <c r="IJ72" s="479"/>
      <c r="IK72" s="479"/>
      <c r="IL72" s="479"/>
      <c r="IM72" s="479"/>
      <c r="IN72" s="479"/>
      <c r="IO72" s="479"/>
      <c r="IP72" s="479"/>
      <c r="IQ72" s="479"/>
      <c r="IR72" s="479"/>
      <c r="IS72" s="479"/>
      <c r="IT72" s="479"/>
      <c r="IU72" s="479"/>
      <c r="IV72" s="479"/>
      <c r="IW72" s="479"/>
      <c r="IX72" s="479"/>
      <c r="IY72" s="479"/>
      <c r="IZ72" s="479"/>
      <c r="JA72" s="479"/>
      <c r="JB72" s="479"/>
      <c r="JC72" s="479"/>
      <c r="JD72" s="479"/>
      <c r="JE72" s="479"/>
      <c r="JF72" s="479"/>
      <c r="JG72" s="479"/>
      <c r="JH72" s="479"/>
      <c r="JI72" s="479"/>
      <c r="JJ72" s="479"/>
      <c r="JK72" s="479"/>
      <c r="JL72" s="479"/>
      <c r="JM72" s="479"/>
      <c r="JN72" s="479"/>
      <c r="JO72" s="479"/>
      <c r="JP72" s="479"/>
      <c r="JQ72" s="479"/>
      <c r="JR72" s="479"/>
      <c r="JS72" s="479"/>
      <c r="JT72" s="479"/>
      <c r="JU72" s="479"/>
      <c r="JV72" s="479"/>
      <c r="JW72" s="479"/>
      <c r="JX72" s="479"/>
      <c r="JY72" s="479"/>
      <c r="JZ72" s="479"/>
      <c r="KA72" s="479"/>
      <c r="KB72" s="479"/>
      <c r="KC72" s="479"/>
      <c r="KD72" s="479"/>
      <c r="KE72" s="479"/>
      <c r="KF72" s="479"/>
      <c r="KG72" s="479"/>
      <c r="KH72" s="479"/>
      <c r="KI72" s="479"/>
      <c r="KJ72" s="479"/>
      <c r="KK72" s="479"/>
      <c r="KL72" s="479"/>
      <c r="KM72" s="479"/>
      <c r="KN72" s="479"/>
      <c r="KO72" s="479"/>
      <c r="KP72" s="479"/>
      <c r="KQ72" s="479"/>
      <c r="KR72" s="479"/>
      <c r="KS72" s="479"/>
      <c r="KT72" s="479"/>
      <c r="KU72" s="479"/>
      <c r="KV72" s="479"/>
      <c r="KW72" s="479"/>
      <c r="KX72" s="479"/>
      <c r="KY72" s="479"/>
      <c r="KZ72" s="479"/>
      <c r="LA72" s="479"/>
      <c r="LB72" s="479"/>
      <c r="LC72" s="479"/>
      <c r="LD72" s="479"/>
      <c r="LE72" s="479"/>
      <c r="LF72" s="479"/>
      <c r="LG72" s="479"/>
      <c r="LH72" s="479"/>
      <c r="LI72" s="479"/>
      <c r="LJ72" s="479"/>
      <c r="LK72" s="479"/>
      <c r="LL72" s="479"/>
      <c r="LM72" s="479"/>
      <c r="LN72" s="479"/>
      <c r="LO72" s="479"/>
      <c r="LP72" s="479"/>
      <c r="LQ72" s="479"/>
      <c r="LR72" s="479"/>
      <c r="LS72" s="479"/>
      <c r="LT72" s="479"/>
      <c r="LU72" s="479"/>
      <c r="LV72" s="479"/>
      <c r="LW72" s="479"/>
      <c r="LX72" s="479"/>
      <c r="LY72" s="479"/>
      <c r="LZ72" s="479"/>
      <c r="MA72" s="479"/>
      <c r="MB72" s="479"/>
    </row>
    <row r="73" spans="1:340" ht="21.75" customHeight="1">
      <c r="A73" s="466"/>
      <c r="B73" s="2958"/>
      <c r="C73" s="2013"/>
      <c r="D73" s="2035"/>
      <c r="E73" s="1319" t="s">
        <v>258</v>
      </c>
      <c r="F73" s="1568">
        <f>Y73</f>
        <v>20520</v>
      </c>
      <c r="G73" s="1568">
        <v>20520</v>
      </c>
      <c r="H73" s="1561"/>
      <c r="I73" s="634"/>
      <c r="J73" s="1566" t="s">
        <v>224</v>
      </c>
      <c r="K73" s="1326"/>
      <c r="L73" s="1326"/>
      <c r="M73" s="1326"/>
      <c r="N73" s="608"/>
      <c r="O73" s="608"/>
      <c r="P73" s="1326"/>
      <c r="Q73" s="1344"/>
      <c r="R73" s="1326"/>
      <c r="S73" s="1326"/>
      <c r="T73" s="1326"/>
      <c r="U73" s="1326"/>
      <c r="V73" s="1326"/>
      <c r="W73" s="1326"/>
      <c r="X73" s="1559"/>
      <c r="Y73" s="490">
        <f>SUM(Y74:Y77)</f>
        <v>20520</v>
      </c>
      <c r="Z73" s="473">
        <f>SUM(Z74:Z77)</f>
        <v>20520000</v>
      </c>
      <c r="AA73" s="1560"/>
      <c r="AB73" s="669"/>
      <c r="AC73" s="480"/>
      <c r="AD73" s="479"/>
      <c r="AE73" s="479"/>
      <c r="AF73" s="479"/>
      <c r="AG73" s="479"/>
      <c r="AH73" s="479"/>
      <c r="AI73" s="479"/>
      <c r="AJ73" s="479"/>
      <c r="AK73" s="479"/>
      <c r="AL73" s="479"/>
      <c r="AM73" s="479"/>
      <c r="AN73" s="479"/>
      <c r="AO73" s="479"/>
      <c r="AP73" s="479"/>
      <c r="AQ73" s="479"/>
      <c r="AR73" s="479"/>
      <c r="AS73" s="479"/>
      <c r="AT73" s="479"/>
      <c r="AU73" s="479"/>
      <c r="AV73" s="479"/>
      <c r="AW73" s="479"/>
      <c r="AX73" s="479"/>
      <c r="AY73" s="479"/>
      <c r="AZ73" s="479"/>
      <c r="BA73" s="479"/>
      <c r="BB73" s="479"/>
      <c r="BC73" s="479"/>
      <c r="BD73" s="479"/>
      <c r="BE73" s="479"/>
      <c r="BF73" s="479"/>
      <c r="BG73" s="479"/>
      <c r="BH73" s="479"/>
      <c r="BI73" s="479"/>
      <c r="BJ73" s="479"/>
      <c r="BK73" s="479"/>
      <c r="BL73" s="479"/>
      <c r="BM73" s="479"/>
      <c r="BN73" s="479"/>
      <c r="BO73" s="479"/>
      <c r="BP73" s="479"/>
      <c r="BQ73" s="479"/>
      <c r="BR73" s="479"/>
      <c r="BS73" s="479"/>
      <c r="BT73" s="479"/>
      <c r="BU73" s="479"/>
      <c r="BV73" s="479"/>
      <c r="BW73" s="479"/>
      <c r="BX73" s="479"/>
      <c r="BY73" s="479"/>
      <c r="BZ73" s="479"/>
      <c r="CA73" s="479"/>
      <c r="CB73" s="479"/>
      <c r="CC73" s="479"/>
      <c r="CD73" s="479"/>
      <c r="CE73" s="479"/>
      <c r="CF73" s="479"/>
      <c r="CG73" s="479"/>
      <c r="CH73" s="479"/>
      <c r="CI73" s="479"/>
      <c r="CJ73" s="479"/>
      <c r="CK73" s="479"/>
      <c r="CL73" s="479"/>
      <c r="CM73" s="479"/>
      <c r="CN73" s="479"/>
      <c r="CO73" s="479"/>
      <c r="CP73" s="479"/>
      <c r="CQ73" s="479"/>
      <c r="CR73" s="479"/>
      <c r="CS73" s="479"/>
      <c r="CT73" s="479"/>
      <c r="CU73" s="479"/>
      <c r="CV73" s="479"/>
      <c r="CW73" s="479"/>
      <c r="CX73" s="479"/>
      <c r="CY73" s="479"/>
      <c r="CZ73" s="479"/>
      <c r="DA73" s="479"/>
      <c r="DB73" s="479"/>
      <c r="DC73" s="479"/>
      <c r="DD73" s="479"/>
      <c r="DE73" s="479"/>
      <c r="DF73" s="479"/>
      <c r="DG73" s="479"/>
      <c r="DH73" s="479"/>
      <c r="DI73" s="479"/>
      <c r="DJ73" s="479"/>
      <c r="DK73" s="479"/>
      <c r="DL73" s="479"/>
      <c r="DM73" s="479"/>
      <c r="DN73" s="479"/>
      <c r="DO73" s="479"/>
      <c r="DP73" s="479"/>
      <c r="DQ73" s="479"/>
      <c r="DR73" s="479"/>
      <c r="DS73" s="479"/>
      <c r="DT73" s="479"/>
      <c r="DU73" s="479"/>
      <c r="DV73" s="479"/>
      <c r="DW73" s="479"/>
      <c r="DX73" s="479"/>
      <c r="DY73" s="479"/>
      <c r="DZ73" s="479"/>
      <c r="EA73" s="479"/>
      <c r="EB73" s="479"/>
      <c r="EC73" s="479"/>
      <c r="ED73" s="479"/>
      <c r="EE73" s="479"/>
      <c r="EF73" s="479"/>
      <c r="EG73" s="479"/>
      <c r="EH73" s="479"/>
      <c r="EI73" s="479"/>
      <c r="EJ73" s="479"/>
      <c r="EK73" s="479"/>
      <c r="EL73" s="479"/>
      <c r="EM73" s="479"/>
      <c r="EN73" s="479"/>
      <c r="EO73" s="479"/>
      <c r="EP73" s="479"/>
      <c r="EQ73" s="479"/>
      <c r="ER73" s="479"/>
      <c r="ES73" s="479"/>
      <c r="ET73" s="479"/>
      <c r="EU73" s="479"/>
      <c r="EV73" s="479"/>
      <c r="EW73" s="479"/>
      <c r="EX73" s="479"/>
      <c r="EY73" s="479"/>
      <c r="EZ73" s="479"/>
      <c r="FA73" s="479"/>
      <c r="FB73" s="479"/>
      <c r="FC73" s="479"/>
      <c r="FD73" s="479"/>
      <c r="FE73" s="479"/>
      <c r="FF73" s="479"/>
      <c r="FG73" s="479"/>
      <c r="FH73" s="479"/>
      <c r="FI73" s="479"/>
      <c r="FJ73" s="479"/>
      <c r="FK73" s="479"/>
      <c r="FL73" s="479"/>
      <c r="FM73" s="479"/>
      <c r="FN73" s="479"/>
      <c r="FO73" s="479"/>
      <c r="FP73" s="479"/>
      <c r="FQ73" s="479"/>
      <c r="FR73" s="479"/>
      <c r="FS73" s="479"/>
      <c r="FT73" s="479"/>
      <c r="FU73" s="479"/>
      <c r="FV73" s="479"/>
      <c r="FW73" s="479"/>
      <c r="FX73" s="479"/>
      <c r="FY73" s="479"/>
      <c r="FZ73" s="479"/>
      <c r="GA73" s="479"/>
      <c r="GB73" s="479"/>
      <c r="GC73" s="479"/>
      <c r="GD73" s="479"/>
      <c r="GE73" s="479"/>
      <c r="GF73" s="479"/>
      <c r="GG73" s="479"/>
      <c r="GH73" s="479"/>
      <c r="GI73" s="479"/>
      <c r="GJ73" s="479"/>
      <c r="GK73" s="479"/>
      <c r="GL73" s="479"/>
      <c r="GM73" s="479"/>
      <c r="GN73" s="479"/>
      <c r="GO73" s="479"/>
      <c r="GP73" s="479"/>
      <c r="GQ73" s="479"/>
      <c r="GR73" s="479"/>
      <c r="GS73" s="479"/>
      <c r="GT73" s="479"/>
      <c r="GU73" s="479"/>
      <c r="GV73" s="479"/>
      <c r="GW73" s="479"/>
      <c r="GX73" s="479"/>
      <c r="GY73" s="479"/>
      <c r="GZ73" s="479"/>
      <c r="HA73" s="479"/>
      <c r="HB73" s="479"/>
      <c r="HC73" s="479"/>
      <c r="HD73" s="479"/>
      <c r="HE73" s="479"/>
      <c r="HF73" s="479"/>
      <c r="HG73" s="479"/>
      <c r="HH73" s="479"/>
      <c r="HI73" s="479"/>
      <c r="HJ73" s="479"/>
      <c r="HK73" s="479"/>
      <c r="HL73" s="479"/>
      <c r="HM73" s="479"/>
      <c r="HN73" s="479"/>
      <c r="HO73" s="479"/>
      <c r="HP73" s="479"/>
      <c r="HQ73" s="479"/>
      <c r="HR73" s="479"/>
      <c r="HS73" s="479"/>
      <c r="HT73" s="479"/>
      <c r="HU73" s="479"/>
      <c r="HV73" s="479"/>
      <c r="HW73" s="479"/>
      <c r="HX73" s="479"/>
      <c r="HY73" s="479"/>
      <c r="HZ73" s="479"/>
      <c r="IA73" s="479"/>
      <c r="IB73" s="479"/>
      <c r="IC73" s="479"/>
      <c r="ID73" s="479"/>
      <c r="IE73" s="479"/>
      <c r="IF73" s="479"/>
      <c r="IG73" s="479"/>
      <c r="IH73" s="479"/>
      <c r="II73" s="479"/>
      <c r="IJ73" s="479"/>
      <c r="IK73" s="479"/>
      <c r="IL73" s="479"/>
      <c r="IM73" s="479"/>
      <c r="IN73" s="479"/>
      <c r="IO73" s="479"/>
      <c r="IP73" s="479"/>
      <c r="IQ73" s="479"/>
      <c r="IR73" s="479"/>
      <c r="IS73" s="479"/>
      <c r="IT73" s="479"/>
      <c r="IU73" s="479"/>
      <c r="IV73" s="479"/>
      <c r="IW73" s="479"/>
      <c r="IX73" s="479"/>
      <c r="IY73" s="479"/>
      <c r="IZ73" s="479"/>
      <c r="JA73" s="479"/>
      <c r="JB73" s="479"/>
      <c r="JC73" s="479"/>
      <c r="JD73" s="479"/>
      <c r="JE73" s="479"/>
      <c r="JF73" s="479"/>
      <c r="JG73" s="479"/>
      <c r="JH73" s="479"/>
      <c r="JI73" s="479"/>
      <c r="JJ73" s="479"/>
      <c r="JK73" s="479"/>
      <c r="JL73" s="479"/>
      <c r="JM73" s="479"/>
      <c r="JN73" s="479"/>
      <c r="JO73" s="479"/>
      <c r="JP73" s="479"/>
      <c r="JQ73" s="479"/>
      <c r="JR73" s="479"/>
      <c r="JS73" s="479"/>
      <c r="JT73" s="479"/>
      <c r="JU73" s="479"/>
      <c r="JV73" s="479"/>
      <c r="JW73" s="479"/>
      <c r="JX73" s="479"/>
      <c r="JY73" s="479"/>
      <c r="JZ73" s="479"/>
      <c r="KA73" s="479"/>
      <c r="KB73" s="479"/>
      <c r="KC73" s="479"/>
      <c r="KD73" s="479"/>
      <c r="KE73" s="479"/>
      <c r="KF73" s="479"/>
      <c r="KG73" s="479"/>
      <c r="KH73" s="479"/>
      <c r="KI73" s="479"/>
      <c r="KJ73" s="479"/>
      <c r="KK73" s="479"/>
      <c r="KL73" s="479"/>
      <c r="KM73" s="479"/>
      <c r="KN73" s="479"/>
      <c r="KO73" s="479"/>
      <c r="KP73" s="479"/>
      <c r="KQ73" s="479"/>
      <c r="KR73" s="479"/>
      <c r="KS73" s="479"/>
      <c r="KT73" s="479"/>
      <c r="KU73" s="479"/>
      <c r="KV73" s="479"/>
      <c r="KW73" s="479"/>
      <c r="KX73" s="479"/>
      <c r="KY73" s="479"/>
      <c r="KZ73" s="479"/>
      <c r="LA73" s="479"/>
      <c r="LB73" s="479"/>
      <c r="LC73" s="479"/>
      <c r="LD73" s="479"/>
      <c r="LE73" s="479"/>
      <c r="LF73" s="479"/>
      <c r="LG73" s="479"/>
      <c r="LH73" s="479"/>
      <c r="LI73" s="479"/>
      <c r="LJ73" s="479"/>
      <c r="LK73" s="479"/>
      <c r="LL73" s="479"/>
      <c r="LM73" s="479"/>
      <c r="LN73" s="479"/>
      <c r="LO73" s="479"/>
      <c r="LP73" s="479"/>
      <c r="LQ73" s="479"/>
      <c r="LR73" s="479"/>
      <c r="LS73" s="479"/>
      <c r="LT73" s="479"/>
      <c r="LU73" s="479"/>
      <c r="LV73" s="479"/>
      <c r="LW73" s="479"/>
      <c r="LX73" s="479"/>
      <c r="LY73" s="479"/>
      <c r="LZ73" s="479"/>
      <c r="MA73" s="479"/>
      <c r="MB73" s="479"/>
    </row>
    <row r="74" spans="1:340" ht="21.75" customHeight="1">
      <c r="A74" s="466"/>
      <c r="B74" s="467"/>
      <c r="C74" s="2013"/>
      <c r="D74" s="2035"/>
      <c r="E74" s="624"/>
      <c r="F74" s="590"/>
      <c r="G74" s="590"/>
      <c r="H74" s="534"/>
      <c r="I74" s="634"/>
      <c r="J74" s="472" t="s">
        <v>544</v>
      </c>
      <c r="K74" s="473"/>
      <c r="L74" s="473"/>
      <c r="M74" s="473"/>
      <c r="N74" s="474"/>
      <c r="O74" s="474"/>
      <c r="P74" s="473"/>
      <c r="Q74" s="475">
        <v>1</v>
      </c>
      <c r="R74" s="473" t="s">
        <v>545</v>
      </c>
      <c r="S74" s="474">
        <v>600000</v>
      </c>
      <c r="T74" s="473" t="s">
        <v>37</v>
      </c>
      <c r="U74" s="473"/>
      <c r="V74" s="473">
        <v>12</v>
      </c>
      <c r="W74" s="473" t="s">
        <v>39</v>
      </c>
      <c r="X74" s="542" t="s">
        <v>38</v>
      </c>
      <c r="Y74" s="483">
        <f>+Z74/1000</f>
        <v>7200</v>
      </c>
      <c r="Z74" s="473">
        <f>Q74*S74*V74</f>
        <v>7200000</v>
      </c>
      <c r="AA74" s="1560"/>
      <c r="AB74" s="669"/>
    </row>
    <row r="75" spans="1:340" ht="21.75" customHeight="1">
      <c r="A75" s="466"/>
      <c r="B75" s="467"/>
      <c r="C75" s="2013"/>
      <c r="D75" s="2035"/>
      <c r="E75" s="624"/>
      <c r="F75" s="590"/>
      <c r="G75" s="590"/>
      <c r="H75" s="534"/>
      <c r="I75" s="634"/>
      <c r="J75" s="472" t="s">
        <v>546</v>
      </c>
      <c r="K75" s="473"/>
      <c r="L75" s="473"/>
      <c r="M75" s="473"/>
      <c r="N75" s="474"/>
      <c r="O75" s="474"/>
      <c r="P75" s="473"/>
      <c r="Q75" s="475">
        <v>10</v>
      </c>
      <c r="R75" s="473" t="s">
        <v>525</v>
      </c>
      <c r="S75" s="474">
        <v>28000</v>
      </c>
      <c r="T75" s="473" t="s">
        <v>37</v>
      </c>
      <c r="U75" s="473"/>
      <c r="V75" s="473">
        <v>12</v>
      </c>
      <c r="W75" s="473" t="s">
        <v>39</v>
      </c>
      <c r="X75" s="542" t="s">
        <v>38</v>
      </c>
      <c r="Y75" s="483">
        <f>+Z75/1000</f>
        <v>3360</v>
      </c>
      <c r="Z75" s="473">
        <f>Q75*S75*V75</f>
        <v>3360000</v>
      </c>
      <c r="AA75" s="1560"/>
      <c r="AB75" s="669"/>
    </row>
    <row r="76" spans="1:340" ht="21.75" customHeight="1">
      <c r="A76" s="466"/>
      <c r="B76" s="2035"/>
      <c r="C76" s="2013"/>
      <c r="D76" s="2035"/>
      <c r="E76" s="624"/>
      <c r="F76" s="590"/>
      <c r="G76" s="590"/>
      <c r="H76" s="534"/>
      <c r="I76" s="634"/>
      <c r="J76" s="472" t="s">
        <v>547</v>
      </c>
      <c r="K76" s="473"/>
      <c r="L76" s="473"/>
      <c r="M76" s="473"/>
      <c r="N76" s="474"/>
      <c r="O76" s="474"/>
      <c r="P76" s="473"/>
      <c r="Q76" s="475">
        <v>2</v>
      </c>
      <c r="R76" s="473" t="s">
        <v>525</v>
      </c>
      <c r="S76" s="474">
        <v>15000</v>
      </c>
      <c r="T76" s="473" t="s">
        <v>37</v>
      </c>
      <c r="U76" s="473"/>
      <c r="V76" s="473">
        <v>12</v>
      </c>
      <c r="W76" s="473" t="s">
        <v>39</v>
      </c>
      <c r="X76" s="542" t="s">
        <v>38</v>
      </c>
      <c r="Y76" s="483">
        <f>+Z76/1000</f>
        <v>360</v>
      </c>
      <c r="Z76" s="473">
        <f>Q76*S76*V76</f>
        <v>360000</v>
      </c>
      <c r="AA76" s="1560"/>
      <c r="AB76" s="669"/>
    </row>
    <row r="77" spans="1:340" ht="21.75" customHeight="1">
      <c r="A77" s="466"/>
      <c r="B77" s="2035"/>
      <c r="C77" s="2013"/>
      <c r="D77" s="2035"/>
      <c r="E77" s="624"/>
      <c r="F77" s="590"/>
      <c r="G77" s="590"/>
      <c r="H77" s="534"/>
      <c r="I77" s="634"/>
      <c r="J77" s="472" t="s">
        <v>548</v>
      </c>
      <c r="K77" s="473"/>
      <c r="L77" s="473"/>
      <c r="M77" s="473"/>
      <c r="N77" s="474"/>
      <c r="O77" s="474"/>
      <c r="P77" s="473"/>
      <c r="Q77" s="475">
        <v>1</v>
      </c>
      <c r="R77" s="473" t="s">
        <v>525</v>
      </c>
      <c r="S77" s="474">
        <v>800000</v>
      </c>
      <c r="T77" s="473" t="s">
        <v>37</v>
      </c>
      <c r="U77" s="473"/>
      <c r="V77" s="473">
        <v>12</v>
      </c>
      <c r="W77" s="473" t="s">
        <v>228</v>
      </c>
      <c r="X77" s="542" t="s">
        <v>38</v>
      </c>
      <c r="Y77" s="483">
        <f>+Z77/1000</f>
        <v>9600</v>
      </c>
      <c r="Z77" s="473">
        <f>Q77*S77*V77</f>
        <v>9600000</v>
      </c>
      <c r="AA77" s="1560"/>
      <c r="AB77" s="669"/>
    </row>
    <row r="78" spans="1:340" ht="21" customHeight="1">
      <c r="A78" s="466"/>
      <c r="B78" s="467"/>
      <c r="C78" s="2013"/>
      <c r="D78" s="2035"/>
      <c r="E78" s="1319" t="s">
        <v>549</v>
      </c>
      <c r="F78" s="1568">
        <f>Y78</f>
        <v>13999.999999999993</v>
      </c>
      <c r="G78" s="1568">
        <v>13999.999999999993</v>
      </c>
      <c r="H78" s="1561"/>
      <c r="I78" s="634"/>
      <c r="J78" s="1566" t="s">
        <v>224</v>
      </c>
      <c r="K78" s="1326"/>
      <c r="L78" s="1326"/>
      <c r="M78" s="1326"/>
      <c r="N78" s="608"/>
      <c r="O78" s="608"/>
      <c r="P78" s="1326"/>
      <c r="Q78" s="1344"/>
      <c r="R78" s="1326"/>
      <c r="S78" s="1326"/>
      <c r="T78" s="1326"/>
      <c r="U78" s="1326"/>
      <c r="V78" s="1326"/>
      <c r="W78" s="1326"/>
      <c r="X78" s="1559"/>
      <c r="Y78" s="490">
        <f>SUM(Y79:Y80)</f>
        <v>13999.999999999993</v>
      </c>
      <c r="Z78" s="473">
        <f>SUM(Z79:Z80)</f>
        <v>13999999.999999993</v>
      </c>
      <c r="AA78" s="1560"/>
      <c r="AB78" s="669"/>
    </row>
    <row r="79" spans="1:340" ht="21" customHeight="1">
      <c r="A79" s="466"/>
      <c r="B79" s="467"/>
      <c r="C79" s="2013"/>
      <c r="D79" s="2035"/>
      <c r="E79" s="624"/>
      <c r="F79" s="590"/>
      <c r="G79" s="590"/>
      <c r="H79" s="534"/>
      <c r="I79" s="634"/>
      <c r="J79" s="472" t="s">
        <v>550</v>
      </c>
      <c r="K79" s="473"/>
      <c r="L79" s="473"/>
      <c r="M79" s="473"/>
      <c r="N79" s="474"/>
      <c r="O79" s="473"/>
      <c r="P79" s="473"/>
      <c r="Q79" s="475">
        <v>1</v>
      </c>
      <c r="R79" s="473" t="s">
        <v>227</v>
      </c>
      <c r="S79" s="474">
        <v>591666.66666666605</v>
      </c>
      <c r="T79" s="473" t="s">
        <v>37</v>
      </c>
      <c r="U79" s="473"/>
      <c r="V79" s="473">
        <v>12</v>
      </c>
      <c r="W79" s="473" t="s">
        <v>228</v>
      </c>
      <c r="X79" s="542" t="s">
        <v>38</v>
      </c>
      <c r="Y79" s="483">
        <f t="shared" ref="Y79:Y84" si="5">+Z79/1000</f>
        <v>7099.9999999999927</v>
      </c>
      <c r="Z79" s="473">
        <f>S79*Q79*V79</f>
        <v>7099999.9999999925</v>
      </c>
      <c r="AA79" s="1560"/>
      <c r="AB79" s="669"/>
    </row>
    <row r="80" spans="1:340" ht="21" customHeight="1">
      <c r="A80" s="466"/>
      <c r="B80" s="467"/>
      <c r="C80" s="2013"/>
      <c r="D80" s="2035"/>
      <c r="E80" s="624"/>
      <c r="F80" s="590"/>
      <c r="G80" s="590"/>
      <c r="H80" s="534"/>
      <c r="I80" s="634"/>
      <c r="J80" s="472" t="s">
        <v>1074</v>
      </c>
      <c r="K80" s="473"/>
      <c r="L80" s="473"/>
      <c r="M80" s="473"/>
      <c r="N80" s="474"/>
      <c r="O80" s="473"/>
      <c r="P80" s="473"/>
      <c r="Q80" s="475">
        <v>2</v>
      </c>
      <c r="R80" s="473" t="s">
        <v>227</v>
      </c>
      <c r="S80" s="474">
        <v>287500</v>
      </c>
      <c r="T80" s="473" t="s">
        <v>37</v>
      </c>
      <c r="U80" s="473"/>
      <c r="V80" s="473">
        <v>12</v>
      </c>
      <c r="W80" s="473" t="s">
        <v>228</v>
      </c>
      <c r="X80" s="542" t="s">
        <v>38</v>
      </c>
      <c r="Y80" s="483">
        <f>+Z80/1000</f>
        <v>6900</v>
      </c>
      <c r="Z80" s="473">
        <f>S80*Q80*V80</f>
        <v>6900000</v>
      </c>
      <c r="AA80" s="1560"/>
      <c r="AB80" s="669"/>
    </row>
    <row r="81" spans="1:340" ht="21" customHeight="1">
      <c r="A81" s="466"/>
      <c r="B81" s="467"/>
      <c r="C81" s="2013"/>
      <c r="D81" s="2035"/>
      <c r="E81" s="1319" t="s">
        <v>17</v>
      </c>
      <c r="F81" s="1568">
        <f>Y81</f>
        <v>19320</v>
      </c>
      <c r="G81" s="1568">
        <v>19320</v>
      </c>
      <c r="H81" s="1561"/>
      <c r="I81" s="634"/>
      <c r="J81" s="1566" t="s">
        <v>224</v>
      </c>
      <c r="K81" s="1326"/>
      <c r="L81" s="1326"/>
      <c r="M81" s="1326"/>
      <c r="N81" s="608"/>
      <c r="O81" s="1326"/>
      <c r="P81" s="1326"/>
      <c r="Q81" s="1344"/>
      <c r="R81" s="1326"/>
      <c r="S81" s="608"/>
      <c r="T81" s="1326"/>
      <c r="U81" s="1326"/>
      <c r="V81" s="1326"/>
      <c r="W81" s="1326"/>
      <c r="X81" s="1559"/>
      <c r="Y81" s="490">
        <f t="shared" si="5"/>
        <v>19320</v>
      </c>
      <c r="Z81" s="473">
        <f>SUM(Z82:Z84)</f>
        <v>19320000</v>
      </c>
      <c r="AA81" s="1560"/>
      <c r="AB81" s="669"/>
    </row>
    <row r="82" spans="1:340" ht="21" customHeight="1">
      <c r="A82" s="466"/>
      <c r="B82" s="467"/>
      <c r="C82" s="2013"/>
      <c r="D82" s="2035"/>
      <c r="E82" s="2954"/>
      <c r="F82" s="590"/>
      <c r="G82" s="590"/>
      <c r="H82" s="534"/>
      <c r="I82" s="634"/>
      <c r="J82" s="472" t="s">
        <v>552</v>
      </c>
      <c r="K82" s="473"/>
      <c r="L82" s="473"/>
      <c r="M82" s="473"/>
      <c r="N82" s="474"/>
      <c r="O82" s="473"/>
      <c r="P82" s="473"/>
      <c r="Q82" s="475"/>
      <c r="R82" s="473"/>
      <c r="S82" s="474">
        <v>60000</v>
      </c>
      <c r="T82" s="473" t="s">
        <v>37</v>
      </c>
      <c r="U82" s="473"/>
      <c r="V82" s="473">
        <v>12</v>
      </c>
      <c r="W82" s="473" t="s">
        <v>228</v>
      </c>
      <c r="X82" s="542" t="s">
        <v>38</v>
      </c>
      <c r="Y82" s="483">
        <f t="shared" si="5"/>
        <v>720</v>
      </c>
      <c r="Z82" s="473">
        <f>+V82*S82</f>
        <v>720000</v>
      </c>
      <c r="AA82" s="1560"/>
      <c r="AB82" s="669"/>
      <c r="AC82" s="480"/>
      <c r="AD82" s="479"/>
      <c r="AE82" s="479"/>
      <c r="AF82" s="479"/>
      <c r="AG82" s="479"/>
      <c r="AH82" s="479"/>
      <c r="AI82" s="479"/>
      <c r="AJ82" s="479"/>
      <c r="AK82" s="479"/>
      <c r="AL82" s="479"/>
      <c r="AM82" s="479"/>
      <c r="AN82" s="479"/>
      <c r="AO82" s="479"/>
      <c r="AP82" s="479"/>
      <c r="AQ82" s="479"/>
      <c r="AR82" s="479"/>
      <c r="AS82" s="479"/>
      <c r="AT82" s="479"/>
      <c r="AU82" s="479"/>
      <c r="AV82" s="479"/>
      <c r="AW82" s="479"/>
      <c r="AX82" s="479"/>
      <c r="AY82" s="479"/>
      <c r="AZ82" s="479"/>
      <c r="BA82" s="479"/>
      <c r="BB82" s="479"/>
      <c r="BC82" s="479"/>
      <c r="BD82" s="479"/>
      <c r="BE82" s="479"/>
      <c r="BF82" s="479"/>
      <c r="BG82" s="479"/>
      <c r="BH82" s="479"/>
      <c r="BI82" s="479"/>
      <c r="BJ82" s="479"/>
      <c r="BK82" s="479"/>
      <c r="BL82" s="479"/>
      <c r="BM82" s="479"/>
      <c r="BN82" s="479"/>
      <c r="BO82" s="479"/>
      <c r="BP82" s="479"/>
      <c r="BQ82" s="479"/>
      <c r="BR82" s="479"/>
      <c r="BS82" s="479"/>
      <c r="BT82" s="479"/>
      <c r="BU82" s="479"/>
      <c r="BV82" s="479"/>
      <c r="BW82" s="479"/>
      <c r="BX82" s="479"/>
      <c r="BY82" s="479"/>
      <c r="BZ82" s="479"/>
      <c r="CA82" s="479"/>
      <c r="CB82" s="479"/>
      <c r="CC82" s="479"/>
      <c r="CD82" s="479"/>
      <c r="CE82" s="479"/>
      <c r="CF82" s="479"/>
      <c r="CG82" s="479"/>
      <c r="CH82" s="479"/>
      <c r="CI82" s="479"/>
      <c r="CJ82" s="479"/>
      <c r="CK82" s="479"/>
      <c r="CL82" s="479"/>
      <c r="CM82" s="479"/>
      <c r="CN82" s="479"/>
      <c r="CO82" s="479"/>
      <c r="CP82" s="479"/>
      <c r="CQ82" s="479"/>
      <c r="CR82" s="479"/>
      <c r="CS82" s="479"/>
      <c r="CT82" s="479"/>
      <c r="CU82" s="479"/>
      <c r="CV82" s="479"/>
      <c r="CW82" s="479"/>
      <c r="CX82" s="479"/>
      <c r="CY82" s="479"/>
      <c r="CZ82" s="479"/>
      <c r="DA82" s="479"/>
      <c r="DB82" s="479"/>
      <c r="DC82" s="479"/>
      <c r="DD82" s="479"/>
      <c r="DE82" s="479"/>
      <c r="DF82" s="479"/>
      <c r="DG82" s="479"/>
      <c r="DH82" s="479"/>
      <c r="DI82" s="479"/>
      <c r="DJ82" s="479"/>
      <c r="DK82" s="479"/>
      <c r="DL82" s="479"/>
      <c r="DM82" s="479"/>
      <c r="DN82" s="479"/>
      <c r="DO82" s="479"/>
      <c r="DP82" s="479"/>
      <c r="DQ82" s="479"/>
      <c r="DR82" s="479"/>
      <c r="DS82" s="479"/>
      <c r="DT82" s="479"/>
      <c r="DU82" s="479"/>
      <c r="DV82" s="479"/>
      <c r="DW82" s="479"/>
      <c r="DX82" s="479"/>
      <c r="DY82" s="479"/>
      <c r="DZ82" s="479"/>
      <c r="EA82" s="479"/>
      <c r="EB82" s="479"/>
      <c r="EC82" s="479"/>
      <c r="ED82" s="479"/>
      <c r="EE82" s="479"/>
      <c r="EF82" s="479"/>
      <c r="EG82" s="479"/>
      <c r="EH82" s="479"/>
      <c r="EI82" s="479"/>
      <c r="EJ82" s="479"/>
      <c r="EK82" s="479"/>
      <c r="EL82" s="479"/>
      <c r="EM82" s="479"/>
      <c r="EN82" s="479"/>
      <c r="EO82" s="479"/>
      <c r="EP82" s="479"/>
      <c r="EQ82" s="479"/>
      <c r="ER82" s="479"/>
      <c r="ES82" s="479"/>
      <c r="ET82" s="479"/>
      <c r="EU82" s="479"/>
      <c r="EV82" s="479"/>
      <c r="EW82" s="479"/>
      <c r="EX82" s="479"/>
      <c r="EY82" s="479"/>
      <c r="EZ82" s="479"/>
      <c r="FA82" s="479"/>
      <c r="FB82" s="479"/>
      <c r="FC82" s="479"/>
      <c r="FD82" s="479"/>
      <c r="FE82" s="479"/>
      <c r="FF82" s="479"/>
      <c r="FG82" s="479"/>
      <c r="FH82" s="479"/>
      <c r="FI82" s="479"/>
      <c r="FJ82" s="479"/>
      <c r="FK82" s="479"/>
      <c r="FL82" s="479"/>
      <c r="FM82" s="479"/>
      <c r="FN82" s="479"/>
      <c r="FO82" s="479"/>
      <c r="FP82" s="479"/>
      <c r="FQ82" s="479"/>
      <c r="FR82" s="479"/>
      <c r="FS82" s="479"/>
      <c r="FT82" s="479"/>
      <c r="FU82" s="479"/>
      <c r="FV82" s="479"/>
      <c r="FW82" s="479"/>
      <c r="FX82" s="479"/>
      <c r="FY82" s="479"/>
      <c r="FZ82" s="479"/>
      <c r="GA82" s="479"/>
      <c r="GB82" s="479"/>
      <c r="GC82" s="479"/>
      <c r="GD82" s="479"/>
      <c r="GE82" s="479"/>
      <c r="GF82" s="479"/>
      <c r="GG82" s="479"/>
      <c r="GH82" s="479"/>
      <c r="GI82" s="479"/>
      <c r="GJ82" s="479"/>
      <c r="GK82" s="479"/>
      <c r="GL82" s="479"/>
      <c r="GM82" s="479"/>
      <c r="GN82" s="479"/>
      <c r="GO82" s="479"/>
      <c r="GP82" s="479"/>
      <c r="GQ82" s="479"/>
      <c r="GR82" s="479"/>
      <c r="GS82" s="479"/>
      <c r="GT82" s="479"/>
      <c r="GU82" s="479"/>
      <c r="GV82" s="479"/>
      <c r="GW82" s="479"/>
      <c r="GX82" s="479"/>
      <c r="GY82" s="479"/>
      <c r="GZ82" s="479"/>
      <c r="HA82" s="479"/>
      <c r="HB82" s="479"/>
      <c r="HC82" s="479"/>
      <c r="HD82" s="479"/>
      <c r="HE82" s="479"/>
      <c r="HF82" s="479"/>
      <c r="HG82" s="479"/>
      <c r="HH82" s="479"/>
      <c r="HI82" s="479"/>
      <c r="HJ82" s="479"/>
      <c r="HK82" s="479"/>
      <c r="HL82" s="479"/>
      <c r="HM82" s="479"/>
      <c r="HN82" s="479"/>
      <c r="HO82" s="479"/>
      <c r="HP82" s="479"/>
      <c r="HQ82" s="479"/>
      <c r="HR82" s="479"/>
      <c r="HS82" s="479"/>
      <c r="HT82" s="479"/>
      <c r="HU82" s="479"/>
      <c r="HV82" s="479"/>
      <c r="HW82" s="479"/>
      <c r="HX82" s="479"/>
      <c r="HY82" s="479"/>
      <c r="HZ82" s="479"/>
      <c r="IA82" s="479"/>
      <c r="IB82" s="479"/>
      <c r="IC82" s="479"/>
      <c r="ID82" s="479"/>
      <c r="IE82" s="479"/>
      <c r="IF82" s="479"/>
      <c r="IG82" s="479"/>
      <c r="IH82" s="479"/>
      <c r="II82" s="479"/>
      <c r="IJ82" s="479"/>
      <c r="IK82" s="479"/>
      <c r="IL82" s="479"/>
      <c r="IM82" s="479"/>
      <c r="IN82" s="479"/>
      <c r="IO82" s="479"/>
      <c r="IP82" s="479"/>
      <c r="IQ82" s="479"/>
      <c r="IR82" s="479"/>
      <c r="IS82" s="479"/>
      <c r="IT82" s="479"/>
      <c r="IU82" s="479"/>
      <c r="IV82" s="479"/>
      <c r="IW82" s="479"/>
      <c r="IX82" s="479"/>
      <c r="IY82" s="479"/>
      <c r="IZ82" s="479"/>
      <c r="JA82" s="479"/>
      <c r="JB82" s="479"/>
      <c r="JC82" s="479"/>
      <c r="JD82" s="479"/>
      <c r="JE82" s="479"/>
      <c r="JF82" s="479"/>
      <c r="JG82" s="479"/>
      <c r="JH82" s="479"/>
      <c r="JI82" s="479"/>
      <c r="JJ82" s="479"/>
      <c r="JK82" s="479"/>
      <c r="JL82" s="479"/>
      <c r="JM82" s="479"/>
      <c r="JN82" s="479"/>
      <c r="JO82" s="479"/>
      <c r="JP82" s="479"/>
      <c r="JQ82" s="479"/>
      <c r="JR82" s="479"/>
      <c r="JS82" s="479"/>
      <c r="JT82" s="479"/>
      <c r="JU82" s="479"/>
      <c r="JV82" s="479"/>
      <c r="JW82" s="479"/>
      <c r="JX82" s="479"/>
      <c r="JY82" s="479"/>
      <c r="JZ82" s="479"/>
      <c r="KA82" s="479"/>
      <c r="KB82" s="479"/>
      <c r="KC82" s="479"/>
      <c r="KD82" s="479"/>
      <c r="KE82" s="479"/>
      <c r="KF82" s="479"/>
      <c r="KG82" s="479"/>
      <c r="KH82" s="479"/>
      <c r="KI82" s="479"/>
      <c r="KJ82" s="479"/>
      <c r="KK82" s="479"/>
      <c r="KL82" s="479"/>
      <c r="KM82" s="479"/>
      <c r="KN82" s="479"/>
      <c r="KO82" s="479"/>
      <c r="KP82" s="479"/>
      <c r="KQ82" s="479"/>
      <c r="KR82" s="479"/>
      <c r="KS82" s="479"/>
      <c r="KT82" s="479"/>
      <c r="KU82" s="479"/>
      <c r="KV82" s="479"/>
      <c r="KW82" s="479"/>
      <c r="KX82" s="479"/>
      <c r="KY82" s="479"/>
      <c r="KZ82" s="479"/>
      <c r="LA82" s="479"/>
      <c r="LB82" s="479"/>
      <c r="LC82" s="479"/>
      <c r="LD82" s="479"/>
      <c r="LE82" s="479"/>
      <c r="LF82" s="479"/>
      <c r="LG82" s="479"/>
      <c r="LH82" s="479"/>
      <c r="LI82" s="479"/>
      <c r="LJ82" s="479"/>
      <c r="LK82" s="479"/>
      <c r="LL82" s="479"/>
      <c r="LM82" s="479"/>
      <c r="LN82" s="479"/>
      <c r="LO82" s="479"/>
      <c r="LP82" s="479"/>
      <c r="LQ82" s="479"/>
      <c r="LR82" s="479"/>
      <c r="LS82" s="479"/>
      <c r="LT82" s="479"/>
      <c r="LU82" s="479"/>
      <c r="LV82" s="479"/>
      <c r="LW82" s="479"/>
      <c r="LX82" s="479"/>
      <c r="LY82" s="479"/>
      <c r="LZ82" s="479"/>
      <c r="MA82" s="479"/>
      <c r="MB82" s="479"/>
    </row>
    <row r="83" spans="1:340" ht="21" customHeight="1">
      <c r="A83" s="466"/>
      <c r="B83" s="467"/>
      <c r="C83" s="2013"/>
      <c r="D83" s="2035"/>
      <c r="E83" s="624"/>
      <c r="F83" s="590"/>
      <c r="G83" s="590"/>
      <c r="H83" s="534"/>
      <c r="I83" s="634"/>
      <c r="J83" s="472" t="s">
        <v>553</v>
      </c>
      <c r="K83" s="473"/>
      <c r="L83" s="473"/>
      <c r="M83" s="473"/>
      <c r="N83" s="474"/>
      <c r="O83" s="473"/>
      <c r="P83" s="473"/>
      <c r="Q83" s="475"/>
      <c r="R83" s="473"/>
      <c r="S83" s="474">
        <v>1500000</v>
      </c>
      <c r="T83" s="473" t="s">
        <v>37</v>
      </c>
      <c r="U83" s="473"/>
      <c r="V83" s="473">
        <v>12</v>
      </c>
      <c r="W83" s="473" t="s">
        <v>228</v>
      </c>
      <c r="X83" s="542" t="s">
        <v>38</v>
      </c>
      <c r="Y83" s="483">
        <f t="shared" si="5"/>
        <v>18000</v>
      </c>
      <c r="Z83" s="473">
        <f>+V83*S83</f>
        <v>18000000</v>
      </c>
      <c r="AA83" s="1560"/>
      <c r="AB83" s="669"/>
      <c r="AC83" s="480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  <c r="AV83" s="479"/>
      <c r="AW83" s="479"/>
      <c r="AX83" s="479"/>
      <c r="AY83" s="479"/>
      <c r="AZ83" s="479"/>
      <c r="BA83" s="479"/>
      <c r="BB83" s="479"/>
      <c r="BC83" s="479"/>
      <c r="BD83" s="479"/>
      <c r="BE83" s="479"/>
      <c r="BF83" s="479"/>
      <c r="BG83" s="479"/>
      <c r="BH83" s="479"/>
      <c r="BI83" s="479"/>
      <c r="BJ83" s="479"/>
      <c r="BK83" s="479"/>
      <c r="BL83" s="479"/>
      <c r="BM83" s="479"/>
      <c r="BN83" s="479"/>
      <c r="BO83" s="479"/>
      <c r="BP83" s="479"/>
      <c r="BQ83" s="479"/>
      <c r="BR83" s="479"/>
      <c r="BS83" s="479"/>
      <c r="BT83" s="479"/>
      <c r="BU83" s="479"/>
      <c r="BV83" s="479"/>
      <c r="BW83" s="479"/>
      <c r="BX83" s="479"/>
      <c r="BY83" s="479"/>
      <c r="BZ83" s="479"/>
      <c r="CA83" s="479"/>
      <c r="CB83" s="479"/>
      <c r="CC83" s="479"/>
      <c r="CD83" s="479"/>
      <c r="CE83" s="479"/>
      <c r="CF83" s="479"/>
      <c r="CG83" s="479"/>
      <c r="CH83" s="479"/>
      <c r="CI83" s="479"/>
      <c r="CJ83" s="479"/>
      <c r="CK83" s="479"/>
      <c r="CL83" s="479"/>
      <c r="CM83" s="479"/>
      <c r="CN83" s="479"/>
      <c r="CO83" s="479"/>
      <c r="CP83" s="479"/>
      <c r="CQ83" s="479"/>
      <c r="CR83" s="479"/>
      <c r="CS83" s="479"/>
      <c r="CT83" s="479"/>
      <c r="CU83" s="479"/>
      <c r="CV83" s="479"/>
      <c r="CW83" s="479"/>
      <c r="CX83" s="479"/>
      <c r="CY83" s="479"/>
      <c r="CZ83" s="479"/>
      <c r="DA83" s="479"/>
      <c r="DB83" s="479"/>
      <c r="DC83" s="479"/>
      <c r="DD83" s="479"/>
      <c r="DE83" s="479"/>
      <c r="DF83" s="479"/>
      <c r="DG83" s="479"/>
      <c r="DH83" s="479"/>
      <c r="DI83" s="479"/>
      <c r="DJ83" s="479"/>
      <c r="DK83" s="479"/>
      <c r="DL83" s="479"/>
      <c r="DM83" s="479"/>
      <c r="DN83" s="479"/>
      <c r="DO83" s="479"/>
      <c r="DP83" s="479"/>
      <c r="DQ83" s="479"/>
      <c r="DR83" s="479"/>
      <c r="DS83" s="479"/>
      <c r="DT83" s="479"/>
      <c r="DU83" s="479"/>
      <c r="DV83" s="479"/>
      <c r="DW83" s="479"/>
      <c r="DX83" s="479"/>
      <c r="DY83" s="479"/>
      <c r="DZ83" s="479"/>
      <c r="EA83" s="479"/>
      <c r="EB83" s="479"/>
      <c r="EC83" s="479"/>
      <c r="ED83" s="479"/>
      <c r="EE83" s="479"/>
      <c r="EF83" s="479"/>
      <c r="EG83" s="479"/>
      <c r="EH83" s="479"/>
      <c r="EI83" s="479"/>
      <c r="EJ83" s="479"/>
      <c r="EK83" s="479"/>
      <c r="EL83" s="479"/>
      <c r="EM83" s="479"/>
      <c r="EN83" s="479"/>
      <c r="EO83" s="479"/>
      <c r="EP83" s="479"/>
      <c r="EQ83" s="479"/>
      <c r="ER83" s="479"/>
      <c r="ES83" s="479"/>
      <c r="ET83" s="479"/>
      <c r="EU83" s="479"/>
      <c r="EV83" s="479"/>
      <c r="EW83" s="479"/>
      <c r="EX83" s="479"/>
      <c r="EY83" s="479"/>
      <c r="EZ83" s="479"/>
      <c r="FA83" s="479"/>
      <c r="FB83" s="479"/>
      <c r="FC83" s="479"/>
      <c r="FD83" s="479"/>
      <c r="FE83" s="479"/>
      <c r="FF83" s="479"/>
      <c r="FG83" s="479"/>
      <c r="FH83" s="479"/>
      <c r="FI83" s="479"/>
      <c r="FJ83" s="479"/>
      <c r="FK83" s="479"/>
      <c r="FL83" s="479"/>
      <c r="FM83" s="479"/>
      <c r="FN83" s="479"/>
      <c r="FO83" s="479"/>
      <c r="FP83" s="479"/>
      <c r="FQ83" s="479"/>
      <c r="FR83" s="479"/>
      <c r="FS83" s="479"/>
      <c r="FT83" s="479"/>
      <c r="FU83" s="479"/>
      <c r="FV83" s="479"/>
      <c r="FW83" s="479"/>
      <c r="FX83" s="479"/>
      <c r="FY83" s="479"/>
      <c r="FZ83" s="479"/>
      <c r="GA83" s="479"/>
      <c r="GB83" s="479"/>
      <c r="GC83" s="479"/>
      <c r="GD83" s="479"/>
      <c r="GE83" s="479"/>
      <c r="GF83" s="479"/>
      <c r="GG83" s="479"/>
      <c r="GH83" s="479"/>
      <c r="GI83" s="479"/>
      <c r="GJ83" s="479"/>
      <c r="GK83" s="479"/>
      <c r="GL83" s="479"/>
      <c r="GM83" s="479"/>
      <c r="GN83" s="479"/>
      <c r="GO83" s="479"/>
      <c r="GP83" s="479"/>
      <c r="GQ83" s="479"/>
      <c r="GR83" s="479"/>
      <c r="GS83" s="479"/>
      <c r="GT83" s="479"/>
      <c r="GU83" s="479"/>
      <c r="GV83" s="479"/>
      <c r="GW83" s="479"/>
      <c r="GX83" s="479"/>
      <c r="GY83" s="479"/>
      <c r="GZ83" s="479"/>
      <c r="HA83" s="479"/>
      <c r="HB83" s="479"/>
      <c r="HC83" s="479"/>
      <c r="HD83" s="479"/>
      <c r="HE83" s="479"/>
      <c r="HF83" s="479"/>
      <c r="HG83" s="479"/>
      <c r="HH83" s="479"/>
      <c r="HI83" s="479"/>
      <c r="HJ83" s="479"/>
      <c r="HK83" s="479"/>
      <c r="HL83" s="479"/>
      <c r="HM83" s="479"/>
      <c r="HN83" s="479"/>
      <c r="HO83" s="479"/>
      <c r="HP83" s="479"/>
      <c r="HQ83" s="479"/>
      <c r="HR83" s="479"/>
      <c r="HS83" s="479"/>
      <c r="HT83" s="479"/>
      <c r="HU83" s="479"/>
      <c r="HV83" s="479"/>
      <c r="HW83" s="479"/>
      <c r="HX83" s="479"/>
      <c r="HY83" s="479"/>
      <c r="HZ83" s="479"/>
      <c r="IA83" s="479"/>
      <c r="IB83" s="479"/>
      <c r="IC83" s="479"/>
      <c r="ID83" s="479"/>
      <c r="IE83" s="479"/>
      <c r="IF83" s="479"/>
      <c r="IG83" s="479"/>
      <c r="IH83" s="479"/>
      <c r="II83" s="479"/>
      <c r="IJ83" s="479"/>
      <c r="IK83" s="479"/>
      <c r="IL83" s="479"/>
      <c r="IM83" s="479"/>
      <c r="IN83" s="479"/>
      <c r="IO83" s="479"/>
      <c r="IP83" s="479"/>
      <c r="IQ83" s="479"/>
      <c r="IR83" s="479"/>
      <c r="IS83" s="479"/>
      <c r="IT83" s="479"/>
      <c r="IU83" s="479"/>
      <c r="IV83" s="479"/>
      <c r="IW83" s="479"/>
      <c r="IX83" s="479"/>
      <c r="IY83" s="479"/>
      <c r="IZ83" s="479"/>
      <c r="JA83" s="479"/>
      <c r="JB83" s="479"/>
      <c r="JC83" s="479"/>
      <c r="JD83" s="479"/>
      <c r="JE83" s="479"/>
      <c r="JF83" s="479"/>
      <c r="JG83" s="479"/>
      <c r="JH83" s="479"/>
      <c r="JI83" s="479"/>
      <c r="JJ83" s="479"/>
      <c r="JK83" s="479"/>
      <c r="JL83" s="479"/>
      <c r="JM83" s="479"/>
      <c r="JN83" s="479"/>
      <c r="JO83" s="479"/>
      <c r="JP83" s="479"/>
      <c r="JQ83" s="479"/>
      <c r="JR83" s="479"/>
      <c r="JS83" s="479"/>
      <c r="JT83" s="479"/>
      <c r="JU83" s="479"/>
      <c r="JV83" s="479"/>
      <c r="JW83" s="479"/>
      <c r="JX83" s="479"/>
      <c r="JY83" s="479"/>
      <c r="JZ83" s="479"/>
      <c r="KA83" s="479"/>
      <c r="KB83" s="479"/>
      <c r="KC83" s="479"/>
      <c r="KD83" s="479"/>
      <c r="KE83" s="479"/>
      <c r="KF83" s="479"/>
      <c r="KG83" s="479"/>
      <c r="KH83" s="479"/>
      <c r="KI83" s="479"/>
      <c r="KJ83" s="479"/>
      <c r="KK83" s="479"/>
      <c r="KL83" s="479"/>
      <c r="KM83" s="479"/>
      <c r="KN83" s="479"/>
      <c r="KO83" s="479"/>
      <c r="KP83" s="479"/>
      <c r="KQ83" s="479"/>
      <c r="KR83" s="479"/>
      <c r="KS83" s="479"/>
      <c r="KT83" s="479"/>
      <c r="KU83" s="479"/>
      <c r="KV83" s="479"/>
      <c r="KW83" s="479"/>
      <c r="KX83" s="479"/>
      <c r="KY83" s="479"/>
      <c r="KZ83" s="479"/>
      <c r="LA83" s="479"/>
      <c r="LB83" s="479"/>
      <c r="LC83" s="479"/>
      <c r="LD83" s="479"/>
      <c r="LE83" s="479"/>
      <c r="LF83" s="479"/>
      <c r="LG83" s="479"/>
      <c r="LH83" s="479"/>
      <c r="LI83" s="479"/>
      <c r="LJ83" s="479"/>
      <c r="LK83" s="479"/>
      <c r="LL83" s="479"/>
      <c r="LM83" s="479"/>
      <c r="LN83" s="479"/>
      <c r="LO83" s="479"/>
      <c r="LP83" s="479"/>
      <c r="LQ83" s="479"/>
      <c r="LR83" s="479"/>
      <c r="LS83" s="479"/>
      <c r="LT83" s="479"/>
      <c r="LU83" s="479"/>
      <c r="LV83" s="479"/>
      <c r="LW83" s="479"/>
      <c r="LX83" s="479"/>
      <c r="LY83" s="479"/>
      <c r="LZ83" s="479"/>
      <c r="MA83" s="479"/>
      <c r="MB83" s="479"/>
    </row>
    <row r="84" spans="1:340" ht="21" customHeight="1">
      <c r="A84" s="466"/>
      <c r="B84" s="2958"/>
      <c r="C84" s="2013"/>
      <c r="D84" s="2035"/>
      <c r="E84" s="1331"/>
      <c r="F84" s="578"/>
      <c r="G84" s="578"/>
      <c r="H84" s="579"/>
      <c r="I84" s="634"/>
      <c r="J84" s="1342" t="s">
        <v>554</v>
      </c>
      <c r="K84" s="510"/>
      <c r="L84" s="510"/>
      <c r="M84" s="510"/>
      <c r="N84" s="617"/>
      <c r="O84" s="510"/>
      <c r="P84" s="510"/>
      <c r="Q84" s="507">
        <v>1</v>
      </c>
      <c r="R84" s="510" t="s">
        <v>525</v>
      </c>
      <c r="S84" s="617">
        <v>50000</v>
      </c>
      <c r="T84" s="510" t="s">
        <v>37</v>
      </c>
      <c r="U84" s="510"/>
      <c r="V84" s="510">
        <v>12</v>
      </c>
      <c r="W84" s="510" t="s">
        <v>228</v>
      </c>
      <c r="X84" s="581" t="s">
        <v>38</v>
      </c>
      <c r="Y84" s="478">
        <f t="shared" si="5"/>
        <v>600</v>
      </c>
      <c r="Z84" s="473">
        <f>ROUNDUP(S84*Q84*V84,-3)</f>
        <v>600000</v>
      </c>
      <c r="AA84" s="1560"/>
      <c r="AB84" s="669"/>
      <c r="AC84" s="480"/>
      <c r="AD84" s="479"/>
      <c r="AE84" s="479"/>
      <c r="AF84" s="479"/>
      <c r="AG84" s="479"/>
      <c r="AH84" s="479"/>
      <c r="AI84" s="479"/>
      <c r="AJ84" s="479"/>
      <c r="AK84" s="479"/>
      <c r="AL84" s="479"/>
      <c r="AM84" s="479"/>
      <c r="AN84" s="479"/>
      <c r="AO84" s="479"/>
      <c r="AP84" s="479"/>
      <c r="AQ84" s="479"/>
      <c r="AR84" s="479"/>
      <c r="AS84" s="479"/>
      <c r="AT84" s="479"/>
      <c r="AU84" s="479"/>
      <c r="AV84" s="479"/>
      <c r="AW84" s="479"/>
      <c r="AX84" s="479"/>
      <c r="AY84" s="479"/>
      <c r="AZ84" s="479"/>
      <c r="BA84" s="479"/>
      <c r="BB84" s="479"/>
      <c r="BC84" s="479"/>
      <c r="BD84" s="479"/>
      <c r="BE84" s="479"/>
      <c r="BF84" s="479"/>
      <c r="BG84" s="479"/>
      <c r="BH84" s="479"/>
      <c r="BI84" s="479"/>
      <c r="BJ84" s="479"/>
      <c r="BK84" s="479"/>
      <c r="BL84" s="479"/>
      <c r="BM84" s="479"/>
      <c r="BN84" s="479"/>
      <c r="BO84" s="479"/>
      <c r="BP84" s="479"/>
      <c r="BQ84" s="479"/>
      <c r="BR84" s="479"/>
      <c r="BS84" s="479"/>
      <c r="BT84" s="479"/>
      <c r="BU84" s="479"/>
      <c r="BV84" s="479"/>
      <c r="BW84" s="479"/>
      <c r="BX84" s="479"/>
      <c r="BY84" s="479"/>
      <c r="BZ84" s="479"/>
      <c r="CA84" s="479"/>
      <c r="CB84" s="479"/>
      <c r="CC84" s="479"/>
      <c r="CD84" s="479"/>
      <c r="CE84" s="479"/>
      <c r="CF84" s="479"/>
      <c r="CG84" s="479"/>
      <c r="CH84" s="479"/>
      <c r="CI84" s="479"/>
      <c r="CJ84" s="479"/>
      <c r="CK84" s="479"/>
      <c r="CL84" s="479"/>
      <c r="CM84" s="479"/>
      <c r="CN84" s="479"/>
      <c r="CO84" s="479"/>
      <c r="CP84" s="479"/>
      <c r="CQ84" s="479"/>
      <c r="CR84" s="479"/>
      <c r="CS84" s="479"/>
      <c r="CT84" s="479"/>
      <c r="CU84" s="479"/>
      <c r="CV84" s="479"/>
      <c r="CW84" s="479"/>
      <c r="CX84" s="479"/>
      <c r="CY84" s="479"/>
      <c r="CZ84" s="479"/>
      <c r="DA84" s="479"/>
      <c r="DB84" s="479"/>
      <c r="DC84" s="479"/>
      <c r="DD84" s="479"/>
      <c r="DE84" s="479"/>
      <c r="DF84" s="479"/>
      <c r="DG84" s="479"/>
      <c r="DH84" s="479"/>
      <c r="DI84" s="479"/>
      <c r="DJ84" s="479"/>
      <c r="DK84" s="479"/>
      <c r="DL84" s="479"/>
      <c r="DM84" s="479"/>
      <c r="DN84" s="479"/>
      <c r="DO84" s="479"/>
      <c r="DP84" s="479"/>
      <c r="DQ84" s="479"/>
      <c r="DR84" s="479"/>
      <c r="DS84" s="479"/>
      <c r="DT84" s="479"/>
      <c r="DU84" s="479"/>
      <c r="DV84" s="479"/>
      <c r="DW84" s="479"/>
      <c r="DX84" s="479"/>
      <c r="DY84" s="479"/>
      <c r="DZ84" s="479"/>
      <c r="EA84" s="479"/>
      <c r="EB84" s="479"/>
      <c r="EC84" s="479"/>
      <c r="ED84" s="479"/>
      <c r="EE84" s="479"/>
      <c r="EF84" s="479"/>
      <c r="EG84" s="479"/>
      <c r="EH84" s="479"/>
      <c r="EI84" s="479"/>
      <c r="EJ84" s="479"/>
      <c r="EK84" s="479"/>
      <c r="EL84" s="479"/>
      <c r="EM84" s="479"/>
      <c r="EN84" s="479"/>
      <c r="EO84" s="479"/>
      <c r="EP84" s="479"/>
      <c r="EQ84" s="479"/>
      <c r="ER84" s="479"/>
      <c r="ES84" s="479"/>
      <c r="ET84" s="479"/>
      <c r="EU84" s="479"/>
      <c r="EV84" s="479"/>
      <c r="EW84" s="479"/>
      <c r="EX84" s="479"/>
      <c r="EY84" s="479"/>
      <c r="EZ84" s="479"/>
      <c r="FA84" s="479"/>
      <c r="FB84" s="479"/>
      <c r="FC84" s="479"/>
      <c r="FD84" s="479"/>
      <c r="FE84" s="479"/>
      <c r="FF84" s="479"/>
      <c r="FG84" s="479"/>
      <c r="FH84" s="479"/>
      <c r="FI84" s="479"/>
      <c r="FJ84" s="479"/>
      <c r="FK84" s="479"/>
      <c r="FL84" s="479"/>
      <c r="FM84" s="479"/>
      <c r="FN84" s="479"/>
      <c r="FO84" s="479"/>
      <c r="FP84" s="479"/>
      <c r="FQ84" s="479"/>
      <c r="FR84" s="479"/>
      <c r="FS84" s="479"/>
      <c r="FT84" s="479"/>
      <c r="FU84" s="479"/>
      <c r="FV84" s="479"/>
      <c r="FW84" s="479"/>
      <c r="FX84" s="479"/>
      <c r="FY84" s="479"/>
      <c r="FZ84" s="479"/>
      <c r="GA84" s="479"/>
      <c r="GB84" s="479"/>
      <c r="GC84" s="479"/>
      <c r="GD84" s="479"/>
      <c r="GE84" s="479"/>
      <c r="GF84" s="479"/>
      <c r="GG84" s="479"/>
      <c r="GH84" s="479"/>
      <c r="GI84" s="479"/>
      <c r="GJ84" s="479"/>
      <c r="GK84" s="479"/>
      <c r="GL84" s="479"/>
      <c r="GM84" s="479"/>
      <c r="GN84" s="479"/>
      <c r="GO84" s="479"/>
      <c r="GP84" s="479"/>
      <c r="GQ84" s="479"/>
      <c r="GR84" s="479"/>
      <c r="GS84" s="479"/>
      <c r="GT84" s="479"/>
      <c r="GU84" s="479"/>
      <c r="GV84" s="479"/>
      <c r="GW84" s="479"/>
      <c r="GX84" s="479"/>
      <c r="GY84" s="479"/>
      <c r="GZ84" s="479"/>
      <c r="HA84" s="479"/>
      <c r="HB84" s="479"/>
      <c r="HC84" s="479"/>
      <c r="HD84" s="479"/>
      <c r="HE84" s="479"/>
      <c r="HF84" s="479"/>
      <c r="HG84" s="479"/>
      <c r="HH84" s="479"/>
      <c r="HI84" s="479"/>
      <c r="HJ84" s="479"/>
      <c r="HK84" s="479"/>
      <c r="HL84" s="479"/>
      <c r="HM84" s="479"/>
      <c r="HN84" s="479"/>
      <c r="HO84" s="479"/>
      <c r="HP84" s="479"/>
      <c r="HQ84" s="479"/>
      <c r="HR84" s="479"/>
      <c r="HS84" s="479"/>
      <c r="HT84" s="479"/>
      <c r="HU84" s="479"/>
      <c r="HV84" s="479"/>
      <c r="HW84" s="479"/>
      <c r="HX84" s="479"/>
      <c r="HY84" s="479"/>
      <c r="HZ84" s="479"/>
      <c r="IA84" s="479"/>
      <c r="IB84" s="479"/>
      <c r="IC84" s="479"/>
      <c r="ID84" s="479"/>
      <c r="IE84" s="479"/>
      <c r="IF84" s="479"/>
      <c r="IG84" s="479"/>
      <c r="IH84" s="479"/>
      <c r="II84" s="479"/>
      <c r="IJ84" s="479"/>
      <c r="IK84" s="479"/>
      <c r="IL84" s="479"/>
      <c r="IM84" s="479"/>
      <c r="IN84" s="479"/>
      <c r="IO84" s="479"/>
      <c r="IP84" s="479"/>
      <c r="IQ84" s="479"/>
      <c r="IR84" s="479"/>
      <c r="IS84" s="479"/>
      <c r="IT84" s="479"/>
      <c r="IU84" s="479"/>
      <c r="IV84" s="479"/>
      <c r="IW84" s="479"/>
      <c r="IX84" s="479"/>
      <c r="IY84" s="479"/>
      <c r="IZ84" s="479"/>
      <c r="JA84" s="479"/>
      <c r="JB84" s="479"/>
      <c r="JC84" s="479"/>
      <c r="JD84" s="479"/>
      <c r="JE84" s="479"/>
      <c r="JF84" s="479"/>
      <c r="JG84" s="479"/>
      <c r="JH84" s="479"/>
      <c r="JI84" s="479"/>
      <c r="JJ84" s="479"/>
      <c r="JK84" s="479"/>
      <c r="JL84" s="479"/>
      <c r="JM84" s="479"/>
      <c r="JN84" s="479"/>
      <c r="JO84" s="479"/>
      <c r="JP84" s="479"/>
      <c r="JQ84" s="479"/>
      <c r="JR84" s="479"/>
      <c r="JS84" s="479"/>
      <c r="JT84" s="479"/>
      <c r="JU84" s="479"/>
      <c r="JV84" s="479"/>
      <c r="JW84" s="479"/>
      <c r="JX84" s="479"/>
      <c r="JY84" s="479"/>
      <c r="JZ84" s="479"/>
      <c r="KA84" s="479"/>
      <c r="KB84" s="479"/>
      <c r="KC84" s="479"/>
      <c r="KD84" s="479"/>
      <c r="KE84" s="479"/>
      <c r="KF84" s="479"/>
      <c r="KG84" s="479"/>
      <c r="KH84" s="479"/>
      <c r="KI84" s="479"/>
      <c r="KJ84" s="479"/>
      <c r="KK84" s="479"/>
      <c r="KL84" s="479"/>
      <c r="KM84" s="479"/>
      <c r="KN84" s="479"/>
      <c r="KO84" s="479"/>
      <c r="KP84" s="479"/>
      <c r="KQ84" s="479"/>
      <c r="KR84" s="479"/>
      <c r="KS84" s="479"/>
      <c r="KT84" s="479"/>
      <c r="KU84" s="479"/>
      <c r="KV84" s="479"/>
      <c r="KW84" s="479"/>
      <c r="KX84" s="479"/>
      <c r="KY84" s="479"/>
      <c r="KZ84" s="479"/>
      <c r="LA84" s="479"/>
      <c r="LB84" s="479"/>
      <c r="LC84" s="479"/>
      <c r="LD84" s="479"/>
      <c r="LE84" s="479"/>
      <c r="LF84" s="479"/>
      <c r="LG84" s="479"/>
      <c r="LH84" s="479"/>
      <c r="LI84" s="479"/>
      <c r="LJ84" s="479"/>
      <c r="LK84" s="479"/>
      <c r="LL84" s="479"/>
      <c r="LM84" s="479"/>
      <c r="LN84" s="479"/>
      <c r="LO84" s="479"/>
      <c r="LP84" s="479"/>
      <c r="LQ84" s="479"/>
      <c r="LR84" s="479"/>
      <c r="LS84" s="479"/>
      <c r="LT84" s="479"/>
      <c r="LU84" s="479"/>
      <c r="LV84" s="479"/>
      <c r="LW84" s="479"/>
      <c r="LX84" s="479"/>
      <c r="LY84" s="479"/>
      <c r="LZ84" s="479"/>
      <c r="MA84" s="479"/>
      <c r="MB84" s="479"/>
    </row>
    <row r="85" spans="1:340" ht="21" customHeight="1">
      <c r="A85" s="466"/>
      <c r="B85" s="2958"/>
      <c r="C85" s="2013"/>
      <c r="D85" s="2035"/>
      <c r="E85" s="1319" t="s">
        <v>242</v>
      </c>
      <c r="F85" s="1568">
        <f>+Y85</f>
        <v>2500</v>
      </c>
      <c r="G85" s="1568">
        <v>2500</v>
      </c>
      <c r="H85" s="534"/>
      <c r="I85" s="634"/>
      <c r="J85" s="1342" t="s">
        <v>1722</v>
      </c>
      <c r="K85" s="510"/>
      <c r="L85" s="510"/>
      <c r="M85" s="510"/>
      <c r="N85" s="617"/>
      <c r="O85" s="617"/>
      <c r="P85" s="510"/>
      <c r="Q85" s="507">
        <v>25</v>
      </c>
      <c r="R85" s="510" t="s">
        <v>232</v>
      </c>
      <c r="S85" s="617">
        <v>10000</v>
      </c>
      <c r="T85" s="510" t="s">
        <v>37</v>
      </c>
      <c r="U85" s="510"/>
      <c r="V85" s="510">
        <v>10</v>
      </c>
      <c r="W85" s="510" t="s">
        <v>259</v>
      </c>
      <c r="X85" s="581" t="s">
        <v>38</v>
      </c>
      <c r="Y85" s="478">
        <f>Z85/1000</f>
        <v>2500</v>
      </c>
      <c r="Z85" s="473">
        <f>ROUNDUP(S85*Q85*V85,-3)</f>
        <v>2500000</v>
      </c>
      <c r="AA85" s="1560"/>
      <c r="AB85" s="669"/>
      <c r="AC85" s="480"/>
      <c r="AD85" s="479"/>
      <c r="AE85" s="479"/>
      <c r="AF85" s="479"/>
      <c r="AG85" s="479"/>
      <c r="AH85" s="479"/>
      <c r="AI85" s="479"/>
      <c r="AJ85" s="479"/>
      <c r="AK85" s="479"/>
      <c r="AL85" s="479"/>
      <c r="AM85" s="479"/>
      <c r="AN85" s="479"/>
      <c r="AO85" s="479"/>
      <c r="AP85" s="479"/>
      <c r="AQ85" s="479"/>
      <c r="AR85" s="479"/>
      <c r="AS85" s="479"/>
      <c r="AT85" s="479"/>
      <c r="AU85" s="479"/>
      <c r="AV85" s="479"/>
      <c r="AW85" s="479"/>
      <c r="AX85" s="479"/>
      <c r="AY85" s="479"/>
      <c r="AZ85" s="479"/>
      <c r="BA85" s="479"/>
      <c r="BB85" s="479"/>
      <c r="BC85" s="479"/>
      <c r="BD85" s="479"/>
      <c r="BE85" s="479"/>
      <c r="BF85" s="479"/>
      <c r="BG85" s="479"/>
      <c r="BH85" s="479"/>
      <c r="BI85" s="479"/>
      <c r="BJ85" s="479"/>
      <c r="BK85" s="479"/>
      <c r="BL85" s="479"/>
      <c r="BM85" s="479"/>
      <c r="BN85" s="479"/>
      <c r="BO85" s="479"/>
      <c r="BP85" s="479"/>
      <c r="BQ85" s="479"/>
      <c r="BR85" s="479"/>
      <c r="BS85" s="479"/>
      <c r="BT85" s="479"/>
      <c r="BU85" s="479"/>
      <c r="BV85" s="479"/>
      <c r="BW85" s="479"/>
      <c r="BX85" s="479"/>
      <c r="BY85" s="479"/>
      <c r="BZ85" s="479"/>
      <c r="CA85" s="479"/>
      <c r="CB85" s="479"/>
      <c r="CC85" s="479"/>
      <c r="CD85" s="479"/>
      <c r="CE85" s="479"/>
      <c r="CF85" s="479"/>
      <c r="CG85" s="479"/>
      <c r="CH85" s="479"/>
      <c r="CI85" s="479"/>
      <c r="CJ85" s="479"/>
      <c r="CK85" s="479"/>
      <c r="CL85" s="479"/>
      <c r="CM85" s="479"/>
      <c r="CN85" s="479"/>
      <c r="CO85" s="479"/>
      <c r="CP85" s="479"/>
      <c r="CQ85" s="479"/>
      <c r="CR85" s="479"/>
      <c r="CS85" s="479"/>
      <c r="CT85" s="479"/>
      <c r="CU85" s="479"/>
      <c r="CV85" s="479"/>
      <c r="CW85" s="479"/>
      <c r="CX85" s="479"/>
      <c r="CY85" s="479"/>
      <c r="CZ85" s="479"/>
      <c r="DA85" s="479"/>
      <c r="DB85" s="479"/>
      <c r="DC85" s="479"/>
      <c r="DD85" s="479"/>
      <c r="DE85" s="479"/>
      <c r="DF85" s="479"/>
      <c r="DG85" s="479"/>
      <c r="DH85" s="479"/>
      <c r="DI85" s="479"/>
      <c r="DJ85" s="479"/>
      <c r="DK85" s="479"/>
      <c r="DL85" s="479"/>
      <c r="DM85" s="479"/>
      <c r="DN85" s="479"/>
      <c r="DO85" s="479"/>
      <c r="DP85" s="479"/>
      <c r="DQ85" s="479"/>
      <c r="DR85" s="479"/>
      <c r="DS85" s="479"/>
      <c r="DT85" s="479"/>
      <c r="DU85" s="479"/>
      <c r="DV85" s="479"/>
      <c r="DW85" s="479"/>
      <c r="DX85" s="479"/>
      <c r="DY85" s="479"/>
      <c r="DZ85" s="479"/>
      <c r="EA85" s="479"/>
      <c r="EB85" s="479"/>
      <c r="EC85" s="479"/>
      <c r="ED85" s="479"/>
      <c r="EE85" s="479"/>
      <c r="EF85" s="479"/>
      <c r="EG85" s="479"/>
      <c r="EH85" s="479"/>
      <c r="EI85" s="479"/>
      <c r="EJ85" s="479"/>
      <c r="EK85" s="479"/>
      <c r="EL85" s="479"/>
      <c r="EM85" s="479"/>
      <c r="EN85" s="479"/>
      <c r="EO85" s="479"/>
      <c r="EP85" s="479"/>
      <c r="EQ85" s="479"/>
      <c r="ER85" s="479"/>
      <c r="ES85" s="479"/>
      <c r="ET85" s="479"/>
      <c r="EU85" s="479"/>
      <c r="EV85" s="479"/>
      <c r="EW85" s="479"/>
      <c r="EX85" s="479"/>
      <c r="EY85" s="479"/>
      <c r="EZ85" s="479"/>
      <c r="FA85" s="479"/>
      <c r="FB85" s="479"/>
      <c r="FC85" s="479"/>
      <c r="FD85" s="479"/>
      <c r="FE85" s="479"/>
      <c r="FF85" s="479"/>
      <c r="FG85" s="479"/>
      <c r="FH85" s="479"/>
      <c r="FI85" s="479"/>
      <c r="FJ85" s="479"/>
      <c r="FK85" s="479"/>
      <c r="FL85" s="479"/>
      <c r="FM85" s="479"/>
      <c r="FN85" s="479"/>
      <c r="FO85" s="479"/>
      <c r="FP85" s="479"/>
      <c r="FQ85" s="479"/>
      <c r="FR85" s="479"/>
      <c r="FS85" s="479"/>
      <c r="FT85" s="479"/>
      <c r="FU85" s="479"/>
      <c r="FV85" s="479"/>
      <c r="FW85" s="479"/>
      <c r="FX85" s="479"/>
      <c r="FY85" s="479"/>
      <c r="FZ85" s="479"/>
      <c r="GA85" s="479"/>
      <c r="GB85" s="479"/>
      <c r="GC85" s="479"/>
      <c r="GD85" s="479"/>
      <c r="GE85" s="479"/>
      <c r="GF85" s="479"/>
      <c r="GG85" s="479"/>
      <c r="GH85" s="479"/>
      <c r="GI85" s="479"/>
      <c r="GJ85" s="479"/>
      <c r="GK85" s="479"/>
      <c r="GL85" s="479"/>
      <c r="GM85" s="479"/>
      <c r="GN85" s="479"/>
      <c r="GO85" s="479"/>
      <c r="GP85" s="479"/>
      <c r="GQ85" s="479"/>
      <c r="GR85" s="479"/>
      <c r="GS85" s="479"/>
      <c r="GT85" s="479"/>
      <c r="GU85" s="479"/>
      <c r="GV85" s="479"/>
      <c r="GW85" s="479"/>
      <c r="GX85" s="479"/>
      <c r="GY85" s="479"/>
      <c r="GZ85" s="479"/>
      <c r="HA85" s="479"/>
      <c r="HB85" s="479"/>
      <c r="HC85" s="479"/>
      <c r="HD85" s="479"/>
      <c r="HE85" s="479"/>
      <c r="HF85" s="479"/>
      <c r="HG85" s="479"/>
      <c r="HH85" s="479"/>
      <c r="HI85" s="479"/>
      <c r="HJ85" s="479"/>
      <c r="HK85" s="479"/>
      <c r="HL85" s="479"/>
      <c r="HM85" s="479"/>
      <c r="HN85" s="479"/>
      <c r="HO85" s="479"/>
      <c r="HP85" s="479"/>
      <c r="HQ85" s="479"/>
      <c r="HR85" s="479"/>
      <c r="HS85" s="479"/>
      <c r="HT85" s="479"/>
      <c r="HU85" s="479"/>
      <c r="HV85" s="479"/>
      <c r="HW85" s="479"/>
      <c r="HX85" s="479"/>
      <c r="HY85" s="479"/>
      <c r="HZ85" s="479"/>
      <c r="IA85" s="479"/>
      <c r="IB85" s="479"/>
      <c r="IC85" s="479"/>
      <c r="ID85" s="479"/>
      <c r="IE85" s="479"/>
      <c r="IF85" s="479"/>
      <c r="IG85" s="479"/>
      <c r="IH85" s="479"/>
      <c r="II85" s="479"/>
      <c r="IJ85" s="479"/>
      <c r="IK85" s="479"/>
      <c r="IL85" s="479"/>
      <c r="IM85" s="479"/>
      <c r="IN85" s="479"/>
      <c r="IO85" s="479"/>
      <c r="IP85" s="479"/>
      <c r="IQ85" s="479"/>
      <c r="IR85" s="479"/>
      <c r="IS85" s="479"/>
      <c r="IT85" s="479"/>
      <c r="IU85" s="479"/>
      <c r="IV85" s="479"/>
      <c r="IW85" s="479"/>
      <c r="IX85" s="479"/>
      <c r="IY85" s="479"/>
      <c r="IZ85" s="479"/>
      <c r="JA85" s="479"/>
      <c r="JB85" s="479"/>
      <c r="JC85" s="479"/>
      <c r="JD85" s="479"/>
      <c r="JE85" s="479"/>
      <c r="JF85" s="479"/>
      <c r="JG85" s="479"/>
      <c r="JH85" s="479"/>
      <c r="JI85" s="479"/>
      <c r="JJ85" s="479"/>
      <c r="JK85" s="479"/>
      <c r="JL85" s="479"/>
      <c r="JM85" s="479"/>
      <c r="JN85" s="479"/>
      <c r="JO85" s="479"/>
      <c r="JP85" s="479"/>
      <c r="JQ85" s="479"/>
      <c r="JR85" s="479"/>
      <c r="JS85" s="479"/>
      <c r="JT85" s="479"/>
      <c r="JU85" s="479"/>
      <c r="JV85" s="479"/>
      <c r="JW85" s="479"/>
      <c r="JX85" s="479"/>
      <c r="JY85" s="479"/>
      <c r="JZ85" s="479"/>
      <c r="KA85" s="479"/>
      <c r="KB85" s="479"/>
      <c r="KC85" s="479"/>
      <c r="KD85" s="479"/>
      <c r="KE85" s="479"/>
      <c r="KF85" s="479"/>
      <c r="KG85" s="479"/>
      <c r="KH85" s="479"/>
      <c r="KI85" s="479"/>
      <c r="KJ85" s="479"/>
      <c r="KK85" s="479"/>
      <c r="KL85" s="479"/>
      <c r="KM85" s="479"/>
      <c r="KN85" s="479"/>
      <c r="KO85" s="479"/>
      <c r="KP85" s="479"/>
      <c r="KQ85" s="479"/>
      <c r="KR85" s="479"/>
      <c r="KS85" s="479"/>
      <c r="KT85" s="479"/>
      <c r="KU85" s="479"/>
      <c r="KV85" s="479"/>
      <c r="KW85" s="479"/>
      <c r="KX85" s="479"/>
      <c r="KY85" s="479"/>
      <c r="KZ85" s="479"/>
      <c r="LA85" s="479"/>
      <c r="LB85" s="479"/>
      <c r="LC85" s="479"/>
      <c r="LD85" s="479"/>
      <c r="LE85" s="479"/>
      <c r="LF85" s="479"/>
      <c r="LG85" s="479"/>
      <c r="LH85" s="479"/>
      <c r="LI85" s="479"/>
      <c r="LJ85" s="479"/>
      <c r="LK85" s="479"/>
      <c r="LL85" s="479"/>
      <c r="LM85" s="479"/>
      <c r="LN85" s="479"/>
      <c r="LO85" s="479"/>
      <c r="LP85" s="479"/>
      <c r="LQ85" s="479"/>
      <c r="LR85" s="479"/>
      <c r="LS85" s="479"/>
      <c r="LT85" s="479"/>
      <c r="LU85" s="479"/>
      <c r="LV85" s="479"/>
      <c r="LW85" s="479"/>
      <c r="LX85" s="479"/>
      <c r="LY85" s="479"/>
      <c r="LZ85" s="479"/>
      <c r="MA85" s="479"/>
      <c r="MB85" s="479"/>
    </row>
    <row r="86" spans="1:340" ht="21" customHeight="1">
      <c r="A86" s="466"/>
      <c r="B86" s="2958"/>
      <c r="C86" s="2013"/>
      <c r="D86" s="3834" t="s">
        <v>556</v>
      </c>
      <c r="E86" s="3913"/>
      <c r="F86" s="584">
        <f>SUM(F87)</f>
        <v>26500</v>
      </c>
      <c r="G86" s="584">
        <f>G87</f>
        <v>26500</v>
      </c>
      <c r="H86" s="529">
        <f>F86-G86</f>
        <v>0</v>
      </c>
      <c r="I86" s="634"/>
      <c r="J86" s="514"/>
      <c r="K86" s="515"/>
      <c r="L86" s="515"/>
      <c r="M86" s="515"/>
      <c r="N86" s="515"/>
      <c r="O86" s="515"/>
      <c r="P86" s="516"/>
      <c r="Q86" s="515"/>
      <c r="R86" s="516"/>
      <c r="S86" s="515"/>
      <c r="T86" s="516"/>
      <c r="U86" s="515"/>
      <c r="V86" s="516"/>
      <c r="W86" s="515"/>
      <c r="X86" s="515"/>
      <c r="Y86" s="667"/>
      <c r="Z86" s="2016"/>
      <c r="AA86" s="1560"/>
      <c r="AB86" s="669"/>
      <c r="AC86" s="480"/>
      <c r="AD86" s="479"/>
      <c r="AE86" s="479"/>
      <c r="AF86" s="479"/>
      <c r="AG86" s="479"/>
      <c r="AH86" s="479"/>
      <c r="AI86" s="479"/>
      <c r="AJ86" s="479"/>
      <c r="AK86" s="479"/>
      <c r="AL86" s="479"/>
      <c r="AM86" s="479"/>
      <c r="AN86" s="479"/>
      <c r="AO86" s="479"/>
      <c r="AP86" s="479"/>
      <c r="AQ86" s="479"/>
      <c r="AR86" s="479"/>
      <c r="AS86" s="479"/>
      <c r="AT86" s="479"/>
      <c r="AU86" s="479"/>
      <c r="AV86" s="479"/>
      <c r="AW86" s="479"/>
      <c r="AX86" s="479"/>
      <c r="AY86" s="479"/>
      <c r="AZ86" s="479"/>
      <c r="BA86" s="479"/>
      <c r="BB86" s="479"/>
      <c r="BC86" s="479"/>
      <c r="BD86" s="479"/>
      <c r="BE86" s="479"/>
      <c r="BF86" s="479"/>
      <c r="BG86" s="479"/>
      <c r="BH86" s="479"/>
      <c r="BI86" s="479"/>
      <c r="BJ86" s="479"/>
      <c r="BK86" s="479"/>
      <c r="BL86" s="479"/>
      <c r="BM86" s="479"/>
      <c r="BN86" s="479"/>
      <c r="BO86" s="479"/>
      <c r="BP86" s="479"/>
      <c r="BQ86" s="479"/>
      <c r="BR86" s="479"/>
      <c r="BS86" s="479"/>
      <c r="BT86" s="479"/>
      <c r="BU86" s="479"/>
      <c r="BV86" s="479"/>
      <c r="BW86" s="479"/>
      <c r="BX86" s="479"/>
      <c r="BY86" s="479"/>
      <c r="BZ86" s="479"/>
      <c r="CA86" s="479"/>
      <c r="CB86" s="479"/>
      <c r="CC86" s="479"/>
      <c r="CD86" s="479"/>
      <c r="CE86" s="479"/>
      <c r="CF86" s="479"/>
      <c r="CG86" s="479"/>
      <c r="CH86" s="479"/>
      <c r="CI86" s="479"/>
      <c r="CJ86" s="479"/>
      <c r="CK86" s="479"/>
      <c r="CL86" s="479"/>
      <c r="CM86" s="479"/>
      <c r="CN86" s="479"/>
      <c r="CO86" s="479"/>
      <c r="CP86" s="479"/>
      <c r="CQ86" s="479"/>
      <c r="CR86" s="479"/>
      <c r="CS86" s="479"/>
      <c r="CT86" s="479"/>
      <c r="CU86" s="479"/>
      <c r="CV86" s="479"/>
      <c r="CW86" s="479"/>
      <c r="CX86" s="479"/>
      <c r="CY86" s="479"/>
      <c r="CZ86" s="479"/>
      <c r="DA86" s="479"/>
      <c r="DB86" s="479"/>
      <c r="DC86" s="479"/>
      <c r="DD86" s="479"/>
      <c r="DE86" s="479"/>
      <c r="DF86" s="479"/>
      <c r="DG86" s="479"/>
      <c r="DH86" s="479"/>
      <c r="DI86" s="479"/>
      <c r="DJ86" s="479"/>
      <c r="DK86" s="479"/>
      <c r="DL86" s="479"/>
      <c r="DM86" s="479"/>
      <c r="DN86" s="479"/>
      <c r="DO86" s="479"/>
      <c r="DP86" s="479"/>
      <c r="DQ86" s="479"/>
      <c r="DR86" s="479"/>
      <c r="DS86" s="479"/>
      <c r="DT86" s="479"/>
      <c r="DU86" s="479"/>
      <c r="DV86" s="479"/>
      <c r="DW86" s="479"/>
      <c r="DX86" s="479"/>
      <c r="DY86" s="479"/>
      <c r="DZ86" s="479"/>
      <c r="EA86" s="479"/>
      <c r="EB86" s="479"/>
      <c r="EC86" s="479"/>
      <c r="ED86" s="479"/>
      <c r="EE86" s="479"/>
      <c r="EF86" s="479"/>
      <c r="EG86" s="479"/>
      <c r="EH86" s="479"/>
      <c r="EI86" s="479"/>
      <c r="EJ86" s="479"/>
      <c r="EK86" s="479"/>
      <c r="EL86" s="479"/>
      <c r="EM86" s="479"/>
      <c r="EN86" s="479"/>
      <c r="EO86" s="479"/>
      <c r="EP86" s="479"/>
      <c r="EQ86" s="479"/>
      <c r="ER86" s="479"/>
      <c r="ES86" s="479"/>
      <c r="ET86" s="479"/>
      <c r="EU86" s="479"/>
      <c r="EV86" s="479"/>
      <c r="EW86" s="479"/>
      <c r="EX86" s="479"/>
      <c r="EY86" s="479"/>
      <c r="EZ86" s="479"/>
      <c r="FA86" s="479"/>
      <c r="FB86" s="479"/>
      <c r="FC86" s="479"/>
      <c r="FD86" s="479"/>
      <c r="FE86" s="479"/>
      <c r="FF86" s="479"/>
      <c r="FG86" s="479"/>
      <c r="FH86" s="479"/>
      <c r="FI86" s="479"/>
      <c r="FJ86" s="479"/>
      <c r="FK86" s="479"/>
      <c r="FL86" s="479"/>
      <c r="FM86" s="479"/>
      <c r="FN86" s="479"/>
      <c r="FO86" s="479"/>
      <c r="FP86" s="479"/>
      <c r="FQ86" s="479"/>
      <c r="FR86" s="479"/>
      <c r="FS86" s="479"/>
      <c r="FT86" s="479"/>
      <c r="FU86" s="479"/>
      <c r="FV86" s="479"/>
      <c r="FW86" s="479"/>
      <c r="FX86" s="479"/>
      <c r="FY86" s="479"/>
      <c r="FZ86" s="479"/>
      <c r="GA86" s="479"/>
      <c r="GB86" s="479"/>
      <c r="GC86" s="479"/>
      <c r="GD86" s="479"/>
      <c r="GE86" s="479"/>
      <c r="GF86" s="479"/>
      <c r="GG86" s="479"/>
      <c r="GH86" s="479"/>
      <c r="GI86" s="479"/>
      <c r="GJ86" s="479"/>
      <c r="GK86" s="479"/>
      <c r="GL86" s="479"/>
      <c r="GM86" s="479"/>
      <c r="GN86" s="479"/>
      <c r="GO86" s="479"/>
      <c r="GP86" s="479"/>
      <c r="GQ86" s="479"/>
      <c r="GR86" s="479"/>
      <c r="GS86" s="479"/>
      <c r="GT86" s="479"/>
      <c r="GU86" s="479"/>
      <c r="GV86" s="479"/>
      <c r="GW86" s="479"/>
      <c r="GX86" s="479"/>
      <c r="GY86" s="479"/>
      <c r="GZ86" s="479"/>
      <c r="HA86" s="479"/>
      <c r="HB86" s="479"/>
      <c r="HC86" s="479"/>
      <c r="HD86" s="479"/>
      <c r="HE86" s="479"/>
      <c r="HF86" s="479"/>
      <c r="HG86" s="479"/>
      <c r="HH86" s="479"/>
      <c r="HI86" s="479"/>
      <c r="HJ86" s="479"/>
      <c r="HK86" s="479"/>
      <c r="HL86" s="479"/>
      <c r="HM86" s="479"/>
      <c r="HN86" s="479"/>
      <c r="HO86" s="479"/>
      <c r="HP86" s="479"/>
      <c r="HQ86" s="479"/>
      <c r="HR86" s="479"/>
      <c r="HS86" s="479"/>
      <c r="HT86" s="479"/>
      <c r="HU86" s="479"/>
      <c r="HV86" s="479"/>
      <c r="HW86" s="479"/>
      <c r="HX86" s="479"/>
      <c r="HY86" s="479"/>
      <c r="HZ86" s="479"/>
      <c r="IA86" s="479"/>
      <c r="IB86" s="479"/>
      <c r="IC86" s="479"/>
      <c r="ID86" s="479"/>
      <c r="IE86" s="479"/>
      <c r="IF86" s="479"/>
      <c r="IG86" s="479"/>
      <c r="IH86" s="479"/>
      <c r="II86" s="479"/>
      <c r="IJ86" s="479"/>
      <c r="IK86" s="479"/>
      <c r="IL86" s="479"/>
      <c r="IM86" s="479"/>
      <c r="IN86" s="479"/>
      <c r="IO86" s="479"/>
      <c r="IP86" s="479"/>
      <c r="IQ86" s="479"/>
      <c r="IR86" s="479"/>
      <c r="IS86" s="479"/>
      <c r="IT86" s="479"/>
      <c r="IU86" s="479"/>
      <c r="IV86" s="479"/>
      <c r="IW86" s="479"/>
      <c r="IX86" s="479"/>
      <c r="IY86" s="479"/>
      <c r="IZ86" s="479"/>
      <c r="JA86" s="479"/>
      <c r="JB86" s="479"/>
      <c r="JC86" s="479"/>
      <c r="JD86" s="479"/>
      <c r="JE86" s="479"/>
      <c r="JF86" s="479"/>
      <c r="JG86" s="479"/>
      <c r="JH86" s="479"/>
      <c r="JI86" s="479"/>
      <c r="JJ86" s="479"/>
      <c r="JK86" s="479"/>
      <c r="JL86" s="479"/>
      <c r="JM86" s="479"/>
      <c r="JN86" s="479"/>
      <c r="JO86" s="479"/>
      <c r="JP86" s="479"/>
      <c r="JQ86" s="479"/>
      <c r="JR86" s="479"/>
      <c r="JS86" s="479"/>
      <c r="JT86" s="479"/>
      <c r="JU86" s="479"/>
      <c r="JV86" s="479"/>
      <c r="JW86" s="479"/>
      <c r="JX86" s="479"/>
      <c r="JY86" s="479"/>
      <c r="JZ86" s="479"/>
      <c r="KA86" s="479"/>
      <c r="KB86" s="479"/>
      <c r="KC86" s="479"/>
      <c r="KD86" s="479"/>
      <c r="KE86" s="479"/>
      <c r="KF86" s="479"/>
      <c r="KG86" s="479"/>
      <c r="KH86" s="479"/>
      <c r="KI86" s="479"/>
      <c r="KJ86" s="479"/>
      <c r="KK86" s="479"/>
      <c r="KL86" s="479"/>
      <c r="KM86" s="479"/>
      <c r="KN86" s="479"/>
      <c r="KO86" s="479"/>
      <c r="KP86" s="479"/>
      <c r="KQ86" s="479"/>
      <c r="KR86" s="479"/>
      <c r="KS86" s="479"/>
      <c r="KT86" s="479"/>
      <c r="KU86" s="479"/>
      <c r="KV86" s="479"/>
      <c r="KW86" s="479"/>
      <c r="KX86" s="479"/>
      <c r="KY86" s="479"/>
      <c r="KZ86" s="479"/>
      <c r="LA86" s="479"/>
      <c r="LB86" s="479"/>
      <c r="LC86" s="479"/>
      <c r="LD86" s="479"/>
      <c r="LE86" s="479"/>
      <c r="LF86" s="479"/>
      <c r="LG86" s="479"/>
      <c r="LH86" s="479"/>
      <c r="LI86" s="479"/>
      <c r="LJ86" s="479"/>
      <c r="LK86" s="479"/>
      <c r="LL86" s="479"/>
      <c r="LM86" s="479"/>
      <c r="LN86" s="479"/>
      <c r="LO86" s="479"/>
      <c r="LP86" s="479"/>
      <c r="LQ86" s="479"/>
      <c r="LR86" s="479"/>
      <c r="LS86" s="479"/>
      <c r="LT86" s="479"/>
      <c r="LU86" s="479"/>
      <c r="LV86" s="479"/>
      <c r="LW86" s="479"/>
      <c r="LX86" s="479"/>
      <c r="LY86" s="479"/>
      <c r="LZ86" s="479"/>
      <c r="MA86" s="479"/>
      <c r="MB86" s="479"/>
    </row>
    <row r="87" spans="1:340" ht="21" customHeight="1">
      <c r="A87" s="466"/>
      <c r="B87" s="2958"/>
      <c r="C87" s="2050"/>
      <c r="D87" s="1464"/>
      <c r="E87" s="1574" t="s">
        <v>557</v>
      </c>
      <c r="F87" s="1568">
        <f>Y87</f>
        <v>26500</v>
      </c>
      <c r="G87" s="1568">
        <v>26500</v>
      </c>
      <c r="H87" s="1561"/>
      <c r="I87" s="634"/>
      <c r="J87" s="1566" t="s">
        <v>224</v>
      </c>
      <c r="K87" s="1326"/>
      <c r="L87" s="1326"/>
      <c r="M87" s="1326"/>
      <c r="N87" s="608"/>
      <c r="O87" s="1326"/>
      <c r="P87" s="1326"/>
      <c r="Q87" s="1344"/>
      <c r="R87" s="1326"/>
      <c r="S87" s="608"/>
      <c r="T87" s="1326"/>
      <c r="U87" s="1326"/>
      <c r="V87" s="1326"/>
      <c r="W87" s="1326"/>
      <c r="X87" s="1559"/>
      <c r="Y87" s="490">
        <f>Z87/1000</f>
        <v>26500</v>
      </c>
      <c r="Z87" s="473">
        <f>SUM(Z88:Z90)</f>
        <v>26500000</v>
      </c>
      <c r="AA87" s="1560"/>
      <c r="AB87" s="669"/>
    </row>
    <row r="88" spans="1:340" ht="21" customHeight="1">
      <c r="A88" s="466"/>
      <c r="B88" s="2958"/>
      <c r="C88" s="2050"/>
      <c r="D88" s="2035"/>
      <c r="E88" s="564"/>
      <c r="F88" s="590"/>
      <c r="G88" s="590"/>
      <c r="H88" s="534"/>
      <c r="I88" s="634"/>
      <c r="J88" s="472" t="s">
        <v>558</v>
      </c>
      <c r="K88" s="473"/>
      <c r="L88" s="473"/>
      <c r="M88" s="473"/>
      <c r="N88" s="474"/>
      <c r="O88" s="473"/>
      <c r="P88" s="473"/>
      <c r="Q88" s="475"/>
      <c r="R88" s="473"/>
      <c r="S88" s="474">
        <v>12000000</v>
      </c>
      <c r="T88" s="473" t="s">
        <v>0</v>
      </c>
      <c r="U88" s="473"/>
      <c r="V88" s="473">
        <v>1</v>
      </c>
      <c r="W88" s="473" t="s">
        <v>226</v>
      </c>
      <c r="X88" s="542" t="s">
        <v>1</v>
      </c>
      <c r="Y88" s="483">
        <f>+Z88/1000</f>
        <v>12000</v>
      </c>
      <c r="Z88" s="473">
        <f>S88*V88</f>
        <v>12000000</v>
      </c>
      <c r="AA88" s="1560"/>
      <c r="AB88" s="669"/>
    </row>
    <row r="89" spans="1:340" ht="21" customHeight="1">
      <c r="A89" s="466"/>
      <c r="B89" s="2958"/>
      <c r="C89" s="2050"/>
      <c r="D89" s="2035"/>
      <c r="E89" s="564"/>
      <c r="F89" s="590"/>
      <c r="G89" s="590"/>
      <c r="H89" s="534"/>
      <c r="I89" s="634"/>
      <c r="J89" s="472" t="s">
        <v>559</v>
      </c>
      <c r="K89" s="473"/>
      <c r="L89" s="473"/>
      <c r="M89" s="473"/>
      <c r="N89" s="473"/>
      <c r="O89" s="473"/>
      <c r="P89" s="473"/>
      <c r="Q89" s="475"/>
      <c r="R89" s="473"/>
      <c r="S89" s="474">
        <v>750000</v>
      </c>
      <c r="T89" s="473" t="s">
        <v>0</v>
      </c>
      <c r="U89" s="473"/>
      <c r="V89" s="473">
        <v>10</v>
      </c>
      <c r="W89" s="473" t="s">
        <v>457</v>
      </c>
      <c r="X89" s="542" t="s">
        <v>38</v>
      </c>
      <c r="Y89" s="483">
        <f>+Z89/1000</f>
        <v>7500</v>
      </c>
      <c r="Z89" s="473">
        <f t="shared" ref="Z89:Z90" si="6">S89*V89</f>
        <v>7500000</v>
      </c>
      <c r="AA89" s="1560"/>
      <c r="AB89" s="669"/>
    </row>
    <row r="90" spans="1:340" ht="21" customHeight="1" thickBot="1">
      <c r="A90" s="466"/>
      <c r="B90" s="2958"/>
      <c r="C90" s="773"/>
      <c r="D90" s="637"/>
      <c r="E90" s="1575"/>
      <c r="F90" s="1576"/>
      <c r="G90" s="1576"/>
      <c r="H90" s="1577"/>
      <c r="I90" s="634"/>
      <c r="J90" s="639" t="s">
        <v>560</v>
      </c>
      <c r="K90" s="640"/>
      <c r="L90" s="640"/>
      <c r="M90" s="640"/>
      <c r="N90" s="641"/>
      <c r="O90" s="640"/>
      <c r="P90" s="640"/>
      <c r="Q90" s="642"/>
      <c r="R90" s="640"/>
      <c r="S90" s="641">
        <v>700000</v>
      </c>
      <c r="T90" s="640" t="s">
        <v>37</v>
      </c>
      <c r="U90" s="640"/>
      <c r="V90" s="640">
        <v>10</v>
      </c>
      <c r="W90" s="640" t="s">
        <v>457</v>
      </c>
      <c r="X90" s="1578" t="s">
        <v>38</v>
      </c>
      <c r="Y90" s="522">
        <f>+Z90/1000</f>
        <v>7000</v>
      </c>
      <c r="Z90" s="473">
        <f t="shared" si="6"/>
        <v>7000000</v>
      </c>
      <c r="AA90" s="1560"/>
      <c r="AB90" s="669"/>
    </row>
    <row r="91" spans="1:340" ht="21" customHeight="1" thickBot="1">
      <c r="A91" s="1579"/>
      <c r="B91" s="1580"/>
      <c r="C91" s="3914" t="s">
        <v>77</v>
      </c>
      <c r="D91" s="3900"/>
      <c r="E91" s="3901"/>
      <c r="F91" s="1581">
        <f>F92+F134+F220+F252+F284+F311+F338</f>
        <v>1196000</v>
      </c>
      <c r="G91" s="1581">
        <f>G92+G134+G220+G252+G284+G311+G338</f>
        <v>1196000</v>
      </c>
      <c r="H91" s="1582">
        <f>F91-G91</f>
        <v>0</v>
      </c>
      <c r="I91" s="2014"/>
      <c r="J91" s="1151"/>
      <c r="K91" s="1583"/>
      <c r="L91" s="1583"/>
      <c r="M91" s="1583"/>
      <c r="N91" s="1583"/>
      <c r="O91" s="1583"/>
      <c r="P91" s="1583"/>
      <c r="Q91" s="1584"/>
      <c r="R91" s="1583"/>
      <c r="S91" s="1583"/>
      <c r="T91" s="1583"/>
      <c r="U91" s="1583"/>
      <c r="V91" s="1583"/>
      <c r="W91" s="1583"/>
      <c r="X91" s="2087"/>
      <c r="Y91" s="1585"/>
      <c r="Z91" s="1664">
        <f>F91*1000</f>
        <v>1196000000</v>
      </c>
      <c r="AB91" s="669"/>
    </row>
    <row r="92" spans="1:340" ht="21" customHeight="1">
      <c r="A92" s="636"/>
      <c r="B92" s="2035"/>
      <c r="C92" s="1586" t="s">
        <v>78</v>
      </c>
      <c r="D92" s="2938"/>
      <c r="E92" s="2939"/>
      <c r="F92" s="1587">
        <f>+F93+F112</f>
        <v>510000</v>
      </c>
      <c r="G92" s="1587">
        <f>+G93+G112</f>
        <v>510000</v>
      </c>
      <c r="H92" s="2021">
        <f>F92-G92</f>
        <v>0</v>
      </c>
      <c r="I92" s="2014"/>
      <c r="J92" s="2017"/>
      <c r="K92" s="2065"/>
      <c r="L92" s="2065"/>
      <c r="M92" s="2065"/>
      <c r="N92" s="2065"/>
      <c r="O92" s="2065"/>
      <c r="P92" s="2018"/>
      <c r="Q92" s="2065"/>
      <c r="R92" s="2065"/>
      <c r="S92" s="2018"/>
      <c r="T92" s="2065"/>
      <c r="U92" s="2065"/>
      <c r="V92" s="2018"/>
      <c r="W92" s="2065"/>
      <c r="X92" s="2053"/>
      <c r="Y92" s="2054"/>
      <c r="Z92" s="2016">
        <f>F92*1000</f>
        <v>510000000</v>
      </c>
      <c r="AB92" s="669"/>
    </row>
    <row r="93" spans="1:340" ht="21" customHeight="1">
      <c r="A93" s="636"/>
      <c r="B93" s="2035"/>
      <c r="C93" s="1319"/>
      <c r="D93" s="3939" t="s">
        <v>79</v>
      </c>
      <c r="E93" s="3838"/>
      <c r="F93" s="1253">
        <f>SUM(F94:F111)</f>
        <v>120000</v>
      </c>
      <c r="G93" s="1253">
        <f>SUM(G94:G111)</f>
        <v>120000</v>
      </c>
      <c r="H93" s="2021">
        <f>F93-G93</f>
        <v>0</v>
      </c>
      <c r="I93" s="2014"/>
      <c r="J93" s="665"/>
      <c r="K93" s="2101"/>
      <c r="L93" s="2101"/>
      <c r="M93" s="2101"/>
      <c r="N93" s="2101"/>
      <c r="O93" s="2101"/>
      <c r="P93" s="645"/>
      <c r="Q93" s="2101"/>
      <c r="R93" s="2101"/>
      <c r="S93" s="645"/>
      <c r="T93" s="2101"/>
      <c r="U93" s="2101"/>
      <c r="V93" s="645"/>
      <c r="W93" s="2101"/>
      <c r="X93" s="666"/>
      <c r="Y93" s="667"/>
      <c r="Z93" s="2016">
        <f>F93*1000</f>
        <v>120000000</v>
      </c>
      <c r="AB93" s="669"/>
    </row>
    <row r="94" spans="1:340" ht="21" customHeight="1">
      <c r="A94" s="636"/>
      <c r="B94" s="2035"/>
      <c r="C94" s="2013"/>
      <c r="D94" s="467"/>
      <c r="E94" s="851" t="s">
        <v>81</v>
      </c>
      <c r="F94" s="864">
        <f>+Y94</f>
        <v>14000</v>
      </c>
      <c r="G94" s="864">
        <v>14000</v>
      </c>
      <c r="H94" s="790"/>
      <c r="I94" s="2060"/>
      <c r="J94" s="866" t="s">
        <v>4105</v>
      </c>
      <c r="K94" s="3163"/>
      <c r="L94" s="3163"/>
      <c r="M94" s="3163"/>
      <c r="N94" s="3164"/>
      <c r="O94" s="3163"/>
      <c r="P94" s="3163"/>
      <c r="Q94" s="869"/>
      <c r="R94" s="3163"/>
      <c r="S94" s="3164">
        <v>2000000</v>
      </c>
      <c r="T94" s="3163" t="s">
        <v>0</v>
      </c>
      <c r="U94" s="3163"/>
      <c r="V94" s="3163">
        <v>7</v>
      </c>
      <c r="W94" s="3163" t="s">
        <v>4928</v>
      </c>
      <c r="X94" s="3165" t="s">
        <v>1</v>
      </c>
      <c r="Y94" s="871">
        <f>+S94*V94/1000</f>
        <v>14000</v>
      </c>
      <c r="Z94" s="1405">
        <v>6000000</v>
      </c>
      <c r="AB94" s="669"/>
    </row>
    <row r="95" spans="1:340" ht="21" customHeight="1">
      <c r="A95" s="636"/>
      <c r="B95" s="2035"/>
      <c r="C95" s="2013"/>
      <c r="D95" s="467"/>
      <c r="E95" s="851" t="s">
        <v>80</v>
      </c>
      <c r="F95" s="864">
        <f>+Y95</f>
        <v>6000</v>
      </c>
      <c r="G95" s="864">
        <v>6000</v>
      </c>
      <c r="H95" s="1022"/>
      <c r="I95" s="2060"/>
      <c r="J95" s="681" t="s">
        <v>8</v>
      </c>
      <c r="K95" s="3302"/>
      <c r="L95" s="3163"/>
      <c r="M95" s="3163"/>
      <c r="N95" s="3164"/>
      <c r="O95" s="3163"/>
      <c r="P95" s="3163"/>
      <c r="Q95" s="869"/>
      <c r="R95" s="3163"/>
      <c r="S95" s="3164"/>
      <c r="T95" s="3163"/>
      <c r="U95" s="3163"/>
      <c r="V95" s="3163"/>
      <c r="W95" s="3163"/>
      <c r="X95" s="3165"/>
      <c r="Y95" s="871">
        <f>SUM(Y96:Y98)</f>
        <v>6000</v>
      </c>
      <c r="Z95" s="1405">
        <v>4000000</v>
      </c>
      <c r="AB95" s="669"/>
    </row>
    <row r="96" spans="1:340" ht="21" customHeight="1">
      <c r="A96" s="636"/>
      <c r="B96" s="2035"/>
      <c r="C96" s="2013"/>
      <c r="D96" s="467"/>
      <c r="E96" s="851"/>
      <c r="F96" s="864"/>
      <c r="G96" s="864"/>
      <c r="H96" s="1022"/>
      <c r="I96" s="2060"/>
      <c r="J96" s="866" t="s">
        <v>4929</v>
      </c>
      <c r="K96" s="3163"/>
      <c r="L96" s="3163"/>
      <c r="M96" s="3163"/>
      <c r="N96" s="3164"/>
      <c r="O96" s="3163"/>
      <c r="P96" s="3163"/>
      <c r="Q96" s="869"/>
      <c r="R96" s="3163"/>
      <c r="S96" s="3164">
        <v>250000</v>
      </c>
      <c r="T96" s="3163" t="s">
        <v>0</v>
      </c>
      <c r="U96" s="3163"/>
      <c r="V96" s="3163">
        <v>4</v>
      </c>
      <c r="W96" s="3163" t="s">
        <v>3</v>
      </c>
      <c r="X96" s="3165" t="s">
        <v>1</v>
      </c>
      <c r="Y96" s="871">
        <f t="shared" ref="Y96:Y102" si="7">+S96*V96/1000</f>
        <v>1000</v>
      </c>
      <c r="Z96" s="1405">
        <v>1000000</v>
      </c>
      <c r="AB96" s="669"/>
    </row>
    <row r="97" spans="1:28" ht="21" customHeight="1">
      <c r="A97" s="636"/>
      <c r="B97" s="2035"/>
      <c r="C97" s="2013"/>
      <c r="D97" s="467"/>
      <c r="E97" s="851"/>
      <c r="F97" s="864"/>
      <c r="G97" s="864"/>
      <c r="H97" s="1022"/>
      <c r="I97" s="2060"/>
      <c r="J97" s="866" t="s">
        <v>4930</v>
      </c>
      <c r="K97" s="3163"/>
      <c r="L97" s="3163"/>
      <c r="M97" s="3163"/>
      <c r="N97" s="3164"/>
      <c r="O97" s="3163"/>
      <c r="P97" s="3163"/>
      <c r="Q97" s="869"/>
      <c r="R97" s="3163"/>
      <c r="S97" s="3164">
        <v>800000</v>
      </c>
      <c r="T97" s="3163" t="s">
        <v>0</v>
      </c>
      <c r="U97" s="3163"/>
      <c r="V97" s="3163">
        <v>5</v>
      </c>
      <c r="W97" s="3163" t="s">
        <v>3</v>
      </c>
      <c r="X97" s="3165" t="s">
        <v>1</v>
      </c>
      <c r="Y97" s="871">
        <f t="shared" si="7"/>
        <v>4000</v>
      </c>
      <c r="Z97" s="1405">
        <v>2000000</v>
      </c>
      <c r="AB97" s="669"/>
    </row>
    <row r="98" spans="1:28" ht="21" customHeight="1">
      <c r="A98" s="636"/>
      <c r="B98" s="2035"/>
      <c r="C98" s="2013"/>
      <c r="D98" s="467"/>
      <c r="E98" s="851"/>
      <c r="F98" s="864"/>
      <c r="G98" s="864"/>
      <c r="H98" s="1022"/>
      <c r="I98" s="2060"/>
      <c r="J98" s="866" t="s">
        <v>4931</v>
      </c>
      <c r="K98" s="3163"/>
      <c r="L98" s="3163"/>
      <c r="M98" s="3163"/>
      <c r="N98" s="3164"/>
      <c r="O98" s="3163"/>
      <c r="P98" s="3163"/>
      <c r="Q98" s="869"/>
      <c r="R98" s="3163"/>
      <c r="S98" s="3164">
        <v>1000000</v>
      </c>
      <c r="T98" s="3163" t="s">
        <v>0</v>
      </c>
      <c r="U98" s="3163"/>
      <c r="V98" s="3163">
        <v>1</v>
      </c>
      <c r="W98" s="3163" t="s">
        <v>64</v>
      </c>
      <c r="X98" s="3165" t="s">
        <v>1</v>
      </c>
      <c r="Y98" s="871">
        <f t="shared" si="7"/>
        <v>1000</v>
      </c>
      <c r="Z98" s="1405">
        <v>1000000</v>
      </c>
      <c r="AB98" s="669"/>
    </row>
    <row r="99" spans="1:28" ht="21" customHeight="1">
      <c r="A99" s="636"/>
      <c r="B99" s="2035"/>
      <c r="C99" s="624"/>
      <c r="D99" s="2038"/>
      <c r="E99" s="851" t="s">
        <v>82</v>
      </c>
      <c r="F99" s="864">
        <f>+Y99</f>
        <v>13000</v>
      </c>
      <c r="G99" s="989">
        <v>13000</v>
      </c>
      <c r="H99" s="1022"/>
      <c r="I99" s="2060"/>
      <c r="J99" s="866" t="s">
        <v>5738</v>
      </c>
      <c r="K99" s="3163"/>
      <c r="L99" s="3163"/>
      <c r="M99" s="3163"/>
      <c r="N99" s="3164"/>
      <c r="O99" s="3163"/>
      <c r="P99" s="3163"/>
      <c r="Q99" s="869"/>
      <c r="R99" s="3163"/>
      <c r="S99" s="684">
        <v>325000</v>
      </c>
      <c r="T99" s="684" t="s">
        <v>0</v>
      </c>
      <c r="U99" s="3525"/>
      <c r="V99" s="684">
        <v>40</v>
      </c>
      <c r="W99" s="684" t="s">
        <v>3</v>
      </c>
      <c r="X99" s="686" t="s">
        <v>1</v>
      </c>
      <c r="Y99" s="871">
        <f t="shared" si="7"/>
        <v>13000</v>
      </c>
      <c r="Z99" s="2454">
        <v>6000000</v>
      </c>
      <c r="AB99" s="669"/>
    </row>
    <row r="100" spans="1:28" ht="21" customHeight="1">
      <c r="A100" s="636"/>
      <c r="B100" s="2035"/>
      <c r="C100" s="2013"/>
      <c r="D100" s="467"/>
      <c r="E100" s="851"/>
      <c r="F100" s="864"/>
      <c r="G100" s="864"/>
      <c r="H100" s="865"/>
      <c r="I100" s="2060"/>
      <c r="J100" s="3845" t="s">
        <v>4932</v>
      </c>
      <c r="K100" s="3846"/>
      <c r="L100" s="3846"/>
      <c r="M100" s="3846"/>
      <c r="N100" s="3164"/>
      <c r="O100" s="3163"/>
      <c r="P100" s="3163"/>
      <c r="Q100" s="869"/>
      <c r="R100" s="3163"/>
      <c r="S100" s="3164">
        <v>2200000</v>
      </c>
      <c r="T100" s="3163" t="s">
        <v>0</v>
      </c>
      <c r="U100" s="3163"/>
      <c r="V100" s="3163">
        <v>2</v>
      </c>
      <c r="W100" s="3163" t="s">
        <v>3</v>
      </c>
      <c r="X100" s="3165" t="s">
        <v>1</v>
      </c>
      <c r="Y100" s="871">
        <f t="shared" si="7"/>
        <v>4400</v>
      </c>
      <c r="Z100" s="1405">
        <v>4400000</v>
      </c>
      <c r="AB100" s="669"/>
    </row>
    <row r="101" spans="1:28" ht="21" customHeight="1">
      <c r="A101" s="636"/>
      <c r="B101" s="2035"/>
      <c r="C101" s="2013"/>
      <c r="D101" s="467"/>
      <c r="E101" s="851"/>
      <c r="F101" s="864"/>
      <c r="G101" s="864"/>
      <c r="H101" s="865"/>
      <c r="I101" s="2060"/>
      <c r="J101" s="866" t="s">
        <v>4933</v>
      </c>
      <c r="K101" s="3163"/>
      <c r="L101" s="3163"/>
      <c r="M101" s="3163"/>
      <c r="N101" s="3164"/>
      <c r="O101" s="3163"/>
      <c r="P101" s="3163"/>
      <c r="Q101" s="869"/>
      <c r="R101" s="3163"/>
      <c r="S101" s="3164">
        <v>800000</v>
      </c>
      <c r="T101" s="3163" t="s">
        <v>0</v>
      </c>
      <c r="U101" s="3163"/>
      <c r="V101" s="3163">
        <v>4</v>
      </c>
      <c r="W101" s="3163" t="s">
        <v>3</v>
      </c>
      <c r="X101" s="3165" t="s">
        <v>1</v>
      </c>
      <c r="Y101" s="871">
        <f t="shared" si="7"/>
        <v>3200</v>
      </c>
      <c r="Z101" s="1405">
        <v>4000000</v>
      </c>
      <c r="AB101" s="669"/>
    </row>
    <row r="102" spans="1:28" ht="21" customHeight="1">
      <c r="A102" s="636"/>
      <c r="B102" s="2035"/>
      <c r="C102" s="2013"/>
      <c r="D102" s="467"/>
      <c r="E102" s="851"/>
      <c r="F102" s="864"/>
      <c r="G102" s="864"/>
      <c r="H102" s="865"/>
      <c r="I102" s="2060"/>
      <c r="J102" s="866" t="s">
        <v>4934</v>
      </c>
      <c r="K102" s="3163"/>
      <c r="L102" s="3163"/>
      <c r="M102" s="3163"/>
      <c r="N102" s="3164"/>
      <c r="O102" s="3163"/>
      <c r="P102" s="3163"/>
      <c r="Q102" s="869"/>
      <c r="R102" s="3163"/>
      <c r="S102" s="3164">
        <v>300000</v>
      </c>
      <c r="T102" s="3163" t="s">
        <v>0</v>
      </c>
      <c r="U102" s="3163"/>
      <c r="V102" s="3163">
        <v>12</v>
      </c>
      <c r="W102" s="3163" t="s">
        <v>2</v>
      </c>
      <c r="X102" s="3165" t="s">
        <v>1</v>
      </c>
      <c r="Y102" s="871">
        <f t="shared" si="7"/>
        <v>3600</v>
      </c>
      <c r="Z102" s="1405">
        <v>3600000</v>
      </c>
      <c r="AB102" s="669"/>
    </row>
    <row r="103" spans="1:28" ht="21" customHeight="1">
      <c r="A103" s="636"/>
      <c r="B103" s="2035"/>
      <c r="C103" s="624"/>
      <c r="D103" s="2038"/>
      <c r="E103" s="851" t="s">
        <v>83</v>
      </c>
      <c r="F103" s="864">
        <f>+Y103</f>
        <v>27000</v>
      </c>
      <c r="G103" s="989">
        <v>27000</v>
      </c>
      <c r="H103" s="1022"/>
      <c r="I103" s="2060"/>
      <c r="J103" s="681" t="s">
        <v>8</v>
      </c>
      <c r="K103" s="3302"/>
      <c r="L103" s="3163"/>
      <c r="M103" s="3163"/>
      <c r="N103" s="3164"/>
      <c r="O103" s="3163"/>
      <c r="P103" s="3163"/>
      <c r="Q103" s="869"/>
      <c r="R103" s="3163"/>
      <c r="S103" s="3164"/>
      <c r="T103" s="3163"/>
      <c r="U103" s="3163"/>
      <c r="V103" s="3163"/>
      <c r="W103" s="3163"/>
      <c r="X103" s="3165"/>
      <c r="Y103" s="871">
        <f>SUM(Y104:Y107)</f>
        <v>27000</v>
      </c>
      <c r="Z103" s="1405">
        <v>7000000</v>
      </c>
      <c r="AB103" s="669"/>
    </row>
    <row r="104" spans="1:28" ht="21" customHeight="1">
      <c r="A104" s="636"/>
      <c r="B104" s="2035"/>
      <c r="C104" s="624"/>
      <c r="D104" s="2038"/>
      <c r="E104" s="677"/>
      <c r="F104" s="989"/>
      <c r="G104" s="989"/>
      <c r="H104" s="1022"/>
      <c r="I104" s="2060"/>
      <c r="J104" s="866" t="s">
        <v>4935</v>
      </c>
      <c r="K104" s="3163"/>
      <c r="L104" s="3163"/>
      <c r="M104" s="3163"/>
      <c r="N104" s="3164"/>
      <c r="O104" s="3163"/>
      <c r="P104" s="3163"/>
      <c r="Q104" s="869"/>
      <c r="R104" s="3163"/>
      <c r="S104" s="3164">
        <v>3000000</v>
      </c>
      <c r="T104" s="3163" t="s">
        <v>0</v>
      </c>
      <c r="U104" s="3163"/>
      <c r="V104" s="3163">
        <v>1</v>
      </c>
      <c r="W104" s="3163" t="s">
        <v>30</v>
      </c>
      <c r="X104" s="3165" t="s">
        <v>1</v>
      </c>
      <c r="Y104" s="871">
        <f>+S104*V104/1000</f>
        <v>3000</v>
      </c>
      <c r="Z104" s="2454">
        <v>3000000</v>
      </c>
      <c r="AB104" s="669"/>
    </row>
    <row r="105" spans="1:28" ht="21" customHeight="1">
      <c r="A105" s="636"/>
      <c r="B105" s="2035"/>
      <c r="C105" s="624"/>
      <c r="D105" s="2038"/>
      <c r="E105" s="677"/>
      <c r="F105" s="989"/>
      <c r="G105" s="989"/>
      <c r="H105" s="1022"/>
      <c r="I105" s="2060"/>
      <c r="J105" s="866" t="s">
        <v>4936</v>
      </c>
      <c r="K105" s="3163"/>
      <c r="L105" s="3163"/>
      <c r="M105" s="3163"/>
      <c r="N105" s="3164"/>
      <c r="O105" s="3163"/>
      <c r="P105" s="3163"/>
      <c r="Q105" s="869"/>
      <c r="R105" s="3163"/>
      <c r="S105" s="3164">
        <v>2000000</v>
      </c>
      <c r="T105" s="3163" t="s">
        <v>0</v>
      </c>
      <c r="U105" s="3163"/>
      <c r="V105" s="3163">
        <v>1</v>
      </c>
      <c r="W105" s="3163" t="s">
        <v>30</v>
      </c>
      <c r="X105" s="3165" t="s">
        <v>1</v>
      </c>
      <c r="Y105" s="871">
        <f>+S105*V105/1000</f>
        <v>2000</v>
      </c>
      <c r="Z105" s="2454">
        <v>2000000</v>
      </c>
      <c r="AB105" s="669"/>
    </row>
    <row r="106" spans="1:28" ht="21" customHeight="1">
      <c r="A106" s="636"/>
      <c r="B106" s="2035"/>
      <c r="C106" s="624"/>
      <c r="D106" s="467"/>
      <c r="E106" s="851"/>
      <c r="F106" s="864"/>
      <c r="G106" s="864"/>
      <c r="H106" s="1022"/>
      <c r="I106" s="2060"/>
      <c r="J106" s="866" t="s">
        <v>4937</v>
      </c>
      <c r="K106" s="3163"/>
      <c r="L106" s="3163"/>
      <c r="M106" s="3163"/>
      <c r="N106" s="3164"/>
      <c r="O106" s="3163"/>
      <c r="P106" s="3163"/>
      <c r="Q106" s="869"/>
      <c r="R106" s="3163"/>
      <c r="S106" s="3164">
        <v>1000000</v>
      </c>
      <c r="T106" s="3163" t="s">
        <v>0</v>
      </c>
      <c r="U106" s="3163"/>
      <c r="V106" s="3163">
        <v>2</v>
      </c>
      <c r="W106" s="3163" t="s">
        <v>30</v>
      </c>
      <c r="X106" s="3165" t="s">
        <v>1</v>
      </c>
      <c r="Y106" s="871">
        <f>+S106*V106/1000</f>
        <v>2000</v>
      </c>
      <c r="Z106" s="2454">
        <v>2000000</v>
      </c>
      <c r="AB106" s="669"/>
    </row>
    <row r="107" spans="1:28" ht="21" customHeight="1">
      <c r="A107" s="636"/>
      <c r="B107" s="2035"/>
      <c r="C107" s="624"/>
      <c r="D107" s="467"/>
      <c r="E107" s="851"/>
      <c r="F107" s="864"/>
      <c r="G107" s="864"/>
      <c r="H107" s="1022"/>
      <c r="I107" s="2060"/>
      <c r="J107" s="866" t="s">
        <v>4938</v>
      </c>
      <c r="K107" s="3163"/>
      <c r="L107" s="3163"/>
      <c r="M107" s="3163"/>
      <c r="N107" s="3164"/>
      <c r="O107" s="3163"/>
      <c r="P107" s="3163"/>
      <c r="Q107" s="869"/>
      <c r="R107" s="3163"/>
      <c r="S107" s="3164">
        <v>20000000</v>
      </c>
      <c r="T107" s="3163" t="s">
        <v>0</v>
      </c>
      <c r="U107" s="3163"/>
      <c r="V107" s="3163">
        <v>1</v>
      </c>
      <c r="W107" s="3163" t="s">
        <v>4939</v>
      </c>
      <c r="X107" s="3165" t="s">
        <v>1</v>
      </c>
      <c r="Y107" s="871">
        <f>+S107*V107/1000</f>
        <v>20000</v>
      </c>
      <c r="Z107" s="2454">
        <v>2000000</v>
      </c>
      <c r="AB107" s="669"/>
    </row>
    <row r="108" spans="1:28" ht="21" customHeight="1">
      <c r="A108" s="636"/>
      <c r="B108" s="2035"/>
      <c r="C108" s="624"/>
      <c r="D108" s="2038"/>
      <c r="E108" s="677" t="s">
        <v>71</v>
      </c>
      <c r="F108" s="989">
        <f>+Y108</f>
        <v>60000</v>
      </c>
      <c r="G108" s="989">
        <v>60000</v>
      </c>
      <c r="H108" s="790"/>
      <c r="I108" s="2060"/>
      <c r="J108" s="681" t="s">
        <v>8</v>
      </c>
      <c r="K108" s="3302"/>
      <c r="L108" s="3302"/>
      <c r="M108" s="3302"/>
      <c r="N108" s="3302"/>
      <c r="O108" s="3302"/>
      <c r="P108" s="3303"/>
      <c r="Q108" s="3303"/>
      <c r="R108" s="684"/>
      <c r="S108" s="684"/>
      <c r="T108" s="684"/>
      <c r="U108" s="3303"/>
      <c r="V108" s="684"/>
      <c r="W108" s="684"/>
      <c r="X108" s="686"/>
      <c r="Y108" s="871">
        <f>SUM(Y109:Y111)</f>
        <v>60000</v>
      </c>
      <c r="Z108" s="2454">
        <v>6000000</v>
      </c>
      <c r="AB108" s="669"/>
    </row>
    <row r="109" spans="1:28" ht="21" customHeight="1">
      <c r="A109" s="636"/>
      <c r="B109" s="2035"/>
      <c r="C109" s="624"/>
      <c r="D109" s="2038"/>
      <c r="E109" s="677"/>
      <c r="F109" s="989"/>
      <c r="G109" s="989"/>
      <c r="H109" s="1022"/>
      <c r="I109" s="2060"/>
      <c r="J109" s="681" t="s">
        <v>4940</v>
      </c>
      <c r="K109" s="3302"/>
      <c r="L109" s="3302"/>
      <c r="M109" s="3302"/>
      <c r="N109" s="3302"/>
      <c r="O109" s="3302"/>
      <c r="P109" s="3303"/>
      <c r="Q109" s="684"/>
      <c r="R109" s="3304"/>
      <c r="S109" s="684">
        <v>5000000</v>
      </c>
      <c r="T109" s="684" t="s">
        <v>0</v>
      </c>
      <c r="U109" s="3303"/>
      <c r="V109" s="684">
        <v>2</v>
      </c>
      <c r="W109" s="684" t="s">
        <v>3</v>
      </c>
      <c r="X109" s="686" t="s">
        <v>1</v>
      </c>
      <c r="Y109" s="871">
        <f>+S109*V109/1000</f>
        <v>10000</v>
      </c>
      <c r="Z109" s="2454">
        <v>6000000</v>
      </c>
      <c r="AB109" s="669"/>
    </row>
    <row r="110" spans="1:28" ht="21" customHeight="1">
      <c r="A110" s="636"/>
      <c r="B110" s="2035"/>
      <c r="C110" s="624"/>
      <c r="D110" s="2038"/>
      <c r="E110" s="677"/>
      <c r="F110" s="989"/>
      <c r="G110" s="989"/>
      <c r="H110" s="1022"/>
      <c r="I110" s="2060"/>
      <c r="J110" s="3952" t="s">
        <v>4941</v>
      </c>
      <c r="K110" s="3953"/>
      <c r="L110" s="3953"/>
      <c r="M110" s="3953"/>
      <c r="N110" s="3953"/>
      <c r="O110" s="3302"/>
      <c r="P110" s="3303"/>
      <c r="Q110" s="684"/>
      <c r="R110" s="3304"/>
      <c r="S110" s="684">
        <v>10000000</v>
      </c>
      <c r="T110" s="684" t="s">
        <v>0</v>
      </c>
      <c r="U110" s="3303"/>
      <c r="V110" s="684">
        <v>2</v>
      </c>
      <c r="W110" s="684" t="s">
        <v>3</v>
      </c>
      <c r="X110" s="686" t="s">
        <v>1</v>
      </c>
      <c r="Y110" s="871">
        <f>+S110*V110/1000</f>
        <v>20000</v>
      </c>
      <c r="Z110" s="2454">
        <v>20000000</v>
      </c>
      <c r="AB110" s="669"/>
    </row>
    <row r="111" spans="1:28" ht="21" customHeight="1">
      <c r="A111" s="636"/>
      <c r="B111" s="2035"/>
      <c r="C111" s="624"/>
      <c r="D111" s="2038"/>
      <c r="E111" s="677"/>
      <c r="F111" s="989"/>
      <c r="G111" s="989"/>
      <c r="H111" s="1022"/>
      <c r="I111" s="2060"/>
      <c r="J111" s="3952" t="s">
        <v>4942</v>
      </c>
      <c r="K111" s="3953"/>
      <c r="L111" s="3953"/>
      <c r="M111" s="3953"/>
      <c r="N111" s="3953"/>
      <c r="O111" s="3302"/>
      <c r="P111" s="3303"/>
      <c r="Q111" s="684"/>
      <c r="R111" s="3304"/>
      <c r="S111" s="684">
        <v>30000000</v>
      </c>
      <c r="T111" s="684" t="s">
        <v>0</v>
      </c>
      <c r="U111" s="3303"/>
      <c r="V111" s="684">
        <v>1</v>
      </c>
      <c r="W111" s="684" t="s">
        <v>4939</v>
      </c>
      <c r="X111" s="686" t="s">
        <v>1</v>
      </c>
      <c r="Y111" s="871">
        <f>+S111*V111/1000</f>
        <v>30000</v>
      </c>
      <c r="Z111" s="2454">
        <v>30000000</v>
      </c>
      <c r="AB111" s="669"/>
    </row>
    <row r="112" spans="1:28" ht="21" customHeight="1">
      <c r="A112" s="636"/>
      <c r="B112" s="2035"/>
      <c r="C112" s="624"/>
      <c r="D112" s="4004" t="s">
        <v>84</v>
      </c>
      <c r="E112" s="4004"/>
      <c r="F112" s="1730">
        <f>SUM(F113:F133)</f>
        <v>390000</v>
      </c>
      <c r="G112" s="1730">
        <f>SUM(G113:G133)</f>
        <v>390000</v>
      </c>
      <c r="H112" s="933">
        <f>F112-G112</f>
        <v>0</v>
      </c>
      <c r="I112" s="2060"/>
      <c r="J112" s="1074"/>
      <c r="K112" s="3623"/>
      <c r="L112" s="3623"/>
      <c r="M112" s="3623"/>
      <c r="N112" s="3623"/>
      <c r="O112" s="3623"/>
      <c r="P112" s="1075"/>
      <c r="Q112" s="3623"/>
      <c r="R112" s="3623"/>
      <c r="S112" s="1075"/>
      <c r="T112" s="3623"/>
      <c r="U112" s="3623"/>
      <c r="V112" s="1075"/>
      <c r="W112" s="3623"/>
      <c r="X112" s="1260"/>
      <c r="Y112" s="940"/>
      <c r="Z112" s="736">
        <f>F112*1000</f>
        <v>390000000</v>
      </c>
      <c r="AB112" s="669"/>
    </row>
    <row r="113" spans="1:28" ht="21" customHeight="1">
      <c r="A113" s="636"/>
      <c r="B113" s="2035"/>
      <c r="C113" s="624"/>
      <c r="D113" s="1126"/>
      <c r="E113" s="677" t="s">
        <v>81</v>
      </c>
      <c r="F113" s="989">
        <f>+Y113</f>
        <v>10177</v>
      </c>
      <c r="G113" s="989">
        <v>12000</v>
      </c>
      <c r="H113" s="865">
        <f>F113-G113</f>
        <v>-1823</v>
      </c>
      <c r="I113" s="2060"/>
      <c r="J113" s="681" t="s">
        <v>5904</v>
      </c>
      <c r="K113" s="3620"/>
      <c r="L113" s="3620"/>
      <c r="M113" s="3620"/>
      <c r="N113" s="3625"/>
      <c r="O113" s="3625"/>
      <c r="P113" s="3625"/>
      <c r="Q113" s="684">
        <v>5</v>
      </c>
      <c r="R113" s="3624" t="s">
        <v>47</v>
      </c>
      <c r="S113" s="684">
        <v>2035400</v>
      </c>
      <c r="T113" s="684" t="s">
        <v>0</v>
      </c>
      <c r="U113" s="3625"/>
      <c r="V113" s="684">
        <v>1</v>
      </c>
      <c r="W113" s="684" t="s">
        <v>28</v>
      </c>
      <c r="X113" s="686" t="s">
        <v>1</v>
      </c>
      <c r="Y113" s="871">
        <f>+Q113*S113*V113/1000</f>
        <v>10177</v>
      </c>
      <c r="Z113" s="736">
        <v>6000000</v>
      </c>
      <c r="AB113" s="669"/>
    </row>
    <row r="114" spans="1:28" ht="21" customHeight="1">
      <c r="A114" s="636"/>
      <c r="B114" s="2035"/>
      <c r="C114" s="624"/>
      <c r="D114" s="729"/>
      <c r="E114" s="677" t="s">
        <v>57</v>
      </c>
      <c r="F114" s="989">
        <f>+Y114</f>
        <v>48469</v>
      </c>
      <c r="G114" s="989">
        <v>40000</v>
      </c>
      <c r="H114" s="865">
        <f>F114-G114</f>
        <v>8469</v>
      </c>
      <c r="I114" s="2060"/>
      <c r="J114" s="681" t="s">
        <v>5905</v>
      </c>
      <c r="K114" s="3620"/>
      <c r="L114" s="3620"/>
      <c r="M114" s="3620"/>
      <c r="N114" s="3625"/>
      <c r="O114" s="3625"/>
      <c r="P114" s="3625"/>
      <c r="Q114" s="684"/>
      <c r="R114" s="3624"/>
      <c r="S114" s="684"/>
      <c r="T114" s="684"/>
      <c r="U114" s="3625"/>
      <c r="V114" s="684"/>
      <c r="W114" s="684"/>
      <c r="X114" s="686"/>
      <c r="Y114" s="871">
        <f>+Y115+Y116</f>
        <v>48469</v>
      </c>
      <c r="Z114" s="736">
        <v>45000000</v>
      </c>
      <c r="AB114" s="669"/>
    </row>
    <row r="115" spans="1:28" ht="21.75" customHeight="1">
      <c r="A115" s="636"/>
      <c r="B115" s="2035"/>
      <c r="C115" s="624"/>
      <c r="D115" s="729"/>
      <c r="E115" s="677"/>
      <c r="F115" s="989"/>
      <c r="G115" s="989"/>
      <c r="H115" s="1022"/>
      <c r="I115" s="2060"/>
      <c r="J115" s="681" t="s">
        <v>5906</v>
      </c>
      <c r="K115" s="3620"/>
      <c r="L115" s="3620"/>
      <c r="M115" s="3620"/>
      <c r="N115" s="3625"/>
      <c r="O115" s="3625"/>
      <c r="P115" s="3625"/>
      <c r="Q115" s="684">
        <v>1</v>
      </c>
      <c r="R115" s="3624" t="s">
        <v>31</v>
      </c>
      <c r="S115" s="684">
        <v>20000</v>
      </c>
      <c r="T115" s="684" t="s">
        <v>0</v>
      </c>
      <c r="U115" s="3625"/>
      <c r="V115" s="684">
        <v>1000</v>
      </c>
      <c r="W115" s="684" t="s">
        <v>69</v>
      </c>
      <c r="X115" s="686" t="s">
        <v>1</v>
      </c>
      <c r="Y115" s="871">
        <f>+Q115*S115*V115/1000</f>
        <v>20000</v>
      </c>
      <c r="Z115" s="736">
        <v>20000000</v>
      </c>
      <c r="AB115" s="669"/>
    </row>
    <row r="116" spans="1:28" ht="21.75" customHeight="1">
      <c r="A116" s="636"/>
      <c r="B116" s="2035"/>
      <c r="C116" s="624"/>
      <c r="D116" s="729"/>
      <c r="E116" s="677"/>
      <c r="F116" s="989"/>
      <c r="G116" s="989"/>
      <c r="H116" s="1022"/>
      <c r="I116" s="2060"/>
      <c r="J116" s="681" t="s">
        <v>5907</v>
      </c>
      <c r="K116" s="3620"/>
      <c r="L116" s="3620"/>
      <c r="M116" s="3620"/>
      <c r="N116" s="3625"/>
      <c r="O116" s="3625"/>
      <c r="P116" s="3625"/>
      <c r="Q116" s="684">
        <v>2</v>
      </c>
      <c r="R116" s="3624" t="s">
        <v>31</v>
      </c>
      <c r="S116" s="684">
        <v>14234500</v>
      </c>
      <c r="T116" s="684" t="s">
        <v>0</v>
      </c>
      <c r="U116" s="3625"/>
      <c r="V116" s="684">
        <v>1</v>
      </c>
      <c r="W116" s="684" t="s">
        <v>6</v>
      </c>
      <c r="X116" s="686" t="s">
        <v>1</v>
      </c>
      <c r="Y116" s="871">
        <f>+Q116*S116*V116/1000</f>
        <v>28469</v>
      </c>
      <c r="Z116" s="736">
        <v>25000000</v>
      </c>
      <c r="AB116" s="669"/>
    </row>
    <row r="117" spans="1:28" ht="21.75" customHeight="1">
      <c r="A117" s="636"/>
      <c r="B117" s="2035"/>
      <c r="C117" s="624"/>
      <c r="D117" s="1530"/>
      <c r="E117" s="677" t="s">
        <v>27</v>
      </c>
      <c r="F117" s="989">
        <f>+Y117</f>
        <v>1800</v>
      </c>
      <c r="G117" s="989">
        <v>5000</v>
      </c>
      <c r="H117" s="865">
        <f>F117-G117</f>
        <v>-3200</v>
      </c>
      <c r="I117" s="2060"/>
      <c r="J117" s="681" t="s">
        <v>5908</v>
      </c>
      <c r="K117" s="3620"/>
      <c r="L117" s="3620"/>
      <c r="M117" s="3620"/>
      <c r="N117" s="3620"/>
      <c r="O117" s="3620"/>
      <c r="P117" s="3625"/>
      <c r="Q117" s="684">
        <v>2</v>
      </c>
      <c r="R117" s="3624" t="s">
        <v>31</v>
      </c>
      <c r="S117" s="684">
        <v>900000</v>
      </c>
      <c r="T117" s="684" t="s">
        <v>0</v>
      </c>
      <c r="U117" s="3625"/>
      <c r="V117" s="684">
        <v>1</v>
      </c>
      <c r="W117" s="684" t="s">
        <v>6</v>
      </c>
      <c r="X117" s="686" t="s">
        <v>1</v>
      </c>
      <c r="Y117" s="871">
        <f>+Q117*S117*V117/1000</f>
        <v>1800</v>
      </c>
      <c r="Z117" s="736">
        <v>3000000</v>
      </c>
      <c r="AB117" s="669"/>
    </row>
    <row r="118" spans="1:28" ht="21.75" customHeight="1">
      <c r="A118" s="636"/>
      <c r="B118" s="2035"/>
      <c r="C118" s="624"/>
      <c r="D118" s="729"/>
      <c r="E118" s="677" t="s">
        <v>58</v>
      </c>
      <c r="F118" s="989">
        <f>+Y118</f>
        <v>31470</v>
      </c>
      <c r="G118" s="989">
        <v>39800</v>
      </c>
      <c r="H118" s="865">
        <f>F118-G118</f>
        <v>-8330</v>
      </c>
      <c r="I118" s="2060"/>
      <c r="J118" s="681" t="s">
        <v>8</v>
      </c>
      <c r="K118" s="3620"/>
      <c r="L118" s="3620"/>
      <c r="M118" s="3620"/>
      <c r="N118" s="3620"/>
      <c r="O118" s="3620"/>
      <c r="P118" s="3625"/>
      <c r="Q118" s="684"/>
      <c r="R118" s="3624"/>
      <c r="S118" s="684"/>
      <c r="T118" s="684"/>
      <c r="U118" s="3625"/>
      <c r="V118" s="684"/>
      <c r="W118" s="684"/>
      <c r="X118" s="686"/>
      <c r="Y118" s="871">
        <f>SUM(Y119:Y122)</f>
        <v>31470</v>
      </c>
      <c r="Z118" s="736">
        <v>209000000</v>
      </c>
      <c r="AB118" s="669"/>
    </row>
    <row r="119" spans="1:28" ht="21.75" customHeight="1">
      <c r="A119" s="636"/>
      <c r="B119" s="2035"/>
      <c r="C119" s="624"/>
      <c r="D119" s="729"/>
      <c r="E119" s="677"/>
      <c r="F119" s="989"/>
      <c r="G119" s="989"/>
      <c r="H119" s="1022"/>
      <c r="I119" s="2060"/>
      <c r="J119" s="681" t="s">
        <v>5909</v>
      </c>
      <c r="K119" s="3620"/>
      <c r="L119" s="3620"/>
      <c r="M119" s="3620"/>
      <c r="N119" s="3625"/>
      <c r="O119" s="3625"/>
      <c r="P119" s="3625"/>
      <c r="Q119" s="684">
        <v>2</v>
      </c>
      <c r="R119" s="3624" t="s">
        <v>5910</v>
      </c>
      <c r="S119" s="684">
        <v>417500</v>
      </c>
      <c r="T119" s="684" t="s">
        <v>0</v>
      </c>
      <c r="U119" s="3625"/>
      <c r="V119" s="684">
        <v>2</v>
      </c>
      <c r="W119" s="684" t="s">
        <v>6</v>
      </c>
      <c r="X119" s="686" t="s">
        <v>1</v>
      </c>
      <c r="Y119" s="871">
        <f>+Q119*S119*V119/1000</f>
        <v>1670</v>
      </c>
      <c r="Z119" s="736">
        <v>3000000</v>
      </c>
      <c r="AB119" s="669"/>
    </row>
    <row r="120" spans="1:28" ht="21.75" customHeight="1">
      <c r="A120" s="636"/>
      <c r="B120" s="2035"/>
      <c r="C120" s="624"/>
      <c r="D120" s="729"/>
      <c r="E120" s="677"/>
      <c r="F120" s="989"/>
      <c r="G120" s="989"/>
      <c r="H120" s="1022"/>
      <c r="I120" s="2060"/>
      <c r="J120" s="681" t="s">
        <v>5911</v>
      </c>
      <c r="K120" s="3620"/>
      <c r="L120" s="3620"/>
      <c r="M120" s="3620"/>
      <c r="N120" s="3625"/>
      <c r="O120" s="3625"/>
      <c r="P120" s="3625"/>
      <c r="Q120" s="684">
        <v>2</v>
      </c>
      <c r="R120" s="3624" t="s">
        <v>5910</v>
      </c>
      <c r="S120" s="684">
        <v>500000</v>
      </c>
      <c r="T120" s="684" t="s">
        <v>0</v>
      </c>
      <c r="U120" s="3625"/>
      <c r="V120" s="684">
        <v>1</v>
      </c>
      <c r="W120" s="684" t="s">
        <v>6</v>
      </c>
      <c r="X120" s="686" t="s">
        <v>1</v>
      </c>
      <c r="Y120" s="871">
        <f>+Q120*S120*V120/1000</f>
        <v>1000</v>
      </c>
      <c r="Z120" s="736">
        <v>1000000</v>
      </c>
      <c r="AB120" s="669"/>
    </row>
    <row r="121" spans="1:28" ht="21.75" customHeight="1">
      <c r="A121" s="636"/>
      <c r="B121" s="2035"/>
      <c r="C121" s="624"/>
      <c r="D121" s="729"/>
      <c r="E121" s="677"/>
      <c r="F121" s="2547"/>
      <c r="G121" s="2547"/>
      <c r="H121" s="865"/>
      <c r="I121" s="2060"/>
      <c r="J121" s="681" t="s">
        <v>5912</v>
      </c>
      <c r="K121" s="3620"/>
      <c r="L121" s="3620"/>
      <c r="M121" s="3620"/>
      <c r="N121" s="3625"/>
      <c r="O121" s="3625"/>
      <c r="P121" s="3625"/>
      <c r="Q121" s="684">
        <v>2</v>
      </c>
      <c r="R121" s="3624" t="s">
        <v>31</v>
      </c>
      <c r="S121" s="684">
        <v>100000</v>
      </c>
      <c r="T121" s="684" t="s">
        <v>0</v>
      </c>
      <c r="U121" s="3625"/>
      <c r="V121" s="684">
        <v>4</v>
      </c>
      <c r="W121" s="684" t="s">
        <v>28</v>
      </c>
      <c r="X121" s="686" t="s">
        <v>1</v>
      </c>
      <c r="Y121" s="871">
        <f>+Q121*S121*V121/1000</f>
        <v>800</v>
      </c>
      <c r="Z121" s="736">
        <v>1000000</v>
      </c>
      <c r="AB121" s="669"/>
    </row>
    <row r="122" spans="1:28" ht="21.75" customHeight="1">
      <c r="A122" s="636"/>
      <c r="B122" s="2035"/>
      <c r="C122" s="624"/>
      <c r="D122" s="729"/>
      <c r="E122" s="677"/>
      <c r="F122" s="989"/>
      <c r="G122" s="2547"/>
      <c r="H122" s="865"/>
      <c r="I122" s="2060"/>
      <c r="J122" s="681" t="s">
        <v>5913</v>
      </c>
      <c r="K122" s="3620"/>
      <c r="L122" s="3620"/>
      <c r="M122" s="3620"/>
      <c r="N122" s="3625"/>
      <c r="O122" s="3625"/>
      <c r="P122" s="3625"/>
      <c r="Q122" s="684">
        <v>70</v>
      </c>
      <c r="R122" s="3624" t="s">
        <v>31</v>
      </c>
      <c r="S122" s="684">
        <v>100000</v>
      </c>
      <c r="T122" s="684" t="s">
        <v>0</v>
      </c>
      <c r="U122" s="684"/>
      <c r="V122" s="684">
        <v>4</v>
      </c>
      <c r="W122" s="684" t="s">
        <v>28</v>
      </c>
      <c r="X122" s="686" t="s">
        <v>1</v>
      </c>
      <c r="Y122" s="871">
        <f>+Q122*S122*V122/1000</f>
        <v>28000</v>
      </c>
      <c r="Z122" s="736">
        <v>4000000</v>
      </c>
      <c r="AB122" s="669"/>
    </row>
    <row r="123" spans="1:28" ht="21.75" customHeight="1">
      <c r="A123" s="636"/>
      <c r="B123" s="2035"/>
      <c r="C123" s="624"/>
      <c r="D123" s="729"/>
      <c r="E123" s="677" t="s">
        <v>71</v>
      </c>
      <c r="F123" s="989">
        <f>+Y123</f>
        <v>262202</v>
      </c>
      <c r="G123" s="989">
        <v>266000</v>
      </c>
      <c r="H123" s="865">
        <f>F123-G123</f>
        <v>-3798</v>
      </c>
      <c r="I123" s="2060"/>
      <c r="J123" s="681" t="s">
        <v>8</v>
      </c>
      <c r="K123" s="3620"/>
      <c r="L123" s="3620"/>
      <c r="M123" s="3620"/>
      <c r="N123" s="3625"/>
      <c r="O123" s="3625"/>
      <c r="P123" s="3625"/>
      <c r="Q123" s="684"/>
      <c r="R123" s="3624"/>
      <c r="S123" s="684"/>
      <c r="T123" s="684"/>
      <c r="U123" s="3625"/>
      <c r="V123" s="684"/>
      <c r="W123" s="684"/>
      <c r="X123" s="686"/>
      <c r="Y123" s="871">
        <f>SUM(Y124:Y127)</f>
        <v>262202</v>
      </c>
      <c r="Z123" s="736">
        <v>266000000</v>
      </c>
      <c r="AB123" s="669"/>
    </row>
    <row r="124" spans="1:28" ht="21.75" customHeight="1">
      <c r="A124" s="636"/>
      <c r="B124" s="2035"/>
      <c r="C124" s="624"/>
      <c r="D124" s="729"/>
      <c r="E124" s="677"/>
      <c r="F124" s="989"/>
      <c r="G124" s="989"/>
      <c r="H124" s="1022"/>
      <c r="I124" s="2060"/>
      <c r="J124" s="681" t="s">
        <v>5914</v>
      </c>
      <c r="K124" s="3620"/>
      <c r="L124" s="3620"/>
      <c r="M124" s="3620"/>
      <c r="N124" s="3625"/>
      <c r="O124" s="3625"/>
      <c r="P124" s="3625"/>
      <c r="Q124" s="684">
        <v>2</v>
      </c>
      <c r="R124" s="3624" t="s">
        <v>5910</v>
      </c>
      <c r="S124" s="684">
        <v>98101000</v>
      </c>
      <c r="T124" s="684" t="s">
        <v>0</v>
      </c>
      <c r="U124" s="3625"/>
      <c r="V124" s="684">
        <v>1</v>
      </c>
      <c r="W124" s="684" t="s">
        <v>5915</v>
      </c>
      <c r="X124" s="686" t="s">
        <v>1</v>
      </c>
      <c r="Y124" s="871">
        <f t="shared" ref="Y124:Y129" si="8">+Q124*S124*V124/1000</f>
        <v>196202</v>
      </c>
      <c r="Z124" s="736">
        <v>150000000</v>
      </c>
      <c r="AB124" s="669"/>
    </row>
    <row r="125" spans="1:28" ht="21.75" customHeight="1">
      <c r="A125" s="636"/>
      <c r="B125" s="2035"/>
      <c r="C125" s="624"/>
      <c r="D125" s="729"/>
      <c r="E125" s="677"/>
      <c r="F125" s="989"/>
      <c r="G125" s="989"/>
      <c r="H125" s="1022"/>
      <c r="I125" s="2060"/>
      <c r="J125" s="681" t="s">
        <v>5916</v>
      </c>
      <c r="K125" s="3620"/>
      <c r="L125" s="3620"/>
      <c r="M125" s="3620"/>
      <c r="N125" s="3625"/>
      <c r="O125" s="3625"/>
      <c r="P125" s="3625"/>
      <c r="Q125" s="684">
        <v>2</v>
      </c>
      <c r="R125" s="3624" t="s">
        <v>5910</v>
      </c>
      <c r="S125" s="684">
        <v>4000000</v>
      </c>
      <c r="T125" s="684" t="s">
        <v>0</v>
      </c>
      <c r="U125" s="3625"/>
      <c r="V125" s="684">
        <v>2</v>
      </c>
      <c r="W125" s="684" t="s">
        <v>3</v>
      </c>
      <c r="X125" s="686" t="s">
        <v>1</v>
      </c>
      <c r="Y125" s="871">
        <f t="shared" si="8"/>
        <v>16000</v>
      </c>
      <c r="Z125" s="736">
        <v>5000000</v>
      </c>
      <c r="AB125" s="669"/>
    </row>
    <row r="126" spans="1:28" ht="21.75" customHeight="1">
      <c r="A126" s="636"/>
      <c r="B126" s="2035"/>
      <c r="C126" s="624"/>
      <c r="D126" s="729"/>
      <c r="E126" s="677"/>
      <c r="F126" s="989"/>
      <c r="G126" s="989"/>
      <c r="H126" s="1022"/>
      <c r="I126" s="2060"/>
      <c r="J126" s="681" t="s">
        <v>5917</v>
      </c>
      <c r="K126" s="3620"/>
      <c r="L126" s="3620"/>
      <c r="M126" s="3620"/>
      <c r="N126" s="3625"/>
      <c r="O126" s="3625"/>
      <c r="P126" s="3625"/>
      <c r="Q126" s="684">
        <v>2</v>
      </c>
      <c r="R126" s="3624" t="s">
        <v>5910</v>
      </c>
      <c r="S126" s="684">
        <v>2500000</v>
      </c>
      <c r="T126" s="684" t="s">
        <v>0</v>
      </c>
      <c r="U126" s="3625"/>
      <c r="V126" s="684">
        <v>2</v>
      </c>
      <c r="W126" s="684" t="s">
        <v>3</v>
      </c>
      <c r="X126" s="686" t="s">
        <v>1</v>
      </c>
      <c r="Y126" s="871">
        <f t="shared" si="8"/>
        <v>10000</v>
      </c>
      <c r="Z126" s="736">
        <v>5000000</v>
      </c>
      <c r="AB126" s="669"/>
    </row>
    <row r="127" spans="1:28" ht="21.75" customHeight="1">
      <c r="A127" s="636"/>
      <c r="B127" s="2035"/>
      <c r="C127" s="624"/>
      <c r="D127" s="729"/>
      <c r="E127" s="677"/>
      <c r="F127" s="989"/>
      <c r="G127" s="989"/>
      <c r="H127" s="1022"/>
      <c r="I127" s="2060"/>
      <c r="J127" s="681" t="s">
        <v>5918</v>
      </c>
      <c r="K127" s="3620"/>
      <c r="L127" s="3620"/>
      <c r="M127" s="3620"/>
      <c r="N127" s="3625"/>
      <c r="O127" s="3625"/>
      <c r="P127" s="3625"/>
      <c r="Q127" s="684"/>
      <c r="R127" s="3624"/>
      <c r="S127" s="684">
        <v>20000000</v>
      </c>
      <c r="T127" s="684" t="s">
        <v>0</v>
      </c>
      <c r="U127" s="3625"/>
      <c r="V127" s="684">
        <v>2</v>
      </c>
      <c r="W127" s="684" t="s">
        <v>5915</v>
      </c>
      <c r="X127" s="686" t="s">
        <v>1</v>
      </c>
      <c r="Y127" s="871">
        <f>S127*V127/1000</f>
        <v>40000</v>
      </c>
      <c r="Z127" s="736">
        <v>4000000</v>
      </c>
      <c r="AB127" s="669"/>
    </row>
    <row r="128" spans="1:28" ht="21.75" customHeight="1">
      <c r="A128" s="636"/>
      <c r="B128" s="2035"/>
      <c r="C128" s="624"/>
      <c r="D128" s="729"/>
      <c r="E128" s="677" t="s">
        <v>62</v>
      </c>
      <c r="F128" s="989">
        <f>+Y128</f>
        <v>11097</v>
      </c>
      <c r="G128" s="989">
        <v>9200</v>
      </c>
      <c r="H128" s="865">
        <f>F128-G128</f>
        <v>1897</v>
      </c>
      <c r="I128" s="2060"/>
      <c r="J128" s="681" t="s">
        <v>85</v>
      </c>
      <c r="K128" s="3620"/>
      <c r="L128" s="3620"/>
      <c r="M128" s="3620"/>
      <c r="N128" s="3625"/>
      <c r="O128" s="3625"/>
      <c r="P128" s="3625"/>
      <c r="Q128" s="684">
        <v>2</v>
      </c>
      <c r="R128" s="3624" t="s">
        <v>5910</v>
      </c>
      <c r="S128" s="684">
        <v>2774250</v>
      </c>
      <c r="T128" s="684" t="s">
        <v>0</v>
      </c>
      <c r="U128" s="3625"/>
      <c r="V128" s="684">
        <v>2</v>
      </c>
      <c r="W128" s="684" t="s">
        <v>3</v>
      </c>
      <c r="X128" s="686" t="s">
        <v>1</v>
      </c>
      <c r="Y128" s="871">
        <f t="shared" si="8"/>
        <v>11097</v>
      </c>
      <c r="Z128" s="736">
        <v>6000000</v>
      </c>
      <c r="AB128" s="669"/>
    </row>
    <row r="129" spans="1:28" ht="21.75" customHeight="1">
      <c r="A129" s="636"/>
      <c r="B129" s="2035"/>
      <c r="C129" s="624"/>
      <c r="D129" s="729"/>
      <c r="E129" s="677" t="s">
        <v>61</v>
      </c>
      <c r="F129" s="989">
        <f>+Y129</f>
        <v>1637</v>
      </c>
      <c r="G129" s="989">
        <v>2000</v>
      </c>
      <c r="H129" s="865">
        <f>F129-G129</f>
        <v>-363</v>
      </c>
      <c r="I129" s="2060"/>
      <c r="J129" s="681" t="s">
        <v>5919</v>
      </c>
      <c r="K129" s="3620"/>
      <c r="L129" s="3620"/>
      <c r="M129" s="3620"/>
      <c r="N129" s="3625"/>
      <c r="O129" s="3625"/>
      <c r="P129" s="3625"/>
      <c r="Q129" s="684">
        <v>2</v>
      </c>
      <c r="R129" s="3624" t="s">
        <v>5910</v>
      </c>
      <c r="S129" s="684">
        <v>409250</v>
      </c>
      <c r="T129" s="684" t="s">
        <v>0</v>
      </c>
      <c r="U129" s="3625"/>
      <c r="V129" s="684">
        <v>2</v>
      </c>
      <c r="W129" s="684" t="s">
        <v>3</v>
      </c>
      <c r="X129" s="686" t="s">
        <v>1</v>
      </c>
      <c r="Y129" s="871">
        <f t="shared" si="8"/>
        <v>1637</v>
      </c>
      <c r="Z129" s="736">
        <v>2000000</v>
      </c>
      <c r="AB129" s="669"/>
    </row>
    <row r="130" spans="1:28" ht="21.75" customHeight="1">
      <c r="A130" s="636"/>
      <c r="B130" s="2035"/>
      <c r="C130" s="624"/>
      <c r="D130" s="729"/>
      <c r="E130" s="677" t="s">
        <v>80</v>
      </c>
      <c r="F130" s="989">
        <f>+Y130</f>
        <v>18148</v>
      </c>
      <c r="G130" s="989">
        <v>16000</v>
      </c>
      <c r="H130" s="865">
        <f>F130-G130</f>
        <v>2148</v>
      </c>
      <c r="I130" s="2060"/>
      <c r="J130" s="681" t="s">
        <v>8</v>
      </c>
      <c r="K130" s="3620"/>
      <c r="L130" s="3620"/>
      <c r="M130" s="3620"/>
      <c r="N130" s="3625"/>
      <c r="O130" s="3625"/>
      <c r="P130" s="3625"/>
      <c r="Q130" s="684"/>
      <c r="R130" s="3624"/>
      <c r="S130" s="684"/>
      <c r="T130" s="684"/>
      <c r="U130" s="3625"/>
      <c r="V130" s="684"/>
      <c r="W130" s="684"/>
      <c r="X130" s="686"/>
      <c r="Y130" s="871">
        <f>SUM(Y131:Y132)</f>
        <v>18148</v>
      </c>
      <c r="Z130" s="736">
        <v>12600000</v>
      </c>
      <c r="AB130" s="669"/>
    </row>
    <row r="131" spans="1:28" ht="21.75" customHeight="1">
      <c r="A131" s="636"/>
      <c r="B131" s="2035"/>
      <c r="C131" s="624"/>
      <c r="D131" s="729"/>
      <c r="E131" s="677"/>
      <c r="F131" s="989"/>
      <c r="G131" s="989"/>
      <c r="H131" s="1022"/>
      <c r="I131" s="2060"/>
      <c r="J131" s="681" t="s">
        <v>5920</v>
      </c>
      <c r="K131" s="3620"/>
      <c r="L131" s="3620"/>
      <c r="M131" s="3620"/>
      <c r="N131" s="3625"/>
      <c r="O131" s="3625"/>
      <c r="P131" s="3625"/>
      <c r="Q131" s="684"/>
      <c r="R131" s="3624"/>
      <c r="S131" s="684">
        <v>2000000</v>
      </c>
      <c r="T131" s="684" t="s">
        <v>0</v>
      </c>
      <c r="U131" s="3625"/>
      <c r="V131" s="684">
        <v>6</v>
      </c>
      <c r="W131" s="684" t="s">
        <v>3</v>
      </c>
      <c r="X131" s="686" t="s">
        <v>1</v>
      </c>
      <c r="Y131" s="871">
        <f>+S131*V131/1000</f>
        <v>12000</v>
      </c>
      <c r="Z131" s="736">
        <v>8000000</v>
      </c>
      <c r="AB131" s="669"/>
    </row>
    <row r="132" spans="1:28" ht="21.75" customHeight="1">
      <c r="A132" s="636"/>
      <c r="B132" s="2035"/>
      <c r="C132" s="624"/>
      <c r="D132" s="729"/>
      <c r="E132" s="677"/>
      <c r="F132" s="989"/>
      <c r="G132" s="989"/>
      <c r="H132" s="1022"/>
      <c r="I132" s="2060"/>
      <c r="J132" s="681" t="s">
        <v>5921</v>
      </c>
      <c r="K132" s="3620"/>
      <c r="L132" s="3620"/>
      <c r="M132" s="3620"/>
      <c r="N132" s="3625"/>
      <c r="O132" s="3625"/>
      <c r="P132" s="3625"/>
      <c r="Q132" s="684"/>
      <c r="R132" s="3624"/>
      <c r="S132" s="684">
        <v>1537000</v>
      </c>
      <c r="T132" s="684" t="s">
        <v>0</v>
      </c>
      <c r="U132" s="3625"/>
      <c r="V132" s="684">
        <v>4</v>
      </c>
      <c r="W132" s="684" t="s">
        <v>3</v>
      </c>
      <c r="X132" s="686" t="s">
        <v>1</v>
      </c>
      <c r="Y132" s="871">
        <f>+S132*V132/1000</f>
        <v>6148</v>
      </c>
      <c r="Z132" s="736">
        <v>4600000</v>
      </c>
      <c r="AB132" s="669"/>
    </row>
    <row r="133" spans="1:28" ht="21.75" customHeight="1">
      <c r="A133" s="636"/>
      <c r="B133" s="2035"/>
      <c r="C133" s="1331"/>
      <c r="D133" s="729"/>
      <c r="E133" s="677" t="s">
        <v>5922</v>
      </c>
      <c r="F133" s="989">
        <f>+Y133</f>
        <v>5000</v>
      </c>
      <c r="G133" s="989">
        <v>0</v>
      </c>
      <c r="H133" s="865">
        <f>F133-G133</f>
        <v>5000</v>
      </c>
      <c r="I133" s="2060"/>
      <c r="J133" s="681" t="s">
        <v>5923</v>
      </c>
      <c r="K133" s="3620"/>
      <c r="L133" s="3620"/>
      <c r="M133" s="3620"/>
      <c r="N133" s="3625"/>
      <c r="O133" s="3625"/>
      <c r="P133" s="3625"/>
      <c r="Q133" s="684">
        <v>1</v>
      </c>
      <c r="R133" s="3624" t="s">
        <v>5910</v>
      </c>
      <c r="S133" s="684">
        <v>2500000</v>
      </c>
      <c r="T133" s="684" t="s">
        <v>0</v>
      </c>
      <c r="U133" s="3625"/>
      <c r="V133" s="684">
        <v>2</v>
      </c>
      <c r="W133" s="684" t="s">
        <v>3</v>
      </c>
      <c r="X133" s="686" t="s">
        <v>1</v>
      </c>
      <c r="Y133" s="871">
        <f t="shared" ref="Y133" si="9">+Q133*S133*V133/1000</f>
        <v>5000</v>
      </c>
      <c r="Z133" s="736">
        <v>2000000</v>
      </c>
      <c r="AB133" s="669"/>
    </row>
    <row r="134" spans="1:28" ht="21.75" customHeight="1">
      <c r="A134" s="636"/>
      <c r="B134" s="2035"/>
      <c r="C134" s="2948" t="s">
        <v>909</v>
      </c>
      <c r="D134" s="2936"/>
      <c r="E134" s="2937"/>
      <c r="F134" s="1253">
        <f>+F135+F154+F166+F187+F202+F205+F217</f>
        <v>165000</v>
      </c>
      <c r="G134" s="1253">
        <f>+G135+G154+G166+G187+G202+G205+G217</f>
        <v>165000</v>
      </c>
      <c r="H134" s="2021">
        <f>F134-G134</f>
        <v>0</v>
      </c>
      <c r="I134" s="2014"/>
      <c r="J134" s="665"/>
      <c r="K134" s="2101"/>
      <c r="L134" s="2101"/>
      <c r="M134" s="2101"/>
      <c r="N134" s="2101"/>
      <c r="O134" s="2101"/>
      <c r="P134" s="645"/>
      <c r="Q134" s="2101"/>
      <c r="R134" s="2101"/>
      <c r="S134" s="645"/>
      <c r="T134" s="2101"/>
      <c r="U134" s="2101"/>
      <c r="V134" s="645"/>
      <c r="W134" s="2101"/>
      <c r="X134" s="666"/>
      <c r="Y134" s="667"/>
      <c r="Z134" s="2016">
        <f>F134*1000</f>
        <v>165000000</v>
      </c>
      <c r="AB134" s="669"/>
    </row>
    <row r="135" spans="1:28" ht="21.75" customHeight="1">
      <c r="A135" s="636"/>
      <c r="B135" s="2035"/>
      <c r="C135" s="1319"/>
      <c r="D135" s="3939" t="s">
        <v>86</v>
      </c>
      <c r="E135" s="3838"/>
      <c r="F135" s="1253">
        <f>SUM(F136:F153)</f>
        <v>27000</v>
      </c>
      <c r="G135" s="1253">
        <f>SUM(G136:G153)</f>
        <v>27000</v>
      </c>
      <c r="H135" s="2021">
        <f>F135-G135</f>
        <v>0</v>
      </c>
      <c r="I135" s="2014"/>
      <c r="J135" s="665"/>
      <c r="K135" s="2101"/>
      <c r="L135" s="2101"/>
      <c r="M135" s="2101"/>
      <c r="N135" s="2101"/>
      <c r="O135" s="2101"/>
      <c r="P135" s="645"/>
      <c r="Q135" s="2101"/>
      <c r="R135" s="2101"/>
      <c r="S135" s="645"/>
      <c r="T135" s="2101"/>
      <c r="U135" s="2101"/>
      <c r="V135" s="645"/>
      <c r="W135" s="2101"/>
      <c r="X135" s="666"/>
      <c r="Y135" s="667"/>
      <c r="Z135" s="2016">
        <f>F135*1000</f>
        <v>27000000</v>
      </c>
      <c r="AB135" s="669"/>
    </row>
    <row r="136" spans="1:28" ht="21.75" customHeight="1">
      <c r="A136" s="636"/>
      <c r="B136" s="2035"/>
      <c r="C136" s="624"/>
      <c r="D136" s="506"/>
      <c r="E136" s="2132" t="s">
        <v>57</v>
      </c>
      <c r="F136" s="1921">
        <f>Y136</f>
        <v>3500</v>
      </c>
      <c r="G136" s="1921">
        <v>4000</v>
      </c>
      <c r="H136" s="1004">
        <f>F136-G136</f>
        <v>-500</v>
      </c>
      <c r="I136" s="2973"/>
      <c r="J136" s="681" t="s">
        <v>8</v>
      </c>
      <c r="K136" s="3620"/>
      <c r="L136" s="3620"/>
      <c r="M136" s="3620"/>
      <c r="N136" s="3625"/>
      <c r="O136" s="3625"/>
      <c r="P136" s="3625"/>
      <c r="Q136" s="684"/>
      <c r="R136" s="3624"/>
      <c r="S136" s="3624" t="s">
        <v>20</v>
      </c>
      <c r="T136" s="684" t="s">
        <v>20</v>
      </c>
      <c r="U136" s="684" t="s">
        <v>20</v>
      </c>
      <c r="V136" s="684" t="s">
        <v>20</v>
      </c>
      <c r="W136" s="684" t="s">
        <v>20</v>
      </c>
      <c r="X136" s="686" t="s">
        <v>20</v>
      </c>
      <c r="Y136" s="2313">
        <f>SUM(Y137:Y138)</f>
        <v>3500</v>
      </c>
      <c r="Z136" s="2016"/>
      <c r="AB136" s="669"/>
    </row>
    <row r="137" spans="1:28" ht="21.75" customHeight="1">
      <c r="A137" s="636"/>
      <c r="B137" s="2035"/>
      <c r="C137" s="624"/>
      <c r="D137" s="2020"/>
      <c r="E137" s="677"/>
      <c r="F137" s="989"/>
      <c r="G137" s="989"/>
      <c r="H137" s="1021"/>
      <c r="I137" s="2973"/>
      <c r="J137" s="681" t="s">
        <v>5880</v>
      </c>
      <c r="K137" s="3620"/>
      <c r="L137" s="3620"/>
      <c r="M137" s="3620"/>
      <c r="N137" s="3620"/>
      <c r="O137" s="3620"/>
      <c r="P137" s="3625"/>
      <c r="Q137" s="3625"/>
      <c r="R137" s="684"/>
      <c r="S137" s="684">
        <v>3000</v>
      </c>
      <c r="T137" s="684" t="s">
        <v>0</v>
      </c>
      <c r="U137" s="3625"/>
      <c r="V137" s="684">
        <v>600</v>
      </c>
      <c r="W137" s="684" t="s">
        <v>69</v>
      </c>
      <c r="X137" s="686" t="s">
        <v>1</v>
      </c>
      <c r="Y137" s="871">
        <f>S137*V137/1000</f>
        <v>1800</v>
      </c>
      <c r="Z137" s="2016"/>
      <c r="AB137" s="669"/>
    </row>
    <row r="138" spans="1:28" ht="21.75" customHeight="1">
      <c r="A138" s="636"/>
      <c r="B138" s="2035"/>
      <c r="C138" s="624"/>
      <c r="D138" s="2020"/>
      <c r="E138" s="2595"/>
      <c r="F138" s="2595"/>
      <c r="G138" s="2595"/>
      <c r="H138" s="2596"/>
      <c r="I138" s="2607"/>
      <c r="J138" s="681" t="s">
        <v>5881</v>
      </c>
      <c r="K138" s="3620"/>
      <c r="L138" s="3620"/>
      <c r="M138" s="3620"/>
      <c r="N138" s="3620"/>
      <c r="O138" s="3620"/>
      <c r="P138" s="3625"/>
      <c r="Q138" s="3625"/>
      <c r="R138" s="684"/>
      <c r="S138" s="684">
        <v>5000</v>
      </c>
      <c r="T138" s="684" t="s">
        <v>0</v>
      </c>
      <c r="U138" s="3625"/>
      <c r="V138" s="684">
        <v>340</v>
      </c>
      <c r="W138" s="684" t="s">
        <v>69</v>
      </c>
      <c r="X138" s="686" t="s">
        <v>1</v>
      </c>
      <c r="Y138" s="871">
        <f>+S138*V138/1000</f>
        <v>1700</v>
      </c>
      <c r="Z138" s="2016"/>
      <c r="AB138" s="669"/>
    </row>
    <row r="139" spans="1:28" ht="21.75" customHeight="1">
      <c r="A139" s="636"/>
      <c r="B139" s="2035"/>
      <c r="C139" s="624"/>
      <c r="D139" s="2020"/>
      <c r="E139" s="677" t="s">
        <v>80</v>
      </c>
      <c r="F139" s="989">
        <f>Y139</f>
        <v>2300</v>
      </c>
      <c r="G139" s="989">
        <v>1000</v>
      </c>
      <c r="H139" s="1021">
        <f>F139-G139</f>
        <v>1300</v>
      </c>
      <c r="I139" s="2973"/>
      <c r="J139" s="681" t="s">
        <v>8</v>
      </c>
      <c r="K139" s="3620"/>
      <c r="L139" s="3620"/>
      <c r="M139" s="3620"/>
      <c r="N139" s="3625"/>
      <c r="O139" s="3625"/>
      <c r="P139" s="3625"/>
      <c r="Q139" s="684"/>
      <c r="R139" s="3624"/>
      <c r="S139" s="3624" t="s">
        <v>20</v>
      </c>
      <c r="T139" s="684" t="s">
        <v>20</v>
      </c>
      <c r="U139" s="684" t="s">
        <v>20</v>
      </c>
      <c r="V139" s="684" t="s">
        <v>20</v>
      </c>
      <c r="W139" s="684" t="s">
        <v>20</v>
      </c>
      <c r="X139" s="686" t="s">
        <v>20</v>
      </c>
      <c r="Y139" s="2313">
        <f>SUM(Y140:Y141)</f>
        <v>2300</v>
      </c>
      <c r="Z139" s="2016"/>
      <c r="AB139" s="669"/>
    </row>
    <row r="140" spans="1:28" ht="21.75" customHeight="1">
      <c r="A140" s="636"/>
      <c r="B140" s="2035"/>
      <c r="C140" s="624"/>
      <c r="D140" s="2020"/>
      <c r="E140" s="677"/>
      <c r="F140" s="989"/>
      <c r="G140" s="989"/>
      <c r="H140" s="1021"/>
      <c r="I140" s="2973"/>
      <c r="J140" s="681" t="s">
        <v>5882</v>
      </c>
      <c r="K140" s="3620"/>
      <c r="L140" s="3620"/>
      <c r="M140" s="3620"/>
      <c r="N140" s="3620"/>
      <c r="O140" s="3620"/>
      <c r="P140" s="3625"/>
      <c r="Q140" s="3625"/>
      <c r="R140" s="684"/>
      <c r="S140" s="684">
        <v>400000</v>
      </c>
      <c r="T140" s="684" t="s">
        <v>0</v>
      </c>
      <c r="U140" s="3625"/>
      <c r="V140" s="684">
        <v>2</v>
      </c>
      <c r="W140" s="684" t="s">
        <v>3</v>
      </c>
      <c r="X140" s="686" t="s">
        <v>1</v>
      </c>
      <c r="Y140" s="871">
        <f>+S140*V140/1000</f>
        <v>800</v>
      </c>
      <c r="Z140" s="2016"/>
      <c r="AB140" s="669"/>
    </row>
    <row r="141" spans="1:28" ht="21.75" customHeight="1">
      <c r="A141" s="636"/>
      <c r="B141" s="2035"/>
      <c r="C141" s="624"/>
      <c r="D141" s="2020"/>
      <c r="E141" s="2595"/>
      <c r="F141" s="2595"/>
      <c r="G141" s="2595"/>
      <c r="H141" s="2596"/>
      <c r="I141" s="2607"/>
      <c r="J141" s="681" t="s">
        <v>5883</v>
      </c>
      <c r="K141" s="3620"/>
      <c r="L141" s="3620"/>
      <c r="M141" s="3620"/>
      <c r="N141" s="3620"/>
      <c r="O141" s="3620"/>
      <c r="P141" s="3625"/>
      <c r="Q141" s="3625"/>
      <c r="R141" s="684"/>
      <c r="S141" s="684">
        <v>300000</v>
      </c>
      <c r="T141" s="684" t="s">
        <v>0</v>
      </c>
      <c r="U141" s="3625"/>
      <c r="V141" s="684">
        <v>5</v>
      </c>
      <c r="W141" s="684" t="s">
        <v>6</v>
      </c>
      <c r="X141" s="686" t="s">
        <v>1</v>
      </c>
      <c r="Y141" s="871">
        <f>+S141*V141/1000</f>
        <v>1500</v>
      </c>
      <c r="Z141" s="2016"/>
      <c r="AB141" s="669"/>
    </row>
    <row r="142" spans="1:28" ht="21.75" customHeight="1">
      <c r="A142" s="636"/>
      <c r="B142" s="2035"/>
      <c r="C142" s="624"/>
      <c r="D142" s="2020"/>
      <c r="E142" s="677" t="s">
        <v>58</v>
      </c>
      <c r="F142" s="989">
        <f>Y142</f>
        <v>10700</v>
      </c>
      <c r="G142" s="989">
        <v>12000</v>
      </c>
      <c r="H142" s="1021">
        <f>F142-G142</f>
        <v>-1300</v>
      </c>
      <c r="I142" s="2973"/>
      <c r="J142" s="681" t="s">
        <v>8</v>
      </c>
      <c r="K142" s="3620"/>
      <c r="L142" s="3620"/>
      <c r="M142" s="3620"/>
      <c r="N142" s="3625"/>
      <c r="O142" s="3625"/>
      <c r="P142" s="3625"/>
      <c r="Q142" s="684"/>
      <c r="R142" s="3624"/>
      <c r="S142" s="3624" t="s">
        <v>20</v>
      </c>
      <c r="T142" s="684" t="s">
        <v>20</v>
      </c>
      <c r="U142" s="684" t="s">
        <v>20</v>
      </c>
      <c r="V142" s="684" t="s">
        <v>20</v>
      </c>
      <c r="W142" s="684" t="s">
        <v>20</v>
      </c>
      <c r="X142" s="686" t="s">
        <v>20</v>
      </c>
      <c r="Y142" s="2313">
        <f>SUM(Y143:Y146)</f>
        <v>10700</v>
      </c>
      <c r="Z142" s="2016"/>
      <c r="AB142" s="669"/>
    </row>
    <row r="143" spans="1:28" ht="21.75" customHeight="1">
      <c r="A143" s="636"/>
      <c r="B143" s="2035"/>
      <c r="C143" s="624"/>
      <c r="D143" s="2020"/>
      <c r="E143" s="677"/>
      <c r="F143" s="989"/>
      <c r="G143" s="989"/>
      <c r="H143" s="1021"/>
      <c r="I143" s="2973"/>
      <c r="J143" s="681" t="s">
        <v>5884</v>
      </c>
      <c r="K143" s="3620"/>
      <c r="L143" s="3620"/>
      <c r="M143" s="3620"/>
      <c r="N143" s="3620"/>
      <c r="O143" s="3620"/>
      <c r="P143" s="3625"/>
      <c r="Q143" s="3625">
        <v>2</v>
      </c>
      <c r="R143" s="684" t="s">
        <v>25</v>
      </c>
      <c r="S143" s="684">
        <v>50000</v>
      </c>
      <c r="T143" s="684" t="s">
        <v>0</v>
      </c>
      <c r="U143" s="3625"/>
      <c r="V143" s="684">
        <v>42</v>
      </c>
      <c r="W143" s="684" t="s">
        <v>3</v>
      </c>
      <c r="X143" s="686" t="s">
        <v>1</v>
      </c>
      <c r="Y143" s="871">
        <f>+Q143*S143*V143/1000</f>
        <v>4200</v>
      </c>
      <c r="Z143" s="2016"/>
      <c r="AB143" s="669"/>
    </row>
    <row r="144" spans="1:28" ht="21.75" customHeight="1">
      <c r="A144" s="636"/>
      <c r="B144" s="2035"/>
      <c r="C144" s="624"/>
      <c r="D144" s="2020"/>
      <c r="E144" s="677"/>
      <c r="F144" s="989"/>
      <c r="G144" s="989"/>
      <c r="H144" s="1021"/>
      <c r="I144" s="2973"/>
      <c r="J144" s="681" t="s">
        <v>5885</v>
      </c>
      <c r="K144" s="3620"/>
      <c r="L144" s="3620"/>
      <c r="M144" s="3620"/>
      <c r="N144" s="3620"/>
      <c r="O144" s="3620"/>
      <c r="P144" s="3625"/>
      <c r="Q144" s="3625">
        <v>2</v>
      </c>
      <c r="R144" s="684" t="s">
        <v>25</v>
      </c>
      <c r="S144" s="684">
        <v>150000</v>
      </c>
      <c r="T144" s="684" t="s">
        <v>0</v>
      </c>
      <c r="U144" s="3625"/>
      <c r="V144" s="684">
        <v>8</v>
      </c>
      <c r="W144" s="684" t="s">
        <v>3</v>
      </c>
      <c r="X144" s="686" t="s">
        <v>1</v>
      </c>
      <c r="Y144" s="871">
        <f>+Q144*S144*V144/1000</f>
        <v>2400</v>
      </c>
      <c r="Z144" s="2016"/>
      <c r="AB144" s="669"/>
    </row>
    <row r="145" spans="1:28" ht="21.75" customHeight="1">
      <c r="A145" s="636"/>
      <c r="B145" s="2035"/>
      <c r="C145" s="624"/>
      <c r="D145" s="2020"/>
      <c r="E145" s="677"/>
      <c r="F145" s="989"/>
      <c r="G145" s="989"/>
      <c r="H145" s="1021"/>
      <c r="I145" s="2973"/>
      <c r="J145" s="681" t="s">
        <v>5886</v>
      </c>
      <c r="K145" s="3620"/>
      <c r="L145" s="3620"/>
      <c r="M145" s="3620"/>
      <c r="N145" s="3620"/>
      <c r="O145" s="3620"/>
      <c r="P145" s="3625"/>
      <c r="Q145" s="3625"/>
      <c r="R145" s="684"/>
      <c r="S145" s="684">
        <v>300000</v>
      </c>
      <c r="T145" s="684" t="s">
        <v>0</v>
      </c>
      <c r="U145" s="3625"/>
      <c r="V145" s="684">
        <v>2</v>
      </c>
      <c r="W145" s="684" t="s">
        <v>3</v>
      </c>
      <c r="X145" s="686" t="s">
        <v>1</v>
      </c>
      <c r="Y145" s="871">
        <f>S145*V145/1000</f>
        <v>600</v>
      </c>
      <c r="Z145" s="2016"/>
      <c r="AB145" s="669"/>
    </row>
    <row r="146" spans="1:28" ht="21.75" customHeight="1">
      <c r="A146" s="636"/>
      <c r="B146" s="2035"/>
      <c r="C146" s="624"/>
      <c r="D146" s="2020"/>
      <c r="E146" s="2595"/>
      <c r="F146" s="2595"/>
      <c r="G146" s="2595"/>
      <c r="H146" s="2596"/>
      <c r="I146" s="2607"/>
      <c r="J146" s="681" t="s">
        <v>5887</v>
      </c>
      <c r="K146" s="3620"/>
      <c r="L146" s="3620"/>
      <c r="M146" s="3620"/>
      <c r="N146" s="3620"/>
      <c r="O146" s="3620"/>
      <c r="P146" s="3625"/>
      <c r="Q146" s="3625">
        <v>2</v>
      </c>
      <c r="R146" s="684" t="s">
        <v>25</v>
      </c>
      <c r="S146" s="684">
        <v>70000</v>
      </c>
      <c r="T146" s="684" t="s">
        <v>0</v>
      </c>
      <c r="U146" s="3625"/>
      <c r="V146" s="684">
        <v>25</v>
      </c>
      <c r="W146" s="684" t="s">
        <v>3</v>
      </c>
      <c r="X146" s="686" t="s">
        <v>1</v>
      </c>
      <c r="Y146" s="871">
        <f>Q146*S146*V146/1000</f>
        <v>3500</v>
      </c>
      <c r="Z146" s="2016"/>
      <c r="AB146" s="669"/>
    </row>
    <row r="147" spans="1:28" ht="21.75" customHeight="1">
      <c r="A147" s="636"/>
      <c r="B147" s="2035"/>
      <c r="C147" s="624"/>
      <c r="D147" s="2020"/>
      <c r="E147" s="677" t="s">
        <v>71</v>
      </c>
      <c r="F147" s="989">
        <f>Y147</f>
        <v>9500</v>
      </c>
      <c r="G147" s="989">
        <v>9000</v>
      </c>
      <c r="H147" s="1021">
        <f>F147-G147</f>
        <v>500</v>
      </c>
      <c r="I147" s="2973"/>
      <c r="J147" s="681" t="s">
        <v>8</v>
      </c>
      <c r="K147" s="3620"/>
      <c r="L147" s="3620"/>
      <c r="M147" s="3620"/>
      <c r="N147" s="3625"/>
      <c r="O147" s="3625"/>
      <c r="P147" s="3625"/>
      <c r="Q147" s="684"/>
      <c r="R147" s="3624"/>
      <c r="S147" s="3624" t="s">
        <v>20</v>
      </c>
      <c r="T147" s="684" t="s">
        <v>20</v>
      </c>
      <c r="U147" s="684" t="s">
        <v>20</v>
      </c>
      <c r="V147" s="684" t="s">
        <v>20</v>
      </c>
      <c r="W147" s="684" t="s">
        <v>20</v>
      </c>
      <c r="X147" s="686" t="s">
        <v>20</v>
      </c>
      <c r="Y147" s="2313">
        <f>SUM(Y148:Y151)</f>
        <v>9500</v>
      </c>
      <c r="Z147" s="2016"/>
      <c r="AB147" s="669"/>
    </row>
    <row r="148" spans="1:28" ht="21.75" customHeight="1">
      <c r="A148" s="636"/>
      <c r="B148" s="2035"/>
      <c r="C148" s="624"/>
      <c r="D148" s="2020"/>
      <c r="E148" s="2595"/>
      <c r="F148" s="2595"/>
      <c r="G148" s="2595"/>
      <c r="H148" s="2596"/>
      <c r="I148" s="2607"/>
      <c r="J148" s="681" t="s">
        <v>5888</v>
      </c>
      <c r="K148" s="3620"/>
      <c r="L148" s="3620"/>
      <c r="M148" s="3620"/>
      <c r="N148" s="3620"/>
      <c r="O148" s="3620"/>
      <c r="P148" s="3625"/>
      <c r="Q148" s="3625"/>
      <c r="R148" s="684"/>
      <c r="S148" s="684">
        <v>500000</v>
      </c>
      <c r="T148" s="684" t="s">
        <v>0</v>
      </c>
      <c r="U148" s="3625"/>
      <c r="V148" s="684">
        <v>3</v>
      </c>
      <c r="W148" s="684" t="s">
        <v>3</v>
      </c>
      <c r="X148" s="686" t="s">
        <v>1</v>
      </c>
      <c r="Y148" s="871">
        <f t="shared" ref="Y148:Y153" si="10">+S148*V148/1000</f>
        <v>1500</v>
      </c>
      <c r="Z148" s="2016"/>
      <c r="AB148" s="669"/>
    </row>
    <row r="149" spans="1:28" ht="21.75" customHeight="1">
      <c r="A149" s="636"/>
      <c r="B149" s="2035"/>
      <c r="C149" s="624"/>
      <c r="D149" s="2020"/>
      <c r="E149" s="675"/>
      <c r="F149" s="1261"/>
      <c r="G149" s="1261"/>
      <c r="H149" s="1021"/>
      <c r="I149" s="2973"/>
      <c r="J149" s="681" t="s">
        <v>5889</v>
      </c>
      <c r="K149" s="3620"/>
      <c r="L149" s="3620"/>
      <c r="M149" s="3620"/>
      <c r="N149" s="3620"/>
      <c r="O149" s="3620"/>
      <c r="P149" s="3625"/>
      <c r="Q149" s="3625"/>
      <c r="R149" s="684"/>
      <c r="S149" s="684">
        <v>1500000</v>
      </c>
      <c r="T149" s="684" t="s">
        <v>0</v>
      </c>
      <c r="U149" s="3625"/>
      <c r="V149" s="684">
        <v>3</v>
      </c>
      <c r="W149" s="684" t="s">
        <v>5877</v>
      </c>
      <c r="X149" s="686" t="s">
        <v>1</v>
      </c>
      <c r="Y149" s="871">
        <f t="shared" si="10"/>
        <v>4500</v>
      </c>
      <c r="Z149" s="2016"/>
      <c r="AB149" s="669"/>
    </row>
    <row r="150" spans="1:28" ht="21.75" customHeight="1">
      <c r="A150" s="636"/>
      <c r="B150" s="2035"/>
      <c r="C150" s="624"/>
      <c r="D150" s="2020"/>
      <c r="E150" s="675"/>
      <c r="F150" s="1261"/>
      <c r="G150" s="1261"/>
      <c r="H150" s="1021"/>
      <c r="I150" s="2973"/>
      <c r="J150" s="681" t="s">
        <v>5890</v>
      </c>
      <c r="K150" s="3620"/>
      <c r="L150" s="3620"/>
      <c r="M150" s="3620"/>
      <c r="N150" s="3620"/>
      <c r="O150" s="3620"/>
      <c r="P150" s="3625"/>
      <c r="Q150" s="3625"/>
      <c r="R150" s="684"/>
      <c r="S150" s="684">
        <v>5000</v>
      </c>
      <c r="T150" s="684" t="s">
        <v>0</v>
      </c>
      <c r="U150" s="3625"/>
      <c r="V150" s="684">
        <v>500</v>
      </c>
      <c r="W150" s="684" t="s">
        <v>64</v>
      </c>
      <c r="X150" s="686" t="s">
        <v>1</v>
      </c>
      <c r="Y150" s="871">
        <f t="shared" si="10"/>
        <v>2500</v>
      </c>
      <c r="Z150" s="2016"/>
      <c r="AB150" s="669"/>
    </row>
    <row r="151" spans="1:28" ht="21.75" customHeight="1">
      <c r="A151" s="636"/>
      <c r="B151" s="2035"/>
      <c r="C151" s="624"/>
      <c r="D151" s="2020"/>
      <c r="E151" s="675"/>
      <c r="F151" s="1261"/>
      <c r="G151" s="1261"/>
      <c r="H151" s="1021"/>
      <c r="I151" s="2973"/>
      <c r="J151" s="681" t="s">
        <v>5891</v>
      </c>
      <c r="K151" s="3620"/>
      <c r="L151" s="3620"/>
      <c r="M151" s="3620"/>
      <c r="N151" s="3620"/>
      <c r="O151" s="3620"/>
      <c r="P151" s="3625"/>
      <c r="Q151" s="3625"/>
      <c r="R151" s="684"/>
      <c r="S151" s="684">
        <v>5000</v>
      </c>
      <c r="T151" s="684" t="s">
        <v>0</v>
      </c>
      <c r="U151" s="3625"/>
      <c r="V151" s="684">
        <v>200</v>
      </c>
      <c r="W151" s="684" t="s">
        <v>64</v>
      </c>
      <c r="X151" s="686" t="s">
        <v>1</v>
      </c>
      <c r="Y151" s="871">
        <f t="shared" si="10"/>
        <v>1000</v>
      </c>
      <c r="Z151" s="2016"/>
      <c r="AB151" s="669"/>
    </row>
    <row r="152" spans="1:28" ht="21.75" customHeight="1">
      <c r="A152" s="636"/>
      <c r="B152" s="2035"/>
      <c r="C152" s="624"/>
      <c r="D152" s="2020"/>
      <c r="E152" s="677" t="s">
        <v>62</v>
      </c>
      <c r="F152" s="989">
        <f t="shared" ref="F152:F153" si="11">Y152</f>
        <v>600</v>
      </c>
      <c r="G152" s="989">
        <v>600</v>
      </c>
      <c r="H152" s="1021"/>
      <c r="I152" s="2973"/>
      <c r="J152" s="681" t="s">
        <v>87</v>
      </c>
      <c r="K152" s="3620"/>
      <c r="L152" s="3620"/>
      <c r="M152" s="3620"/>
      <c r="N152" s="3620"/>
      <c r="O152" s="3620"/>
      <c r="P152" s="3625"/>
      <c r="Q152" s="3625"/>
      <c r="R152" s="684"/>
      <c r="S152" s="684">
        <v>300000</v>
      </c>
      <c r="T152" s="684" t="s">
        <v>0</v>
      </c>
      <c r="U152" s="3625"/>
      <c r="V152" s="684">
        <v>2</v>
      </c>
      <c r="W152" s="684" t="s">
        <v>3</v>
      </c>
      <c r="X152" s="686" t="s">
        <v>1</v>
      </c>
      <c r="Y152" s="871">
        <f t="shared" si="10"/>
        <v>600</v>
      </c>
      <c r="Z152" s="2016"/>
      <c r="AB152" s="669"/>
    </row>
    <row r="153" spans="1:28" ht="21.75" customHeight="1">
      <c r="A153" s="636"/>
      <c r="B153" s="2035"/>
      <c r="C153" s="624"/>
      <c r="D153" s="2020"/>
      <c r="E153" s="2039" t="s">
        <v>61</v>
      </c>
      <c r="F153" s="2570">
        <f t="shared" si="11"/>
        <v>400</v>
      </c>
      <c r="G153" s="2570">
        <v>400</v>
      </c>
      <c r="H153" s="1000"/>
      <c r="I153" s="3660"/>
      <c r="J153" s="2042" t="s">
        <v>88</v>
      </c>
      <c r="K153" s="2043"/>
      <c r="L153" s="2043"/>
      <c r="M153" s="2043"/>
      <c r="N153" s="1093"/>
      <c r="O153" s="1093"/>
      <c r="P153" s="1093"/>
      <c r="Q153" s="2045"/>
      <c r="R153" s="2046"/>
      <c r="S153" s="2045">
        <v>200000</v>
      </c>
      <c r="T153" s="2045" t="s">
        <v>0</v>
      </c>
      <c r="U153" s="1093"/>
      <c r="V153" s="2045">
        <v>2</v>
      </c>
      <c r="W153" s="2045" t="s">
        <v>3</v>
      </c>
      <c r="X153" s="2047" t="s">
        <v>1</v>
      </c>
      <c r="Y153" s="981">
        <f t="shared" si="10"/>
        <v>400</v>
      </c>
      <c r="Z153" s="2016"/>
      <c r="AB153" s="669"/>
    </row>
    <row r="154" spans="1:28" ht="20.45" customHeight="1">
      <c r="A154" s="636"/>
      <c r="B154" s="2035"/>
      <c r="C154" s="624"/>
      <c r="D154" s="3837" t="s">
        <v>90</v>
      </c>
      <c r="E154" s="3824"/>
      <c r="F154" s="1587">
        <f>SUM(F155:F165)</f>
        <v>51000</v>
      </c>
      <c r="G154" s="1587">
        <f>SUM(G155:G165)</f>
        <v>51000</v>
      </c>
      <c r="H154" s="495">
        <f>F154-G154</f>
        <v>0</v>
      </c>
      <c r="I154" s="2014"/>
      <c r="J154" s="2017"/>
      <c r="K154" s="2065"/>
      <c r="L154" s="2065"/>
      <c r="M154" s="2065"/>
      <c r="N154" s="2065"/>
      <c r="O154" s="2065"/>
      <c r="P154" s="2018"/>
      <c r="Q154" s="2065"/>
      <c r="R154" s="2065"/>
      <c r="S154" s="2018"/>
      <c r="T154" s="2065"/>
      <c r="U154" s="2065"/>
      <c r="V154" s="2018"/>
      <c r="W154" s="2065"/>
      <c r="X154" s="2053"/>
      <c r="Y154" s="2054"/>
      <c r="Z154" s="2016"/>
      <c r="AB154" s="669"/>
    </row>
    <row r="155" spans="1:28" ht="20.45" customHeight="1">
      <c r="A155" s="636"/>
      <c r="B155" s="2035"/>
      <c r="C155" s="473"/>
      <c r="D155" s="2020"/>
      <c r="E155" s="2132" t="s">
        <v>81</v>
      </c>
      <c r="F155" s="1921">
        <f>+Y155</f>
        <v>26000</v>
      </c>
      <c r="G155" s="1921">
        <v>26000</v>
      </c>
      <c r="H155" s="1024"/>
      <c r="I155" s="2060"/>
      <c r="J155" s="2225" t="s">
        <v>2490</v>
      </c>
      <c r="K155" s="2226"/>
      <c r="L155" s="2226"/>
      <c r="M155" s="2226"/>
      <c r="N155" s="1035"/>
      <c r="O155" s="1035"/>
      <c r="P155" s="1035"/>
      <c r="Q155" s="1037">
        <v>1</v>
      </c>
      <c r="R155" s="1426" t="s">
        <v>25</v>
      </c>
      <c r="S155" s="1037">
        <v>2166666.6666666665</v>
      </c>
      <c r="T155" s="1037" t="s">
        <v>0</v>
      </c>
      <c r="U155" s="1037" t="s">
        <v>20</v>
      </c>
      <c r="V155" s="1037">
        <v>12</v>
      </c>
      <c r="W155" s="1037" t="s">
        <v>2</v>
      </c>
      <c r="X155" s="2228" t="s">
        <v>1</v>
      </c>
      <c r="Y155" s="2597">
        <f>+Q155*S155*V155/1000</f>
        <v>26000</v>
      </c>
      <c r="Z155" s="2016"/>
      <c r="AB155" s="669"/>
    </row>
    <row r="156" spans="1:28" ht="20.45" customHeight="1">
      <c r="A156" s="636"/>
      <c r="B156" s="2035"/>
      <c r="C156" s="624"/>
      <c r="D156" s="2038"/>
      <c r="E156" s="677" t="s">
        <v>57</v>
      </c>
      <c r="F156" s="989">
        <f>+Y156</f>
        <v>4000</v>
      </c>
      <c r="G156" s="989">
        <v>4000</v>
      </c>
      <c r="H156" s="1022"/>
      <c r="I156" s="2060"/>
      <c r="J156" s="481" t="s">
        <v>3755</v>
      </c>
      <c r="K156" s="2075"/>
      <c r="L156" s="2075"/>
      <c r="M156" s="2075"/>
      <c r="N156" s="682"/>
      <c r="O156" s="682"/>
      <c r="P156" s="709"/>
      <c r="Q156" s="2778">
        <v>100</v>
      </c>
      <c r="R156" s="684" t="s">
        <v>72</v>
      </c>
      <c r="S156" s="684">
        <v>10000</v>
      </c>
      <c r="T156" s="684" t="s">
        <v>0</v>
      </c>
      <c r="U156" s="2778"/>
      <c r="V156" s="684">
        <v>4</v>
      </c>
      <c r="W156" s="684" t="s">
        <v>3</v>
      </c>
      <c r="X156" s="686" t="s">
        <v>1</v>
      </c>
      <c r="Y156" s="871">
        <f>+Q156*S156*V156/1000</f>
        <v>4000</v>
      </c>
      <c r="Z156" s="2016"/>
      <c r="AB156" s="669"/>
    </row>
    <row r="157" spans="1:28" ht="20.45" customHeight="1">
      <c r="A157" s="636"/>
      <c r="B157" s="2035"/>
      <c r="C157" s="624"/>
      <c r="D157" s="2038"/>
      <c r="E157" s="677" t="s">
        <v>80</v>
      </c>
      <c r="F157" s="989">
        <f>+Y157</f>
        <v>9000</v>
      </c>
      <c r="G157" s="989">
        <v>9000</v>
      </c>
      <c r="H157" s="1022"/>
      <c r="I157" s="2060"/>
      <c r="J157" s="681" t="s">
        <v>8</v>
      </c>
      <c r="K157" s="682"/>
      <c r="L157" s="682"/>
      <c r="M157" s="682"/>
      <c r="N157" s="709"/>
      <c r="O157" s="709"/>
      <c r="P157" s="709"/>
      <c r="Q157" s="684"/>
      <c r="R157" s="684"/>
      <c r="S157" s="684"/>
      <c r="T157" s="684"/>
      <c r="U157" s="684"/>
      <c r="V157" s="684"/>
      <c r="W157" s="684"/>
      <c r="X157" s="686"/>
      <c r="Y157" s="871">
        <f>SUM(Y158:Y159)</f>
        <v>9000</v>
      </c>
      <c r="Z157" s="2016"/>
      <c r="AB157" s="669"/>
    </row>
    <row r="158" spans="1:28" ht="20.45" customHeight="1">
      <c r="A158" s="636"/>
      <c r="B158" s="2035"/>
      <c r="C158" s="624"/>
      <c r="D158" s="2038"/>
      <c r="E158" s="677"/>
      <c r="F158" s="989"/>
      <c r="G158" s="989"/>
      <c r="H158" s="1022"/>
      <c r="I158" s="2060"/>
      <c r="J158" s="681" t="s">
        <v>2491</v>
      </c>
      <c r="K158" s="682"/>
      <c r="L158" s="682"/>
      <c r="M158" s="682"/>
      <c r="N158" s="709"/>
      <c r="O158" s="709"/>
      <c r="P158" s="709"/>
      <c r="Q158" s="684">
        <v>50</v>
      </c>
      <c r="R158" s="684" t="s">
        <v>31</v>
      </c>
      <c r="S158" s="684">
        <v>4250</v>
      </c>
      <c r="T158" s="684" t="s">
        <v>0</v>
      </c>
      <c r="U158" s="684"/>
      <c r="V158" s="684">
        <v>40</v>
      </c>
      <c r="W158" s="684" t="s">
        <v>28</v>
      </c>
      <c r="X158" s="686" t="s">
        <v>1</v>
      </c>
      <c r="Y158" s="871">
        <f>+Q158*S158*V158/1000</f>
        <v>8500</v>
      </c>
      <c r="Z158" s="2016"/>
      <c r="AB158" s="669"/>
    </row>
    <row r="159" spans="1:28" ht="20.45" customHeight="1">
      <c r="A159" s="636"/>
      <c r="B159" s="2035"/>
      <c r="C159" s="624"/>
      <c r="D159" s="2038"/>
      <c r="E159" s="677"/>
      <c r="F159" s="989"/>
      <c r="G159" s="989"/>
      <c r="H159" s="1022"/>
      <c r="I159" s="2060"/>
      <c r="J159" s="681" t="s">
        <v>2492</v>
      </c>
      <c r="K159" s="682"/>
      <c r="L159" s="682"/>
      <c r="M159" s="682"/>
      <c r="N159" s="709"/>
      <c r="O159" s="709"/>
      <c r="P159" s="709"/>
      <c r="Q159" s="684">
        <v>1</v>
      </c>
      <c r="R159" s="684" t="s">
        <v>31</v>
      </c>
      <c r="S159" s="684">
        <v>100000</v>
      </c>
      <c r="T159" s="684" t="s">
        <v>0</v>
      </c>
      <c r="U159" s="684"/>
      <c r="V159" s="684">
        <v>5</v>
      </c>
      <c r="W159" s="684" t="s">
        <v>28</v>
      </c>
      <c r="X159" s="686" t="s">
        <v>1</v>
      </c>
      <c r="Y159" s="871">
        <f>+Q159*S159*V159/1000</f>
        <v>500</v>
      </c>
      <c r="Z159" s="2016"/>
      <c r="AB159" s="669"/>
    </row>
    <row r="160" spans="1:28" ht="20.45" customHeight="1">
      <c r="A160" s="636"/>
      <c r="B160" s="2035"/>
      <c r="C160" s="624"/>
      <c r="D160" s="2038"/>
      <c r="E160" s="677" t="s">
        <v>58</v>
      </c>
      <c r="F160" s="989">
        <f>+Y160</f>
        <v>11000</v>
      </c>
      <c r="G160" s="989">
        <v>11000</v>
      </c>
      <c r="H160" s="1022"/>
      <c r="I160" s="2060"/>
      <c r="J160" s="681" t="s">
        <v>8</v>
      </c>
      <c r="K160" s="682"/>
      <c r="L160" s="682"/>
      <c r="M160" s="682"/>
      <c r="N160" s="709"/>
      <c r="O160" s="709"/>
      <c r="P160" s="709"/>
      <c r="Q160" s="684"/>
      <c r="R160" s="685"/>
      <c r="S160" s="685" t="s">
        <v>20</v>
      </c>
      <c r="T160" s="684" t="s">
        <v>20</v>
      </c>
      <c r="U160" s="684" t="s">
        <v>20</v>
      </c>
      <c r="V160" s="684" t="s">
        <v>20</v>
      </c>
      <c r="W160" s="684" t="s">
        <v>20</v>
      </c>
      <c r="X160" s="686" t="s">
        <v>20</v>
      </c>
      <c r="Y160" s="2313">
        <f>SUM(Y161:Y164)</f>
        <v>11000</v>
      </c>
      <c r="Z160" s="2016"/>
      <c r="AB160" s="669"/>
    </row>
    <row r="161" spans="1:28" ht="20.45" customHeight="1">
      <c r="A161" s="636"/>
      <c r="B161" s="2035"/>
      <c r="C161" s="624"/>
      <c r="D161" s="2038"/>
      <c r="E161" s="677"/>
      <c r="F161" s="989"/>
      <c r="G161" s="989"/>
      <c r="H161" s="1022"/>
      <c r="I161" s="2060"/>
      <c r="J161" s="681" t="s">
        <v>2493</v>
      </c>
      <c r="K161" s="682"/>
      <c r="L161" s="682"/>
      <c r="M161" s="682"/>
      <c r="N161" s="682"/>
      <c r="O161" s="682"/>
      <c r="P161" s="709"/>
      <c r="Q161" s="709"/>
      <c r="R161" s="684"/>
      <c r="S161" s="684">
        <v>300000</v>
      </c>
      <c r="T161" s="684" t="s">
        <v>0</v>
      </c>
      <c r="U161" s="709"/>
      <c r="V161" s="684">
        <v>5</v>
      </c>
      <c r="W161" s="684" t="s">
        <v>3</v>
      </c>
      <c r="X161" s="686" t="s">
        <v>1</v>
      </c>
      <c r="Y161" s="871">
        <f>+S161*V161/1000</f>
        <v>1500</v>
      </c>
      <c r="Z161" s="2016"/>
      <c r="AB161" s="669"/>
    </row>
    <row r="162" spans="1:28" ht="20.45" customHeight="1">
      <c r="A162" s="636"/>
      <c r="B162" s="2035"/>
      <c r="C162" s="624"/>
      <c r="D162" s="2038"/>
      <c r="E162" s="677"/>
      <c r="F162" s="989"/>
      <c r="G162" s="989"/>
      <c r="H162" s="1022"/>
      <c r="I162" s="2060"/>
      <c r="J162" s="681" t="s">
        <v>2494</v>
      </c>
      <c r="K162" s="682"/>
      <c r="L162" s="682"/>
      <c r="M162" s="682"/>
      <c r="N162" s="682"/>
      <c r="O162" s="682"/>
      <c r="P162" s="709"/>
      <c r="Q162" s="709">
        <v>50</v>
      </c>
      <c r="R162" s="684" t="s">
        <v>31</v>
      </c>
      <c r="S162" s="684">
        <v>100000</v>
      </c>
      <c r="T162" s="684" t="s">
        <v>0</v>
      </c>
      <c r="U162" s="709"/>
      <c r="V162" s="684">
        <v>1</v>
      </c>
      <c r="W162" s="684" t="s">
        <v>28</v>
      </c>
      <c r="X162" s="686" t="s">
        <v>1</v>
      </c>
      <c r="Y162" s="871">
        <f>+Q162*S162*V162/1000</f>
        <v>5000</v>
      </c>
      <c r="Z162" s="2016"/>
      <c r="AB162" s="669"/>
    </row>
    <row r="163" spans="1:28" ht="20.45" customHeight="1">
      <c r="A163" s="636"/>
      <c r="B163" s="2035"/>
      <c r="C163" s="624"/>
      <c r="D163" s="2038"/>
      <c r="E163" s="677"/>
      <c r="F163" s="989"/>
      <c r="G163" s="989"/>
      <c r="H163" s="1022"/>
      <c r="I163" s="2060"/>
      <c r="J163" s="681" t="s">
        <v>392</v>
      </c>
      <c r="K163" s="682"/>
      <c r="L163" s="682"/>
      <c r="M163" s="682"/>
      <c r="N163" s="682"/>
      <c r="O163" s="682"/>
      <c r="P163" s="709"/>
      <c r="Q163" s="709">
        <v>50</v>
      </c>
      <c r="R163" s="684" t="s">
        <v>31</v>
      </c>
      <c r="S163" s="684">
        <v>70000</v>
      </c>
      <c r="T163" s="684" t="s">
        <v>0</v>
      </c>
      <c r="U163" s="709"/>
      <c r="V163" s="684">
        <v>1</v>
      </c>
      <c r="W163" s="684" t="s">
        <v>28</v>
      </c>
      <c r="X163" s="686" t="s">
        <v>1</v>
      </c>
      <c r="Y163" s="871">
        <f>+Q163*S163*V163/1000</f>
        <v>3500</v>
      </c>
      <c r="Z163" s="2016"/>
      <c r="AB163" s="669"/>
    </row>
    <row r="164" spans="1:28" ht="20.45" customHeight="1">
      <c r="A164" s="636"/>
      <c r="B164" s="2035"/>
      <c r="C164" s="624"/>
      <c r="D164" s="2038"/>
      <c r="E164" s="677"/>
      <c r="F164" s="989"/>
      <c r="G164" s="989"/>
      <c r="H164" s="1022"/>
      <c r="I164" s="2060"/>
      <c r="J164" s="681" t="s">
        <v>2495</v>
      </c>
      <c r="K164" s="682"/>
      <c r="L164" s="682"/>
      <c r="M164" s="682"/>
      <c r="N164" s="682"/>
      <c r="O164" s="682"/>
      <c r="P164" s="709"/>
      <c r="Q164" s="709"/>
      <c r="R164" s="684"/>
      <c r="S164" s="684">
        <v>200000</v>
      </c>
      <c r="T164" s="684" t="s">
        <v>0</v>
      </c>
      <c r="U164" s="709"/>
      <c r="V164" s="684">
        <v>5</v>
      </c>
      <c r="W164" s="684" t="s">
        <v>28</v>
      </c>
      <c r="X164" s="686" t="s">
        <v>1</v>
      </c>
      <c r="Y164" s="871">
        <f>+S164*V164/1000</f>
        <v>1000</v>
      </c>
      <c r="Z164" s="2016"/>
      <c r="AB164" s="669"/>
    </row>
    <row r="165" spans="1:28" ht="20.45" customHeight="1">
      <c r="A165" s="636"/>
      <c r="B165" s="2035"/>
      <c r="C165" s="624"/>
      <c r="D165" s="2038"/>
      <c r="E165" s="2039" t="s">
        <v>61</v>
      </c>
      <c r="F165" s="2570">
        <f>+Y165</f>
        <v>1000</v>
      </c>
      <c r="G165" s="2570">
        <v>1000</v>
      </c>
      <c r="H165" s="1026"/>
      <c r="I165" s="2060"/>
      <c r="J165" s="2042" t="s">
        <v>88</v>
      </c>
      <c r="K165" s="2043"/>
      <c r="L165" s="2043"/>
      <c r="M165" s="2043"/>
      <c r="N165" s="2043"/>
      <c r="O165" s="2043"/>
      <c r="P165" s="1093"/>
      <c r="Q165" s="2045">
        <v>10</v>
      </c>
      <c r="R165" s="2045" t="s">
        <v>25</v>
      </c>
      <c r="S165" s="2045">
        <v>20000</v>
      </c>
      <c r="T165" s="2045" t="s">
        <v>0</v>
      </c>
      <c r="U165" s="1093"/>
      <c r="V165" s="2045">
        <v>5</v>
      </c>
      <c r="W165" s="2045" t="s">
        <v>3</v>
      </c>
      <c r="X165" s="2047" t="s">
        <v>1</v>
      </c>
      <c r="Y165" s="981">
        <f>+Q165*S165*V165/1000</f>
        <v>1000</v>
      </c>
      <c r="Z165" s="2016"/>
      <c r="AB165" s="669"/>
    </row>
    <row r="166" spans="1:28" ht="20.45" customHeight="1">
      <c r="A166" s="636"/>
      <c r="B166" s="2035"/>
      <c r="C166" s="624"/>
      <c r="D166" s="3939" t="s">
        <v>91</v>
      </c>
      <c r="E166" s="3824"/>
      <c r="F166" s="1587">
        <f>SUM(F167:F186)</f>
        <v>37000</v>
      </c>
      <c r="G166" s="1587">
        <f>SUM(G167:G186)</f>
        <v>37000</v>
      </c>
      <c r="H166" s="495">
        <f>F166-G166</f>
        <v>0</v>
      </c>
      <c r="I166" s="2014"/>
      <c r="J166" s="481"/>
      <c r="K166" s="2075"/>
      <c r="L166" s="2075"/>
      <c r="M166" s="2075"/>
      <c r="N166" s="2075"/>
      <c r="O166" s="2075"/>
      <c r="P166" s="2016"/>
      <c r="Q166" s="2075"/>
      <c r="R166" s="2075"/>
      <c r="S166" s="2016"/>
      <c r="T166" s="2075"/>
      <c r="U166" s="2075"/>
      <c r="V166" s="2016"/>
      <c r="W166" s="2075"/>
      <c r="X166" s="3184"/>
      <c r="Y166" s="658"/>
      <c r="Z166" s="2016">
        <f>F166*1000</f>
        <v>37000000</v>
      </c>
      <c r="AB166" s="669"/>
    </row>
    <row r="167" spans="1:28" ht="20.45" customHeight="1">
      <c r="A167" s="636"/>
      <c r="B167" s="2035"/>
      <c r="C167" s="624"/>
      <c r="D167" s="506"/>
      <c r="E167" s="532" t="s">
        <v>57</v>
      </c>
      <c r="F167" s="593">
        <f>+Y167</f>
        <v>5700</v>
      </c>
      <c r="G167" s="593">
        <v>5700</v>
      </c>
      <c r="H167" s="554"/>
      <c r="I167" s="2373"/>
      <c r="J167" s="2225" t="s">
        <v>8</v>
      </c>
      <c r="K167" s="1037"/>
      <c r="L167" s="1037"/>
      <c r="M167" s="1037"/>
      <c r="N167" s="1037"/>
      <c r="O167" s="1037"/>
      <c r="P167" s="1037"/>
      <c r="Q167" s="1037"/>
      <c r="R167" s="1426"/>
      <c r="S167" s="1426" t="s">
        <v>20</v>
      </c>
      <c r="T167" s="1037" t="s">
        <v>20</v>
      </c>
      <c r="U167" s="1037" t="s">
        <v>20</v>
      </c>
      <c r="V167" s="1037" t="s">
        <v>20</v>
      </c>
      <c r="W167" s="1037" t="s">
        <v>20</v>
      </c>
      <c r="X167" s="2228" t="s">
        <v>20</v>
      </c>
      <c r="Y167" s="2597">
        <v>5700</v>
      </c>
      <c r="Z167" s="2030" t="s">
        <v>20</v>
      </c>
      <c r="AB167" s="669"/>
    </row>
    <row r="168" spans="1:28" ht="20.45" customHeight="1">
      <c r="A168" s="636"/>
      <c r="B168" s="2035"/>
      <c r="C168" s="624"/>
      <c r="D168" s="2020"/>
      <c r="E168" s="532"/>
      <c r="F168" s="593"/>
      <c r="G168" s="593"/>
      <c r="H168" s="554"/>
      <c r="I168" s="2373"/>
      <c r="J168" s="681" t="s">
        <v>4583</v>
      </c>
      <c r="K168" s="684"/>
      <c r="L168" s="684"/>
      <c r="M168" s="684"/>
      <c r="N168" s="684"/>
      <c r="O168" s="684"/>
      <c r="P168" s="684"/>
      <c r="Q168" s="3228">
        <v>2</v>
      </c>
      <c r="R168" s="684" t="s">
        <v>31</v>
      </c>
      <c r="S168" s="684">
        <v>15000</v>
      </c>
      <c r="T168" s="684" t="s">
        <v>0</v>
      </c>
      <c r="U168" s="3228"/>
      <c r="V168" s="684">
        <v>60</v>
      </c>
      <c r="W168" s="684" t="s">
        <v>69</v>
      </c>
      <c r="X168" s="686" t="s">
        <v>1</v>
      </c>
      <c r="Y168" s="871">
        <f>+Q168*S168*V168/1000</f>
        <v>1800</v>
      </c>
      <c r="Z168" s="2030"/>
      <c r="AB168" s="669"/>
    </row>
    <row r="169" spans="1:28" ht="20.45" customHeight="1">
      <c r="A169" s="636"/>
      <c r="B169" s="2035"/>
      <c r="C169" s="624"/>
      <c r="D169" s="2020"/>
      <c r="E169" s="532"/>
      <c r="F169" s="593"/>
      <c r="G169" s="593"/>
      <c r="H169" s="554"/>
      <c r="I169" s="2373"/>
      <c r="J169" s="681" t="s">
        <v>4584</v>
      </c>
      <c r="K169" s="684"/>
      <c r="L169" s="684"/>
      <c r="M169" s="684"/>
      <c r="N169" s="684"/>
      <c r="O169" s="684"/>
      <c r="P169" s="684"/>
      <c r="Q169" s="3228">
        <v>2</v>
      </c>
      <c r="R169" s="684" t="s">
        <v>31</v>
      </c>
      <c r="S169" s="684">
        <v>15000</v>
      </c>
      <c r="T169" s="684" t="s">
        <v>0</v>
      </c>
      <c r="U169" s="3228"/>
      <c r="V169" s="684">
        <v>130</v>
      </c>
      <c r="W169" s="684" t="s">
        <v>69</v>
      </c>
      <c r="X169" s="686" t="s">
        <v>1</v>
      </c>
      <c r="Y169" s="871">
        <f>+Q169*S169*V169/1000</f>
        <v>3900</v>
      </c>
      <c r="Z169" s="2030"/>
      <c r="AB169" s="669"/>
    </row>
    <row r="170" spans="1:28" ht="20.45" customHeight="1">
      <c r="A170" s="636"/>
      <c r="B170" s="2035"/>
      <c r="C170" s="624"/>
      <c r="D170" s="2020"/>
      <c r="E170" s="532" t="s">
        <v>27</v>
      </c>
      <c r="F170" s="593">
        <f>+Y170</f>
        <v>400</v>
      </c>
      <c r="G170" s="593">
        <v>400</v>
      </c>
      <c r="H170" s="554"/>
      <c r="I170" s="2373"/>
      <c r="J170" s="681" t="s">
        <v>8</v>
      </c>
      <c r="K170" s="684"/>
      <c r="L170" s="684"/>
      <c r="M170" s="684"/>
      <c r="N170" s="684"/>
      <c r="O170" s="684"/>
      <c r="P170" s="684"/>
      <c r="Q170" s="684"/>
      <c r="R170" s="3229"/>
      <c r="S170" s="3229" t="s">
        <v>20</v>
      </c>
      <c r="T170" s="684" t="s">
        <v>20</v>
      </c>
      <c r="U170" s="684" t="s">
        <v>20</v>
      </c>
      <c r="V170" s="684" t="s">
        <v>20</v>
      </c>
      <c r="W170" s="684" t="s">
        <v>20</v>
      </c>
      <c r="X170" s="686" t="s">
        <v>20</v>
      </c>
      <c r="Y170" s="2313">
        <f>+Y171+Y172</f>
        <v>400</v>
      </c>
      <c r="Z170" s="2030"/>
      <c r="AB170" s="669"/>
    </row>
    <row r="171" spans="1:28" ht="20.45" customHeight="1">
      <c r="A171" s="636"/>
      <c r="B171" s="2035"/>
      <c r="C171" s="624"/>
      <c r="D171" s="2020"/>
      <c r="E171" s="532"/>
      <c r="F171" s="593"/>
      <c r="G171" s="593"/>
      <c r="H171" s="554"/>
      <c r="I171" s="2373"/>
      <c r="J171" s="681" t="s">
        <v>4585</v>
      </c>
      <c r="K171" s="684"/>
      <c r="L171" s="684"/>
      <c r="M171" s="684"/>
      <c r="N171" s="684"/>
      <c r="O171" s="684"/>
      <c r="P171" s="684"/>
      <c r="Q171" s="684">
        <v>2</v>
      </c>
      <c r="R171" s="3229" t="s">
        <v>31</v>
      </c>
      <c r="S171" s="684">
        <v>2000</v>
      </c>
      <c r="T171" s="684" t="s">
        <v>0</v>
      </c>
      <c r="U171" s="684"/>
      <c r="V171" s="684">
        <v>50</v>
      </c>
      <c r="W171" s="684" t="s">
        <v>28</v>
      </c>
      <c r="X171" s="686" t="s">
        <v>1</v>
      </c>
      <c r="Y171" s="871">
        <f>+Q171*S171*V171/1000</f>
        <v>200</v>
      </c>
      <c r="Z171" s="2030"/>
      <c r="AB171" s="669"/>
    </row>
    <row r="172" spans="1:28" ht="20.45" customHeight="1">
      <c r="A172" s="636"/>
      <c r="B172" s="2035"/>
      <c r="C172" s="624"/>
      <c r="D172" s="2020"/>
      <c r="E172" s="532"/>
      <c r="F172" s="593"/>
      <c r="G172" s="593"/>
      <c r="H172" s="554"/>
      <c r="I172" s="2373"/>
      <c r="J172" s="681" t="s">
        <v>4586</v>
      </c>
      <c r="K172" s="684"/>
      <c r="L172" s="684"/>
      <c r="M172" s="684"/>
      <c r="N172" s="684"/>
      <c r="O172" s="684"/>
      <c r="P172" s="684"/>
      <c r="Q172" s="3228">
        <v>2</v>
      </c>
      <c r="R172" s="684" t="s">
        <v>31</v>
      </c>
      <c r="S172" s="684">
        <v>1000</v>
      </c>
      <c r="T172" s="684" t="s">
        <v>0</v>
      </c>
      <c r="U172" s="3228"/>
      <c r="V172" s="684">
        <v>100</v>
      </c>
      <c r="W172" s="684" t="s">
        <v>28</v>
      </c>
      <c r="X172" s="686" t="s">
        <v>1</v>
      </c>
      <c r="Y172" s="871">
        <f>+Q172*S172*V172/1000</f>
        <v>200</v>
      </c>
      <c r="Z172" s="2030"/>
      <c r="AB172" s="669"/>
    </row>
    <row r="173" spans="1:28" ht="20.45" customHeight="1">
      <c r="A173" s="636"/>
      <c r="B173" s="2035"/>
      <c r="C173" s="624"/>
      <c r="D173" s="2020"/>
      <c r="E173" s="532" t="s">
        <v>80</v>
      </c>
      <c r="F173" s="593">
        <f>+Y173</f>
        <v>9000</v>
      </c>
      <c r="G173" s="593">
        <v>4000</v>
      </c>
      <c r="H173" s="865">
        <f>F173-G173</f>
        <v>5000</v>
      </c>
      <c r="I173" s="2373"/>
      <c r="J173" s="681" t="s">
        <v>8</v>
      </c>
      <c r="K173" s="684"/>
      <c r="L173" s="684"/>
      <c r="M173" s="684"/>
      <c r="N173" s="684"/>
      <c r="O173" s="684"/>
      <c r="P173" s="684"/>
      <c r="Q173" s="684"/>
      <c r="R173" s="3229"/>
      <c r="S173" s="3229" t="s">
        <v>20</v>
      </c>
      <c r="T173" s="684" t="s">
        <v>20</v>
      </c>
      <c r="U173" s="684" t="s">
        <v>20</v>
      </c>
      <c r="V173" s="684" t="s">
        <v>20</v>
      </c>
      <c r="W173" s="684" t="s">
        <v>20</v>
      </c>
      <c r="X173" s="686" t="s">
        <v>20</v>
      </c>
      <c r="Y173" s="2313">
        <f>+Y174+Y175</f>
        <v>9000</v>
      </c>
      <c r="Z173" s="2030"/>
      <c r="AB173" s="669"/>
    </row>
    <row r="174" spans="1:28" ht="20.45" customHeight="1">
      <c r="A174" s="636"/>
      <c r="B174" s="2035"/>
      <c r="C174" s="624"/>
      <c r="D174" s="2020"/>
      <c r="E174" s="532"/>
      <c r="F174" s="593"/>
      <c r="G174" s="593"/>
      <c r="H174" s="554"/>
      <c r="I174" s="2373"/>
      <c r="J174" s="681" t="s">
        <v>4587</v>
      </c>
      <c r="K174" s="684"/>
      <c r="L174" s="684"/>
      <c r="M174" s="684"/>
      <c r="N174" s="684"/>
      <c r="O174" s="684"/>
      <c r="P174" s="684"/>
      <c r="Q174" s="3228">
        <v>100</v>
      </c>
      <c r="R174" s="684" t="s">
        <v>25</v>
      </c>
      <c r="S174" s="684">
        <v>40000</v>
      </c>
      <c r="T174" s="684" t="s">
        <v>0</v>
      </c>
      <c r="U174" s="3228"/>
      <c r="V174" s="684">
        <v>2</v>
      </c>
      <c r="W174" s="684" t="s">
        <v>3</v>
      </c>
      <c r="X174" s="686" t="s">
        <v>1</v>
      </c>
      <c r="Y174" s="871">
        <f>+Q174*S174*V174/1000</f>
        <v>8000</v>
      </c>
      <c r="Z174" s="3150"/>
      <c r="AB174" s="669"/>
    </row>
    <row r="175" spans="1:28" ht="20.45" customHeight="1">
      <c r="A175" s="636"/>
      <c r="B175" s="2035"/>
      <c r="C175" s="624"/>
      <c r="D175" s="2020"/>
      <c r="E175" s="532"/>
      <c r="F175" s="593"/>
      <c r="G175" s="593"/>
      <c r="H175" s="554"/>
      <c r="I175" s="2373"/>
      <c r="J175" s="681" t="s">
        <v>4588</v>
      </c>
      <c r="K175" s="684"/>
      <c r="L175" s="684"/>
      <c r="M175" s="684"/>
      <c r="N175" s="684"/>
      <c r="O175" s="684"/>
      <c r="P175" s="684"/>
      <c r="Q175" s="3228">
        <v>1</v>
      </c>
      <c r="R175" s="684" t="s">
        <v>92</v>
      </c>
      <c r="S175" s="684">
        <v>100000</v>
      </c>
      <c r="T175" s="684" t="s">
        <v>0</v>
      </c>
      <c r="U175" s="3228"/>
      <c r="V175" s="684">
        <v>10</v>
      </c>
      <c r="W175" s="684" t="s">
        <v>64</v>
      </c>
      <c r="X175" s="686" t="s">
        <v>1</v>
      </c>
      <c r="Y175" s="871">
        <f>+Q175*S175*V175/1000</f>
        <v>1000</v>
      </c>
      <c r="Z175" s="2030"/>
      <c r="AB175" s="669"/>
    </row>
    <row r="176" spans="1:28" ht="20.45" customHeight="1">
      <c r="A176" s="636"/>
      <c r="B176" s="2035"/>
      <c r="C176" s="624"/>
      <c r="D176" s="2020"/>
      <c r="E176" s="532" t="s">
        <v>58</v>
      </c>
      <c r="F176" s="593">
        <f>+Y176</f>
        <v>16800</v>
      </c>
      <c r="G176" s="593">
        <v>21000</v>
      </c>
      <c r="H176" s="865">
        <f>F176-G176</f>
        <v>-4200</v>
      </c>
      <c r="I176" s="2373"/>
      <c r="J176" s="681" t="s">
        <v>8</v>
      </c>
      <c r="K176" s="684"/>
      <c r="L176" s="684"/>
      <c r="M176" s="684"/>
      <c r="N176" s="684"/>
      <c r="O176" s="684"/>
      <c r="P176" s="684"/>
      <c r="Q176" s="684"/>
      <c r="R176" s="3229"/>
      <c r="S176" s="3229" t="s">
        <v>20</v>
      </c>
      <c r="T176" s="684" t="s">
        <v>20</v>
      </c>
      <c r="U176" s="684" t="s">
        <v>20</v>
      </c>
      <c r="V176" s="684" t="s">
        <v>20</v>
      </c>
      <c r="W176" s="684" t="s">
        <v>20</v>
      </c>
      <c r="X176" s="686" t="s">
        <v>20</v>
      </c>
      <c r="Y176" s="2313">
        <f>SUM(Y177:Y179)</f>
        <v>16800</v>
      </c>
      <c r="Z176" s="2030"/>
      <c r="AB176" s="669"/>
    </row>
    <row r="177" spans="1:256" ht="20.45" customHeight="1">
      <c r="A177" s="636"/>
      <c r="B177" s="2035"/>
      <c r="C177" s="624"/>
      <c r="D177" s="2020"/>
      <c r="E177" s="532"/>
      <c r="F177" s="593"/>
      <c r="G177" s="593"/>
      <c r="H177" s="554"/>
      <c r="I177" s="2373"/>
      <c r="J177" s="681" t="s">
        <v>4589</v>
      </c>
      <c r="K177" s="684"/>
      <c r="L177" s="684"/>
      <c r="M177" s="684"/>
      <c r="N177" s="684"/>
      <c r="O177" s="684"/>
      <c r="P177" s="684"/>
      <c r="Q177" s="3228">
        <v>8</v>
      </c>
      <c r="R177" s="684" t="s">
        <v>25</v>
      </c>
      <c r="S177" s="684">
        <v>450000</v>
      </c>
      <c r="T177" s="684" t="s">
        <v>0</v>
      </c>
      <c r="U177" s="3228"/>
      <c r="V177" s="684">
        <v>2</v>
      </c>
      <c r="W177" s="684" t="s">
        <v>3</v>
      </c>
      <c r="X177" s="686" t="s">
        <v>1</v>
      </c>
      <c r="Y177" s="871">
        <f t="shared" ref="Y177:Y182" si="12">+Q177*S177*V177/1000</f>
        <v>7200</v>
      </c>
      <c r="Z177" s="3150"/>
      <c r="AB177" s="669"/>
    </row>
    <row r="178" spans="1:256" ht="20.45" customHeight="1">
      <c r="A178" s="636"/>
      <c r="B178" s="2035"/>
      <c r="C178" s="624"/>
      <c r="D178" s="2020"/>
      <c r="E178" s="532"/>
      <c r="F178" s="593"/>
      <c r="G178" s="593"/>
      <c r="H178" s="554"/>
      <c r="I178" s="2373"/>
      <c r="J178" s="681" t="s">
        <v>4590</v>
      </c>
      <c r="K178" s="684"/>
      <c r="L178" s="684"/>
      <c r="M178" s="684"/>
      <c r="N178" s="684"/>
      <c r="O178" s="684"/>
      <c r="P178" s="684"/>
      <c r="Q178" s="3228">
        <v>8</v>
      </c>
      <c r="R178" s="684" t="s">
        <v>25</v>
      </c>
      <c r="S178" s="684">
        <v>300000</v>
      </c>
      <c r="T178" s="684" t="s">
        <v>0</v>
      </c>
      <c r="U178" s="3228"/>
      <c r="V178" s="684">
        <v>2</v>
      </c>
      <c r="W178" s="684" t="s">
        <v>3</v>
      </c>
      <c r="X178" s="686" t="s">
        <v>1</v>
      </c>
      <c r="Y178" s="871">
        <f t="shared" si="12"/>
        <v>4800</v>
      </c>
      <c r="Z178" s="2030"/>
      <c r="AB178" s="669"/>
    </row>
    <row r="179" spans="1:256" ht="20.45" customHeight="1">
      <c r="A179" s="636"/>
      <c r="B179" s="2035"/>
      <c r="C179" s="624"/>
      <c r="D179" s="2020"/>
      <c r="E179" s="532"/>
      <c r="F179" s="593"/>
      <c r="G179" s="593"/>
      <c r="H179" s="554"/>
      <c r="I179" s="2373"/>
      <c r="J179" s="681" t="s">
        <v>4599</v>
      </c>
      <c r="K179" s="684"/>
      <c r="L179" s="684"/>
      <c r="M179" s="684"/>
      <c r="N179" s="684"/>
      <c r="O179" s="3228">
        <v>8</v>
      </c>
      <c r="P179" s="684" t="s">
        <v>25</v>
      </c>
      <c r="Q179" s="3228">
        <v>50</v>
      </c>
      <c r="R179" s="684" t="s">
        <v>33</v>
      </c>
      <c r="S179" s="684">
        <v>6000</v>
      </c>
      <c r="T179" s="684" t="s">
        <v>0</v>
      </c>
      <c r="U179" s="3228"/>
      <c r="V179" s="684">
        <v>2</v>
      </c>
      <c r="W179" s="684" t="s">
        <v>3</v>
      </c>
      <c r="X179" s="686" t="s">
        <v>1</v>
      </c>
      <c r="Y179" s="871">
        <f>+O179*Q179*S179*V179/1000</f>
        <v>4800</v>
      </c>
      <c r="Z179" s="2030"/>
      <c r="AB179" s="669"/>
    </row>
    <row r="180" spans="1:256" ht="20.45" customHeight="1">
      <c r="A180" s="636"/>
      <c r="B180" s="2035"/>
      <c r="C180" s="624"/>
      <c r="D180" s="2020"/>
      <c r="E180" s="532" t="s">
        <v>4597</v>
      </c>
      <c r="F180" s="593">
        <f>+Y180</f>
        <v>2700</v>
      </c>
      <c r="G180" s="593">
        <v>3500</v>
      </c>
      <c r="H180" s="865">
        <f>F180-G180</f>
        <v>-800</v>
      </c>
      <c r="I180" s="2373"/>
      <c r="J180" s="681" t="s">
        <v>8</v>
      </c>
      <c r="K180" s="684"/>
      <c r="L180" s="684"/>
      <c r="M180" s="684"/>
      <c r="N180" s="684"/>
      <c r="O180" s="869"/>
      <c r="P180" s="3228"/>
      <c r="Q180" s="684"/>
      <c r="R180" s="3229"/>
      <c r="S180" s="3229" t="s">
        <v>20</v>
      </c>
      <c r="T180" s="684" t="s">
        <v>20</v>
      </c>
      <c r="U180" s="684" t="s">
        <v>20</v>
      </c>
      <c r="V180" s="684" t="s">
        <v>20</v>
      </c>
      <c r="W180" s="684" t="s">
        <v>20</v>
      </c>
      <c r="X180" s="686" t="s">
        <v>20</v>
      </c>
      <c r="Y180" s="2313">
        <f>+Y181+Y182</f>
        <v>2700</v>
      </c>
      <c r="Z180" s="2030"/>
      <c r="AB180" s="669"/>
    </row>
    <row r="181" spans="1:256" ht="20.45" customHeight="1">
      <c r="A181" s="636"/>
      <c r="B181" s="2035"/>
      <c r="C181" s="624"/>
      <c r="D181" s="2020"/>
      <c r="E181" s="532"/>
      <c r="F181" s="593"/>
      <c r="G181" s="593"/>
      <c r="H181" s="554"/>
      <c r="I181" s="2373"/>
      <c r="J181" s="681" t="s">
        <v>4591</v>
      </c>
      <c r="K181" s="684"/>
      <c r="L181" s="684"/>
      <c r="M181" s="684"/>
      <c r="N181" s="684"/>
      <c r="O181" s="3228"/>
      <c r="P181" s="3228"/>
      <c r="Q181" s="3228">
        <v>1</v>
      </c>
      <c r="R181" s="684" t="s">
        <v>32</v>
      </c>
      <c r="S181" s="684">
        <v>700000</v>
      </c>
      <c r="T181" s="684" t="s">
        <v>0</v>
      </c>
      <c r="U181" s="3228"/>
      <c r="V181" s="684">
        <v>1</v>
      </c>
      <c r="W181" s="684" t="s">
        <v>3</v>
      </c>
      <c r="X181" s="686" t="s">
        <v>1</v>
      </c>
      <c r="Y181" s="871">
        <f t="shared" si="12"/>
        <v>700</v>
      </c>
      <c r="Z181" s="3150"/>
      <c r="AB181" s="669"/>
    </row>
    <row r="182" spans="1:256" ht="20.45" customHeight="1">
      <c r="A182" s="636"/>
      <c r="B182" s="2035"/>
      <c r="C182" s="624"/>
      <c r="D182" s="2020"/>
      <c r="E182" s="532"/>
      <c r="F182" s="593"/>
      <c r="G182" s="593"/>
      <c r="H182" s="554"/>
      <c r="I182" s="2373"/>
      <c r="J182" s="681" t="s">
        <v>4592</v>
      </c>
      <c r="K182" s="684"/>
      <c r="L182" s="684"/>
      <c r="M182" s="684"/>
      <c r="N182" s="684"/>
      <c r="O182" s="3016"/>
      <c r="P182" s="3228"/>
      <c r="Q182" s="3228">
        <v>2</v>
      </c>
      <c r="R182" s="684" t="s">
        <v>32</v>
      </c>
      <c r="S182" s="684">
        <v>500000</v>
      </c>
      <c r="T182" s="684" t="s">
        <v>0</v>
      </c>
      <c r="U182" s="3228"/>
      <c r="V182" s="684">
        <v>2</v>
      </c>
      <c r="W182" s="684" t="s">
        <v>3</v>
      </c>
      <c r="X182" s="686" t="s">
        <v>1</v>
      </c>
      <c r="Y182" s="871">
        <f t="shared" si="12"/>
        <v>2000</v>
      </c>
      <c r="Z182" s="2030"/>
      <c r="AB182" s="669"/>
    </row>
    <row r="183" spans="1:256" ht="20.45" customHeight="1">
      <c r="A183" s="636"/>
      <c r="B183" s="2035"/>
      <c r="C183" s="624"/>
      <c r="D183" s="2020"/>
      <c r="E183" s="532" t="s">
        <v>4598</v>
      </c>
      <c r="F183" s="593">
        <f>+Y183</f>
        <v>1800</v>
      </c>
      <c r="G183" s="593">
        <v>1800</v>
      </c>
      <c r="H183" s="865"/>
      <c r="I183" s="2373"/>
      <c r="J183" s="681" t="s">
        <v>8</v>
      </c>
      <c r="K183" s="684"/>
      <c r="L183" s="684"/>
      <c r="M183" s="684"/>
      <c r="N183" s="684"/>
      <c r="O183" s="3016"/>
      <c r="P183" s="3228"/>
      <c r="Q183" s="684"/>
      <c r="R183" s="3229"/>
      <c r="S183" s="3229" t="s">
        <v>20</v>
      </c>
      <c r="T183" s="684" t="s">
        <v>20</v>
      </c>
      <c r="U183" s="684" t="s">
        <v>20</v>
      </c>
      <c r="V183" s="684" t="s">
        <v>20</v>
      </c>
      <c r="W183" s="684" t="s">
        <v>20</v>
      </c>
      <c r="X183" s="686" t="s">
        <v>20</v>
      </c>
      <c r="Y183" s="2313">
        <f>+Y184+Y185</f>
        <v>1800</v>
      </c>
      <c r="Z183" s="2030"/>
      <c r="AB183" s="669"/>
    </row>
    <row r="184" spans="1:256" ht="20.45" customHeight="1">
      <c r="A184" s="636"/>
      <c r="B184" s="2035"/>
      <c r="C184" s="624"/>
      <c r="D184" s="2020"/>
      <c r="E184" s="532"/>
      <c r="F184" s="593"/>
      <c r="G184" s="593"/>
      <c r="H184" s="554"/>
      <c r="I184" s="2373"/>
      <c r="J184" s="681" t="s">
        <v>4593</v>
      </c>
      <c r="K184" s="684"/>
      <c r="L184" s="684"/>
      <c r="M184" s="684"/>
      <c r="N184" s="684"/>
      <c r="O184" s="3228"/>
      <c r="P184" s="3228"/>
      <c r="Q184" s="3228"/>
      <c r="R184" s="684"/>
      <c r="S184" s="684">
        <v>600000</v>
      </c>
      <c r="T184" s="684" t="s">
        <v>0</v>
      </c>
      <c r="U184" s="3228"/>
      <c r="V184" s="684">
        <v>2</v>
      </c>
      <c r="W184" s="684" t="s">
        <v>3</v>
      </c>
      <c r="X184" s="686" t="s">
        <v>1</v>
      </c>
      <c r="Y184" s="871">
        <f>+S184*V184/1000</f>
        <v>1200</v>
      </c>
      <c r="Z184" s="3150"/>
      <c r="AB184" s="669"/>
    </row>
    <row r="185" spans="1:256" ht="20.45" customHeight="1">
      <c r="A185" s="636"/>
      <c r="B185" s="2035"/>
      <c r="C185" s="624"/>
      <c r="D185" s="2020"/>
      <c r="E185" s="532"/>
      <c r="F185" s="593"/>
      <c r="G185" s="593"/>
      <c r="H185" s="554"/>
      <c r="I185" s="2373"/>
      <c r="J185" s="681" t="s">
        <v>4594</v>
      </c>
      <c r="K185" s="684"/>
      <c r="L185" s="684"/>
      <c r="M185" s="684"/>
      <c r="N185" s="684"/>
      <c r="O185" s="3016"/>
      <c r="P185" s="3228"/>
      <c r="Q185" s="3228"/>
      <c r="R185" s="684"/>
      <c r="S185" s="684">
        <v>300000</v>
      </c>
      <c r="T185" s="684" t="s">
        <v>0</v>
      </c>
      <c r="U185" s="3228"/>
      <c r="V185" s="684">
        <v>2</v>
      </c>
      <c r="W185" s="684" t="s">
        <v>3</v>
      </c>
      <c r="X185" s="686" t="s">
        <v>1</v>
      </c>
      <c r="Y185" s="871">
        <f>+S185*V185/1000</f>
        <v>600</v>
      </c>
      <c r="Z185" s="2030"/>
      <c r="AB185" s="669"/>
    </row>
    <row r="186" spans="1:256" ht="20.45" customHeight="1">
      <c r="A186" s="636"/>
      <c r="B186" s="2035"/>
      <c r="C186" s="624"/>
      <c r="D186" s="2020"/>
      <c r="E186" s="2023" t="s">
        <v>4595</v>
      </c>
      <c r="F186" s="593">
        <f>+Y186</f>
        <v>600</v>
      </c>
      <c r="G186" s="593">
        <v>600</v>
      </c>
      <c r="H186" s="865"/>
      <c r="I186" s="2373"/>
      <c r="J186" s="2042" t="s">
        <v>4596</v>
      </c>
      <c r="K186" s="2045"/>
      <c r="L186" s="2045"/>
      <c r="M186" s="2045"/>
      <c r="N186" s="2045"/>
      <c r="O186" s="3228">
        <v>50</v>
      </c>
      <c r="P186" s="684" t="s">
        <v>25</v>
      </c>
      <c r="Q186" s="1093"/>
      <c r="R186" s="2045"/>
      <c r="S186" s="2045">
        <v>12000</v>
      </c>
      <c r="T186" s="2045" t="s">
        <v>0</v>
      </c>
      <c r="U186" s="1093"/>
      <c r="V186" s="2045">
        <v>1</v>
      </c>
      <c r="W186" s="2045" t="s">
        <v>3</v>
      </c>
      <c r="X186" s="2047" t="s">
        <v>1</v>
      </c>
      <c r="Y186" s="981">
        <f>+O186*S186*V186/1000</f>
        <v>600</v>
      </c>
      <c r="Z186" s="2030"/>
      <c r="AB186" s="669"/>
    </row>
    <row r="187" spans="1:256" ht="20.45" customHeight="1">
      <c r="A187" s="636"/>
      <c r="B187" s="2035"/>
      <c r="C187" s="624"/>
      <c r="D187" s="3996" t="s">
        <v>89</v>
      </c>
      <c r="E187" s="3997"/>
      <c r="F187" s="1730">
        <f>SUM(F188:F201)</f>
        <v>17000</v>
      </c>
      <c r="G187" s="1730">
        <f>SUM(G188:G201)</f>
        <v>17000</v>
      </c>
      <c r="H187" s="933">
        <f>F187-G187</f>
        <v>0</v>
      </c>
      <c r="I187" s="2060"/>
      <c r="J187" s="3185"/>
      <c r="K187" s="3186"/>
      <c r="L187" s="3187"/>
      <c r="M187" s="3187"/>
      <c r="N187" s="3188"/>
      <c r="O187" s="3151"/>
      <c r="P187" s="3152"/>
      <c r="Q187" s="3187"/>
      <c r="R187" s="3188"/>
      <c r="S187" s="3188"/>
      <c r="T187" s="3189"/>
      <c r="U187" s="3190"/>
      <c r="V187" s="1116"/>
      <c r="W187" s="1093"/>
      <c r="X187" s="1378"/>
      <c r="Y187" s="929"/>
      <c r="Z187" s="2016">
        <f>F187*1000</f>
        <v>17000000</v>
      </c>
      <c r="AB187" s="669"/>
    </row>
    <row r="188" spans="1:256" ht="20.45" customHeight="1">
      <c r="A188" s="636"/>
      <c r="B188" s="2035"/>
      <c r="C188" s="624"/>
      <c r="D188" s="1530"/>
      <c r="E188" s="602" t="s">
        <v>57</v>
      </c>
      <c r="F188" s="1921">
        <v>2100</v>
      </c>
      <c r="G188" s="3282">
        <v>2100</v>
      </c>
      <c r="H188" s="865"/>
      <c r="I188" s="2973"/>
      <c r="J188" s="681" t="s">
        <v>5514</v>
      </c>
      <c r="K188" s="3016"/>
      <c r="L188" s="3016"/>
      <c r="M188" s="3016"/>
      <c r="N188" s="3228"/>
      <c r="O188" s="3228"/>
      <c r="P188" s="3228"/>
      <c r="Q188" s="684"/>
      <c r="R188" s="3229"/>
      <c r="S188" s="684">
        <v>4200</v>
      </c>
      <c r="T188" s="684" t="s">
        <v>0</v>
      </c>
      <c r="U188" s="3435"/>
      <c r="V188" s="684">
        <v>500</v>
      </c>
      <c r="W188" s="684" t="s">
        <v>69</v>
      </c>
      <c r="X188" s="686" t="s">
        <v>1</v>
      </c>
      <c r="Y188" s="871">
        <f>S188*V188/1000</f>
        <v>2100</v>
      </c>
      <c r="Z188" s="2016"/>
      <c r="AB188" s="669"/>
    </row>
    <row r="189" spans="1:256" ht="20.45" customHeight="1">
      <c r="A189" s="636"/>
      <c r="B189" s="2035"/>
      <c r="C189" s="624"/>
      <c r="D189" s="1530"/>
      <c r="E189" s="2023" t="s">
        <v>80</v>
      </c>
      <c r="F189" s="989">
        <v>500</v>
      </c>
      <c r="G189" s="3283">
        <v>500</v>
      </c>
      <c r="H189" s="865"/>
      <c r="I189" s="2973"/>
      <c r="J189" s="681" t="s">
        <v>5515</v>
      </c>
      <c r="K189" s="3016"/>
      <c r="L189" s="3016"/>
      <c r="M189" s="3016"/>
      <c r="N189" s="3228"/>
      <c r="O189" s="3228"/>
      <c r="P189" s="3228"/>
      <c r="Q189" s="684"/>
      <c r="R189" s="3229"/>
      <c r="S189" s="684">
        <v>100000</v>
      </c>
      <c r="T189" s="684" t="s">
        <v>0</v>
      </c>
      <c r="U189" s="3435"/>
      <c r="V189" s="684">
        <v>5</v>
      </c>
      <c r="W189" s="684" t="s">
        <v>3</v>
      </c>
      <c r="X189" s="686" t="s">
        <v>1</v>
      </c>
      <c r="Y189" s="871">
        <f>+S189*V189/1000</f>
        <v>500</v>
      </c>
      <c r="Z189" s="2016"/>
      <c r="AB189" s="669"/>
    </row>
    <row r="190" spans="1:256" ht="20.45" customHeight="1">
      <c r="A190" s="636"/>
      <c r="B190" s="2035"/>
      <c r="C190" s="624"/>
      <c r="D190" s="1530"/>
      <c r="E190" s="2023" t="s">
        <v>58</v>
      </c>
      <c r="F190" s="989">
        <v>8100</v>
      </c>
      <c r="G190" s="3283">
        <v>8100</v>
      </c>
      <c r="H190" s="865"/>
      <c r="I190" s="2973"/>
      <c r="J190" s="681" t="s">
        <v>8</v>
      </c>
      <c r="K190" s="3016"/>
      <c r="L190" s="3016"/>
      <c r="M190" s="3016"/>
      <c r="N190" s="3228"/>
      <c r="O190" s="3228"/>
      <c r="P190" s="3228"/>
      <c r="Q190" s="684"/>
      <c r="R190" s="3229"/>
      <c r="S190" s="3229" t="s">
        <v>20</v>
      </c>
      <c r="T190" s="684" t="s">
        <v>20</v>
      </c>
      <c r="U190" s="684" t="s">
        <v>20</v>
      </c>
      <c r="V190" s="684" t="s">
        <v>20</v>
      </c>
      <c r="W190" s="684" t="s">
        <v>20</v>
      </c>
      <c r="X190" s="686" t="s">
        <v>20</v>
      </c>
      <c r="Y190" s="2313">
        <f>SUM(Y191:Y194)</f>
        <v>8100</v>
      </c>
      <c r="Z190" s="2016"/>
      <c r="AB190" s="669"/>
    </row>
    <row r="191" spans="1:256" s="763" customFormat="1" ht="20.45" customHeight="1">
      <c r="A191" s="636"/>
      <c r="B191" s="2035"/>
      <c r="C191" s="624"/>
      <c r="D191" s="1530"/>
      <c r="E191" s="2023"/>
      <c r="F191" s="989"/>
      <c r="G191" s="3283"/>
      <c r="H191" s="1021"/>
      <c r="I191" s="2973"/>
      <c r="J191" s="681" t="s">
        <v>2578</v>
      </c>
      <c r="K191" s="3016"/>
      <c r="L191" s="3016"/>
      <c r="M191" s="3016"/>
      <c r="N191" s="3016"/>
      <c r="O191" s="3016"/>
      <c r="P191" s="3228"/>
      <c r="Q191" s="3228">
        <v>2</v>
      </c>
      <c r="R191" s="684" t="s">
        <v>25</v>
      </c>
      <c r="S191" s="684">
        <v>150000</v>
      </c>
      <c r="T191" s="684" t="s">
        <v>0</v>
      </c>
      <c r="U191" s="3228"/>
      <c r="V191" s="684">
        <v>8</v>
      </c>
      <c r="W191" s="684" t="s">
        <v>3</v>
      </c>
      <c r="X191" s="686" t="s">
        <v>1</v>
      </c>
      <c r="Y191" s="871">
        <f>+Q191*S191*V191/1000</f>
        <v>2400</v>
      </c>
      <c r="Z191" s="2016"/>
      <c r="AA191" s="308"/>
      <c r="AB191" s="669"/>
      <c r="AC191" s="880"/>
      <c r="AD191" s="880"/>
      <c r="AE191" s="880"/>
      <c r="AF191" s="880"/>
      <c r="AG191" s="880"/>
      <c r="AH191" s="880"/>
      <c r="AI191" s="880"/>
      <c r="AJ191" s="880"/>
      <c r="AK191" s="880"/>
      <c r="AL191" s="880"/>
      <c r="AM191" s="880"/>
      <c r="AN191" s="880"/>
      <c r="AO191" s="880"/>
      <c r="AP191" s="880"/>
      <c r="AQ191" s="880"/>
      <c r="AR191" s="880"/>
      <c r="AS191" s="880"/>
      <c r="AT191" s="880"/>
      <c r="AU191" s="880"/>
      <c r="AV191" s="880"/>
      <c r="AW191" s="880"/>
      <c r="AX191" s="880"/>
      <c r="AY191" s="880"/>
      <c r="AZ191" s="880"/>
      <c r="BA191" s="880"/>
      <c r="BB191" s="880"/>
      <c r="BC191" s="880"/>
      <c r="BD191" s="880"/>
      <c r="BE191" s="880"/>
      <c r="BF191" s="880"/>
      <c r="BG191" s="880"/>
      <c r="BH191" s="880"/>
      <c r="BI191" s="880"/>
      <c r="BJ191" s="880"/>
      <c r="BK191" s="880"/>
      <c r="BL191" s="880"/>
      <c r="BM191" s="880"/>
      <c r="BN191" s="880"/>
      <c r="BO191" s="880"/>
      <c r="BP191" s="880"/>
      <c r="BQ191" s="880"/>
      <c r="BR191" s="880"/>
      <c r="BS191" s="880"/>
      <c r="BT191" s="880"/>
      <c r="BU191" s="880"/>
      <c r="BV191" s="880"/>
      <c r="BW191" s="880"/>
      <c r="BX191" s="880"/>
      <c r="BY191" s="880"/>
      <c r="BZ191" s="880"/>
      <c r="CA191" s="880"/>
      <c r="CB191" s="880"/>
      <c r="CC191" s="880"/>
      <c r="CD191" s="880"/>
      <c r="CE191" s="880"/>
      <c r="CF191" s="880"/>
      <c r="CG191" s="880"/>
      <c r="CH191" s="880"/>
      <c r="CI191" s="880"/>
      <c r="CJ191" s="880"/>
      <c r="CK191" s="880"/>
      <c r="CL191" s="880"/>
      <c r="CM191" s="880"/>
      <c r="CN191" s="880"/>
      <c r="CO191" s="880"/>
      <c r="CP191" s="880"/>
      <c r="CQ191" s="880"/>
      <c r="CR191" s="880"/>
      <c r="CS191" s="880"/>
      <c r="CT191" s="880"/>
      <c r="CU191" s="880"/>
      <c r="CV191" s="880"/>
      <c r="CW191" s="880"/>
      <c r="CX191" s="880"/>
      <c r="CY191" s="880"/>
      <c r="CZ191" s="880"/>
      <c r="DA191" s="880"/>
      <c r="DB191" s="880"/>
      <c r="DC191" s="880"/>
      <c r="DD191" s="880"/>
      <c r="DE191" s="880"/>
      <c r="DF191" s="880"/>
      <c r="DG191" s="880"/>
      <c r="DH191" s="880"/>
      <c r="DI191" s="880"/>
      <c r="DJ191" s="880"/>
      <c r="DK191" s="880"/>
      <c r="DL191" s="880"/>
      <c r="DM191" s="880"/>
      <c r="DN191" s="880"/>
      <c r="DO191" s="880"/>
      <c r="DP191" s="880"/>
      <c r="DQ191" s="880"/>
      <c r="DR191" s="880"/>
      <c r="DS191" s="880"/>
      <c r="DT191" s="880"/>
      <c r="DU191" s="880"/>
      <c r="DV191" s="880"/>
      <c r="DW191" s="880"/>
      <c r="DX191" s="880"/>
      <c r="DY191" s="880"/>
      <c r="DZ191" s="880"/>
      <c r="EA191" s="880"/>
      <c r="EB191" s="880"/>
      <c r="EC191" s="880"/>
      <c r="ED191" s="880"/>
      <c r="EE191" s="880"/>
      <c r="EF191" s="880"/>
      <c r="EG191" s="880"/>
      <c r="EH191" s="880"/>
      <c r="EI191" s="880"/>
      <c r="EJ191" s="880"/>
      <c r="EK191" s="880"/>
      <c r="EL191" s="880"/>
      <c r="EM191" s="880"/>
      <c r="EN191" s="880"/>
      <c r="EO191" s="880"/>
      <c r="EP191" s="880"/>
      <c r="EQ191" s="880"/>
      <c r="ER191" s="880"/>
      <c r="ES191" s="880"/>
      <c r="ET191" s="880"/>
      <c r="EU191" s="880"/>
      <c r="EV191" s="880"/>
      <c r="EW191" s="880"/>
      <c r="EX191" s="880"/>
      <c r="EY191" s="880"/>
      <c r="EZ191" s="880"/>
      <c r="FA191" s="880"/>
      <c r="FB191" s="880"/>
      <c r="FC191" s="880"/>
      <c r="FD191" s="880"/>
      <c r="FE191" s="880"/>
      <c r="FF191" s="880"/>
      <c r="FG191" s="880"/>
      <c r="FH191" s="880"/>
      <c r="FI191" s="880"/>
      <c r="FJ191" s="880"/>
      <c r="FK191" s="880"/>
      <c r="FL191" s="880"/>
      <c r="FM191" s="880"/>
      <c r="FN191" s="880"/>
      <c r="FO191" s="880"/>
      <c r="FP191" s="880"/>
      <c r="FQ191" s="880"/>
      <c r="FR191" s="880"/>
      <c r="FS191" s="880"/>
      <c r="FT191" s="880"/>
      <c r="FU191" s="880"/>
      <c r="FV191" s="880"/>
      <c r="FW191" s="880"/>
      <c r="FX191" s="880"/>
      <c r="FY191" s="880"/>
      <c r="FZ191" s="880"/>
      <c r="GA191" s="880"/>
      <c r="GB191" s="880"/>
      <c r="GC191" s="880"/>
      <c r="GD191" s="880"/>
      <c r="GE191" s="880"/>
      <c r="GF191" s="880"/>
      <c r="GG191" s="880"/>
      <c r="GH191" s="880"/>
      <c r="GI191" s="880"/>
      <c r="GJ191" s="880"/>
      <c r="GK191" s="880"/>
      <c r="GL191" s="880"/>
      <c r="GM191" s="880"/>
      <c r="GN191" s="880"/>
      <c r="GO191" s="880"/>
      <c r="GP191" s="880"/>
      <c r="GQ191" s="880"/>
      <c r="GR191" s="880"/>
      <c r="GS191" s="880"/>
      <c r="GT191" s="880"/>
      <c r="GU191" s="880"/>
      <c r="GV191" s="880"/>
      <c r="GW191" s="880"/>
      <c r="GX191" s="880"/>
      <c r="GY191" s="880"/>
      <c r="GZ191" s="880"/>
      <c r="HA191" s="880"/>
      <c r="HB191" s="880"/>
      <c r="HC191" s="880"/>
      <c r="HD191" s="880"/>
      <c r="HE191" s="880"/>
      <c r="HF191" s="880"/>
      <c r="HG191" s="880"/>
      <c r="HH191" s="880"/>
      <c r="HI191" s="880"/>
      <c r="HJ191" s="880"/>
      <c r="HK191" s="880"/>
      <c r="HL191" s="880"/>
      <c r="HM191" s="880"/>
      <c r="HN191" s="880"/>
      <c r="HO191" s="880"/>
      <c r="HP191" s="880"/>
      <c r="HQ191" s="880"/>
      <c r="HR191" s="880"/>
      <c r="HS191" s="880"/>
      <c r="HT191" s="880"/>
      <c r="HU191" s="880"/>
      <c r="HV191" s="880"/>
      <c r="HW191" s="880"/>
      <c r="HX191" s="880"/>
      <c r="HY191" s="880"/>
      <c r="HZ191" s="880"/>
      <c r="IA191" s="880"/>
      <c r="IB191" s="880"/>
      <c r="IC191" s="880"/>
      <c r="ID191" s="880"/>
      <c r="IE191" s="880"/>
      <c r="IF191" s="880"/>
      <c r="IG191" s="880"/>
      <c r="IH191" s="880"/>
      <c r="II191" s="880"/>
      <c r="IJ191" s="880"/>
      <c r="IK191" s="880"/>
      <c r="IL191" s="880"/>
      <c r="IM191" s="880"/>
      <c r="IN191" s="880"/>
      <c r="IO191" s="880"/>
      <c r="IP191" s="880"/>
      <c r="IQ191" s="880"/>
      <c r="IR191" s="880"/>
      <c r="IS191" s="880"/>
      <c r="IT191" s="880"/>
      <c r="IU191" s="880"/>
      <c r="IV191" s="880"/>
    </row>
    <row r="192" spans="1:256" s="763" customFormat="1" ht="20.45" customHeight="1">
      <c r="A192" s="636"/>
      <c r="B192" s="2035"/>
      <c r="C192" s="624"/>
      <c r="D192" s="1530"/>
      <c r="E192" s="2023"/>
      <c r="F192" s="989"/>
      <c r="G192" s="3283"/>
      <c r="H192" s="1021"/>
      <c r="I192" s="2973"/>
      <c r="J192" s="681" t="s">
        <v>2579</v>
      </c>
      <c r="K192" s="3016"/>
      <c r="L192" s="3016"/>
      <c r="M192" s="3016"/>
      <c r="N192" s="3016"/>
      <c r="O192" s="3016"/>
      <c r="P192" s="3228"/>
      <c r="Q192" s="3228">
        <v>2</v>
      </c>
      <c r="R192" s="684" t="s">
        <v>25</v>
      </c>
      <c r="S192" s="684">
        <v>150000</v>
      </c>
      <c r="T192" s="684" t="s">
        <v>0</v>
      </c>
      <c r="U192" s="3228"/>
      <c r="V192" s="684">
        <v>8</v>
      </c>
      <c r="W192" s="684" t="s">
        <v>3</v>
      </c>
      <c r="X192" s="686" t="s">
        <v>1</v>
      </c>
      <c r="Y192" s="871">
        <f>+Q192*S192*V192/1000</f>
        <v>2400</v>
      </c>
      <c r="Z192" s="2016"/>
      <c r="AA192" s="308"/>
      <c r="AB192" s="669"/>
      <c r="AC192" s="880"/>
      <c r="AD192" s="880"/>
      <c r="AE192" s="880"/>
      <c r="AF192" s="880"/>
      <c r="AG192" s="880"/>
      <c r="AH192" s="880"/>
      <c r="AI192" s="880"/>
      <c r="AJ192" s="880"/>
      <c r="AK192" s="880"/>
      <c r="AL192" s="880"/>
      <c r="AM192" s="880"/>
      <c r="AN192" s="880"/>
      <c r="AO192" s="880"/>
      <c r="AP192" s="880"/>
      <c r="AQ192" s="880"/>
      <c r="AR192" s="880"/>
      <c r="AS192" s="880"/>
      <c r="AT192" s="880"/>
      <c r="AU192" s="880"/>
      <c r="AV192" s="880"/>
      <c r="AW192" s="880"/>
      <c r="AX192" s="880"/>
      <c r="AY192" s="880"/>
      <c r="AZ192" s="880"/>
      <c r="BA192" s="880"/>
      <c r="BB192" s="880"/>
      <c r="BC192" s="880"/>
      <c r="BD192" s="880"/>
      <c r="BE192" s="880"/>
      <c r="BF192" s="880"/>
      <c r="BG192" s="880"/>
      <c r="BH192" s="880"/>
      <c r="BI192" s="880"/>
      <c r="BJ192" s="880"/>
      <c r="BK192" s="880"/>
      <c r="BL192" s="880"/>
      <c r="BM192" s="880"/>
      <c r="BN192" s="880"/>
      <c r="BO192" s="880"/>
      <c r="BP192" s="880"/>
      <c r="BQ192" s="880"/>
      <c r="BR192" s="880"/>
      <c r="BS192" s="880"/>
      <c r="BT192" s="880"/>
      <c r="BU192" s="880"/>
      <c r="BV192" s="880"/>
      <c r="BW192" s="880"/>
      <c r="BX192" s="880"/>
      <c r="BY192" s="880"/>
      <c r="BZ192" s="880"/>
      <c r="CA192" s="880"/>
      <c r="CB192" s="880"/>
      <c r="CC192" s="880"/>
      <c r="CD192" s="880"/>
      <c r="CE192" s="880"/>
      <c r="CF192" s="880"/>
      <c r="CG192" s="880"/>
      <c r="CH192" s="880"/>
      <c r="CI192" s="880"/>
      <c r="CJ192" s="880"/>
      <c r="CK192" s="880"/>
      <c r="CL192" s="880"/>
      <c r="CM192" s="880"/>
      <c r="CN192" s="880"/>
      <c r="CO192" s="880"/>
      <c r="CP192" s="880"/>
      <c r="CQ192" s="880"/>
      <c r="CR192" s="880"/>
      <c r="CS192" s="880"/>
      <c r="CT192" s="880"/>
      <c r="CU192" s="880"/>
      <c r="CV192" s="880"/>
      <c r="CW192" s="880"/>
      <c r="CX192" s="880"/>
      <c r="CY192" s="880"/>
      <c r="CZ192" s="880"/>
      <c r="DA192" s="880"/>
      <c r="DB192" s="880"/>
      <c r="DC192" s="880"/>
      <c r="DD192" s="880"/>
      <c r="DE192" s="880"/>
      <c r="DF192" s="880"/>
      <c r="DG192" s="880"/>
      <c r="DH192" s="880"/>
      <c r="DI192" s="880"/>
      <c r="DJ192" s="880"/>
      <c r="DK192" s="880"/>
      <c r="DL192" s="880"/>
      <c r="DM192" s="880"/>
      <c r="DN192" s="880"/>
      <c r="DO192" s="880"/>
      <c r="DP192" s="880"/>
      <c r="DQ192" s="880"/>
      <c r="DR192" s="880"/>
      <c r="DS192" s="880"/>
      <c r="DT192" s="880"/>
      <c r="DU192" s="880"/>
      <c r="DV192" s="880"/>
      <c r="DW192" s="880"/>
      <c r="DX192" s="880"/>
      <c r="DY192" s="880"/>
      <c r="DZ192" s="880"/>
      <c r="EA192" s="880"/>
      <c r="EB192" s="880"/>
      <c r="EC192" s="880"/>
      <c r="ED192" s="880"/>
      <c r="EE192" s="880"/>
      <c r="EF192" s="880"/>
      <c r="EG192" s="880"/>
      <c r="EH192" s="880"/>
      <c r="EI192" s="880"/>
      <c r="EJ192" s="880"/>
      <c r="EK192" s="880"/>
      <c r="EL192" s="880"/>
      <c r="EM192" s="880"/>
      <c r="EN192" s="880"/>
      <c r="EO192" s="880"/>
      <c r="EP192" s="880"/>
      <c r="EQ192" s="880"/>
      <c r="ER192" s="880"/>
      <c r="ES192" s="880"/>
      <c r="ET192" s="880"/>
      <c r="EU192" s="880"/>
      <c r="EV192" s="880"/>
      <c r="EW192" s="880"/>
      <c r="EX192" s="880"/>
      <c r="EY192" s="880"/>
      <c r="EZ192" s="880"/>
      <c r="FA192" s="880"/>
      <c r="FB192" s="880"/>
      <c r="FC192" s="880"/>
      <c r="FD192" s="880"/>
      <c r="FE192" s="880"/>
      <c r="FF192" s="880"/>
      <c r="FG192" s="880"/>
      <c r="FH192" s="880"/>
      <c r="FI192" s="880"/>
      <c r="FJ192" s="880"/>
      <c r="FK192" s="880"/>
      <c r="FL192" s="880"/>
      <c r="FM192" s="880"/>
      <c r="FN192" s="880"/>
      <c r="FO192" s="880"/>
      <c r="FP192" s="880"/>
      <c r="FQ192" s="880"/>
      <c r="FR192" s="880"/>
      <c r="FS192" s="880"/>
      <c r="FT192" s="880"/>
      <c r="FU192" s="880"/>
      <c r="FV192" s="880"/>
      <c r="FW192" s="880"/>
      <c r="FX192" s="880"/>
      <c r="FY192" s="880"/>
      <c r="FZ192" s="880"/>
      <c r="GA192" s="880"/>
      <c r="GB192" s="880"/>
      <c r="GC192" s="880"/>
      <c r="GD192" s="880"/>
      <c r="GE192" s="880"/>
      <c r="GF192" s="880"/>
      <c r="GG192" s="880"/>
      <c r="GH192" s="880"/>
      <c r="GI192" s="880"/>
      <c r="GJ192" s="880"/>
      <c r="GK192" s="880"/>
      <c r="GL192" s="880"/>
      <c r="GM192" s="880"/>
      <c r="GN192" s="880"/>
      <c r="GO192" s="880"/>
      <c r="GP192" s="880"/>
      <c r="GQ192" s="880"/>
      <c r="GR192" s="880"/>
      <c r="GS192" s="880"/>
      <c r="GT192" s="880"/>
      <c r="GU192" s="880"/>
      <c r="GV192" s="880"/>
      <c r="GW192" s="880"/>
      <c r="GX192" s="880"/>
      <c r="GY192" s="880"/>
      <c r="GZ192" s="880"/>
      <c r="HA192" s="880"/>
      <c r="HB192" s="880"/>
      <c r="HC192" s="880"/>
      <c r="HD192" s="880"/>
      <c r="HE192" s="880"/>
      <c r="HF192" s="880"/>
      <c r="HG192" s="880"/>
      <c r="HH192" s="880"/>
      <c r="HI192" s="880"/>
      <c r="HJ192" s="880"/>
      <c r="HK192" s="880"/>
      <c r="HL192" s="880"/>
      <c r="HM192" s="880"/>
      <c r="HN192" s="880"/>
      <c r="HO192" s="880"/>
      <c r="HP192" s="880"/>
      <c r="HQ192" s="880"/>
      <c r="HR192" s="880"/>
      <c r="HS192" s="880"/>
      <c r="HT192" s="880"/>
      <c r="HU192" s="880"/>
      <c r="HV192" s="880"/>
      <c r="HW192" s="880"/>
      <c r="HX192" s="880"/>
      <c r="HY192" s="880"/>
      <c r="HZ192" s="880"/>
      <c r="IA192" s="880"/>
      <c r="IB192" s="880"/>
      <c r="IC192" s="880"/>
      <c r="ID192" s="880"/>
      <c r="IE192" s="880"/>
      <c r="IF192" s="880"/>
      <c r="IG192" s="880"/>
      <c r="IH192" s="880"/>
      <c r="II192" s="880"/>
      <c r="IJ192" s="880"/>
      <c r="IK192" s="880"/>
      <c r="IL192" s="880"/>
      <c r="IM192" s="880"/>
      <c r="IN192" s="880"/>
      <c r="IO192" s="880"/>
      <c r="IP192" s="880"/>
      <c r="IQ192" s="880"/>
      <c r="IR192" s="880"/>
      <c r="IS192" s="880"/>
      <c r="IT192" s="880"/>
      <c r="IU192" s="880"/>
      <c r="IV192" s="880"/>
    </row>
    <row r="193" spans="1:256" s="763" customFormat="1" ht="20.45" customHeight="1">
      <c r="A193" s="636"/>
      <c r="B193" s="2035"/>
      <c r="C193" s="624"/>
      <c r="D193" s="1530"/>
      <c r="E193" s="2023"/>
      <c r="F193" s="989"/>
      <c r="G193" s="3283"/>
      <c r="H193" s="1021"/>
      <c r="I193" s="2607"/>
      <c r="J193" s="681" t="s">
        <v>2580</v>
      </c>
      <c r="K193" s="3016"/>
      <c r="L193" s="3016"/>
      <c r="M193" s="3016"/>
      <c r="N193" s="3016"/>
      <c r="O193" s="3016"/>
      <c r="P193" s="3228"/>
      <c r="Q193" s="3228">
        <v>2</v>
      </c>
      <c r="R193" s="684" t="s">
        <v>227</v>
      </c>
      <c r="S193" s="684">
        <v>150000</v>
      </c>
      <c r="T193" s="684" t="s">
        <v>0</v>
      </c>
      <c r="U193" s="3228"/>
      <c r="V193" s="684">
        <v>8</v>
      </c>
      <c r="W193" s="684" t="s">
        <v>3</v>
      </c>
      <c r="X193" s="686" t="s">
        <v>1</v>
      </c>
      <c r="Y193" s="871">
        <f>+Q193*S193*V193/1000</f>
        <v>2400</v>
      </c>
      <c r="Z193" s="2016"/>
      <c r="AA193" s="308"/>
      <c r="AB193" s="669"/>
      <c r="AC193" s="880"/>
      <c r="AD193" s="880"/>
      <c r="AE193" s="880"/>
      <c r="AF193" s="880"/>
      <c r="AG193" s="880"/>
      <c r="AH193" s="880"/>
      <c r="AI193" s="880"/>
      <c r="AJ193" s="880"/>
      <c r="AK193" s="880"/>
      <c r="AL193" s="880"/>
      <c r="AM193" s="880"/>
      <c r="AN193" s="880"/>
      <c r="AO193" s="880"/>
      <c r="AP193" s="880"/>
      <c r="AQ193" s="880"/>
      <c r="AR193" s="880"/>
      <c r="AS193" s="880"/>
      <c r="AT193" s="880"/>
      <c r="AU193" s="880"/>
      <c r="AV193" s="880"/>
      <c r="AW193" s="880"/>
      <c r="AX193" s="880"/>
      <c r="AY193" s="880"/>
      <c r="AZ193" s="880"/>
      <c r="BA193" s="880"/>
      <c r="BB193" s="880"/>
      <c r="BC193" s="880"/>
      <c r="BD193" s="880"/>
      <c r="BE193" s="880"/>
      <c r="BF193" s="880"/>
      <c r="BG193" s="880"/>
      <c r="BH193" s="880"/>
      <c r="BI193" s="880"/>
      <c r="BJ193" s="880"/>
      <c r="BK193" s="880"/>
      <c r="BL193" s="880"/>
      <c r="BM193" s="880"/>
      <c r="BN193" s="880"/>
      <c r="BO193" s="880"/>
      <c r="BP193" s="880"/>
      <c r="BQ193" s="880"/>
      <c r="BR193" s="880"/>
      <c r="BS193" s="880"/>
      <c r="BT193" s="880"/>
      <c r="BU193" s="880"/>
      <c r="BV193" s="880"/>
      <c r="BW193" s="880"/>
      <c r="BX193" s="880"/>
      <c r="BY193" s="880"/>
      <c r="BZ193" s="880"/>
      <c r="CA193" s="880"/>
      <c r="CB193" s="880"/>
      <c r="CC193" s="880"/>
      <c r="CD193" s="880"/>
      <c r="CE193" s="880"/>
      <c r="CF193" s="880"/>
      <c r="CG193" s="880"/>
      <c r="CH193" s="880"/>
      <c r="CI193" s="880"/>
      <c r="CJ193" s="880"/>
      <c r="CK193" s="880"/>
      <c r="CL193" s="880"/>
      <c r="CM193" s="880"/>
      <c r="CN193" s="880"/>
      <c r="CO193" s="880"/>
      <c r="CP193" s="880"/>
      <c r="CQ193" s="880"/>
      <c r="CR193" s="880"/>
      <c r="CS193" s="880"/>
      <c r="CT193" s="880"/>
      <c r="CU193" s="880"/>
      <c r="CV193" s="880"/>
      <c r="CW193" s="880"/>
      <c r="CX193" s="880"/>
      <c r="CY193" s="880"/>
      <c r="CZ193" s="880"/>
      <c r="DA193" s="880"/>
      <c r="DB193" s="880"/>
      <c r="DC193" s="880"/>
      <c r="DD193" s="880"/>
      <c r="DE193" s="880"/>
      <c r="DF193" s="880"/>
      <c r="DG193" s="880"/>
      <c r="DH193" s="880"/>
      <c r="DI193" s="880"/>
      <c r="DJ193" s="880"/>
      <c r="DK193" s="880"/>
      <c r="DL193" s="880"/>
      <c r="DM193" s="880"/>
      <c r="DN193" s="880"/>
      <c r="DO193" s="880"/>
      <c r="DP193" s="880"/>
      <c r="DQ193" s="880"/>
      <c r="DR193" s="880"/>
      <c r="DS193" s="880"/>
      <c r="DT193" s="880"/>
      <c r="DU193" s="880"/>
      <c r="DV193" s="880"/>
      <c r="DW193" s="880"/>
      <c r="DX193" s="880"/>
      <c r="DY193" s="880"/>
      <c r="DZ193" s="880"/>
      <c r="EA193" s="880"/>
      <c r="EB193" s="880"/>
      <c r="EC193" s="880"/>
      <c r="ED193" s="880"/>
      <c r="EE193" s="880"/>
      <c r="EF193" s="880"/>
      <c r="EG193" s="880"/>
      <c r="EH193" s="880"/>
      <c r="EI193" s="880"/>
      <c r="EJ193" s="880"/>
      <c r="EK193" s="880"/>
      <c r="EL193" s="880"/>
      <c r="EM193" s="880"/>
      <c r="EN193" s="880"/>
      <c r="EO193" s="880"/>
      <c r="EP193" s="880"/>
      <c r="EQ193" s="880"/>
      <c r="ER193" s="880"/>
      <c r="ES193" s="880"/>
      <c r="ET193" s="880"/>
      <c r="EU193" s="880"/>
      <c r="EV193" s="880"/>
      <c r="EW193" s="880"/>
      <c r="EX193" s="880"/>
      <c r="EY193" s="880"/>
      <c r="EZ193" s="880"/>
      <c r="FA193" s="880"/>
      <c r="FB193" s="880"/>
      <c r="FC193" s="880"/>
      <c r="FD193" s="880"/>
      <c r="FE193" s="880"/>
      <c r="FF193" s="880"/>
      <c r="FG193" s="880"/>
      <c r="FH193" s="880"/>
      <c r="FI193" s="880"/>
      <c r="FJ193" s="880"/>
      <c r="FK193" s="880"/>
      <c r="FL193" s="880"/>
      <c r="FM193" s="880"/>
      <c r="FN193" s="880"/>
      <c r="FO193" s="880"/>
      <c r="FP193" s="880"/>
      <c r="FQ193" s="880"/>
      <c r="FR193" s="880"/>
      <c r="FS193" s="880"/>
      <c r="FT193" s="880"/>
      <c r="FU193" s="880"/>
      <c r="FV193" s="880"/>
      <c r="FW193" s="880"/>
      <c r="FX193" s="880"/>
      <c r="FY193" s="880"/>
      <c r="FZ193" s="880"/>
      <c r="GA193" s="880"/>
      <c r="GB193" s="880"/>
      <c r="GC193" s="880"/>
      <c r="GD193" s="880"/>
      <c r="GE193" s="880"/>
      <c r="GF193" s="880"/>
      <c r="GG193" s="880"/>
      <c r="GH193" s="880"/>
      <c r="GI193" s="880"/>
      <c r="GJ193" s="880"/>
      <c r="GK193" s="880"/>
      <c r="GL193" s="880"/>
      <c r="GM193" s="880"/>
      <c r="GN193" s="880"/>
      <c r="GO193" s="880"/>
      <c r="GP193" s="880"/>
      <c r="GQ193" s="880"/>
      <c r="GR193" s="880"/>
      <c r="GS193" s="880"/>
      <c r="GT193" s="880"/>
      <c r="GU193" s="880"/>
      <c r="GV193" s="880"/>
      <c r="GW193" s="880"/>
      <c r="GX193" s="880"/>
      <c r="GY193" s="880"/>
      <c r="GZ193" s="880"/>
      <c r="HA193" s="880"/>
      <c r="HB193" s="880"/>
      <c r="HC193" s="880"/>
      <c r="HD193" s="880"/>
      <c r="HE193" s="880"/>
      <c r="HF193" s="880"/>
      <c r="HG193" s="880"/>
      <c r="HH193" s="880"/>
      <c r="HI193" s="880"/>
      <c r="HJ193" s="880"/>
      <c r="HK193" s="880"/>
      <c r="HL193" s="880"/>
      <c r="HM193" s="880"/>
      <c r="HN193" s="880"/>
      <c r="HO193" s="880"/>
      <c r="HP193" s="880"/>
      <c r="HQ193" s="880"/>
      <c r="HR193" s="880"/>
      <c r="HS193" s="880"/>
      <c r="HT193" s="880"/>
      <c r="HU193" s="880"/>
      <c r="HV193" s="880"/>
      <c r="HW193" s="880"/>
      <c r="HX193" s="880"/>
      <c r="HY193" s="880"/>
      <c r="HZ193" s="880"/>
      <c r="IA193" s="880"/>
      <c r="IB193" s="880"/>
      <c r="IC193" s="880"/>
      <c r="ID193" s="880"/>
      <c r="IE193" s="880"/>
      <c r="IF193" s="880"/>
      <c r="IG193" s="880"/>
      <c r="IH193" s="880"/>
      <c r="II193" s="880"/>
      <c r="IJ193" s="880"/>
      <c r="IK193" s="880"/>
      <c r="IL193" s="880"/>
      <c r="IM193" s="880"/>
      <c r="IN193" s="880"/>
      <c r="IO193" s="880"/>
      <c r="IP193" s="880"/>
      <c r="IQ193" s="880"/>
      <c r="IR193" s="880"/>
      <c r="IS193" s="880"/>
      <c r="IT193" s="880"/>
      <c r="IU193" s="880"/>
      <c r="IV193" s="880"/>
    </row>
    <row r="194" spans="1:256" s="763" customFormat="1" ht="20.45" customHeight="1">
      <c r="A194" s="636"/>
      <c r="B194" s="2035"/>
      <c r="C194" s="624"/>
      <c r="D194" s="1530"/>
      <c r="E194" s="3284"/>
      <c r="F194" s="2595"/>
      <c r="G194" s="3285"/>
      <c r="H194" s="2596"/>
      <c r="I194" s="2973"/>
      <c r="J194" s="681" t="s">
        <v>2581</v>
      </c>
      <c r="K194" s="3016"/>
      <c r="L194" s="3016"/>
      <c r="M194" s="3016"/>
      <c r="N194" s="3016"/>
      <c r="O194" s="3016"/>
      <c r="P194" s="3228"/>
      <c r="Q194" s="3228"/>
      <c r="R194" s="684"/>
      <c r="S194" s="684">
        <v>300000</v>
      </c>
      <c r="T194" s="684" t="s">
        <v>0</v>
      </c>
      <c r="U194" s="3228"/>
      <c r="V194" s="684">
        <v>3</v>
      </c>
      <c r="W194" s="684" t="s">
        <v>3</v>
      </c>
      <c r="X194" s="686" t="s">
        <v>1</v>
      </c>
      <c r="Y194" s="871">
        <f>S194*V194/1000</f>
        <v>900</v>
      </c>
      <c r="Z194" s="2016"/>
      <c r="AA194" s="308"/>
      <c r="AB194" s="669"/>
      <c r="AC194" s="880"/>
      <c r="AD194" s="880"/>
      <c r="AE194" s="880"/>
      <c r="AF194" s="880"/>
      <c r="AG194" s="880"/>
      <c r="AH194" s="880"/>
      <c r="AI194" s="880"/>
      <c r="AJ194" s="880"/>
      <c r="AK194" s="880"/>
      <c r="AL194" s="880"/>
      <c r="AM194" s="880"/>
      <c r="AN194" s="880"/>
      <c r="AO194" s="880"/>
      <c r="AP194" s="880"/>
      <c r="AQ194" s="880"/>
      <c r="AR194" s="880"/>
      <c r="AS194" s="880"/>
      <c r="AT194" s="880"/>
      <c r="AU194" s="880"/>
      <c r="AV194" s="880"/>
      <c r="AW194" s="880"/>
      <c r="AX194" s="880"/>
      <c r="AY194" s="880"/>
      <c r="AZ194" s="880"/>
      <c r="BA194" s="880"/>
      <c r="BB194" s="880"/>
      <c r="BC194" s="880"/>
      <c r="BD194" s="880"/>
      <c r="BE194" s="880"/>
      <c r="BF194" s="880"/>
      <c r="BG194" s="880"/>
      <c r="BH194" s="880"/>
      <c r="BI194" s="880"/>
      <c r="BJ194" s="880"/>
      <c r="BK194" s="880"/>
      <c r="BL194" s="880"/>
      <c r="BM194" s="880"/>
      <c r="BN194" s="880"/>
      <c r="BO194" s="880"/>
      <c r="BP194" s="880"/>
      <c r="BQ194" s="880"/>
      <c r="BR194" s="880"/>
      <c r="BS194" s="880"/>
      <c r="BT194" s="880"/>
      <c r="BU194" s="880"/>
      <c r="BV194" s="880"/>
      <c r="BW194" s="880"/>
      <c r="BX194" s="880"/>
      <c r="BY194" s="880"/>
      <c r="BZ194" s="880"/>
      <c r="CA194" s="880"/>
      <c r="CB194" s="880"/>
      <c r="CC194" s="880"/>
      <c r="CD194" s="880"/>
      <c r="CE194" s="880"/>
      <c r="CF194" s="880"/>
      <c r="CG194" s="880"/>
      <c r="CH194" s="880"/>
      <c r="CI194" s="880"/>
      <c r="CJ194" s="880"/>
      <c r="CK194" s="880"/>
      <c r="CL194" s="880"/>
      <c r="CM194" s="880"/>
      <c r="CN194" s="880"/>
      <c r="CO194" s="880"/>
      <c r="CP194" s="880"/>
      <c r="CQ194" s="880"/>
      <c r="CR194" s="880"/>
      <c r="CS194" s="880"/>
      <c r="CT194" s="880"/>
      <c r="CU194" s="880"/>
      <c r="CV194" s="880"/>
      <c r="CW194" s="880"/>
      <c r="CX194" s="880"/>
      <c r="CY194" s="880"/>
      <c r="CZ194" s="880"/>
      <c r="DA194" s="880"/>
      <c r="DB194" s="880"/>
      <c r="DC194" s="880"/>
      <c r="DD194" s="880"/>
      <c r="DE194" s="880"/>
      <c r="DF194" s="880"/>
      <c r="DG194" s="880"/>
      <c r="DH194" s="880"/>
      <c r="DI194" s="880"/>
      <c r="DJ194" s="880"/>
      <c r="DK194" s="880"/>
      <c r="DL194" s="880"/>
      <c r="DM194" s="880"/>
      <c r="DN194" s="880"/>
      <c r="DO194" s="880"/>
      <c r="DP194" s="880"/>
      <c r="DQ194" s="880"/>
      <c r="DR194" s="880"/>
      <c r="DS194" s="880"/>
      <c r="DT194" s="880"/>
      <c r="DU194" s="880"/>
      <c r="DV194" s="880"/>
      <c r="DW194" s="880"/>
      <c r="DX194" s="880"/>
      <c r="DY194" s="880"/>
      <c r="DZ194" s="880"/>
      <c r="EA194" s="880"/>
      <c r="EB194" s="880"/>
      <c r="EC194" s="880"/>
      <c r="ED194" s="880"/>
      <c r="EE194" s="880"/>
      <c r="EF194" s="880"/>
      <c r="EG194" s="880"/>
      <c r="EH194" s="880"/>
      <c r="EI194" s="880"/>
      <c r="EJ194" s="880"/>
      <c r="EK194" s="880"/>
      <c r="EL194" s="880"/>
      <c r="EM194" s="880"/>
      <c r="EN194" s="880"/>
      <c r="EO194" s="880"/>
      <c r="EP194" s="880"/>
      <c r="EQ194" s="880"/>
      <c r="ER194" s="880"/>
      <c r="ES194" s="880"/>
      <c r="ET194" s="880"/>
      <c r="EU194" s="880"/>
      <c r="EV194" s="880"/>
      <c r="EW194" s="880"/>
      <c r="EX194" s="880"/>
      <c r="EY194" s="880"/>
      <c r="EZ194" s="880"/>
      <c r="FA194" s="880"/>
      <c r="FB194" s="880"/>
      <c r="FC194" s="880"/>
      <c r="FD194" s="880"/>
      <c r="FE194" s="880"/>
      <c r="FF194" s="880"/>
      <c r="FG194" s="880"/>
      <c r="FH194" s="880"/>
      <c r="FI194" s="880"/>
      <c r="FJ194" s="880"/>
      <c r="FK194" s="880"/>
      <c r="FL194" s="880"/>
      <c r="FM194" s="880"/>
      <c r="FN194" s="880"/>
      <c r="FO194" s="880"/>
      <c r="FP194" s="880"/>
      <c r="FQ194" s="880"/>
      <c r="FR194" s="880"/>
      <c r="FS194" s="880"/>
      <c r="FT194" s="880"/>
      <c r="FU194" s="880"/>
      <c r="FV194" s="880"/>
      <c r="FW194" s="880"/>
      <c r="FX194" s="880"/>
      <c r="FY194" s="880"/>
      <c r="FZ194" s="880"/>
      <c r="GA194" s="880"/>
      <c r="GB194" s="880"/>
      <c r="GC194" s="880"/>
      <c r="GD194" s="880"/>
      <c r="GE194" s="880"/>
      <c r="GF194" s="880"/>
      <c r="GG194" s="880"/>
      <c r="GH194" s="880"/>
      <c r="GI194" s="880"/>
      <c r="GJ194" s="880"/>
      <c r="GK194" s="880"/>
      <c r="GL194" s="880"/>
      <c r="GM194" s="880"/>
      <c r="GN194" s="880"/>
      <c r="GO194" s="880"/>
      <c r="GP194" s="880"/>
      <c r="GQ194" s="880"/>
      <c r="GR194" s="880"/>
      <c r="GS194" s="880"/>
      <c r="GT194" s="880"/>
      <c r="GU194" s="880"/>
      <c r="GV194" s="880"/>
      <c r="GW194" s="880"/>
      <c r="GX194" s="880"/>
      <c r="GY194" s="880"/>
      <c r="GZ194" s="880"/>
      <c r="HA194" s="880"/>
      <c r="HB194" s="880"/>
      <c r="HC194" s="880"/>
      <c r="HD194" s="880"/>
      <c r="HE194" s="880"/>
      <c r="HF194" s="880"/>
      <c r="HG194" s="880"/>
      <c r="HH194" s="880"/>
      <c r="HI194" s="880"/>
      <c r="HJ194" s="880"/>
      <c r="HK194" s="880"/>
      <c r="HL194" s="880"/>
      <c r="HM194" s="880"/>
      <c r="HN194" s="880"/>
      <c r="HO194" s="880"/>
      <c r="HP194" s="880"/>
      <c r="HQ194" s="880"/>
      <c r="HR194" s="880"/>
      <c r="HS194" s="880"/>
      <c r="HT194" s="880"/>
      <c r="HU194" s="880"/>
      <c r="HV194" s="880"/>
      <c r="HW194" s="880"/>
      <c r="HX194" s="880"/>
      <c r="HY194" s="880"/>
      <c r="HZ194" s="880"/>
      <c r="IA194" s="880"/>
      <c r="IB194" s="880"/>
      <c r="IC194" s="880"/>
      <c r="ID194" s="880"/>
      <c r="IE194" s="880"/>
      <c r="IF194" s="880"/>
      <c r="IG194" s="880"/>
      <c r="IH194" s="880"/>
      <c r="II194" s="880"/>
      <c r="IJ194" s="880"/>
      <c r="IK194" s="880"/>
      <c r="IL194" s="880"/>
      <c r="IM194" s="880"/>
      <c r="IN194" s="880"/>
      <c r="IO194" s="880"/>
      <c r="IP194" s="880"/>
      <c r="IQ194" s="880"/>
      <c r="IR194" s="880"/>
      <c r="IS194" s="880"/>
      <c r="IT194" s="880"/>
      <c r="IU194" s="880"/>
      <c r="IV194" s="880"/>
    </row>
    <row r="195" spans="1:256" s="763" customFormat="1" ht="19.5" customHeight="1">
      <c r="A195" s="636"/>
      <c r="B195" s="2035"/>
      <c r="C195" s="624"/>
      <c r="D195" s="1530"/>
      <c r="E195" s="2023" t="s">
        <v>71</v>
      </c>
      <c r="F195" s="989">
        <v>5500</v>
      </c>
      <c r="G195" s="3283">
        <v>5500</v>
      </c>
      <c r="H195" s="1021"/>
      <c r="I195" s="2607"/>
      <c r="J195" s="681" t="s">
        <v>8</v>
      </c>
      <c r="K195" s="3016"/>
      <c r="L195" s="3016"/>
      <c r="M195" s="3016"/>
      <c r="N195" s="3228"/>
      <c r="O195" s="3228"/>
      <c r="P195" s="3228"/>
      <c r="Q195" s="684"/>
      <c r="R195" s="3229"/>
      <c r="S195" s="3229" t="s">
        <v>20</v>
      </c>
      <c r="T195" s="684" t="s">
        <v>20</v>
      </c>
      <c r="U195" s="684" t="s">
        <v>20</v>
      </c>
      <c r="V195" s="684" t="s">
        <v>20</v>
      </c>
      <c r="W195" s="684" t="s">
        <v>20</v>
      </c>
      <c r="X195" s="686" t="s">
        <v>20</v>
      </c>
      <c r="Y195" s="2313">
        <f>SUM(Y196:Y197)</f>
        <v>5500</v>
      </c>
      <c r="Z195" s="2016"/>
      <c r="AA195" s="308"/>
      <c r="AB195" s="669"/>
      <c r="AC195" s="880"/>
      <c r="AD195" s="880"/>
      <c r="AE195" s="880"/>
      <c r="AF195" s="880"/>
      <c r="AG195" s="880"/>
      <c r="AH195" s="880"/>
      <c r="AI195" s="880"/>
      <c r="AJ195" s="880"/>
      <c r="AK195" s="880"/>
      <c r="AL195" s="880"/>
      <c r="AM195" s="880"/>
      <c r="AN195" s="880"/>
      <c r="AO195" s="880"/>
      <c r="AP195" s="880"/>
      <c r="AQ195" s="880"/>
      <c r="AR195" s="880"/>
      <c r="AS195" s="880"/>
      <c r="AT195" s="880"/>
      <c r="AU195" s="880"/>
      <c r="AV195" s="880"/>
      <c r="AW195" s="880"/>
      <c r="AX195" s="880"/>
      <c r="AY195" s="880"/>
      <c r="AZ195" s="880"/>
      <c r="BA195" s="880"/>
      <c r="BB195" s="880"/>
      <c r="BC195" s="880"/>
      <c r="BD195" s="880"/>
      <c r="BE195" s="880"/>
      <c r="BF195" s="880"/>
      <c r="BG195" s="880"/>
      <c r="BH195" s="880"/>
      <c r="BI195" s="880"/>
      <c r="BJ195" s="880"/>
      <c r="BK195" s="880"/>
      <c r="BL195" s="880"/>
      <c r="BM195" s="880"/>
      <c r="BN195" s="880"/>
      <c r="BO195" s="880"/>
      <c r="BP195" s="880"/>
      <c r="BQ195" s="880"/>
      <c r="BR195" s="880"/>
      <c r="BS195" s="880"/>
      <c r="BT195" s="880"/>
      <c r="BU195" s="880"/>
      <c r="BV195" s="880"/>
      <c r="BW195" s="880"/>
      <c r="BX195" s="880"/>
      <c r="BY195" s="880"/>
      <c r="BZ195" s="880"/>
      <c r="CA195" s="880"/>
      <c r="CB195" s="880"/>
      <c r="CC195" s="880"/>
      <c r="CD195" s="880"/>
      <c r="CE195" s="880"/>
      <c r="CF195" s="880"/>
      <c r="CG195" s="880"/>
      <c r="CH195" s="880"/>
      <c r="CI195" s="880"/>
      <c r="CJ195" s="880"/>
      <c r="CK195" s="880"/>
      <c r="CL195" s="880"/>
      <c r="CM195" s="880"/>
      <c r="CN195" s="880"/>
      <c r="CO195" s="880"/>
      <c r="CP195" s="880"/>
      <c r="CQ195" s="880"/>
      <c r="CR195" s="880"/>
      <c r="CS195" s="880"/>
      <c r="CT195" s="880"/>
      <c r="CU195" s="880"/>
      <c r="CV195" s="880"/>
      <c r="CW195" s="880"/>
      <c r="CX195" s="880"/>
      <c r="CY195" s="880"/>
      <c r="CZ195" s="880"/>
      <c r="DA195" s="880"/>
      <c r="DB195" s="880"/>
      <c r="DC195" s="880"/>
      <c r="DD195" s="880"/>
      <c r="DE195" s="880"/>
      <c r="DF195" s="880"/>
      <c r="DG195" s="880"/>
      <c r="DH195" s="880"/>
      <c r="DI195" s="880"/>
      <c r="DJ195" s="880"/>
      <c r="DK195" s="880"/>
      <c r="DL195" s="880"/>
      <c r="DM195" s="880"/>
      <c r="DN195" s="880"/>
      <c r="DO195" s="880"/>
      <c r="DP195" s="880"/>
      <c r="DQ195" s="880"/>
      <c r="DR195" s="880"/>
      <c r="DS195" s="880"/>
      <c r="DT195" s="880"/>
      <c r="DU195" s="880"/>
      <c r="DV195" s="880"/>
      <c r="DW195" s="880"/>
      <c r="DX195" s="880"/>
      <c r="DY195" s="880"/>
      <c r="DZ195" s="880"/>
      <c r="EA195" s="880"/>
      <c r="EB195" s="880"/>
      <c r="EC195" s="880"/>
      <c r="ED195" s="880"/>
      <c r="EE195" s="880"/>
      <c r="EF195" s="880"/>
      <c r="EG195" s="880"/>
      <c r="EH195" s="880"/>
      <c r="EI195" s="880"/>
      <c r="EJ195" s="880"/>
      <c r="EK195" s="880"/>
      <c r="EL195" s="880"/>
      <c r="EM195" s="880"/>
      <c r="EN195" s="880"/>
      <c r="EO195" s="880"/>
      <c r="EP195" s="880"/>
      <c r="EQ195" s="880"/>
      <c r="ER195" s="880"/>
      <c r="ES195" s="880"/>
      <c r="ET195" s="880"/>
      <c r="EU195" s="880"/>
      <c r="EV195" s="880"/>
      <c r="EW195" s="880"/>
      <c r="EX195" s="880"/>
      <c r="EY195" s="880"/>
      <c r="EZ195" s="880"/>
      <c r="FA195" s="880"/>
      <c r="FB195" s="880"/>
      <c r="FC195" s="880"/>
      <c r="FD195" s="880"/>
      <c r="FE195" s="880"/>
      <c r="FF195" s="880"/>
      <c r="FG195" s="880"/>
      <c r="FH195" s="880"/>
      <c r="FI195" s="880"/>
      <c r="FJ195" s="880"/>
      <c r="FK195" s="880"/>
      <c r="FL195" s="880"/>
      <c r="FM195" s="880"/>
      <c r="FN195" s="880"/>
      <c r="FO195" s="880"/>
      <c r="FP195" s="880"/>
      <c r="FQ195" s="880"/>
      <c r="FR195" s="880"/>
      <c r="FS195" s="880"/>
      <c r="FT195" s="880"/>
      <c r="FU195" s="880"/>
      <c r="FV195" s="880"/>
      <c r="FW195" s="880"/>
      <c r="FX195" s="880"/>
      <c r="FY195" s="880"/>
      <c r="FZ195" s="880"/>
      <c r="GA195" s="880"/>
      <c r="GB195" s="880"/>
      <c r="GC195" s="880"/>
      <c r="GD195" s="880"/>
      <c r="GE195" s="880"/>
      <c r="GF195" s="880"/>
      <c r="GG195" s="880"/>
      <c r="GH195" s="880"/>
      <c r="GI195" s="880"/>
      <c r="GJ195" s="880"/>
      <c r="GK195" s="880"/>
      <c r="GL195" s="880"/>
      <c r="GM195" s="880"/>
      <c r="GN195" s="880"/>
      <c r="GO195" s="880"/>
      <c r="GP195" s="880"/>
      <c r="GQ195" s="880"/>
      <c r="GR195" s="880"/>
      <c r="GS195" s="880"/>
      <c r="GT195" s="880"/>
      <c r="GU195" s="880"/>
      <c r="GV195" s="880"/>
      <c r="GW195" s="880"/>
      <c r="GX195" s="880"/>
      <c r="GY195" s="880"/>
      <c r="GZ195" s="880"/>
      <c r="HA195" s="880"/>
      <c r="HB195" s="880"/>
      <c r="HC195" s="880"/>
      <c r="HD195" s="880"/>
      <c r="HE195" s="880"/>
      <c r="HF195" s="880"/>
      <c r="HG195" s="880"/>
      <c r="HH195" s="880"/>
      <c r="HI195" s="880"/>
      <c r="HJ195" s="880"/>
      <c r="HK195" s="880"/>
      <c r="HL195" s="880"/>
      <c r="HM195" s="880"/>
      <c r="HN195" s="880"/>
      <c r="HO195" s="880"/>
      <c r="HP195" s="880"/>
      <c r="HQ195" s="880"/>
      <c r="HR195" s="880"/>
      <c r="HS195" s="880"/>
      <c r="HT195" s="880"/>
      <c r="HU195" s="880"/>
      <c r="HV195" s="880"/>
      <c r="HW195" s="880"/>
      <c r="HX195" s="880"/>
      <c r="HY195" s="880"/>
      <c r="HZ195" s="880"/>
      <c r="IA195" s="880"/>
      <c r="IB195" s="880"/>
      <c r="IC195" s="880"/>
      <c r="ID195" s="880"/>
      <c r="IE195" s="880"/>
      <c r="IF195" s="880"/>
      <c r="IG195" s="880"/>
      <c r="IH195" s="880"/>
      <c r="II195" s="880"/>
      <c r="IJ195" s="880"/>
      <c r="IK195" s="880"/>
      <c r="IL195" s="880"/>
      <c r="IM195" s="880"/>
      <c r="IN195" s="880"/>
      <c r="IO195" s="880"/>
      <c r="IP195" s="880"/>
      <c r="IQ195" s="880"/>
      <c r="IR195" s="880"/>
      <c r="IS195" s="880"/>
      <c r="IT195" s="880"/>
      <c r="IU195" s="880"/>
      <c r="IV195" s="880"/>
    </row>
    <row r="196" spans="1:256" s="763" customFormat="1" ht="19.5" customHeight="1">
      <c r="A196" s="636"/>
      <c r="B196" s="2035"/>
      <c r="C196" s="624"/>
      <c r="D196" s="1530"/>
      <c r="E196" s="3284"/>
      <c r="F196" s="2595"/>
      <c r="G196" s="3285"/>
      <c r="H196" s="2596"/>
      <c r="I196" s="2973"/>
      <c r="J196" s="681" t="s">
        <v>2582</v>
      </c>
      <c r="K196" s="3016"/>
      <c r="L196" s="3016"/>
      <c r="M196" s="3016"/>
      <c r="N196" s="3016"/>
      <c r="O196" s="3016"/>
      <c r="P196" s="3228"/>
      <c r="Q196" s="3228"/>
      <c r="R196" s="684"/>
      <c r="S196" s="684">
        <v>10000</v>
      </c>
      <c r="T196" s="684" t="s">
        <v>0</v>
      </c>
      <c r="U196" s="3228"/>
      <c r="V196" s="684">
        <v>500</v>
      </c>
      <c r="W196" s="684" t="s">
        <v>457</v>
      </c>
      <c r="X196" s="686" t="s">
        <v>1</v>
      </c>
      <c r="Y196" s="871">
        <f t="shared" ref="Y196:Y201" si="13">+S196*V196/1000</f>
        <v>5000</v>
      </c>
      <c r="Z196" s="2016"/>
      <c r="AA196" s="308"/>
      <c r="AB196" s="669"/>
      <c r="AC196" s="880"/>
      <c r="AD196" s="880"/>
      <c r="AE196" s="880"/>
      <c r="AF196" s="880"/>
      <c r="AG196" s="880"/>
      <c r="AH196" s="880"/>
      <c r="AI196" s="880"/>
      <c r="AJ196" s="880"/>
      <c r="AK196" s="880"/>
      <c r="AL196" s="880"/>
      <c r="AM196" s="880"/>
      <c r="AN196" s="880"/>
      <c r="AO196" s="880"/>
      <c r="AP196" s="880"/>
      <c r="AQ196" s="880"/>
      <c r="AR196" s="880"/>
      <c r="AS196" s="880"/>
      <c r="AT196" s="880"/>
      <c r="AU196" s="880"/>
      <c r="AV196" s="880"/>
      <c r="AW196" s="880"/>
      <c r="AX196" s="880"/>
      <c r="AY196" s="880"/>
      <c r="AZ196" s="880"/>
      <c r="BA196" s="880"/>
      <c r="BB196" s="880"/>
      <c r="BC196" s="880"/>
      <c r="BD196" s="880"/>
      <c r="BE196" s="880"/>
      <c r="BF196" s="880"/>
      <c r="BG196" s="880"/>
      <c r="BH196" s="880"/>
      <c r="BI196" s="880"/>
      <c r="BJ196" s="880"/>
      <c r="BK196" s="880"/>
      <c r="BL196" s="880"/>
      <c r="BM196" s="880"/>
      <c r="BN196" s="880"/>
      <c r="BO196" s="880"/>
      <c r="BP196" s="880"/>
      <c r="BQ196" s="880"/>
      <c r="BR196" s="880"/>
      <c r="BS196" s="880"/>
      <c r="BT196" s="880"/>
      <c r="BU196" s="880"/>
      <c r="BV196" s="880"/>
      <c r="BW196" s="880"/>
      <c r="BX196" s="880"/>
      <c r="BY196" s="880"/>
      <c r="BZ196" s="880"/>
      <c r="CA196" s="880"/>
      <c r="CB196" s="880"/>
      <c r="CC196" s="880"/>
      <c r="CD196" s="880"/>
      <c r="CE196" s="880"/>
      <c r="CF196" s="880"/>
      <c r="CG196" s="880"/>
      <c r="CH196" s="880"/>
      <c r="CI196" s="880"/>
      <c r="CJ196" s="880"/>
      <c r="CK196" s="880"/>
      <c r="CL196" s="880"/>
      <c r="CM196" s="880"/>
      <c r="CN196" s="880"/>
      <c r="CO196" s="880"/>
      <c r="CP196" s="880"/>
      <c r="CQ196" s="880"/>
      <c r="CR196" s="880"/>
      <c r="CS196" s="880"/>
      <c r="CT196" s="880"/>
      <c r="CU196" s="880"/>
      <c r="CV196" s="880"/>
      <c r="CW196" s="880"/>
      <c r="CX196" s="880"/>
      <c r="CY196" s="880"/>
      <c r="CZ196" s="880"/>
      <c r="DA196" s="880"/>
      <c r="DB196" s="880"/>
      <c r="DC196" s="880"/>
      <c r="DD196" s="880"/>
      <c r="DE196" s="880"/>
      <c r="DF196" s="880"/>
      <c r="DG196" s="880"/>
      <c r="DH196" s="880"/>
      <c r="DI196" s="880"/>
      <c r="DJ196" s="880"/>
      <c r="DK196" s="880"/>
      <c r="DL196" s="880"/>
      <c r="DM196" s="880"/>
      <c r="DN196" s="880"/>
      <c r="DO196" s="880"/>
      <c r="DP196" s="880"/>
      <c r="DQ196" s="880"/>
      <c r="DR196" s="880"/>
      <c r="DS196" s="880"/>
      <c r="DT196" s="880"/>
      <c r="DU196" s="880"/>
      <c r="DV196" s="880"/>
      <c r="DW196" s="880"/>
      <c r="DX196" s="880"/>
      <c r="DY196" s="880"/>
      <c r="DZ196" s="880"/>
      <c r="EA196" s="880"/>
      <c r="EB196" s="880"/>
      <c r="EC196" s="880"/>
      <c r="ED196" s="880"/>
      <c r="EE196" s="880"/>
      <c r="EF196" s="880"/>
      <c r="EG196" s="880"/>
      <c r="EH196" s="880"/>
      <c r="EI196" s="880"/>
      <c r="EJ196" s="880"/>
      <c r="EK196" s="880"/>
      <c r="EL196" s="880"/>
      <c r="EM196" s="880"/>
      <c r="EN196" s="880"/>
      <c r="EO196" s="880"/>
      <c r="EP196" s="880"/>
      <c r="EQ196" s="880"/>
      <c r="ER196" s="880"/>
      <c r="ES196" s="880"/>
      <c r="ET196" s="880"/>
      <c r="EU196" s="880"/>
      <c r="EV196" s="880"/>
      <c r="EW196" s="880"/>
      <c r="EX196" s="880"/>
      <c r="EY196" s="880"/>
      <c r="EZ196" s="880"/>
      <c r="FA196" s="880"/>
      <c r="FB196" s="880"/>
      <c r="FC196" s="880"/>
      <c r="FD196" s="880"/>
      <c r="FE196" s="880"/>
      <c r="FF196" s="880"/>
      <c r="FG196" s="880"/>
      <c r="FH196" s="880"/>
      <c r="FI196" s="880"/>
      <c r="FJ196" s="880"/>
      <c r="FK196" s="880"/>
      <c r="FL196" s="880"/>
      <c r="FM196" s="880"/>
      <c r="FN196" s="880"/>
      <c r="FO196" s="880"/>
      <c r="FP196" s="880"/>
      <c r="FQ196" s="880"/>
      <c r="FR196" s="880"/>
      <c r="FS196" s="880"/>
      <c r="FT196" s="880"/>
      <c r="FU196" s="880"/>
      <c r="FV196" s="880"/>
      <c r="FW196" s="880"/>
      <c r="FX196" s="880"/>
      <c r="FY196" s="880"/>
      <c r="FZ196" s="880"/>
      <c r="GA196" s="880"/>
      <c r="GB196" s="880"/>
      <c r="GC196" s="880"/>
      <c r="GD196" s="880"/>
      <c r="GE196" s="880"/>
      <c r="GF196" s="880"/>
      <c r="GG196" s="880"/>
      <c r="GH196" s="880"/>
      <c r="GI196" s="880"/>
      <c r="GJ196" s="880"/>
      <c r="GK196" s="880"/>
      <c r="GL196" s="880"/>
      <c r="GM196" s="880"/>
      <c r="GN196" s="880"/>
      <c r="GO196" s="880"/>
      <c r="GP196" s="880"/>
      <c r="GQ196" s="880"/>
      <c r="GR196" s="880"/>
      <c r="GS196" s="880"/>
      <c r="GT196" s="880"/>
      <c r="GU196" s="880"/>
      <c r="GV196" s="880"/>
      <c r="GW196" s="880"/>
      <c r="GX196" s="880"/>
      <c r="GY196" s="880"/>
      <c r="GZ196" s="880"/>
      <c r="HA196" s="880"/>
      <c r="HB196" s="880"/>
      <c r="HC196" s="880"/>
      <c r="HD196" s="880"/>
      <c r="HE196" s="880"/>
      <c r="HF196" s="880"/>
      <c r="HG196" s="880"/>
      <c r="HH196" s="880"/>
      <c r="HI196" s="880"/>
      <c r="HJ196" s="880"/>
      <c r="HK196" s="880"/>
      <c r="HL196" s="880"/>
      <c r="HM196" s="880"/>
      <c r="HN196" s="880"/>
      <c r="HO196" s="880"/>
      <c r="HP196" s="880"/>
      <c r="HQ196" s="880"/>
      <c r="HR196" s="880"/>
      <c r="HS196" s="880"/>
      <c r="HT196" s="880"/>
      <c r="HU196" s="880"/>
      <c r="HV196" s="880"/>
      <c r="HW196" s="880"/>
      <c r="HX196" s="880"/>
      <c r="HY196" s="880"/>
      <c r="HZ196" s="880"/>
      <c r="IA196" s="880"/>
      <c r="IB196" s="880"/>
      <c r="IC196" s="880"/>
      <c r="ID196" s="880"/>
      <c r="IE196" s="880"/>
      <c r="IF196" s="880"/>
      <c r="IG196" s="880"/>
      <c r="IH196" s="880"/>
      <c r="II196" s="880"/>
      <c r="IJ196" s="880"/>
      <c r="IK196" s="880"/>
      <c r="IL196" s="880"/>
      <c r="IM196" s="880"/>
      <c r="IN196" s="880"/>
      <c r="IO196" s="880"/>
      <c r="IP196" s="880"/>
      <c r="IQ196" s="880"/>
      <c r="IR196" s="880"/>
      <c r="IS196" s="880"/>
      <c r="IT196" s="880"/>
      <c r="IU196" s="880"/>
      <c r="IV196" s="880"/>
    </row>
    <row r="197" spans="1:256" s="763" customFormat="1" ht="19.5" customHeight="1">
      <c r="A197" s="636"/>
      <c r="B197" s="2035"/>
      <c r="C197" s="624"/>
      <c r="D197" s="1530"/>
      <c r="E197" s="2013"/>
      <c r="F197" s="1261"/>
      <c r="G197" s="2475"/>
      <c r="H197" s="1021"/>
      <c r="I197" s="2973"/>
      <c r="J197" s="681" t="s">
        <v>2583</v>
      </c>
      <c r="K197" s="3016"/>
      <c r="L197" s="3016"/>
      <c r="M197" s="3016"/>
      <c r="N197" s="3016"/>
      <c r="O197" s="3016"/>
      <c r="P197" s="3228"/>
      <c r="Q197" s="3228"/>
      <c r="R197" s="684"/>
      <c r="S197" s="684">
        <v>500000</v>
      </c>
      <c r="T197" s="684" t="s">
        <v>0</v>
      </c>
      <c r="U197" s="3228"/>
      <c r="V197" s="684">
        <v>1</v>
      </c>
      <c r="W197" s="684" t="s">
        <v>39</v>
      </c>
      <c r="X197" s="686" t="s">
        <v>1</v>
      </c>
      <c r="Y197" s="871">
        <f t="shared" si="13"/>
        <v>500</v>
      </c>
      <c r="Z197" s="2016"/>
      <c r="AA197" s="308"/>
      <c r="AB197" s="669"/>
      <c r="AC197" s="880"/>
      <c r="AD197" s="880"/>
      <c r="AE197" s="880"/>
      <c r="AF197" s="880"/>
      <c r="AG197" s="880"/>
      <c r="AH197" s="880"/>
      <c r="AI197" s="880"/>
      <c r="AJ197" s="880"/>
      <c r="AK197" s="880"/>
      <c r="AL197" s="880"/>
      <c r="AM197" s="880"/>
      <c r="AN197" s="880"/>
      <c r="AO197" s="880"/>
      <c r="AP197" s="880"/>
      <c r="AQ197" s="880"/>
      <c r="AR197" s="880"/>
      <c r="AS197" s="880"/>
      <c r="AT197" s="880"/>
      <c r="AU197" s="880"/>
      <c r="AV197" s="880"/>
      <c r="AW197" s="880"/>
      <c r="AX197" s="880"/>
      <c r="AY197" s="880"/>
      <c r="AZ197" s="880"/>
      <c r="BA197" s="880"/>
      <c r="BB197" s="880"/>
      <c r="BC197" s="880"/>
      <c r="BD197" s="880"/>
      <c r="BE197" s="880"/>
      <c r="BF197" s="880"/>
      <c r="BG197" s="880"/>
      <c r="BH197" s="880"/>
      <c r="BI197" s="880"/>
      <c r="BJ197" s="880"/>
      <c r="BK197" s="880"/>
      <c r="BL197" s="880"/>
      <c r="BM197" s="880"/>
      <c r="BN197" s="880"/>
      <c r="BO197" s="880"/>
      <c r="BP197" s="880"/>
      <c r="BQ197" s="880"/>
      <c r="BR197" s="880"/>
      <c r="BS197" s="880"/>
      <c r="BT197" s="880"/>
      <c r="BU197" s="880"/>
      <c r="BV197" s="880"/>
      <c r="BW197" s="880"/>
      <c r="BX197" s="880"/>
      <c r="BY197" s="880"/>
      <c r="BZ197" s="880"/>
      <c r="CA197" s="880"/>
      <c r="CB197" s="880"/>
      <c r="CC197" s="880"/>
      <c r="CD197" s="880"/>
      <c r="CE197" s="880"/>
      <c r="CF197" s="880"/>
      <c r="CG197" s="880"/>
      <c r="CH197" s="880"/>
      <c r="CI197" s="880"/>
      <c r="CJ197" s="880"/>
      <c r="CK197" s="880"/>
      <c r="CL197" s="880"/>
      <c r="CM197" s="880"/>
      <c r="CN197" s="880"/>
      <c r="CO197" s="880"/>
      <c r="CP197" s="880"/>
      <c r="CQ197" s="880"/>
      <c r="CR197" s="880"/>
      <c r="CS197" s="880"/>
      <c r="CT197" s="880"/>
      <c r="CU197" s="880"/>
      <c r="CV197" s="880"/>
      <c r="CW197" s="880"/>
      <c r="CX197" s="880"/>
      <c r="CY197" s="880"/>
      <c r="CZ197" s="880"/>
      <c r="DA197" s="880"/>
      <c r="DB197" s="880"/>
      <c r="DC197" s="880"/>
      <c r="DD197" s="880"/>
      <c r="DE197" s="880"/>
      <c r="DF197" s="880"/>
      <c r="DG197" s="880"/>
      <c r="DH197" s="880"/>
      <c r="DI197" s="880"/>
      <c r="DJ197" s="880"/>
      <c r="DK197" s="880"/>
      <c r="DL197" s="880"/>
      <c r="DM197" s="880"/>
      <c r="DN197" s="880"/>
      <c r="DO197" s="880"/>
      <c r="DP197" s="880"/>
      <c r="DQ197" s="880"/>
      <c r="DR197" s="880"/>
      <c r="DS197" s="880"/>
      <c r="DT197" s="880"/>
      <c r="DU197" s="880"/>
      <c r="DV197" s="880"/>
      <c r="DW197" s="880"/>
      <c r="DX197" s="880"/>
      <c r="DY197" s="880"/>
      <c r="DZ197" s="880"/>
      <c r="EA197" s="880"/>
      <c r="EB197" s="880"/>
      <c r="EC197" s="880"/>
      <c r="ED197" s="880"/>
      <c r="EE197" s="880"/>
      <c r="EF197" s="880"/>
      <c r="EG197" s="880"/>
      <c r="EH197" s="880"/>
      <c r="EI197" s="880"/>
      <c r="EJ197" s="880"/>
      <c r="EK197" s="880"/>
      <c r="EL197" s="880"/>
      <c r="EM197" s="880"/>
      <c r="EN197" s="880"/>
      <c r="EO197" s="880"/>
      <c r="EP197" s="880"/>
      <c r="EQ197" s="880"/>
      <c r="ER197" s="880"/>
      <c r="ES197" s="880"/>
      <c r="ET197" s="880"/>
      <c r="EU197" s="880"/>
      <c r="EV197" s="880"/>
      <c r="EW197" s="880"/>
      <c r="EX197" s="880"/>
      <c r="EY197" s="880"/>
      <c r="EZ197" s="880"/>
      <c r="FA197" s="880"/>
      <c r="FB197" s="880"/>
      <c r="FC197" s="880"/>
      <c r="FD197" s="880"/>
      <c r="FE197" s="880"/>
      <c r="FF197" s="880"/>
      <c r="FG197" s="880"/>
      <c r="FH197" s="880"/>
      <c r="FI197" s="880"/>
      <c r="FJ197" s="880"/>
      <c r="FK197" s="880"/>
      <c r="FL197" s="880"/>
      <c r="FM197" s="880"/>
      <c r="FN197" s="880"/>
      <c r="FO197" s="880"/>
      <c r="FP197" s="880"/>
      <c r="FQ197" s="880"/>
      <c r="FR197" s="880"/>
      <c r="FS197" s="880"/>
      <c r="FT197" s="880"/>
      <c r="FU197" s="880"/>
      <c r="FV197" s="880"/>
      <c r="FW197" s="880"/>
      <c r="FX197" s="880"/>
      <c r="FY197" s="880"/>
      <c r="FZ197" s="880"/>
      <c r="GA197" s="880"/>
      <c r="GB197" s="880"/>
      <c r="GC197" s="880"/>
      <c r="GD197" s="880"/>
      <c r="GE197" s="880"/>
      <c r="GF197" s="880"/>
      <c r="GG197" s="880"/>
      <c r="GH197" s="880"/>
      <c r="GI197" s="880"/>
      <c r="GJ197" s="880"/>
      <c r="GK197" s="880"/>
      <c r="GL197" s="880"/>
      <c r="GM197" s="880"/>
      <c r="GN197" s="880"/>
      <c r="GO197" s="880"/>
      <c r="GP197" s="880"/>
      <c r="GQ197" s="880"/>
      <c r="GR197" s="880"/>
      <c r="GS197" s="880"/>
      <c r="GT197" s="880"/>
      <c r="GU197" s="880"/>
      <c r="GV197" s="880"/>
      <c r="GW197" s="880"/>
      <c r="GX197" s="880"/>
      <c r="GY197" s="880"/>
      <c r="GZ197" s="880"/>
      <c r="HA197" s="880"/>
      <c r="HB197" s="880"/>
      <c r="HC197" s="880"/>
      <c r="HD197" s="880"/>
      <c r="HE197" s="880"/>
      <c r="HF197" s="880"/>
      <c r="HG197" s="880"/>
      <c r="HH197" s="880"/>
      <c r="HI197" s="880"/>
      <c r="HJ197" s="880"/>
      <c r="HK197" s="880"/>
      <c r="HL197" s="880"/>
      <c r="HM197" s="880"/>
      <c r="HN197" s="880"/>
      <c r="HO197" s="880"/>
      <c r="HP197" s="880"/>
      <c r="HQ197" s="880"/>
      <c r="HR197" s="880"/>
      <c r="HS197" s="880"/>
      <c r="HT197" s="880"/>
      <c r="HU197" s="880"/>
      <c r="HV197" s="880"/>
      <c r="HW197" s="880"/>
      <c r="HX197" s="880"/>
      <c r="HY197" s="880"/>
      <c r="HZ197" s="880"/>
      <c r="IA197" s="880"/>
      <c r="IB197" s="880"/>
      <c r="IC197" s="880"/>
      <c r="ID197" s="880"/>
      <c r="IE197" s="880"/>
      <c r="IF197" s="880"/>
      <c r="IG197" s="880"/>
      <c r="IH197" s="880"/>
      <c r="II197" s="880"/>
      <c r="IJ197" s="880"/>
      <c r="IK197" s="880"/>
      <c r="IL197" s="880"/>
      <c r="IM197" s="880"/>
      <c r="IN197" s="880"/>
      <c r="IO197" s="880"/>
      <c r="IP197" s="880"/>
      <c r="IQ197" s="880"/>
      <c r="IR197" s="880"/>
      <c r="IS197" s="880"/>
      <c r="IT197" s="880"/>
      <c r="IU197" s="880"/>
      <c r="IV197" s="880"/>
    </row>
    <row r="198" spans="1:256" s="2051" customFormat="1" ht="19.5" customHeight="1">
      <c r="A198" s="636"/>
      <c r="B198" s="2035"/>
      <c r="C198" s="624"/>
      <c r="D198" s="1530"/>
      <c r="E198" s="2023" t="s">
        <v>62</v>
      </c>
      <c r="F198" s="989">
        <v>400</v>
      </c>
      <c r="G198" s="3283">
        <v>400</v>
      </c>
      <c r="H198" s="1021"/>
      <c r="I198" s="2973"/>
      <c r="J198" s="681" t="s">
        <v>224</v>
      </c>
      <c r="K198" s="3016"/>
      <c r="L198" s="3016"/>
      <c r="M198" s="3016"/>
      <c r="N198" s="3016"/>
      <c r="O198" s="3016"/>
      <c r="P198" s="3228"/>
      <c r="Q198" s="3228"/>
      <c r="R198" s="684"/>
      <c r="S198" s="3228"/>
      <c r="T198" s="3228"/>
      <c r="U198" s="3228"/>
      <c r="V198" s="3228"/>
      <c r="W198" s="3228"/>
      <c r="X198" s="3228"/>
      <c r="Y198" s="2313">
        <f>SUM(Y199:Y200)</f>
        <v>400</v>
      </c>
      <c r="Z198" s="2016"/>
      <c r="AA198" s="308"/>
      <c r="AB198" s="669"/>
      <c r="AC198" s="2075"/>
      <c r="AD198" s="2075"/>
      <c r="AE198" s="2075"/>
      <c r="AF198" s="2075"/>
      <c r="AG198" s="2075"/>
      <c r="AH198" s="2075"/>
      <c r="AI198" s="2075"/>
      <c r="AJ198" s="2075"/>
      <c r="AK198" s="2075"/>
      <c r="AL198" s="2075"/>
      <c r="AM198" s="2075"/>
      <c r="AN198" s="2075"/>
      <c r="AO198" s="2075"/>
      <c r="AP198" s="2075"/>
      <c r="AQ198" s="2075"/>
      <c r="AR198" s="2075"/>
      <c r="AS198" s="2075"/>
      <c r="AT198" s="2075"/>
      <c r="AU198" s="2075"/>
      <c r="AV198" s="2075"/>
      <c r="AW198" s="2075"/>
      <c r="AX198" s="2075"/>
      <c r="AY198" s="2075"/>
      <c r="AZ198" s="2075"/>
      <c r="BA198" s="2075"/>
      <c r="BB198" s="2075"/>
      <c r="BC198" s="2075"/>
      <c r="BD198" s="2075"/>
      <c r="BE198" s="2075"/>
      <c r="BF198" s="2075"/>
      <c r="BG198" s="2075"/>
      <c r="BH198" s="2075"/>
      <c r="BI198" s="2075"/>
      <c r="BJ198" s="2075"/>
      <c r="BK198" s="2075"/>
      <c r="BL198" s="2075"/>
      <c r="BM198" s="2075"/>
      <c r="BN198" s="2075"/>
      <c r="BO198" s="2075"/>
      <c r="BP198" s="2075"/>
      <c r="BQ198" s="2075"/>
      <c r="BR198" s="2075"/>
      <c r="BS198" s="2075"/>
      <c r="BT198" s="2075"/>
      <c r="BU198" s="2075"/>
      <c r="BV198" s="2075"/>
      <c r="BW198" s="2075"/>
      <c r="BX198" s="2075"/>
      <c r="BY198" s="2075"/>
      <c r="BZ198" s="2075"/>
      <c r="CA198" s="2075"/>
      <c r="CB198" s="2075"/>
      <c r="CC198" s="2075"/>
      <c r="CD198" s="2075"/>
      <c r="CE198" s="2075"/>
      <c r="CF198" s="2075"/>
      <c r="CG198" s="2075"/>
      <c r="CH198" s="2075"/>
      <c r="CI198" s="2075"/>
      <c r="CJ198" s="2075"/>
      <c r="CK198" s="2075"/>
      <c r="CL198" s="2075"/>
      <c r="CM198" s="2075"/>
      <c r="CN198" s="2075"/>
      <c r="CO198" s="2075"/>
      <c r="CP198" s="2075"/>
      <c r="CQ198" s="2075"/>
      <c r="CR198" s="2075"/>
      <c r="CS198" s="2075"/>
      <c r="CT198" s="2075"/>
      <c r="CU198" s="2075"/>
      <c r="CV198" s="2075"/>
      <c r="CW198" s="2075"/>
      <c r="CX198" s="2075"/>
      <c r="CY198" s="2075"/>
      <c r="CZ198" s="2075"/>
      <c r="DA198" s="2075"/>
      <c r="DB198" s="2075"/>
      <c r="DC198" s="2075"/>
      <c r="DD198" s="2075"/>
      <c r="DE198" s="2075"/>
      <c r="DF198" s="2075"/>
      <c r="DG198" s="2075"/>
      <c r="DH198" s="2075"/>
      <c r="DI198" s="2075"/>
      <c r="DJ198" s="2075"/>
      <c r="DK198" s="2075"/>
      <c r="DL198" s="2075"/>
      <c r="DM198" s="2075"/>
      <c r="DN198" s="2075"/>
      <c r="DO198" s="2075"/>
      <c r="DP198" s="2075"/>
      <c r="DQ198" s="2075"/>
      <c r="DR198" s="2075"/>
      <c r="DS198" s="2075"/>
      <c r="DT198" s="2075"/>
      <c r="DU198" s="2075"/>
      <c r="DV198" s="2075"/>
      <c r="DW198" s="2075"/>
      <c r="DX198" s="2075"/>
      <c r="DY198" s="2075"/>
      <c r="DZ198" s="2075"/>
      <c r="EA198" s="2075"/>
      <c r="EB198" s="2075"/>
      <c r="EC198" s="2075"/>
      <c r="ED198" s="2075"/>
      <c r="EE198" s="2075"/>
      <c r="EF198" s="2075"/>
      <c r="EG198" s="2075"/>
      <c r="EH198" s="2075"/>
      <c r="EI198" s="2075"/>
      <c r="EJ198" s="2075"/>
      <c r="EK198" s="2075"/>
      <c r="EL198" s="2075"/>
      <c r="EM198" s="2075"/>
      <c r="EN198" s="2075"/>
      <c r="EO198" s="2075"/>
      <c r="EP198" s="2075"/>
      <c r="EQ198" s="2075"/>
      <c r="ER198" s="2075"/>
      <c r="ES198" s="2075"/>
      <c r="ET198" s="2075"/>
      <c r="EU198" s="2075"/>
      <c r="EV198" s="2075"/>
      <c r="EW198" s="2075"/>
      <c r="EX198" s="2075"/>
      <c r="EY198" s="2075"/>
      <c r="EZ198" s="2075"/>
      <c r="FA198" s="2075"/>
      <c r="FB198" s="2075"/>
      <c r="FC198" s="2075"/>
      <c r="FD198" s="2075"/>
      <c r="FE198" s="2075"/>
      <c r="FF198" s="2075"/>
      <c r="FG198" s="2075"/>
      <c r="FH198" s="2075"/>
      <c r="FI198" s="2075"/>
      <c r="FJ198" s="2075"/>
      <c r="FK198" s="2075"/>
      <c r="FL198" s="2075"/>
      <c r="FM198" s="2075"/>
      <c r="FN198" s="2075"/>
      <c r="FO198" s="2075"/>
      <c r="FP198" s="2075"/>
      <c r="FQ198" s="2075"/>
      <c r="FR198" s="2075"/>
      <c r="FS198" s="2075"/>
      <c r="FT198" s="2075"/>
      <c r="FU198" s="2075"/>
      <c r="FV198" s="2075"/>
      <c r="FW198" s="2075"/>
      <c r="FX198" s="2075"/>
      <c r="FY198" s="2075"/>
      <c r="FZ198" s="2075"/>
      <c r="GA198" s="2075"/>
      <c r="GB198" s="2075"/>
      <c r="GC198" s="2075"/>
      <c r="GD198" s="2075"/>
      <c r="GE198" s="2075"/>
      <c r="GF198" s="2075"/>
      <c r="GG198" s="2075"/>
      <c r="GH198" s="2075"/>
      <c r="GI198" s="2075"/>
      <c r="GJ198" s="2075"/>
      <c r="GK198" s="2075"/>
      <c r="GL198" s="2075"/>
      <c r="GM198" s="2075"/>
      <c r="GN198" s="2075"/>
      <c r="GO198" s="2075"/>
      <c r="GP198" s="2075"/>
      <c r="GQ198" s="2075"/>
      <c r="GR198" s="2075"/>
      <c r="GS198" s="2075"/>
      <c r="GT198" s="2075"/>
      <c r="GU198" s="2075"/>
      <c r="GV198" s="2075"/>
      <c r="GW198" s="2075"/>
      <c r="GX198" s="2075"/>
      <c r="GY198" s="2075"/>
      <c r="GZ198" s="2075"/>
      <c r="HA198" s="2075"/>
      <c r="HB198" s="2075"/>
      <c r="HC198" s="2075"/>
      <c r="HD198" s="2075"/>
      <c r="HE198" s="2075"/>
      <c r="HF198" s="2075"/>
      <c r="HG198" s="2075"/>
      <c r="HH198" s="2075"/>
      <c r="HI198" s="2075"/>
      <c r="HJ198" s="2075"/>
      <c r="HK198" s="2075"/>
      <c r="HL198" s="2075"/>
      <c r="HM198" s="2075"/>
      <c r="HN198" s="2075"/>
      <c r="HO198" s="2075"/>
      <c r="HP198" s="2075"/>
      <c r="HQ198" s="2075"/>
      <c r="HR198" s="2075"/>
      <c r="HS198" s="2075"/>
      <c r="HT198" s="2075"/>
      <c r="HU198" s="2075"/>
      <c r="HV198" s="2075"/>
      <c r="HW198" s="2075"/>
      <c r="HX198" s="2075"/>
      <c r="HY198" s="2075"/>
      <c r="HZ198" s="2075"/>
      <c r="IA198" s="2075"/>
      <c r="IB198" s="2075"/>
      <c r="IC198" s="2075"/>
      <c r="ID198" s="2075"/>
      <c r="IE198" s="2075"/>
      <c r="IF198" s="2075"/>
      <c r="IG198" s="2075"/>
      <c r="IH198" s="2075"/>
      <c r="II198" s="2075"/>
      <c r="IJ198" s="2075"/>
      <c r="IK198" s="2075"/>
      <c r="IL198" s="2075"/>
      <c r="IM198" s="2075"/>
      <c r="IN198" s="2075"/>
      <c r="IO198" s="2075"/>
      <c r="IP198" s="2075"/>
      <c r="IQ198" s="2075"/>
      <c r="IR198" s="2075"/>
      <c r="IS198" s="2075"/>
      <c r="IT198" s="2075"/>
      <c r="IU198" s="2075"/>
      <c r="IV198" s="2075"/>
    </row>
    <row r="199" spans="1:256" s="763" customFormat="1" ht="19.5" customHeight="1">
      <c r="A199" s="636"/>
      <c r="B199" s="2035"/>
      <c r="C199" s="624"/>
      <c r="D199" s="1530"/>
      <c r="E199" s="2023"/>
      <c r="F199" s="989"/>
      <c r="G199" s="3283"/>
      <c r="H199" s="1021"/>
      <c r="I199" s="2973"/>
      <c r="J199" s="681" t="s">
        <v>2584</v>
      </c>
      <c r="K199" s="3016"/>
      <c r="L199" s="3016"/>
      <c r="M199" s="3016"/>
      <c r="N199" s="3016"/>
      <c r="O199" s="3016"/>
      <c r="P199" s="3228"/>
      <c r="Q199" s="3228"/>
      <c r="R199" s="684"/>
      <c r="S199" s="684">
        <v>100000</v>
      </c>
      <c r="T199" s="684" t="s">
        <v>0</v>
      </c>
      <c r="U199" s="3228"/>
      <c r="V199" s="684">
        <v>1</v>
      </c>
      <c r="W199" s="684" t="s">
        <v>3</v>
      </c>
      <c r="X199" s="686" t="s">
        <v>1</v>
      </c>
      <c r="Y199" s="871">
        <f>+S199*V199/1000</f>
        <v>100</v>
      </c>
      <c r="Z199" s="2016"/>
      <c r="AA199" s="308"/>
      <c r="AB199" s="669"/>
      <c r="AC199" s="880"/>
      <c r="AD199" s="880"/>
      <c r="AE199" s="880"/>
      <c r="AF199" s="880"/>
      <c r="AG199" s="880"/>
      <c r="AH199" s="880"/>
      <c r="AI199" s="880"/>
      <c r="AJ199" s="880"/>
      <c r="AK199" s="880"/>
      <c r="AL199" s="880"/>
      <c r="AM199" s="880"/>
      <c r="AN199" s="880"/>
      <c r="AO199" s="880"/>
      <c r="AP199" s="880"/>
      <c r="AQ199" s="880"/>
      <c r="AR199" s="880"/>
      <c r="AS199" s="880"/>
      <c r="AT199" s="880"/>
      <c r="AU199" s="880"/>
      <c r="AV199" s="880"/>
      <c r="AW199" s="880"/>
      <c r="AX199" s="880"/>
      <c r="AY199" s="880"/>
      <c r="AZ199" s="880"/>
      <c r="BA199" s="880"/>
      <c r="BB199" s="880"/>
      <c r="BC199" s="880"/>
      <c r="BD199" s="880"/>
      <c r="BE199" s="880"/>
      <c r="BF199" s="880"/>
      <c r="BG199" s="880"/>
      <c r="BH199" s="880"/>
      <c r="BI199" s="880"/>
      <c r="BJ199" s="880"/>
      <c r="BK199" s="880"/>
      <c r="BL199" s="880"/>
      <c r="BM199" s="880"/>
      <c r="BN199" s="880"/>
      <c r="BO199" s="880"/>
      <c r="BP199" s="880"/>
      <c r="BQ199" s="880"/>
      <c r="BR199" s="880"/>
      <c r="BS199" s="880"/>
      <c r="BT199" s="880"/>
      <c r="BU199" s="880"/>
      <c r="BV199" s="880"/>
      <c r="BW199" s="880"/>
      <c r="BX199" s="880"/>
      <c r="BY199" s="880"/>
      <c r="BZ199" s="880"/>
      <c r="CA199" s="880"/>
      <c r="CB199" s="880"/>
      <c r="CC199" s="880"/>
      <c r="CD199" s="880"/>
      <c r="CE199" s="880"/>
      <c r="CF199" s="880"/>
      <c r="CG199" s="880"/>
      <c r="CH199" s="880"/>
      <c r="CI199" s="880"/>
      <c r="CJ199" s="880"/>
      <c r="CK199" s="880"/>
      <c r="CL199" s="880"/>
      <c r="CM199" s="880"/>
      <c r="CN199" s="880"/>
      <c r="CO199" s="880"/>
      <c r="CP199" s="880"/>
      <c r="CQ199" s="880"/>
      <c r="CR199" s="880"/>
      <c r="CS199" s="880"/>
      <c r="CT199" s="880"/>
      <c r="CU199" s="880"/>
      <c r="CV199" s="880"/>
      <c r="CW199" s="880"/>
      <c r="CX199" s="880"/>
      <c r="CY199" s="880"/>
      <c r="CZ199" s="880"/>
      <c r="DA199" s="880"/>
      <c r="DB199" s="880"/>
      <c r="DC199" s="880"/>
      <c r="DD199" s="880"/>
      <c r="DE199" s="880"/>
      <c r="DF199" s="880"/>
      <c r="DG199" s="880"/>
      <c r="DH199" s="880"/>
      <c r="DI199" s="880"/>
      <c r="DJ199" s="880"/>
      <c r="DK199" s="880"/>
      <c r="DL199" s="880"/>
      <c r="DM199" s="880"/>
      <c r="DN199" s="880"/>
      <c r="DO199" s="880"/>
      <c r="DP199" s="880"/>
      <c r="DQ199" s="880"/>
      <c r="DR199" s="880"/>
      <c r="DS199" s="880"/>
      <c r="DT199" s="880"/>
      <c r="DU199" s="880"/>
      <c r="DV199" s="880"/>
      <c r="DW199" s="880"/>
      <c r="DX199" s="880"/>
      <c r="DY199" s="880"/>
      <c r="DZ199" s="880"/>
      <c r="EA199" s="880"/>
      <c r="EB199" s="880"/>
      <c r="EC199" s="880"/>
      <c r="ED199" s="880"/>
      <c r="EE199" s="880"/>
      <c r="EF199" s="880"/>
      <c r="EG199" s="880"/>
      <c r="EH199" s="880"/>
      <c r="EI199" s="880"/>
      <c r="EJ199" s="880"/>
      <c r="EK199" s="880"/>
      <c r="EL199" s="880"/>
      <c r="EM199" s="880"/>
      <c r="EN199" s="880"/>
      <c r="EO199" s="880"/>
      <c r="EP199" s="880"/>
      <c r="EQ199" s="880"/>
      <c r="ER199" s="880"/>
      <c r="ES199" s="880"/>
      <c r="ET199" s="880"/>
      <c r="EU199" s="880"/>
      <c r="EV199" s="880"/>
      <c r="EW199" s="880"/>
      <c r="EX199" s="880"/>
      <c r="EY199" s="880"/>
      <c r="EZ199" s="880"/>
      <c r="FA199" s="880"/>
      <c r="FB199" s="880"/>
      <c r="FC199" s="880"/>
      <c r="FD199" s="880"/>
      <c r="FE199" s="880"/>
      <c r="FF199" s="880"/>
      <c r="FG199" s="880"/>
      <c r="FH199" s="880"/>
      <c r="FI199" s="880"/>
      <c r="FJ199" s="880"/>
      <c r="FK199" s="880"/>
      <c r="FL199" s="880"/>
      <c r="FM199" s="880"/>
      <c r="FN199" s="880"/>
      <c r="FO199" s="880"/>
      <c r="FP199" s="880"/>
      <c r="FQ199" s="880"/>
      <c r="FR199" s="880"/>
      <c r="FS199" s="880"/>
      <c r="FT199" s="880"/>
      <c r="FU199" s="880"/>
      <c r="FV199" s="880"/>
      <c r="FW199" s="880"/>
      <c r="FX199" s="880"/>
      <c r="FY199" s="880"/>
      <c r="FZ199" s="880"/>
      <c r="GA199" s="880"/>
      <c r="GB199" s="880"/>
      <c r="GC199" s="880"/>
      <c r="GD199" s="880"/>
      <c r="GE199" s="880"/>
      <c r="GF199" s="880"/>
      <c r="GG199" s="880"/>
      <c r="GH199" s="880"/>
      <c r="GI199" s="880"/>
      <c r="GJ199" s="880"/>
      <c r="GK199" s="880"/>
      <c r="GL199" s="880"/>
      <c r="GM199" s="880"/>
      <c r="GN199" s="880"/>
      <c r="GO199" s="880"/>
      <c r="GP199" s="880"/>
      <c r="GQ199" s="880"/>
      <c r="GR199" s="880"/>
      <c r="GS199" s="880"/>
      <c r="GT199" s="880"/>
      <c r="GU199" s="880"/>
      <c r="GV199" s="880"/>
      <c r="GW199" s="880"/>
      <c r="GX199" s="880"/>
      <c r="GY199" s="880"/>
      <c r="GZ199" s="880"/>
      <c r="HA199" s="880"/>
      <c r="HB199" s="880"/>
      <c r="HC199" s="880"/>
      <c r="HD199" s="880"/>
      <c r="HE199" s="880"/>
      <c r="HF199" s="880"/>
      <c r="HG199" s="880"/>
      <c r="HH199" s="880"/>
      <c r="HI199" s="880"/>
      <c r="HJ199" s="880"/>
      <c r="HK199" s="880"/>
      <c r="HL199" s="880"/>
      <c r="HM199" s="880"/>
      <c r="HN199" s="880"/>
      <c r="HO199" s="880"/>
      <c r="HP199" s="880"/>
      <c r="HQ199" s="880"/>
      <c r="HR199" s="880"/>
      <c r="HS199" s="880"/>
      <c r="HT199" s="880"/>
      <c r="HU199" s="880"/>
      <c r="HV199" s="880"/>
      <c r="HW199" s="880"/>
      <c r="HX199" s="880"/>
      <c r="HY199" s="880"/>
      <c r="HZ199" s="880"/>
      <c r="IA199" s="880"/>
      <c r="IB199" s="880"/>
      <c r="IC199" s="880"/>
      <c r="ID199" s="880"/>
      <c r="IE199" s="880"/>
      <c r="IF199" s="880"/>
      <c r="IG199" s="880"/>
      <c r="IH199" s="880"/>
      <c r="II199" s="880"/>
      <c r="IJ199" s="880"/>
      <c r="IK199" s="880"/>
      <c r="IL199" s="880"/>
      <c r="IM199" s="880"/>
      <c r="IN199" s="880"/>
      <c r="IO199" s="880"/>
      <c r="IP199" s="880"/>
      <c r="IQ199" s="880"/>
      <c r="IR199" s="880"/>
      <c r="IS199" s="880"/>
      <c r="IT199" s="880"/>
      <c r="IU199" s="880"/>
      <c r="IV199" s="880"/>
    </row>
    <row r="200" spans="1:256" s="763" customFormat="1" ht="19.5" customHeight="1">
      <c r="A200" s="636"/>
      <c r="B200" s="2035"/>
      <c r="C200" s="624"/>
      <c r="D200" s="1530"/>
      <c r="E200" s="2023"/>
      <c r="F200" s="989"/>
      <c r="G200" s="3283"/>
      <c r="H200" s="1021"/>
      <c r="I200" s="2973"/>
      <c r="J200" s="681" t="s">
        <v>2585</v>
      </c>
      <c r="K200" s="3016"/>
      <c r="L200" s="3016"/>
      <c r="M200" s="3016"/>
      <c r="N200" s="3016"/>
      <c r="O200" s="3016"/>
      <c r="P200" s="3228"/>
      <c r="Q200" s="3228"/>
      <c r="R200" s="684"/>
      <c r="S200" s="684">
        <v>150000</v>
      </c>
      <c r="T200" s="684" t="s">
        <v>0</v>
      </c>
      <c r="U200" s="3228"/>
      <c r="V200" s="684">
        <v>2</v>
      </c>
      <c r="W200" s="684" t="s">
        <v>3</v>
      </c>
      <c r="X200" s="686" t="s">
        <v>1</v>
      </c>
      <c r="Y200" s="871">
        <f t="shared" ref="Y200" si="14">+S200*V200/1000</f>
        <v>300</v>
      </c>
      <c r="Z200" s="2016"/>
      <c r="AA200" s="308"/>
      <c r="AB200" s="669"/>
      <c r="AC200" s="880"/>
      <c r="AD200" s="880"/>
      <c r="AE200" s="880"/>
      <c r="AF200" s="880"/>
      <c r="AG200" s="880"/>
      <c r="AH200" s="880"/>
      <c r="AI200" s="880"/>
      <c r="AJ200" s="880"/>
      <c r="AK200" s="880"/>
      <c r="AL200" s="880"/>
      <c r="AM200" s="880"/>
      <c r="AN200" s="880"/>
      <c r="AO200" s="880"/>
      <c r="AP200" s="880"/>
      <c r="AQ200" s="880"/>
      <c r="AR200" s="880"/>
      <c r="AS200" s="880"/>
      <c r="AT200" s="880"/>
      <c r="AU200" s="880"/>
      <c r="AV200" s="880"/>
      <c r="AW200" s="880"/>
      <c r="AX200" s="880"/>
      <c r="AY200" s="880"/>
      <c r="AZ200" s="880"/>
      <c r="BA200" s="880"/>
      <c r="BB200" s="880"/>
      <c r="BC200" s="880"/>
      <c r="BD200" s="880"/>
      <c r="BE200" s="880"/>
      <c r="BF200" s="880"/>
      <c r="BG200" s="880"/>
      <c r="BH200" s="880"/>
      <c r="BI200" s="880"/>
      <c r="BJ200" s="880"/>
      <c r="BK200" s="880"/>
      <c r="BL200" s="880"/>
      <c r="BM200" s="880"/>
      <c r="BN200" s="880"/>
      <c r="BO200" s="880"/>
      <c r="BP200" s="880"/>
      <c r="BQ200" s="880"/>
      <c r="BR200" s="880"/>
      <c r="BS200" s="880"/>
      <c r="BT200" s="880"/>
      <c r="BU200" s="880"/>
      <c r="BV200" s="880"/>
      <c r="BW200" s="880"/>
      <c r="BX200" s="880"/>
      <c r="BY200" s="880"/>
      <c r="BZ200" s="880"/>
      <c r="CA200" s="880"/>
      <c r="CB200" s="880"/>
      <c r="CC200" s="880"/>
      <c r="CD200" s="880"/>
      <c r="CE200" s="880"/>
      <c r="CF200" s="880"/>
      <c r="CG200" s="880"/>
      <c r="CH200" s="880"/>
      <c r="CI200" s="880"/>
      <c r="CJ200" s="880"/>
      <c r="CK200" s="880"/>
      <c r="CL200" s="880"/>
      <c r="CM200" s="880"/>
      <c r="CN200" s="880"/>
      <c r="CO200" s="880"/>
      <c r="CP200" s="880"/>
      <c r="CQ200" s="880"/>
      <c r="CR200" s="880"/>
      <c r="CS200" s="880"/>
      <c r="CT200" s="880"/>
      <c r="CU200" s="880"/>
      <c r="CV200" s="880"/>
      <c r="CW200" s="880"/>
      <c r="CX200" s="880"/>
      <c r="CY200" s="880"/>
      <c r="CZ200" s="880"/>
      <c r="DA200" s="880"/>
      <c r="DB200" s="880"/>
      <c r="DC200" s="880"/>
      <c r="DD200" s="880"/>
      <c r="DE200" s="880"/>
      <c r="DF200" s="880"/>
      <c r="DG200" s="880"/>
      <c r="DH200" s="880"/>
      <c r="DI200" s="880"/>
      <c r="DJ200" s="880"/>
      <c r="DK200" s="880"/>
      <c r="DL200" s="880"/>
      <c r="DM200" s="880"/>
      <c r="DN200" s="880"/>
      <c r="DO200" s="880"/>
      <c r="DP200" s="880"/>
      <c r="DQ200" s="880"/>
      <c r="DR200" s="880"/>
      <c r="DS200" s="880"/>
      <c r="DT200" s="880"/>
      <c r="DU200" s="880"/>
      <c r="DV200" s="880"/>
      <c r="DW200" s="880"/>
      <c r="DX200" s="880"/>
      <c r="DY200" s="880"/>
      <c r="DZ200" s="880"/>
      <c r="EA200" s="880"/>
      <c r="EB200" s="880"/>
      <c r="EC200" s="880"/>
      <c r="ED200" s="880"/>
      <c r="EE200" s="880"/>
      <c r="EF200" s="880"/>
      <c r="EG200" s="880"/>
      <c r="EH200" s="880"/>
      <c r="EI200" s="880"/>
      <c r="EJ200" s="880"/>
      <c r="EK200" s="880"/>
      <c r="EL200" s="880"/>
      <c r="EM200" s="880"/>
      <c r="EN200" s="880"/>
      <c r="EO200" s="880"/>
      <c r="EP200" s="880"/>
      <c r="EQ200" s="880"/>
      <c r="ER200" s="880"/>
      <c r="ES200" s="880"/>
      <c r="ET200" s="880"/>
      <c r="EU200" s="880"/>
      <c r="EV200" s="880"/>
      <c r="EW200" s="880"/>
      <c r="EX200" s="880"/>
      <c r="EY200" s="880"/>
      <c r="EZ200" s="880"/>
      <c r="FA200" s="880"/>
      <c r="FB200" s="880"/>
      <c r="FC200" s="880"/>
      <c r="FD200" s="880"/>
      <c r="FE200" s="880"/>
      <c r="FF200" s="880"/>
      <c r="FG200" s="880"/>
      <c r="FH200" s="880"/>
      <c r="FI200" s="880"/>
      <c r="FJ200" s="880"/>
      <c r="FK200" s="880"/>
      <c r="FL200" s="880"/>
      <c r="FM200" s="880"/>
      <c r="FN200" s="880"/>
      <c r="FO200" s="880"/>
      <c r="FP200" s="880"/>
      <c r="FQ200" s="880"/>
      <c r="FR200" s="880"/>
      <c r="FS200" s="880"/>
      <c r="FT200" s="880"/>
      <c r="FU200" s="880"/>
      <c r="FV200" s="880"/>
      <c r="FW200" s="880"/>
      <c r="FX200" s="880"/>
      <c r="FY200" s="880"/>
      <c r="FZ200" s="880"/>
      <c r="GA200" s="880"/>
      <c r="GB200" s="880"/>
      <c r="GC200" s="880"/>
      <c r="GD200" s="880"/>
      <c r="GE200" s="880"/>
      <c r="GF200" s="880"/>
      <c r="GG200" s="880"/>
      <c r="GH200" s="880"/>
      <c r="GI200" s="880"/>
      <c r="GJ200" s="880"/>
      <c r="GK200" s="880"/>
      <c r="GL200" s="880"/>
      <c r="GM200" s="880"/>
      <c r="GN200" s="880"/>
      <c r="GO200" s="880"/>
      <c r="GP200" s="880"/>
      <c r="GQ200" s="880"/>
      <c r="GR200" s="880"/>
      <c r="GS200" s="880"/>
      <c r="GT200" s="880"/>
      <c r="GU200" s="880"/>
      <c r="GV200" s="880"/>
      <c r="GW200" s="880"/>
      <c r="GX200" s="880"/>
      <c r="GY200" s="880"/>
      <c r="GZ200" s="880"/>
      <c r="HA200" s="880"/>
      <c r="HB200" s="880"/>
      <c r="HC200" s="880"/>
      <c r="HD200" s="880"/>
      <c r="HE200" s="880"/>
      <c r="HF200" s="880"/>
      <c r="HG200" s="880"/>
      <c r="HH200" s="880"/>
      <c r="HI200" s="880"/>
      <c r="HJ200" s="880"/>
      <c r="HK200" s="880"/>
      <c r="HL200" s="880"/>
      <c r="HM200" s="880"/>
      <c r="HN200" s="880"/>
      <c r="HO200" s="880"/>
      <c r="HP200" s="880"/>
      <c r="HQ200" s="880"/>
      <c r="HR200" s="880"/>
      <c r="HS200" s="880"/>
      <c r="HT200" s="880"/>
      <c r="HU200" s="880"/>
      <c r="HV200" s="880"/>
      <c r="HW200" s="880"/>
      <c r="HX200" s="880"/>
      <c r="HY200" s="880"/>
      <c r="HZ200" s="880"/>
      <c r="IA200" s="880"/>
      <c r="IB200" s="880"/>
      <c r="IC200" s="880"/>
      <c r="ID200" s="880"/>
      <c r="IE200" s="880"/>
      <c r="IF200" s="880"/>
      <c r="IG200" s="880"/>
      <c r="IH200" s="880"/>
      <c r="II200" s="880"/>
      <c r="IJ200" s="880"/>
      <c r="IK200" s="880"/>
      <c r="IL200" s="880"/>
      <c r="IM200" s="880"/>
      <c r="IN200" s="880"/>
      <c r="IO200" s="880"/>
      <c r="IP200" s="880"/>
      <c r="IQ200" s="880"/>
      <c r="IR200" s="880"/>
      <c r="IS200" s="880"/>
      <c r="IT200" s="880"/>
      <c r="IU200" s="880"/>
      <c r="IV200" s="880"/>
    </row>
    <row r="201" spans="1:256" s="763" customFormat="1" ht="19.5" customHeight="1">
      <c r="A201" s="636"/>
      <c r="B201" s="2035"/>
      <c r="C201" s="624"/>
      <c r="D201" s="1530"/>
      <c r="E201" s="2023" t="s">
        <v>61</v>
      </c>
      <c r="F201" s="989">
        <v>400</v>
      </c>
      <c r="G201" s="3283">
        <v>400</v>
      </c>
      <c r="H201" s="1021"/>
      <c r="I201" s="2973"/>
      <c r="J201" s="681" t="s">
        <v>88</v>
      </c>
      <c r="K201" s="3434"/>
      <c r="L201" s="3434"/>
      <c r="M201" s="3434"/>
      <c r="N201" s="3435"/>
      <c r="O201" s="3435"/>
      <c r="P201" s="3435"/>
      <c r="Q201" s="684"/>
      <c r="R201" s="3436"/>
      <c r="S201" s="684">
        <v>200000</v>
      </c>
      <c r="T201" s="684" t="s">
        <v>0</v>
      </c>
      <c r="U201" s="3435"/>
      <c r="V201" s="684">
        <v>2</v>
      </c>
      <c r="W201" s="684" t="s">
        <v>3</v>
      </c>
      <c r="X201" s="686" t="s">
        <v>1</v>
      </c>
      <c r="Y201" s="871">
        <f t="shared" si="13"/>
        <v>400</v>
      </c>
      <c r="Z201" s="2016"/>
      <c r="AA201" s="308"/>
      <c r="AB201" s="669"/>
      <c r="AC201" s="880"/>
      <c r="AD201" s="880"/>
      <c r="AE201" s="880"/>
      <c r="AF201" s="880"/>
      <c r="AG201" s="880"/>
      <c r="AH201" s="880"/>
      <c r="AI201" s="880"/>
      <c r="AJ201" s="880"/>
      <c r="AK201" s="880"/>
      <c r="AL201" s="880"/>
      <c r="AM201" s="880"/>
      <c r="AN201" s="880"/>
      <c r="AO201" s="880"/>
      <c r="AP201" s="880"/>
      <c r="AQ201" s="880"/>
      <c r="AR201" s="880"/>
      <c r="AS201" s="880"/>
      <c r="AT201" s="880"/>
      <c r="AU201" s="880"/>
      <c r="AV201" s="880"/>
      <c r="AW201" s="880"/>
      <c r="AX201" s="880"/>
      <c r="AY201" s="880"/>
      <c r="AZ201" s="880"/>
      <c r="BA201" s="880"/>
      <c r="BB201" s="880"/>
      <c r="BC201" s="880"/>
      <c r="BD201" s="880"/>
      <c r="BE201" s="880"/>
      <c r="BF201" s="880"/>
      <c r="BG201" s="880"/>
      <c r="BH201" s="880"/>
      <c r="BI201" s="880"/>
      <c r="BJ201" s="880"/>
      <c r="BK201" s="880"/>
      <c r="BL201" s="880"/>
      <c r="BM201" s="880"/>
      <c r="BN201" s="880"/>
      <c r="BO201" s="880"/>
      <c r="BP201" s="880"/>
      <c r="BQ201" s="880"/>
      <c r="BR201" s="880"/>
      <c r="BS201" s="880"/>
      <c r="BT201" s="880"/>
      <c r="BU201" s="880"/>
      <c r="BV201" s="880"/>
      <c r="BW201" s="880"/>
      <c r="BX201" s="880"/>
      <c r="BY201" s="880"/>
      <c r="BZ201" s="880"/>
      <c r="CA201" s="880"/>
      <c r="CB201" s="880"/>
      <c r="CC201" s="880"/>
      <c r="CD201" s="880"/>
      <c r="CE201" s="880"/>
      <c r="CF201" s="880"/>
      <c r="CG201" s="880"/>
      <c r="CH201" s="880"/>
      <c r="CI201" s="880"/>
      <c r="CJ201" s="880"/>
      <c r="CK201" s="880"/>
      <c r="CL201" s="880"/>
      <c r="CM201" s="880"/>
      <c r="CN201" s="880"/>
      <c r="CO201" s="880"/>
      <c r="CP201" s="880"/>
      <c r="CQ201" s="880"/>
      <c r="CR201" s="880"/>
      <c r="CS201" s="880"/>
      <c r="CT201" s="880"/>
      <c r="CU201" s="880"/>
      <c r="CV201" s="880"/>
      <c r="CW201" s="880"/>
      <c r="CX201" s="880"/>
      <c r="CY201" s="880"/>
      <c r="CZ201" s="880"/>
      <c r="DA201" s="880"/>
      <c r="DB201" s="880"/>
      <c r="DC201" s="880"/>
      <c r="DD201" s="880"/>
      <c r="DE201" s="880"/>
      <c r="DF201" s="880"/>
      <c r="DG201" s="880"/>
      <c r="DH201" s="880"/>
      <c r="DI201" s="880"/>
      <c r="DJ201" s="880"/>
      <c r="DK201" s="880"/>
      <c r="DL201" s="880"/>
      <c r="DM201" s="880"/>
      <c r="DN201" s="880"/>
      <c r="DO201" s="880"/>
      <c r="DP201" s="880"/>
      <c r="DQ201" s="880"/>
      <c r="DR201" s="880"/>
      <c r="DS201" s="880"/>
      <c r="DT201" s="880"/>
      <c r="DU201" s="880"/>
      <c r="DV201" s="880"/>
      <c r="DW201" s="880"/>
      <c r="DX201" s="880"/>
      <c r="DY201" s="880"/>
      <c r="DZ201" s="880"/>
      <c r="EA201" s="880"/>
      <c r="EB201" s="880"/>
      <c r="EC201" s="880"/>
      <c r="ED201" s="880"/>
      <c r="EE201" s="880"/>
      <c r="EF201" s="880"/>
      <c r="EG201" s="880"/>
      <c r="EH201" s="880"/>
      <c r="EI201" s="880"/>
      <c r="EJ201" s="880"/>
      <c r="EK201" s="880"/>
      <c r="EL201" s="880"/>
      <c r="EM201" s="880"/>
      <c r="EN201" s="880"/>
      <c r="EO201" s="880"/>
      <c r="EP201" s="880"/>
      <c r="EQ201" s="880"/>
      <c r="ER201" s="880"/>
      <c r="ES201" s="880"/>
      <c r="ET201" s="880"/>
      <c r="EU201" s="880"/>
      <c r="EV201" s="880"/>
      <c r="EW201" s="880"/>
      <c r="EX201" s="880"/>
      <c r="EY201" s="880"/>
      <c r="EZ201" s="880"/>
      <c r="FA201" s="880"/>
      <c r="FB201" s="880"/>
      <c r="FC201" s="880"/>
      <c r="FD201" s="880"/>
      <c r="FE201" s="880"/>
      <c r="FF201" s="880"/>
      <c r="FG201" s="880"/>
      <c r="FH201" s="880"/>
      <c r="FI201" s="880"/>
      <c r="FJ201" s="880"/>
      <c r="FK201" s="880"/>
      <c r="FL201" s="880"/>
      <c r="FM201" s="880"/>
      <c r="FN201" s="880"/>
      <c r="FO201" s="880"/>
      <c r="FP201" s="880"/>
      <c r="FQ201" s="880"/>
      <c r="FR201" s="880"/>
      <c r="FS201" s="880"/>
      <c r="FT201" s="880"/>
      <c r="FU201" s="880"/>
      <c r="FV201" s="880"/>
      <c r="FW201" s="880"/>
      <c r="FX201" s="880"/>
      <c r="FY201" s="880"/>
      <c r="FZ201" s="880"/>
      <c r="GA201" s="880"/>
      <c r="GB201" s="880"/>
      <c r="GC201" s="880"/>
      <c r="GD201" s="880"/>
      <c r="GE201" s="880"/>
      <c r="GF201" s="880"/>
      <c r="GG201" s="880"/>
      <c r="GH201" s="880"/>
      <c r="GI201" s="880"/>
      <c r="GJ201" s="880"/>
      <c r="GK201" s="880"/>
      <c r="GL201" s="880"/>
      <c r="GM201" s="880"/>
      <c r="GN201" s="880"/>
      <c r="GO201" s="880"/>
      <c r="GP201" s="880"/>
      <c r="GQ201" s="880"/>
      <c r="GR201" s="880"/>
      <c r="GS201" s="880"/>
      <c r="GT201" s="880"/>
      <c r="GU201" s="880"/>
      <c r="GV201" s="880"/>
      <c r="GW201" s="880"/>
      <c r="GX201" s="880"/>
      <c r="GY201" s="880"/>
      <c r="GZ201" s="880"/>
      <c r="HA201" s="880"/>
      <c r="HB201" s="880"/>
      <c r="HC201" s="880"/>
      <c r="HD201" s="880"/>
      <c r="HE201" s="880"/>
      <c r="HF201" s="880"/>
      <c r="HG201" s="880"/>
      <c r="HH201" s="880"/>
      <c r="HI201" s="880"/>
      <c r="HJ201" s="880"/>
      <c r="HK201" s="880"/>
      <c r="HL201" s="880"/>
      <c r="HM201" s="880"/>
      <c r="HN201" s="880"/>
      <c r="HO201" s="880"/>
      <c r="HP201" s="880"/>
      <c r="HQ201" s="880"/>
      <c r="HR201" s="880"/>
      <c r="HS201" s="880"/>
      <c r="HT201" s="880"/>
      <c r="HU201" s="880"/>
      <c r="HV201" s="880"/>
      <c r="HW201" s="880"/>
      <c r="HX201" s="880"/>
      <c r="HY201" s="880"/>
      <c r="HZ201" s="880"/>
      <c r="IA201" s="880"/>
      <c r="IB201" s="880"/>
      <c r="IC201" s="880"/>
      <c r="ID201" s="880"/>
      <c r="IE201" s="880"/>
      <c r="IF201" s="880"/>
      <c r="IG201" s="880"/>
      <c r="IH201" s="880"/>
      <c r="II201" s="880"/>
      <c r="IJ201" s="880"/>
      <c r="IK201" s="880"/>
      <c r="IL201" s="880"/>
      <c r="IM201" s="880"/>
      <c r="IN201" s="880"/>
      <c r="IO201" s="880"/>
      <c r="IP201" s="880"/>
      <c r="IQ201" s="880"/>
      <c r="IR201" s="880"/>
      <c r="IS201" s="880"/>
      <c r="IT201" s="880"/>
      <c r="IU201" s="880"/>
      <c r="IV201" s="880"/>
    </row>
    <row r="202" spans="1:256" s="763" customFormat="1" ht="19.5" customHeight="1">
      <c r="A202" s="2957"/>
      <c r="B202" s="632"/>
      <c r="C202" s="624"/>
      <c r="D202" s="3837" t="s">
        <v>458</v>
      </c>
      <c r="E202" s="3838"/>
      <c r="F202" s="1253">
        <f>SUM(F203:F204)</f>
        <v>4000</v>
      </c>
      <c r="G202" s="1253">
        <f>SUM(G203:G204)</f>
        <v>4000</v>
      </c>
      <c r="H202" s="2021">
        <f>F202-G202</f>
        <v>0</v>
      </c>
      <c r="I202" s="3366"/>
      <c r="J202" s="665"/>
      <c r="K202" s="3437"/>
      <c r="L202" s="3437"/>
      <c r="M202" s="3437"/>
      <c r="N202" s="3437"/>
      <c r="O202" s="3437"/>
      <c r="P202" s="645"/>
      <c r="Q202" s="3437"/>
      <c r="R202" s="3437"/>
      <c r="S202" s="645"/>
      <c r="T202" s="3437"/>
      <c r="U202" s="3437"/>
      <c r="V202" s="645"/>
      <c r="W202" s="3437"/>
      <c r="X202" s="666"/>
      <c r="Y202" s="667"/>
      <c r="Z202" s="2016">
        <f>F202*1000</f>
        <v>4000000</v>
      </c>
      <c r="AA202" s="308"/>
      <c r="AB202" s="669"/>
      <c r="AC202" s="880"/>
      <c r="AD202" s="880"/>
      <c r="AE202" s="880"/>
      <c r="AF202" s="880"/>
      <c r="AG202" s="880"/>
      <c r="AH202" s="880"/>
      <c r="AI202" s="880"/>
      <c r="AJ202" s="880"/>
      <c r="AK202" s="880"/>
      <c r="AL202" s="880"/>
      <c r="AM202" s="880"/>
      <c r="AN202" s="880"/>
      <c r="AO202" s="880"/>
      <c r="AP202" s="880"/>
      <c r="AQ202" s="880"/>
      <c r="AR202" s="880"/>
      <c r="AS202" s="880"/>
      <c r="AT202" s="880"/>
      <c r="AU202" s="880"/>
      <c r="AV202" s="880"/>
      <c r="AW202" s="880"/>
      <c r="AX202" s="880"/>
      <c r="AY202" s="880"/>
      <c r="AZ202" s="880"/>
      <c r="BA202" s="880"/>
      <c r="BB202" s="880"/>
      <c r="BC202" s="880"/>
      <c r="BD202" s="880"/>
      <c r="BE202" s="880"/>
      <c r="BF202" s="880"/>
      <c r="BG202" s="880"/>
      <c r="BH202" s="880"/>
      <c r="BI202" s="880"/>
      <c r="BJ202" s="880"/>
      <c r="BK202" s="880"/>
      <c r="BL202" s="880"/>
      <c r="BM202" s="880"/>
      <c r="BN202" s="880"/>
      <c r="BO202" s="880"/>
      <c r="BP202" s="880"/>
      <c r="BQ202" s="880"/>
      <c r="BR202" s="880"/>
      <c r="BS202" s="880"/>
      <c r="BT202" s="880"/>
      <c r="BU202" s="880"/>
      <c r="BV202" s="880"/>
      <c r="BW202" s="880"/>
      <c r="BX202" s="880"/>
      <c r="BY202" s="880"/>
      <c r="BZ202" s="880"/>
      <c r="CA202" s="880"/>
      <c r="CB202" s="880"/>
      <c r="CC202" s="880"/>
      <c r="CD202" s="880"/>
      <c r="CE202" s="880"/>
      <c r="CF202" s="880"/>
      <c r="CG202" s="880"/>
      <c r="CH202" s="880"/>
      <c r="CI202" s="880"/>
      <c r="CJ202" s="880"/>
      <c r="CK202" s="880"/>
      <c r="CL202" s="880"/>
      <c r="CM202" s="880"/>
      <c r="CN202" s="880"/>
      <c r="CO202" s="880"/>
      <c r="CP202" s="880"/>
      <c r="CQ202" s="880"/>
      <c r="CR202" s="880"/>
      <c r="CS202" s="880"/>
      <c r="CT202" s="880"/>
      <c r="CU202" s="880"/>
      <c r="CV202" s="880"/>
      <c r="CW202" s="880"/>
      <c r="CX202" s="880"/>
      <c r="CY202" s="880"/>
      <c r="CZ202" s="880"/>
      <c r="DA202" s="880"/>
      <c r="DB202" s="880"/>
      <c r="DC202" s="880"/>
      <c r="DD202" s="880"/>
      <c r="DE202" s="880"/>
      <c r="DF202" s="880"/>
      <c r="DG202" s="880"/>
      <c r="DH202" s="880"/>
      <c r="DI202" s="880"/>
      <c r="DJ202" s="880"/>
      <c r="DK202" s="880"/>
      <c r="DL202" s="880"/>
      <c r="DM202" s="880"/>
      <c r="DN202" s="880"/>
      <c r="DO202" s="880"/>
      <c r="DP202" s="880"/>
      <c r="DQ202" s="880"/>
      <c r="DR202" s="880"/>
      <c r="DS202" s="880"/>
      <c r="DT202" s="880"/>
      <c r="DU202" s="880"/>
      <c r="DV202" s="880"/>
      <c r="DW202" s="880"/>
      <c r="DX202" s="880"/>
      <c r="DY202" s="880"/>
      <c r="DZ202" s="880"/>
      <c r="EA202" s="880"/>
      <c r="EB202" s="880"/>
      <c r="EC202" s="880"/>
      <c r="ED202" s="880"/>
      <c r="EE202" s="880"/>
      <c r="EF202" s="880"/>
      <c r="EG202" s="880"/>
      <c r="EH202" s="880"/>
      <c r="EI202" s="880"/>
      <c r="EJ202" s="880"/>
      <c r="EK202" s="880"/>
      <c r="EL202" s="880"/>
      <c r="EM202" s="880"/>
      <c r="EN202" s="880"/>
      <c r="EO202" s="880"/>
      <c r="EP202" s="880"/>
      <c r="EQ202" s="880"/>
      <c r="ER202" s="880"/>
      <c r="ES202" s="880"/>
      <c r="ET202" s="880"/>
      <c r="EU202" s="880"/>
      <c r="EV202" s="880"/>
      <c r="EW202" s="880"/>
      <c r="EX202" s="880"/>
      <c r="EY202" s="880"/>
      <c r="EZ202" s="880"/>
      <c r="FA202" s="880"/>
      <c r="FB202" s="880"/>
      <c r="FC202" s="880"/>
      <c r="FD202" s="880"/>
      <c r="FE202" s="880"/>
      <c r="FF202" s="880"/>
      <c r="FG202" s="880"/>
      <c r="FH202" s="880"/>
      <c r="FI202" s="880"/>
      <c r="FJ202" s="880"/>
      <c r="FK202" s="880"/>
      <c r="FL202" s="880"/>
      <c r="FM202" s="880"/>
      <c r="FN202" s="880"/>
      <c r="FO202" s="880"/>
      <c r="FP202" s="880"/>
      <c r="FQ202" s="880"/>
      <c r="FR202" s="880"/>
      <c r="FS202" s="880"/>
      <c r="FT202" s="880"/>
      <c r="FU202" s="880"/>
      <c r="FV202" s="880"/>
      <c r="FW202" s="880"/>
      <c r="FX202" s="880"/>
      <c r="FY202" s="880"/>
      <c r="FZ202" s="880"/>
      <c r="GA202" s="880"/>
      <c r="GB202" s="880"/>
      <c r="GC202" s="880"/>
      <c r="GD202" s="880"/>
      <c r="GE202" s="880"/>
      <c r="GF202" s="880"/>
      <c r="GG202" s="880"/>
      <c r="GH202" s="880"/>
      <c r="GI202" s="880"/>
      <c r="GJ202" s="880"/>
      <c r="GK202" s="880"/>
      <c r="GL202" s="880"/>
      <c r="GM202" s="880"/>
      <c r="GN202" s="880"/>
      <c r="GO202" s="880"/>
      <c r="GP202" s="880"/>
      <c r="GQ202" s="880"/>
      <c r="GR202" s="880"/>
      <c r="GS202" s="880"/>
      <c r="GT202" s="880"/>
      <c r="GU202" s="880"/>
      <c r="GV202" s="880"/>
      <c r="GW202" s="880"/>
      <c r="GX202" s="880"/>
      <c r="GY202" s="880"/>
      <c r="GZ202" s="880"/>
      <c r="HA202" s="880"/>
      <c r="HB202" s="880"/>
      <c r="HC202" s="880"/>
      <c r="HD202" s="880"/>
      <c r="HE202" s="880"/>
      <c r="HF202" s="880"/>
      <c r="HG202" s="880"/>
      <c r="HH202" s="880"/>
      <c r="HI202" s="880"/>
      <c r="HJ202" s="880"/>
      <c r="HK202" s="880"/>
      <c r="HL202" s="880"/>
      <c r="HM202" s="880"/>
      <c r="HN202" s="880"/>
      <c r="HO202" s="880"/>
      <c r="HP202" s="880"/>
      <c r="HQ202" s="880"/>
      <c r="HR202" s="880"/>
      <c r="HS202" s="880"/>
      <c r="HT202" s="880"/>
      <c r="HU202" s="880"/>
      <c r="HV202" s="880"/>
      <c r="HW202" s="880"/>
      <c r="HX202" s="880"/>
      <c r="HY202" s="880"/>
      <c r="HZ202" s="880"/>
      <c r="IA202" s="880"/>
      <c r="IB202" s="880"/>
      <c r="IC202" s="880"/>
      <c r="ID202" s="880"/>
      <c r="IE202" s="880"/>
      <c r="IF202" s="880"/>
      <c r="IG202" s="880"/>
      <c r="IH202" s="880"/>
      <c r="II202" s="880"/>
      <c r="IJ202" s="880"/>
      <c r="IK202" s="880"/>
      <c r="IL202" s="880"/>
      <c r="IM202" s="880"/>
      <c r="IN202" s="880"/>
      <c r="IO202" s="880"/>
      <c r="IP202" s="880"/>
      <c r="IQ202" s="880"/>
      <c r="IR202" s="880"/>
      <c r="IS202" s="880"/>
      <c r="IT202" s="880"/>
      <c r="IU202" s="880"/>
      <c r="IV202" s="880"/>
    </row>
    <row r="203" spans="1:256" s="763" customFormat="1" ht="19.5" customHeight="1">
      <c r="A203" s="2957"/>
      <c r="B203" s="632"/>
      <c r="C203" s="548"/>
      <c r="D203" s="2034"/>
      <c r="E203" s="2023" t="s">
        <v>264</v>
      </c>
      <c r="F203" s="593">
        <f>+Y203</f>
        <v>2000</v>
      </c>
      <c r="G203" s="593">
        <v>2000</v>
      </c>
      <c r="H203" s="554"/>
      <c r="I203" s="634"/>
      <c r="J203" s="2105" t="s">
        <v>459</v>
      </c>
      <c r="K203" s="2082"/>
      <c r="L203" s="2082"/>
      <c r="M203" s="2082"/>
      <c r="N203" s="2075"/>
      <c r="O203" s="2075"/>
      <c r="P203" s="2075"/>
      <c r="Q203" s="2106"/>
      <c r="R203" s="2092"/>
      <c r="S203" s="2106">
        <v>400000</v>
      </c>
      <c r="T203" s="2106" t="s">
        <v>37</v>
      </c>
      <c r="U203" s="2075"/>
      <c r="V203" s="2106">
        <v>5</v>
      </c>
      <c r="W203" s="2106" t="s">
        <v>39</v>
      </c>
      <c r="X203" s="2030" t="s">
        <v>38</v>
      </c>
      <c r="Y203" s="483">
        <v>2000</v>
      </c>
      <c r="Z203" s="2016"/>
      <c r="AA203" s="308"/>
      <c r="AB203" s="669"/>
      <c r="AC203" s="880"/>
      <c r="AD203" s="880"/>
      <c r="AE203" s="880"/>
      <c r="AF203" s="880"/>
      <c r="AG203" s="880"/>
      <c r="AH203" s="880"/>
      <c r="AI203" s="880"/>
      <c r="AJ203" s="880"/>
      <c r="AK203" s="880"/>
      <c r="AL203" s="880"/>
      <c r="AM203" s="880"/>
      <c r="AN203" s="880"/>
      <c r="AO203" s="880"/>
      <c r="AP203" s="880"/>
      <c r="AQ203" s="880"/>
      <c r="AR203" s="880"/>
      <c r="AS203" s="880"/>
      <c r="AT203" s="880"/>
      <c r="AU203" s="880"/>
      <c r="AV203" s="880"/>
      <c r="AW203" s="880"/>
      <c r="AX203" s="880"/>
      <c r="AY203" s="880"/>
      <c r="AZ203" s="880"/>
      <c r="BA203" s="880"/>
      <c r="BB203" s="880"/>
      <c r="BC203" s="880"/>
      <c r="BD203" s="880"/>
      <c r="BE203" s="880"/>
      <c r="BF203" s="880"/>
      <c r="BG203" s="880"/>
      <c r="BH203" s="880"/>
      <c r="BI203" s="880"/>
      <c r="BJ203" s="880"/>
      <c r="BK203" s="880"/>
      <c r="BL203" s="880"/>
      <c r="BM203" s="880"/>
      <c r="BN203" s="880"/>
      <c r="BO203" s="880"/>
      <c r="BP203" s="880"/>
      <c r="BQ203" s="880"/>
      <c r="BR203" s="880"/>
      <c r="BS203" s="880"/>
      <c r="BT203" s="880"/>
      <c r="BU203" s="880"/>
      <c r="BV203" s="880"/>
      <c r="BW203" s="880"/>
      <c r="BX203" s="880"/>
      <c r="BY203" s="880"/>
      <c r="BZ203" s="880"/>
      <c r="CA203" s="880"/>
      <c r="CB203" s="880"/>
      <c r="CC203" s="880"/>
      <c r="CD203" s="880"/>
      <c r="CE203" s="880"/>
      <c r="CF203" s="880"/>
      <c r="CG203" s="880"/>
      <c r="CH203" s="880"/>
      <c r="CI203" s="880"/>
      <c r="CJ203" s="880"/>
      <c r="CK203" s="880"/>
      <c r="CL203" s="880"/>
      <c r="CM203" s="880"/>
      <c r="CN203" s="880"/>
      <c r="CO203" s="880"/>
      <c r="CP203" s="880"/>
      <c r="CQ203" s="880"/>
      <c r="CR203" s="880"/>
      <c r="CS203" s="880"/>
      <c r="CT203" s="880"/>
      <c r="CU203" s="880"/>
      <c r="CV203" s="880"/>
      <c r="CW203" s="880"/>
      <c r="CX203" s="880"/>
      <c r="CY203" s="880"/>
      <c r="CZ203" s="880"/>
      <c r="DA203" s="880"/>
      <c r="DB203" s="880"/>
      <c r="DC203" s="880"/>
      <c r="DD203" s="880"/>
      <c r="DE203" s="880"/>
      <c r="DF203" s="880"/>
      <c r="DG203" s="880"/>
      <c r="DH203" s="880"/>
      <c r="DI203" s="880"/>
      <c r="DJ203" s="880"/>
      <c r="DK203" s="880"/>
      <c r="DL203" s="880"/>
      <c r="DM203" s="880"/>
      <c r="DN203" s="880"/>
      <c r="DO203" s="880"/>
      <c r="DP203" s="880"/>
      <c r="DQ203" s="880"/>
      <c r="DR203" s="880"/>
      <c r="DS203" s="880"/>
      <c r="DT203" s="880"/>
      <c r="DU203" s="880"/>
      <c r="DV203" s="880"/>
      <c r="DW203" s="880"/>
      <c r="DX203" s="880"/>
      <c r="DY203" s="880"/>
      <c r="DZ203" s="880"/>
      <c r="EA203" s="880"/>
      <c r="EB203" s="880"/>
      <c r="EC203" s="880"/>
      <c r="ED203" s="880"/>
      <c r="EE203" s="880"/>
      <c r="EF203" s="880"/>
      <c r="EG203" s="880"/>
      <c r="EH203" s="880"/>
      <c r="EI203" s="880"/>
      <c r="EJ203" s="880"/>
      <c r="EK203" s="880"/>
      <c r="EL203" s="880"/>
      <c r="EM203" s="880"/>
      <c r="EN203" s="880"/>
      <c r="EO203" s="880"/>
      <c r="EP203" s="880"/>
      <c r="EQ203" s="880"/>
      <c r="ER203" s="880"/>
      <c r="ES203" s="880"/>
      <c r="ET203" s="880"/>
      <c r="EU203" s="880"/>
      <c r="EV203" s="880"/>
      <c r="EW203" s="880"/>
      <c r="EX203" s="880"/>
      <c r="EY203" s="880"/>
      <c r="EZ203" s="880"/>
      <c r="FA203" s="880"/>
      <c r="FB203" s="880"/>
      <c r="FC203" s="880"/>
      <c r="FD203" s="880"/>
      <c r="FE203" s="880"/>
      <c r="FF203" s="880"/>
      <c r="FG203" s="880"/>
      <c r="FH203" s="880"/>
      <c r="FI203" s="880"/>
      <c r="FJ203" s="880"/>
      <c r="FK203" s="880"/>
      <c r="FL203" s="880"/>
      <c r="FM203" s="880"/>
      <c r="FN203" s="880"/>
      <c r="FO203" s="880"/>
      <c r="FP203" s="880"/>
      <c r="FQ203" s="880"/>
      <c r="FR203" s="880"/>
      <c r="FS203" s="880"/>
      <c r="FT203" s="880"/>
      <c r="FU203" s="880"/>
      <c r="FV203" s="880"/>
      <c r="FW203" s="880"/>
      <c r="FX203" s="880"/>
      <c r="FY203" s="880"/>
      <c r="FZ203" s="880"/>
      <c r="GA203" s="880"/>
      <c r="GB203" s="880"/>
      <c r="GC203" s="880"/>
      <c r="GD203" s="880"/>
      <c r="GE203" s="880"/>
      <c r="GF203" s="880"/>
      <c r="GG203" s="880"/>
      <c r="GH203" s="880"/>
      <c r="GI203" s="880"/>
      <c r="GJ203" s="880"/>
      <c r="GK203" s="880"/>
      <c r="GL203" s="880"/>
      <c r="GM203" s="880"/>
      <c r="GN203" s="880"/>
      <c r="GO203" s="880"/>
      <c r="GP203" s="880"/>
      <c r="GQ203" s="880"/>
      <c r="GR203" s="880"/>
      <c r="GS203" s="880"/>
      <c r="GT203" s="880"/>
      <c r="GU203" s="880"/>
      <c r="GV203" s="880"/>
      <c r="GW203" s="880"/>
      <c r="GX203" s="880"/>
      <c r="GY203" s="880"/>
      <c r="GZ203" s="880"/>
      <c r="HA203" s="880"/>
      <c r="HB203" s="880"/>
      <c r="HC203" s="880"/>
      <c r="HD203" s="880"/>
      <c r="HE203" s="880"/>
      <c r="HF203" s="880"/>
      <c r="HG203" s="880"/>
      <c r="HH203" s="880"/>
      <c r="HI203" s="880"/>
      <c r="HJ203" s="880"/>
      <c r="HK203" s="880"/>
      <c r="HL203" s="880"/>
      <c r="HM203" s="880"/>
      <c r="HN203" s="880"/>
      <c r="HO203" s="880"/>
      <c r="HP203" s="880"/>
      <c r="HQ203" s="880"/>
      <c r="HR203" s="880"/>
      <c r="HS203" s="880"/>
      <c r="HT203" s="880"/>
      <c r="HU203" s="880"/>
      <c r="HV203" s="880"/>
      <c r="HW203" s="880"/>
      <c r="HX203" s="880"/>
      <c r="HY203" s="880"/>
      <c r="HZ203" s="880"/>
      <c r="IA203" s="880"/>
      <c r="IB203" s="880"/>
      <c r="IC203" s="880"/>
      <c r="ID203" s="880"/>
      <c r="IE203" s="880"/>
      <c r="IF203" s="880"/>
      <c r="IG203" s="880"/>
      <c r="IH203" s="880"/>
      <c r="II203" s="880"/>
      <c r="IJ203" s="880"/>
      <c r="IK203" s="880"/>
      <c r="IL203" s="880"/>
      <c r="IM203" s="880"/>
      <c r="IN203" s="880"/>
      <c r="IO203" s="880"/>
      <c r="IP203" s="880"/>
      <c r="IQ203" s="880"/>
      <c r="IR203" s="880"/>
      <c r="IS203" s="880"/>
      <c r="IT203" s="880"/>
      <c r="IU203" s="880"/>
      <c r="IV203" s="880"/>
    </row>
    <row r="204" spans="1:256" s="763" customFormat="1" ht="19.5" customHeight="1">
      <c r="A204" s="2957"/>
      <c r="B204" s="632"/>
      <c r="C204" s="548"/>
      <c r="D204" s="2034"/>
      <c r="E204" s="1370" t="s">
        <v>451</v>
      </c>
      <c r="F204" s="593">
        <f>+Y204</f>
        <v>2000</v>
      </c>
      <c r="G204" s="593">
        <v>2000</v>
      </c>
      <c r="H204" s="554"/>
      <c r="I204" s="634"/>
      <c r="J204" s="2105" t="s">
        <v>460</v>
      </c>
      <c r="K204" s="2082"/>
      <c r="L204" s="2082"/>
      <c r="M204" s="2082"/>
      <c r="N204" s="2075"/>
      <c r="O204" s="2075"/>
      <c r="P204" s="2075"/>
      <c r="Q204" s="2106"/>
      <c r="R204" s="2092"/>
      <c r="S204" s="2106">
        <v>500000</v>
      </c>
      <c r="T204" s="2106" t="s">
        <v>37</v>
      </c>
      <c r="U204" s="2075"/>
      <c r="V204" s="2106">
        <v>4</v>
      </c>
      <c r="W204" s="2106" t="s">
        <v>39</v>
      </c>
      <c r="X204" s="2030" t="s">
        <v>38</v>
      </c>
      <c r="Y204" s="483">
        <v>2000</v>
      </c>
      <c r="Z204" s="2016"/>
      <c r="AA204" s="308"/>
      <c r="AB204" s="669"/>
      <c r="AC204" s="880"/>
      <c r="AD204" s="880"/>
      <c r="AE204" s="880"/>
      <c r="AF204" s="880"/>
      <c r="AG204" s="880"/>
      <c r="AH204" s="880"/>
      <c r="AI204" s="880"/>
      <c r="AJ204" s="880"/>
      <c r="AK204" s="880"/>
      <c r="AL204" s="880"/>
      <c r="AM204" s="880"/>
      <c r="AN204" s="880"/>
      <c r="AO204" s="880"/>
      <c r="AP204" s="880"/>
      <c r="AQ204" s="880"/>
      <c r="AR204" s="880"/>
      <c r="AS204" s="880"/>
      <c r="AT204" s="880"/>
      <c r="AU204" s="880"/>
      <c r="AV204" s="880"/>
      <c r="AW204" s="880"/>
      <c r="AX204" s="880"/>
      <c r="AY204" s="880"/>
      <c r="AZ204" s="880"/>
      <c r="BA204" s="880"/>
      <c r="BB204" s="880"/>
      <c r="BC204" s="880"/>
      <c r="BD204" s="880"/>
      <c r="BE204" s="880"/>
      <c r="BF204" s="880"/>
      <c r="BG204" s="880"/>
      <c r="BH204" s="880"/>
      <c r="BI204" s="880"/>
      <c r="BJ204" s="880"/>
      <c r="BK204" s="880"/>
      <c r="BL204" s="880"/>
      <c r="BM204" s="880"/>
      <c r="BN204" s="880"/>
      <c r="BO204" s="880"/>
      <c r="BP204" s="880"/>
      <c r="BQ204" s="880"/>
      <c r="BR204" s="880"/>
      <c r="BS204" s="880"/>
      <c r="BT204" s="880"/>
      <c r="BU204" s="880"/>
      <c r="BV204" s="880"/>
      <c r="BW204" s="880"/>
      <c r="BX204" s="880"/>
      <c r="BY204" s="880"/>
      <c r="BZ204" s="880"/>
      <c r="CA204" s="880"/>
      <c r="CB204" s="880"/>
      <c r="CC204" s="880"/>
      <c r="CD204" s="880"/>
      <c r="CE204" s="880"/>
      <c r="CF204" s="880"/>
      <c r="CG204" s="880"/>
      <c r="CH204" s="880"/>
      <c r="CI204" s="880"/>
      <c r="CJ204" s="880"/>
      <c r="CK204" s="880"/>
      <c r="CL204" s="880"/>
      <c r="CM204" s="880"/>
      <c r="CN204" s="880"/>
      <c r="CO204" s="880"/>
      <c r="CP204" s="880"/>
      <c r="CQ204" s="880"/>
      <c r="CR204" s="880"/>
      <c r="CS204" s="880"/>
      <c r="CT204" s="880"/>
      <c r="CU204" s="880"/>
      <c r="CV204" s="880"/>
      <c r="CW204" s="880"/>
      <c r="CX204" s="880"/>
      <c r="CY204" s="880"/>
      <c r="CZ204" s="880"/>
      <c r="DA204" s="880"/>
      <c r="DB204" s="880"/>
      <c r="DC204" s="880"/>
      <c r="DD204" s="880"/>
      <c r="DE204" s="880"/>
      <c r="DF204" s="880"/>
      <c r="DG204" s="880"/>
      <c r="DH204" s="880"/>
      <c r="DI204" s="880"/>
      <c r="DJ204" s="880"/>
      <c r="DK204" s="880"/>
      <c r="DL204" s="880"/>
      <c r="DM204" s="880"/>
      <c r="DN204" s="880"/>
      <c r="DO204" s="880"/>
      <c r="DP204" s="880"/>
      <c r="DQ204" s="880"/>
      <c r="DR204" s="880"/>
      <c r="DS204" s="880"/>
      <c r="DT204" s="880"/>
      <c r="DU204" s="880"/>
      <c r="DV204" s="880"/>
      <c r="DW204" s="880"/>
      <c r="DX204" s="880"/>
      <c r="DY204" s="880"/>
      <c r="DZ204" s="880"/>
      <c r="EA204" s="880"/>
      <c r="EB204" s="880"/>
      <c r="EC204" s="880"/>
      <c r="ED204" s="880"/>
      <c r="EE204" s="880"/>
      <c r="EF204" s="880"/>
      <c r="EG204" s="880"/>
      <c r="EH204" s="880"/>
      <c r="EI204" s="880"/>
      <c r="EJ204" s="880"/>
      <c r="EK204" s="880"/>
      <c r="EL204" s="880"/>
      <c r="EM204" s="880"/>
      <c r="EN204" s="880"/>
      <c r="EO204" s="880"/>
      <c r="EP204" s="880"/>
      <c r="EQ204" s="880"/>
      <c r="ER204" s="880"/>
      <c r="ES204" s="880"/>
      <c r="ET204" s="880"/>
      <c r="EU204" s="880"/>
      <c r="EV204" s="880"/>
      <c r="EW204" s="880"/>
      <c r="EX204" s="880"/>
      <c r="EY204" s="880"/>
      <c r="EZ204" s="880"/>
      <c r="FA204" s="880"/>
      <c r="FB204" s="880"/>
      <c r="FC204" s="880"/>
      <c r="FD204" s="880"/>
      <c r="FE204" s="880"/>
      <c r="FF204" s="880"/>
      <c r="FG204" s="880"/>
      <c r="FH204" s="880"/>
      <c r="FI204" s="880"/>
      <c r="FJ204" s="880"/>
      <c r="FK204" s="880"/>
      <c r="FL204" s="880"/>
      <c r="FM204" s="880"/>
      <c r="FN204" s="880"/>
      <c r="FO204" s="880"/>
      <c r="FP204" s="880"/>
      <c r="FQ204" s="880"/>
      <c r="FR204" s="880"/>
      <c r="FS204" s="880"/>
      <c r="FT204" s="880"/>
      <c r="FU204" s="880"/>
      <c r="FV204" s="880"/>
      <c r="FW204" s="880"/>
      <c r="FX204" s="880"/>
      <c r="FY204" s="880"/>
      <c r="FZ204" s="880"/>
      <c r="GA204" s="880"/>
      <c r="GB204" s="880"/>
      <c r="GC204" s="880"/>
      <c r="GD204" s="880"/>
      <c r="GE204" s="880"/>
      <c r="GF204" s="880"/>
      <c r="GG204" s="880"/>
      <c r="GH204" s="880"/>
      <c r="GI204" s="880"/>
      <c r="GJ204" s="880"/>
      <c r="GK204" s="880"/>
      <c r="GL204" s="880"/>
      <c r="GM204" s="880"/>
      <c r="GN204" s="880"/>
      <c r="GO204" s="880"/>
      <c r="GP204" s="880"/>
      <c r="GQ204" s="880"/>
      <c r="GR204" s="880"/>
      <c r="GS204" s="880"/>
      <c r="GT204" s="880"/>
      <c r="GU204" s="880"/>
      <c r="GV204" s="880"/>
      <c r="GW204" s="880"/>
      <c r="GX204" s="880"/>
      <c r="GY204" s="880"/>
      <c r="GZ204" s="880"/>
      <c r="HA204" s="880"/>
      <c r="HB204" s="880"/>
      <c r="HC204" s="880"/>
      <c r="HD204" s="880"/>
      <c r="HE204" s="880"/>
      <c r="HF204" s="880"/>
      <c r="HG204" s="880"/>
      <c r="HH204" s="880"/>
      <c r="HI204" s="880"/>
      <c r="HJ204" s="880"/>
      <c r="HK204" s="880"/>
      <c r="HL204" s="880"/>
      <c r="HM204" s="880"/>
      <c r="HN204" s="880"/>
      <c r="HO204" s="880"/>
      <c r="HP204" s="880"/>
      <c r="HQ204" s="880"/>
      <c r="HR204" s="880"/>
      <c r="HS204" s="880"/>
      <c r="HT204" s="880"/>
      <c r="HU204" s="880"/>
      <c r="HV204" s="880"/>
      <c r="HW204" s="880"/>
      <c r="HX204" s="880"/>
      <c r="HY204" s="880"/>
      <c r="HZ204" s="880"/>
      <c r="IA204" s="880"/>
      <c r="IB204" s="880"/>
      <c r="IC204" s="880"/>
      <c r="ID204" s="880"/>
      <c r="IE204" s="880"/>
      <c r="IF204" s="880"/>
      <c r="IG204" s="880"/>
      <c r="IH204" s="880"/>
      <c r="II204" s="880"/>
      <c r="IJ204" s="880"/>
      <c r="IK204" s="880"/>
      <c r="IL204" s="880"/>
      <c r="IM204" s="880"/>
      <c r="IN204" s="880"/>
      <c r="IO204" s="880"/>
      <c r="IP204" s="880"/>
      <c r="IQ204" s="880"/>
      <c r="IR204" s="880"/>
      <c r="IS204" s="880"/>
      <c r="IT204" s="880"/>
      <c r="IU204" s="880"/>
      <c r="IV204" s="880"/>
    </row>
    <row r="205" spans="1:256" s="763" customFormat="1" ht="19.5" customHeight="1">
      <c r="A205" s="2957"/>
      <c r="B205" s="632"/>
      <c r="C205" s="548"/>
      <c r="D205" s="3825" t="s">
        <v>461</v>
      </c>
      <c r="E205" s="3826"/>
      <c r="F205" s="2049">
        <f>SUM(F206:F216)</f>
        <v>19000</v>
      </c>
      <c r="G205" s="2049">
        <v>19000</v>
      </c>
      <c r="H205" s="2021">
        <f>F205-G205</f>
        <v>0</v>
      </c>
      <c r="I205" s="634"/>
      <c r="J205" s="665"/>
      <c r="K205" s="2101"/>
      <c r="L205" s="2101"/>
      <c r="M205" s="2101"/>
      <c r="N205" s="2101"/>
      <c r="O205" s="2101"/>
      <c r="P205" s="2101"/>
      <c r="Q205" s="646"/>
      <c r="R205" s="645"/>
      <c r="S205" s="711"/>
      <c r="T205" s="2101"/>
      <c r="U205" s="2101"/>
      <c r="V205" s="712"/>
      <c r="W205" s="2101"/>
      <c r="X205" s="515"/>
      <c r="Y205" s="622"/>
      <c r="Z205" s="2016"/>
      <c r="AA205" s="308"/>
      <c r="AB205" s="669"/>
      <c r="AC205" s="880"/>
      <c r="AD205" s="880"/>
      <c r="AE205" s="880"/>
      <c r="AF205" s="880"/>
      <c r="AG205" s="880"/>
      <c r="AH205" s="880"/>
      <c r="AI205" s="880"/>
      <c r="AJ205" s="880"/>
      <c r="AK205" s="880"/>
      <c r="AL205" s="880"/>
      <c r="AM205" s="880"/>
      <c r="AN205" s="880"/>
      <c r="AO205" s="880"/>
      <c r="AP205" s="880"/>
      <c r="AQ205" s="880"/>
      <c r="AR205" s="880"/>
      <c r="AS205" s="880"/>
      <c r="AT205" s="880"/>
      <c r="AU205" s="880"/>
      <c r="AV205" s="880"/>
      <c r="AW205" s="880"/>
      <c r="AX205" s="880"/>
      <c r="AY205" s="880"/>
      <c r="AZ205" s="880"/>
      <c r="BA205" s="880"/>
      <c r="BB205" s="880"/>
      <c r="BC205" s="880"/>
      <c r="BD205" s="880"/>
      <c r="BE205" s="880"/>
      <c r="BF205" s="880"/>
      <c r="BG205" s="880"/>
      <c r="BH205" s="880"/>
      <c r="BI205" s="880"/>
      <c r="BJ205" s="880"/>
      <c r="BK205" s="880"/>
      <c r="BL205" s="880"/>
      <c r="BM205" s="880"/>
      <c r="BN205" s="880"/>
      <c r="BO205" s="880"/>
      <c r="BP205" s="880"/>
      <c r="BQ205" s="880"/>
      <c r="BR205" s="880"/>
      <c r="BS205" s="880"/>
      <c r="BT205" s="880"/>
      <c r="BU205" s="880"/>
      <c r="BV205" s="880"/>
      <c r="BW205" s="880"/>
      <c r="BX205" s="880"/>
      <c r="BY205" s="880"/>
      <c r="BZ205" s="880"/>
      <c r="CA205" s="880"/>
      <c r="CB205" s="880"/>
      <c r="CC205" s="880"/>
      <c r="CD205" s="880"/>
      <c r="CE205" s="880"/>
      <c r="CF205" s="880"/>
      <c r="CG205" s="880"/>
      <c r="CH205" s="880"/>
      <c r="CI205" s="880"/>
      <c r="CJ205" s="880"/>
      <c r="CK205" s="880"/>
      <c r="CL205" s="880"/>
      <c r="CM205" s="880"/>
      <c r="CN205" s="880"/>
      <c r="CO205" s="880"/>
      <c r="CP205" s="880"/>
      <c r="CQ205" s="880"/>
      <c r="CR205" s="880"/>
      <c r="CS205" s="880"/>
      <c r="CT205" s="880"/>
      <c r="CU205" s="880"/>
      <c r="CV205" s="880"/>
      <c r="CW205" s="880"/>
      <c r="CX205" s="880"/>
      <c r="CY205" s="880"/>
      <c r="CZ205" s="880"/>
      <c r="DA205" s="880"/>
      <c r="DB205" s="880"/>
      <c r="DC205" s="880"/>
      <c r="DD205" s="880"/>
      <c r="DE205" s="880"/>
      <c r="DF205" s="880"/>
      <c r="DG205" s="880"/>
      <c r="DH205" s="880"/>
      <c r="DI205" s="880"/>
      <c r="DJ205" s="880"/>
      <c r="DK205" s="880"/>
      <c r="DL205" s="880"/>
      <c r="DM205" s="880"/>
      <c r="DN205" s="880"/>
      <c r="DO205" s="880"/>
      <c r="DP205" s="880"/>
      <c r="DQ205" s="880"/>
      <c r="DR205" s="880"/>
      <c r="DS205" s="880"/>
      <c r="DT205" s="880"/>
      <c r="DU205" s="880"/>
      <c r="DV205" s="880"/>
      <c r="DW205" s="880"/>
      <c r="DX205" s="880"/>
      <c r="DY205" s="880"/>
      <c r="DZ205" s="880"/>
      <c r="EA205" s="880"/>
      <c r="EB205" s="880"/>
      <c r="EC205" s="880"/>
      <c r="ED205" s="880"/>
      <c r="EE205" s="880"/>
      <c r="EF205" s="880"/>
      <c r="EG205" s="880"/>
      <c r="EH205" s="880"/>
      <c r="EI205" s="880"/>
      <c r="EJ205" s="880"/>
      <c r="EK205" s="880"/>
      <c r="EL205" s="880"/>
      <c r="EM205" s="880"/>
      <c r="EN205" s="880"/>
      <c r="EO205" s="880"/>
      <c r="EP205" s="880"/>
      <c r="EQ205" s="880"/>
      <c r="ER205" s="880"/>
      <c r="ES205" s="880"/>
      <c r="ET205" s="880"/>
      <c r="EU205" s="880"/>
      <c r="EV205" s="880"/>
      <c r="EW205" s="880"/>
      <c r="EX205" s="880"/>
      <c r="EY205" s="880"/>
      <c r="EZ205" s="880"/>
      <c r="FA205" s="880"/>
      <c r="FB205" s="880"/>
      <c r="FC205" s="880"/>
      <c r="FD205" s="880"/>
      <c r="FE205" s="880"/>
      <c r="FF205" s="880"/>
      <c r="FG205" s="880"/>
      <c r="FH205" s="880"/>
      <c r="FI205" s="880"/>
      <c r="FJ205" s="880"/>
      <c r="FK205" s="880"/>
      <c r="FL205" s="880"/>
      <c r="FM205" s="880"/>
      <c r="FN205" s="880"/>
      <c r="FO205" s="880"/>
      <c r="FP205" s="880"/>
      <c r="FQ205" s="880"/>
      <c r="FR205" s="880"/>
      <c r="FS205" s="880"/>
      <c r="FT205" s="880"/>
      <c r="FU205" s="880"/>
      <c r="FV205" s="880"/>
      <c r="FW205" s="880"/>
      <c r="FX205" s="880"/>
      <c r="FY205" s="880"/>
      <c r="FZ205" s="880"/>
      <c r="GA205" s="880"/>
      <c r="GB205" s="880"/>
      <c r="GC205" s="880"/>
      <c r="GD205" s="880"/>
      <c r="GE205" s="880"/>
      <c r="GF205" s="880"/>
      <c r="GG205" s="880"/>
      <c r="GH205" s="880"/>
      <c r="GI205" s="880"/>
      <c r="GJ205" s="880"/>
      <c r="GK205" s="880"/>
      <c r="GL205" s="880"/>
      <c r="GM205" s="880"/>
      <c r="GN205" s="880"/>
      <c r="GO205" s="880"/>
      <c r="GP205" s="880"/>
      <c r="GQ205" s="880"/>
      <c r="GR205" s="880"/>
      <c r="GS205" s="880"/>
      <c r="GT205" s="880"/>
      <c r="GU205" s="880"/>
      <c r="GV205" s="880"/>
      <c r="GW205" s="880"/>
      <c r="GX205" s="880"/>
      <c r="GY205" s="880"/>
      <c r="GZ205" s="880"/>
      <c r="HA205" s="880"/>
      <c r="HB205" s="880"/>
      <c r="HC205" s="880"/>
      <c r="HD205" s="880"/>
      <c r="HE205" s="880"/>
      <c r="HF205" s="880"/>
      <c r="HG205" s="880"/>
      <c r="HH205" s="880"/>
      <c r="HI205" s="880"/>
      <c r="HJ205" s="880"/>
      <c r="HK205" s="880"/>
      <c r="HL205" s="880"/>
      <c r="HM205" s="880"/>
      <c r="HN205" s="880"/>
      <c r="HO205" s="880"/>
      <c r="HP205" s="880"/>
      <c r="HQ205" s="880"/>
      <c r="HR205" s="880"/>
      <c r="HS205" s="880"/>
      <c r="HT205" s="880"/>
      <c r="HU205" s="880"/>
      <c r="HV205" s="880"/>
      <c r="HW205" s="880"/>
      <c r="HX205" s="880"/>
      <c r="HY205" s="880"/>
      <c r="HZ205" s="880"/>
      <c r="IA205" s="880"/>
      <c r="IB205" s="880"/>
      <c r="IC205" s="880"/>
      <c r="ID205" s="880"/>
      <c r="IE205" s="880"/>
      <c r="IF205" s="880"/>
      <c r="IG205" s="880"/>
      <c r="IH205" s="880"/>
      <c r="II205" s="880"/>
      <c r="IJ205" s="880"/>
      <c r="IK205" s="880"/>
      <c r="IL205" s="880"/>
      <c r="IM205" s="880"/>
      <c r="IN205" s="880"/>
      <c r="IO205" s="880"/>
      <c r="IP205" s="880"/>
      <c r="IQ205" s="880"/>
      <c r="IR205" s="880"/>
      <c r="IS205" s="880"/>
      <c r="IT205" s="880"/>
      <c r="IU205" s="880"/>
      <c r="IV205" s="880"/>
    </row>
    <row r="206" spans="1:256" s="763" customFormat="1" ht="19.5" customHeight="1">
      <c r="A206" s="2957"/>
      <c r="B206" s="632"/>
      <c r="C206" s="548"/>
      <c r="D206" s="2050"/>
      <c r="E206" s="2050" t="s">
        <v>229</v>
      </c>
      <c r="F206" s="2031">
        <f>Y206</f>
        <v>600</v>
      </c>
      <c r="G206" s="2031">
        <v>600</v>
      </c>
      <c r="H206" s="1589"/>
      <c r="I206" s="634"/>
      <c r="J206" s="481" t="s">
        <v>148</v>
      </c>
      <c r="K206" s="2075"/>
      <c r="L206" s="2075"/>
      <c r="M206" s="2075"/>
      <c r="N206" s="2075"/>
      <c r="O206" s="2075"/>
      <c r="P206" s="2075"/>
      <c r="Q206" s="511">
        <v>1</v>
      </c>
      <c r="R206" s="2016" t="s">
        <v>7</v>
      </c>
      <c r="S206" s="718">
        <v>20000</v>
      </c>
      <c r="T206" s="625" t="s">
        <v>0</v>
      </c>
      <c r="U206" s="2075"/>
      <c r="V206" s="504">
        <v>30</v>
      </c>
      <c r="W206" s="625" t="s">
        <v>69</v>
      </c>
      <c r="X206" s="719" t="s">
        <v>1</v>
      </c>
      <c r="Y206" s="871">
        <f>S206*V206/1000</f>
        <v>600</v>
      </c>
      <c r="Z206" s="2016"/>
      <c r="AA206" s="308"/>
      <c r="AB206" s="669"/>
      <c r="AC206" s="880"/>
      <c r="AD206" s="880"/>
      <c r="AE206" s="880"/>
      <c r="AF206" s="880"/>
      <c r="AG206" s="880"/>
      <c r="AH206" s="880"/>
      <c r="AI206" s="880"/>
      <c r="AJ206" s="880"/>
      <c r="AK206" s="880"/>
      <c r="AL206" s="880"/>
      <c r="AM206" s="880"/>
      <c r="AN206" s="880"/>
      <c r="AO206" s="880"/>
      <c r="AP206" s="880"/>
      <c r="AQ206" s="880"/>
      <c r="AR206" s="880"/>
      <c r="AS206" s="880"/>
      <c r="AT206" s="880"/>
      <c r="AU206" s="880"/>
      <c r="AV206" s="880"/>
      <c r="AW206" s="880"/>
      <c r="AX206" s="880"/>
      <c r="AY206" s="880"/>
      <c r="AZ206" s="880"/>
      <c r="BA206" s="880"/>
      <c r="BB206" s="880"/>
      <c r="BC206" s="880"/>
      <c r="BD206" s="880"/>
      <c r="BE206" s="880"/>
      <c r="BF206" s="880"/>
      <c r="BG206" s="880"/>
      <c r="BH206" s="880"/>
      <c r="BI206" s="880"/>
      <c r="BJ206" s="880"/>
      <c r="BK206" s="880"/>
      <c r="BL206" s="880"/>
      <c r="BM206" s="880"/>
      <c r="BN206" s="880"/>
      <c r="BO206" s="880"/>
      <c r="BP206" s="880"/>
      <c r="BQ206" s="880"/>
      <c r="BR206" s="880"/>
      <c r="BS206" s="880"/>
      <c r="BT206" s="880"/>
      <c r="BU206" s="880"/>
      <c r="BV206" s="880"/>
      <c r="BW206" s="880"/>
      <c r="BX206" s="880"/>
      <c r="BY206" s="880"/>
      <c r="BZ206" s="880"/>
      <c r="CA206" s="880"/>
      <c r="CB206" s="880"/>
      <c r="CC206" s="880"/>
      <c r="CD206" s="880"/>
      <c r="CE206" s="880"/>
      <c r="CF206" s="880"/>
      <c r="CG206" s="880"/>
      <c r="CH206" s="880"/>
      <c r="CI206" s="880"/>
      <c r="CJ206" s="880"/>
      <c r="CK206" s="880"/>
      <c r="CL206" s="880"/>
      <c r="CM206" s="880"/>
      <c r="CN206" s="880"/>
      <c r="CO206" s="880"/>
      <c r="CP206" s="880"/>
      <c r="CQ206" s="880"/>
      <c r="CR206" s="880"/>
      <c r="CS206" s="880"/>
      <c r="CT206" s="880"/>
      <c r="CU206" s="880"/>
      <c r="CV206" s="880"/>
      <c r="CW206" s="880"/>
      <c r="CX206" s="880"/>
      <c r="CY206" s="880"/>
      <c r="CZ206" s="880"/>
      <c r="DA206" s="880"/>
      <c r="DB206" s="880"/>
      <c r="DC206" s="880"/>
      <c r="DD206" s="880"/>
      <c r="DE206" s="880"/>
      <c r="DF206" s="880"/>
      <c r="DG206" s="880"/>
      <c r="DH206" s="880"/>
      <c r="DI206" s="880"/>
      <c r="DJ206" s="880"/>
      <c r="DK206" s="880"/>
      <c r="DL206" s="880"/>
      <c r="DM206" s="880"/>
      <c r="DN206" s="880"/>
      <c r="DO206" s="880"/>
      <c r="DP206" s="880"/>
      <c r="DQ206" s="880"/>
      <c r="DR206" s="880"/>
      <c r="DS206" s="880"/>
      <c r="DT206" s="880"/>
      <c r="DU206" s="880"/>
      <c r="DV206" s="880"/>
      <c r="DW206" s="880"/>
      <c r="DX206" s="880"/>
      <c r="DY206" s="880"/>
      <c r="DZ206" s="880"/>
      <c r="EA206" s="880"/>
      <c r="EB206" s="880"/>
      <c r="EC206" s="880"/>
      <c r="ED206" s="880"/>
      <c r="EE206" s="880"/>
      <c r="EF206" s="880"/>
      <c r="EG206" s="880"/>
      <c r="EH206" s="880"/>
      <c r="EI206" s="880"/>
      <c r="EJ206" s="880"/>
      <c r="EK206" s="880"/>
      <c r="EL206" s="880"/>
      <c r="EM206" s="880"/>
      <c r="EN206" s="880"/>
      <c r="EO206" s="880"/>
      <c r="EP206" s="880"/>
      <c r="EQ206" s="880"/>
      <c r="ER206" s="880"/>
      <c r="ES206" s="880"/>
      <c r="ET206" s="880"/>
      <c r="EU206" s="880"/>
      <c r="EV206" s="880"/>
      <c r="EW206" s="880"/>
      <c r="EX206" s="880"/>
      <c r="EY206" s="880"/>
      <c r="EZ206" s="880"/>
      <c r="FA206" s="880"/>
      <c r="FB206" s="880"/>
      <c r="FC206" s="880"/>
      <c r="FD206" s="880"/>
      <c r="FE206" s="880"/>
      <c r="FF206" s="880"/>
      <c r="FG206" s="880"/>
      <c r="FH206" s="880"/>
      <c r="FI206" s="880"/>
      <c r="FJ206" s="880"/>
      <c r="FK206" s="880"/>
      <c r="FL206" s="880"/>
      <c r="FM206" s="880"/>
      <c r="FN206" s="880"/>
      <c r="FO206" s="880"/>
      <c r="FP206" s="880"/>
      <c r="FQ206" s="880"/>
      <c r="FR206" s="880"/>
      <c r="FS206" s="880"/>
      <c r="FT206" s="880"/>
      <c r="FU206" s="880"/>
      <c r="FV206" s="880"/>
      <c r="FW206" s="880"/>
      <c r="FX206" s="880"/>
      <c r="FY206" s="880"/>
      <c r="FZ206" s="880"/>
      <c r="GA206" s="880"/>
      <c r="GB206" s="880"/>
      <c r="GC206" s="880"/>
      <c r="GD206" s="880"/>
      <c r="GE206" s="880"/>
      <c r="GF206" s="880"/>
      <c r="GG206" s="880"/>
      <c r="GH206" s="880"/>
      <c r="GI206" s="880"/>
      <c r="GJ206" s="880"/>
      <c r="GK206" s="880"/>
      <c r="GL206" s="880"/>
      <c r="GM206" s="880"/>
      <c r="GN206" s="880"/>
      <c r="GO206" s="880"/>
      <c r="GP206" s="880"/>
      <c r="GQ206" s="880"/>
      <c r="GR206" s="880"/>
      <c r="GS206" s="880"/>
      <c r="GT206" s="880"/>
      <c r="GU206" s="880"/>
      <c r="GV206" s="880"/>
      <c r="GW206" s="880"/>
      <c r="GX206" s="880"/>
      <c r="GY206" s="880"/>
      <c r="GZ206" s="880"/>
      <c r="HA206" s="880"/>
      <c r="HB206" s="880"/>
      <c r="HC206" s="880"/>
      <c r="HD206" s="880"/>
      <c r="HE206" s="880"/>
      <c r="HF206" s="880"/>
      <c r="HG206" s="880"/>
      <c r="HH206" s="880"/>
      <c r="HI206" s="880"/>
      <c r="HJ206" s="880"/>
      <c r="HK206" s="880"/>
      <c r="HL206" s="880"/>
      <c r="HM206" s="880"/>
      <c r="HN206" s="880"/>
      <c r="HO206" s="880"/>
      <c r="HP206" s="880"/>
      <c r="HQ206" s="880"/>
      <c r="HR206" s="880"/>
      <c r="HS206" s="880"/>
      <c r="HT206" s="880"/>
      <c r="HU206" s="880"/>
      <c r="HV206" s="880"/>
      <c r="HW206" s="880"/>
      <c r="HX206" s="880"/>
      <c r="HY206" s="880"/>
      <c r="HZ206" s="880"/>
      <c r="IA206" s="880"/>
      <c r="IB206" s="880"/>
      <c r="IC206" s="880"/>
      <c r="ID206" s="880"/>
      <c r="IE206" s="880"/>
      <c r="IF206" s="880"/>
      <c r="IG206" s="880"/>
      <c r="IH206" s="880"/>
      <c r="II206" s="880"/>
      <c r="IJ206" s="880"/>
      <c r="IK206" s="880"/>
      <c r="IL206" s="880"/>
      <c r="IM206" s="880"/>
      <c r="IN206" s="880"/>
      <c r="IO206" s="880"/>
      <c r="IP206" s="880"/>
      <c r="IQ206" s="880"/>
      <c r="IR206" s="880"/>
      <c r="IS206" s="880"/>
      <c r="IT206" s="880"/>
      <c r="IU206" s="880"/>
      <c r="IV206" s="880"/>
    </row>
    <row r="207" spans="1:256" s="763" customFormat="1" ht="19.5" customHeight="1">
      <c r="A207" s="2957"/>
      <c r="B207" s="632"/>
      <c r="C207" s="548"/>
      <c r="D207" s="2050"/>
      <c r="E207" s="2050" t="s">
        <v>225</v>
      </c>
      <c r="F207" s="2031">
        <f>Y207</f>
        <v>15000</v>
      </c>
      <c r="G207" s="2031">
        <v>15000</v>
      </c>
      <c r="H207" s="717"/>
      <c r="I207" s="634"/>
      <c r="J207" s="481" t="s">
        <v>462</v>
      </c>
      <c r="K207" s="2075"/>
      <c r="L207" s="2075"/>
      <c r="M207" s="2075"/>
      <c r="N207" s="2075"/>
      <c r="O207" s="2075"/>
      <c r="P207" s="2075"/>
      <c r="Q207" s="511"/>
      <c r="R207" s="2016"/>
      <c r="S207" s="718">
        <v>5000000</v>
      </c>
      <c r="T207" s="625" t="s">
        <v>0</v>
      </c>
      <c r="U207" s="2075"/>
      <c r="V207" s="504">
        <v>3</v>
      </c>
      <c r="W207" s="625" t="s">
        <v>259</v>
      </c>
      <c r="X207" s="719" t="s">
        <v>1</v>
      </c>
      <c r="Y207" s="871">
        <f>S207*V207/1000</f>
        <v>15000</v>
      </c>
      <c r="Z207" s="2016"/>
      <c r="AA207" s="308"/>
      <c r="AB207" s="669"/>
      <c r="AC207" s="880"/>
      <c r="AD207" s="880"/>
      <c r="AE207" s="880"/>
      <c r="AF207" s="880"/>
      <c r="AG207" s="880"/>
      <c r="AH207" s="880"/>
      <c r="AI207" s="880"/>
      <c r="AJ207" s="880"/>
      <c r="AK207" s="880"/>
      <c r="AL207" s="880"/>
      <c r="AM207" s="880"/>
      <c r="AN207" s="880"/>
      <c r="AO207" s="880"/>
      <c r="AP207" s="880"/>
      <c r="AQ207" s="880"/>
      <c r="AR207" s="880"/>
      <c r="AS207" s="880"/>
      <c r="AT207" s="880"/>
      <c r="AU207" s="880"/>
      <c r="AV207" s="880"/>
      <c r="AW207" s="880"/>
      <c r="AX207" s="880"/>
      <c r="AY207" s="880"/>
      <c r="AZ207" s="880"/>
      <c r="BA207" s="880"/>
      <c r="BB207" s="880"/>
      <c r="BC207" s="880"/>
      <c r="BD207" s="880"/>
      <c r="BE207" s="880"/>
      <c r="BF207" s="880"/>
      <c r="BG207" s="880"/>
      <c r="BH207" s="880"/>
      <c r="BI207" s="880"/>
      <c r="BJ207" s="880"/>
      <c r="BK207" s="880"/>
      <c r="BL207" s="880"/>
      <c r="BM207" s="880"/>
      <c r="BN207" s="880"/>
      <c r="BO207" s="880"/>
      <c r="BP207" s="880"/>
      <c r="BQ207" s="880"/>
      <c r="BR207" s="880"/>
      <c r="BS207" s="880"/>
      <c r="BT207" s="880"/>
      <c r="BU207" s="880"/>
      <c r="BV207" s="880"/>
      <c r="BW207" s="880"/>
      <c r="BX207" s="880"/>
      <c r="BY207" s="880"/>
      <c r="BZ207" s="880"/>
      <c r="CA207" s="880"/>
      <c r="CB207" s="880"/>
      <c r="CC207" s="880"/>
      <c r="CD207" s="880"/>
      <c r="CE207" s="880"/>
      <c r="CF207" s="880"/>
      <c r="CG207" s="880"/>
      <c r="CH207" s="880"/>
      <c r="CI207" s="880"/>
      <c r="CJ207" s="880"/>
      <c r="CK207" s="880"/>
      <c r="CL207" s="880"/>
      <c r="CM207" s="880"/>
      <c r="CN207" s="880"/>
      <c r="CO207" s="880"/>
      <c r="CP207" s="880"/>
      <c r="CQ207" s="880"/>
      <c r="CR207" s="880"/>
      <c r="CS207" s="880"/>
      <c r="CT207" s="880"/>
      <c r="CU207" s="880"/>
      <c r="CV207" s="880"/>
      <c r="CW207" s="880"/>
      <c r="CX207" s="880"/>
      <c r="CY207" s="880"/>
      <c r="CZ207" s="880"/>
      <c r="DA207" s="880"/>
      <c r="DB207" s="880"/>
      <c r="DC207" s="880"/>
      <c r="DD207" s="880"/>
      <c r="DE207" s="880"/>
      <c r="DF207" s="880"/>
      <c r="DG207" s="880"/>
      <c r="DH207" s="880"/>
      <c r="DI207" s="880"/>
      <c r="DJ207" s="880"/>
      <c r="DK207" s="880"/>
      <c r="DL207" s="880"/>
      <c r="DM207" s="880"/>
      <c r="DN207" s="880"/>
      <c r="DO207" s="880"/>
      <c r="DP207" s="880"/>
      <c r="DQ207" s="880"/>
      <c r="DR207" s="880"/>
      <c r="DS207" s="880"/>
      <c r="DT207" s="880"/>
      <c r="DU207" s="880"/>
      <c r="DV207" s="880"/>
      <c r="DW207" s="880"/>
      <c r="DX207" s="880"/>
      <c r="DY207" s="880"/>
      <c r="DZ207" s="880"/>
      <c r="EA207" s="880"/>
      <c r="EB207" s="880"/>
      <c r="EC207" s="880"/>
      <c r="ED207" s="880"/>
      <c r="EE207" s="880"/>
      <c r="EF207" s="880"/>
      <c r="EG207" s="880"/>
      <c r="EH207" s="880"/>
      <c r="EI207" s="880"/>
      <c r="EJ207" s="880"/>
      <c r="EK207" s="880"/>
      <c r="EL207" s="880"/>
      <c r="EM207" s="880"/>
      <c r="EN207" s="880"/>
      <c r="EO207" s="880"/>
      <c r="EP207" s="880"/>
      <c r="EQ207" s="880"/>
      <c r="ER207" s="880"/>
      <c r="ES207" s="880"/>
      <c r="ET207" s="880"/>
      <c r="EU207" s="880"/>
      <c r="EV207" s="880"/>
      <c r="EW207" s="880"/>
      <c r="EX207" s="880"/>
      <c r="EY207" s="880"/>
      <c r="EZ207" s="880"/>
      <c r="FA207" s="880"/>
      <c r="FB207" s="880"/>
      <c r="FC207" s="880"/>
      <c r="FD207" s="880"/>
      <c r="FE207" s="880"/>
      <c r="FF207" s="880"/>
      <c r="FG207" s="880"/>
      <c r="FH207" s="880"/>
      <c r="FI207" s="880"/>
      <c r="FJ207" s="880"/>
      <c r="FK207" s="880"/>
      <c r="FL207" s="880"/>
      <c r="FM207" s="880"/>
      <c r="FN207" s="880"/>
      <c r="FO207" s="880"/>
      <c r="FP207" s="880"/>
      <c r="FQ207" s="880"/>
      <c r="FR207" s="880"/>
      <c r="FS207" s="880"/>
      <c r="FT207" s="880"/>
      <c r="FU207" s="880"/>
      <c r="FV207" s="880"/>
      <c r="FW207" s="880"/>
      <c r="FX207" s="880"/>
      <c r="FY207" s="880"/>
      <c r="FZ207" s="880"/>
      <c r="GA207" s="880"/>
      <c r="GB207" s="880"/>
      <c r="GC207" s="880"/>
      <c r="GD207" s="880"/>
      <c r="GE207" s="880"/>
      <c r="GF207" s="880"/>
      <c r="GG207" s="880"/>
      <c r="GH207" s="880"/>
      <c r="GI207" s="880"/>
      <c r="GJ207" s="880"/>
      <c r="GK207" s="880"/>
      <c r="GL207" s="880"/>
      <c r="GM207" s="880"/>
      <c r="GN207" s="880"/>
      <c r="GO207" s="880"/>
      <c r="GP207" s="880"/>
      <c r="GQ207" s="880"/>
      <c r="GR207" s="880"/>
      <c r="GS207" s="880"/>
      <c r="GT207" s="880"/>
      <c r="GU207" s="880"/>
      <c r="GV207" s="880"/>
      <c r="GW207" s="880"/>
      <c r="GX207" s="880"/>
      <c r="GY207" s="880"/>
      <c r="GZ207" s="880"/>
      <c r="HA207" s="880"/>
      <c r="HB207" s="880"/>
      <c r="HC207" s="880"/>
      <c r="HD207" s="880"/>
      <c r="HE207" s="880"/>
      <c r="HF207" s="880"/>
      <c r="HG207" s="880"/>
      <c r="HH207" s="880"/>
      <c r="HI207" s="880"/>
      <c r="HJ207" s="880"/>
      <c r="HK207" s="880"/>
      <c r="HL207" s="880"/>
      <c r="HM207" s="880"/>
      <c r="HN207" s="880"/>
      <c r="HO207" s="880"/>
      <c r="HP207" s="880"/>
      <c r="HQ207" s="880"/>
      <c r="HR207" s="880"/>
      <c r="HS207" s="880"/>
      <c r="HT207" s="880"/>
      <c r="HU207" s="880"/>
      <c r="HV207" s="880"/>
      <c r="HW207" s="880"/>
      <c r="HX207" s="880"/>
      <c r="HY207" s="880"/>
      <c r="HZ207" s="880"/>
      <c r="IA207" s="880"/>
      <c r="IB207" s="880"/>
      <c r="IC207" s="880"/>
      <c r="ID207" s="880"/>
      <c r="IE207" s="880"/>
      <c r="IF207" s="880"/>
      <c r="IG207" s="880"/>
      <c r="IH207" s="880"/>
      <c r="II207" s="880"/>
      <c r="IJ207" s="880"/>
      <c r="IK207" s="880"/>
      <c r="IL207" s="880"/>
      <c r="IM207" s="880"/>
      <c r="IN207" s="880"/>
      <c r="IO207" s="880"/>
      <c r="IP207" s="880"/>
      <c r="IQ207" s="880"/>
      <c r="IR207" s="880"/>
      <c r="IS207" s="880"/>
      <c r="IT207" s="880"/>
      <c r="IU207" s="880"/>
      <c r="IV207" s="880"/>
    </row>
    <row r="208" spans="1:256" s="763" customFormat="1" ht="19.5" customHeight="1">
      <c r="A208" s="2957"/>
      <c r="B208" s="632"/>
      <c r="C208" s="548"/>
      <c r="D208" s="2050"/>
      <c r="E208" s="2050" t="s">
        <v>380</v>
      </c>
      <c r="F208" s="2031">
        <f>Y208</f>
        <v>1400</v>
      </c>
      <c r="G208" s="2031">
        <v>1400</v>
      </c>
      <c r="H208" s="717"/>
      <c r="I208" s="634"/>
      <c r="J208" s="481" t="s">
        <v>8</v>
      </c>
      <c r="K208" s="2075"/>
      <c r="L208" s="2075"/>
      <c r="M208" s="2075"/>
      <c r="N208" s="2075"/>
      <c r="O208" s="2075"/>
      <c r="P208" s="2075"/>
      <c r="Q208" s="511"/>
      <c r="R208" s="2016"/>
      <c r="S208" s="718"/>
      <c r="T208" s="625"/>
      <c r="U208" s="2075"/>
      <c r="V208" s="504"/>
      <c r="W208" s="625"/>
      <c r="X208" s="719"/>
      <c r="Y208" s="871">
        <f>SUM(Y209:Y210)</f>
        <v>1400</v>
      </c>
      <c r="Z208" s="2016"/>
      <c r="AA208" s="308"/>
      <c r="AB208" s="669"/>
      <c r="AC208" s="880"/>
      <c r="AD208" s="880"/>
      <c r="AE208" s="880"/>
      <c r="AF208" s="880"/>
      <c r="AG208" s="880"/>
      <c r="AH208" s="880"/>
      <c r="AI208" s="880"/>
      <c r="AJ208" s="880"/>
      <c r="AK208" s="880"/>
      <c r="AL208" s="880"/>
      <c r="AM208" s="880"/>
      <c r="AN208" s="880"/>
      <c r="AO208" s="880"/>
      <c r="AP208" s="880"/>
      <c r="AQ208" s="880"/>
      <c r="AR208" s="880"/>
      <c r="AS208" s="880"/>
      <c r="AT208" s="880"/>
      <c r="AU208" s="880"/>
      <c r="AV208" s="880"/>
      <c r="AW208" s="880"/>
      <c r="AX208" s="880"/>
      <c r="AY208" s="880"/>
      <c r="AZ208" s="880"/>
      <c r="BA208" s="880"/>
      <c r="BB208" s="880"/>
      <c r="BC208" s="880"/>
      <c r="BD208" s="880"/>
      <c r="BE208" s="880"/>
      <c r="BF208" s="880"/>
      <c r="BG208" s="880"/>
      <c r="BH208" s="880"/>
      <c r="BI208" s="880"/>
      <c r="BJ208" s="880"/>
      <c r="BK208" s="880"/>
      <c r="BL208" s="880"/>
      <c r="BM208" s="880"/>
      <c r="BN208" s="880"/>
      <c r="BO208" s="880"/>
      <c r="BP208" s="880"/>
      <c r="BQ208" s="880"/>
      <c r="BR208" s="880"/>
      <c r="BS208" s="880"/>
      <c r="BT208" s="880"/>
      <c r="BU208" s="880"/>
      <c r="BV208" s="880"/>
      <c r="BW208" s="880"/>
      <c r="BX208" s="880"/>
      <c r="BY208" s="880"/>
      <c r="BZ208" s="880"/>
      <c r="CA208" s="880"/>
      <c r="CB208" s="880"/>
      <c r="CC208" s="880"/>
      <c r="CD208" s="880"/>
      <c r="CE208" s="880"/>
      <c r="CF208" s="880"/>
      <c r="CG208" s="880"/>
      <c r="CH208" s="880"/>
      <c r="CI208" s="880"/>
      <c r="CJ208" s="880"/>
      <c r="CK208" s="880"/>
      <c r="CL208" s="880"/>
      <c r="CM208" s="880"/>
      <c r="CN208" s="880"/>
      <c r="CO208" s="880"/>
      <c r="CP208" s="880"/>
      <c r="CQ208" s="880"/>
      <c r="CR208" s="880"/>
      <c r="CS208" s="880"/>
      <c r="CT208" s="880"/>
      <c r="CU208" s="880"/>
      <c r="CV208" s="880"/>
      <c r="CW208" s="880"/>
      <c r="CX208" s="880"/>
      <c r="CY208" s="880"/>
      <c r="CZ208" s="880"/>
      <c r="DA208" s="880"/>
      <c r="DB208" s="880"/>
      <c r="DC208" s="880"/>
      <c r="DD208" s="880"/>
      <c r="DE208" s="880"/>
      <c r="DF208" s="880"/>
      <c r="DG208" s="880"/>
      <c r="DH208" s="880"/>
      <c r="DI208" s="880"/>
      <c r="DJ208" s="880"/>
      <c r="DK208" s="880"/>
      <c r="DL208" s="880"/>
      <c r="DM208" s="880"/>
      <c r="DN208" s="880"/>
      <c r="DO208" s="880"/>
      <c r="DP208" s="880"/>
      <c r="DQ208" s="880"/>
      <c r="DR208" s="880"/>
      <c r="DS208" s="880"/>
      <c r="DT208" s="880"/>
      <c r="DU208" s="880"/>
      <c r="DV208" s="880"/>
      <c r="DW208" s="880"/>
      <c r="DX208" s="880"/>
      <c r="DY208" s="880"/>
      <c r="DZ208" s="880"/>
      <c r="EA208" s="880"/>
      <c r="EB208" s="880"/>
      <c r="EC208" s="880"/>
      <c r="ED208" s="880"/>
      <c r="EE208" s="880"/>
      <c r="EF208" s="880"/>
      <c r="EG208" s="880"/>
      <c r="EH208" s="880"/>
      <c r="EI208" s="880"/>
      <c r="EJ208" s="880"/>
      <c r="EK208" s="880"/>
      <c r="EL208" s="880"/>
      <c r="EM208" s="880"/>
      <c r="EN208" s="880"/>
      <c r="EO208" s="880"/>
      <c r="EP208" s="880"/>
      <c r="EQ208" s="880"/>
      <c r="ER208" s="880"/>
      <c r="ES208" s="880"/>
      <c r="ET208" s="880"/>
      <c r="EU208" s="880"/>
      <c r="EV208" s="880"/>
      <c r="EW208" s="880"/>
      <c r="EX208" s="880"/>
      <c r="EY208" s="880"/>
      <c r="EZ208" s="880"/>
      <c r="FA208" s="880"/>
      <c r="FB208" s="880"/>
      <c r="FC208" s="880"/>
      <c r="FD208" s="880"/>
      <c r="FE208" s="880"/>
      <c r="FF208" s="880"/>
      <c r="FG208" s="880"/>
      <c r="FH208" s="880"/>
      <c r="FI208" s="880"/>
      <c r="FJ208" s="880"/>
      <c r="FK208" s="880"/>
      <c r="FL208" s="880"/>
      <c r="FM208" s="880"/>
      <c r="FN208" s="880"/>
      <c r="FO208" s="880"/>
      <c r="FP208" s="880"/>
      <c r="FQ208" s="880"/>
      <c r="FR208" s="880"/>
      <c r="FS208" s="880"/>
      <c r="FT208" s="880"/>
      <c r="FU208" s="880"/>
      <c r="FV208" s="880"/>
      <c r="FW208" s="880"/>
      <c r="FX208" s="880"/>
      <c r="FY208" s="880"/>
      <c r="FZ208" s="880"/>
      <c r="GA208" s="880"/>
      <c r="GB208" s="880"/>
      <c r="GC208" s="880"/>
      <c r="GD208" s="880"/>
      <c r="GE208" s="880"/>
      <c r="GF208" s="880"/>
      <c r="GG208" s="880"/>
      <c r="GH208" s="880"/>
      <c r="GI208" s="880"/>
      <c r="GJ208" s="880"/>
      <c r="GK208" s="880"/>
      <c r="GL208" s="880"/>
      <c r="GM208" s="880"/>
      <c r="GN208" s="880"/>
      <c r="GO208" s="880"/>
      <c r="GP208" s="880"/>
      <c r="GQ208" s="880"/>
      <c r="GR208" s="880"/>
      <c r="GS208" s="880"/>
      <c r="GT208" s="880"/>
      <c r="GU208" s="880"/>
      <c r="GV208" s="880"/>
      <c r="GW208" s="880"/>
      <c r="GX208" s="880"/>
      <c r="GY208" s="880"/>
      <c r="GZ208" s="880"/>
      <c r="HA208" s="880"/>
      <c r="HB208" s="880"/>
      <c r="HC208" s="880"/>
      <c r="HD208" s="880"/>
      <c r="HE208" s="880"/>
      <c r="HF208" s="880"/>
      <c r="HG208" s="880"/>
      <c r="HH208" s="880"/>
      <c r="HI208" s="880"/>
      <c r="HJ208" s="880"/>
      <c r="HK208" s="880"/>
      <c r="HL208" s="880"/>
      <c r="HM208" s="880"/>
      <c r="HN208" s="880"/>
      <c r="HO208" s="880"/>
      <c r="HP208" s="880"/>
      <c r="HQ208" s="880"/>
      <c r="HR208" s="880"/>
      <c r="HS208" s="880"/>
      <c r="HT208" s="880"/>
      <c r="HU208" s="880"/>
      <c r="HV208" s="880"/>
      <c r="HW208" s="880"/>
      <c r="HX208" s="880"/>
      <c r="HY208" s="880"/>
      <c r="HZ208" s="880"/>
      <c r="IA208" s="880"/>
      <c r="IB208" s="880"/>
      <c r="IC208" s="880"/>
      <c r="ID208" s="880"/>
      <c r="IE208" s="880"/>
      <c r="IF208" s="880"/>
      <c r="IG208" s="880"/>
      <c r="IH208" s="880"/>
      <c r="II208" s="880"/>
      <c r="IJ208" s="880"/>
      <c r="IK208" s="880"/>
      <c r="IL208" s="880"/>
      <c r="IM208" s="880"/>
      <c r="IN208" s="880"/>
      <c r="IO208" s="880"/>
      <c r="IP208" s="880"/>
      <c r="IQ208" s="880"/>
      <c r="IR208" s="880"/>
      <c r="IS208" s="880"/>
      <c r="IT208" s="880"/>
      <c r="IU208" s="880"/>
      <c r="IV208" s="880"/>
    </row>
    <row r="209" spans="1:256" s="763" customFormat="1" ht="19.5" customHeight="1">
      <c r="A209" s="2957"/>
      <c r="B209" s="632"/>
      <c r="C209" s="548"/>
      <c r="D209" s="2050"/>
      <c r="E209" s="2050"/>
      <c r="F209" s="2031"/>
      <c r="G209" s="2031"/>
      <c r="H209" s="717"/>
      <c r="I209" s="634"/>
      <c r="J209" s="481" t="s">
        <v>463</v>
      </c>
      <c r="K209" s="2075"/>
      <c r="L209" s="2075"/>
      <c r="M209" s="2075"/>
      <c r="N209" s="2075"/>
      <c r="O209" s="2075"/>
      <c r="P209" s="2075"/>
      <c r="Q209" s="511">
        <v>4</v>
      </c>
      <c r="R209" s="2016" t="s">
        <v>25</v>
      </c>
      <c r="S209" s="718">
        <v>250000</v>
      </c>
      <c r="T209" s="625" t="s">
        <v>0</v>
      </c>
      <c r="U209" s="2075"/>
      <c r="V209" s="504">
        <v>1</v>
      </c>
      <c r="W209" s="625" t="s">
        <v>3</v>
      </c>
      <c r="X209" s="719" t="s">
        <v>1</v>
      </c>
      <c r="Y209" s="871">
        <v>1000</v>
      </c>
      <c r="Z209" s="2016"/>
      <c r="AA209" s="308"/>
      <c r="AB209" s="669"/>
      <c r="AC209" s="880"/>
      <c r="AD209" s="880"/>
      <c r="AE209" s="880"/>
      <c r="AF209" s="880"/>
      <c r="AG209" s="880"/>
      <c r="AH209" s="880"/>
      <c r="AI209" s="880"/>
      <c r="AJ209" s="880"/>
      <c r="AK209" s="880"/>
      <c r="AL209" s="880"/>
      <c r="AM209" s="880"/>
      <c r="AN209" s="880"/>
      <c r="AO209" s="880"/>
      <c r="AP209" s="880"/>
      <c r="AQ209" s="880"/>
      <c r="AR209" s="880"/>
      <c r="AS209" s="880"/>
      <c r="AT209" s="880"/>
      <c r="AU209" s="880"/>
      <c r="AV209" s="880"/>
      <c r="AW209" s="880"/>
      <c r="AX209" s="880"/>
      <c r="AY209" s="880"/>
      <c r="AZ209" s="880"/>
      <c r="BA209" s="880"/>
      <c r="BB209" s="880"/>
      <c r="BC209" s="880"/>
      <c r="BD209" s="880"/>
      <c r="BE209" s="880"/>
      <c r="BF209" s="880"/>
      <c r="BG209" s="880"/>
      <c r="BH209" s="880"/>
      <c r="BI209" s="880"/>
      <c r="BJ209" s="880"/>
      <c r="BK209" s="880"/>
      <c r="BL209" s="880"/>
      <c r="BM209" s="880"/>
      <c r="BN209" s="880"/>
      <c r="BO209" s="880"/>
      <c r="BP209" s="880"/>
      <c r="BQ209" s="880"/>
      <c r="BR209" s="880"/>
      <c r="BS209" s="880"/>
      <c r="BT209" s="880"/>
      <c r="BU209" s="880"/>
      <c r="BV209" s="880"/>
      <c r="BW209" s="880"/>
      <c r="BX209" s="880"/>
      <c r="BY209" s="880"/>
      <c r="BZ209" s="880"/>
      <c r="CA209" s="880"/>
      <c r="CB209" s="880"/>
      <c r="CC209" s="880"/>
      <c r="CD209" s="880"/>
      <c r="CE209" s="880"/>
      <c r="CF209" s="880"/>
      <c r="CG209" s="880"/>
      <c r="CH209" s="880"/>
      <c r="CI209" s="880"/>
      <c r="CJ209" s="880"/>
      <c r="CK209" s="880"/>
      <c r="CL209" s="880"/>
      <c r="CM209" s="880"/>
      <c r="CN209" s="880"/>
      <c r="CO209" s="880"/>
      <c r="CP209" s="880"/>
      <c r="CQ209" s="880"/>
      <c r="CR209" s="880"/>
      <c r="CS209" s="880"/>
      <c r="CT209" s="880"/>
      <c r="CU209" s="880"/>
      <c r="CV209" s="880"/>
      <c r="CW209" s="880"/>
      <c r="CX209" s="880"/>
      <c r="CY209" s="880"/>
      <c r="CZ209" s="880"/>
      <c r="DA209" s="880"/>
      <c r="DB209" s="880"/>
      <c r="DC209" s="880"/>
      <c r="DD209" s="880"/>
      <c r="DE209" s="880"/>
      <c r="DF209" s="880"/>
      <c r="DG209" s="880"/>
      <c r="DH209" s="880"/>
      <c r="DI209" s="880"/>
      <c r="DJ209" s="880"/>
      <c r="DK209" s="880"/>
      <c r="DL209" s="880"/>
      <c r="DM209" s="880"/>
      <c r="DN209" s="880"/>
      <c r="DO209" s="880"/>
      <c r="DP209" s="880"/>
      <c r="DQ209" s="880"/>
      <c r="DR209" s="880"/>
      <c r="DS209" s="880"/>
      <c r="DT209" s="880"/>
      <c r="DU209" s="880"/>
      <c r="DV209" s="880"/>
      <c r="DW209" s="880"/>
      <c r="DX209" s="880"/>
      <c r="DY209" s="880"/>
      <c r="DZ209" s="880"/>
      <c r="EA209" s="880"/>
      <c r="EB209" s="880"/>
      <c r="EC209" s="880"/>
      <c r="ED209" s="880"/>
      <c r="EE209" s="880"/>
      <c r="EF209" s="880"/>
      <c r="EG209" s="880"/>
      <c r="EH209" s="880"/>
      <c r="EI209" s="880"/>
      <c r="EJ209" s="880"/>
      <c r="EK209" s="880"/>
      <c r="EL209" s="880"/>
      <c r="EM209" s="880"/>
      <c r="EN209" s="880"/>
      <c r="EO209" s="880"/>
      <c r="EP209" s="880"/>
      <c r="EQ209" s="880"/>
      <c r="ER209" s="880"/>
      <c r="ES209" s="880"/>
      <c r="ET209" s="880"/>
      <c r="EU209" s="880"/>
      <c r="EV209" s="880"/>
      <c r="EW209" s="880"/>
      <c r="EX209" s="880"/>
      <c r="EY209" s="880"/>
      <c r="EZ209" s="880"/>
      <c r="FA209" s="880"/>
      <c r="FB209" s="880"/>
      <c r="FC209" s="880"/>
      <c r="FD209" s="880"/>
      <c r="FE209" s="880"/>
      <c r="FF209" s="880"/>
      <c r="FG209" s="880"/>
      <c r="FH209" s="880"/>
      <c r="FI209" s="880"/>
      <c r="FJ209" s="880"/>
      <c r="FK209" s="880"/>
      <c r="FL209" s="880"/>
      <c r="FM209" s="880"/>
      <c r="FN209" s="880"/>
      <c r="FO209" s="880"/>
      <c r="FP209" s="880"/>
      <c r="FQ209" s="880"/>
      <c r="FR209" s="880"/>
      <c r="FS209" s="880"/>
      <c r="FT209" s="880"/>
      <c r="FU209" s="880"/>
      <c r="FV209" s="880"/>
      <c r="FW209" s="880"/>
      <c r="FX209" s="880"/>
      <c r="FY209" s="880"/>
      <c r="FZ209" s="880"/>
      <c r="GA209" s="880"/>
      <c r="GB209" s="880"/>
      <c r="GC209" s="880"/>
      <c r="GD209" s="880"/>
      <c r="GE209" s="880"/>
      <c r="GF209" s="880"/>
      <c r="GG209" s="880"/>
      <c r="GH209" s="880"/>
      <c r="GI209" s="880"/>
      <c r="GJ209" s="880"/>
      <c r="GK209" s="880"/>
      <c r="GL209" s="880"/>
      <c r="GM209" s="880"/>
      <c r="GN209" s="880"/>
      <c r="GO209" s="880"/>
      <c r="GP209" s="880"/>
      <c r="GQ209" s="880"/>
      <c r="GR209" s="880"/>
      <c r="GS209" s="880"/>
      <c r="GT209" s="880"/>
      <c r="GU209" s="880"/>
      <c r="GV209" s="880"/>
      <c r="GW209" s="880"/>
      <c r="GX209" s="880"/>
      <c r="GY209" s="880"/>
      <c r="GZ209" s="880"/>
      <c r="HA209" s="880"/>
      <c r="HB209" s="880"/>
      <c r="HC209" s="880"/>
      <c r="HD209" s="880"/>
      <c r="HE209" s="880"/>
      <c r="HF209" s="880"/>
      <c r="HG209" s="880"/>
      <c r="HH209" s="880"/>
      <c r="HI209" s="880"/>
      <c r="HJ209" s="880"/>
      <c r="HK209" s="880"/>
      <c r="HL209" s="880"/>
      <c r="HM209" s="880"/>
      <c r="HN209" s="880"/>
      <c r="HO209" s="880"/>
      <c r="HP209" s="880"/>
      <c r="HQ209" s="880"/>
      <c r="HR209" s="880"/>
      <c r="HS209" s="880"/>
      <c r="HT209" s="880"/>
      <c r="HU209" s="880"/>
      <c r="HV209" s="880"/>
      <c r="HW209" s="880"/>
      <c r="HX209" s="880"/>
      <c r="HY209" s="880"/>
      <c r="HZ209" s="880"/>
      <c r="IA209" s="880"/>
      <c r="IB209" s="880"/>
      <c r="IC209" s="880"/>
      <c r="ID209" s="880"/>
      <c r="IE209" s="880"/>
      <c r="IF209" s="880"/>
      <c r="IG209" s="880"/>
      <c r="IH209" s="880"/>
      <c r="II209" s="880"/>
      <c r="IJ209" s="880"/>
      <c r="IK209" s="880"/>
      <c r="IL209" s="880"/>
      <c r="IM209" s="880"/>
      <c r="IN209" s="880"/>
      <c r="IO209" s="880"/>
      <c r="IP209" s="880"/>
      <c r="IQ209" s="880"/>
      <c r="IR209" s="880"/>
      <c r="IS209" s="880"/>
      <c r="IT209" s="880"/>
      <c r="IU209" s="880"/>
      <c r="IV209" s="880"/>
    </row>
    <row r="210" spans="1:256" ht="19.5" customHeight="1">
      <c r="A210" s="2957"/>
      <c r="B210" s="632"/>
      <c r="C210" s="548"/>
      <c r="D210" s="2050"/>
      <c r="E210" s="2050"/>
      <c r="F210" s="2031"/>
      <c r="G210" s="2031"/>
      <c r="H210" s="717"/>
      <c r="I210" s="634"/>
      <c r="J210" s="2079" t="s">
        <v>464</v>
      </c>
      <c r="K210" s="2093"/>
      <c r="L210" s="2093"/>
      <c r="M210" s="2093"/>
      <c r="N210" s="2093"/>
      <c r="O210" s="2093"/>
      <c r="P210" s="2093"/>
      <c r="Q210" s="511">
        <v>2</v>
      </c>
      <c r="R210" s="2016" t="s">
        <v>25</v>
      </c>
      <c r="S210" s="718">
        <v>200000</v>
      </c>
      <c r="T210" s="625" t="s">
        <v>0</v>
      </c>
      <c r="U210" s="2075"/>
      <c r="V210" s="504">
        <v>2</v>
      </c>
      <c r="W210" s="625" t="s">
        <v>3</v>
      </c>
      <c r="X210" s="719" t="s">
        <v>1</v>
      </c>
      <c r="Y210" s="871">
        <v>400</v>
      </c>
      <c r="Z210" s="2016"/>
      <c r="AB210" s="669"/>
    </row>
    <row r="211" spans="1:256" ht="19.5" customHeight="1">
      <c r="A211" s="2957"/>
      <c r="B211" s="632"/>
      <c r="C211" s="548"/>
      <c r="D211" s="2050"/>
      <c r="E211" s="2050" t="s">
        <v>451</v>
      </c>
      <c r="F211" s="2031">
        <f>Y211</f>
        <v>1600</v>
      </c>
      <c r="G211" s="2031">
        <v>1600</v>
      </c>
      <c r="H211" s="717"/>
      <c r="I211" s="634"/>
      <c r="J211" s="4005" t="s">
        <v>224</v>
      </c>
      <c r="K211" s="4006"/>
      <c r="L211" s="4006"/>
      <c r="M211" s="4006"/>
      <c r="N211" s="2093"/>
      <c r="O211" s="2093"/>
      <c r="P211" s="2093"/>
      <c r="Q211" s="511"/>
      <c r="R211" s="2016"/>
      <c r="S211" s="718"/>
      <c r="T211" s="625"/>
      <c r="U211" s="2075"/>
      <c r="V211" s="504"/>
      <c r="W211" s="625"/>
      <c r="X211" s="719"/>
      <c r="Y211" s="871">
        <f>SUM(Y212:Y213)</f>
        <v>1600</v>
      </c>
      <c r="Z211" s="2016"/>
      <c r="AB211" s="669"/>
    </row>
    <row r="212" spans="1:256" ht="19.5" customHeight="1">
      <c r="A212" s="2957"/>
      <c r="B212" s="632"/>
      <c r="C212" s="548"/>
      <c r="D212" s="2050"/>
      <c r="E212" s="2050"/>
      <c r="F212" s="2031"/>
      <c r="G212" s="2031"/>
      <c r="H212" s="717"/>
      <c r="I212" s="634"/>
      <c r="J212" s="4005" t="s">
        <v>1010</v>
      </c>
      <c r="K212" s="4006"/>
      <c r="L212" s="4006"/>
      <c r="M212" s="4006"/>
      <c r="N212" s="4006"/>
      <c r="O212" s="2093"/>
      <c r="P212" s="2093"/>
      <c r="Q212" s="511"/>
      <c r="R212" s="2016"/>
      <c r="S212" s="718">
        <v>400000</v>
      </c>
      <c r="T212" s="625" t="s">
        <v>0</v>
      </c>
      <c r="U212" s="2075"/>
      <c r="V212" s="504">
        <v>2</v>
      </c>
      <c r="W212" s="625" t="s">
        <v>3</v>
      </c>
      <c r="X212" s="719" t="s">
        <v>1</v>
      </c>
      <c r="Y212" s="871">
        <v>800</v>
      </c>
      <c r="Z212" s="2016"/>
      <c r="AB212" s="669"/>
    </row>
    <row r="213" spans="1:256" ht="19.5" customHeight="1">
      <c r="A213" s="2957"/>
      <c r="B213" s="632"/>
      <c r="C213" s="548"/>
      <c r="D213" s="2050"/>
      <c r="E213" s="2050"/>
      <c r="F213" s="2031"/>
      <c r="G213" s="2031"/>
      <c r="H213" s="717"/>
      <c r="I213" s="634"/>
      <c r="J213" s="4005" t="s">
        <v>1011</v>
      </c>
      <c r="K213" s="4006"/>
      <c r="L213" s="4006"/>
      <c r="M213" s="4006"/>
      <c r="N213" s="4006"/>
      <c r="O213" s="2093"/>
      <c r="P213" s="2093"/>
      <c r="Q213" s="511"/>
      <c r="R213" s="2016"/>
      <c r="S213" s="718">
        <v>400000</v>
      </c>
      <c r="T213" s="625" t="s">
        <v>0</v>
      </c>
      <c r="U213" s="2075"/>
      <c r="V213" s="504">
        <v>2</v>
      </c>
      <c r="W213" s="625" t="s">
        <v>3</v>
      </c>
      <c r="X213" s="719" t="s">
        <v>1</v>
      </c>
      <c r="Y213" s="871">
        <v>800</v>
      </c>
      <c r="Z213" s="2016"/>
      <c r="AB213" s="669"/>
    </row>
    <row r="214" spans="1:256" ht="19.5" customHeight="1">
      <c r="A214" s="2957"/>
      <c r="B214" s="632"/>
      <c r="C214" s="548"/>
      <c r="D214" s="2050"/>
      <c r="E214" s="2050" t="s">
        <v>384</v>
      </c>
      <c r="F214" s="2031">
        <f>Y214</f>
        <v>400</v>
      </c>
      <c r="G214" s="2031">
        <v>400</v>
      </c>
      <c r="H214" s="717"/>
      <c r="I214" s="634"/>
      <c r="J214" s="4005" t="s">
        <v>8</v>
      </c>
      <c r="K214" s="4006"/>
      <c r="L214" s="4006"/>
      <c r="M214" s="4006"/>
      <c r="N214" s="2093"/>
      <c r="O214" s="2093"/>
      <c r="P214" s="2093"/>
      <c r="Q214" s="511"/>
      <c r="R214" s="2016"/>
      <c r="S214" s="718"/>
      <c r="T214" s="625"/>
      <c r="U214" s="2075"/>
      <c r="V214" s="718"/>
      <c r="W214" s="625"/>
      <c r="X214" s="719"/>
      <c r="Y214" s="871">
        <f>SUM(Y215:Y216)</f>
        <v>400</v>
      </c>
      <c r="Z214" s="2016"/>
      <c r="AB214" s="669"/>
    </row>
    <row r="215" spans="1:256" ht="19.5" customHeight="1">
      <c r="A215" s="2957"/>
      <c r="B215" s="632"/>
      <c r="C215" s="548"/>
      <c r="D215" s="2050"/>
      <c r="E215" s="2050"/>
      <c r="F215" s="2031"/>
      <c r="G215" s="2031"/>
      <c r="H215" s="717"/>
      <c r="I215" s="634"/>
      <c r="J215" s="4005" t="s">
        <v>466</v>
      </c>
      <c r="K215" s="4006"/>
      <c r="L215" s="4006"/>
      <c r="M215" s="4006"/>
      <c r="N215" s="2093"/>
      <c r="O215" s="2093"/>
      <c r="P215" s="2093"/>
      <c r="Q215" s="511"/>
      <c r="R215" s="2016"/>
      <c r="S215" s="718">
        <v>100000</v>
      </c>
      <c r="T215" s="625" t="s">
        <v>0</v>
      </c>
      <c r="U215" s="2075"/>
      <c r="V215" s="718">
        <v>2</v>
      </c>
      <c r="W215" s="625" t="s">
        <v>3</v>
      </c>
      <c r="X215" s="719" t="s">
        <v>1</v>
      </c>
      <c r="Y215" s="871">
        <v>200</v>
      </c>
      <c r="Z215" s="2016"/>
      <c r="AB215" s="669"/>
    </row>
    <row r="216" spans="1:256" ht="19.5" customHeight="1">
      <c r="A216" s="2957"/>
      <c r="B216" s="632"/>
      <c r="C216" s="548"/>
      <c r="D216" s="2947"/>
      <c r="E216" s="2947"/>
      <c r="F216" s="722"/>
      <c r="G216" s="722"/>
      <c r="H216" s="723"/>
      <c r="I216" s="634"/>
      <c r="J216" s="3999" t="s">
        <v>1012</v>
      </c>
      <c r="K216" s="3936"/>
      <c r="L216" s="3936"/>
      <c r="M216" s="3936"/>
      <c r="N216" s="2084"/>
      <c r="O216" s="2084"/>
      <c r="P216" s="2084"/>
      <c r="Q216" s="724"/>
      <c r="R216" s="2018"/>
      <c r="S216" s="725">
        <v>100000</v>
      </c>
      <c r="T216" s="726" t="s">
        <v>0</v>
      </c>
      <c r="U216" s="2065"/>
      <c r="V216" s="725">
        <v>2</v>
      </c>
      <c r="W216" s="726" t="s">
        <v>3</v>
      </c>
      <c r="X216" s="727" t="s">
        <v>1</v>
      </c>
      <c r="Y216" s="871">
        <v>200</v>
      </c>
      <c r="Z216" s="2016"/>
      <c r="AB216" s="669"/>
    </row>
    <row r="217" spans="1:256" ht="19.5" customHeight="1">
      <c r="A217" s="2957"/>
      <c r="B217" s="632"/>
      <c r="C217" s="548"/>
      <c r="D217" s="3837" t="s">
        <v>467</v>
      </c>
      <c r="E217" s="3838"/>
      <c r="F217" s="1253">
        <v>10000</v>
      </c>
      <c r="G217" s="1253">
        <v>10000</v>
      </c>
      <c r="H217" s="2021">
        <f>F217-G217</f>
        <v>0</v>
      </c>
      <c r="I217" s="634"/>
      <c r="J217" s="665"/>
      <c r="K217" s="2101"/>
      <c r="L217" s="2101"/>
      <c r="M217" s="2101"/>
      <c r="N217" s="2101"/>
      <c r="O217" s="2101"/>
      <c r="P217" s="645"/>
      <c r="Q217" s="2101"/>
      <c r="R217" s="2101"/>
      <c r="S217" s="645"/>
      <c r="T217" s="2101"/>
      <c r="U217" s="2101"/>
      <c r="V217" s="645"/>
      <c r="W217" s="2101"/>
      <c r="X217" s="666"/>
      <c r="Y217" s="667"/>
      <c r="Z217" s="2016">
        <f>F217*1000</f>
        <v>10000000</v>
      </c>
      <c r="AB217" s="669"/>
    </row>
    <row r="218" spans="1:256" ht="19.5" customHeight="1">
      <c r="A218" s="2957"/>
      <c r="B218" s="632"/>
      <c r="C218" s="548"/>
      <c r="D218" s="2020"/>
      <c r="E218" s="677" t="s">
        <v>264</v>
      </c>
      <c r="F218" s="1921">
        <f>Y218</f>
        <v>2000</v>
      </c>
      <c r="G218" s="989">
        <v>2000</v>
      </c>
      <c r="H218" s="790"/>
      <c r="I218" s="734"/>
      <c r="J218" s="681" t="s">
        <v>459</v>
      </c>
      <c r="K218" s="3016"/>
      <c r="L218" s="3016"/>
      <c r="M218" s="3016"/>
      <c r="N218" s="3228"/>
      <c r="O218" s="3228"/>
      <c r="P218" s="3228"/>
      <c r="Q218" s="684"/>
      <c r="R218" s="684"/>
      <c r="S218" s="684">
        <v>100000</v>
      </c>
      <c r="T218" s="684" t="s">
        <v>0</v>
      </c>
      <c r="U218" s="684"/>
      <c r="V218" s="684">
        <v>20</v>
      </c>
      <c r="W218" s="684" t="s">
        <v>243</v>
      </c>
      <c r="X218" s="686"/>
      <c r="Y218" s="871">
        <f>+S218*V218/1000</f>
        <v>2000</v>
      </c>
      <c r="Z218" s="2016"/>
      <c r="AB218" s="669"/>
    </row>
    <row r="219" spans="1:256" ht="19.5" customHeight="1">
      <c r="A219" s="2957"/>
      <c r="B219" s="2035"/>
      <c r="C219" s="624"/>
      <c r="D219" s="2020"/>
      <c r="E219" s="677" t="s">
        <v>380</v>
      </c>
      <c r="F219" s="989">
        <f>Y219</f>
        <v>8000</v>
      </c>
      <c r="G219" s="989">
        <v>8000</v>
      </c>
      <c r="H219" s="790"/>
      <c r="I219" s="734"/>
      <c r="J219" s="2042" t="s">
        <v>468</v>
      </c>
      <c r="K219" s="2043"/>
      <c r="L219" s="2043"/>
      <c r="M219" s="2043"/>
      <c r="N219" s="2043"/>
      <c r="O219" s="2043"/>
      <c r="P219" s="1093"/>
      <c r="Q219" s="2045">
        <v>16</v>
      </c>
      <c r="R219" s="2045" t="s">
        <v>25</v>
      </c>
      <c r="S219" s="2045">
        <v>100000</v>
      </c>
      <c r="T219" s="2045" t="s">
        <v>0</v>
      </c>
      <c r="U219" s="1093"/>
      <c r="V219" s="2045">
        <v>5</v>
      </c>
      <c r="W219" s="2045" t="s">
        <v>3</v>
      </c>
      <c r="X219" s="2047" t="s">
        <v>1</v>
      </c>
      <c r="Y219" s="871">
        <f>+Q219*S219*V219/1000</f>
        <v>8000</v>
      </c>
      <c r="Z219" s="2016"/>
      <c r="AB219" s="669"/>
    </row>
    <row r="220" spans="1:256" ht="19.5" customHeight="1">
      <c r="A220" s="636"/>
      <c r="B220" s="2035"/>
      <c r="C220" s="1251" t="s">
        <v>93</v>
      </c>
      <c r="D220" s="2950"/>
      <c r="E220" s="2950"/>
      <c r="F220" s="1253">
        <f>F221+F237+F242</f>
        <v>113000</v>
      </c>
      <c r="G220" s="1253">
        <f>G221+G237+G242</f>
        <v>113000</v>
      </c>
      <c r="H220" s="2021">
        <f>F220-G220</f>
        <v>0</v>
      </c>
      <c r="I220" s="2014"/>
      <c r="J220" s="2017"/>
      <c r="K220" s="2065"/>
      <c r="L220" s="2065"/>
      <c r="M220" s="2065"/>
      <c r="N220" s="2065"/>
      <c r="O220" s="2065"/>
      <c r="P220" s="2018"/>
      <c r="Q220" s="2065"/>
      <c r="R220" s="2065"/>
      <c r="S220" s="2018"/>
      <c r="T220" s="2065"/>
      <c r="U220" s="2065"/>
      <c r="V220" s="2018"/>
      <c r="W220" s="2065"/>
      <c r="X220" s="2053"/>
      <c r="Y220" s="667"/>
      <c r="Z220" s="2016">
        <f>F220*1000</f>
        <v>113000000</v>
      </c>
      <c r="AB220" s="669"/>
    </row>
    <row r="221" spans="1:256" ht="19.5" customHeight="1">
      <c r="A221" s="636"/>
      <c r="B221" s="2035"/>
      <c r="C221" s="473"/>
      <c r="D221" s="3996" t="s">
        <v>469</v>
      </c>
      <c r="E221" s="3997"/>
      <c r="F221" s="1730">
        <f>SUM(F222:F236)</f>
        <v>90000</v>
      </c>
      <c r="G221" s="1730">
        <f>SUM(G222:G236)</f>
        <v>90000</v>
      </c>
      <c r="H221" s="933">
        <f>F221-G221</f>
        <v>0</v>
      </c>
      <c r="I221" s="2060"/>
      <c r="J221" s="1074"/>
      <c r="K221" s="2094"/>
      <c r="L221" s="2094"/>
      <c r="M221" s="2094"/>
      <c r="N221" s="2094"/>
      <c r="O221" s="2094"/>
      <c r="P221" s="1075"/>
      <c r="Q221" s="2094"/>
      <c r="R221" s="2094"/>
      <c r="S221" s="1075"/>
      <c r="T221" s="2094"/>
      <c r="U221" s="2094"/>
      <c r="V221" s="1075"/>
      <c r="W221" s="2094"/>
      <c r="X221" s="1260"/>
      <c r="Y221" s="940"/>
      <c r="Z221" s="2016">
        <f>F221*1000</f>
        <v>90000000</v>
      </c>
      <c r="AB221" s="669"/>
    </row>
    <row r="222" spans="1:256" ht="19.5" customHeight="1">
      <c r="A222" s="636"/>
      <c r="B222" s="2035"/>
      <c r="C222" s="473"/>
      <c r="D222" s="676"/>
      <c r="E222" s="2132" t="s">
        <v>81</v>
      </c>
      <c r="F222" s="1921">
        <f>Y222</f>
        <v>26400</v>
      </c>
      <c r="G222" s="1921">
        <v>26400</v>
      </c>
      <c r="H222" s="1024"/>
      <c r="I222" s="2060"/>
      <c r="J222" s="604" t="s">
        <v>2496</v>
      </c>
      <c r="K222" s="605"/>
      <c r="L222" s="605"/>
      <c r="M222" s="605"/>
      <c r="N222" s="2074"/>
      <c r="O222" s="2074"/>
      <c r="P222" s="2074"/>
      <c r="Q222" s="609">
        <v>1</v>
      </c>
      <c r="R222" s="607" t="s">
        <v>25</v>
      </c>
      <c r="S222" s="609">
        <v>2200000</v>
      </c>
      <c r="T222" s="609" t="s">
        <v>0</v>
      </c>
      <c r="U222" s="609" t="s">
        <v>20</v>
      </c>
      <c r="V222" s="609">
        <v>12</v>
      </c>
      <c r="W222" s="609" t="s">
        <v>2</v>
      </c>
      <c r="X222" s="610" t="s">
        <v>1</v>
      </c>
      <c r="Y222" s="3659">
        <v>26400</v>
      </c>
      <c r="Z222" s="3123"/>
      <c r="AB222" s="669"/>
    </row>
    <row r="223" spans="1:256" ht="19.5" customHeight="1">
      <c r="A223" s="636"/>
      <c r="B223" s="2035"/>
      <c r="C223" s="473"/>
      <c r="D223" s="676"/>
      <c r="E223" s="677" t="s">
        <v>57</v>
      </c>
      <c r="F223" s="989">
        <f>Y223</f>
        <v>1980</v>
      </c>
      <c r="G223" s="989">
        <v>1980</v>
      </c>
      <c r="H223" s="790"/>
      <c r="I223" s="2060"/>
      <c r="J223" s="3628" t="s">
        <v>94</v>
      </c>
      <c r="K223" s="3626"/>
      <c r="L223" s="3626"/>
      <c r="M223" s="3626"/>
      <c r="N223" s="3626"/>
      <c r="O223" s="3626"/>
      <c r="P223" s="2075"/>
      <c r="Q223" s="2075"/>
      <c r="R223" s="3629"/>
      <c r="S223" s="3629">
        <v>495</v>
      </c>
      <c r="T223" s="3629" t="s">
        <v>0</v>
      </c>
      <c r="U223" s="2075"/>
      <c r="V223" s="3629">
        <v>4000</v>
      </c>
      <c r="W223" s="3629" t="s">
        <v>69</v>
      </c>
      <c r="X223" s="2030" t="s">
        <v>1</v>
      </c>
      <c r="Y223" s="3110">
        <v>1980</v>
      </c>
      <c r="Z223" s="3123"/>
      <c r="AB223" s="669"/>
    </row>
    <row r="224" spans="1:256" ht="19.5" customHeight="1">
      <c r="A224" s="636"/>
      <c r="B224" s="2035"/>
      <c r="C224" s="473"/>
      <c r="D224" s="676"/>
      <c r="E224" s="677" t="s">
        <v>80</v>
      </c>
      <c r="F224" s="989">
        <f>Y224</f>
        <v>27830</v>
      </c>
      <c r="G224" s="989">
        <v>23320</v>
      </c>
      <c r="H224" s="790">
        <f>F224-G224</f>
        <v>4510</v>
      </c>
      <c r="I224" s="2060"/>
      <c r="J224" s="3628" t="s">
        <v>8</v>
      </c>
      <c r="K224" s="3626"/>
      <c r="L224" s="3626"/>
      <c r="M224" s="3626"/>
      <c r="N224" s="2075"/>
      <c r="O224" s="2075"/>
      <c r="P224" s="2075"/>
      <c r="Q224" s="3629"/>
      <c r="R224" s="3621"/>
      <c r="S224" s="3621" t="s">
        <v>20</v>
      </c>
      <c r="T224" s="3629" t="s">
        <v>20</v>
      </c>
      <c r="U224" s="3629" t="s">
        <v>20</v>
      </c>
      <c r="V224" s="3629" t="s">
        <v>20</v>
      </c>
      <c r="W224" s="3629" t="s">
        <v>20</v>
      </c>
      <c r="X224" s="2030" t="s">
        <v>20</v>
      </c>
      <c r="Y224" s="896">
        <v>27830</v>
      </c>
      <c r="Z224" s="3123"/>
      <c r="AB224" s="669"/>
    </row>
    <row r="225" spans="1:28" ht="19.5" customHeight="1">
      <c r="A225" s="636"/>
      <c r="B225" s="2035"/>
      <c r="C225" s="473"/>
      <c r="D225" s="676"/>
      <c r="E225" s="677"/>
      <c r="F225" s="989"/>
      <c r="G225" s="989"/>
      <c r="H225" s="1021"/>
      <c r="I225" s="2060"/>
      <c r="J225" s="3628" t="s">
        <v>2497</v>
      </c>
      <c r="K225" s="3626"/>
      <c r="L225" s="3626"/>
      <c r="M225" s="3626"/>
      <c r="N225" s="3626"/>
      <c r="O225" s="2075"/>
      <c r="P225" s="3629"/>
      <c r="Q225" s="2075"/>
      <c r="R225" s="3629"/>
      <c r="S225" s="3629">
        <v>5500</v>
      </c>
      <c r="T225" s="3629" t="s">
        <v>0</v>
      </c>
      <c r="U225" s="2075"/>
      <c r="V225" s="3629">
        <v>5000</v>
      </c>
      <c r="W225" s="3629" t="s">
        <v>64</v>
      </c>
      <c r="X225" s="2030" t="s">
        <v>1</v>
      </c>
      <c r="Y225" s="3110">
        <v>27500</v>
      </c>
      <c r="Z225" s="3123"/>
      <c r="AB225" s="669"/>
    </row>
    <row r="226" spans="1:28" ht="19.5" customHeight="1">
      <c r="A226" s="636"/>
      <c r="B226" s="2035"/>
      <c r="C226" s="473"/>
      <c r="D226" s="676"/>
      <c r="E226" s="677"/>
      <c r="F226" s="989"/>
      <c r="G226" s="989"/>
      <c r="H226" s="1021"/>
      <c r="I226" s="2060"/>
      <c r="J226" s="3628" t="s">
        <v>5873</v>
      </c>
      <c r="K226" s="3626"/>
      <c r="L226" s="3626"/>
      <c r="M226" s="3626"/>
      <c r="N226" s="3626"/>
      <c r="O226" s="3109"/>
      <c r="P226" s="2075"/>
      <c r="Q226" s="2075"/>
      <c r="R226" s="3629"/>
      <c r="S226" s="3629">
        <v>330000</v>
      </c>
      <c r="T226" s="3629" t="s">
        <v>0</v>
      </c>
      <c r="U226" s="2075"/>
      <c r="V226" s="3629">
        <v>1</v>
      </c>
      <c r="W226" s="3629" t="s">
        <v>6</v>
      </c>
      <c r="X226" s="2030" t="s">
        <v>1</v>
      </c>
      <c r="Y226" s="3110">
        <v>330</v>
      </c>
      <c r="Z226" s="3123"/>
      <c r="AB226" s="669"/>
    </row>
    <row r="227" spans="1:28" ht="19.5" customHeight="1">
      <c r="A227" s="636"/>
      <c r="B227" s="2035"/>
      <c r="C227" s="473"/>
      <c r="D227" s="676"/>
      <c r="E227" s="677" t="s">
        <v>95</v>
      </c>
      <c r="F227" s="989">
        <f>Y227</f>
        <v>2150</v>
      </c>
      <c r="G227" s="989">
        <v>2800</v>
      </c>
      <c r="H227" s="790">
        <f>F227-G227</f>
        <v>-650</v>
      </c>
      <c r="I227" s="2060"/>
      <c r="J227" s="3628" t="s">
        <v>8</v>
      </c>
      <c r="K227" s="3626"/>
      <c r="L227" s="3626"/>
      <c r="M227" s="3626"/>
      <c r="N227" s="2075"/>
      <c r="O227" s="2075"/>
      <c r="P227" s="2075"/>
      <c r="Q227" s="3629"/>
      <c r="R227" s="3621"/>
      <c r="S227" s="3629"/>
      <c r="T227" s="3629"/>
      <c r="U227" s="3629"/>
      <c r="V227" s="3629"/>
      <c r="W227" s="3629"/>
      <c r="X227" s="2030"/>
      <c r="Y227" s="896">
        <v>2150</v>
      </c>
      <c r="Z227" s="3123"/>
      <c r="AB227" s="669"/>
    </row>
    <row r="228" spans="1:28" ht="19.5" customHeight="1">
      <c r="A228" s="636"/>
      <c r="B228" s="2035"/>
      <c r="C228" s="473"/>
      <c r="D228" s="676"/>
      <c r="E228" s="677"/>
      <c r="F228" s="989"/>
      <c r="G228" s="989"/>
      <c r="H228" s="1021"/>
      <c r="I228" s="2060"/>
      <c r="J228" s="3628" t="s">
        <v>2498</v>
      </c>
      <c r="K228" s="3626"/>
      <c r="L228" s="3626"/>
      <c r="M228" s="3626"/>
      <c r="N228" s="3626"/>
      <c r="O228" s="3626"/>
      <c r="P228" s="2075"/>
      <c r="Q228" s="2075">
        <v>1</v>
      </c>
      <c r="R228" s="3629" t="s">
        <v>28</v>
      </c>
      <c r="S228" s="3629">
        <v>15000</v>
      </c>
      <c r="T228" s="3629" t="s">
        <v>0</v>
      </c>
      <c r="U228" s="2075"/>
      <c r="V228" s="3629">
        <v>90</v>
      </c>
      <c r="W228" s="3629" t="s">
        <v>66</v>
      </c>
      <c r="X228" s="2030" t="s">
        <v>1</v>
      </c>
      <c r="Y228" s="3110">
        <v>1350</v>
      </c>
      <c r="Z228" s="3123"/>
      <c r="AB228" s="669"/>
    </row>
    <row r="229" spans="1:28" ht="19.5" customHeight="1">
      <c r="A229" s="636"/>
      <c r="B229" s="2035"/>
      <c r="C229" s="473"/>
      <c r="D229" s="676"/>
      <c r="E229" s="677"/>
      <c r="F229" s="989"/>
      <c r="G229" s="989"/>
      <c r="H229" s="1021"/>
      <c r="I229" s="2060"/>
      <c r="J229" s="3628" t="s">
        <v>2499</v>
      </c>
      <c r="K229" s="3626"/>
      <c r="L229" s="3626"/>
      <c r="M229" s="3626"/>
      <c r="N229" s="3626"/>
      <c r="O229" s="3626"/>
      <c r="P229" s="2075"/>
      <c r="Q229" s="2075"/>
      <c r="R229" s="3629"/>
      <c r="S229" s="3629">
        <v>200000</v>
      </c>
      <c r="T229" s="3629" t="s">
        <v>0</v>
      </c>
      <c r="U229" s="2075"/>
      <c r="V229" s="3629">
        <v>4</v>
      </c>
      <c r="W229" s="3629" t="s">
        <v>3</v>
      </c>
      <c r="X229" s="2030" t="s">
        <v>1</v>
      </c>
      <c r="Y229" s="3110">
        <v>800</v>
      </c>
      <c r="Z229" s="3123"/>
      <c r="AB229" s="669"/>
    </row>
    <row r="230" spans="1:28" ht="19.5" customHeight="1">
      <c r="A230" s="636"/>
      <c r="B230" s="2035"/>
      <c r="C230" s="473"/>
      <c r="D230" s="676"/>
      <c r="E230" s="677" t="s">
        <v>82</v>
      </c>
      <c r="F230" s="989">
        <f>Y230</f>
        <v>7200</v>
      </c>
      <c r="G230" s="989">
        <v>7200</v>
      </c>
      <c r="H230" s="1021"/>
      <c r="I230" s="2060"/>
      <c r="J230" s="3628" t="s">
        <v>8</v>
      </c>
      <c r="K230" s="3626"/>
      <c r="L230" s="3626"/>
      <c r="M230" s="3626"/>
      <c r="N230" s="2075"/>
      <c r="O230" s="2075"/>
      <c r="P230" s="2075"/>
      <c r="Q230" s="3629"/>
      <c r="R230" s="3621"/>
      <c r="S230" s="3629"/>
      <c r="T230" s="3629"/>
      <c r="U230" s="3629"/>
      <c r="V230" s="3629"/>
      <c r="W230" s="3629"/>
      <c r="X230" s="2030"/>
      <c r="Y230" s="896">
        <v>7200</v>
      </c>
      <c r="Z230" s="3123"/>
      <c r="AB230" s="669"/>
    </row>
    <row r="231" spans="1:28" ht="19.5" customHeight="1">
      <c r="A231" s="636"/>
      <c r="B231" s="2035"/>
      <c r="C231" s="473"/>
      <c r="D231" s="676"/>
      <c r="E231" s="677"/>
      <c r="F231" s="989"/>
      <c r="G231" s="989"/>
      <c r="H231" s="1021"/>
      <c r="I231" s="2060"/>
      <c r="J231" s="3628" t="s">
        <v>2500</v>
      </c>
      <c r="K231" s="3626"/>
      <c r="L231" s="3626"/>
      <c r="M231" s="3626"/>
      <c r="N231" s="3626"/>
      <c r="O231" s="3626"/>
      <c r="P231" s="2075"/>
      <c r="Q231" s="2075"/>
      <c r="R231" s="3629"/>
      <c r="S231" s="3629">
        <v>500000</v>
      </c>
      <c r="T231" s="3629" t="s">
        <v>0</v>
      </c>
      <c r="U231" s="2075"/>
      <c r="V231" s="3629">
        <v>8</v>
      </c>
      <c r="W231" s="3629" t="s">
        <v>2</v>
      </c>
      <c r="X231" s="2030" t="s">
        <v>1</v>
      </c>
      <c r="Y231" s="3110">
        <v>4000</v>
      </c>
      <c r="Z231" s="3123"/>
      <c r="AB231" s="669"/>
    </row>
    <row r="232" spans="1:28" ht="19.5" customHeight="1">
      <c r="A232" s="636"/>
      <c r="B232" s="2035"/>
      <c r="C232" s="473"/>
      <c r="D232" s="676"/>
      <c r="E232" s="677"/>
      <c r="F232" s="989"/>
      <c r="G232" s="989"/>
      <c r="H232" s="1021"/>
      <c r="I232" s="2598"/>
      <c r="J232" s="3628" t="s">
        <v>2501</v>
      </c>
      <c r="K232" s="3626"/>
      <c r="L232" s="3626"/>
      <c r="M232" s="3626"/>
      <c r="N232" s="3626"/>
      <c r="O232" s="3626"/>
      <c r="P232" s="2075"/>
      <c r="Q232" s="2075"/>
      <c r="R232" s="3629"/>
      <c r="S232" s="3629">
        <v>400000</v>
      </c>
      <c r="T232" s="3629" t="s">
        <v>0</v>
      </c>
      <c r="U232" s="2075"/>
      <c r="V232" s="3629">
        <v>8</v>
      </c>
      <c r="W232" s="3629" t="s">
        <v>2</v>
      </c>
      <c r="X232" s="2030" t="s">
        <v>1</v>
      </c>
      <c r="Y232" s="3110">
        <v>3200</v>
      </c>
      <c r="Z232" s="3123"/>
      <c r="AB232" s="669"/>
    </row>
    <row r="233" spans="1:28" ht="19.5" customHeight="1">
      <c r="A233" s="636"/>
      <c r="B233" s="2035"/>
      <c r="C233" s="473"/>
      <c r="D233" s="676"/>
      <c r="E233" s="677" t="s">
        <v>58</v>
      </c>
      <c r="F233" s="989">
        <f>Y233</f>
        <v>23140</v>
      </c>
      <c r="G233" s="989">
        <v>27000</v>
      </c>
      <c r="H233" s="790">
        <f>F233-G233</f>
        <v>-3860</v>
      </c>
      <c r="I233" s="2598"/>
      <c r="J233" s="3628" t="s">
        <v>96</v>
      </c>
      <c r="K233" s="3626"/>
      <c r="L233" s="3626"/>
      <c r="M233" s="3626"/>
      <c r="N233" s="3626"/>
      <c r="O233" s="3626"/>
      <c r="P233" s="2075"/>
      <c r="Q233" s="2075">
        <v>1</v>
      </c>
      <c r="R233" s="3629" t="s">
        <v>5874</v>
      </c>
      <c r="S233" s="3629">
        <v>289250</v>
      </c>
      <c r="T233" s="3629" t="s">
        <v>0</v>
      </c>
      <c r="U233" s="2075"/>
      <c r="V233" s="3629">
        <v>80</v>
      </c>
      <c r="W233" s="3629" t="s">
        <v>66</v>
      </c>
      <c r="X233" s="2030" t="s">
        <v>1</v>
      </c>
      <c r="Y233" s="3110">
        <v>23140</v>
      </c>
      <c r="Z233" s="3123"/>
      <c r="AB233" s="669"/>
    </row>
    <row r="234" spans="1:28" ht="19.5" customHeight="1">
      <c r="A234" s="636"/>
      <c r="B234" s="2035"/>
      <c r="C234" s="473"/>
      <c r="D234" s="676"/>
      <c r="E234" s="677" t="s">
        <v>71</v>
      </c>
      <c r="F234" s="989">
        <f>Y234</f>
        <v>100</v>
      </c>
      <c r="G234" s="989">
        <v>100</v>
      </c>
      <c r="H234" s="1021"/>
      <c r="I234" s="2060"/>
      <c r="J234" s="3628" t="s">
        <v>5875</v>
      </c>
      <c r="K234" s="3626"/>
      <c r="L234" s="3626"/>
      <c r="M234" s="3626"/>
      <c r="N234" s="2075"/>
      <c r="O234" s="2075"/>
      <c r="P234" s="2075"/>
      <c r="Q234" s="3629"/>
      <c r="R234" s="3621"/>
      <c r="S234" s="3629">
        <v>100000</v>
      </c>
      <c r="T234" s="3629" t="s">
        <v>5876</v>
      </c>
      <c r="U234" s="3629"/>
      <c r="V234" s="3629">
        <v>1</v>
      </c>
      <c r="W234" s="3629" t="s">
        <v>5877</v>
      </c>
      <c r="X234" s="2030" t="s">
        <v>5878</v>
      </c>
      <c r="Y234" s="896">
        <v>100</v>
      </c>
      <c r="Z234" s="3123"/>
      <c r="AB234" s="669"/>
    </row>
    <row r="235" spans="1:28" ht="19.5" customHeight="1">
      <c r="A235" s="636"/>
      <c r="B235" s="2035"/>
      <c r="C235" s="473"/>
      <c r="D235" s="676"/>
      <c r="E235" s="677" t="s">
        <v>4227</v>
      </c>
      <c r="F235" s="989">
        <f>Y235</f>
        <v>600</v>
      </c>
      <c r="G235" s="989">
        <v>600</v>
      </c>
      <c r="H235" s="1021"/>
      <c r="I235" s="3377"/>
      <c r="J235" s="3628" t="s">
        <v>5879</v>
      </c>
      <c r="K235" s="3626"/>
      <c r="L235" s="3626"/>
      <c r="M235" s="3626"/>
      <c r="N235" s="3626"/>
      <c r="O235" s="3626"/>
      <c r="P235" s="2075"/>
      <c r="Q235" s="2075">
        <v>10</v>
      </c>
      <c r="R235" s="3629" t="s">
        <v>5874</v>
      </c>
      <c r="S235" s="3629">
        <v>10000</v>
      </c>
      <c r="T235" s="3629" t="s">
        <v>5876</v>
      </c>
      <c r="U235" s="2075"/>
      <c r="V235" s="3629">
        <v>6</v>
      </c>
      <c r="W235" s="3629" t="s">
        <v>5877</v>
      </c>
      <c r="X235" s="2030" t="s">
        <v>5878</v>
      </c>
      <c r="Y235" s="3110">
        <v>600</v>
      </c>
      <c r="Z235" s="3123"/>
      <c r="AB235" s="669"/>
    </row>
    <row r="236" spans="1:28" ht="19.5" customHeight="1">
      <c r="A236" s="636"/>
      <c r="B236" s="2035"/>
      <c r="C236" s="473"/>
      <c r="D236" s="676"/>
      <c r="E236" s="2039" t="s">
        <v>61</v>
      </c>
      <c r="F236" s="2570">
        <f>Y236</f>
        <v>600</v>
      </c>
      <c r="G236" s="2570">
        <v>600</v>
      </c>
      <c r="H236" s="1000"/>
      <c r="I236" s="1093"/>
      <c r="J236" s="2960" t="s">
        <v>97</v>
      </c>
      <c r="K236" s="3622"/>
      <c r="L236" s="3622"/>
      <c r="M236" s="3622"/>
      <c r="N236" s="3622"/>
      <c r="O236" s="2065"/>
      <c r="P236" s="618"/>
      <c r="Q236" s="2065">
        <v>15</v>
      </c>
      <c r="R236" s="618" t="s">
        <v>25</v>
      </c>
      <c r="S236" s="618">
        <v>20000</v>
      </c>
      <c r="T236" s="618" t="s">
        <v>0</v>
      </c>
      <c r="U236" s="2065"/>
      <c r="V236" s="618">
        <v>2</v>
      </c>
      <c r="W236" s="618" t="s">
        <v>3</v>
      </c>
      <c r="X236" s="619" t="s">
        <v>1</v>
      </c>
      <c r="Y236" s="478">
        <v>600</v>
      </c>
      <c r="Z236" s="3123"/>
      <c r="AB236" s="669"/>
    </row>
    <row r="237" spans="1:28" ht="22.5" customHeight="1">
      <c r="A237" s="636"/>
      <c r="B237" s="2035"/>
      <c r="C237" s="631"/>
      <c r="D237" s="4000" t="s">
        <v>98</v>
      </c>
      <c r="E237" s="3912"/>
      <c r="F237" s="1587">
        <f>SUM(F238:F241)</f>
        <v>10000</v>
      </c>
      <c r="G237" s="1587">
        <f>SUM(G238:G241)</f>
        <v>10000</v>
      </c>
      <c r="H237" s="495">
        <f t="shared" ref="H237:H242" si="15">F237-G237</f>
        <v>0</v>
      </c>
      <c r="I237" s="634"/>
      <c r="J237" s="2017"/>
      <c r="K237" s="2065"/>
      <c r="L237" s="2065"/>
      <c r="M237" s="2065"/>
      <c r="N237" s="2065"/>
      <c r="O237" s="1359"/>
      <c r="P237" s="2070"/>
      <c r="Q237" s="1360"/>
      <c r="R237" s="2070"/>
      <c r="S237" s="1359"/>
      <c r="T237" s="2065"/>
      <c r="U237" s="1359"/>
      <c r="V237" s="2065"/>
      <c r="W237" s="2065"/>
      <c r="X237" s="2601"/>
      <c r="Y237" s="2602"/>
      <c r="Z237" s="2016">
        <f>F237*1000</f>
        <v>10000000</v>
      </c>
      <c r="AB237" s="669"/>
    </row>
    <row r="238" spans="1:28" ht="22.5" customHeight="1">
      <c r="A238" s="636"/>
      <c r="B238" s="2035"/>
      <c r="C238" s="2075"/>
      <c r="D238" s="2050"/>
      <c r="E238" s="624" t="s">
        <v>264</v>
      </c>
      <c r="F238" s="590">
        <v>2500</v>
      </c>
      <c r="G238" s="590">
        <v>2500</v>
      </c>
      <c r="H238" s="643"/>
      <c r="I238" s="634"/>
      <c r="J238" s="1590" t="s">
        <v>470</v>
      </c>
      <c r="K238" s="473"/>
      <c r="L238" s="2075"/>
      <c r="M238" s="2075"/>
      <c r="N238" s="474"/>
      <c r="O238" s="474"/>
      <c r="P238" s="473"/>
      <c r="Q238" s="475"/>
      <c r="R238" s="473"/>
      <c r="S238" s="474">
        <v>1000</v>
      </c>
      <c r="T238" s="473" t="s">
        <v>37</v>
      </c>
      <c r="U238" s="473"/>
      <c r="V238" s="473">
        <v>2000</v>
      </c>
      <c r="W238" s="473" t="s">
        <v>457</v>
      </c>
      <c r="X238" s="542" t="s">
        <v>38</v>
      </c>
      <c r="Y238" s="483">
        <v>2000</v>
      </c>
      <c r="Z238" s="2016"/>
      <c r="AB238" s="669"/>
    </row>
    <row r="239" spans="1:28" ht="22.5" customHeight="1">
      <c r="A239" s="636"/>
      <c r="B239" s="2035"/>
      <c r="C239" s="2075"/>
      <c r="D239" s="2050"/>
      <c r="E239" s="624" t="s">
        <v>58</v>
      </c>
      <c r="F239" s="590">
        <v>3500</v>
      </c>
      <c r="G239" s="590">
        <v>3500</v>
      </c>
      <c r="H239" s="643"/>
      <c r="I239" s="634"/>
      <c r="J239" s="3994" t="s">
        <v>100</v>
      </c>
      <c r="K239" s="3995"/>
      <c r="L239" s="3995"/>
      <c r="M239" s="3995"/>
      <c r="N239" s="474"/>
      <c r="O239" s="474"/>
      <c r="P239" s="473"/>
      <c r="Q239" s="475">
        <v>10</v>
      </c>
      <c r="R239" s="2106" t="s">
        <v>25</v>
      </c>
      <c r="S239" s="474">
        <v>400000</v>
      </c>
      <c r="T239" s="473" t="s">
        <v>0</v>
      </c>
      <c r="U239" s="473"/>
      <c r="V239" s="473">
        <v>1</v>
      </c>
      <c r="W239" s="473" t="s">
        <v>3</v>
      </c>
      <c r="X239" s="542" t="s">
        <v>1</v>
      </c>
      <c r="Y239" s="483">
        <f>+Q239*S239*V239/1000</f>
        <v>4000</v>
      </c>
      <c r="Z239" s="2016">
        <v>6000000</v>
      </c>
      <c r="AB239" s="669"/>
    </row>
    <row r="240" spans="1:28" ht="22.5" customHeight="1">
      <c r="A240" s="636"/>
      <c r="B240" s="2035"/>
      <c r="C240" s="631"/>
      <c r="D240" s="2013"/>
      <c r="E240" s="624" t="s">
        <v>71</v>
      </c>
      <c r="F240" s="1722">
        <v>3500</v>
      </c>
      <c r="G240" s="590">
        <v>3500</v>
      </c>
      <c r="H240" s="643"/>
      <c r="I240" s="634"/>
      <c r="J240" s="472" t="s">
        <v>99</v>
      </c>
      <c r="K240" s="473"/>
      <c r="L240" s="2075"/>
      <c r="M240" s="2075"/>
      <c r="N240" s="474"/>
      <c r="O240" s="474"/>
      <c r="P240" s="473"/>
      <c r="Q240" s="475"/>
      <c r="R240" s="473"/>
      <c r="S240" s="474">
        <v>2000000</v>
      </c>
      <c r="T240" s="473" t="s">
        <v>0</v>
      </c>
      <c r="U240" s="473"/>
      <c r="V240" s="473">
        <v>2</v>
      </c>
      <c r="W240" s="473" t="s">
        <v>3</v>
      </c>
      <c r="X240" s="542" t="s">
        <v>1</v>
      </c>
      <c r="Y240" s="483">
        <f>+S240*V240/1000</f>
        <v>4000</v>
      </c>
      <c r="Z240" s="2016">
        <v>4000000</v>
      </c>
      <c r="AB240" s="669"/>
    </row>
    <row r="241" spans="1:33" ht="22.5" customHeight="1">
      <c r="A241" s="636"/>
      <c r="B241" s="2035"/>
      <c r="C241" s="631"/>
      <c r="D241" s="493"/>
      <c r="E241" s="1331" t="s">
        <v>451</v>
      </c>
      <c r="F241" s="1723">
        <v>500</v>
      </c>
      <c r="G241" s="578">
        <v>500</v>
      </c>
      <c r="H241" s="756"/>
      <c r="I241" s="634"/>
      <c r="J241" s="1342" t="s">
        <v>99</v>
      </c>
      <c r="K241" s="510"/>
      <c r="L241" s="2065"/>
      <c r="M241" s="2065"/>
      <c r="N241" s="617"/>
      <c r="O241" s="617"/>
      <c r="P241" s="510"/>
      <c r="Q241" s="507"/>
      <c r="R241" s="510"/>
      <c r="S241" s="617">
        <v>2000000</v>
      </c>
      <c r="T241" s="510" t="s">
        <v>0</v>
      </c>
      <c r="U241" s="510"/>
      <c r="V241" s="510">
        <v>2</v>
      </c>
      <c r="W241" s="510" t="s">
        <v>3</v>
      </c>
      <c r="X241" s="581" t="s">
        <v>1</v>
      </c>
      <c r="Y241" s="478">
        <f>+S241*V241/1000</f>
        <v>4000</v>
      </c>
      <c r="Z241" s="2016">
        <v>4000000</v>
      </c>
      <c r="AA241" s="308"/>
      <c r="AB241" s="669"/>
      <c r="AC241" s="308"/>
      <c r="AD241" s="308" t="s">
        <v>454</v>
      </c>
      <c r="AE241" s="308" t="s">
        <v>455</v>
      </c>
      <c r="AF241" s="479" t="s">
        <v>456</v>
      </c>
      <c r="AG241" s="479"/>
    </row>
    <row r="242" spans="1:33" ht="22.5" customHeight="1">
      <c r="A242" s="636"/>
      <c r="B242" s="2035"/>
      <c r="C242" s="473"/>
      <c r="D242" s="3902" t="s">
        <v>101</v>
      </c>
      <c r="E242" s="3903"/>
      <c r="F242" s="2570">
        <f>SUM(F243:F251)</f>
        <v>13000</v>
      </c>
      <c r="G242" s="2570">
        <f>SUM(G243:G251)</f>
        <v>13000</v>
      </c>
      <c r="H242" s="1208">
        <f t="shared" si="15"/>
        <v>0</v>
      </c>
      <c r="I242" s="734"/>
      <c r="J242" s="1115"/>
      <c r="K242" s="1093"/>
      <c r="L242" s="1093"/>
      <c r="M242" s="1093"/>
      <c r="N242" s="1093"/>
      <c r="O242" s="1093"/>
      <c r="P242" s="1116"/>
      <c r="Q242" s="1093"/>
      <c r="R242" s="1093"/>
      <c r="S242" s="1116"/>
      <c r="T242" s="1093"/>
      <c r="U242" s="1093"/>
      <c r="V242" s="1116"/>
      <c r="W242" s="1093"/>
      <c r="X242" s="1378"/>
      <c r="Y242" s="929"/>
      <c r="Z242" s="2016">
        <f>F242*1000</f>
        <v>13000000</v>
      </c>
      <c r="AB242" s="669"/>
    </row>
    <row r="243" spans="1:33" ht="22.5" customHeight="1">
      <c r="A243" s="636"/>
      <c r="B243" s="2035"/>
      <c r="C243" s="473"/>
      <c r="D243" s="693"/>
      <c r="E243" s="677" t="s">
        <v>80</v>
      </c>
      <c r="F243" s="989">
        <f>+Y243</f>
        <v>1900</v>
      </c>
      <c r="G243" s="989">
        <v>1900</v>
      </c>
      <c r="H243" s="1021"/>
      <c r="I243" s="734"/>
      <c r="J243" s="681" t="s">
        <v>3487</v>
      </c>
      <c r="K243" s="682"/>
      <c r="L243" s="682"/>
      <c r="M243" s="682"/>
      <c r="N243" s="709"/>
      <c r="O243" s="709"/>
      <c r="P243" s="709"/>
      <c r="Q243" s="684"/>
      <c r="R243" s="685"/>
      <c r="S243" s="684"/>
      <c r="T243" s="684"/>
      <c r="U243" s="709"/>
      <c r="V243" s="684"/>
      <c r="W243" s="684"/>
      <c r="X243" s="686"/>
      <c r="Y243" s="871">
        <v>1900</v>
      </c>
      <c r="Z243" s="2016"/>
      <c r="AB243" s="669"/>
    </row>
    <row r="244" spans="1:33" ht="22.5" customHeight="1">
      <c r="A244" s="636"/>
      <c r="B244" s="2035"/>
      <c r="C244" s="473"/>
      <c r="D244" s="693"/>
      <c r="E244" s="677"/>
      <c r="F244" s="989"/>
      <c r="G244" s="989"/>
      <c r="H244" s="1021"/>
      <c r="I244" s="734"/>
      <c r="J244" s="681" t="s">
        <v>3488</v>
      </c>
      <c r="K244" s="682"/>
      <c r="L244" s="682"/>
      <c r="M244" s="682"/>
      <c r="N244" s="709"/>
      <c r="O244" s="709"/>
      <c r="P244" s="709"/>
      <c r="Q244" s="684"/>
      <c r="R244" s="685"/>
      <c r="S244" s="684">
        <v>1400000</v>
      </c>
      <c r="T244" s="684" t="s">
        <v>0</v>
      </c>
      <c r="U244" s="709"/>
      <c r="V244" s="2096">
        <v>1</v>
      </c>
      <c r="W244" s="684" t="s">
        <v>6</v>
      </c>
      <c r="X244" s="686" t="s">
        <v>1</v>
      </c>
      <c r="Y244" s="871">
        <f>+S244*V244/1000</f>
        <v>1400</v>
      </c>
      <c r="Z244" s="2016"/>
      <c r="AB244" s="669"/>
    </row>
    <row r="245" spans="1:33" ht="22.5" customHeight="1">
      <c r="A245" s="636"/>
      <c r="B245" s="2035"/>
      <c r="C245" s="473"/>
      <c r="D245" s="693"/>
      <c r="E245" s="677"/>
      <c r="F245" s="989"/>
      <c r="G245" s="989"/>
      <c r="H245" s="1021"/>
      <c r="I245" s="734"/>
      <c r="J245" s="681" t="s">
        <v>3489</v>
      </c>
      <c r="K245" s="682"/>
      <c r="L245" s="682"/>
      <c r="M245" s="682"/>
      <c r="N245" s="709"/>
      <c r="O245" s="709"/>
      <c r="P245" s="709"/>
      <c r="Q245" s="684"/>
      <c r="R245" s="685"/>
      <c r="S245" s="684">
        <v>500000</v>
      </c>
      <c r="T245" s="684" t="s">
        <v>0</v>
      </c>
      <c r="U245" s="709"/>
      <c r="V245" s="684">
        <v>1</v>
      </c>
      <c r="W245" s="684" t="s">
        <v>6</v>
      </c>
      <c r="X245" s="686" t="s">
        <v>1</v>
      </c>
      <c r="Y245" s="871">
        <f>+S245*V245/1000</f>
        <v>500</v>
      </c>
      <c r="Z245" s="2016"/>
      <c r="AB245" s="669"/>
    </row>
    <row r="246" spans="1:33" ht="22.5" customHeight="1">
      <c r="A246" s="636"/>
      <c r="B246" s="2035"/>
      <c r="C246" s="473"/>
      <c r="D246" s="693"/>
      <c r="E246" s="677" t="s">
        <v>3490</v>
      </c>
      <c r="F246" s="989">
        <f>+Y246</f>
        <v>2300</v>
      </c>
      <c r="G246" s="989">
        <v>2300</v>
      </c>
      <c r="H246" s="1021"/>
      <c r="I246" s="734"/>
      <c r="J246" s="681" t="s">
        <v>3491</v>
      </c>
      <c r="K246" s="682"/>
      <c r="L246" s="682"/>
      <c r="M246" s="682"/>
      <c r="N246" s="709"/>
      <c r="O246" s="709"/>
      <c r="P246" s="709"/>
      <c r="Q246" s="684"/>
      <c r="R246" s="685"/>
      <c r="S246" s="684"/>
      <c r="T246" s="684"/>
      <c r="U246" s="709"/>
      <c r="V246" s="684"/>
      <c r="W246" s="684"/>
      <c r="X246" s="686"/>
      <c r="Y246" s="871">
        <v>2300</v>
      </c>
      <c r="Z246" s="2016"/>
      <c r="AB246" s="669"/>
    </row>
    <row r="247" spans="1:33" ht="22.5" customHeight="1">
      <c r="A247" s="636"/>
      <c r="B247" s="2035"/>
      <c r="C247" s="473"/>
      <c r="D247" s="693"/>
      <c r="E247" s="677"/>
      <c r="F247" s="989"/>
      <c r="G247" s="989"/>
      <c r="H247" s="1021"/>
      <c r="I247" s="734"/>
      <c r="J247" s="681" t="s">
        <v>3492</v>
      </c>
      <c r="K247" s="682"/>
      <c r="L247" s="682"/>
      <c r="M247" s="682"/>
      <c r="N247" s="709"/>
      <c r="O247" s="709"/>
      <c r="P247" s="709"/>
      <c r="Q247" s="684">
        <v>6</v>
      </c>
      <c r="R247" s="685" t="s">
        <v>3493</v>
      </c>
      <c r="S247" s="684">
        <v>300000</v>
      </c>
      <c r="T247" s="684" t="s">
        <v>0</v>
      </c>
      <c r="U247" s="709"/>
      <c r="V247" s="684">
        <v>1</v>
      </c>
      <c r="W247" s="684" t="s">
        <v>3</v>
      </c>
      <c r="X247" s="686" t="s">
        <v>1</v>
      </c>
      <c r="Y247" s="871">
        <f>+Q247*S247*V247/1000</f>
        <v>1800</v>
      </c>
      <c r="Z247" s="2016"/>
      <c r="AB247" s="669"/>
    </row>
    <row r="248" spans="1:33" ht="22.5" customHeight="1">
      <c r="A248" s="636"/>
      <c r="B248" s="2035"/>
      <c r="C248" s="473"/>
      <c r="D248" s="693"/>
      <c r="E248" s="677"/>
      <c r="F248" s="989"/>
      <c r="G248" s="989"/>
      <c r="H248" s="1021"/>
      <c r="I248" s="734"/>
      <c r="J248" s="681" t="s">
        <v>3494</v>
      </c>
      <c r="K248" s="682"/>
      <c r="L248" s="682"/>
      <c r="M248" s="682"/>
      <c r="N248" s="709"/>
      <c r="O248" s="709"/>
      <c r="P248" s="709"/>
      <c r="Q248" s="684">
        <v>5</v>
      </c>
      <c r="R248" s="685" t="s">
        <v>3493</v>
      </c>
      <c r="S248" s="684">
        <v>100000</v>
      </c>
      <c r="T248" s="684" t="s">
        <v>0</v>
      </c>
      <c r="U248" s="709"/>
      <c r="V248" s="684">
        <v>1</v>
      </c>
      <c r="W248" s="684" t="s">
        <v>3</v>
      </c>
      <c r="X248" s="686" t="s">
        <v>1</v>
      </c>
      <c r="Y248" s="871">
        <f>+Q248*S248*V248/1000</f>
        <v>500</v>
      </c>
      <c r="Z248" s="2016"/>
      <c r="AB248" s="669"/>
    </row>
    <row r="249" spans="1:33" ht="22.5" customHeight="1">
      <c r="A249" s="636"/>
      <c r="B249" s="2035"/>
      <c r="C249" s="473"/>
      <c r="D249" s="693"/>
      <c r="E249" s="677" t="s">
        <v>71</v>
      </c>
      <c r="F249" s="989">
        <f>+Y249</f>
        <v>7000</v>
      </c>
      <c r="G249" s="989">
        <v>7000</v>
      </c>
      <c r="H249" s="1021"/>
      <c r="I249" s="734"/>
      <c r="J249" s="681" t="s">
        <v>102</v>
      </c>
      <c r="K249" s="682"/>
      <c r="L249" s="682"/>
      <c r="M249" s="682"/>
      <c r="N249" s="709"/>
      <c r="O249" s="709"/>
      <c r="P249" s="709"/>
      <c r="Q249" s="684"/>
      <c r="R249" s="685"/>
      <c r="S249" s="684">
        <v>7000000</v>
      </c>
      <c r="T249" s="684" t="s">
        <v>0</v>
      </c>
      <c r="U249" s="709"/>
      <c r="V249" s="684">
        <v>1</v>
      </c>
      <c r="W249" s="684" t="s">
        <v>6</v>
      </c>
      <c r="X249" s="686" t="s">
        <v>1</v>
      </c>
      <c r="Y249" s="871">
        <f>+S249*V249/1000</f>
        <v>7000</v>
      </c>
      <c r="Z249" s="2016"/>
      <c r="AB249" s="669"/>
    </row>
    <row r="250" spans="1:33" ht="22.5" customHeight="1">
      <c r="A250" s="636"/>
      <c r="B250" s="2035"/>
      <c r="C250" s="473"/>
      <c r="D250" s="676"/>
      <c r="E250" s="677" t="s">
        <v>70</v>
      </c>
      <c r="F250" s="989">
        <f>+Y250</f>
        <v>1000</v>
      </c>
      <c r="G250" s="989">
        <v>1000</v>
      </c>
      <c r="H250" s="1021"/>
      <c r="I250" s="734"/>
      <c r="J250" s="681" t="s">
        <v>103</v>
      </c>
      <c r="K250" s="682"/>
      <c r="L250" s="682"/>
      <c r="M250" s="682"/>
      <c r="N250" s="709"/>
      <c r="O250" s="709"/>
      <c r="P250" s="709"/>
      <c r="Q250" s="684"/>
      <c r="R250" s="685"/>
      <c r="S250" s="684">
        <v>50000</v>
      </c>
      <c r="T250" s="684" t="s">
        <v>0</v>
      </c>
      <c r="U250" s="709"/>
      <c r="V250" s="684">
        <v>20</v>
      </c>
      <c r="W250" s="684" t="s">
        <v>64</v>
      </c>
      <c r="X250" s="686" t="s">
        <v>1</v>
      </c>
      <c r="Y250" s="871">
        <f>+S250*V250/1000</f>
        <v>1000</v>
      </c>
      <c r="Z250" s="2016"/>
      <c r="AB250" s="669"/>
    </row>
    <row r="251" spans="1:33" ht="22.5" customHeight="1">
      <c r="A251" s="636"/>
      <c r="B251" s="2035"/>
      <c r="C251" s="473"/>
      <c r="D251" s="693"/>
      <c r="E251" s="677" t="s">
        <v>61</v>
      </c>
      <c r="F251" s="2570">
        <f>+Y251</f>
        <v>800</v>
      </c>
      <c r="G251" s="2570">
        <v>800</v>
      </c>
      <c r="H251" s="1000"/>
      <c r="I251" s="734"/>
      <c r="J251" s="2042" t="s">
        <v>88</v>
      </c>
      <c r="K251" s="2043"/>
      <c r="L251" s="2043"/>
      <c r="M251" s="2043"/>
      <c r="N251" s="1093"/>
      <c r="O251" s="1093"/>
      <c r="P251" s="1093"/>
      <c r="Q251" s="2045"/>
      <c r="R251" s="2046"/>
      <c r="S251" s="2511">
        <v>400000</v>
      </c>
      <c r="T251" s="2045" t="s">
        <v>0</v>
      </c>
      <c r="U251" s="2045" t="s">
        <v>20</v>
      </c>
      <c r="V251" s="2045">
        <v>2</v>
      </c>
      <c r="W251" s="2045" t="s">
        <v>3</v>
      </c>
      <c r="X251" s="2047" t="s">
        <v>1</v>
      </c>
      <c r="Y251" s="981">
        <f>+S251*V251/1000</f>
        <v>800</v>
      </c>
      <c r="Z251" s="2016"/>
      <c r="AB251" s="669"/>
    </row>
    <row r="252" spans="1:33" ht="22.5" customHeight="1">
      <c r="A252" s="636"/>
      <c r="B252" s="2035"/>
      <c r="C252" s="1251" t="s">
        <v>1034</v>
      </c>
      <c r="D252" s="2936"/>
      <c r="E252" s="2937"/>
      <c r="F252" s="1587">
        <f>+F253+F266+F273</f>
        <v>213000</v>
      </c>
      <c r="G252" s="1587">
        <f>G253+G266+G273</f>
        <v>213000</v>
      </c>
      <c r="H252" s="2021">
        <f>F252-G252</f>
        <v>0</v>
      </c>
      <c r="I252" s="1899"/>
      <c r="J252" s="2017"/>
      <c r="K252" s="2065"/>
      <c r="L252" s="2065"/>
      <c r="M252" s="2065"/>
      <c r="N252" s="2065"/>
      <c r="O252" s="2065"/>
      <c r="P252" s="2018"/>
      <c r="Q252" s="2065"/>
      <c r="R252" s="2065"/>
      <c r="S252" s="2018"/>
      <c r="T252" s="2065"/>
      <c r="U252" s="2065"/>
      <c r="V252" s="2018"/>
      <c r="W252" s="2065"/>
      <c r="X252" s="2053"/>
      <c r="Y252" s="2054"/>
      <c r="Z252" s="2016">
        <f>F252*1000</f>
        <v>213000000</v>
      </c>
      <c r="AB252" s="669"/>
    </row>
    <row r="253" spans="1:33" ht="22.5" customHeight="1">
      <c r="A253" s="636"/>
      <c r="B253" s="1591"/>
      <c r="C253" s="473"/>
      <c r="D253" s="3837" t="s">
        <v>104</v>
      </c>
      <c r="E253" s="3838"/>
      <c r="F253" s="1253">
        <f>SUM(F254:F265)</f>
        <v>154000</v>
      </c>
      <c r="G253" s="1253">
        <f>SUM(G254:G265)</f>
        <v>154000</v>
      </c>
      <c r="H253" s="2021">
        <f>F253-G253</f>
        <v>0</v>
      </c>
      <c r="I253" s="1899"/>
      <c r="J253" s="2025"/>
      <c r="K253" s="2068"/>
      <c r="L253" s="2068"/>
      <c r="M253" s="2068"/>
      <c r="N253" s="2068"/>
      <c r="O253" s="2068"/>
      <c r="P253" s="2101"/>
      <c r="Q253" s="2101"/>
      <c r="R253" s="2026"/>
      <c r="S253" s="2026"/>
      <c r="T253" s="2026"/>
      <c r="U253" s="2101"/>
      <c r="V253" s="2026"/>
      <c r="W253" s="2026"/>
      <c r="X253" s="2028"/>
      <c r="Y253" s="517"/>
      <c r="Z253" s="2016">
        <f>F253*1000</f>
        <v>154000000</v>
      </c>
      <c r="AB253" s="669"/>
    </row>
    <row r="254" spans="1:33" ht="22.5" customHeight="1">
      <c r="A254" s="636"/>
      <c r="B254" s="2035"/>
      <c r="C254" s="473"/>
      <c r="D254" s="1592"/>
      <c r="E254" s="1340" t="s">
        <v>81</v>
      </c>
      <c r="F254" s="593">
        <f t="shared" ref="F254:F259" si="16">+Y254</f>
        <v>52800</v>
      </c>
      <c r="G254" s="593">
        <v>52800</v>
      </c>
      <c r="H254" s="534"/>
      <c r="I254" s="1899"/>
      <c r="J254" s="2105" t="s">
        <v>471</v>
      </c>
      <c r="K254" s="2082"/>
      <c r="L254" s="2082"/>
      <c r="M254" s="2082"/>
      <c r="N254" s="2082"/>
      <c r="O254" s="2082"/>
      <c r="P254" s="2075"/>
      <c r="Q254" s="2075">
        <v>2</v>
      </c>
      <c r="R254" s="2106" t="s">
        <v>25</v>
      </c>
      <c r="S254" s="2106">
        <v>2200000</v>
      </c>
      <c r="T254" s="2106" t="s">
        <v>0</v>
      </c>
      <c r="U254" s="2075"/>
      <c r="V254" s="2106">
        <v>12</v>
      </c>
      <c r="W254" s="2106" t="s">
        <v>29</v>
      </c>
      <c r="X254" s="2030" t="s">
        <v>1</v>
      </c>
      <c r="Y254" s="483">
        <f>+Q254*S254*V254/1000</f>
        <v>52800</v>
      </c>
      <c r="Z254" s="2016">
        <f>Y254*1000</f>
        <v>52800000</v>
      </c>
      <c r="AB254" s="669"/>
    </row>
    <row r="255" spans="1:33" ht="22.5" customHeight="1">
      <c r="A255" s="636"/>
      <c r="B255" s="2035"/>
      <c r="C255" s="473"/>
      <c r="D255" s="1457"/>
      <c r="E255" s="2023" t="s">
        <v>27</v>
      </c>
      <c r="F255" s="593">
        <f t="shared" si="16"/>
        <v>12500</v>
      </c>
      <c r="G255" s="593">
        <v>12500</v>
      </c>
      <c r="H255" s="534"/>
      <c r="I255" s="1899"/>
      <c r="J255" s="2105" t="s">
        <v>472</v>
      </c>
      <c r="K255" s="2082"/>
      <c r="L255" s="2082"/>
      <c r="M255" s="2082"/>
      <c r="N255" s="2082"/>
      <c r="O255" s="2082"/>
      <c r="P255" s="2075"/>
      <c r="Q255" s="2075"/>
      <c r="R255" s="2106"/>
      <c r="S255" s="2106">
        <v>25000000000</v>
      </c>
      <c r="T255" s="2106" t="s">
        <v>0</v>
      </c>
      <c r="U255" s="2075"/>
      <c r="V255" s="1372">
        <v>0.05</v>
      </c>
      <c r="W255" s="2106" t="s">
        <v>105</v>
      </c>
      <c r="X255" s="2030" t="s">
        <v>1</v>
      </c>
      <c r="Y255" s="483">
        <f>+S255*V255/1000/100</f>
        <v>12500</v>
      </c>
      <c r="Z255" s="2016">
        <f t="shared" ref="Z255:Z265" si="17">Y255*1000</f>
        <v>12500000</v>
      </c>
      <c r="AB255" s="669"/>
    </row>
    <row r="256" spans="1:33" ht="22.5" customHeight="1">
      <c r="A256" s="636"/>
      <c r="B256" s="2035"/>
      <c r="C256" s="473"/>
      <c r="D256" s="2034"/>
      <c r="E256" s="2023" t="s">
        <v>80</v>
      </c>
      <c r="F256" s="593">
        <f t="shared" si="16"/>
        <v>2900</v>
      </c>
      <c r="G256" s="593">
        <v>2900</v>
      </c>
      <c r="H256" s="534"/>
      <c r="I256" s="1899"/>
      <c r="J256" s="2105" t="s">
        <v>473</v>
      </c>
      <c r="K256" s="2082"/>
      <c r="L256" s="2082"/>
      <c r="M256" s="2082"/>
      <c r="N256" s="2082"/>
      <c r="O256" s="2082"/>
      <c r="P256" s="2075"/>
      <c r="Q256" s="2075"/>
      <c r="R256" s="2106"/>
      <c r="S256" s="2106">
        <v>2900000</v>
      </c>
      <c r="T256" s="2106" t="s">
        <v>0</v>
      </c>
      <c r="U256" s="2075"/>
      <c r="V256" s="2106">
        <v>1</v>
      </c>
      <c r="W256" s="2106" t="s">
        <v>6</v>
      </c>
      <c r="X256" s="2030" t="s">
        <v>1</v>
      </c>
      <c r="Y256" s="483">
        <f>+S256*V256/1000</f>
        <v>2900</v>
      </c>
      <c r="Z256" s="2016">
        <f t="shared" si="17"/>
        <v>2900000</v>
      </c>
      <c r="AB256" s="669"/>
    </row>
    <row r="257" spans="1:28" ht="22.5" customHeight="1">
      <c r="A257" s="636"/>
      <c r="B257" s="2035"/>
      <c r="C257" s="473"/>
      <c r="D257" s="2034"/>
      <c r="E257" s="2023" t="s">
        <v>82</v>
      </c>
      <c r="F257" s="593">
        <f t="shared" si="16"/>
        <v>3000</v>
      </c>
      <c r="G257" s="593">
        <v>3000</v>
      </c>
      <c r="H257" s="534"/>
      <c r="I257" s="1899"/>
      <c r="J257" s="2105" t="s">
        <v>474</v>
      </c>
      <c r="K257" s="2082"/>
      <c r="L257" s="2082"/>
      <c r="M257" s="2082"/>
      <c r="N257" s="2082"/>
      <c r="O257" s="2082"/>
      <c r="P257" s="2075"/>
      <c r="Q257" s="2075"/>
      <c r="R257" s="2106"/>
      <c r="S257" s="2106">
        <v>3000000</v>
      </c>
      <c r="T257" s="2106" t="s">
        <v>0</v>
      </c>
      <c r="U257" s="2075"/>
      <c r="V257" s="2106">
        <v>1</v>
      </c>
      <c r="W257" s="2106" t="s">
        <v>6</v>
      </c>
      <c r="X257" s="2030" t="s">
        <v>1</v>
      </c>
      <c r="Y257" s="483">
        <f>+S257*V257/1000</f>
        <v>3000</v>
      </c>
      <c r="Z257" s="2016">
        <f t="shared" si="17"/>
        <v>3000000</v>
      </c>
      <c r="AB257" s="669"/>
    </row>
    <row r="258" spans="1:28" ht="22.5" customHeight="1">
      <c r="A258" s="636"/>
      <c r="B258" s="2035"/>
      <c r="C258" s="473"/>
      <c r="D258" s="2034"/>
      <c r="E258" s="2023" t="s">
        <v>58</v>
      </c>
      <c r="F258" s="593">
        <f t="shared" si="16"/>
        <v>8000</v>
      </c>
      <c r="G258" s="593">
        <v>8000</v>
      </c>
      <c r="H258" s="534"/>
      <c r="I258" s="1899"/>
      <c r="J258" s="2105" t="s">
        <v>106</v>
      </c>
      <c r="K258" s="2082"/>
      <c r="L258" s="2082"/>
      <c r="M258" s="2082"/>
      <c r="N258" s="2082"/>
      <c r="O258" s="2082"/>
      <c r="P258" s="2075"/>
      <c r="Q258" s="2075">
        <v>4</v>
      </c>
      <c r="R258" s="2106" t="s">
        <v>25</v>
      </c>
      <c r="S258" s="2106">
        <v>250000</v>
      </c>
      <c r="T258" s="2106" t="s">
        <v>0</v>
      </c>
      <c r="U258" s="2075"/>
      <c r="V258" s="2106">
        <v>8</v>
      </c>
      <c r="W258" s="2106" t="s">
        <v>3</v>
      </c>
      <c r="X258" s="2030" t="s">
        <v>1</v>
      </c>
      <c r="Y258" s="483">
        <f>+Q258*S258*V258/1000</f>
        <v>8000</v>
      </c>
      <c r="Z258" s="2016">
        <f t="shared" si="17"/>
        <v>8000000</v>
      </c>
      <c r="AB258" s="669"/>
    </row>
    <row r="259" spans="1:28" ht="22.5" customHeight="1">
      <c r="A259" s="636"/>
      <c r="B259" s="2035"/>
      <c r="C259" s="473"/>
      <c r="D259" s="2034"/>
      <c r="E259" s="2023" t="s">
        <v>71</v>
      </c>
      <c r="F259" s="593">
        <f t="shared" si="16"/>
        <v>72800</v>
      </c>
      <c r="G259" s="593">
        <v>72800</v>
      </c>
      <c r="H259" s="534"/>
      <c r="I259" s="1899"/>
      <c r="J259" s="2105" t="s">
        <v>8</v>
      </c>
      <c r="K259" s="2082"/>
      <c r="L259" s="2082"/>
      <c r="M259" s="2082"/>
      <c r="N259" s="2082"/>
      <c r="O259" s="2082"/>
      <c r="P259" s="2075"/>
      <c r="Q259" s="2075"/>
      <c r="R259" s="2106"/>
      <c r="S259" s="2106"/>
      <c r="T259" s="2106"/>
      <c r="U259" s="2075"/>
      <c r="V259" s="2106"/>
      <c r="W259" s="2106"/>
      <c r="X259" s="2030"/>
      <c r="Y259" s="483">
        <f>SUM(Y260:Y263)</f>
        <v>72800</v>
      </c>
      <c r="Z259" s="2016">
        <f t="shared" si="17"/>
        <v>72800000</v>
      </c>
      <c r="AB259" s="669"/>
    </row>
    <row r="260" spans="1:28" ht="22.5" customHeight="1">
      <c r="A260" s="636"/>
      <c r="B260" s="2035"/>
      <c r="C260" s="473"/>
      <c r="D260" s="2034"/>
      <c r="E260" s="2023"/>
      <c r="F260" s="593"/>
      <c r="G260" s="593"/>
      <c r="H260" s="534"/>
      <c r="I260" s="1899"/>
      <c r="J260" s="3994" t="s">
        <v>475</v>
      </c>
      <c r="K260" s="3995"/>
      <c r="L260" s="3995"/>
      <c r="M260" s="3995"/>
      <c r="N260" s="2082"/>
      <c r="O260" s="2082"/>
      <c r="P260" s="2075"/>
      <c r="Q260" s="2075"/>
      <c r="R260" s="2106"/>
      <c r="S260" s="2106">
        <v>500000</v>
      </c>
      <c r="T260" s="2106" t="s">
        <v>0</v>
      </c>
      <c r="U260" s="2075"/>
      <c r="V260" s="2106">
        <v>4</v>
      </c>
      <c r="W260" s="2106" t="s">
        <v>3</v>
      </c>
      <c r="X260" s="2030" t="s">
        <v>1</v>
      </c>
      <c r="Y260" s="483">
        <f>+S260*V260/1000</f>
        <v>2000</v>
      </c>
      <c r="Z260" s="2016">
        <f t="shared" si="17"/>
        <v>2000000</v>
      </c>
      <c r="AB260" s="669"/>
    </row>
    <row r="261" spans="1:28" ht="22.5" customHeight="1">
      <c r="A261" s="636"/>
      <c r="B261" s="2035"/>
      <c r="C261" s="473"/>
      <c r="D261" s="2034"/>
      <c r="E261" s="2023"/>
      <c r="F261" s="593"/>
      <c r="G261" s="593"/>
      <c r="H261" s="534"/>
      <c r="I261" s="1899"/>
      <c r="J261" s="3994" t="s">
        <v>476</v>
      </c>
      <c r="K261" s="3995"/>
      <c r="L261" s="3995"/>
      <c r="M261" s="3995"/>
      <c r="N261" s="2082"/>
      <c r="O261" s="2082"/>
      <c r="P261" s="2075"/>
      <c r="Q261" s="2075"/>
      <c r="R261" s="2106"/>
      <c r="S261" s="2106">
        <v>5000000</v>
      </c>
      <c r="T261" s="2106" t="s">
        <v>0</v>
      </c>
      <c r="U261" s="2075"/>
      <c r="V261" s="2106">
        <v>1</v>
      </c>
      <c r="W261" s="2106" t="s">
        <v>6</v>
      </c>
      <c r="X261" s="2030" t="s">
        <v>1</v>
      </c>
      <c r="Y261" s="483">
        <f>+S261*V261/1000</f>
        <v>5000</v>
      </c>
      <c r="Z261" s="2016">
        <f t="shared" si="17"/>
        <v>5000000</v>
      </c>
      <c r="AB261" s="669"/>
    </row>
    <row r="262" spans="1:28" ht="22.5" customHeight="1">
      <c r="A262" s="636"/>
      <c r="B262" s="2035"/>
      <c r="C262" s="473"/>
      <c r="D262" s="2034"/>
      <c r="E262" s="2023"/>
      <c r="F262" s="593"/>
      <c r="G262" s="593"/>
      <c r="H262" s="534"/>
      <c r="I262" s="1899"/>
      <c r="J262" s="3994" t="s">
        <v>477</v>
      </c>
      <c r="K262" s="3995"/>
      <c r="L262" s="3995"/>
      <c r="M262" s="3995"/>
      <c r="N262" s="2082"/>
      <c r="O262" s="2082"/>
      <c r="P262" s="2075"/>
      <c r="Q262" s="2075"/>
      <c r="R262" s="2106"/>
      <c r="S262" s="2106">
        <v>900000</v>
      </c>
      <c r="T262" s="2106" t="s">
        <v>0</v>
      </c>
      <c r="U262" s="2075"/>
      <c r="V262" s="2106">
        <v>12</v>
      </c>
      <c r="W262" s="2106" t="s">
        <v>2</v>
      </c>
      <c r="X262" s="2030" t="s">
        <v>1</v>
      </c>
      <c r="Y262" s="483">
        <f>+S262*V262/1000</f>
        <v>10800</v>
      </c>
      <c r="Z262" s="2016">
        <f t="shared" si="17"/>
        <v>10800000</v>
      </c>
      <c r="AB262" s="669"/>
    </row>
    <row r="263" spans="1:28" ht="22.5" customHeight="1">
      <c r="A263" s="636"/>
      <c r="B263" s="2035"/>
      <c r="C263" s="473"/>
      <c r="D263" s="2034"/>
      <c r="E263" s="2023"/>
      <c r="F263" s="593"/>
      <c r="G263" s="593"/>
      <c r="H263" s="534"/>
      <c r="I263" s="1899"/>
      <c r="J263" s="3994" t="s">
        <v>478</v>
      </c>
      <c r="K263" s="3995"/>
      <c r="L263" s="3995"/>
      <c r="M263" s="3995"/>
      <c r="N263" s="2082"/>
      <c r="O263" s="2082"/>
      <c r="P263" s="2075"/>
      <c r="Q263" s="2075"/>
      <c r="R263" s="2106"/>
      <c r="S263" s="2106">
        <v>5000000</v>
      </c>
      <c r="T263" s="2106" t="s">
        <v>0</v>
      </c>
      <c r="U263" s="2075"/>
      <c r="V263" s="2106">
        <v>11</v>
      </c>
      <c r="W263" s="2106" t="s">
        <v>6</v>
      </c>
      <c r="X263" s="2030" t="s">
        <v>1</v>
      </c>
      <c r="Y263" s="483">
        <f>+S263*V263/1000</f>
        <v>55000</v>
      </c>
      <c r="Z263" s="2016">
        <f t="shared" si="17"/>
        <v>55000000</v>
      </c>
      <c r="AB263" s="669"/>
    </row>
    <row r="264" spans="1:28" ht="22.5" customHeight="1">
      <c r="A264" s="636"/>
      <c r="B264" s="2035"/>
      <c r="C264" s="473"/>
      <c r="D264" s="2034"/>
      <c r="E264" s="2023" t="s">
        <v>60</v>
      </c>
      <c r="F264" s="593">
        <f>+Y264</f>
        <v>1000</v>
      </c>
      <c r="G264" s="593">
        <v>1000</v>
      </c>
      <c r="H264" s="534"/>
      <c r="I264" s="1899"/>
      <c r="J264" s="2105" t="s">
        <v>479</v>
      </c>
      <c r="K264" s="2082"/>
      <c r="L264" s="2082"/>
      <c r="M264" s="2082"/>
      <c r="N264" s="2082"/>
      <c r="O264" s="2082"/>
      <c r="P264" s="2075"/>
      <c r="Q264" s="2075"/>
      <c r="R264" s="2106"/>
      <c r="S264" s="2106">
        <v>100000</v>
      </c>
      <c r="T264" s="2106" t="s">
        <v>0</v>
      </c>
      <c r="U264" s="2075"/>
      <c r="V264" s="2106">
        <v>10</v>
      </c>
      <c r="W264" s="2106" t="s">
        <v>2</v>
      </c>
      <c r="X264" s="2030" t="s">
        <v>1</v>
      </c>
      <c r="Y264" s="483">
        <f>+S264*V264/1000</f>
        <v>1000</v>
      </c>
      <c r="Z264" s="2016">
        <f t="shared" si="17"/>
        <v>1000000</v>
      </c>
      <c r="AB264" s="669"/>
    </row>
    <row r="265" spans="1:28" ht="22.5" customHeight="1">
      <c r="A265" s="636"/>
      <c r="B265" s="2035"/>
      <c r="C265" s="624"/>
      <c r="D265" s="2038"/>
      <c r="E265" s="2023" t="s">
        <v>61</v>
      </c>
      <c r="F265" s="593">
        <f>+Y265</f>
        <v>1000</v>
      </c>
      <c r="G265" s="593">
        <v>1000</v>
      </c>
      <c r="H265" s="1257"/>
      <c r="I265" s="1899"/>
      <c r="J265" s="2105" t="s">
        <v>480</v>
      </c>
      <c r="K265" s="2082"/>
      <c r="L265" s="2082"/>
      <c r="M265" s="2082"/>
      <c r="N265" s="2082"/>
      <c r="O265" s="2082"/>
      <c r="P265" s="2075"/>
      <c r="Q265" s="2075">
        <v>10</v>
      </c>
      <c r="R265" s="2106" t="s">
        <v>25</v>
      </c>
      <c r="S265" s="2106">
        <v>10000</v>
      </c>
      <c r="T265" s="2106" t="s">
        <v>0</v>
      </c>
      <c r="U265" s="2075"/>
      <c r="V265" s="2106">
        <v>10</v>
      </c>
      <c r="W265" s="2106" t="s">
        <v>3</v>
      </c>
      <c r="X265" s="2030" t="s">
        <v>1</v>
      </c>
      <c r="Y265" s="483">
        <f>+Q265*S265*V265/1000</f>
        <v>1000</v>
      </c>
      <c r="Z265" s="2016">
        <f t="shared" si="17"/>
        <v>1000000</v>
      </c>
      <c r="AB265" s="669"/>
    </row>
    <row r="266" spans="1:28" ht="22.5" customHeight="1">
      <c r="A266" s="636" t="s">
        <v>378</v>
      </c>
      <c r="B266" s="1591"/>
      <c r="C266" s="564"/>
      <c r="D266" s="3998" t="s">
        <v>107</v>
      </c>
      <c r="E266" s="3998"/>
      <c r="F266" s="1253">
        <f>SUM(F267:F272)</f>
        <v>34000</v>
      </c>
      <c r="G266" s="1253">
        <f>SUM(G267:G272)</f>
        <v>34000</v>
      </c>
      <c r="H266" s="2021">
        <f>F266-G266</f>
        <v>0</v>
      </c>
      <c r="I266" s="1899"/>
      <c r="J266" s="665"/>
      <c r="K266" s="2101"/>
      <c r="L266" s="2101"/>
      <c r="M266" s="2101"/>
      <c r="N266" s="2101"/>
      <c r="O266" s="2101"/>
      <c r="P266" s="645"/>
      <c r="Q266" s="2101"/>
      <c r="R266" s="2101"/>
      <c r="S266" s="645"/>
      <c r="T266" s="2101"/>
      <c r="U266" s="2101"/>
      <c r="V266" s="645"/>
      <c r="W266" s="2101"/>
      <c r="X266" s="666"/>
      <c r="Y266" s="667"/>
      <c r="Z266" s="2016">
        <f>F266*1000</f>
        <v>34000000</v>
      </c>
      <c r="AB266" s="669"/>
    </row>
    <row r="267" spans="1:28" ht="22.5" customHeight="1">
      <c r="A267" s="636"/>
      <c r="B267" s="2035"/>
      <c r="C267" s="473"/>
      <c r="D267" s="2020"/>
      <c r="E267" s="532" t="s">
        <v>80</v>
      </c>
      <c r="F267" s="593">
        <f>Y267</f>
        <v>10000</v>
      </c>
      <c r="G267" s="593">
        <v>10000</v>
      </c>
      <c r="H267" s="643"/>
      <c r="I267" s="1899"/>
      <c r="J267" s="681" t="s">
        <v>5900</v>
      </c>
      <c r="K267" s="3620"/>
      <c r="L267" s="3620"/>
      <c r="M267" s="3620"/>
      <c r="N267" s="3625"/>
      <c r="O267" s="3625"/>
      <c r="P267" s="3625"/>
      <c r="Q267" s="684"/>
      <c r="R267" s="3624"/>
      <c r="S267" s="684">
        <v>2000000</v>
      </c>
      <c r="T267" s="684" t="s">
        <v>0</v>
      </c>
      <c r="U267" s="3625"/>
      <c r="V267" s="684">
        <v>5</v>
      </c>
      <c r="W267" s="684" t="s">
        <v>3</v>
      </c>
      <c r="X267" s="686" t="s">
        <v>1</v>
      </c>
      <c r="Y267" s="871">
        <f>+S267*V267/1000</f>
        <v>10000</v>
      </c>
      <c r="Z267" s="736">
        <f>Y267*1000</f>
        <v>10000000</v>
      </c>
      <c r="AB267" s="669"/>
    </row>
    <row r="268" spans="1:28" ht="22.5" customHeight="1">
      <c r="A268" s="636"/>
      <c r="B268" s="2035"/>
      <c r="C268" s="473"/>
      <c r="D268" s="2020"/>
      <c r="E268" s="532" t="s">
        <v>82</v>
      </c>
      <c r="F268" s="593">
        <f>Y268</f>
        <v>10000</v>
      </c>
      <c r="G268" s="593">
        <v>24000</v>
      </c>
      <c r="H268" s="643">
        <f>F268-G268</f>
        <v>-14000</v>
      </c>
      <c r="I268" s="1899"/>
      <c r="J268" s="681" t="s">
        <v>8</v>
      </c>
      <c r="K268" s="3620"/>
      <c r="L268" s="3620"/>
      <c r="M268" s="3620"/>
      <c r="N268" s="3625"/>
      <c r="O268" s="3625"/>
      <c r="P268" s="3625"/>
      <c r="Q268" s="684"/>
      <c r="R268" s="3624"/>
      <c r="S268" s="3624" t="s">
        <v>20</v>
      </c>
      <c r="T268" s="684" t="s">
        <v>20</v>
      </c>
      <c r="U268" s="684" t="s">
        <v>20</v>
      </c>
      <c r="V268" s="684" t="s">
        <v>20</v>
      </c>
      <c r="W268" s="684" t="s">
        <v>20</v>
      </c>
      <c r="X268" s="686" t="s">
        <v>20</v>
      </c>
      <c r="Y268" s="2313">
        <f>+Y269+Y270+Y271</f>
        <v>10000</v>
      </c>
      <c r="Z268" s="736">
        <f>Y268*1000</f>
        <v>10000000</v>
      </c>
      <c r="AB268" s="669"/>
    </row>
    <row r="269" spans="1:28" ht="22.5" customHeight="1">
      <c r="A269" s="636"/>
      <c r="B269" s="2035"/>
      <c r="C269" s="564"/>
      <c r="D269" s="2020"/>
      <c r="E269" s="532"/>
      <c r="F269" s="593"/>
      <c r="G269" s="593"/>
      <c r="H269" s="643"/>
      <c r="I269" s="1899"/>
      <c r="J269" s="681" t="s">
        <v>481</v>
      </c>
      <c r="K269" s="3620"/>
      <c r="L269" s="3620"/>
      <c r="M269" s="3620"/>
      <c r="N269" s="3620"/>
      <c r="O269" s="3620"/>
      <c r="P269" s="3625"/>
      <c r="Q269" s="684"/>
      <c r="R269" s="3624"/>
      <c r="S269" s="684">
        <v>1000000</v>
      </c>
      <c r="T269" s="684" t="s">
        <v>0</v>
      </c>
      <c r="U269" s="3625"/>
      <c r="V269" s="684">
        <v>2</v>
      </c>
      <c r="W269" s="684" t="s">
        <v>6</v>
      </c>
      <c r="X269" s="686" t="s">
        <v>1</v>
      </c>
      <c r="Y269" s="871">
        <f>+S269*V269/1000</f>
        <v>2000</v>
      </c>
      <c r="Z269" s="736">
        <f>Y269*1000</f>
        <v>2000000</v>
      </c>
      <c r="AB269" s="669"/>
    </row>
    <row r="270" spans="1:28" ht="22.5" customHeight="1">
      <c r="A270" s="636"/>
      <c r="B270" s="2035"/>
      <c r="C270" s="473"/>
      <c r="D270" s="2020"/>
      <c r="E270" s="532"/>
      <c r="F270" s="593"/>
      <c r="G270" s="593"/>
      <c r="H270" s="554"/>
      <c r="I270" s="1899"/>
      <c r="J270" s="681" t="s">
        <v>482</v>
      </c>
      <c r="K270" s="3620"/>
      <c r="L270" s="3620"/>
      <c r="M270" s="3620"/>
      <c r="N270" s="3620"/>
      <c r="O270" s="3620"/>
      <c r="P270" s="3625"/>
      <c r="Q270" s="684"/>
      <c r="R270" s="3624"/>
      <c r="S270" s="684">
        <v>5000000</v>
      </c>
      <c r="T270" s="684" t="s">
        <v>0</v>
      </c>
      <c r="U270" s="3625"/>
      <c r="V270" s="684">
        <v>1</v>
      </c>
      <c r="W270" s="684" t="s">
        <v>6</v>
      </c>
      <c r="X270" s="686" t="s">
        <v>1</v>
      </c>
      <c r="Y270" s="871">
        <f>+S270*V270/1000</f>
        <v>5000</v>
      </c>
      <c r="Z270" s="736">
        <f>Y270*1000</f>
        <v>5000000</v>
      </c>
      <c r="AB270" s="669"/>
    </row>
    <row r="271" spans="1:28" ht="22.5" customHeight="1">
      <c r="A271" s="636"/>
      <c r="B271" s="2035"/>
      <c r="C271" s="473"/>
      <c r="D271" s="2020"/>
      <c r="E271" s="532"/>
      <c r="F271" s="593"/>
      <c r="G271" s="593"/>
      <c r="H271" s="554"/>
      <c r="I271" s="1899"/>
      <c r="J271" s="681" t="s">
        <v>5901</v>
      </c>
      <c r="K271" s="3620"/>
      <c r="L271" s="3620"/>
      <c r="M271" s="3620"/>
      <c r="N271" s="3620"/>
      <c r="O271" s="3620"/>
      <c r="P271" s="3625"/>
      <c r="Q271" s="684"/>
      <c r="R271" s="3624"/>
      <c r="S271" s="684">
        <v>1500000</v>
      </c>
      <c r="T271" s="684" t="s">
        <v>0</v>
      </c>
      <c r="U271" s="3625"/>
      <c r="V271" s="684">
        <v>2</v>
      </c>
      <c r="W271" s="684" t="s">
        <v>3</v>
      </c>
      <c r="X271" s="686" t="s">
        <v>1</v>
      </c>
      <c r="Y271" s="871">
        <f>+S271*V271/1000</f>
        <v>3000</v>
      </c>
      <c r="Z271" s="736">
        <v>3000000</v>
      </c>
      <c r="AB271" s="669"/>
    </row>
    <row r="272" spans="1:28" ht="22.5" customHeight="1">
      <c r="A272" s="636"/>
      <c r="B272" s="2035"/>
      <c r="C272" s="473"/>
      <c r="D272" s="611"/>
      <c r="E272" s="532" t="s">
        <v>5899</v>
      </c>
      <c r="F272" s="593">
        <f>Y272</f>
        <v>14000</v>
      </c>
      <c r="G272" s="593">
        <v>0</v>
      </c>
      <c r="H272" s="643">
        <f>F272-G272</f>
        <v>14000</v>
      </c>
      <c r="I272" s="1899"/>
      <c r="J272" s="681" t="s">
        <v>5902</v>
      </c>
      <c r="K272" s="3620"/>
      <c r="L272" s="3620"/>
      <c r="M272" s="3620"/>
      <c r="N272" s="3620" t="s">
        <v>5903</v>
      </c>
      <c r="O272" s="3620"/>
      <c r="P272" s="3625"/>
      <c r="Q272" s="684"/>
      <c r="R272" s="3624"/>
      <c r="S272" s="684">
        <v>14000000</v>
      </c>
      <c r="T272" s="684" t="s">
        <v>0</v>
      </c>
      <c r="U272" s="3625"/>
      <c r="V272" s="684">
        <v>1</v>
      </c>
      <c r="W272" s="684" t="s">
        <v>39</v>
      </c>
      <c r="X272" s="686" t="s">
        <v>1</v>
      </c>
      <c r="Y272" s="871">
        <f>+S272*V272/1000</f>
        <v>14000</v>
      </c>
      <c r="Z272" s="736">
        <f>Y272*1000</f>
        <v>14000000</v>
      </c>
      <c r="AB272" s="669"/>
    </row>
    <row r="273" spans="1:28" ht="21.6" customHeight="1">
      <c r="A273" s="2957"/>
      <c r="B273" s="632"/>
      <c r="C273" s="624"/>
      <c r="D273" s="3996" t="s">
        <v>1260</v>
      </c>
      <c r="E273" s="3997"/>
      <c r="F273" s="1730">
        <v>25000</v>
      </c>
      <c r="G273" s="1730">
        <f>SUM(G274:G283)</f>
        <v>25000</v>
      </c>
      <c r="H273" s="933">
        <f>F273-G273</f>
        <v>0</v>
      </c>
      <c r="I273" s="2970"/>
      <c r="J273" s="1074"/>
      <c r="K273" s="2094"/>
      <c r="L273" s="2094"/>
      <c r="M273" s="2094"/>
      <c r="N273" s="2094"/>
      <c r="O273" s="2094"/>
      <c r="P273" s="1075"/>
      <c r="Q273" s="2094"/>
      <c r="R273" s="2094"/>
      <c r="S273" s="1075"/>
      <c r="T273" s="2094"/>
      <c r="U273" s="2094"/>
      <c r="V273" s="1075"/>
      <c r="W273" s="2094"/>
      <c r="X273" s="1260"/>
      <c r="Y273" s="940"/>
      <c r="Z273" s="2016">
        <f>F273*1000</f>
        <v>25000000</v>
      </c>
      <c r="AB273" s="669"/>
    </row>
    <row r="274" spans="1:28" ht="21.6" customHeight="1">
      <c r="A274" s="636"/>
      <c r="B274" s="2035"/>
      <c r="C274" s="473"/>
      <c r="D274" s="2507"/>
      <c r="E274" s="677" t="s">
        <v>81</v>
      </c>
      <c r="F274" s="1921">
        <f>+Y274</f>
        <v>0</v>
      </c>
      <c r="G274" s="989">
        <v>0</v>
      </c>
      <c r="H274" s="1004"/>
      <c r="I274" s="2971"/>
      <c r="J274" s="681" t="s">
        <v>3495</v>
      </c>
      <c r="K274" s="682"/>
      <c r="L274" s="682"/>
      <c r="M274" s="682"/>
      <c r="N274" s="682"/>
      <c r="O274" s="691"/>
      <c r="P274" s="691"/>
      <c r="Q274" s="684">
        <v>1</v>
      </c>
      <c r="R274" s="685" t="s">
        <v>25</v>
      </c>
      <c r="S274" s="684">
        <v>2200000</v>
      </c>
      <c r="T274" s="684" t="s">
        <v>0</v>
      </c>
      <c r="U274" s="709"/>
      <c r="V274" s="684">
        <v>0</v>
      </c>
      <c r="W274" s="684" t="s">
        <v>2</v>
      </c>
      <c r="X274" s="686" t="s">
        <v>1</v>
      </c>
      <c r="Y274" s="871">
        <f>+Q274*S274*V274/1000</f>
        <v>0</v>
      </c>
      <c r="Z274" s="2016"/>
      <c r="AB274" s="669"/>
    </row>
    <row r="275" spans="1:28" ht="21.6" customHeight="1">
      <c r="A275" s="636"/>
      <c r="B275" s="2035"/>
      <c r="C275" s="473"/>
      <c r="D275" s="1456"/>
      <c r="E275" s="677" t="s">
        <v>57</v>
      </c>
      <c r="F275" s="989">
        <f>+Y275</f>
        <v>2500</v>
      </c>
      <c r="G275" s="989">
        <v>2500</v>
      </c>
      <c r="H275" s="1021"/>
      <c r="I275" s="2971"/>
      <c r="J275" s="681" t="s">
        <v>8</v>
      </c>
      <c r="K275" s="682"/>
      <c r="L275" s="682"/>
      <c r="M275" s="682"/>
      <c r="N275" s="691"/>
      <c r="O275" s="691"/>
      <c r="P275" s="691"/>
      <c r="Q275" s="691"/>
      <c r="R275" s="691"/>
      <c r="S275" s="691"/>
      <c r="T275" s="691"/>
      <c r="U275" s="691"/>
      <c r="V275" s="691"/>
      <c r="W275" s="691"/>
      <c r="X275" s="691"/>
      <c r="Y275" s="871">
        <f>SUM(Y276:Y277)</f>
        <v>2500</v>
      </c>
      <c r="Z275" s="2016"/>
      <c r="AB275" s="669"/>
    </row>
    <row r="276" spans="1:28" ht="21.6" customHeight="1">
      <c r="A276" s="636"/>
      <c r="B276" s="2035"/>
      <c r="C276" s="473"/>
      <c r="D276" s="1456"/>
      <c r="E276" s="689"/>
      <c r="F276" s="2599"/>
      <c r="G276" s="2599"/>
      <c r="H276" s="2972"/>
      <c r="I276" s="2971"/>
      <c r="J276" s="681" t="s">
        <v>3496</v>
      </c>
      <c r="K276" s="682"/>
      <c r="L276" s="682"/>
      <c r="M276" s="682"/>
      <c r="N276" s="691"/>
      <c r="O276" s="691"/>
      <c r="P276" s="691"/>
      <c r="Q276" s="691"/>
      <c r="R276" s="691"/>
      <c r="S276" s="684">
        <v>500000</v>
      </c>
      <c r="T276" s="684" t="s">
        <v>0</v>
      </c>
      <c r="U276" s="684"/>
      <c r="V276" s="684">
        <v>1</v>
      </c>
      <c r="W276" s="684" t="s">
        <v>3497</v>
      </c>
      <c r="X276" s="2600" t="s">
        <v>1</v>
      </c>
      <c r="Y276" s="871">
        <f>S276*V276/1000</f>
        <v>500</v>
      </c>
      <c r="Z276" s="2016"/>
      <c r="AB276" s="669"/>
    </row>
    <row r="277" spans="1:28" ht="21.6" customHeight="1">
      <c r="A277" s="636"/>
      <c r="B277" s="2035"/>
      <c r="C277" s="473"/>
      <c r="D277" s="1456"/>
      <c r="E277" s="689"/>
      <c r="F277" s="2599"/>
      <c r="G277" s="2599"/>
      <c r="H277" s="2972"/>
      <c r="I277" s="2971"/>
      <c r="J277" s="681" t="s">
        <v>3498</v>
      </c>
      <c r="K277" s="682"/>
      <c r="L277" s="682"/>
      <c r="M277" s="682"/>
      <c r="N277" s="691"/>
      <c r="O277" s="691"/>
      <c r="P277" s="691"/>
      <c r="Q277" s="684"/>
      <c r="R277" s="685"/>
      <c r="S277" s="684">
        <v>2000</v>
      </c>
      <c r="T277" s="684" t="s">
        <v>0</v>
      </c>
      <c r="U277" s="709"/>
      <c r="V277" s="684">
        <v>1000</v>
      </c>
      <c r="W277" s="684" t="s">
        <v>69</v>
      </c>
      <c r="X277" s="686" t="s">
        <v>1</v>
      </c>
      <c r="Y277" s="871">
        <f>S277*V277/1000</f>
        <v>2000</v>
      </c>
      <c r="Z277" s="2016"/>
      <c r="AB277" s="669"/>
    </row>
    <row r="278" spans="1:28" ht="21.6" customHeight="1">
      <c r="A278" s="636"/>
      <c r="B278" s="2035"/>
      <c r="C278" s="473"/>
      <c r="D278" s="1456"/>
      <c r="E278" s="677" t="s">
        <v>80</v>
      </c>
      <c r="F278" s="989">
        <f>+Y278</f>
        <v>0</v>
      </c>
      <c r="G278" s="989">
        <v>0</v>
      </c>
      <c r="H278" s="1021"/>
      <c r="I278" s="2971"/>
      <c r="J278" s="681" t="s">
        <v>3499</v>
      </c>
      <c r="K278" s="682"/>
      <c r="L278" s="682"/>
      <c r="M278" s="682"/>
      <c r="N278" s="691"/>
      <c r="O278" s="691"/>
      <c r="P278" s="691"/>
      <c r="Q278" s="684"/>
      <c r="R278" s="685"/>
      <c r="S278" s="684">
        <v>1800000</v>
      </c>
      <c r="T278" s="684" t="s">
        <v>0</v>
      </c>
      <c r="U278" s="709"/>
      <c r="V278" s="684">
        <v>0</v>
      </c>
      <c r="W278" s="684" t="s">
        <v>3497</v>
      </c>
      <c r="X278" s="686" t="s">
        <v>1</v>
      </c>
      <c r="Y278" s="871">
        <f>+Q278*S278*V278/1000</f>
        <v>0</v>
      </c>
      <c r="Z278" s="2016"/>
      <c r="AB278" s="669"/>
    </row>
    <row r="279" spans="1:28" ht="21.6" customHeight="1">
      <c r="A279" s="636"/>
      <c r="B279" s="2035"/>
      <c r="C279" s="473"/>
      <c r="D279" s="676"/>
      <c r="E279" s="677" t="s">
        <v>58</v>
      </c>
      <c r="F279" s="989">
        <f>+Y279</f>
        <v>22000</v>
      </c>
      <c r="G279" s="989">
        <v>22000</v>
      </c>
      <c r="H279" s="1021"/>
      <c r="I279" s="2971"/>
      <c r="J279" s="681" t="s">
        <v>8</v>
      </c>
      <c r="K279" s="682"/>
      <c r="L279" s="682"/>
      <c r="M279" s="682"/>
      <c r="N279" s="709"/>
      <c r="O279" s="691"/>
      <c r="P279" s="691"/>
      <c r="Q279" s="691"/>
      <c r="R279" s="691"/>
      <c r="S279" s="691"/>
      <c r="T279" s="691"/>
      <c r="U279" s="691"/>
      <c r="V279" s="691"/>
      <c r="W279" s="691"/>
      <c r="X279" s="691"/>
      <c r="Y279" s="871">
        <f>SUM(Y280:Y282)</f>
        <v>22000</v>
      </c>
      <c r="Z279" s="2016"/>
      <c r="AB279" s="669"/>
    </row>
    <row r="280" spans="1:28" ht="21.6" customHeight="1">
      <c r="A280" s="636"/>
      <c r="B280" s="2035"/>
      <c r="C280" s="473"/>
      <c r="D280" s="676"/>
      <c r="E280" s="689"/>
      <c r="F280" s="2599"/>
      <c r="G280" s="2599"/>
      <c r="H280" s="2972"/>
      <c r="I280" s="2971"/>
      <c r="J280" s="681" t="s">
        <v>3500</v>
      </c>
      <c r="K280" s="682"/>
      <c r="L280" s="682"/>
      <c r="M280" s="682"/>
      <c r="N280" s="682"/>
      <c r="O280" s="691"/>
      <c r="P280" s="691"/>
      <c r="Q280" s="684">
        <v>12</v>
      </c>
      <c r="R280" s="684" t="s">
        <v>33</v>
      </c>
      <c r="S280" s="684">
        <v>10000</v>
      </c>
      <c r="T280" s="684" t="s">
        <v>0</v>
      </c>
      <c r="U280" s="709"/>
      <c r="V280" s="684">
        <v>100</v>
      </c>
      <c r="W280" s="684" t="s">
        <v>3501</v>
      </c>
      <c r="X280" s="686" t="s">
        <v>1</v>
      </c>
      <c r="Y280" s="871">
        <f>+Q280*S280*V280/1000</f>
        <v>12000</v>
      </c>
      <c r="Z280" s="2016"/>
      <c r="AB280" s="669"/>
    </row>
    <row r="281" spans="1:28" ht="21.6" customHeight="1">
      <c r="A281" s="636"/>
      <c r="B281" s="2035"/>
      <c r="C281" s="473"/>
      <c r="D281" s="676"/>
      <c r="E281" s="689"/>
      <c r="F281" s="2599"/>
      <c r="G281" s="2599"/>
      <c r="H281" s="2972"/>
      <c r="I281" s="2971"/>
      <c r="J281" s="681" t="s">
        <v>3502</v>
      </c>
      <c r="K281" s="682"/>
      <c r="L281" s="682"/>
      <c r="M281" s="682"/>
      <c r="N281" s="682"/>
      <c r="O281" s="691"/>
      <c r="P281" s="691"/>
      <c r="Q281" s="684">
        <v>40</v>
      </c>
      <c r="R281" s="685" t="s">
        <v>25</v>
      </c>
      <c r="S281" s="684">
        <v>20000</v>
      </c>
      <c r="T281" s="684" t="s">
        <v>0</v>
      </c>
      <c r="U281" s="709"/>
      <c r="V281" s="684">
        <v>10</v>
      </c>
      <c r="W281" s="684" t="s">
        <v>3501</v>
      </c>
      <c r="X281" s="686" t="s">
        <v>1</v>
      </c>
      <c r="Y281" s="871">
        <f>+Q281*S281*V281/1000</f>
        <v>8000</v>
      </c>
      <c r="Z281" s="2016"/>
      <c r="AB281" s="669"/>
    </row>
    <row r="282" spans="1:28" ht="21.6" customHeight="1">
      <c r="A282" s="636"/>
      <c r="B282" s="2035"/>
      <c r="C282" s="473"/>
      <c r="D282" s="676"/>
      <c r="E282" s="689"/>
      <c r="F282" s="2599"/>
      <c r="G282" s="2599"/>
      <c r="H282" s="2972"/>
      <c r="I282" s="2971"/>
      <c r="J282" s="681" t="s">
        <v>3503</v>
      </c>
      <c r="K282" s="682"/>
      <c r="L282" s="682"/>
      <c r="M282" s="682"/>
      <c r="N282" s="682"/>
      <c r="O282" s="691"/>
      <c r="P282" s="691"/>
      <c r="Q282" s="684">
        <v>4</v>
      </c>
      <c r="R282" s="685" t="s">
        <v>25</v>
      </c>
      <c r="S282" s="684">
        <v>250000</v>
      </c>
      <c r="T282" s="684" t="s">
        <v>0</v>
      </c>
      <c r="U282" s="709"/>
      <c r="V282" s="684">
        <v>2</v>
      </c>
      <c r="W282" s="684" t="s">
        <v>3</v>
      </c>
      <c r="X282" s="686" t="s">
        <v>1</v>
      </c>
      <c r="Y282" s="871">
        <f>+Q282*S282*V282/1000</f>
        <v>2000</v>
      </c>
      <c r="Z282" s="2016"/>
      <c r="AB282" s="669"/>
    </row>
    <row r="283" spans="1:28" ht="21.6" customHeight="1">
      <c r="A283" s="636"/>
      <c r="B283" s="2035"/>
      <c r="C283" s="473"/>
      <c r="D283" s="676"/>
      <c r="E283" s="677" t="s">
        <v>61</v>
      </c>
      <c r="F283" s="989">
        <f>+Y283</f>
        <v>500</v>
      </c>
      <c r="G283" s="989">
        <v>500</v>
      </c>
      <c r="H283" s="1021"/>
      <c r="I283" s="2971"/>
      <c r="J283" s="681" t="s">
        <v>3504</v>
      </c>
      <c r="K283" s="682"/>
      <c r="L283" s="682"/>
      <c r="M283" s="682"/>
      <c r="N283" s="691"/>
      <c r="O283" s="691"/>
      <c r="P283" s="691"/>
      <c r="Q283" s="684">
        <v>5</v>
      </c>
      <c r="R283" s="684" t="s">
        <v>31</v>
      </c>
      <c r="S283" s="684">
        <v>100000</v>
      </c>
      <c r="T283" s="684" t="s">
        <v>0</v>
      </c>
      <c r="U283" s="709"/>
      <c r="V283" s="684">
        <v>1</v>
      </c>
      <c r="W283" s="684" t="s">
        <v>3497</v>
      </c>
      <c r="X283" s="686" t="s">
        <v>1</v>
      </c>
      <c r="Y283" s="871">
        <f>+Q283*S283*V283/1000</f>
        <v>500</v>
      </c>
      <c r="Z283" s="2016"/>
      <c r="AB283" s="669"/>
    </row>
    <row r="284" spans="1:28" ht="21.6" customHeight="1">
      <c r="A284" s="636"/>
      <c r="B284" s="2035"/>
      <c r="C284" s="621" t="s">
        <v>108</v>
      </c>
      <c r="D284" s="2946"/>
      <c r="E284" s="1252"/>
      <c r="F284" s="1253">
        <f>F285+F296+F306</f>
        <v>95000</v>
      </c>
      <c r="G284" s="1253">
        <f>G285+G296+G306</f>
        <v>95000</v>
      </c>
      <c r="H284" s="2021">
        <f>F284-G284</f>
        <v>0</v>
      </c>
      <c r="I284" s="1899"/>
      <c r="J284" s="2025"/>
      <c r="K284" s="2068"/>
      <c r="L284" s="2068"/>
      <c r="M284" s="2068"/>
      <c r="N284" s="2068"/>
      <c r="O284" s="2068"/>
      <c r="P284" s="2101"/>
      <c r="Q284" s="2026"/>
      <c r="R284" s="2027"/>
      <c r="S284" s="2026"/>
      <c r="T284" s="2026"/>
      <c r="U284" s="2101"/>
      <c r="V284" s="2026"/>
      <c r="W284" s="2026"/>
      <c r="X284" s="2028"/>
      <c r="Y284" s="517"/>
      <c r="Z284" s="2016">
        <f>F284*1000</f>
        <v>95000000</v>
      </c>
      <c r="AB284" s="669"/>
    </row>
    <row r="285" spans="1:28" ht="21.6" customHeight="1">
      <c r="A285" s="636"/>
      <c r="B285" s="2035"/>
      <c r="C285" s="473"/>
      <c r="D285" s="3996" t="s">
        <v>109</v>
      </c>
      <c r="E285" s="3997"/>
      <c r="F285" s="2570">
        <f>SUM(F286:F295)</f>
        <v>29000</v>
      </c>
      <c r="G285" s="2570">
        <f>SUM(G286:G295)</f>
        <v>29000</v>
      </c>
      <c r="H285" s="933">
        <f>F285-G285</f>
        <v>0</v>
      </c>
      <c r="I285" s="2970"/>
      <c r="J285" s="1115"/>
      <c r="K285" s="1093"/>
      <c r="L285" s="1093"/>
      <c r="M285" s="1093"/>
      <c r="N285" s="1093"/>
      <c r="O285" s="1093"/>
      <c r="P285" s="1116"/>
      <c r="Q285" s="1093"/>
      <c r="R285" s="1093"/>
      <c r="S285" s="1116"/>
      <c r="T285" s="1093"/>
      <c r="U285" s="1093"/>
      <c r="V285" s="1116"/>
      <c r="W285" s="1093"/>
      <c r="X285" s="1378"/>
      <c r="Y285" s="929"/>
      <c r="Z285" s="2016">
        <f>F285*1000</f>
        <v>29000000</v>
      </c>
      <c r="AB285" s="669"/>
    </row>
    <row r="286" spans="1:28" ht="21.6" customHeight="1">
      <c r="A286" s="636"/>
      <c r="B286" s="2035"/>
      <c r="C286" s="473"/>
      <c r="D286" s="676"/>
      <c r="E286" s="677" t="s">
        <v>57</v>
      </c>
      <c r="F286" s="989">
        <f>+Y286</f>
        <v>11600</v>
      </c>
      <c r="G286" s="989">
        <v>11800</v>
      </c>
      <c r="H286" s="1022">
        <f>F286-G286</f>
        <v>-200</v>
      </c>
      <c r="I286" s="2970"/>
      <c r="J286" s="681" t="s">
        <v>8</v>
      </c>
      <c r="K286" s="3620"/>
      <c r="L286" s="3620"/>
      <c r="M286" s="3620"/>
      <c r="N286" s="3625"/>
      <c r="O286" s="3625"/>
      <c r="P286" s="3625"/>
      <c r="Q286" s="684"/>
      <c r="R286" s="3624"/>
      <c r="S286" s="3624" t="s">
        <v>20</v>
      </c>
      <c r="T286" s="684" t="s">
        <v>20</v>
      </c>
      <c r="U286" s="684" t="s">
        <v>20</v>
      </c>
      <c r="V286" s="684" t="s">
        <v>20</v>
      </c>
      <c r="W286" s="684" t="s">
        <v>20</v>
      </c>
      <c r="X286" s="686" t="s">
        <v>20</v>
      </c>
      <c r="Y286" s="2313">
        <f>+Y287+Y288+Y289+Y290</f>
        <v>11600</v>
      </c>
      <c r="Z286" s="2016">
        <f>SUM(Z287:Z295)</f>
        <v>29000000</v>
      </c>
      <c r="AB286" s="669"/>
    </row>
    <row r="287" spans="1:28" ht="21.6" customHeight="1">
      <c r="A287" s="636"/>
      <c r="B287" s="2035"/>
      <c r="C287" s="473"/>
      <c r="D287" s="676"/>
      <c r="E287" s="677"/>
      <c r="F287" s="989"/>
      <c r="G287" s="989"/>
      <c r="H287" s="1022"/>
      <c r="I287" s="2970"/>
      <c r="J287" s="681" t="s">
        <v>5892</v>
      </c>
      <c r="K287" s="3620"/>
      <c r="L287" s="3620"/>
      <c r="M287" s="3620"/>
      <c r="N287" s="3620"/>
      <c r="O287" s="3620"/>
      <c r="P287" s="3625"/>
      <c r="Q287" s="3625"/>
      <c r="R287" s="684"/>
      <c r="S287" s="684">
        <v>20000</v>
      </c>
      <c r="T287" s="684" t="s">
        <v>0</v>
      </c>
      <c r="U287" s="3625"/>
      <c r="V287" s="684">
        <v>140</v>
      </c>
      <c r="W287" s="684" t="s">
        <v>69</v>
      </c>
      <c r="X287" s="686" t="s">
        <v>1</v>
      </c>
      <c r="Y287" s="871">
        <f t="shared" ref="Y287:Y293" si="18">+S287*V287/1000</f>
        <v>2800</v>
      </c>
      <c r="Z287" s="2016">
        <f>S287*V287</f>
        <v>2800000</v>
      </c>
      <c r="AB287" s="669"/>
    </row>
    <row r="288" spans="1:28" ht="21.6" customHeight="1">
      <c r="A288" s="636"/>
      <c r="B288" s="2035"/>
      <c r="C288" s="473"/>
      <c r="D288" s="676"/>
      <c r="E288" s="677"/>
      <c r="F288" s="989"/>
      <c r="G288" s="989"/>
      <c r="H288" s="1022"/>
      <c r="I288" s="2970"/>
      <c r="J288" s="681" t="s">
        <v>5893</v>
      </c>
      <c r="K288" s="3620"/>
      <c r="L288" s="3620"/>
      <c r="M288" s="3620"/>
      <c r="N288" s="3620"/>
      <c r="O288" s="3620"/>
      <c r="P288" s="3625"/>
      <c r="Q288" s="3625"/>
      <c r="R288" s="684"/>
      <c r="S288" s="684">
        <v>250</v>
      </c>
      <c r="T288" s="684" t="s">
        <v>0</v>
      </c>
      <c r="U288" s="3625"/>
      <c r="V288" s="3627">
        <v>20000</v>
      </c>
      <c r="W288" s="684" t="s">
        <v>69</v>
      </c>
      <c r="X288" s="686" t="s">
        <v>1</v>
      </c>
      <c r="Y288" s="871">
        <f t="shared" si="18"/>
        <v>5000</v>
      </c>
      <c r="Z288" s="2016">
        <f t="shared" ref="Z288:Z295" si="19">S288*V288</f>
        <v>5000000</v>
      </c>
      <c r="AB288" s="669"/>
    </row>
    <row r="289" spans="1:29" ht="21.6" customHeight="1">
      <c r="A289" s="636"/>
      <c r="B289" s="2035"/>
      <c r="C289" s="473"/>
      <c r="D289" s="676"/>
      <c r="E289" s="677"/>
      <c r="F289" s="989"/>
      <c r="G289" s="989"/>
      <c r="H289" s="1022"/>
      <c r="I289" s="2970"/>
      <c r="J289" s="681" t="s">
        <v>5894</v>
      </c>
      <c r="K289" s="3620"/>
      <c r="L289" s="3620"/>
      <c r="M289" s="3620"/>
      <c r="N289" s="3620"/>
      <c r="O289" s="3620"/>
      <c r="P289" s="3625"/>
      <c r="Q289" s="3625"/>
      <c r="R289" s="684"/>
      <c r="S289" s="684">
        <v>280</v>
      </c>
      <c r="T289" s="684" t="s">
        <v>0</v>
      </c>
      <c r="U289" s="3625"/>
      <c r="V289" s="3627">
        <v>10000</v>
      </c>
      <c r="W289" s="684" t="s">
        <v>69</v>
      </c>
      <c r="X289" s="686" t="s">
        <v>1</v>
      </c>
      <c r="Y289" s="871">
        <f t="shared" si="18"/>
        <v>2800</v>
      </c>
      <c r="Z289" s="2016">
        <f t="shared" si="19"/>
        <v>2800000</v>
      </c>
      <c r="AB289" s="669"/>
    </row>
    <row r="290" spans="1:29" ht="21.6" customHeight="1">
      <c r="A290" s="636"/>
      <c r="B290" s="2035"/>
      <c r="C290" s="473"/>
      <c r="D290" s="676"/>
      <c r="E290" s="677"/>
      <c r="F290" s="989"/>
      <c r="G290" s="989"/>
      <c r="H290" s="1022"/>
      <c r="I290" s="2970"/>
      <c r="J290" s="681" t="s">
        <v>5895</v>
      </c>
      <c r="K290" s="3620"/>
      <c r="L290" s="3620"/>
      <c r="M290" s="3620"/>
      <c r="N290" s="3620"/>
      <c r="O290" s="3620"/>
      <c r="P290" s="3625"/>
      <c r="Q290" s="3625"/>
      <c r="R290" s="684"/>
      <c r="S290" s="684">
        <v>400</v>
      </c>
      <c r="T290" s="684" t="s">
        <v>5876</v>
      </c>
      <c r="U290" s="3625"/>
      <c r="V290" s="3627">
        <v>2500</v>
      </c>
      <c r="W290" s="684" t="s">
        <v>5896</v>
      </c>
      <c r="X290" s="686" t="s">
        <v>5878</v>
      </c>
      <c r="Y290" s="871">
        <f t="shared" si="18"/>
        <v>1000</v>
      </c>
      <c r="Z290" s="2016">
        <f t="shared" si="19"/>
        <v>1000000</v>
      </c>
      <c r="AB290" s="669"/>
    </row>
    <row r="291" spans="1:29" ht="21.6" customHeight="1">
      <c r="A291" s="636"/>
      <c r="B291" s="2035"/>
      <c r="C291" s="564"/>
      <c r="D291" s="676"/>
      <c r="E291" s="677" t="s">
        <v>80</v>
      </c>
      <c r="F291" s="989">
        <f>+Y291</f>
        <v>2000</v>
      </c>
      <c r="G291" s="989">
        <v>2000</v>
      </c>
      <c r="H291" s="1022"/>
      <c r="I291" s="2970"/>
      <c r="J291" s="681" t="s">
        <v>110</v>
      </c>
      <c r="K291" s="3620"/>
      <c r="L291" s="3620"/>
      <c r="M291" s="3620"/>
      <c r="N291" s="3620"/>
      <c r="O291" s="3620"/>
      <c r="P291" s="3625"/>
      <c r="Q291" s="3625"/>
      <c r="R291" s="684"/>
      <c r="S291" s="684">
        <v>200000</v>
      </c>
      <c r="T291" s="684" t="s">
        <v>0</v>
      </c>
      <c r="U291" s="3625"/>
      <c r="V291" s="684">
        <v>10</v>
      </c>
      <c r="W291" s="684" t="s">
        <v>3</v>
      </c>
      <c r="X291" s="686" t="s">
        <v>1</v>
      </c>
      <c r="Y291" s="871">
        <f t="shared" si="18"/>
        <v>2000</v>
      </c>
      <c r="Z291" s="2016">
        <f t="shared" si="19"/>
        <v>2000000</v>
      </c>
      <c r="AB291" s="669"/>
    </row>
    <row r="292" spans="1:29" ht="21.6" customHeight="1">
      <c r="A292" s="636"/>
      <c r="B292" s="2035"/>
      <c r="C292" s="564"/>
      <c r="D292" s="676"/>
      <c r="E292" s="677" t="s">
        <v>71</v>
      </c>
      <c r="F292" s="989">
        <f>+Y292</f>
        <v>13000</v>
      </c>
      <c r="G292" s="989">
        <v>13000</v>
      </c>
      <c r="H292" s="1022"/>
      <c r="I292" s="2970"/>
      <c r="J292" s="681" t="s">
        <v>111</v>
      </c>
      <c r="K292" s="3620"/>
      <c r="L292" s="3620"/>
      <c r="M292" s="3620"/>
      <c r="N292" s="3620"/>
      <c r="O292" s="3620"/>
      <c r="P292" s="3625"/>
      <c r="Q292" s="3625"/>
      <c r="R292" s="684"/>
      <c r="S292" s="684">
        <v>1300000</v>
      </c>
      <c r="T292" s="684" t="s">
        <v>0</v>
      </c>
      <c r="U292" s="3625"/>
      <c r="V292" s="684">
        <v>10</v>
      </c>
      <c r="W292" s="684" t="s">
        <v>3</v>
      </c>
      <c r="X292" s="686" t="s">
        <v>1</v>
      </c>
      <c r="Y292" s="871">
        <f t="shared" si="18"/>
        <v>13000</v>
      </c>
      <c r="Z292" s="2016">
        <f t="shared" si="19"/>
        <v>13000000</v>
      </c>
      <c r="AB292" s="669"/>
    </row>
    <row r="293" spans="1:29" ht="21.6" customHeight="1">
      <c r="A293" s="636"/>
      <c r="B293" s="2035"/>
      <c r="C293" s="564"/>
      <c r="D293" s="676"/>
      <c r="E293" s="677" t="s">
        <v>60</v>
      </c>
      <c r="F293" s="989">
        <f>+Y293</f>
        <v>150</v>
      </c>
      <c r="G293" s="989">
        <v>400</v>
      </c>
      <c r="H293" s="1022">
        <f>F293-G293</f>
        <v>-250</v>
      </c>
      <c r="I293" s="2970"/>
      <c r="J293" s="681" t="s">
        <v>112</v>
      </c>
      <c r="K293" s="3620"/>
      <c r="L293" s="3620"/>
      <c r="M293" s="3620"/>
      <c r="N293" s="3620"/>
      <c r="O293" s="3620"/>
      <c r="P293" s="3625"/>
      <c r="Q293" s="3625"/>
      <c r="R293" s="684"/>
      <c r="S293" s="684">
        <v>15000</v>
      </c>
      <c r="T293" s="684" t="s">
        <v>0</v>
      </c>
      <c r="U293" s="3625"/>
      <c r="V293" s="684">
        <v>10</v>
      </c>
      <c r="W293" s="684" t="s">
        <v>3</v>
      </c>
      <c r="X293" s="686" t="s">
        <v>1</v>
      </c>
      <c r="Y293" s="871">
        <f t="shared" si="18"/>
        <v>150</v>
      </c>
      <c r="Z293" s="2016">
        <f t="shared" si="19"/>
        <v>150000</v>
      </c>
      <c r="AB293" s="669"/>
    </row>
    <row r="294" spans="1:29" ht="21.6" customHeight="1">
      <c r="A294" s="636"/>
      <c r="B294" s="2035"/>
      <c r="C294" s="564"/>
      <c r="D294" s="1530"/>
      <c r="E294" s="677" t="s">
        <v>61</v>
      </c>
      <c r="F294" s="989">
        <f>+Y294</f>
        <v>800</v>
      </c>
      <c r="G294" s="989">
        <v>800</v>
      </c>
      <c r="H294" s="1022"/>
      <c r="I294" s="2970"/>
      <c r="J294" s="681" t="s">
        <v>5897</v>
      </c>
      <c r="K294" s="3620"/>
      <c r="L294" s="3620"/>
      <c r="M294" s="3620"/>
      <c r="N294" s="3625"/>
      <c r="O294" s="3625"/>
      <c r="P294" s="3625"/>
      <c r="Q294" s="684"/>
      <c r="R294" s="3624"/>
      <c r="S294" s="684">
        <v>200000</v>
      </c>
      <c r="T294" s="684" t="s">
        <v>0</v>
      </c>
      <c r="U294" s="3625"/>
      <c r="V294" s="684">
        <v>4</v>
      </c>
      <c r="W294" s="684" t="s">
        <v>3</v>
      </c>
      <c r="X294" s="686" t="s">
        <v>1</v>
      </c>
      <c r="Y294" s="871">
        <f>+S294*+V294/1000</f>
        <v>800</v>
      </c>
      <c r="Z294" s="2016">
        <f t="shared" si="19"/>
        <v>800000</v>
      </c>
      <c r="AB294" s="669"/>
    </row>
    <row r="295" spans="1:29" ht="21.6" customHeight="1">
      <c r="A295" s="636"/>
      <c r="B295" s="2035"/>
      <c r="C295" s="564"/>
      <c r="D295" s="1530"/>
      <c r="E295" s="2039" t="s">
        <v>451</v>
      </c>
      <c r="F295" s="2570">
        <f>+Y295</f>
        <v>1450</v>
      </c>
      <c r="G295" s="2570">
        <v>1000</v>
      </c>
      <c r="H295" s="1022">
        <f t="shared" ref="H295" si="20">F295-G295</f>
        <v>450</v>
      </c>
      <c r="I295" s="2970"/>
      <c r="J295" s="2042" t="s">
        <v>5898</v>
      </c>
      <c r="K295" s="2043"/>
      <c r="L295" s="2043"/>
      <c r="M295" s="2043"/>
      <c r="N295" s="2043"/>
      <c r="O295" s="2043"/>
      <c r="P295" s="1093"/>
      <c r="Q295" s="1093"/>
      <c r="R295" s="2045"/>
      <c r="S295" s="2045">
        <v>725000</v>
      </c>
      <c r="T295" s="2045" t="s">
        <v>0</v>
      </c>
      <c r="U295" s="1093"/>
      <c r="V295" s="2045">
        <v>2</v>
      </c>
      <c r="W295" s="2045" t="s">
        <v>3</v>
      </c>
      <c r="X295" s="2047" t="s">
        <v>1</v>
      </c>
      <c r="Y295" s="981">
        <f>+S295*V295/1000</f>
        <v>1450</v>
      </c>
      <c r="Z295" s="2016">
        <f t="shared" si="19"/>
        <v>1450000</v>
      </c>
      <c r="AB295" s="669"/>
    </row>
    <row r="296" spans="1:29" ht="21.6" customHeight="1">
      <c r="A296" s="636"/>
      <c r="B296" s="2035"/>
      <c r="C296" s="564"/>
      <c r="D296" s="3837" t="s">
        <v>113</v>
      </c>
      <c r="E296" s="3838"/>
      <c r="F296" s="1587">
        <f>SUM(F297:F305)</f>
        <v>37000</v>
      </c>
      <c r="G296" s="1587">
        <f>SUM(G297:G305)</f>
        <v>37000</v>
      </c>
      <c r="H296" s="2021">
        <f>F296-G296</f>
        <v>0</v>
      </c>
      <c r="I296" s="1899"/>
      <c r="J296" s="2017"/>
      <c r="K296" s="2065"/>
      <c r="L296" s="2065"/>
      <c r="M296" s="2065"/>
      <c r="N296" s="2065"/>
      <c r="O296" s="2065"/>
      <c r="P296" s="2018"/>
      <c r="Q296" s="2065"/>
      <c r="R296" s="2065"/>
      <c r="S296" s="2018"/>
      <c r="T296" s="2065"/>
      <c r="U296" s="2065"/>
      <c r="V296" s="2018"/>
      <c r="W296" s="2065"/>
      <c r="X296" s="2053"/>
      <c r="Y296" s="2054"/>
      <c r="Z296" s="2016">
        <f>F296*1000</f>
        <v>37000000</v>
      </c>
      <c r="AB296" s="669"/>
    </row>
    <row r="297" spans="1:29" ht="21.6" customHeight="1">
      <c r="A297" s="636"/>
      <c r="B297" s="2035"/>
      <c r="C297" s="564"/>
      <c r="D297" s="506"/>
      <c r="E297" s="2023" t="s">
        <v>27</v>
      </c>
      <c r="F297" s="593">
        <f>+Y297</f>
        <v>100</v>
      </c>
      <c r="G297" s="1588">
        <v>100</v>
      </c>
      <c r="H297" s="1257"/>
      <c r="I297" s="1899"/>
      <c r="J297" s="2105" t="s">
        <v>114</v>
      </c>
      <c r="K297" s="2082"/>
      <c r="L297" s="2082"/>
      <c r="M297" s="2082"/>
      <c r="N297" s="2082"/>
      <c r="O297" s="2082"/>
      <c r="P297" s="2075"/>
      <c r="Q297" s="2075"/>
      <c r="R297" s="2106"/>
      <c r="S297" s="2106">
        <v>100000</v>
      </c>
      <c r="T297" s="2106" t="s">
        <v>0</v>
      </c>
      <c r="U297" s="2075"/>
      <c r="V297" s="2106">
        <v>1</v>
      </c>
      <c r="W297" s="2106" t="s">
        <v>3</v>
      </c>
      <c r="X297" s="2030" t="s">
        <v>1</v>
      </c>
      <c r="Y297" s="483">
        <f>+S297*V297/1000</f>
        <v>100</v>
      </c>
      <c r="Z297" s="2016">
        <v>100000</v>
      </c>
      <c r="AB297" s="669"/>
    </row>
    <row r="298" spans="1:29" ht="21.6" customHeight="1">
      <c r="A298" s="636"/>
      <c r="B298" s="2035"/>
      <c r="C298" s="564"/>
      <c r="D298" s="2020"/>
      <c r="E298" s="2023" t="s">
        <v>80</v>
      </c>
      <c r="F298" s="593">
        <f t="shared" ref="F298:F304" si="21">+Y298</f>
        <v>1600</v>
      </c>
      <c r="G298" s="593">
        <v>1600</v>
      </c>
      <c r="H298" s="1257"/>
      <c r="I298" s="1899"/>
      <c r="J298" s="2105" t="s">
        <v>115</v>
      </c>
      <c r="K298" s="2082"/>
      <c r="L298" s="2082"/>
      <c r="M298" s="2082"/>
      <c r="N298" s="2082"/>
      <c r="O298" s="2082"/>
      <c r="P298" s="2075"/>
      <c r="Q298" s="2075"/>
      <c r="R298" s="2106"/>
      <c r="S298" s="2106">
        <v>100000</v>
      </c>
      <c r="T298" s="2106" t="s">
        <v>0</v>
      </c>
      <c r="U298" s="2075"/>
      <c r="V298" s="2106">
        <v>16</v>
      </c>
      <c r="W298" s="2106" t="s">
        <v>3</v>
      </c>
      <c r="X298" s="2030" t="s">
        <v>1</v>
      </c>
      <c r="Y298" s="483">
        <f>+S298*V298/1000</f>
        <v>1600</v>
      </c>
      <c r="Z298" s="2016">
        <v>1500000</v>
      </c>
      <c r="AB298" s="669"/>
    </row>
    <row r="299" spans="1:29" ht="21.6" customHeight="1">
      <c r="A299" s="636"/>
      <c r="B299" s="2035"/>
      <c r="C299" s="564"/>
      <c r="D299" s="2020"/>
      <c r="E299" s="2023" t="s">
        <v>58</v>
      </c>
      <c r="F299" s="593">
        <f t="shared" si="21"/>
        <v>32000</v>
      </c>
      <c r="G299" s="593">
        <v>32000</v>
      </c>
      <c r="H299" s="1257"/>
      <c r="I299" s="1899"/>
      <c r="J299" s="2105" t="s">
        <v>8</v>
      </c>
      <c r="K299" s="2082"/>
      <c r="L299" s="2082"/>
      <c r="M299" s="2082"/>
      <c r="N299" s="2082"/>
      <c r="O299" s="2082"/>
      <c r="P299" s="2075"/>
      <c r="Q299" s="2106"/>
      <c r="R299" s="2092"/>
      <c r="S299" s="2092" t="s">
        <v>20</v>
      </c>
      <c r="T299" s="2106" t="s">
        <v>20</v>
      </c>
      <c r="U299" s="2106" t="s">
        <v>20</v>
      </c>
      <c r="V299" s="2106" t="s">
        <v>20</v>
      </c>
      <c r="W299" s="2106" t="s">
        <v>20</v>
      </c>
      <c r="X299" s="2030" t="s">
        <v>20</v>
      </c>
      <c r="Y299" s="896">
        <f>+Y300+Y301</f>
        <v>32000</v>
      </c>
      <c r="Z299" s="2016">
        <v>30200000</v>
      </c>
      <c r="AB299" s="669"/>
    </row>
    <row r="300" spans="1:29" ht="21.6" customHeight="1">
      <c r="A300" s="636"/>
      <c r="B300" s="2035"/>
      <c r="C300" s="564"/>
      <c r="D300" s="2020"/>
      <c r="E300" s="2023"/>
      <c r="F300" s="593"/>
      <c r="G300" s="593"/>
      <c r="H300" s="1257"/>
      <c r="I300" s="1899"/>
      <c r="J300" s="2105" t="s">
        <v>483</v>
      </c>
      <c r="K300" s="2082"/>
      <c r="L300" s="2082"/>
      <c r="M300" s="2082"/>
      <c r="N300" s="2082"/>
      <c r="O300" s="2082"/>
      <c r="P300" s="2075"/>
      <c r="Q300" s="2075">
        <v>5</v>
      </c>
      <c r="R300" s="2106" t="s">
        <v>25</v>
      </c>
      <c r="S300" s="2106">
        <v>20000</v>
      </c>
      <c r="T300" s="2106" t="s">
        <v>0</v>
      </c>
      <c r="U300" s="2075"/>
      <c r="V300" s="2106">
        <v>300</v>
      </c>
      <c r="W300" s="2106" t="s">
        <v>66</v>
      </c>
      <c r="X300" s="2030" t="s">
        <v>1</v>
      </c>
      <c r="Y300" s="483">
        <f>+Q300*S300*V300/1000</f>
        <v>30000</v>
      </c>
      <c r="Z300" s="2016">
        <v>28800000</v>
      </c>
      <c r="AB300" s="669"/>
    </row>
    <row r="301" spans="1:29" ht="21.6" customHeight="1">
      <c r="A301" s="636"/>
      <c r="B301" s="2035"/>
      <c r="C301" s="564"/>
      <c r="D301" s="2020"/>
      <c r="E301" s="2023"/>
      <c r="F301" s="593"/>
      <c r="G301" s="593"/>
      <c r="H301" s="1257"/>
      <c r="I301" s="1899"/>
      <c r="J301" s="2105" t="s">
        <v>484</v>
      </c>
      <c r="K301" s="2082"/>
      <c r="L301" s="2082"/>
      <c r="M301" s="2082"/>
      <c r="N301" s="2082"/>
      <c r="O301" s="2082"/>
      <c r="P301" s="2075"/>
      <c r="Q301" s="2075">
        <v>4</v>
      </c>
      <c r="R301" s="2106" t="s">
        <v>25</v>
      </c>
      <c r="S301" s="2106">
        <v>250000</v>
      </c>
      <c r="T301" s="2106" t="s">
        <v>0</v>
      </c>
      <c r="U301" s="2075"/>
      <c r="V301" s="2106">
        <v>2</v>
      </c>
      <c r="W301" s="2106" t="s">
        <v>3</v>
      </c>
      <c r="X301" s="2030" t="s">
        <v>1</v>
      </c>
      <c r="Y301" s="483">
        <f>+Q301*S301*V301/1000</f>
        <v>2000</v>
      </c>
      <c r="Z301" s="2016">
        <v>1400000</v>
      </c>
      <c r="AB301" s="669"/>
    </row>
    <row r="302" spans="1:29" ht="21.6" customHeight="1">
      <c r="A302" s="636"/>
      <c r="B302" s="2035"/>
      <c r="C302" s="564"/>
      <c r="D302" s="2020"/>
      <c r="E302" s="2023" t="s">
        <v>71</v>
      </c>
      <c r="F302" s="593">
        <f t="shared" si="21"/>
        <v>100</v>
      </c>
      <c r="G302" s="593">
        <v>100</v>
      </c>
      <c r="H302" s="1257"/>
      <c r="I302" s="1899"/>
      <c r="J302" s="2105" t="s">
        <v>116</v>
      </c>
      <c r="K302" s="2082"/>
      <c r="L302" s="2082"/>
      <c r="M302" s="2082"/>
      <c r="N302" s="2082"/>
      <c r="O302" s="2082"/>
      <c r="P302" s="2075"/>
      <c r="Q302" s="2075"/>
      <c r="R302" s="2106"/>
      <c r="S302" s="2106">
        <v>100000</v>
      </c>
      <c r="T302" s="2106" t="s">
        <v>0</v>
      </c>
      <c r="U302" s="2075"/>
      <c r="V302" s="2106">
        <v>1</v>
      </c>
      <c r="W302" s="2106" t="s">
        <v>3</v>
      </c>
      <c r="X302" s="2030" t="s">
        <v>1</v>
      </c>
      <c r="Y302" s="483">
        <f>+S302*V302/1000</f>
        <v>100</v>
      </c>
      <c r="Z302" s="2016">
        <v>100000</v>
      </c>
      <c r="AA302" s="669"/>
      <c r="AB302" s="669"/>
      <c r="AC302" s="491"/>
    </row>
    <row r="303" spans="1:29" ht="21.6" customHeight="1">
      <c r="A303" s="636"/>
      <c r="B303" s="2035"/>
      <c r="C303" s="564"/>
      <c r="D303" s="2020"/>
      <c r="E303" s="2023" t="s">
        <v>70</v>
      </c>
      <c r="F303" s="593">
        <f t="shared" si="21"/>
        <v>1900</v>
      </c>
      <c r="G303" s="593">
        <v>1900</v>
      </c>
      <c r="H303" s="1257"/>
      <c r="I303" s="1899"/>
      <c r="J303" s="2105" t="s">
        <v>1712</v>
      </c>
      <c r="K303" s="2082"/>
      <c r="L303" s="2082"/>
      <c r="M303" s="2082"/>
      <c r="N303" s="2082"/>
      <c r="O303" s="2082"/>
      <c r="P303" s="2075"/>
      <c r="Q303" s="2075"/>
      <c r="R303" s="2106"/>
      <c r="S303" s="2106">
        <v>950000</v>
      </c>
      <c r="T303" s="2106" t="s">
        <v>0</v>
      </c>
      <c r="U303" s="2075"/>
      <c r="V303" s="2106">
        <v>2</v>
      </c>
      <c r="W303" s="2106" t="s">
        <v>3</v>
      </c>
      <c r="X303" s="2030" t="s">
        <v>1</v>
      </c>
      <c r="Y303" s="483">
        <f>+S303*V303/1000</f>
        <v>1900</v>
      </c>
      <c r="Z303" s="2016">
        <v>1100000</v>
      </c>
      <c r="AB303" s="669"/>
      <c r="AC303" s="491"/>
    </row>
    <row r="304" spans="1:29" ht="21.6" customHeight="1">
      <c r="A304" s="636"/>
      <c r="B304" s="2035"/>
      <c r="C304" s="564"/>
      <c r="D304" s="2020"/>
      <c r="E304" s="2023" t="s">
        <v>62</v>
      </c>
      <c r="F304" s="593">
        <f t="shared" si="21"/>
        <v>300</v>
      </c>
      <c r="G304" s="593">
        <v>300</v>
      </c>
      <c r="H304" s="1257"/>
      <c r="I304" s="1899"/>
      <c r="J304" s="2105" t="s">
        <v>117</v>
      </c>
      <c r="K304" s="2082"/>
      <c r="L304" s="2082"/>
      <c r="M304" s="2082"/>
      <c r="N304" s="2082"/>
      <c r="O304" s="2082"/>
      <c r="P304" s="2075"/>
      <c r="Q304" s="2075"/>
      <c r="R304" s="2106"/>
      <c r="S304" s="2106">
        <v>150000</v>
      </c>
      <c r="T304" s="2106" t="s">
        <v>0</v>
      </c>
      <c r="U304" s="2075"/>
      <c r="V304" s="2106">
        <v>2</v>
      </c>
      <c r="W304" s="2106" t="s">
        <v>3</v>
      </c>
      <c r="X304" s="2030" t="s">
        <v>38</v>
      </c>
      <c r="Y304" s="483">
        <f>+S304*V304/1000</f>
        <v>300</v>
      </c>
      <c r="Z304" s="2016">
        <v>250000</v>
      </c>
      <c r="AB304" s="669"/>
      <c r="AC304" s="491"/>
    </row>
    <row r="305" spans="1:29" ht="21.6" customHeight="1">
      <c r="A305" s="636"/>
      <c r="B305" s="2035"/>
      <c r="C305" s="564"/>
      <c r="D305" s="611"/>
      <c r="E305" s="1370" t="s">
        <v>61</v>
      </c>
      <c r="F305" s="1587">
        <f>+Y305</f>
        <v>1000</v>
      </c>
      <c r="G305" s="1587">
        <v>1000</v>
      </c>
      <c r="H305" s="1593"/>
      <c r="I305" s="1899"/>
      <c r="J305" s="614" t="s">
        <v>118</v>
      </c>
      <c r="K305" s="2072"/>
      <c r="L305" s="2072"/>
      <c r="M305" s="2072"/>
      <c r="N305" s="2065"/>
      <c r="O305" s="2065"/>
      <c r="P305" s="2065"/>
      <c r="Q305" s="618">
        <v>25</v>
      </c>
      <c r="R305" s="616" t="s">
        <v>25</v>
      </c>
      <c r="S305" s="618">
        <v>10000</v>
      </c>
      <c r="T305" s="618" t="s">
        <v>0</v>
      </c>
      <c r="U305" s="2065"/>
      <c r="V305" s="618">
        <v>4</v>
      </c>
      <c r="W305" s="618" t="s">
        <v>3</v>
      </c>
      <c r="X305" s="619" t="s">
        <v>1</v>
      </c>
      <c r="Y305" s="478">
        <f>+Q305*S305*V305/1000</f>
        <v>1000</v>
      </c>
      <c r="Z305" s="2016">
        <v>750000</v>
      </c>
      <c r="AB305" s="669"/>
      <c r="AC305" s="491"/>
    </row>
    <row r="306" spans="1:29" ht="21.6" customHeight="1">
      <c r="A306" s="636"/>
      <c r="B306" s="2035"/>
      <c r="C306" s="564"/>
      <c r="D306" s="3823" t="s">
        <v>119</v>
      </c>
      <c r="E306" s="3824"/>
      <c r="F306" s="1587">
        <f>SUM(F307:F310)</f>
        <v>29000</v>
      </c>
      <c r="G306" s="1587">
        <f>SUM(G307:G310)</f>
        <v>29000</v>
      </c>
      <c r="H306" s="495">
        <f>F306-G306</f>
        <v>0</v>
      </c>
      <c r="I306" s="1899"/>
      <c r="J306" s="2017"/>
      <c r="K306" s="2065"/>
      <c r="L306" s="2065"/>
      <c r="M306" s="2065"/>
      <c r="N306" s="2065"/>
      <c r="O306" s="2065"/>
      <c r="P306" s="2018"/>
      <c r="Q306" s="2065"/>
      <c r="R306" s="2065"/>
      <c r="S306" s="2018"/>
      <c r="T306" s="2065"/>
      <c r="U306" s="2065"/>
      <c r="V306" s="2018"/>
      <c r="W306" s="2065"/>
      <c r="X306" s="2053"/>
      <c r="Y306" s="2054"/>
      <c r="Z306" s="2016">
        <f>F306*1000</f>
        <v>29000000</v>
      </c>
      <c r="AB306" s="669"/>
      <c r="AC306" s="491"/>
    </row>
    <row r="307" spans="1:29" ht="21.6" customHeight="1">
      <c r="A307" s="636"/>
      <c r="B307" s="2035"/>
      <c r="C307" s="564"/>
      <c r="D307" s="2038"/>
      <c r="E307" s="2023" t="s">
        <v>81</v>
      </c>
      <c r="F307" s="593">
        <f>+Y307</f>
        <v>24000</v>
      </c>
      <c r="G307" s="593">
        <v>24000</v>
      </c>
      <c r="H307" s="534"/>
      <c r="I307" s="1899"/>
      <c r="J307" s="2105" t="s">
        <v>485</v>
      </c>
      <c r="K307" s="2082"/>
      <c r="L307" s="2082"/>
      <c r="M307" s="2082"/>
      <c r="N307" s="2082"/>
      <c r="O307" s="2082"/>
      <c r="P307" s="2075"/>
      <c r="Q307" s="2106">
        <v>1</v>
      </c>
      <c r="R307" s="2092" t="s">
        <v>25</v>
      </c>
      <c r="S307" s="2106">
        <v>2000000</v>
      </c>
      <c r="T307" s="2106" t="s">
        <v>0</v>
      </c>
      <c r="U307" s="2075"/>
      <c r="V307" s="2106">
        <v>12</v>
      </c>
      <c r="W307" s="2106" t="s">
        <v>2</v>
      </c>
      <c r="X307" s="2030" t="s">
        <v>1</v>
      </c>
      <c r="Y307" s="483">
        <f>+Q307*S307*V307/1000</f>
        <v>24000</v>
      </c>
      <c r="Z307" s="2016">
        <v>24000000</v>
      </c>
      <c r="AB307" s="669"/>
      <c r="AC307" s="491"/>
    </row>
    <row r="308" spans="1:29" ht="21.6" customHeight="1">
      <c r="A308" s="636"/>
      <c r="B308" s="2035"/>
      <c r="C308" s="564"/>
      <c r="D308" s="2038"/>
      <c r="E308" s="2023" t="s">
        <v>264</v>
      </c>
      <c r="F308" s="593">
        <f>+Y308</f>
        <v>1000</v>
      </c>
      <c r="G308" s="593">
        <v>1000</v>
      </c>
      <c r="H308" s="534"/>
      <c r="I308" s="1899"/>
      <c r="J308" s="3994" t="s">
        <v>1029</v>
      </c>
      <c r="K308" s="3995"/>
      <c r="L308" s="3995"/>
      <c r="M308" s="2082"/>
      <c r="N308" s="2082"/>
      <c r="O308" s="2082"/>
      <c r="P308" s="2075"/>
      <c r="Q308" s="2106">
        <v>20</v>
      </c>
      <c r="R308" s="2092" t="s">
        <v>92</v>
      </c>
      <c r="S308" s="2106">
        <v>10000</v>
      </c>
      <c r="T308" s="2106" t="s">
        <v>0</v>
      </c>
      <c r="U308" s="2075"/>
      <c r="V308" s="2106">
        <v>5</v>
      </c>
      <c r="W308" s="2106" t="s">
        <v>3</v>
      </c>
      <c r="X308" s="2030" t="s">
        <v>38</v>
      </c>
      <c r="Y308" s="483">
        <f>+Q308*S308*V308/1000</f>
        <v>1000</v>
      </c>
      <c r="Z308" s="2016">
        <v>1000000</v>
      </c>
      <c r="AB308" s="669"/>
      <c r="AC308" s="491"/>
    </row>
    <row r="309" spans="1:29" ht="21.6" customHeight="1">
      <c r="A309" s="636"/>
      <c r="B309" s="2035"/>
      <c r="C309" s="564"/>
      <c r="D309" s="2038"/>
      <c r="E309" s="2023" t="s">
        <v>120</v>
      </c>
      <c r="F309" s="593">
        <f>+Y309</f>
        <v>3000</v>
      </c>
      <c r="G309" s="593">
        <v>3000</v>
      </c>
      <c r="H309" s="534"/>
      <c r="I309" s="1899"/>
      <c r="J309" s="2105" t="s">
        <v>121</v>
      </c>
      <c r="K309" s="2082"/>
      <c r="L309" s="2082"/>
      <c r="M309" s="2082"/>
      <c r="N309" s="2082"/>
      <c r="O309" s="2082"/>
      <c r="P309" s="2075"/>
      <c r="Q309" s="2106"/>
      <c r="R309" s="2092"/>
      <c r="S309" s="2106">
        <v>30000</v>
      </c>
      <c r="T309" s="2106" t="s">
        <v>0</v>
      </c>
      <c r="U309" s="2075"/>
      <c r="V309" s="2106">
        <v>100</v>
      </c>
      <c r="W309" s="2106" t="s">
        <v>122</v>
      </c>
      <c r="X309" s="2030" t="s">
        <v>1</v>
      </c>
      <c r="Y309" s="483">
        <f>+S309*V309/1000</f>
        <v>3000</v>
      </c>
      <c r="Z309" s="2016">
        <v>3000000</v>
      </c>
      <c r="AB309" s="669"/>
      <c r="AC309" s="491"/>
    </row>
    <row r="310" spans="1:29" ht="21.6" customHeight="1">
      <c r="A310" s="636"/>
      <c r="B310" s="2035"/>
      <c r="C310" s="564"/>
      <c r="D310" s="2038"/>
      <c r="E310" s="2023" t="s">
        <v>380</v>
      </c>
      <c r="F310" s="593">
        <f>+Y310</f>
        <v>1000</v>
      </c>
      <c r="G310" s="593">
        <v>1000</v>
      </c>
      <c r="H310" s="534"/>
      <c r="I310" s="1899"/>
      <c r="J310" s="3994" t="s">
        <v>1028</v>
      </c>
      <c r="K310" s="3995"/>
      <c r="L310" s="3995"/>
      <c r="M310" s="2082"/>
      <c r="N310" s="2082"/>
      <c r="O310" s="2082"/>
      <c r="P310" s="2075"/>
      <c r="Q310" s="2106">
        <v>1</v>
      </c>
      <c r="R310" s="2092" t="s">
        <v>25</v>
      </c>
      <c r="S310" s="2106">
        <v>200000</v>
      </c>
      <c r="T310" s="2106" t="s">
        <v>0</v>
      </c>
      <c r="U310" s="2075"/>
      <c r="V310" s="2106">
        <v>5</v>
      </c>
      <c r="W310" s="2106" t="s">
        <v>3</v>
      </c>
      <c r="X310" s="2030" t="s">
        <v>38</v>
      </c>
      <c r="Y310" s="483">
        <f>+Q310*S310*V310/1000</f>
        <v>1000</v>
      </c>
      <c r="Z310" s="2016">
        <v>2000000</v>
      </c>
      <c r="AB310" s="669"/>
      <c r="AC310" s="491"/>
    </row>
    <row r="311" spans="1:29" ht="21.75" customHeight="1">
      <c r="A311" s="636"/>
      <c r="B311" s="2035"/>
      <c r="C311" s="621" t="s">
        <v>435</v>
      </c>
      <c r="D311" s="2946"/>
      <c r="E311" s="1252"/>
      <c r="F311" s="1253">
        <f>+F312+F317</f>
        <v>60000</v>
      </c>
      <c r="G311" s="1253">
        <f>+G312+G317</f>
        <v>60000</v>
      </c>
      <c r="H311" s="2021">
        <f>F311-G311</f>
        <v>0</v>
      </c>
      <c r="I311" s="1899"/>
      <c r="J311" s="2025"/>
      <c r="K311" s="2068"/>
      <c r="L311" s="2068"/>
      <c r="M311" s="2068"/>
      <c r="N311" s="2068"/>
      <c r="O311" s="2068"/>
      <c r="P311" s="2101"/>
      <c r="Q311" s="2026"/>
      <c r="R311" s="2027"/>
      <c r="S311" s="2026"/>
      <c r="T311" s="2026"/>
      <c r="U311" s="2101"/>
      <c r="V311" s="2026"/>
      <c r="W311" s="2026"/>
      <c r="X311" s="2028"/>
      <c r="Y311" s="517"/>
      <c r="Z311" s="2016">
        <f>F311*1000</f>
        <v>60000000</v>
      </c>
      <c r="AB311" s="669"/>
      <c r="AC311" s="491"/>
    </row>
    <row r="312" spans="1:29" ht="21.75" customHeight="1">
      <c r="A312" s="636"/>
      <c r="B312" s="2035"/>
      <c r="C312" s="624"/>
      <c r="D312" s="3877" t="s">
        <v>1058</v>
      </c>
      <c r="E312" s="3878"/>
      <c r="F312" s="584">
        <f>SUM(F313:F313)</f>
        <v>60000</v>
      </c>
      <c r="G312" s="584">
        <f>SUM(G313:G316)</f>
        <v>60000</v>
      </c>
      <c r="H312" s="627">
        <f>+F312-G312</f>
        <v>0</v>
      </c>
      <c r="I312" s="1899"/>
      <c r="J312" s="2025"/>
      <c r="K312" s="2068"/>
      <c r="L312" s="2068"/>
      <c r="M312" s="2068"/>
      <c r="N312" s="2101"/>
      <c r="O312" s="2101"/>
      <c r="P312" s="2101"/>
      <c r="Q312" s="2026"/>
      <c r="R312" s="2027"/>
      <c r="S312" s="2026"/>
      <c r="T312" s="2026"/>
      <c r="U312" s="2026"/>
      <c r="V312" s="2026"/>
      <c r="W312" s="2026"/>
      <c r="X312" s="1594"/>
      <c r="Y312" s="517"/>
      <c r="Z312" s="308"/>
      <c r="AB312" s="669"/>
      <c r="AC312" s="491"/>
    </row>
    <row r="313" spans="1:29" ht="21.75" customHeight="1">
      <c r="A313" s="636"/>
      <c r="B313" s="2035"/>
      <c r="C313" s="624"/>
      <c r="D313" s="2034"/>
      <c r="E313" s="2023" t="s">
        <v>431</v>
      </c>
      <c r="F313" s="593">
        <f>+Y313</f>
        <v>60000</v>
      </c>
      <c r="G313" s="593">
        <v>60000</v>
      </c>
      <c r="H313" s="643"/>
      <c r="I313" s="1899"/>
      <c r="J313" s="2105" t="s">
        <v>8</v>
      </c>
      <c r="K313" s="2082"/>
      <c r="L313" s="2082"/>
      <c r="M313" s="2082"/>
      <c r="N313" s="2075"/>
      <c r="O313" s="2075"/>
      <c r="P313" s="2075"/>
      <c r="Q313" s="2106"/>
      <c r="R313" s="2092"/>
      <c r="S313" s="2106"/>
      <c r="T313" s="2106"/>
      <c r="U313" s="2106"/>
      <c r="V313" s="2106"/>
      <c r="W313" s="2106"/>
      <c r="X313" s="1256"/>
      <c r="Y313" s="483">
        <f>Z313/1000</f>
        <v>60000</v>
      </c>
      <c r="Z313" s="308">
        <f>SUM(Z314:Z316)</f>
        <v>60000000</v>
      </c>
      <c r="AB313" s="669"/>
      <c r="AC313" s="491"/>
    </row>
    <row r="314" spans="1:29" ht="21.75" customHeight="1">
      <c r="A314" s="636"/>
      <c r="B314" s="2035"/>
      <c r="C314" s="624"/>
      <c r="D314" s="2034"/>
      <c r="E314" s="2023"/>
      <c r="F314" s="593"/>
      <c r="G314" s="593"/>
      <c r="H314" s="643"/>
      <c r="I314" s="1899"/>
      <c r="J314" s="2105" t="s">
        <v>434</v>
      </c>
      <c r="K314" s="2082"/>
      <c r="L314" s="2082"/>
      <c r="M314" s="2082"/>
      <c r="N314" s="2075"/>
      <c r="O314" s="2075"/>
      <c r="P314" s="2075"/>
      <c r="Q314" s="2106"/>
      <c r="R314" s="2092"/>
      <c r="S314" s="2106">
        <v>20000000</v>
      </c>
      <c r="T314" s="2106" t="s">
        <v>0</v>
      </c>
      <c r="U314" s="2106"/>
      <c r="V314" s="2106">
        <v>1</v>
      </c>
      <c r="W314" s="2106" t="s">
        <v>226</v>
      </c>
      <c r="X314" s="1256" t="s">
        <v>1</v>
      </c>
      <c r="Y314" s="483">
        <f>Z314/1000</f>
        <v>20000</v>
      </c>
      <c r="Z314" s="308">
        <v>20000000</v>
      </c>
      <c r="AB314" s="669"/>
      <c r="AC314" s="491"/>
    </row>
    <row r="315" spans="1:29" ht="21.75" customHeight="1">
      <c r="A315" s="636"/>
      <c r="B315" s="2035"/>
      <c r="C315" s="624"/>
      <c r="D315" s="2034"/>
      <c r="E315" s="2023"/>
      <c r="F315" s="593"/>
      <c r="G315" s="593"/>
      <c r="H315" s="643"/>
      <c r="I315" s="1899"/>
      <c r="J315" s="2105" t="s">
        <v>376</v>
      </c>
      <c r="K315" s="2082"/>
      <c r="L315" s="2082"/>
      <c r="M315" s="2082"/>
      <c r="N315" s="2075"/>
      <c r="O315" s="2075"/>
      <c r="P315" s="2075"/>
      <c r="Q315" s="2106"/>
      <c r="R315" s="2092"/>
      <c r="S315" s="2106">
        <v>25000000</v>
      </c>
      <c r="T315" s="2106" t="s">
        <v>0</v>
      </c>
      <c r="U315" s="2106"/>
      <c r="V315" s="2106">
        <v>1</v>
      </c>
      <c r="W315" s="2106" t="s">
        <v>226</v>
      </c>
      <c r="X315" s="1256" t="s">
        <v>1</v>
      </c>
      <c r="Y315" s="483">
        <f>Z315/1000</f>
        <v>25000</v>
      </c>
      <c r="Z315" s="308">
        <v>25000000</v>
      </c>
      <c r="AB315" s="669"/>
      <c r="AC315" s="491"/>
    </row>
    <row r="316" spans="1:29" ht="21.75" customHeight="1">
      <c r="A316" s="636"/>
      <c r="B316" s="2035"/>
      <c r="C316" s="624"/>
      <c r="D316" s="2034"/>
      <c r="E316" s="2023"/>
      <c r="F316" s="593"/>
      <c r="G316" s="593"/>
      <c r="H316" s="643"/>
      <c r="I316" s="1899"/>
      <c r="J316" s="2105" t="s">
        <v>1009</v>
      </c>
      <c r="K316" s="2082"/>
      <c r="L316" s="2082"/>
      <c r="M316" s="2082"/>
      <c r="N316" s="2075"/>
      <c r="O316" s="2075"/>
      <c r="P316" s="2075"/>
      <c r="Q316" s="2106"/>
      <c r="R316" s="2092"/>
      <c r="S316" s="2106">
        <v>15000000</v>
      </c>
      <c r="T316" s="2106" t="s">
        <v>0</v>
      </c>
      <c r="U316" s="2106"/>
      <c r="V316" s="2106">
        <v>1</v>
      </c>
      <c r="W316" s="2106" t="s">
        <v>226</v>
      </c>
      <c r="X316" s="1256" t="s">
        <v>1</v>
      </c>
      <c r="Y316" s="483">
        <f>Z316/1000</f>
        <v>15000</v>
      </c>
      <c r="Z316" s="308">
        <v>15000000</v>
      </c>
      <c r="AB316" s="669"/>
      <c r="AC316" s="491"/>
    </row>
    <row r="317" spans="1:29" ht="21.75" customHeight="1">
      <c r="A317" s="636"/>
      <c r="B317" s="467"/>
      <c r="C317" s="624"/>
      <c r="D317" s="3825" t="s">
        <v>437</v>
      </c>
      <c r="E317" s="3826"/>
      <c r="F317" s="584">
        <f>SUM(F318:F337)</f>
        <v>0</v>
      </c>
      <c r="G317" s="584">
        <f>SUM(G318:G337)</f>
        <v>0</v>
      </c>
      <c r="H317" s="627">
        <f>+F317-G317</f>
        <v>0</v>
      </c>
      <c r="I317" s="1899"/>
      <c r="J317" s="2025"/>
      <c r="K317" s="2068"/>
      <c r="L317" s="2068"/>
      <c r="M317" s="2068"/>
      <c r="N317" s="2068"/>
      <c r="O317" s="2068"/>
      <c r="P317" s="2101"/>
      <c r="Q317" s="2101"/>
      <c r="R317" s="2026"/>
      <c r="S317" s="2026"/>
      <c r="T317" s="2026"/>
      <c r="U317" s="2101"/>
      <c r="V317" s="2026"/>
      <c r="W317" s="2026"/>
      <c r="X317" s="2028"/>
      <c r="Y317" s="517"/>
      <c r="Z317" s="2016"/>
      <c r="AB317" s="669"/>
      <c r="AC317" s="491"/>
    </row>
    <row r="318" spans="1:29" ht="21.75" hidden="1" customHeight="1">
      <c r="A318" s="636"/>
      <c r="B318" s="2958"/>
      <c r="C318" s="624"/>
      <c r="D318" s="2034"/>
      <c r="E318" s="2023" t="s">
        <v>81</v>
      </c>
      <c r="F318" s="593">
        <f>+Y318</f>
        <v>0</v>
      </c>
      <c r="G318" s="593">
        <v>0</v>
      </c>
      <c r="H318" s="643"/>
      <c r="I318" s="1899"/>
      <c r="J318" s="2105" t="s">
        <v>2057</v>
      </c>
      <c r="K318" s="2082"/>
      <c r="L318" s="2082"/>
      <c r="M318" s="2082"/>
      <c r="N318" s="2075"/>
      <c r="O318" s="2075"/>
      <c r="P318" s="2075"/>
      <c r="Q318" s="2106"/>
      <c r="R318" s="2092"/>
      <c r="S318" s="2106"/>
      <c r="T318" s="2106"/>
      <c r="U318" s="2075"/>
      <c r="V318" s="2106"/>
      <c r="W318" s="2106"/>
      <c r="X318" s="2030" t="s">
        <v>1</v>
      </c>
      <c r="Y318" s="483">
        <f>+Q318*S318*V318/1000</f>
        <v>0</v>
      </c>
      <c r="Z318" s="2106">
        <f>Y318*1000</f>
        <v>0</v>
      </c>
      <c r="AB318" s="669"/>
      <c r="AC318" s="491"/>
    </row>
    <row r="319" spans="1:29" ht="21.75" hidden="1" customHeight="1">
      <c r="A319" s="636"/>
      <c r="B319" s="467"/>
      <c r="C319" s="564"/>
      <c r="D319" s="1254"/>
      <c r="E319" s="2023" t="s">
        <v>229</v>
      </c>
      <c r="F319" s="593">
        <f>Y319</f>
        <v>0</v>
      </c>
      <c r="G319" s="593">
        <v>0</v>
      </c>
      <c r="H319" s="643"/>
      <c r="I319" s="1899"/>
      <c r="J319" s="2105" t="s">
        <v>2057</v>
      </c>
      <c r="K319" s="2082"/>
      <c r="L319" s="2082"/>
      <c r="M319" s="2082"/>
      <c r="N319" s="2075"/>
      <c r="O319" s="2075"/>
      <c r="P319" s="2075"/>
      <c r="Q319" s="2106"/>
      <c r="R319" s="2092"/>
      <c r="S319" s="2092"/>
      <c r="T319" s="2106"/>
      <c r="U319" s="2106"/>
      <c r="V319" s="2106"/>
      <c r="W319" s="2106"/>
      <c r="X319" s="2030" t="s">
        <v>20</v>
      </c>
      <c r="Y319" s="483">
        <f>+Y320+Y321</f>
        <v>0</v>
      </c>
      <c r="Z319" s="1665">
        <f>SUM(Z320:Z336)</f>
        <v>2400000</v>
      </c>
      <c r="AB319" s="669"/>
      <c r="AC319" s="491"/>
    </row>
    <row r="320" spans="1:29" ht="21.75" hidden="1" customHeight="1">
      <c r="A320" s="636"/>
      <c r="B320" s="467"/>
      <c r="C320" s="564"/>
      <c r="D320" s="2034"/>
      <c r="E320" s="2023"/>
      <c r="F320" s="593"/>
      <c r="G320" s="593"/>
      <c r="H320" s="643"/>
      <c r="I320" s="1899"/>
      <c r="J320" s="2105" t="s">
        <v>449</v>
      </c>
      <c r="K320" s="2082"/>
      <c r="L320" s="2082"/>
      <c r="M320" s="2082"/>
      <c r="N320" s="2075"/>
      <c r="O320" s="2075"/>
      <c r="P320" s="2075"/>
      <c r="Q320" s="2106"/>
      <c r="R320" s="2092"/>
      <c r="S320" s="2106"/>
      <c r="T320" s="2106"/>
      <c r="U320" s="2106"/>
      <c r="V320" s="2106"/>
      <c r="W320" s="2106"/>
      <c r="X320" s="1256" t="s">
        <v>1</v>
      </c>
      <c r="Y320" s="483">
        <f>+S320*V320/1000</f>
        <v>0</v>
      </c>
      <c r="Z320" s="2106">
        <v>500000</v>
      </c>
      <c r="AB320" s="669"/>
      <c r="AC320" s="491"/>
    </row>
    <row r="321" spans="1:29" ht="21.75" hidden="1" customHeight="1">
      <c r="A321" s="636"/>
      <c r="B321" s="467"/>
      <c r="C321" s="564"/>
      <c r="D321" s="2034"/>
      <c r="E321" s="2023"/>
      <c r="F321" s="593"/>
      <c r="G321" s="593"/>
      <c r="H321" s="643"/>
      <c r="I321" s="1899"/>
      <c r="J321" s="2105" t="s">
        <v>450</v>
      </c>
      <c r="K321" s="2082"/>
      <c r="L321" s="2082"/>
      <c r="M321" s="2082"/>
      <c r="N321" s="2075"/>
      <c r="O321" s="2075"/>
      <c r="P321" s="2075"/>
      <c r="Q321" s="2106"/>
      <c r="R321" s="2092"/>
      <c r="S321" s="2106"/>
      <c r="T321" s="2106"/>
      <c r="U321" s="2106"/>
      <c r="V321" s="2106"/>
      <c r="W321" s="2106"/>
      <c r="X321" s="1256" t="s">
        <v>1</v>
      </c>
      <c r="Y321" s="483">
        <f>+S321*V321/1000</f>
        <v>0</v>
      </c>
      <c r="Z321" s="2106">
        <v>300000</v>
      </c>
      <c r="AB321" s="669"/>
      <c r="AC321" s="491"/>
    </row>
    <row r="322" spans="1:29" ht="21.75" hidden="1" customHeight="1">
      <c r="A322" s="636"/>
      <c r="B322" s="2958"/>
      <c r="C322" s="624"/>
      <c r="D322" s="2034"/>
      <c r="E322" s="2023" t="s">
        <v>445</v>
      </c>
      <c r="F322" s="593">
        <f>+Y322</f>
        <v>0</v>
      </c>
      <c r="G322" s="593">
        <v>0</v>
      </c>
      <c r="H322" s="643"/>
      <c r="I322" s="1899"/>
      <c r="J322" s="2105" t="s">
        <v>2057</v>
      </c>
      <c r="K322" s="2082"/>
      <c r="L322" s="2082"/>
      <c r="M322" s="2082"/>
      <c r="N322" s="2075"/>
      <c r="O322" s="2075"/>
      <c r="P322" s="2075"/>
      <c r="Q322" s="2106"/>
      <c r="R322" s="2092"/>
      <c r="S322" s="2106"/>
      <c r="T322" s="2106"/>
      <c r="U322" s="2106"/>
      <c r="V322" s="2106"/>
      <c r="W322" s="2106"/>
      <c r="X322" s="1256" t="s">
        <v>1</v>
      </c>
      <c r="Y322" s="483">
        <f>+S322*V322/1000</f>
        <v>0</v>
      </c>
      <c r="Z322" s="2106">
        <f>Y322*1000</f>
        <v>0</v>
      </c>
      <c r="AB322" s="669"/>
      <c r="AC322" s="491"/>
    </row>
    <row r="323" spans="1:29" ht="21.75" hidden="1" customHeight="1">
      <c r="A323" s="636"/>
      <c r="B323" s="2958"/>
      <c r="C323" s="624"/>
      <c r="D323" s="2034"/>
      <c r="E323" s="2023" t="s">
        <v>264</v>
      </c>
      <c r="F323" s="593">
        <f>+Y323</f>
        <v>0</v>
      </c>
      <c r="G323" s="593">
        <v>0</v>
      </c>
      <c r="H323" s="643"/>
      <c r="I323" s="1899"/>
      <c r="J323" s="2105" t="s">
        <v>2057</v>
      </c>
      <c r="K323" s="2082"/>
      <c r="L323" s="2082"/>
      <c r="M323" s="2082"/>
      <c r="N323" s="2075"/>
      <c r="O323" s="2075"/>
      <c r="P323" s="2075"/>
      <c r="Q323" s="2106"/>
      <c r="R323" s="2092"/>
      <c r="S323" s="2106"/>
      <c r="T323" s="2106"/>
      <c r="U323" s="2106"/>
      <c r="V323" s="2106"/>
      <c r="W323" s="2106"/>
      <c r="X323" s="1256" t="s">
        <v>1</v>
      </c>
      <c r="Y323" s="483">
        <f>+S323*V323/1000</f>
        <v>0</v>
      </c>
      <c r="Z323" s="2106">
        <f>Y323*1000</f>
        <v>0</v>
      </c>
      <c r="AB323" s="669"/>
      <c r="AC323" s="491"/>
    </row>
    <row r="324" spans="1:29" ht="21.75" hidden="1" customHeight="1">
      <c r="A324" s="636"/>
      <c r="B324" s="2958"/>
      <c r="C324" s="624"/>
      <c r="D324" s="2034"/>
      <c r="E324" s="2023" t="s">
        <v>225</v>
      </c>
      <c r="F324" s="593">
        <f>+Y324</f>
        <v>0</v>
      </c>
      <c r="G324" s="593">
        <v>0</v>
      </c>
      <c r="H324" s="643"/>
      <c r="I324" s="1899"/>
      <c r="J324" s="2105" t="s">
        <v>2057</v>
      </c>
      <c r="K324" s="2082"/>
      <c r="L324" s="2082"/>
      <c r="M324" s="2082"/>
      <c r="N324" s="2075"/>
      <c r="O324" s="2075"/>
      <c r="P324" s="2075"/>
      <c r="Q324" s="2106"/>
      <c r="R324" s="2092"/>
      <c r="S324" s="2106"/>
      <c r="T324" s="2106"/>
      <c r="U324" s="2075"/>
      <c r="V324" s="2106"/>
      <c r="W324" s="2106"/>
      <c r="X324" s="2030" t="s">
        <v>1</v>
      </c>
      <c r="Y324" s="483">
        <f>+Q324*S324*V324/1000</f>
        <v>0</v>
      </c>
      <c r="Z324" s="2106">
        <f>Y324*1000</f>
        <v>0</v>
      </c>
      <c r="AB324" s="669"/>
      <c r="AC324" s="491"/>
    </row>
    <row r="325" spans="1:29" ht="21.75" hidden="1" customHeight="1">
      <c r="A325" s="636"/>
      <c r="B325" s="467"/>
      <c r="C325" s="564"/>
      <c r="D325" s="1254"/>
      <c r="E325" s="2023" t="s">
        <v>380</v>
      </c>
      <c r="F325" s="593">
        <f>Y325</f>
        <v>0</v>
      </c>
      <c r="G325" s="593">
        <v>0</v>
      </c>
      <c r="H325" s="643"/>
      <c r="I325" s="1899"/>
      <c r="J325" s="2105" t="s">
        <v>2057</v>
      </c>
      <c r="K325" s="2082"/>
      <c r="L325" s="2082"/>
      <c r="M325" s="2082"/>
      <c r="N325" s="2075"/>
      <c r="O325" s="2075"/>
      <c r="P325" s="2075"/>
      <c r="Q325" s="2106"/>
      <c r="R325" s="2092"/>
      <c r="S325" s="2092"/>
      <c r="T325" s="2106"/>
      <c r="U325" s="2106"/>
      <c r="V325" s="2106"/>
      <c r="W325" s="2106"/>
      <c r="X325" s="2030" t="s">
        <v>20</v>
      </c>
      <c r="Y325" s="483">
        <f>+Y326+Y327</f>
        <v>0</v>
      </c>
      <c r="Z325" s="1665">
        <f>SUM(Z326:Z335)</f>
        <v>800000</v>
      </c>
      <c r="AB325" s="669"/>
      <c r="AC325" s="491"/>
    </row>
    <row r="326" spans="1:29" ht="21.75" hidden="1" customHeight="1">
      <c r="A326" s="636"/>
      <c r="B326" s="467"/>
      <c r="C326" s="564"/>
      <c r="D326" s="2034"/>
      <c r="E326" s="2023"/>
      <c r="F326" s="593"/>
      <c r="G326" s="593"/>
      <c r="H326" s="643"/>
      <c r="I326" s="1899"/>
      <c r="J326" s="2105" t="s">
        <v>446</v>
      </c>
      <c r="K326" s="2082"/>
      <c r="L326" s="2082"/>
      <c r="M326" s="2082"/>
      <c r="N326" s="2075"/>
      <c r="O326" s="2075"/>
      <c r="P326" s="2075"/>
      <c r="Q326" s="2106"/>
      <c r="R326" s="2092"/>
      <c r="S326" s="2106"/>
      <c r="T326" s="2106"/>
      <c r="U326" s="2106"/>
      <c r="V326" s="2106"/>
      <c r="W326" s="2106"/>
      <c r="X326" s="1256" t="s">
        <v>1</v>
      </c>
      <c r="Y326" s="483">
        <f>+S326*V326/1000</f>
        <v>0</v>
      </c>
      <c r="Z326" s="2106">
        <v>500000</v>
      </c>
      <c r="AB326" s="669"/>
      <c r="AC326" s="491"/>
    </row>
    <row r="327" spans="1:29" ht="21.75" hidden="1" customHeight="1">
      <c r="A327" s="636"/>
      <c r="B327" s="467"/>
      <c r="C327" s="564"/>
      <c r="D327" s="2034"/>
      <c r="E327" s="2023"/>
      <c r="F327" s="593"/>
      <c r="G327" s="593"/>
      <c r="H327" s="643"/>
      <c r="I327" s="1899"/>
      <c r="J327" s="2105" t="s">
        <v>447</v>
      </c>
      <c r="K327" s="2082"/>
      <c r="L327" s="2082"/>
      <c r="M327" s="2082"/>
      <c r="N327" s="2075"/>
      <c r="O327" s="2075"/>
      <c r="P327" s="2075"/>
      <c r="Q327" s="2106"/>
      <c r="R327" s="2092"/>
      <c r="S327" s="2106"/>
      <c r="T327" s="2106"/>
      <c r="U327" s="2106"/>
      <c r="V327" s="2106"/>
      <c r="W327" s="2106"/>
      <c r="X327" s="1256" t="s">
        <v>1</v>
      </c>
      <c r="Y327" s="483">
        <f>+S327*V327/1000</f>
        <v>0</v>
      </c>
      <c r="Z327" s="2106">
        <v>300000</v>
      </c>
      <c r="AB327" s="669"/>
      <c r="AC327" s="491"/>
    </row>
    <row r="328" spans="1:29" s="763" customFormat="1" ht="21.75" hidden="1" customHeight="1">
      <c r="A328" s="636"/>
      <c r="B328" s="467"/>
      <c r="C328" s="564"/>
      <c r="D328" s="1254"/>
      <c r="E328" s="2023" t="s">
        <v>431</v>
      </c>
      <c r="F328" s="593">
        <f>Y328</f>
        <v>0</v>
      </c>
      <c r="G328" s="593">
        <v>0</v>
      </c>
      <c r="H328" s="643"/>
      <c r="I328" s="1899"/>
      <c r="J328" s="2105" t="s">
        <v>2057</v>
      </c>
      <c r="K328" s="2082"/>
      <c r="L328" s="2082"/>
      <c r="M328" s="2082"/>
      <c r="N328" s="2075"/>
      <c r="O328" s="2075"/>
      <c r="P328" s="2075"/>
      <c r="Q328" s="2106"/>
      <c r="R328" s="2092"/>
      <c r="S328" s="2092"/>
      <c r="T328" s="2106"/>
      <c r="U328" s="2106"/>
      <c r="V328" s="2106"/>
      <c r="W328" s="2106"/>
      <c r="X328" s="2030" t="s">
        <v>20</v>
      </c>
      <c r="Y328" s="483">
        <f>+Y329+Y330+Y331+Y332+Y333+Y334+Y335</f>
        <v>0</v>
      </c>
      <c r="Z328" s="1356">
        <f>SUM(Z329:Z337)</f>
        <v>0</v>
      </c>
      <c r="AA328" s="565"/>
      <c r="AB328" s="669"/>
      <c r="AC328" s="565"/>
    </row>
    <row r="329" spans="1:29" s="763" customFormat="1" ht="21.75" hidden="1" customHeight="1">
      <c r="A329" s="636"/>
      <c r="B329" s="467"/>
      <c r="C329" s="564"/>
      <c r="D329" s="2020"/>
      <c r="E329" s="2023"/>
      <c r="F329" s="593"/>
      <c r="G329" s="593"/>
      <c r="H329" s="643"/>
      <c r="I329" s="1899"/>
      <c r="J329" s="2105" t="s">
        <v>439</v>
      </c>
      <c r="K329" s="2082"/>
      <c r="L329" s="2082"/>
      <c r="M329" s="2082"/>
      <c r="N329" s="2075"/>
      <c r="O329" s="2075"/>
      <c r="P329" s="2075"/>
      <c r="Q329" s="2106"/>
      <c r="R329" s="2092"/>
      <c r="S329" s="2106"/>
      <c r="T329" s="2106"/>
      <c r="U329" s="2106"/>
      <c r="V329" s="2106"/>
      <c r="W329" s="2106"/>
      <c r="X329" s="1256" t="s">
        <v>1</v>
      </c>
      <c r="Y329" s="483">
        <f>+S329*V329/1000</f>
        <v>0</v>
      </c>
      <c r="Z329" s="2106">
        <f>Y329*1000</f>
        <v>0</v>
      </c>
      <c r="AA329" s="565"/>
      <c r="AB329" s="669"/>
      <c r="AC329" s="565"/>
    </row>
    <row r="330" spans="1:29" s="763" customFormat="1" ht="21.75" hidden="1" customHeight="1">
      <c r="A330" s="636"/>
      <c r="B330" s="467"/>
      <c r="C330" s="564"/>
      <c r="D330" s="2020"/>
      <c r="E330" s="2023"/>
      <c r="F330" s="593"/>
      <c r="G330" s="593"/>
      <c r="H330" s="643"/>
      <c r="I330" s="1899"/>
      <c r="J330" s="2105" t="s">
        <v>440</v>
      </c>
      <c r="K330" s="2082"/>
      <c r="L330" s="2082"/>
      <c r="M330" s="2082"/>
      <c r="N330" s="2075"/>
      <c r="O330" s="2075"/>
      <c r="P330" s="2075"/>
      <c r="Q330" s="2106"/>
      <c r="R330" s="2092"/>
      <c r="S330" s="2106"/>
      <c r="T330" s="2106"/>
      <c r="U330" s="2106"/>
      <c r="V330" s="2106"/>
      <c r="W330" s="2106"/>
      <c r="X330" s="1256" t="s">
        <v>1</v>
      </c>
      <c r="Y330" s="483">
        <f>S330*V330/1000</f>
        <v>0</v>
      </c>
      <c r="Z330" s="2106">
        <f>Y330*1000</f>
        <v>0</v>
      </c>
      <c r="AA330" s="565"/>
      <c r="AB330" s="669"/>
      <c r="AC330" s="565"/>
    </row>
    <row r="331" spans="1:29" s="763" customFormat="1" ht="21.75" hidden="1" customHeight="1">
      <c r="A331" s="636"/>
      <c r="B331" s="467"/>
      <c r="C331" s="564"/>
      <c r="D331" s="2034"/>
      <c r="E331" s="2023"/>
      <c r="F331" s="593"/>
      <c r="G331" s="593"/>
      <c r="H331" s="643"/>
      <c r="I331" s="1899"/>
      <c r="J331" s="2105" t="s">
        <v>441</v>
      </c>
      <c r="K331" s="2082"/>
      <c r="L331" s="2082"/>
      <c r="M331" s="2082"/>
      <c r="N331" s="2075"/>
      <c r="O331" s="2075"/>
      <c r="P331" s="2075"/>
      <c r="Q331" s="2106"/>
      <c r="R331" s="2092"/>
      <c r="S331" s="2106"/>
      <c r="T331" s="2106"/>
      <c r="U331" s="2106"/>
      <c r="V331" s="2106"/>
      <c r="W331" s="2106"/>
      <c r="X331" s="1256" t="s">
        <v>1</v>
      </c>
      <c r="Y331" s="483">
        <f>S331*V331/1000</f>
        <v>0</v>
      </c>
      <c r="Z331" s="2106">
        <f>Y331*1000</f>
        <v>0</v>
      </c>
      <c r="AA331" s="565"/>
      <c r="AB331" s="669"/>
      <c r="AC331" s="565"/>
    </row>
    <row r="332" spans="1:29" s="479" customFormat="1" ht="21.75" hidden="1" customHeight="1">
      <c r="A332" s="636"/>
      <c r="B332" s="467"/>
      <c r="C332" s="564"/>
      <c r="D332" s="2034"/>
      <c r="E332" s="2023"/>
      <c r="F332" s="593"/>
      <c r="G332" s="593"/>
      <c r="H332" s="643"/>
      <c r="I332" s="1899"/>
      <c r="J332" s="2105" t="s">
        <v>442</v>
      </c>
      <c r="K332" s="2082"/>
      <c r="L332" s="2082"/>
      <c r="M332" s="2082"/>
      <c r="N332" s="2075"/>
      <c r="O332" s="2075"/>
      <c r="P332" s="2075"/>
      <c r="Q332" s="2106"/>
      <c r="R332" s="2092"/>
      <c r="S332" s="2106"/>
      <c r="T332" s="2106"/>
      <c r="U332" s="2106"/>
      <c r="V332" s="2106"/>
      <c r="W332" s="2106"/>
      <c r="X332" s="1256" t="s">
        <v>1</v>
      </c>
      <c r="Y332" s="483">
        <f>S332*V332/1000</f>
        <v>0</v>
      </c>
      <c r="Z332" s="2106">
        <f>Y332*1000</f>
        <v>0</v>
      </c>
      <c r="AA332" s="565"/>
      <c r="AB332" s="669"/>
      <c r="AC332" s="480"/>
    </row>
    <row r="333" spans="1:29" s="763" customFormat="1" ht="21.75" hidden="1" customHeight="1">
      <c r="A333" s="636"/>
      <c r="B333" s="467"/>
      <c r="C333" s="564"/>
      <c r="D333" s="2034"/>
      <c r="E333" s="2023"/>
      <c r="F333" s="593"/>
      <c r="G333" s="593"/>
      <c r="H333" s="643"/>
      <c r="I333" s="1899"/>
      <c r="J333" s="2105" t="s">
        <v>443</v>
      </c>
      <c r="K333" s="2082"/>
      <c r="L333" s="2082"/>
      <c r="M333" s="2082"/>
      <c r="N333" s="2075"/>
      <c r="O333" s="2075"/>
      <c r="P333" s="2075"/>
      <c r="Q333" s="2106"/>
      <c r="R333" s="2092"/>
      <c r="S333" s="2106"/>
      <c r="T333" s="2106"/>
      <c r="U333" s="2106"/>
      <c r="V333" s="2106"/>
      <c r="W333" s="2106"/>
      <c r="X333" s="1256" t="s">
        <v>1</v>
      </c>
      <c r="Y333" s="483">
        <f>S333*V333/1000</f>
        <v>0</v>
      </c>
      <c r="Z333" s="2106">
        <f>Y333*1000</f>
        <v>0</v>
      </c>
      <c r="AA333" s="565"/>
      <c r="AB333" s="669"/>
      <c r="AC333" s="565"/>
    </row>
    <row r="334" spans="1:29" s="763" customFormat="1" ht="21.75" hidden="1" customHeight="1">
      <c r="A334" s="636"/>
      <c r="B334" s="2035"/>
      <c r="C334" s="564"/>
      <c r="D334" s="2034"/>
      <c r="E334" s="2023"/>
      <c r="F334" s="593"/>
      <c r="G334" s="593"/>
      <c r="H334" s="643"/>
      <c r="I334" s="1899"/>
      <c r="J334" s="2105" t="s">
        <v>444</v>
      </c>
      <c r="K334" s="2082"/>
      <c r="L334" s="2082"/>
      <c r="M334" s="2082"/>
      <c r="N334" s="2075"/>
      <c r="O334" s="2075"/>
      <c r="P334" s="2075"/>
      <c r="Q334" s="2106"/>
      <c r="R334" s="2092"/>
      <c r="S334" s="2106"/>
      <c r="T334" s="2106"/>
      <c r="U334" s="2075"/>
      <c r="V334" s="2106"/>
      <c r="W334" s="2106"/>
      <c r="X334" s="2030" t="s">
        <v>1</v>
      </c>
      <c r="Y334" s="483">
        <f>+Q334*S334*V334/1000</f>
        <v>0</v>
      </c>
      <c r="Z334" s="2106"/>
      <c r="AA334" s="565"/>
      <c r="AB334" s="669"/>
      <c r="AC334" s="565"/>
    </row>
    <row r="335" spans="1:29" s="763" customFormat="1" ht="21.75" hidden="1" customHeight="1">
      <c r="A335" s="636"/>
      <c r="B335" s="2035"/>
      <c r="C335" s="564"/>
      <c r="D335" s="2034"/>
      <c r="E335" s="2023"/>
      <c r="F335" s="593"/>
      <c r="G335" s="593"/>
      <c r="H335" s="643"/>
      <c r="I335" s="1899"/>
      <c r="J335" s="2105" t="s">
        <v>377</v>
      </c>
      <c r="K335" s="2082"/>
      <c r="L335" s="2082"/>
      <c r="M335" s="2082"/>
      <c r="N335" s="2075"/>
      <c r="O335" s="2075"/>
      <c r="P335" s="2075"/>
      <c r="Q335" s="2106"/>
      <c r="R335" s="2092"/>
      <c r="S335" s="2106"/>
      <c r="T335" s="2106"/>
      <c r="U335" s="2075"/>
      <c r="V335" s="2106"/>
      <c r="W335" s="2106"/>
      <c r="X335" s="2030" t="s">
        <v>1</v>
      </c>
      <c r="Y335" s="483">
        <f>+Q335*S335*V335/1000</f>
        <v>0</v>
      </c>
      <c r="Z335" s="2106"/>
      <c r="AA335" s="565"/>
      <c r="AB335" s="669"/>
      <c r="AC335" s="565"/>
    </row>
    <row r="336" spans="1:29" s="763" customFormat="1" ht="21.75" hidden="1" customHeight="1">
      <c r="A336" s="636"/>
      <c r="B336" s="2958"/>
      <c r="C336" s="624"/>
      <c r="D336" s="2034"/>
      <c r="E336" s="2023" t="s">
        <v>451</v>
      </c>
      <c r="F336" s="593">
        <f>+Y336</f>
        <v>0</v>
      </c>
      <c r="G336" s="593">
        <v>0</v>
      </c>
      <c r="H336" s="643"/>
      <c r="I336" s="1899"/>
      <c r="J336" s="2105" t="s">
        <v>2057</v>
      </c>
      <c r="K336" s="2082"/>
      <c r="L336" s="2082"/>
      <c r="M336" s="2082"/>
      <c r="N336" s="2075"/>
      <c r="O336" s="2075"/>
      <c r="P336" s="2075"/>
      <c r="Q336" s="2106"/>
      <c r="R336" s="2092"/>
      <c r="S336" s="2106"/>
      <c r="T336" s="2106"/>
      <c r="U336" s="2106"/>
      <c r="V336" s="2106"/>
      <c r="W336" s="2106"/>
      <c r="X336" s="1256" t="s">
        <v>1</v>
      </c>
      <c r="Y336" s="483">
        <f>+S336*V336/1000</f>
        <v>0</v>
      </c>
      <c r="Z336" s="2106">
        <f>Y336*1000</f>
        <v>0</v>
      </c>
      <c r="AA336" s="565"/>
      <c r="AB336" s="669"/>
      <c r="AC336" s="565"/>
    </row>
    <row r="337" spans="1:29" s="763" customFormat="1" ht="21.75" hidden="1" customHeight="1">
      <c r="A337" s="636"/>
      <c r="B337" s="2035"/>
      <c r="C337" s="624"/>
      <c r="D337" s="2034"/>
      <c r="E337" s="2023" t="s">
        <v>384</v>
      </c>
      <c r="F337" s="593">
        <f>+Y337</f>
        <v>0</v>
      </c>
      <c r="G337" s="593">
        <v>0</v>
      </c>
      <c r="H337" s="643"/>
      <c r="I337" s="1899"/>
      <c r="J337" s="2105" t="s">
        <v>2057</v>
      </c>
      <c r="K337" s="2082"/>
      <c r="L337" s="2082"/>
      <c r="M337" s="2082"/>
      <c r="N337" s="2075"/>
      <c r="O337" s="2075"/>
      <c r="P337" s="2075"/>
      <c r="Q337" s="2106"/>
      <c r="R337" s="2092"/>
      <c r="S337" s="2106"/>
      <c r="T337" s="2106"/>
      <c r="U337" s="2106"/>
      <c r="V337" s="2106"/>
      <c r="W337" s="2106"/>
      <c r="X337" s="1256" t="s">
        <v>1</v>
      </c>
      <c r="Y337" s="483">
        <f>+S337*V337/1000</f>
        <v>0</v>
      </c>
      <c r="Z337" s="2106">
        <f>Y337*1000</f>
        <v>0</v>
      </c>
      <c r="AA337" s="565"/>
      <c r="AB337" s="669"/>
      <c r="AC337" s="565"/>
    </row>
    <row r="338" spans="1:29" ht="21.75" customHeight="1">
      <c r="A338" s="2957"/>
      <c r="B338" s="2035"/>
      <c r="C338" s="1386" t="s">
        <v>918</v>
      </c>
      <c r="D338" s="3443"/>
      <c r="E338" s="3444"/>
      <c r="F338" s="1588">
        <f>F339</f>
        <v>40000</v>
      </c>
      <c r="G338" s="1588">
        <f>G339</f>
        <v>40000</v>
      </c>
      <c r="H338" s="486">
        <f>F338-G338</f>
        <v>0</v>
      </c>
      <c r="I338" s="1899"/>
      <c r="J338" s="604"/>
      <c r="K338" s="605"/>
      <c r="L338" s="605"/>
      <c r="M338" s="605"/>
      <c r="N338" s="605"/>
      <c r="O338" s="605"/>
      <c r="P338" s="2074"/>
      <c r="Q338" s="609"/>
      <c r="R338" s="607"/>
      <c r="S338" s="609"/>
      <c r="T338" s="609"/>
      <c r="U338" s="2074"/>
      <c r="V338" s="609"/>
      <c r="W338" s="609"/>
      <c r="X338" s="610"/>
      <c r="Y338" s="490"/>
      <c r="Z338" s="2016">
        <f>Z339</f>
        <v>69000000</v>
      </c>
      <c r="AB338" s="669"/>
    </row>
    <row r="339" spans="1:29" s="1620" customFormat="1" ht="21.75" customHeight="1">
      <c r="A339" s="2957"/>
      <c r="B339" s="2035"/>
      <c r="C339" s="2013"/>
      <c r="D339" s="3996" t="s">
        <v>919</v>
      </c>
      <c r="E339" s="3997"/>
      <c r="F339" s="1529">
        <f>SUM(F340:F348)</f>
        <v>40000</v>
      </c>
      <c r="G339" s="1529">
        <f>SUM(G340:G348)</f>
        <v>40000</v>
      </c>
      <c r="H339" s="1380">
        <f>F339-G339</f>
        <v>0</v>
      </c>
      <c r="I339" s="3445"/>
      <c r="J339" s="1074"/>
      <c r="K339" s="3438"/>
      <c r="L339" s="3438"/>
      <c r="M339" s="3438"/>
      <c r="N339" s="3438"/>
      <c r="O339" s="3438"/>
      <c r="P339" s="1075"/>
      <c r="Q339" s="3438"/>
      <c r="R339" s="1259"/>
      <c r="S339" s="1075"/>
      <c r="T339" s="3438"/>
      <c r="U339" s="3438"/>
      <c r="V339" s="1075"/>
      <c r="W339" s="3438"/>
      <c r="X339" s="1260"/>
      <c r="Y339" s="940"/>
      <c r="Z339" s="487">
        <f>SUM(Z340:Z348)</f>
        <v>69000000</v>
      </c>
      <c r="AA339" s="1356"/>
      <c r="AB339" s="669"/>
    </row>
    <row r="340" spans="1:29" s="763" customFormat="1" ht="21.75" customHeight="1">
      <c r="A340" s="2957"/>
      <c r="B340" s="2035"/>
      <c r="C340" s="2013"/>
      <c r="D340" s="1530"/>
      <c r="E340" s="677" t="s">
        <v>388</v>
      </c>
      <c r="F340" s="941">
        <f>+Y340</f>
        <v>29000</v>
      </c>
      <c r="G340" s="678">
        <v>29000</v>
      </c>
      <c r="H340" s="680"/>
      <c r="I340" s="2598"/>
      <c r="J340" s="681" t="s">
        <v>8</v>
      </c>
      <c r="K340" s="3515"/>
      <c r="L340" s="3515"/>
      <c r="M340" s="3515"/>
      <c r="N340" s="3515"/>
      <c r="O340" s="3515"/>
      <c r="P340" s="683"/>
      <c r="Q340" s="684"/>
      <c r="R340" s="3524"/>
      <c r="S340" s="684"/>
      <c r="T340" s="684"/>
      <c r="U340" s="683"/>
      <c r="V340" s="684"/>
      <c r="W340" s="684"/>
      <c r="X340" s="686"/>
      <c r="Y340" s="490">
        <f t="shared" ref="Y340" si="22">+Z340/1000</f>
        <v>29000</v>
      </c>
      <c r="Z340" s="736">
        <f>+Z341+Z342</f>
        <v>29000000</v>
      </c>
      <c r="AA340" s="308"/>
      <c r="AB340" s="669"/>
      <c r="AC340" s="565"/>
    </row>
    <row r="341" spans="1:29" s="763" customFormat="1" ht="21.75" customHeight="1">
      <c r="A341" s="2957"/>
      <c r="B341" s="2035"/>
      <c r="C341" s="2050"/>
      <c r="D341" s="676"/>
      <c r="E341" s="677"/>
      <c r="F341" s="678"/>
      <c r="G341" s="678"/>
      <c r="H341" s="680"/>
      <c r="I341" s="2598"/>
      <c r="J341" s="681" t="s">
        <v>2502</v>
      </c>
      <c r="K341" s="3515"/>
      <c r="L341" s="3515"/>
      <c r="M341" s="3515"/>
      <c r="N341" s="3515"/>
      <c r="O341" s="3515"/>
      <c r="P341" s="683"/>
      <c r="Q341" s="684">
        <v>1</v>
      </c>
      <c r="R341" s="3524" t="s">
        <v>25</v>
      </c>
      <c r="S341" s="684">
        <v>2000000</v>
      </c>
      <c r="T341" s="684" t="s">
        <v>0</v>
      </c>
      <c r="U341" s="683"/>
      <c r="V341" s="684">
        <v>10</v>
      </c>
      <c r="W341" s="684" t="s">
        <v>29</v>
      </c>
      <c r="X341" s="686" t="s">
        <v>1</v>
      </c>
      <c r="Y341" s="3110">
        <f>+Z341/1000</f>
        <v>20000</v>
      </c>
      <c r="Z341" s="736">
        <f>Q341*S341*V341</f>
        <v>20000000</v>
      </c>
      <c r="AA341" s="308"/>
      <c r="AB341" s="669"/>
      <c r="AC341" s="565"/>
    </row>
    <row r="342" spans="1:29" s="763" customFormat="1" ht="21.75" customHeight="1">
      <c r="A342" s="2957"/>
      <c r="B342" s="2035"/>
      <c r="C342" s="548"/>
      <c r="D342" s="676"/>
      <c r="E342" s="677"/>
      <c r="F342" s="1261"/>
      <c r="G342" s="1261"/>
      <c r="H342" s="680"/>
      <c r="I342" s="2598"/>
      <c r="J342" s="681" t="s">
        <v>2503</v>
      </c>
      <c r="K342" s="3515"/>
      <c r="L342" s="3515"/>
      <c r="M342" s="3515"/>
      <c r="N342" s="3525"/>
      <c r="O342" s="3525"/>
      <c r="P342" s="3525"/>
      <c r="Q342" s="684">
        <v>1</v>
      </c>
      <c r="R342" s="3524" t="s">
        <v>257</v>
      </c>
      <c r="S342" s="684">
        <v>1500000</v>
      </c>
      <c r="T342" s="684" t="s">
        <v>4</v>
      </c>
      <c r="U342" s="683"/>
      <c r="V342" s="684">
        <v>6</v>
      </c>
      <c r="W342" s="684" t="s">
        <v>231</v>
      </c>
      <c r="X342" s="686" t="s">
        <v>5</v>
      </c>
      <c r="Y342" s="3110">
        <f>+Z342/1000</f>
        <v>9000</v>
      </c>
      <c r="Z342" s="3166">
        <f t="shared" ref="Z342" si="23">ROUNDUP(S342*V342,-3)</f>
        <v>9000000</v>
      </c>
      <c r="AA342" s="308"/>
      <c r="AB342" s="669"/>
      <c r="AC342" s="565"/>
    </row>
    <row r="343" spans="1:29" s="763" customFormat="1" ht="21.75" customHeight="1">
      <c r="A343" s="2957"/>
      <c r="B343" s="2035"/>
      <c r="C343" s="2013"/>
      <c r="D343" s="676"/>
      <c r="E343" s="677" t="s">
        <v>264</v>
      </c>
      <c r="F343" s="941">
        <f t="shared" ref="F343:F348" si="24">+Y343</f>
        <v>500</v>
      </c>
      <c r="G343" s="678">
        <v>500</v>
      </c>
      <c r="H343" s="680"/>
      <c r="I343" s="2598"/>
      <c r="J343" s="681" t="s">
        <v>366</v>
      </c>
      <c r="K343" s="3515"/>
      <c r="L343" s="3515"/>
      <c r="M343" s="3515"/>
      <c r="N343" s="3515"/>
      <c r="O343" s="3515"/>
      <c r="P343" s="683"/>
      <c r="Q343" s="684"/>
      <c r="R343" s="3524"/>
      <c r="S343" s="684">
        <v>500000</v>
      </c>
      <c r="T343" s="684" t="s">
        <v>0</v>
      </c>
      <c r="U343" s="683"/>
      <c r="V343" s="684">
        <v>1</v>
      </c>
      <c r="W343" s="3524" t="s">
        <v>3</v>
      </c>
      <c r="X343" s="686" t="s">
        <v>1</v>
      </c>
      <c r="Y343" s="3110">
        <f t="shared" ref="Y343:Y348" si="25">+Z343/1000</f>
        <v>500</v>
      </c>
      <c r="Z343" s="736">
        <f t="shared" ref="Z343:Z348" si="26">S343*V343</f>
        <v>500000</v>
      </c>
      <c r="AA343" s="308"/>
      <c r="AB343" s="669"/>
      <c r="AC343" s="565"/>
    </row>
    <row r="344" spans="1:29" s="763" customFormat="1" ht="21.75" customHeight="1">
      <c r="A344" s="2957"/>
      <c r="B344" s="2035"/>
      <c r="C344" s="2050"/>
      <c r="D344" s="693"/>
      <c r="E344" s="677" t="s">
        <v>906</v>
      </c>
      <c r="F344" s="941">
        <f t="shared" si="24"/>
        <v>9000</v>
      </c>
      <c r="G344" s="678">
        <v>9000</v>
      </c>
      <c r="H344" s="680"/>
      <c r="I344" s="2598"/>
      <c r="J344" s="681" t="s">
        <v>2504</v>
      </c>
      <c r="K344" s="3515"/>
      <c r="L344" s="3515"/>
      <c r="M344" s="3515"/>
      <c r="N344" s="3515"/>
      <c r="O344" s="3515"/>
      <c r="P344" s="683"/>
      <c r="Q344" s="684"/>
      <c r="R344" s="3524"/>
      <c r="S344" s="684">
        <v>900000</v>
      </c>
      <c r="T344" s="684" t="s">
        <v>0</v>
      </c>
      <c r="U344" s="683"/>
      <c r="V344" s="684">
        <v>10</v>
      </c>
      <c r="W344" s="684" t="s">
        <v>230</v>
      </c>
      <c r="X344" s="686" t="s">
        <v>5</v>
      </c>
      <c r="Y344" s="3110">
        <f t="shared" si="25"/>
        <v>9000</v>
      </c>
      <c r="Z344" s="736">
        <f t="shared" si="26"/>
        <v>9000000</v>
      </c>
      <c r="AA344" s="308"/>
      <c r="AB344" s="669"/>
      <c r="AC344" s="565"/>
    </row>
    <row r="345" spans="1:29" s="763" customFormat="1" ht="21.75" customHeight="1">
      <c r="A345" s="2957"/>
      <c r="B345" s="2035"/>
      <c r="C345" s="2050"/>
      <c r="D345" s="676"/>
      <c r="E345" s="677" t="s">
        <v>15</v>
      </c>
      <c r="F345" s="941">
        <f t="shared" si="24"/>
        <v>200</v>
      </c>
      <c r="G345" s="678">
        <v>200</v>
      </c>
      <c r="H345" s="680"/>
      <c r="I345" s="2598"/>
      <c r="J345" s="681" t="s">
        <v>2505</v>
      </c>
      <c r="K345" s="3515"/>
      <c r="L345" s="3515"/>
      <c r="M345" s="3515"/>
      <c r="N345" s="3515"/>
      <c r="O345" s="3515"/>
      <c r="P345" s="683"/>
      <c r="Q345" s="684"/>
      <c r="R345" s="3524"/>
      <c r="S345" s="684">
        <v>50000</v>
      </c>
      <c r="T345" s="684" t="s">
        <v>0</v>
      </c>
      <c r="U345" s="683"/>
      <c r="V345" s="684">
        <v>4</v>
      </c>
      <c r="W345" s="684" t="s">
        <v>39</v>
      </c>
      <c r="X345" s="686" t="s">
        <v>1</v>
      </c>
      <c r="Y345" s="3110">
        <f t="shared" si="25"/>
        <v>200</v>
      </c>
      <c r="Z345" s="736">
        <f t="shared" si="26"/>
        <v>200000</v>
      </c>
      <c r="AA345" s="308"/>
      <c r="AB345" s="669"/>
      <c r="AC345" s="565"/>
    </row>
    <row r="346" spans="1:29" s="2051" customFormat="1" ht="21.75" customHeight="1">
      <c r="A346" s="3381"/>
      <c r="B346" s="2035"/>
      <c r="C346" s="2050"/>
      <c r="D346" s="676"/>
      <c r="E346" s="677" t="s">
        <v>262</v>
      </c>
      <c r="F346" s="941">
        <f t="shared" si="24"/>
        <v>600</v>
      </c>
      <c r="G346" s="678">
        <v>600</v>
      </c>
      <c r="H346" s="680"/>
      <c r="I346" s="2598"/>
      <c r="J346" s="681" t="s">
        <v>5256</v>
      </c>
      <c r="K346" s="3515"/>
      <c r="L346" s="3515"/>
      <c r="M346" s="3515"/>
      <c r="N346" s="3515"/>
      <c r="O346" s="3515"/>
      <c r="P346" s="683"/>
      <c r="Q346" s="684"/>
      <c r="R346" s="3524"/>
      <c r="S346" s="684">
        <v>150000</v>
      </c>
      <c r="T346" s="684" t="s">
        <v>0</v>
      </c>
      <c r="U346" s="683"/>
      <c r="V346" s="684">
        <v>4</v>
      </c>
      <c r="W346" s="684" t="s">
        <v>230</v>
      </c>
      <c r="X346" s="686" t="s">
        <v>1</v>
      </c>
      <c r="Y346" s="3110">
        <f t="shared" si="25"/>
        <v>600</v>
      </c>
      <c r="Z346" s="736">
        <f t="shared" si="26"/>
        <v>600000</v>
      </c>
      <c r="AA346" s="308"/>
      <c r="AB346" s="669"/>
      <c r="AC346" s="2033"/>
    </row>
    <row r="347" spans="1:29" s="2051" customFormat="1" ht="21.75" customHeight="1">
      <c r="A347" s="3381"/>
      <c r="B347" s="2035"/>
      <c r="C347" s="2050"/>
      <c r="D347" s="676"/>
      <c r="E347" s="677" t="s">
        <v>17</v>
      </c>
      <c r="F347" s="941">
        <f t="shared" si="24"/>
        <v>200</v>
      </c>
      <c r="G347" s="678">
        <v>200</v>
      </c>
      <c r="H347" s="680"/>
      <c r="I347" s="2598"/>
      <c r="J347" s="681" t="s">
        <v>923</v>
      </c>
      <c r="K347" s="3515"/>
      <c r="L347" s="3515"/>
      <c r="M347" s="3515"/>
      <c r="N347" s="3515"/>
      <c r="O347" s="3515"/>
      <c r="P347" s="683"/>
      <c r="Q347" s="684"/>
      <c r="R347" s="3524"/>
      <c r="S347" s="684">
        <v>100000</v>
      </c>
      <c r="T347" s="684" t="s">
        <v>0</v>
      </c>
      <c r="U347" s="683"/>
      <c r="V347" s="684">
        <v>2</v>
      </c>
      <c r="W347" s="3524" t="s">
        <v>3</v>
      </c>
      <c r="X347" s="686" t="s">
        <v>1</v>
      </c>
      <c r="Y347" s="3110">
        <f t="shared" si="25"/>
        <v>200</v>
      </c>
      <c r="Z347" s="736">
        <f t="shared" si="26"/>
        <v>200000</v>
      </c>
      <c r="AA347" s="308"/>
      <c r="AB347" s="669"/>
      <c r="AC347" s="2033"/>
    </row>
    <row r="348" spans="1:29" s="763" customFormat="1" ht="21.75" customHeight="1" thickBot="1">
      <c r="A348" s="2957"/>
      <c r="B348" s="2035"/>
      <c r="C348" s="2013"/>
      <c r="D348" s="676"/>
      <c r="E348" s="677" t="s">
        <v>14</v>
      </c>
      <c r="F348" s="941">
        <f t="shared" si="24"/>
        <v>500</v>
      </c>
      <c r="G348" s="678">
        <v>500</v>
      </c>
      <c r="H348" s="680"/>
      <c r="I348" s="2598"/>
      <c r="J348" s="681" t="s">
        <v>924</v>
      </c>
      <c r="K348" s="3515"/>
      <c r="L348" s="3515"/>
      <c r="M348" s="3515"/>
      <c r="N348" s="3515"/>
      <c r="O348" s="3515"/>
      <c r="P348" s="683"/>
      <c r="Q348" s="684"/>
      <c r="R348" s="3524"/>
      <c r="S348" s="684">
        <v>100000</v>
      </c>
      <c r="T348" s="684" t="s">
        <v>0</v>
      </c>
      <c r="U348" s="683"/>
      <c r="V348" s="684">
        <v>5</v>
      </c>
      <c r="W348" s="3524" t="s">
        <v>3</v>
      </c>
      <c r="X348" s="686" t="s">
        <v>1</v>
      </c>
      <c r="Y348" s="522">
        <f t="shared" si="25"/>
        <v>500</v>
      </c>
      <c r="Z348" s="736">
        <f t="shared" si="26"/>
        <v>500000</v>
      </c>
      <c r="AA348" s="308"/>
      <c r="AB348" s="669"/>
      <c r="AC348" s="565"/>
    </row>
    <row r="349" spans="1:29" ht="21.75" customHeight="1" thickBot="1">
      <c r="A349" s="1595"/>
      <c r="B349" s="1596" t="s">
        <v>2586</v>
      </c>
      <c r="C349" s="1152"/>
      <c r="D349" s="1152"/>
      <c r="E349" s="1153"/>
      <c r="F349" s="1597">
        <f>+F350</f>
        <v>66000</v>
      </c>
      <c r="G349" s="1597">
        <f>+G350</f>
        <v>66000</v>
      </c>
      <c r="H349" s="1598">
        <f>F349-G349</f>
        <v>0</v>
      </c>
      <c r="I349" s="896"/>
      <c r="J349" s="1599"/>
      <c r="K349" s="1600"/>
      <c r="L349" s="1600"/>
      <c r="M349" s="1600"/>
      <c r="N349" s="1600"/>
      <c r="O349" s="1600"/>
      <c r="P349" s="1600"/>
      <c r="Q349" s="1600"/>
      <c r="R349" s="1600"/>
      <c r="S349" s="1600"/>
      <c r="T349" s="1600"/>
      <c r="U349" s="1600"/>
      <c r="V349" s="1600"/>
      <c r="W349" s="1600"/>
      <c r="X349" s="1600"/>
      <c r="Y349" s="1601"/>
      <c r="Z349" s="2106"/>
      <c r="AB349" s="669"/>
    </row>
    <row r="350" spans="1:29" s="763" customFormat="1" ht="21.75" customHeight="1">
      <c r="A350" s="1295"/>
      <c r="B350" s="1580"/>
      <c r="C350" s="3908" t="s">
        <v>201</v>
      </c>
      <c r="D350" s="3909"/>
      <c r="E350" s="3910"/>
      <c r="F350" s="1297">
        <f>+F351+F361+F384</f>
        <v>66000</v>
      </c>
      <c r="G350" s="1297">
        <f>+G351+G361+G384</f>
        <v>66000</v>
      </c>
      <c r="H350" s="1298">
        <f>F350-G350</f>
        <v>0</v>
      </c>
      <c r="I350" s="2969"/>
      <c r="J350" s="1602"/>
      <c r="K350" s="1603"/>
      <c r="L350" s="1603"/>
      <c r="M350" s="1603"/>
      <c r="N350" s="1603"/>
      <c r="O350" s="1603"/>
      <c r="P350" s="1604"/>
      <c r="Q350" s="1605"/>
      <c r="R350" s="2083"/>
      <c r="S350" s="1302"/>
      <c r="T350" s="1301"/>
      <c r="U350" s="1302"/>
      <c r="V350" s="1301"/>
      <c r="W350" s="1301"/>
      <c r="X350" s="1606"/>
      <c r="Y350" s="1458"/>
      <c r="Z350" s="1664"/>
      <c r="AA350" s="308"/>
      <c r="AB350" s="669"/>
      <c r="AC350" s="565"/>
    </row>
    <row r="351" spans="1:29" s="1609" customFormat="1" ht="21.75" customHeight="1">
      <c r="A351" s="2957"/>
      <c r="B351" s="2035"/>
      <c r="C351" s="2013"/>
      <c r="D351" s="3911" t="s">
        <v>278</v>
      </c>
      <c r="E351" s="3912"/>
      <c r="F351" s="512">
        <f>F352+F357+F358</f>
        <v>60000</v>
      </c>
      <c r="G351" s="512">
        <f>G352+G357+G358</f>
        <v>60000</v>
      </c>
      <c r="H351" s="495">
        <f>F351-G351</f>
        <v>0</v>
      </c>
      <c r="I351" s="1899"/>
      <c r="J351" s="1306"/>
      <c r="K351" s="1307"/>
      <c r="L351" s="1307"/>
      <c r="M351" s="1307"/>
      <c r="N351" s="1307"/>
      <c r="O351" s="1307"/>
      <c r="P351" s="1308"/>
      <c r="Q351" s="1309"/>
      <c r="R351" s="2090"/>
      <c r="S351" s="1310"/>
      <c r="T351" s="2101"/>
      <c r="U351" s="1310"/>
      <c r="V351" s="2101"/>
      <c r="W351" s="2101"/>
      <c r="X351" s="1558"/>
      <c r="Y351" s="1311"/>
      <c r="Z351" s="2016">
        <f>+Z352+Z358+Z357</f>
        <v>60000000</v>
      </c>
      <c r="AA351" s="1608"/>
      <c r="AB351" s="669"/>
      <c r="AC351" s="1608"/>
    </row>
    <row r="352" spans="1:29" ht="21.75" hidden="1" customHeight="1">
      <c r="A352" s="2957"/>
      <c r="B352" s="2035"/>
      <c r="C352" s="2013"/>
      <c r="D352" s="2013"/>
      <c r="E352" s="624" t="s">
        <v>602</v>
      </c>
      <c r="F352" s="824">
        <f>+Y352</f>
        <v>52000</v>
      </c>
      <c r="G352" s="824">
        <v>52000</v>
      </c>
      <c r="H352" s="486"/>
      <c r="I352" s="1899"/>
      <c r="J352" s="1312" t="s">
        <v>224</v>
      </c>
      <c r="K352" s="1313"/>
      <c r="L352" s="1313"/>
      <c r="M352" s="1313"/>
      <c r="N352" s="889"/>
      <c r="O352" s="889"/>
      <c r="P352" s="1313"/>
      <c r="Q352" s="1314"/>
      <c r="R352" s="473"/>
      <c r="S352" s="473"/>
      <c r="T352" s="473"/>
      <c r="U352" s="473"/>
      <c r="V352" s="473"/>
      <c r="W352" s="473"/>
      <c r="X352" s="542"/>
      <c r="Y352" s="478">
        <f>+INT(Z352/1000)</f>
        <v>52000</v>
      </c>
      <c r="Z352" s="473">
        <f>+Z353+Z355</f>
        <v>52000000</v>
      </c>
      <c r="AB352" s="669"/>
    </row>
    <row r="353" spans="1:340" s="1609" customFormat="1" ht="21.75" hidden="1" customHeight="1">
      <c r="A353" s="2957"/>
      <c r="B353" s="2035"/>
      <c r="C353" s="631"/>
      <c r="D353" s="2013"/>
      <c r="E353" s="624"/>
      <c r="F353" s="824"/>
      <c r="G353" s="824"/>
      <c r="H353" s="551"/>
      <c r="I353" s="1899"/>
      <c r="J353" s="1312" t="s">
        <v>744</v>
      </c>
      <c r="K353" s="1315"/>
      <c r="L353" s="886"/>
      <c r="M353" s="886"/>
      <c r="N353" s="889"/>
      <c r="O353" s="889"/>
      <c r="P353" s="1313"/>
      <c r="Q353" s="1314" t="s">
        <v>265</v>
      </c>
      <c r="R353" s="473" t="s">
        <v>378</v>
      </c>
      <c r="S353" s="1316"/>
      <c r="T353" s="473"/>
      <c r="U353" s="473"/>
      <c r="V353" s="473"/>
      <c r="W353" s="473"/>
      <c r="X353" s="542"/>
      <c r="Y353" s="3110">
        <f t="shared" ref="Y353:Y360" si="27">+Z353/1000</f>
        <v>48000</v>
      </c>
      <c r="Z353" s="473">
        <f>SUM(Z354:Z354)</f>
        <v>48000000</v>
      </c>
      <c r="AA353" s="1608"/>
      <c r="AB353" s="669"/>
      <c r="AC353" s="1608"/>
    </row>
    <row r="354" spans="1:340" s="763" customFormat="1" ht="21.75" hidden="1" customHeight="1">
      <c r="A354" s="2957"/>
      <c r="B354" s="2035"/>
      <c r="C354" s="631"/>
      <c r="D354" s="2013"/>
      <c r="E354" s="624"/>
      <c r="F354" s="824"/>
      <c r="G354" s="824"/>
      <c r="H354" s="551"/>
      <c r="I354" s="1899"/>
      <c r="J354" s="1312"/>
      <c r="K354" s="1317" t="s">
        <v>745</v>
      </c>
      <c r="L354" s="886"/>
      <c r="M354" s="886"/>
      <c r="N354" s="1318"/>
      <c r="O354" s="1313"/>
      <c r="P354" s="1313"/>
      <c r="Q354" s="1314" t="s">
        <v>522</v>
      </c>
      <c r="R354" s="473" t="s">
        <v>227</v>
      </c>
      <c r="S354" s="474">
        <v>4800000</v>
      </c>
      <c r="T354" s="473" t="s">
        <v>37</v>
      </c>
      <c r="U354" s="473"/>
      <c r="V354" s="473">
        <v>1</v>
      </c>
      <c r="W354" s="473" t="s">
        <v>228</v>
      </c>
      <c r="X354" s="542" t="s">
        <v>38</v>
      </c>
      <c r="Y354" s="3110">
        <f t="shared" si="27"/>
        <v>48000</v>
      </c>
      <c r="Z354" s="474">
        <f>ROUNDUP(S354*Q354*V354,-3)</f>
        <v>48000000</v>
      </c>
      <c r="AA354" s="308"/>
      <c r="AB354" s="669"/>
      <c r="AC354" s="565"/>
    </row>
    <row r="355" spans="1:340" s="1609" customFormat="1" ht="21.75" hidden="1" customHeight="1">
      <c r="A355" s="2957"/>
      <c r="B355" s="2035"/>
      <c r="C355" s="631"/>
      <c r="D355" s="2013"/>
      <c r="E355" s="624"/>
      <c r="F355" s="824"/>
      <c r="G355" s="824"/>
      <c r="H355" s="551"/>
      <c r="I355" s="1899"/>
      <c r="J355" s="1312" t="s">
        <v>748</v>
      </c>
      <c r="K355" s="1315"/>
      <c r="L355" s="886"/>
      <c r="M355" s="886"/>
      <c r="N355" s="1318"/>
      <c r="O355" s="1313"/>
      <c r="P355" s="1313"/>
      <c r="Q355" s="1314"/>
      <c r="R355" s="2082"/>
      <c r="S355" s="473"/>
      <c r="T355" s="2082"/>
      <c r="U355" s="473"/>
      <c r="V355" s="473"/>
      <c r="W355" s="473"/>
      <c r="X355" s="542"/>
      <c r="Y355" s="3110">
        <f t="shared" si="27"/>
        <v>4000</v>
      </c>
      <c r="Z355" s="474">
        <f>SUM(Z356:Z356)</f>
        <v>4000000</v>
      </c>
      <c r="AA355" s="1608"/>
      <c r="AB355" s="669"/>
      <c r="AC355" s="1608"/>
    </row>
    <row r="356" spans="1:340" s="1609" customFormat="1" ht="21.75" hidden="1" customHeight="1">
      <c r="A356" s="2957"/>
      <c r="B356" s="2035"/>
      <c r="C356" s="631"/>
      <c r="D356" s="2013"/>
      <c r="E356" s="624"/>
      <c r="F356" s="824"/>
      <c r="G356" s="824"/>
      <c r="H356" s="551"/>
      <c r="I356" s="1899"/>
      <c r="J356" s="1312"/>
      <c r="K356" s="1317" t="s">
        <v>745</v>
      </c>
      <c r="L356" s="886"/>
      <c r="M356" s="886"/>
      <c r="N356" s="1318"/>
      <c r="O356" s="1313"/>
      <c r="P356" s="1313"/>
      <c r="Q356" s="1314" t="s">
        <v>522</v>
      </c>
      <c r="R356" s="473" t="s">
        <v>227</v>
      </c>
      <c r="S356" s="474">
        <v>400000</v>
      </c>
      <c r="T356" s="473" t="s">
        <v>37</v>
      </c>
      <c r="U356" s="473"/>
      <c r="V356" s="473">
        <v>1</v>
      </c>
      <c r="W356" s="473" t="s">
        <v>228</v>
      </c>
      <c r="X356" s="542" t="s">
        <v>38</v>
      </c>
      <c r="Y356" s="478">
        <f t="shared" si="27"/>
        <v>4000</v>
      </c>
      <c r="Z356" s="474">
        <f>ROUNDUP(S356*Q356*V356,-3)</f>
        <v>4000000</v>
      </c>
      <c r="AA356" s="1608"/>
      <c r="AB356" s="669"/>
      <c r="AC356" s="1608"/>
    </row>
    <row r="357" spans="1:340" s="1612" customFormat="1" ht="21.75" hidden="1" customHeight="1">
      <c r="A357" s="2957"/>
      <c r="B357" s="2035"/>
      <c r="C357" s="631"/>
      <c r="D357" s="2013"/>
      <c r="E357" s="1319" t="s">
        <v>601</v>
      </c>
      <c r="F357" s="598">
        <f>Y357</f>
        <v>0</v>
      </c>
      <c r="G357" s="842">
        <v>0</v>
      </c>
      <c r="H357" s="1320"/>
      <c r="I357" s="1899"/>
      <c r="J357" s="1348" t="s">
        <v>1706</v>
      </c>
      <c r="K357" s="1322"/>
      <c r="L357" s="1323"/>
      <c r="M357" s="1323"/>
      <c r="N357" s="1324"/>
      <c r="O357" s="1324"/>
      <c r="P357" s="1322"/>
      <c r="Q357" s="1325"/>
      <c r="R357" s="1326"/>
      <c r="S357" s="608"/>
      <c r="T357" s="1326"/>
      <c r="U357" s="1327"/>
      <c r="V357" s="1326"/>
      <c r="W357" s="1328"/>
      <c r="X357" s="1559"/>
      <c r="Y357" s="1607"/>
      <c r="Z357" s="473">
        <v>0</v>
      </c>
      <c r="AA357" s="1611"/>
      <c r="AB357" s="669"/>
      <c r="AC357" s="1611"/>
    </row>
    <row r="358" spans="1:340" s="1609" customFormat="1" ht="21.75" hidden="1" customHeight="1">
      <c r="A358" s="2957"/>
      <c r="B358" s="2035"/>
      <c r="C358" s="631"/>
      <c r="D358" s="2013"/>
      <c r="E358" s="1319" t="s">
        <v>718</v>
      </c>
      <c r="F358" s="842">
        <f>Y358</f>
        <v>8000</v>
      </c>
      <c r="G358" s="842">
        <v>8000</v>
      </c>
      <c r="H358" s="1320"/>
      <c r="I358" s="1899"/>
      <c r="J358" s="1566" t="s">
        <v>1713</v>
      </c>
      <c r="K358" s="1322"/>
      <c r="L358" s="1322"/>
      <c r="M358" s="1322"/>
      <c r="N358" s="1324"/>
      <c r="O358" s="1324"/>
      <c r="P358" s="1322"/>
      <c r="Q358" s="1325"/>
      <c r="R358" s="1326"/>
      <c r="S358" s="1326"/>
      <c r="T358" s="1326"/>
      <c r="U358" s="1326"/>
      <c r="V358" s="1326"/>
      <c r="W358" s="1326"/>
      <c r="X358" s="1559"/>
      <c r="Y358" s="3110">
        <f t="shared" si="27"/>
        <v>8000</v>
      </c>
      <c r="Z358" s="473">
        <f>SUM(Z359:Z360)</f>
        <v>8000000</v>
      </c>
      <c r="AA358" s="1608"/>
      <c r="AB358" s="669"/>
      <c r="AC358" s="1608"/>
    </row>
    <row r="359" spans="1:340" s="1609" customFormat="1" ht="21.75" hidden="1" customHeight="1">
      <c r="A359" s="472"/>
      <c r="B359" s="624"/>
      <c r="C359" s="564"/>
      <c r="D359" s="2013"/>
      <c r="E359" s="624"/>
      <c r="F359" s="824"/>
      <c r="G359" s="824"/>
      <c r="H359" s="551"/>
      <c r="I359" s="1899"/>
      <c r="J359" s="1312" t="s">
        <v>835</v>
      </c>
      <c r="K359" s="1313"/>
      <c r="L359" s="1313"/>
      <c r="M359" s="1313"/>
      <c r="N359" s="889"/>
      <c r="O359" s="1313"/>
      <c r="P359" s="1313"/>
      <c r="Q359" s="1314"/>
      <c r="R359" s="473"/>
      <c r="S359" s="474">
        <f>+(Y353+Y355)*1000</f>
        <v>52000000</v>
      </c>
      <c r="T359" s="473" t="s">
        <v>37</v>
      </c>
      <c r="U359" s="473"/>
      <c r="V359" s="1330">
        <v>0.1</v>
      </c>
      <c r="W359" s="473"/>
      <c r="X359" s="542" t="s">
        <v>38</v>
      </c>
      <c r="Y359" s="3110">
        <f>+Z359/1000</f>
        <v>5200</v>
      </c>
      <c r="Z359" s="473">
        <f>ROUNDUP(S359*V359,-3)</f>
        <v>5200000</v>
      </c>
      <c r="AA359" s="1608"/>
      <c r="AB359" s="669"/>
      <c r="AC359" s="1608"/>
    </row>
    <row r="360" spans="1:340" s="1609" customFormat="1" ht="21.75" hidden="1" customHeight="1">
      <c r="A360" s="2957"/>
      <c r="B360" s="2035"/>
      <c r="C360" s="631"/>
      <c r="D360" s="493"/>
      <c r="E360" s="1331"/>
      <c r="F360" s="823"/>
      <c r="G360" s="823"/>
      <c r="H360" s="1332"/>
      <c r="I360" s="1899"/>
      <c r="J360" s="1333" t="s">
        <v>367</v>
      </c>
      <c r="K360" s="1334"/>
      <c r="L360" s="1334"/>
      <c r="M360" s="1334"/>
      <c r="N360" s="1335"/>
      <c r="O360" s="1335"/>
      <c r="P360" s="1334"/>
      <c r="Q360" s="1336"/>
      <c r="R360" s="510"/>
      <c r="S360" s="617">
        <f>100000+180000</f>
        <v>280000</v>
      </c>
      <c r="T360" s="510" t="s">
        <v>37</v>
      </c>
      <c r="U360" s="510"/>
      <c r="V360" s="1337">
        <v>10</v>
      </c>
      <c r="W360" s="510" t="s">
        <v>259</v>
      </c>
      <c r="X360" s="581" t="s">
        <v>38</v>
      </c>
      <c r="Y360" s="478">
        <f t="shared" si="27"/>
        <v>2800</v>
      </c>
      <c r="Z360" s="473">
        <f>ROUNDUP(S360*V360,-3)</f>
        <v>2800000</v>
      </c>
      <c r="AA360" s="1608"/>
      <c r="AB360" s="669"/>
      <c r="AC360" s="1608"/>
    </row>
    <row r="361" spans="1:340" s="1609" customFormat="1" ht="21.75" customHeight="1">
      <c r="A361" s="2957"/>
      <c r="B361" s="632"/>
      <c r="C361" s="2013"/>
      <c r="D361" s="3834" t="s">
        <v>486</v>
      </c>
      <c r="E361" s="3916"/>
      <c r="F361" s="578">
        <f>SUM(F362:F383)</f>
        <v>6000</v>
      </c>
      <c r="G361" s="578">
        <f>SUM(G362:G383)</f>
        <v>6000</v>
      </c>
      <c r="H361" s="579">
        <f>+F361-G361</f>
        <v>0</v>
      </c>
      <c r="I361" s="1899"/>
      <c r="J361" s="1338"/>
      <c r="K361" s="727"/>
      <c r="L361" s="727"/>
      <c r="M361" s="727"/>
      <c r="N361" s="727"/>
      <c r="O361" s="727"/>
      <c r="P361" s="1339"/>
      <c r="Q361" s="727"/>
      <c r="R361" s="1339"/>
      <c r="S361" s="727"/>
      <c r="T361" s="1339"/>
      <c r="U361" s="727"/>
      <c r="V361" s="1339"/>
      <c r="W361" s="727"/>
      <c r="X361" s="727"/>
      <c r="Y361" s="2054"/>
      <c r="Z361" s="2016"/>
      <c r="AA361" s="1611"/>
      <c r="AB361" s="669"/>
      <c r="AC361" s="1611"/>
    </row>
    <row r="362" spans="1:340" s="1609" customFormat="1" ht="21.75" hidden="1" customHeight="1">
      <c r="A362" s="2957"/>
      <c r="B362" s="2035"/>
      <c r="C362" s="2013"/>
      <c r="D362" s="2013"/>
      <c r="E362" s="1610" t="s">
        <v>396</v>
      </c>
      <c r="F362" s="1253">
        <f>Y362</f>
        <v>0</v>
      </c>
      <c r="G362" s="1253">
        <v>0</v>
      </c>
      <c r="H362" s="1561"/>
      <c r="I362" s="489"/>
      <c r="J362" s="1348" t="s">
        <v>1707</v>
      </c>
      <c r="K362" s="621"/>
      <c r="L362" s="621"/>
      <c r="M362" s="621"/>
      <c r="N362" s="545"/>
      <c r="O362" s="545"/>
      <c r="P362" s="621"/>
      <c r="Q362" s="1349"/>
      <c r="R362" s="621"/>
      <c r="S362" s="621"/>
      <c r="T362" s="621"/>
      <c r="U362" s="621"/>
      <c r="V362" s="621"/>
      <c r="W362" s="621"/>
      <c r="X362" s="621"/>
      <c r="Y362" s="600">
        <v>0</v>
      </c>
      <c r="Z362" s="473"/>
      <c r="AA362" s="1608"/>
      <c r="AB362" s="669"/>
      <c r="AC362" s="1608"/>
    </row>
    <row r="363" spans="1:340" s="1609" customFormat="1" ht="21.75" hidden="1" customHeight="1">
      <c r="A363" s="2957"/>
      <c r="B363" s="632"/>
      <c r="C363" s="2013"/>
      <c r="D363" s="2035"/>
      <c r="E363" s="1251" t="s">
        <v>352</v>
      </c>
      <c r="F363" s="1253">
        <f t="shared" ref="F363:F365" si="28">Y363</f>
        <v>0</v>
      </c>
      <c r="G363" s="584">
        <v>0</v>
      </c>
      <c r="H363" s="1561"/>
      <c r="I363" s="1899"/>
      <c r="J363" s="1348" t="s">
        <v>1707</v>
      </c>
      <c r="K363" s="621"/>
      <c r="L363" s="621"/>
      <c r="M363" s="621"/>
      <c r="N363" s="545"/>
      <c r="O363" s="545"/>
      <c r="P363" s="621"/>
      <c r="Q363" s="1349"/>
      <c r="R363" s="621"/>
      <c r="S363" s="621"/>
      <c r="T363" s="621"/>
      <c r="U363" s="621"/>
      <c r="V363" s="621"/>
      <c r="W363" s="621"/>
      <c r="X363" s="621"/>
      <c r="Y363" s="600">
        <v>0</v>
      </c>
      <c r="Z363" s="473"/>
      <c r="AA363" s="1611"/>
      <c r="AB363" s="669"/>
      <c r="AC363" s="1611"/>
      <c r="AD363" s="1612"/>
      <c r="AE363" s="1612"/>
      <c r="AF363" s="1612"/>
      <c r="AG363" s="1612"/>
      <c r="AH363" s="1612"/>
      <c r="AI363" s="1612"/>
      <c r="AJ363" s="1612"/>
      <c r="AK363" s="1612"/>
      <c r="AL363" s="1612"/>
      <c r="AM363" s="1612"/>
      <c r="AN363" s="1612"/>
      <c r="AO363" s="1612"/>
      <c r="AP363" s="1612"/>
      <c r="AQ363" s="1612"/>
      <c r="AR363" s="1612"/>
      <c r="AS363" s="1612"/>
      <c r="AT363" s="1612"/>
      <c r="AU363" s="1612"/>
      <c r="AV363" s="1612"/>
      <c r="AW363" s="1612"/>
      <c r="AX363" s="1612"/>
      <c r="AY363" s="1612"/>
      <c r="AZ363" s="1612"/>
      <c r="BA363" s="1612"/>
      <c r="BB363" s="1612"/>
      <c r="BC363" s="1612"/>
      <c r="BD363" s="1612"/>
      <c r="BE363" s="1612"/>
      <c r="BF363" s="1612"/>
      <c r="BG363" s="1612"/>
      <c r="BH363" s="1612"/>
      <c r="BI363" s="1612"/>
      <c r="BJ363" s="1612"/>
      <c r="BK363" s="1612"/>
      <c r="BL363" s="1612"/>
      <c r="BM363" s="1612"/>
      <c r="BN363" s="1612"/>
      <c r="BO363" s="1612"/>
      <c r="BP363" s="1612"/>
      <c r="BQ363" s="1612"/>
      <c r="BR363" s="1612"/>
      <c r="BS363" s="1612"/>
      <c r="BT363" s="1612"/>
      <c r="BU363" s="1612"/>
      <c r="BV363" s="1612"/>
      <c r="BW363" s="1612"/>
      <c r="BX363" s="1612"/>
      <c r="BY363" s="1612"/>
      <c r="BZ363" s="1612"/>
      <c r="CA363" s="1612"/>
      <c r="CB363" s="1612"/>
      <c r="CC363" s="1612"/>
      <c r="CD363" s="1612"/>
      <c r="CE363" s="1612"/>
      <c r="CF363" s="1612"/>
      <c r="CG363" s="1612"/>
      <c r="CH363" s="1612"/>
      <c r="CI363" s="1612"/>
      <c r="CJ363" s="1612"/>
      <c r="CK363" s="1612"/>
      <c r="CL363" s="1612"/>
      <c r="CM363" s="1612"/>
      <c r="CN363" s="1612"/>
      <c r="CO363" s="1612"/>
      <c r="CP363" s="1612"/>
      <c r="CQ363" s="1612"/>
      <c r="CR363" s="1612"/>
      <c r="CS363" s="1612"/>
      <c r="CT363" s="1612"/>
      <c r="CU363" s="1612"/>
      <c r="CV363" s="1612"/>
      <c r="CW363" s="1612"/>
      <c r="CX363" s="1612"/>
      <c r="CY363" s="1612"/>
      <c r="CZ363" s="1612"/>
      <c r="DA363" s="1612"/>
      <c r="DB363" s="1612"/>
      <c r="DC363" s="1612"/>
      <c r="DD363" s="1612"/>
      <c r="DE363" s="1612"/>
      <c r="DF363" s="1612"/>
      <c r="DG363" s="1612"/>
      <c r="DH363" s="1612"/>
      <c r="DI363" s="1612"/>
      <c r="DJ363" s="1612"/>
      <c r="DK363" s="1612"/>
      <c r="DL363" s="1612"/>
      <c r="DM363" s="1612"/>
      <c r="DN363" s="1612"/>
      <c r="DO363" s="1612"/>
      <c r="DP363" s="1612"/>
      <c r="DQ363" s="1612"/>
      <c r="DR363" s="1612"/>
      <c r="DS363" s="1612"/>
      <c r="DT363" s="1612"/>
      <c r="DU363" s="1612"/>
      <c r="DV363" s="1612"/>
      <c r="DW363" s="1612"/>
      <c r="DX363" s="1612"/>
      <c r="DY363" s="1612"/>
      <c r="DZ363" s="1612"/>
      <c r="EA363" s="1612"/>
      <c r="EB363" s="1612"/>
      <c r="EC363" s="1612"/>
      <c r="ED363" s="1612"/>
      <c r="EE363" s="1612"/>
      <c r="EF363" s="1612"/>
      <c r="EG363" s="1612"/>
      <c r="EH363" s="1612"/>
      <c r="EI363" s="1612"/>
      <c r="EJ363" s="1612"/>
      <c r="EK363" s="1612"/>
      <c r="EL363" s="1612"/>
      <c r="EM363" s="1612"/>
      <c r="EN363" s="1612"/>
      <c r="EO363" s="1612"/>
      <c r="EP363" s="1612"/>
      <c r="EQ363" s="1612"/>
      <c r="ER363" s="1612"/>
      <c r="ES363" s="1612"/>
      <c r="ET363" s="1612"/>
      <c r="EU363" s="1612"/>
      <c r="EV363" s="1612"/>
      <c r="EW363" s="1612"/>
      <c r="EX363" s="1612"/>
      <c r="EY363" s="1612"/>
      <c r="EZ363" s="1612"/>
      <c r="FA363" s="1612"/>
      <c r="FB363" s="1612"/>
      <c r="FC363" s="1612"/>
      <c r="FD363" s="1612"/>
      <c r="FE363" s="1612"/>
      <c r="FF363" s="1612"/>
      <c r="FG363" s="1612"/>
      <c r="FH363" s="1612"/>
      <c r="FI363" s="1612"/>
      <c r="FJ363" s="1612"/>
      <c r="FK363" s="1612"/>
      <c r="FL363" s="1612"/>
      <c r="FM363" s="1612"/>
      <c r="FN363" s="1612"/>
      <c r="FO363" s="1612"/>
      <c r="FP363" s="1612"/>
      <c r="FQ363" s="1612"/>
      <c r="FR363" s="1612"/>
      <c r="FS363" s="1612"/>
      <c r="FT363" s="1612"/>
      <c r="FU363" s="1612"/>
      <c r="FV363" s="1612"/>
      <c r="FW363" s="1612"/>
      <c r="FX363" s="1612"/>
      <c r="FY363" s="1612"/>
      <c r="FZ363" s="1612"/>
      <c r="GA363" s="1612"/>
      <c r="GB363" s="1612"/>
      <c r="GC363" s="1612"/>
      <c r="GD363" s="1612"/>
      <c r="GE363" s="1612"/>
      <c r="GF363" s="1612"/>
      <c r="GG363" s="1612"/>
      <c r="GH363" s="1612"/>
      <c r="GI363" s="1612"/>
      <c r="GJ363" s="1612"/>
      <c r="GK363" s="1612"/>
      <c r="GL363" s="1612"/>
      <c r="GM363" s="1612"/>
      <c r="GN363" s="1612"/>
      <c r="GO363" s="1612"/>
      <c r="GP363" s="1612"/>
      <c r="GQ363" s="1612"/>
      <c r="GR363" s="1612"/>
      <c r="GS363" s="1612"/>
      <c r="GT363" s="1612"/>
      <c r="GU363" s="1612"/>
      <c r="GV363" s="1612"/>
      <c r="GW363" s="1612"/>
      <c r="GX363" s="1612"/>
      <c r="GY363" s="1612"/>
      <c r="GZ363" s="1612"/>
      <c r="HA363" s="1612"/>
      <c r="HB363" s="1612"/>
      <c r="HC363" s="1612"/>
      <c r="HD363" s="1612"/>
      <c r="HE363" s="1612"/>
      <c r="HF363" s="1612"/>
      <c r="HG363" s="1612"/>
      <c r="HH363" s="1612"/>
      <c r="HI363" s="1612"/>
      <c r="HJ363" s="1612"/>
      <c r="HK363" s="1612"/>
      <c r="HL363" s="1612"/>
      <c r="HM363" s="1612"/>
      <c r="HN363" s="1612"/>
      <c r="HO363" s="1612"/>
      <c r="HP363" s="1612"/>
      <c r="HQ363" s="1612"/>
      <c r="HR363" s="1612"/>
      <c r="HS363" s="1612"/>
      <c r="HT363" s="1612"/>
      <c r="HU363" s="1612"/>
      <c r="HV363" s="1612"/>
      <c r="HW363" s="1612"/>
      <c r="HX363" s="1612"/>
      <c r="HY363" s="1612"/>
      <c r="HZ363" s="1612"/>
      <c r="IA363" s="1612"/>
      <c r="IB363" s="1612"/>
      <c r="IC363" s="1612"/>
      <c r="ID363" s="1612"/>
      <c r="IE363" s="1612"/>
      <c r="IF363" s="1612"/>
      <c r="IG363" s="1612"/>
      <c r="IH363" s="1612"/>
      <c r="II363" s="1612"/>
      <c r="IJ363" s="1612"/>
      <c r="IK363" s="1612"/>
      <c r="IL363" s="1612"/>
      <c r="IM363" s="1612"/>
      <c r="IN363" s="1612"/>
      <c r="IO363" s="1612"/>
      <c r="IP363" s="1612"/>
      <c r="IQ363" s="1612"/>
      <c r="IR363" s="1612"/>
      <c r="IS363" s="1612"/>
      <c r="IT363" s="1612"/>
      <c r="IU363" s="1612"/>
      <c r="IV363" s="1612"/>
      <c r="IW363" s="1612"/>
      <c r="IX363" s="1612"/>
      <c r="IY363" s="1612"/>
      <c r="IZ363" s="1612"/>
      <c r="JA363" s="1612"/>
      <c r="JB363" s="1612"/>
      <c r="JC363" s="1612"/>
      <c r="JD363" s="1612"/>
      <c r="JE363" s="1612"/>
      <c r="JF363" s="1612"/>
      <c r="JG363" s="1612"/>
      <c r="JH363" s="1612"/>
      <c r="JI363" s="1612"/>
      <c r="JJ363" s="1612"/>
      <c r="JK363" s="1612"/>
      <c r="JL363" s="1612"/>
      <c r="JM363" s="1612"/>
      <c r="JN363" s="1612"/>
      <c r="JO363" s="1612"/>
      <c r="JP363" s="1612"/>
      <c r="JQ363" s="1612"/>
      <c r="JR363" s="1612"/>
      <c r="JS363" s="1612"/>
      <c r="JT363" s="1612"/>
      <c r="JU363" s="1612"/>
      <c r="JV363" s="1612"/>
      <c r="JW363" s="1612"/>
      <c r="JX363" s="1612"/>
      <c r="JY363" s="1612"/>
      <c r="JZ363" s="1612"/>
      <c r="KA363" s="1612"/>
      <c r="KB363" s="1612"/>
      <c r="KC363" s="1612"/>
      <c r="KD363" s="1612"/>
      <c r="KE363" s="1612"/>
      <c r="KF363" s="1612"/>
      <c r="KG363" s="1612"/>
      <c r="KH363" s="1612"/>
      <c r="KI363" s="1612"/>
      <c r="KJ363" s="1612"/>
      <c r="KK363" s="1612"/>
      <c r="KL363" s="1612"/>
      <c r="KM363" s="1612"/>
      <c r="KN363" s="1612"/>
      <c r="KO363" s="1612"/>
      <c r="KP363" s="1612"/>
      <c r="KQ363" s="1612"/>
      <c r="KR363" s="1612"/>
      <c r="KS363" s="1612"/>
      <c r="KT363" s="1612"/>
      <c r="KU363" s="1612"/>
      <c r="KV363" s="1612"/>
      <c r="KW363" s="1612"/>
      <c r="KX363" s="1612"/>
      <c r="KY363" s="1612"/>
      <c r="KZ363" s="1612"/>
      <c r="LA363" s="1612"/>
      <c r="LB363" s="1612"/>
      <c r="LC363" s="1612"/>
      <c r="LD363" s="1612"/>
      <c r="LE363" s="1612"/>
      <c r="LF363" s="1612"/>
      <c r="LG363" s="1612"/>
      <c r="LH363" s="1612"/>
      <c r="LI363" s="1612"/>
      <c r="LJ363" s="1612"/>
      <c r="LK363" s="1612"/>
      <c r="LL363" s="1612"/>
      <c r="LM363" s="1612"/>
      <c r="LN363" s="1612"/>
      <c r="LO363" s="1612"/>
      <c r="LP363" s="1612"/>
      <c r="LQ363" s="1612"/>
      <c r="LR363" s="1612"/>
      <c r="LS363" s="1612"/>
      <c r="LT363" s="1612"/>
      <c r="LU363" s="1612"/>
      <c r="LV363" s="1612"/>
      <c r="LW363" s="1612"/>
      <c r="LX363" s="1612"/>
      <c r="LY363" s="1612"/>
      <c r="LZ363" s="1612"/>
      <c r="MA363" s="1612"/>
      <c r="MB363" s="1612"/>
    </row>
    <row r="364" spans="1:340" s="1609" customFormat="1" ht="21.75" hidden="1" customHeight="1">
      <c r="A364" s="2957"/>
      <c r="B364" s="2035"/>
      <c r="C364" s="2013"/>
      <c r="D364" s="2035"/>
      <c r="E364" s="1251" t="s">
        <v>229</v>
      </c>
      <c r="F364" s="1253">
        <f t="shared" si="28"/>
        <v>0</v>
      </c>
      <c r="G364" s="598">
        <v>0</v>
      </c>
      <c r="H364" s="1561"/>
      <c r="I364" s="1899"/>
      <c r="J364" s="1348" t="s">
        <v>1707</v>
      </c>
      <c r="K364" s="621"/>
      <c r="L364" s="621"/>
      <c r="M364" s="621"/>
      <c r="N364" s="545"/>
      <c r="O364" s="545"/>
      <c r="P364" s="621"/>
      <c r="Q364" s="1349"/>
      <c r="R364" s="621"/>
      <c r="S364" s="621"/>
      <c r="T364" s="621"/>
      <c r="U364" s="621"/>
      <c r="V364" s="621"/>
      <c r="W364" s="621"/>
      <c r="X364" s="621"/>
      <c r="Y364" s="600">
        <v>0</v>
      </c>
      <c r="Z364" s="473"/>
      <c r="AA364" s="1608"/>
      <c r="AB364" s="669"/>
      <c r="AC364" s="1608"/>
    </row>
    <row r="365" spans="1:340" s="1609" customFormat="1" ht="21.75" hidden="1" customHeight="1">
      <c r="A365" s="2957"/>
      <c r="B365" s="632"/>
      <c r="C365" s="2013"/>
      <c r="D365" s="2035"/>
      <c r="E365" s="1251" t="s">
        <v>445</v>
      </c>
      <c r="F365" s="1253">
        <f t="shared" si="28"/>
        <v>0</v>
      </c>
      <c r="G365" s="584">
        <v>0</v>
      </c>
      <c r="H365" s="1561"/>
      <c r="I365" s="1899"/>
      <c r="J365" s="1348" t="s">
        <v>1707</v>
      </c>
      <c r="K365" s="621"/>
      <c r="L365" s="621"/>
      <c r="M365" s="621"/>
      <c r="N365" s="545"/>
      <c r="O365" s="545"/>
      <c r="P365" s="621"/>
      <c r="Q365" s="1349"/>
      <c r="R365" s="621"/>
      <c r="S365" s="621"/>
      <c r="T365" s="621"/>
      <c r="U365" s="621"/>
      <c r="V365" s="621"/>
      <c r="W365" s="621"/>
      <c r="X365" s="621"/>
      <c r="Y365" s="600">
        <v>0</v>
      </c>
      <c r="Z365" s="473"/>
      <c r="AA365" s="1611"/>
      <c r="AB365" s="669"/>
      <c r="AC365" s="1611"/>
      <c r="AD365" s="1612"/>
      <c r="AE365" s="1612"/>
      <c r="AF365" s="1612"/>
      <c r="AG365" s="1612"/>
      <c r="AH365" s="1612"/>
      <c r="AI365" s="1612"/>
      <c r="AJ365" s="1612"/>
      <c r="AK365" s="1612"/>
      <c r="AL365" s="1612"/>
      <c r="AM365" s="1612"/>
      <c r="AN365" s="1612"/>
      <c r="AO365" s="1612"/>
      <c r="AP365" s="1612"/>
      <c r="AQ365" s="1612"/>
      <c r="AR365" s="1612"/>
      <c r="AS365" s="1612"/>
      <c r="AT365" s="1612"/>
      <c r="AU365" s="1612"/>
      <c r="AV365" s="1612"/>
      <c r="AW365" s="1612"/>
      <c r="AX365" s="1612"/>
      <c r="AY365" s="1612"/>
      <c r="AZ365" s="1612"/>
      <c r="BA365" s="1612"/>
      <c r="BB365" s="1612"/>
      <c r="BC365" s="1612"/>
      <c r="BD365" s="1612"/>
      <c r="BE365" s="1612"/>
      <c r="BF365" s="1612"/>
      <c r="BG365" s="1612"/>
      <c r="BH365" s="1612"/>
      <c r="BI365" s="1612"/>
      <c r="BJ365" s="1612"/>
      <c r="BK365" s="1612"/>
      <c r="BL365" s="1612"/>
      <c r="BM365" s="1612"/>
      <c r="BN365" s="1612"/>
      <c r="BO365" s="1612"/>
      <c r="BP365" s="1612"/>
      <c r="BQ365" s="1612"/>
      <c r="BR365" s="1612"/>
      <c r="BS365" s="1612"/>
      <c r="BT365" s="1612"/>
      <c r="BU365" s="1612"/>
      <c r="BV365" s="1612"/>
      <c r="BW365" s="1612"/>
      <c r="BX365" s="1612"/>
      <c r="BY365" s="1612"/>
      <c r="BZ365" s="1612"/>
      <c r="CA365" s="1612"/>
      <c r="CB365" s="1612"/>
      <c r="CC365" s="1612"/>
      <c r="CD365" s="1612"/>
      <c r="CE365" s="1612"/>
      <c r="CF365" s="1612"/>
      <c r="CG365" s="1612"/>
      <c r="CH365" s="1612"/>
      <c r="CI365" s="1612"/>
      <c r="CJ365" s="1612"/>
      <c r="CK365" s="1612"/>
      <c r="CL365" s="1612"/>
      <c r="CM365" s="1612"/>
      <c r="CN365" s="1612"/>
      <c r="CO365" s="1612"/>
      <c r="CP365" s="1612"/>
      <c r="CQ365" s="1612"/>
      <c r="CR365" s="1612"/>
      <c r="CS365" s="1612"/>
      <c r="CT365" s="1612"/>
      <c r="CU365" s="1612"/>
      <c r="CV365" s="1612"/>
      <c r="CW365" s="1612"/>
      <c r="CX365" s="1612"/>
      <c r="CY365" s="1612"/>
      <c r="CZ365" s="1612"/>
      <c r="DA365" s="1612"/>
      <c r="DB365" s="1612"/>
      <c r="DC365" s="1612"/>
      <c r="DD365" s="1612"/>
      <c r="DE365" s="1612"/>
      <c r="DF365" s="1612"/>
      <c r="DG365" s="1612"/>
      <c r="DH365" s="1612"/>
      <c r="DI365" s="1612"/>
      <c r="DJ365" s="1612"/>
      <c r="DK365" s="1612"/>
      <c r="DL365" s="1612"/>
      <c r="DM365" s="1612"/>
      <c r="DN365" s="1612"/>
      <c r="DO365" s="1612"/>
      <c r="DP365" s="1612"/>
      <c r="DQ365" s="1612"/>
      <c r="DR365" s="1612"/>
      <c r="DS365" s="1612"/>
      <c r="DT365" s="1612"/>
      <c r="DU365" s="1612"/>
      <c r="DV365" s="1612"/>
      <c r="DW365" s="1612"/>
      <c r="DX365" s="1612"/>
      <c r="DY365" s="1612"/>
      <c r="DZ365" s="1612"/>
      <c r="EA365" s="1612"/>
      <c r="EB365" s="1612"/>
      <c r="EC365" s="1612"/>
      <c r="ED365" s="1612"/>
      <c r="EE365" s="1612"/>
      <c r="EF365" s="1612"/>
      <c r="EG365" s="1612"/>
      <c r="EH365" s="1612"/>
      <c r="EI365" s="1612"/>
      <c r="EJ365" s="1612"/>
      <c r="EK365" s="1612"/>
      <c r="EL365" s="1612"/>
      <c r="EM365" s="1612"/>
      <c r="EN365" s="1612"/>
      <c r="EO365" s="1612"/>
      <c r="EP365" s="1612"/>
      <c r="EQ365" s="1612"/>
      <c r="ER365" s="1612"/>
      <c r="ES365" s="1612"/>
      <c r="ET365" s="1612"/>
      <c r="EU365" s="1612"/>
      <c r="EV365" s="1612"/>
      <c r="EW365" s="1612"/>
      <c r="EX365" s="1612"/>
      <c r="EY365" s="1612"/>
      <c r="EZ365" s="1612"/>
      <c r="FA365" s="1612"/>
      <c r="FB365" s="1612"/>
      <c r="FC365" s="1612"/>
      <c r="FD365" s="1612"/>
      <c r="FE365" s="1612"/>
      <c r="FF365" s="1612"/>
      <c r="FG365" s="1612"/>
      <c r="FH365" s="1612"/>
      <c r="FI365" s="1612"/>
      <c r="FJ365" s="1612"/>
      <c r="FK365" s="1612"/>
      <c r="FL365" s="1612"/>
      <c r="FM365" s="1612"/>
      <c r="FN365" s="1612"/>
      <c r="FO365" s="1612"/>
      <c r="FP365" s="1612"/>
      <c r="FQ365" s="1612"/>
      <c r="FR365" s="1612"/>
      <c r="FS365" s="1612"/>
      <c r="FT365" s="1612"/>
      <c r="FU365" s="1612"/>
      <c r="FV365" s="1612"/>
      <c r="FW365" s="1612"/>
      <c r="FX365" s="1612"/>
      <c r="FY365" s="1612"/>
      <c r="FZ365" s="1612"/>
      <c r="GA365" s="1612"/>
      <c r="GB365" s="1612"/>
      <c r="GC365" s="1612"/>
      <c r="GD365" s="1612"/>
      <c r="GE365" s="1612"/>
      <c r="GF365" s="1612"/>
      <c r="GG365" s="1612"/>
      <c r="GH365" s="1612"/>
      <c r="GI365" s="1612"/>
      <c r="GJ365" s="1612"/>
      <c r="GK365" s="1612"/>
      <c r="GL365" s="1612"/>
      <c r="GM365" s="1612"/>
      <c r="GN365" s="1612"/>
      <c r="GO365" s="1612"/>
      <c r="GP365" s="1612"/>
      <c r="GQ365" s="1612"/>
      <c r="GR365" s="1612"/>
      <c r="GS365" s="1612"/>
      <c r="GT365" s="1612"/>
      <c r="GU365" s="1612"/>
      <c r="GV365" s="1612"/>
      <c r="GW365" s="1612"/>
      <c r="GX365" s="1612"/>
      <c r="GY365" s="1612"/>
      <c r="GZ365" s="1612"/>
      <c r="HA365" s="1612"/>
      <c r="HB365" s="1612"/>
      <c r="HC365" s="1612"/>
      <c r="HD365" s="1612"/>
      <c r="HE365" s="1612"/>
      <c r="HF365" s="1612"/>
      <c r="HG365" s="1612"/>
      <c r="HH365" s="1612"/>
      <c r="HI365" s="1612"/>
      <c r="HJ365" s="1612"/>
      <c r="HK365" s="1612"/>
      <c r="HL365" s="1612"/>
      <c r="HM365" s="1612"/>
      <c r="HN365" s="1612"/>
      <c r="HO365" s="1612"/>
      <c r="HP365" s="1612"/>
      <c r="HQ365" s="1612"/>
      <c r="HR365" s="1612"/>
      <c r="HS365" s="1612"/>
      <c r="HT365" s="1612"/>
      <c r="HU365" s="1612"/>
      <c r="HV365" s="1612"/>
      <c r="HW365" s="1612"/>
      <c r="HX365" s="1612"/>
      <c r="HY365" s="1612"/>
      <c r="HZ365" s="1612"/>
      <c r="IA365" s="1612"/>
      <c r="IB365" s="1612"/>
      <c r="IC365" s="1612"/>
      <c r="ID365" s="1612"/>
      <c r="IE365" s="1612"/>
      <c r="IF365" s="1612"/>
      <c r="IG365" s="1612"/>
      <c r="IH365" s="1612"/>
      <c r="II365" s="1612"/>
      <c r="IJ365" s="1612"/>
      <c r="IK365" s="1612"/>
      <c r="IL365" s="1612"/>
      <c r="IM365" s="1612"/>
      <c r="IN365" s="1612"/>
      <c r="IO365" s="1612"/>
      <c r="IP365" s="1612"/>
      <c r="IQ365" s="1612"/>
      <c r="IR365" s="1612"/>
      <c r="IS365" s="1612"/>
      <c r="IT365" s="1612"/>
      <c r="IU365" s="1612"/>
      <c r="IV365" s="1612"/>
      <c r="IW365" s="1612"/>
      <c r="IX365" s="1612"/>
      <c r="IY365" s="1612"/>
      <c r="IZ365" s="1612"/>
      <c r="JA365" s="1612"/>
      <c r="JB365" s="1612"/>
      <c r="JC365" s="1612"/>
      <c r="JD365" s="1612"/>
      <c r="JE365" s="1612"/>
      <c r="JF365" s="1612"/>
      <c r="JG365" s="1612"/>
      <c r="JH365" s="1612"/>
      <c r="JI365" s="1612"/>
      <c r="JJ365" s="1612"/>
      <c r="JK365" s="1612"/>
      <c r="JL365" s="1612"/>
      <c r="JM365" s="1612"/>
      <c r="JN365" s="1612"/>
      <c r="JO365" s="1612"/>
      <c r="JP365" s="1612"/>
      <c r="JQ365" s="1612"/>
      <c r="JR365" s="1612"/>
      <c r="JS365" s="1612"/>
      <c r="JT365" s="1612"/>
      <c r="JU365" s="1612"/>
      <c r="JV365" s="1612"/>
      <c r="JW365" s="1612"/>
      <c r="JX365" s="1612"/>
      <c r="JY365" s="1612"/>
      <c r="JZ365" s="1612"/>
      <c r="KA365" s="1612"/>
      <c r="KB365" s="1612"/>
      <c r="KC365" s="1612"/>
      <c r="KD365" s="1612"/>
      <c r="KE365" s="1612"/>
      <c r="KF365" s="1612"/>
      <c r="KG365" s="1612"/>
      <c r="KH365" s="1612"/>
      <c r="KI365" s="1612"/>
      <c r="KJ365" s="1612"/>
      <c r="KK365" s="1612"/>
      <c r="KL365" s="1612"/>
      <c r="KM365" s="1612"/>
      <c r="KN365" s="1612"/>
      <c r="KO365" s="1612"/>
      <c r="KP365" s="1612"/>
      <c r="KQ365" s="1612"/>
      <c r="KR365" s="1612"/>
      <c r="KS365" s="1612"/>
      <c r="KT365" s="1612"/>
      <c r="KU365" s="1612"/>
      <c r="KV365" s="1612"/>
      <c r="KW365" s="1612"/>
      <c r="KX365" s="1612"/>
      <c r="KY365" s="1612"/>
      <c r="KZ365" s="1612"/>
      <c r="LA365" s="1612"/>
      <c r="LB365" s="1612"/>
      <c r="LC365" s="1612"/>
      <c r="LD365" s="1612"/>
      <c r="LE365" s="1612"/>
      <c r="LF365" s="1612"/>
      <c r="LG365" s="1612"/>
      <c r="LH365" s="1612"/>
      <c r="LI365" s="1612"/>
      <c r="LJ365" s="1612"/>
      <c r="LK365" s="1612"/>
      <c r="LL365" s="1612"/>
      <c r="LM365" s="1612"/>
      <c r="LN365" s="1612"/>
      <c r="LO365" s="1612"/>
      <c r="LP365" s="1612"/>
      <c r="LQ365" s="1612"/>
      <c r="LR365" s="1612"/>
      <c r="LS365" s="1612"/>
      <c r="LT365" s="1612"/>
      <c r="LU365" s="1612"/>
      <c r="LV365" s="1612"/>
      <c r="LW365" s="1612"/>
      <c r="LX365" s="1612"/>
      <c r="LY365" s="1612"/>
      <c r="LZ365" s="1612"/>
      <c r="MA365" s="1612"/>
      <c r="MB365" s="1612"/>
    </row>
    <row r="366" spans="1:340" s="1609" customFormat="1" ht="21.75" hidden="1" customHeight="1">
      <c r="A366" s="2957"/>
      <c r="B366" s="632"/>
      <c r="C366" s="2013"/>
      <c r="D366" s="2035"/>
      <c r="E366" s="1319" t="s">
        <v>496</v>
      </c>
      <c r="F366" s="1568">
        <f>Y366</f>
        <v>300</v>
      </c>
      <c r="G366" s="1568">
        <v>300</v>
      </c>
      <c r="H366" s="1561"/>
      <c r="I366" s="1899"/>
      <c r="J366" s="1566" t="s">
        <v>224</v>
      </c>
      <c r="K366" s="1326"/>
      <c r="L366" s="1326"/>
      <c r="M366" s="1326"/>
      <c r="N366" s="608"/>
      <c r="O366" s="1326"/>
      <c r="P366" s="1326"/>
      <c r="Q366" s="1344"/>
      <c r="R366" s="1326"/>
      <c r="S366" s="608"/>
      <c r="T366" s="1326"/>
      <c r="U366" s="1326"/>
      <c r="V366" s="1326"/>
      <c r="W366" s="1326"/>
      <c r="X366" s="1559"/>
      <c r="Y366" s="490">
        <f>+Y367+Y368</f>
        <v>300</v>
      </c>
      <c r="Z366" s="473">
        <f>SUM(Z367:Z368)</f>
        <v>300000</v>
      </c>
      <c r="AA366" s="1608"/>
      <c r="AB366" s="669"/>
      <c r="AC366" s="1608"/>
    </row>
    <row r="367" spans="1:340" s="1609" customFormat="1" ht="21.75" hidden="1" customHeight="1">
      <c r="A367" s="2957"/>
      <c r="B367" s="632"/>
      <c r="C367" s="2013"/>
      <c r="D367" s="2035"/>
      <c r="E367" s="624" t="s">
        <v>378</v>
      </c>
      <c r="F367" s="590"/>
      <c r="G367" s="590"/>
      <c r="H367" s="534"/>
      <c r="I367" s="1899"/>
      <c r="J367" s="472" t="s">
        <v>1719</v>
      </c>
      <c r="K367" s="473"/>
      <c r="L367" s="473"/>
      <c r="M367" s="473"/>
      <c r="N367" s="474"/>
      <c r="O367" s="473"/>
      <c r="P367" s="473"/>
      <c r="Q367" s="475">
        <v>1</v>
      </c>
      <c r="R367" s="473" t="s">
        <v>752</v>
      </c>
      <c r="S367" s="474">
        <v>100000</v>
      </c>
      <c r="T367" s="473" t="s">
        <v>37</v>
      </c>
      <c r="U367" s="473"/>
      <c r="V367" s="473">
        <v>1</v>
      </c>
      <c r="W367" s="473" t="s">
        <v>228</v>
      </c>
      <c r="X367" s="542" t="s">
        <v>38</v>
      </c>
      <c r="Y367" s="483">
        <f>+Z367/1000</f>
        <v>100</v>
      </c>
      <c r="Z367" s="473">
        <f>Q367*S367*V367</f>
        <v>100000</v>
      </c>
      <c r="AA367" s="1608"/>
      <c r="AB367" s="669"/>
      <c r="AC367" s="1608"/>
    </row>
    <row r="368" spans="1:340" s="1609" customFormat="1" ht="21.75" hidden="1" customHeight="1">
      <c r="A368" s="2957"/>
      <c r="B368" s="632"/>
      <c r="C368" s="2013"/>
      <c r="D368" s="2035"/>
      <c r="E368" s="1331" t="s">
        <v>378</v>
      </c>
      <c r="F368" s="578"/>
      <c r="G368" s="578"/>
      <c r="H368" s="579"/>
      <c r="I368" s="1899"/>
      <c r="J368" s="1342" t="s">
        <v>1720</v>
      </c>
      <c r="K368" s="510"/>
      <c r="L368" s="510"/>
      <c r="M368" s="510"/>
      <c r="N368" s="617"/>
      <c r="O368" s="510"/>
      <c r="P368" s="510"/>
      <c r="Q368" s="507">
        <v>1</v>
      </c>
      <c r="R368" s="510" t="s">
        <v>498</v>
      </c>
      <c r="S368" s="617">
        <v>200000</v>
      </c>
      <c r="T368" s="510" t="s">
        <v>37</v>
      </c>
      <c r="U368" s="510"/>
      <c r="V368" s="510">
        <v>1</v>
      </c>
      <c r="W368" s="510" t="s">
        <v>228</v>
      </c>
      <c r="X368" s="581" t="s">
        <v>38</v>
      </c>
      <c r="Y368" s="478">
        <f>+Z368/1000</f>
        <v>200</v>
      </c>
      <c r="Z368" s="473">
        <f>Q368*S368*V368</f>
        <v>200000</v>
      </c>
      <c r="AA368" s="1608"/>
      <c r="AB368" s="669"/>
      <c r="AC368" s="1608"/>
    </row>
    <row r="369" spans="1:340" s="1609" customFormat="1" ht="21.75" hidden="1" customHeight="1">
      <c r="A369" s="2957"/>
      <c r="B369" s="632"/>
      <c r="C369" s="2013"/>
      <c r="D369" s="2035"/>
      <c r="E369" s="624" t="s">
        <v>18</v>
      </c>
      <c r="F369" s="1568">
        <f>Y369</f>
        <v>0</v>
      </c>
      <c r="G369" s="590">
        <v>0</v>
      </c>
      <c r="H369" s="1561"/>
      <c r="I369" s="1899"/>
      <c r="J369" s="1348" t="s">
        <v>1707</v>
      </c>
      <c r="K369" s="621"/>
      <c r="L369" s="621"/>
      <c r="M369" s="621"/>
      <c r="N369" s="545"/>
      <c r="O369" s="545"/>
      <c r="P369" s="621"/>
      <c r="Q369" s="1349"/>
      <c r="R369" s="621"/>
      <c r="S369" s="621"/>
      <c r="T369" s="621"/>
      <c r="U369" s="621"/>
      <c r="V369" s="621"/>
      <c r="W369" s="621"/>
      <c r="X369" s="621"/>
      <c r="Y369" s="600">
        <v>0</v>
      </c>
      <c r="Z369" s="473"/>
      <c r="AA369" s="1608"/>
      <c r="AB369" s="669"/>
      <c r="AC369" s="1608"/>
    </row>
    <row r="370" spans="1:340" s="1609" customFormat="1" ht="21.75" hidden="1" customHeight="1">
      <c r="A370" s="2957"/>
      <c r="B370" s="632"/>
      <c r="C370" s="2013"/>
      <c r="D370" s="2035"/>
      <c r="E370" s="1319" t="s">
        <v>264</v>
      </c>
      <c r="F370" s="1568">
        <f>Y370</f>
        <v>0</v>
      </c>
      <c r="G370" s="1568">
        <v>0</v>
      </c>
      <c r="H370" s="1561"/>
      <c r="I370" s="1899"/>
      <c r="J370" s="1348" t="s">
        <v>1707</v>
      </c>
      <c r="K370" s="621"/>
      <c r="L370" s="621"/>
      <c r="M370" s="621"/>
      <c r="N370" s="545"/>
      <c r="O370" s="545"/>
      <c r="P370" s="621"/>
      <c r="Q370" s="1349"/>
      <c r="R370" s="621"/>
      <c r="S370" s="621"/>
      <c r="T370" s="621"/>
      <c r="U370" s="621"/>
      <c r="V370" s="621"/>
      <c r="W370" s="621"/>
      <c r="X370" s="621"/>
      <c r="Y370" s="600">
        <v>0</v>
      </c>
      <c r="Z370" s="473"/>
      <c r="AA370" s="1608"/>
      <c r="AB370" s="669"/>
      <c r="AC370" s="1608"/>
    </row>
    <row r="371" spans="1:340" s="1609" customFormat="1" ht="21.75" hidden="1" customHeight="1">
      <c r="A371" s="2957"/>
      <c r="B371" s="632"/>
      <c r="C371" s="2013"/>
      <c r="D371" s="2035"/>
      <c r="E371" s="1251" t="s">
        <v>515</v>
      </c>
      <c r="F371" s="584">
        <f>Y371</f>
        <v>700</v>
      </c>
      <c r="G371" s="584">
        <v>700</v>
      </c>
      <c r="H371" s="529"/>
      <c r="I371" s="1899"/>
      <c r="J371" s="1342" t="s">
        <v>1714</v>
      </c>
      <c r="K371" s="510"/>
      <c r="L371" s="510"/>
      <c r="M371" s="510"/>
      <c r="N371" s="617"/>
      <c r="O371" s="617"/>
      <c r="P371" s="510"/>
      <c r="Q371" s="507"/>
      <c r="R371" s="510"/>
      <c r="S371" s="510">
        <v>700000</v>
      </c>
      <c r="T371" s="510" t="s">
        <v>37</v>
      </c>
      <c r="U371" s="510"/>
      <c r="V371" s="510">
        <v>1</v>
      </c>
      <c r="W371" s="510" t="s">
        <v>228</v>
      </c>
      <c r="X371" s="581" t="s">
        <v>38</v>
      </c>
      <c r="Y371" s="478">
        <f t="shared" ref="Y371" si="29">+Z371/1000</f>
        <v>700</v>
      </c>
      <c r="Z371" s="473">
        <f>S371*V371</f>
        <v>700000</v>
      </c>
      <c r="AA371" s="1608"/>
      <c r="AB371" s="669"/>
      <c r="AC371" s="1608"/>
    </row>
    <row r="372" spans="1:340" s="1609" customFormat="1" ht="21.75" hidden="1" customHeight="1">
      <c r="A372" s="2957"/>
      <c r="B372" s="632"/>
      <c r="C372" s="2013"/>
      <c r="D372" s="2035"/>
      <c r="E372" s="624" t="s">
        <v>225</v>
      </c>
      <c r="F372" s="590">
        <f>Y372</f>
        <v>900</v>
      </c>
      <c r="G372" s="590">
        <v>900</v>
      </c>
      <c r="H372" s="534"/>
      <c r="I372" s="1899"/>
      <c r="J372" s="1348" t="s">
        <v>917</v>
      </c>
      <c r="K372" s="621"/>
      <c r="L372" s="621"/>
      <c r="M372" s="621"/>
      <c r="N372" s="545"/>
      <c r="O372" s="1718"/>
      <c r="P372" s="1719"/>
      <c r="Q372" s="1720" t="s">
        <v>1262</v>
      </c>
      <c r="R372" s="621" t="s">
        <v>227</v>
      </c>
      <c r="S372" s="545">
        <v>100000</v>
      </c>
      <c r="T372" s="621" t="s">
        <v>37</v>
      </c>
      <c r="U372" s="621"/>
      <c r="V372" s="1721">
        <v>1</v>
      </c>
      <c r="W372" s="621" t="s">
        <v>228</v>
      </c>
      <c r="X372" s="585" t="s">
        <v>38</v>
      </c>
      <c r="Y372" s="517">
        <f>+Z372/1000</f>
        <v>900</v>
      </c>
      <c r="Z372" s="473">
        <f>SUM(Q372*S372*V372)</f>
        <v>900000</v>
      </c>
      <c r="AA372" s="1611"/>
      <c r="AB372" s="669"/>
      <c r="AC372" s="1611"/>
      <c r="AD372" s="1612"/>
      <c r="AE372" s="1612"/>
      <c r="AF372" s="1612"/>
      <c r="AG372" s="1612"/>
      <c r="AH372" s="1612"/>
      <c r="AI372" s="1612"/>
      <c r="AJ372" s="1612"/>
      <c r="AK372" s="1612"/>
      <c r="AL372" s="1612"/>
      <c r="AM372" s="1612"/>
      <c r="AN372" s="1612"/>
      <c r="AO372" s="1612"/>
      <c r="AP372" s="1612"/>
      <c r="AQ372" s="1612"/>
      <c r="AR372" s="1612"/>
      <c r="AS372" s="1612"/>
      <c r="AT372" s="1612"/>
      <c r="AU372" s="1612"/>
      <c r="AV372" s="1612"/>
      <c r="AW372" s="1612"/>
      <c r="AX372" s="1612"/>
      <c r="AY372" s="1612"/>
      <c r="AZ372" s="1612"/>
      <c r="BA372" s="1612"/>
      <c r="BB372" s="1612"/>
      <c r="BC372" s="1612"/>
      <c r="BD372" s="1612"/>
      <c r="BE372" s="1612"/>
      <c r="BF372" s="1612"/>
      <c r="BG372" s="1612"/>
      <c r="BH372" s="1612"/>
      <c r="BI372" s="1612"/>
      <c r="BJ372" s="1612"/>
      <c r="BK372" s="1612"/>
      <c r="BL372" s="1612"/>
      <c r="BM372" s="1612"/>
      <c r="BN372" s="1612"/>
      <c r="BO372" s="1612"/>
      <c r="BP372" s="1612"/>
      <c r="BQ372" s="1612"/>
      <c r="BR372" s="1612"/>
      <c r="BS372" s="1612"/>
      <c r="BT372" s="1612"/>
      <c r="BU372" s="1612"/>
      <c r="BV372" s="1612"/>
      <c r="BW372" s="1612"/>
      <c r="BX372" s="1612"/>
      <c r="BY372" s="1612"/>
      <c r="BZ372" s="1612"/>
      <c r="CA372" s="1612"/>
      <c r="CB372" s="1612"/>
      <c r="CC372" s="1612"/>
      <c r="CD372" s="1612"/>
      <c r="CE372" s="1612"/>
      <c r="CF372" s="1612"/>
      <c r="CG372" s="1612"/>
      <c r="CH372" s="1612"/>
      <c r="CI372" s="1612"/>
      <c r="CJ372" s="1612"/>
      <c r="CK372" s="1612"/>
      <c r="CL372" s="1612"/>
      <c r="CM372" s="1612"/>
      <c r="CN372" s="1612"/>
      <c r="CO372" s="1612"/>
      <c r="CP372" s="1612"/>
      <c r="CQ372" s="1612"/>
      <c r="CR372" s="1612"/>
      <c r="CS372" s="1612"/>
      <c r="CT372" s="1612"/>
      <c r="CU372" s="1612"/>
      <c r="CV372" s="1612"/>
      <c r="CW372" s="1612"/>
      <c r="CX372" s="1612"/>
      <c r="CY372" s="1612"/>
      <c r="CZ372" s="1612"/>
      <c r="DA372" s="1612"/>
      <c r="DB372" s="1612"/>
      <c r="DC372" s="1612"/>
      <c r="DD372" s="1612"/>
      <c r="DE372" s="1612"/>
      <c r="DF372" s="1612"/>
      <c r="DG372" s="1612"/>
      <c r="DH372" s="1612"/>
      <c r="DI372" s="1612"/>
      <c r="DJ372" s="1612"/>
      <c r="DK372" s="1612"/>
      <c r="DL372" s="1612"/>
      <c r="DM372" s="1612"/>
      <c r="DN372" s="1612"/>
      <c r="DO372" s="1612"/>
      <c r="DP372" s="1612"/>
      <c r="DQ372" s="1612"/>
      <c r="DR372" s="1612"/>
      <c r="DS372" s="1612"/>
      <c r="DT372" s="1612"/>
      <c r="DU372" s="1612"/>
      <c r="DV372" s="1612"/>
      <c r="DW372" s="1612"/>
      <c r="DX372" s="1612"/>
      <c r="DY372" s="1612"/>
      <c r="DZ372" s="1612"/>
      <c r="EA372" s="1612"/>
      <c r="EB372" s="1612"/>
      <c r="EC372" s="1612"/>
      <c r="ED372" s="1612"/>
      <c r="EE372" s="1612"/>
      <c r="EF372" s="1612"/>
      <c r="EG372" s="1612"/>
      <c r="EH372" s="1612"/>
      <c r="EI372" s="1612"/>
      <c r="EJ372" s="1612"/>
      <c r="EK372" s="1612"/>
      <c r="EL372" s="1612"/>
      <c r="EM372" s="1612"/>
      <c r="EN372" s="1612"/>
      <c r="EO372" s="1612"/>
      <c r="EP372" s="1612"/>
      <c r="EQ372" s="1612"/>
      <c r="ER372" s="1612"/>
      <c r="ES372" s="1612"/>
      <c r="ET372" s="1612"/>
      <c r="EU372" s="1612"/>
      <c r="EV372" s="1612"/>
      <c r="EW372" s="1612"/>
      <c r="EX372" s="1612"/>
      <c r="EY372" s="1612"/>
      <c r="EZ372" s="1612"/>
      <c r="FA372" s="1612"/>
      <c r="FB372" s="1612"/>
      <c r="FC372" s="1612"/>
      <c r="FD372" s="1612"/>
      <c r="FE372" s="1612"/>
      <c r="FF372" s="1612"/>
      <c r="FG372" s="1612"/>
      <c r="FH372" s="1612"/>
      <c r="FI372" s="1612"/>
      <c r="FJ372" s="1612"/>
      <c r="FK372" s="1612"/>
      <c r="FL372" s="1612"/>
      <c r="FM372" s="1612"/>
      <c r="FN372" s="1612"/>
      <c r="FO372" s="1612"/>
      <c r="FP372" s="1612"/>
      <c r="FQ372" s="1612"/>
      <c r="FR372" s="1612"/>
      <c r="FS372" s="1612"/>
      <c r="FT372" s="1612"/>
      <c r="FU372" s="1612"/>
      <c r="FV372" s="1612"/>
      <c r="FW372" s="1612"/>
      <c r="FX372" s="1612"/>
      <c r="FY372" s="1612"/>
      <c r="FZ372" s="1612"/>
      <c r="GA372" s="1612"/>
      <c r="GB372" s="1612"/>
      <c r="GC372" s="1612"/>
      <c r="GD372" s="1612"/>
      <c r="GE372" s="1612"/>
      <c r="GF372" s="1612"/>
      <c r="GG372" s="1612"/>
      <c r="GH372" s="1612"/>
      <c r="GI372" s="1612"/>
      <c r="GJ372" s="1612"/>
      <c r="GK372" s="1612"/>
      <c r="GL372" s="1612"/>
      <c r="GM372" s="1612"/>
      <c r="GN372" s="1612"/>
      <c r="GO372" s="1612"/>
      <c r="GP372" s="1612"/>
      <c r="GQ372" s="1612"/>
      <c r="GR372" s="1612"/>
      <c r="GS372" s="1612"/>
      <c r="GT372" s="1612"/>
      <c r="GU372" s="1612"/>
      <c r="GV372" s="1612"/>
      <c r="GW372" s="1612"/>
      <c r="GX372" s="1612"/>
      <c r="GY372" s="1612"/>
      <c r="GZ372" s="1612"/>
      <c r="HA372" s="1612"/>
      <c r="HB372" s="1612"/>
      <c r="HC372" s="1612"/>
      <c r="HD372" s="1612"/>
      <c r="HE372" s="1612"/>
      <c r="HF372" s="1612"/>
      <c r="HG372" s="1612"/>
      <c r="HH372" s="1612"/>
      <c r="HI372" s="1612"/>
      <c r="HJ372" s="1612"/>
      <c r="HK372" s="1612"/>
      <c r="HL372" s="1612"/>
      <c r="HM372" s="1612"/>
      <c r="HN372" s="1612"/>
      <c r="HO372" s="1612"/>
      <c r="HP372" s="1612"/>
      <c r="HQ372" s="1612"/>
      <c r="HR372" s="1612"/>
      <c r="HS372" s="1612"/>
      <c r="HT372" s="1612"/>
      <c r="HU372" s="1612"/>
      <c r="HV372" s="1612"/>
      <c r="HW372" s="1612"/>
      <c r="HX372" s="1612"/>
      <c r="HY372" s="1612"/>
      <c r="HZ372" s="1612"/>
      <c r="IA372" s="1612"/>
      <c r="IB372" s="1612"/>
      <c r="IC372" s="1612"/>
      <c r="ID372" s="1612"/>
      <c r="IE372" s="1612"/>
      <c r="IF372" s="1612"/>
      <c r="IG372" s="1612"/>
      <c r="IH372" s="1612"/>
      <c r="II372" s="1612"/>
      <c r="IJ372" s="1612"/>
      <c r="IK372" s="1612"/>
      <c r="IL372" s="1612"/>
      <c r="IM372" s="1612"/>
      <c r="IN372" s="1612"/>
      <c r="IO372" s="1612"/>
      <c r="IP372" s="1612"/>
      <c r="IQ372" s="1612"/>
      <c r="IR372" s="1612"/>
      <c r="IS372" s="1612"/>
      <c r="IT372" s="1612"/>
      <c r="IU372" s="1612"/>
      <c r="IV372" s="1612"/>
      <c r="IW372" s="1612"/>
      <c r="IX372" s="1612"/>
      <c r="IY372" s="1612"/>
      <c r="IZ372" s="1612"/>
      <c r="JA372" s="1612"/>
      <c r="JB372" s="1612"/>
      <c r="JC372" s="1612"/>
      <c r="JD372" s="1612"/>
      <c r="JE372" s="1612"/>
      <c r="JF372" s="1612"/>
      <c r="JG372" s="1612"/>
      <c r="JH372" s="1612"/>
      <c r="JI372" s="1612"/>
      <c r="JJ372" s="1612"/>
      <c r="JK372" s="1612"/>
      <c r="JL372" s="1612"/>
      <c r="JM372" s="1612"/>
      <c r="JN372" s="1612"/>
      <c r="JO372" s="1612"/>
      <c r="JP372" s="1612"/>
      <c r="JQ372" s="1612"/>
      <c r="JR372" s="1612"/>
      <c r="JS372" s="1612"/>
      <c r="JT372" s="1612"/>
      <c r="JU372" s="1612"/>
      <c r="JV372" s="1612"/>
      <c r="JW372" s="1612"/>
      <c r="JX372" s="1612"/>
      <c r="JY372" s="1612"/>
      <c r="JZ372" s="1612"/>
      <c r="KA372" s="1612"/>
      <c r="KB372" s="1612"/>
      <c r="KC372" s="1612"/>
      <c r="KD372" s="1612"/>
      <c r="KE372" s="1612"/>
      <c r="KF372" s="1612"/>
      <c r="KG372" s="1612"/>
      <c r="KH372" s="1612"/>
      <c r="KI372" s="1612"/>
      <c r="KJ372" s="1612"/>
      <c r="KK372" s="1612"/>
      <c r="KL372" s="1612"/>
      <c r="KM372" s="1612"/>
      <c r="KN372" s="1612"/>
      <c r="KO372" s="1612"/>
      <c r="KP372" s="1612"/>
      <c r="KQ372" s="1612"/>
      <c r="KR372" s="1612"/>
      <c r="KS372" s="1612"/>
      <c r="KT372" s="1612"/>
      <c r="KU372" s="1612"/>
      <c r="KV372" s="1612"/>
      <c r="KW372" s="1612"/>
      <c r="KX372" s="1612"/>
      <c r="KY372" s="1612"/>
      <c r="KZ372" s="1612"/>
      <c r="LA372" s="1612"/>
      <c r="LB372" s="1612"/>
      <c r="LC372" s="1612"/>
      <c r="LD372" s="1612"/>
      <c r="LE372" s="1612"/>
      <c r="LF372" s="1612"/>
      <c r="LG372" s="1612"/>
      <c r="LH372" s="1612"/>
      <c r="LI372" s="1612"/>
      <c r="LJ372" s="1612"/>
      <c r="LK372" s="1612"/>
      <c r="LL372" s="1612"/>
      <c r="LM372" s="1612"/>
      <c r="LN372" s="1612"/>
      <c r="LO372" s="1612"/>
      <c r="LP372" s="1612"/>
      <c r="LQ372" s="1612"/>
      <c r="LR372" s="1612"/>
      <c r="LS372" s="1612"/>
      <c r="LT372" s="1612"/>
      <c r="LU372" s="1612"/>
      <c r="LV372" s="1612"/>
      <c r="LW372" s="1612"/>
      <c r="LX372" s="1612"/>
      <c r="LY372" s="1612"/>
      <c r="LZ372" s="1612"/>
      <c r="MA372" s="1612"/>
      <c r="MB372" s="1612"/>
    </row>
    <row r="373" spans="1:340" s="1609" customFormat="1" ht="21.75" hidden="1" customHeight="1">
      <c r="A373" s="2957"/>
      <c r="B373" s="632"/>
      <c r="C373" s="2013"/>
      <c r="D373" s="2035"/>
      <c r="E373" s="1319" t="s">
        <v>379</v>
      </c>
      <c r="F373" s="1568">
        <f>Y373</f>
        <v>860</v>
      </c>
      <c r="G373" s="1568">
        <v>860</v>
      </c>
      <c r="H373" s="1561"/>
      <c r="I373" s="1899"/>
      <c r="J373" s="1348" t="s">
        <v>1715</v>
      </c>
      <c r="K373" s="621"/>
      <c r="L373" s="621"/>
      <c r="M373" s="621"/>
      <c r="N373" s="545"/>
      <c r="O373" s="621"/>
      <c r="P373" s="621"/>
      <c r="Q373" s="1349"/>
      <c r="R373" s="621"/>
      <c r="S373" s="545">
        <v>860000</v>
      </c>
      <c r="T373" s="621" t="s">
        <v>37</v>
      </c>
      <c r="U373" s="621"/>
      <c r="V373" s="621">
        <v>1</v>
      </c>
      <c r="W373" s="621" t="s">
        <v>226</v>
      </c>
      <c r="X373" s="585" t="s">
        <v>38</v>
      </c>
      <c r="Y373" s="517">
        <f>+Z373/1000</f>
        <v>860</v>
      </c>
      <c r="Z373" s="473">
        <f>S373*V373</f>
        <v>860000</v>
      </c>
      <c r="AA373" s="1611"/>
      <c r="AB373" s="669"/>
      <c r="AC373" s="1611"/>
      <c r="AD373" s="1612"/>
      <c r="AE373" s="1612"/>
      <c r="AF373" s="1612"/>
      <c r="AG373" s="1612"/>
      <c r="AH373" s="1612"/>
      <c r="AI373" s="1612"/>
      <c r="AJ373" s="1612"/>
      <c r="AK373" s="1612"/>
      <c r="AL373" s="1612"/>
      <c r="AM373" s="1612"/>
      <c r="AN373" s="1612"/>
      <c r="AO373" s="1612"/>
      <c r="AP373" s="1612"/>
      <c r="AQ373" s="1612"/>
      <c r="AR373" s="1612"/>
      <c r="AS373" s="1612"/>
      <c r="AT373" s="1612"/>
      <c r="AU373" s="1612"/>
      <c r="AV373" s="1612"/>
      <c r="AW373" s="1612"/>
      <c r="AX373" s="1612"/>
      <c r="AY373" s="1612"/>
      <c r="AZ373" s="1612"/>
      <c r="BA373" s="1612"/>
      <c r="BB373" s="1612"/>
      <c r="BC373" s="1612"/>
      <c r="BD373" s="1612"/>
      <c r="BE373" s="1612"/>
      <c r="BF373" s="1612"/>
      <c r="BG373" s="1612"/>
      <c r="BH373" s="1612"/>
      <c r="BI373" s="1612"/>
      <c r="BJ373" s="1612"/>
      <c r="BK373" s="1612"/>
      <c r="BL373" s="1612"/>
      <c r="BM373" s="1612"/>
      <c r="BN373" s="1612"/>
      <c r="BO373" s="1612"/>
      <c r="BP373" s="1612"/>
      <c r="BQ373" s="1612"/>
      <c r="BR373" s="1612"/>
      <c r="BS373" s="1612"/>
      <c r="BT373" s="1612"/>
      <c r="BU373" s="1612"/>
      <c r="BV373" s="1612"/>
      <c r="BW373" s="1612"/>
      <c r="BX373" s="1612"/>
      <c r="BY373" s="1612"/>
      <c r="BZ373" s="1612"/>
      <c r="CA373" s="1612"/>
      <c r="CB373" s="1612"/>
      <c r="CC373" s="1612"/>
      <c r="CD373" s="1612"/>
      <c r="CE373" s="1612"/>
      <c r="CF373" s="1612"/>
      <c r="CG373" s="1612"/>
      <c r="CH373" s="1612"/>
      <c r="CI373" s="1612"/>
      <c r="CJ373" s="1612"/>
      <c r="CK373" s="1612"/>
      <c r="CL373" s="1612"/>
      <c r="CM373" s="1612"/>
      <c r="CN373" s="1612"/>
      <c r="CO373" s="1612"/>
      <c r="CP373" s="1612"/>
      <c r="CQ373" s="1612"/>
      <c r="CR373" s="1612"/>
      <c r="CS373" s="1612"/>
      <c r="CT373" s="1612"/>
      <c r="CU373" s="1612"/>
      <c r="CV373" s="1612"/>
      <c r="CW373" s="1612"/>
      <c r="CX373" s="1612"/>
      <c r="CY373" s="1612"/>
      <c r="CZ373" s="1612"/>
      <c r="DA373" s="1612"/>
      <c r="DB373" s="1612"/>
      <c r="DC373" s="1612"/>
      <c r="DD373" s="1612"/>
      <c r="DE373" s="1612"/>
      <c r="DF373" s="1612"/>
      <c r="DG373" s="1612"/>
      <c r="DH373" s="1612"/>
      <c r="DI373" s="1612"/>
      <c r="DJ373" s="1612"/>
      <c r="DK373" s="1612"/>
      <c r="DL373" s="1612"/>
      <c r="DM373" s="1612"/>
      <c r="DN373" s="1612"/>
      <c r="DO373" s="1612"/>
      <c r="DP373" s="1612"/>
      <c r="DQ373" s="1612"/>
      <c r="DR373" s="1612"/>
      <c r="DS373" s="1612"/>
      <c r="DT373" s="1612"/>
      <c r="DU373" s="1612"/>
      <c r="DV373" s="1612"/>
      <c r="DW373" s="1612"/>
      <c r="DX373" s="1612"/>
      <c r="DY373" s="1612"/>
      <c r="DZ373" s="1612"/>
      <c r="EA373" s="1612"/>
      <c r="EB373" s="1612"/>
      <c r="EC373" s="1612"/>
      <c r="ED373" s="1612"/>
      <c r="EE373" s="1612"/>
      <c r="EF373" s="1612"/>
      <c r="EG373" s="1612"/>
      <c r="EH373" s="1612"/>
      <c r="EI373" s="1612"/>
      <c r="EJ373" s="1612"/>
      <c r="EK373" s="1612"/>
      <c r="EL373" s="1612"/>
      <c r="EM373" s="1612"/>
      <c r="EN373" s="1612"/>
      <c r="EO373" s="1612"/>
      <c r="EP373" s="1612"/>
      <c r="EQ373" s="1612"/>
      <c r="ER373" s="1612"/>
      <c r="ES373" s="1612"/>
      <c r="ET373" s="1612"/>
      <c r="EU373" s="1612"/>
      <c r="EV373" s="1612"/>
      <c r="EW373" s="1612"/>
      <c r="EX373" s="1612"/>
      <c r="EY373" s="1612"/>
      <c r="EZ373" s="1612"/>
      <c r="FA373" s="1612"/>
      <c r="FB373" s="1612"/>
      <c r="FC373" s="1612"/>
      <c r="FD373" s="1612"/>
      <c r="FE373" s="1612"/>
      <c r="FF373" s="1612"/>
      <c r="FG373" s="1612"/>
      <c r="FH373" s="1612"/>
      <c r="FI373" s="1612"/>
      <c r="FJ373" s="1612"/>
      <c r="FK373" s="1612"/>
      <c r="FL373" s="1612"/>
      <c r="FM373" s="1612"/>
      <c r="FN373" s="1612"/>
      <c r="FO373" s="1612"/>
      <c r="FP373" s="1612"/>
      <c r="FQ373" s="1612"/>
      <c r="FR373" s="1612"/>
      <c r="FS373" s="1612"/>
      <c r="FT373" s="1612"/>
      <c r="FU373" s="1612"/>
      <c r="FV373" s="1612"/>
      <c r="FW373" s="1612"/>
      <c r="FX373" s="1612"/>
      <c r="FY373" s="1612"/>
      <c r="FZ373" s="1612"/>
      <c r="GA373" s="1612"/>
      <c r="GB373" s="1612"/>
      <c r="GC373" s="1612"/>
      <c r="GD373" s="1612"/>
      <c r="GE373" s="1612"/>
      <c r="GF373" s="1612"/>
      <c r="GG373" s="1612"/>
      <c r="GH373" s="1612"/>
      <c r="GI373" s="1612"/>
      <c r="GJ373" s="1612"/>
      <c r="GK373" s="1612"/>
      <c r="GL373" s="1612"/>
      <c r="GM373" s="1612"/>
      <c r="GN373" s="1612"/>
      <c r="GO373" s="1612"/>
      <c r="GP373" s="1612"/>
      <c r="GQ373" s="1612"/>
      <c r="GR373" s="1612"/>
      <c r="GS373" s="1612"/>
      <c r="GT373" s="1612"/>
      <c r="GU373" s="1612"/>
      <c r="GV373" s="1612"/>
      <c r="GW373" s="1612"/>
      <c r="GX373" s="1612"/>
      <c r="GY373" s="1612"/>
      <c r="GZ373" s="1612"/>
      <c r="HA373" s="1612"/>
      <c r="HB373" s="1612"/>
      <c r="HC373" s="1612"/>
      <c r="HD373" s="1612"/>
      <c r="HE373" s="1612"/>
      <c r="HF373" s="1612"/>
      <c r="HG373" s="1612"/>
      <c r="HH373" s="1612"/>
      <c r="HI373" s="1612"/>
      <c r="HJ373" s="1612"/>
      <c r="HK373" s="1612"/>
      <c r="HL373" s="1612"/>
      <c r="HM373" s="1612"/>
      <c r="HN373" s="1612"/>
      <c r="HO373" s="1612"/>
      <c r="HP373" s="1612"/>
      <c r="HQ373" s="1612"/>
      <c r="HR373" s="1612"/>
      <c r="HS373" s="1612"/>
      <c r="HT373" s="1612"/>
      <c r="HU373" s="1612"/>
      <c r="HV373" s="1612"/>
      <c r="HW373" s="1612"/>
      <c r="HX373" s="1612"/>
      <c r="HY373" s="1612"/>
      <c r="HZ373" s="1612"/>
      <c r="IA373" s="1612"/>
      <c r="IB373" s="1612"/>
      <c r="IC373" s="1612"/>
      <c r="ID373" s="1612"/>
      <c r="IE373" s="1612"/>
      <c r="IF373" s="1612"/>
      <c r="IG373" s="1612"/>
      <c r="IH373" s="1612"/>
      <c r="II373" s="1612"/>
      <c r="IJ373" s="1612"/>
      <c r="IK373" s="1612"/>
      <c r="IL373" s="1612"/>
      <c r="IM373" s="1612"/>
      <c r="IN373" s="1612"/>
      <c r="IO373" s="1612"/>
      <c r="IP373" s="1612"/>
      <c r="IQ373" s="1612"/>
      <c r="IR373" s="1612"/>
      <c r="IS373" s="1612"/>
      <c r="IT373" s="1612"/>
      <c r="IU373" s="1612"/>
      <c r="IV373" s="1612"/>
      <c r="IW373" s="1612"/>
      <c r="IX373" s="1612"/>
      <c r="IY373" s="1612"/>
      <c r="IZ373" s="1612"/>
      <c r="JA373" s="1612"/>
      <c r="JB373" s="1612"/>
      <c r="JC373" s="1612"/>
      <c r="JD373" s="1612"/>
      <c r="JE373" s="1612"/>
      <c r="JF373" s="1612"/>
      <c r="JG373" s="1612"/>
      <c r="JH373" s="1612"/>
      <c r="JI373" s="1612"/>
      <c r="JJ373" s="1612"/>
      <c r="JK373" s="1612"/>
      <c r="JL373" s="1612"/>
      <c r="JM373" s="1612"/>
      <c r="JN373" s="1612"/>
      <c r="JO373" s="1612"/>
      <c r="JP373" s="1612"/>
      <c r="JQ373" s="1612"/>
      <c r="JR373" s="1612"/>
      <c r="JS373" s="1612"/>
      <c r="JT373" s="1612"/>
      <c r="JU373" s="1612"/>
      <c r="JV373" s="1612"/>
      <c r="JW373" s="1612"/>
      <c r="JX373" s="1612"/>
      <c r="JY373" s="1612"/>
      <c r="JZ373" s="1612"/>
      <c r="KA373" s="1612"/>
      <c r="KB373" s="1612"/>
      <c r="KC373" s="1612"/>
      <c r="KD373" s="1612"/>
      <c r="KE373" s="1612"/>
      <c r="KF373" s="1612"/>
      <c r="KG373" s="1612"/>
      <c r="KH373" s="1612"/>
      <c r="KI373" s="1612"/>
      <c r="KJ373" s="1612"/>
      <c r="KK373" s="1612"/>
      <c r="KL373" s="1612"/>
      <c r="KM373" s="1612"/>
      <c r="KN373" s="1612"/>
      <c r="KO373" s="1612"/>
      <c r="KP373" s="1612"/>
      <c r="KQ373" s="1612"/>
      <c r="KR373" s="1612"/>
      <c r="KS373" s="1612"/>
      <c r="KT373" s="1612"/>
      <c r="KU373" s="1612"/>
      <c r="KV373" s="1612"/>
      <c r="KW373" s="1612"/>
      <c r="KX373" s="1612"/>
      <c r="KY373" s="1612"/>
      <c r="KZ373" s="1612"/>
      <c r="LA373" s="1612"/>
      <c r="LB373" s="1612"/>
      <c r="LC373" s="1612"/>
      <c r="LD373" s="1612"/>
      <c r="LE373" s="1612"/>
      <c r="LF373" s="1612"/>
      <c r="LG373" s="1612"/>
      <c r="LH373" s="1612"/>
      <c r="LI373" s="1612"/>
      <c r="LJ373" s="1612"/>
      <c r="LK373" s="1612"/>
      <c r="LL373" s="1612"/>
      <c r="LM373" s="1612"/>
      <c r="LN373" s="1612"/>
      <c r="LO373" s="1612"/>
      <c r="LP373" s="1612"/>
      <c r="LQ373" s="1612"/>
      <c r="LR373" s="1612"/>
      <c r="LS373" s="1612"/>
      <c r="LT373" s="1612"/>
      <c r="LU373" s="1612"/>
      <c r="LV373" s="1612"/>
      <c r="LW373" s="1612"/>
      <c r="LX373" s="1612"/>
      <c r="LY373" s="1612"/>
      <c r="LZ373" s="1612"/>
      <c r="MA373" s="1612"/>
      <c r="MB373" s="1612"/>
    </row>
    <row r="374" spans="1:340" s="1609" customFormat="1" ht="21.75" hidden="1" customHeight="1">
      <c r="A374" s="2957"/>
      <c r="B374" s="632"/>
      <c r="C374" s="2013"/>
      <c r="D374" s="2035"/>
      <c r="E374" s="1319" t="s">
        <v>255</v>
      </c>
      <c r="F374" s="1568">
        <f>+Y374</f>
        <v>0</v>
      </c>
      <c r="G374" s="1568">
        <v>0</v>
      </c>
      <c r="H374" s="1561"/>
      <c r="I374" s="1899"/>
      <c r="J374" s="1348" t="s">
        <v>1707</v>
      </c>
      <c r="K374" s="621"/>
      <c r="L374" s="621"/>
      <c r="M374" s="621"/>
      <c r="N374" s="545"/>
      <c r="O374" s="545"/>
      <c r="P374" s="621"/>
      <c r="Q374" s="1349"/>
      <c r="R374" s="621"/>
      <c r="S374" s="621"/>
      <c r="T374" s="621"/>
      <c r="U374" s="621"/>
      <c r="V374" s="621"/>
      <c r="W374" s="621"/>
      <c r="X374" s="621"/>
      <c r="Y374" s="600">
        <v>0</v>
      </c>
      <c r="Z374" s="473"/>
      <c r="AA374" s="1608"/>
      <c r="AB374" s="669"/>
      <c r="AC374" s="1608"/>
    </row>
    <row r="375" spans="1:340" s="1609" customFormat="1" ht="21.75" hidden="1" customHeight="1">
      <c r="A375" s="2957"/>
      <c r="B375" s="632"/>
      <c r="C375" s="2013"/>
      <c r="D375" s="2035"/>
      <c r="E375" s="1319" t="s">
        <v>380</v>
      </c>
      <c r="F375" s="1568">
        <f>Y375</f>
        <v>600</v>
      </c>
      <c r="G375" s="1568">
        <v>600</v>
      </c>
      <c r="H375" s="1561"/>
      <c r="I375" s="1899"/>
      <c r="J375" s="472" t="s">
        <v>1716</v>
      </c>
      <c r="K375" s="473"/>
      <c r="L375" s="473"/>
      <c r="M375" s="473"/>
      <c r="N375" s="474"/>
      <c r="O375" s="473"/>
      <c r="P375" s="473"/>
      <c r="Q375" s="475">
        <v>3</v>
      </c>
      <c r="R375" s="473" t="s">
        <v>1261</v>
      </c>
      <c r="S375" s="474">
        <v>200000</v>
      </c>
      <c r="T375" s="473" t="s">
        <v>37</v>
      </c>
      <c r="U375" s="473"/>
      <c r="V375" s="473">
        <v>1</v>
      </c>
      <c r="W375" s="473" t="s">
        <v>39</v>
      </c>
      <c r="X375" s="542" t="s">
        <v>38</v>
      </c>
      <c r="Y375" s="483">
        <f>+Z375/1000</f>
        <v>600</v>
      </c>
      <c r="Z375" s="473">
        <f>S375*Q375*V375</f>
        <v>600000</v>
      </c>
      <c r="AA375" s="1608"/>
      <c r="AB375" s="669"/>
      <c r="AC375" s="1608"/>
    </row>
    <row r="376" spans="1:340" ht="21.75" hidden="1" customHeight="1">
      <c r="A376" s="2957"/>
      <c r="B376" s="632"/>
      <c r="C376" s="2013"/>
      <c r="D376" s="2035"/>
      <c r="E376" s="1319" t="s">
        <v>258</v>
      </c>
      <c r="F376" s="1568">
        <f>Y376</f>
        <v>700</v>
      </c>
      <c r="G376" s="1568">
        <v>700</v>
      </c>
      <c r="H376" s="1561"/>
      <c r="I376" s="1899"/>
      <c r="J376" s="1566" t="s">
        <v>224</v>
      </c>
      <c r="K376" s="1326"/>
      <c r="L376" s="1326"/>
      <c r="M376" s="1326"/>
      <c r="N376" s="608"/>
      <c r="O376" s="608"/>
      <c r="P376" s="1326"/>
      <c r="Q376" s="1344"/>
      <c r="R376" s="1326"/>
      <c r="S376" s="1326"/>
      <c r="T376" s="1326"/>
      <c r="U376" s="1326"/>
      <c r="V376" s="1326"/>
      <c r="W376" s="1326"/>
      <c r="X376" s="1559"/>
      <c r="Y376" s="490">
        <f>+Y377+Y378</f>
        <v>700</v>
      </c>
      <c r="Z376" s="473">
        <f>SUM(Z377:Z377)</f>
        <v>557000</v>
      </c>
    </row>
    <row r="377" spans="1:340" ht="21.75" hidden="1" customHeight="1">
      <c r="A377" s="2957"/>
      <c r="B377" s="2035"/>
      <c r="C377" s="2013"/>
      <c r="D377" s="2035"/>
      <c r="E377" s="624"/>
      <c r="F377" s="590"/>
      <c r="G377" s="590"/>
      <c r="H377" s="534"/>
      <c r="I377" s="1899"/>
      <c r="J377" s="472" t="s">
        <v>754</v>
      </c>
      <c r="K377" s="473"/>
      <c r="L377" s="473"/>
      <c r="M377" s="473"/>
      <c r="N377" s="474"/>
      <c r="O377" s="474"/>
      <c r="P377" s="473"/>
      <c r="Q377" s="475">
        <v>1</v>
      </c>
      <c r="R377" s="473" t="s">
        <v>525</v>
      </c>
      <c r="S377" s="474">
        <v>557000</v>
      </c>
      <c r="T377" s="473" t="s">
        <v>37</v>
      </c>
      <c r="U377" s="473"/>
      <c r="V377" s="473">
        <v>1</v>
      </c>
      <c r="W377" s="473" t="s">
        <v>228</v>
      </c>
      <c r="X377" s="542" t="s">
        <v>38</v>
      </c>
      <c r="Y377" s="483">
        <f>+Z377/1000</f>
        <v>557</v>
      </c>
      <c r="Z377" s="473">
        <f>Q377*S377*V377</f>
        <v>557000</v>
      </c>
    </row>
    <row r="378" spans="1:340" ht="21.75" hidden="1" customHeight="1">
      <c r="A378" s="2957"/>
      <c r="B378" s="2035"/>
      <c r="C378" s="2013"/>
      <c r="D378" s="2035"/>
      <c r="E378" s="624"/>
      <c r="F378" s="590"/>
      <c r="G378" s="590"/>
      <c r="H378" s="534"/>
      <c r="I378" s="1899"/>
      <c r="J378" s="472" t="s">
        <v>755</v>
      </c>
      <c r="K378" s="473"/>
      <c r="L378" s="473"/>
      <c r="M378" s="473"/>
      <c r="N378" s="474"/>
      <c r="O378" s="474"/>
      <c r="P378" s="473"/>
      <c r="Q378" s="475">
        <v>1</v>
      </c>
      <c r="R378" s="473" t="s">
        <v>525</v>
      </c>
      <c r="S378" s="474">
        <v>143000</v>
      </c>
      <c r="T378" s="473" t="s">
        <v>37</v>
      </c>
      <c r="U378" s="473"/>
      <c r="V378" s="473">
        <v>1</v>
      </c>
      <c r="W378" s="473" t="s">
        <v>228</v>
      </c>
      <c r="X378" s="542" t="s">
        <v>38</v>
      </c>
      <c r="Y378" s="483">
        <f>+Z378/1000</f>
        <v>143</v>
      </c>
      <c r="Z378" s="473">
        <f>Q378*S378*V378</f>
        <v>143000</v>
      </c>
    </row>
    <row r="379" spans="1:340" ht="21.75" hidden="1" customHeight="1">
      <c r="A379" s="2957"/>
      <c r="B379" s="2035"/>
      <c r="C379" s="2013"/>
      <c r="D379" s="2035"/>
      <c r="E379" s="1319" t="s">
        <v>549</v>
      </c>
      <c r="F379" s="1568">
        <f>Y379</f>
        <v>1000</v>
      </c>
      <c r="G379" s="1568">
        <v>1000</v>
      </c>
      <c r="H379" s="1561"/>
      <c r="I379" s="1899"/>
      <c r="J379" s="1566" t="s">
        <v>224</v>
      </c>
      <c r="K379" s="1326"/>
      <c r="L379" s="1326"/>
      <c r="M379" s="1326"/>
      <c r="N379" s="608"/>
      <c r="O379" s="608"/>
      <c r="P379" s="1326"/>
      <c r="Q379" s="1344"/>
      <c r="R379" s="1326"/>
      <c r="S379" s="1326"/>
      <c r="T379" s="1326"/>
      <c r="U379" s="1326"/>
      <c r="V379" s="1326"/>
      <c r="W379" s="1326"/>
      <c r="X379" s="1559"/>
      <c r="Y379" s="490">
        <f>+Y380+Y381</f>
        <v>1000</v>
      </c>
      <c r="Z379" s="473">
        <f>SUM(Z380:Z381)</f>
        <v>1000000</v>
      </c>
    </row>
    <row r="380" spans="1:340" ht="21.75" hidden="1" customHeight="1">
      <c r="A380" s="2957"/>
      <c r="B380" s="2035"/>
      <c r="C380" s="2013"/>
      <c r="D380" s="2035"/>
      <c r="E380" s="624"/>
      <c r="F380" s="590"/>
      <c r="G380" s="590"/>
      <c r="H380" s="534"/>
      <c r="I380" s="1899"/>
      <c r="J380" s="472" t="s">
        <v>381</v>
      </c>
      <c r="K380" s="473"/>
      <c r="L380" s="473"/>
      <c r="M380" s="473"/>
      <c r="N380" s="474"/>
      <c r="O380" s="473"/>
      <c r="P380" s="473"/>
      <c r="Q380" s="475">
        <v>1</v>
      </c>
      <c r="R380" s="473" t="s">
        <v>227</v>
      </c>
      <c r="S380" s="474">
        <v>600000</v>
      </c>
      <c r="T380" s="473" t="s">
        <v>37</v>
      </c>
      <c r="U380" s="473"/>
      <c r="V380" s="473">
        <v>1</v>
      </c>
      <c r="W380" s="473" t="s">
        <v>228</v>
      </c>
      <c r="X380" s="542" t="s">
        <v>38</v>
      </c>
      <c r="Y380" s="483">
        <f>+Z380/1000</f>
        <v>600</v>
      </c>
      <c r="Z380" s="473">
        <f>S380*Q380*V380</f>
        <v>600000</v>
      </c>
    </row>
    <row r="381" spans="1:340" ht="21.75" hidden="1" customHeight="1">
      <c r="A381" s="2957"/>
      <c r="B381" s="2035"/>
      <c r="C381" s="2013"/>
      <c r="D381" s="2035"/>
      <c r="E381" s="624"/>
      <c r="F381" s="590"/>
      <c r="G381" s="590"/>
      <c r="H381" s="534"/>
      <c r="I381" s="1899"/>
      <c r="J381" s="472" t="s">
        <v>382</v>
      </c>
      <c r="K381" s="473"/>
      <c r="L381" s="473"/>
      <c r="M381" s="473"/>
      <c r="N381" s="474"/>
      <c r="O381" s="473"/>
      <c r="P381" s="473"/>
      <c r="Q381" s="475">
        <v>1</v>
      </c>
      <c r="R381" s="473" t="s">
        <v>227</v>
      </c>
      <c r="S381" s="474">
        <v>400000</v>
      </c>
      <c r="T381" s="473" t="s">
        <v>37</v>
      </c>
      <c r="U381" s="473"/>
      <c r="V381" s="473">
        <v>1</v>
      </c>
      <c r="W381" s="473" t="s">
        <v>228</v>
      </c>
      <c r="X381" s="542" t="s">
        <v>38</v>
      </c>
      <c r="Y381" s="483">
        <f>+Z381/1000</f>
        <v>400</v>
      </c>
      <c r="Z381" s="473">
        <f>S381*Q381*V381</f>
        <v>400000</v>
      </c>
    </row>
    <row r="382" spans="1:340" ht="21.75" hidden="1" customHeight="1">
      <c r="A382" s="2957"/>
      <c r="B382" s="2035"/>
      <c r="C382" s="2013"/>
      <c r="D382" s="2035"/>
      <c r="E382" s="1319" t="s">
        <v>17</v>
      </c>
      <c r="F382" s="1568">
        <f>Y382</f>
        <v>40</v>
      </c>
      <c r="G382" s="1568">
        <v>40</v>
      </c>
      <c r="H382" s="1561"/>
      <c r="I382" s="1899"/>
      <c r="J382" s="1348" t="s">
        <v>1717</v>
      </c>
      <c r="K382" s="621"/>
      <c r="L382" s="621"/>
      <c r="M382" s="621"/>
      <c r="N382" s="545"/>
      <c r="O382" s="621"/>
      <c r="P382" s="621"/>
      <c r="Q382" s="1349"/>
      <c r="R382" s="621"/>
      <c r="S382" s="545">
        <v>40000</v>
      </c>
      <c r="T382" s="621" t="s">
        <v>37</v>
      </c>
      <c r="U382" s="621"/>
      <c r="V382" s="621">
        <v>1</v>
      </c>
      <c r="W382" s="621" t="s">
        <v>228</v>
      </c>
      <c r="X382" s="585" t="s">
        <v>38</v>
      </c>
      <c r="Y382" s="517">
        <f>+Z382/1000</f>
        <v>40</v>
      </c>
      <c r="Z382" s="473">
        <f>+V382*S382</f>
        <v>40000</v>
      </c>
    </row>
    <row r="383" spans="1:340" ht="21.75" hidden="1" customHeight="1">
      <c r="A383" s="2957"/>
      <c r="B383" s="632"/>
      <c r="C383" s="2013"/>
      <c r="D383" s="2035"/>
      <c r="E383" s="1319" t="s">
        <v>242</v>
      </c>
      <c r="F383" s="1568">
        <f>Y383</f>
        <v>900</v>
      </c>
      <c r="G383" s="1568">
        <v>900</v>
      </c>
      <c r="H383" s="1561"/>
      <c r="I383" s="1899"/>
      <c r="J383" s="1348" t="s">
        <v>1718</v>
      </c>
      <c r="K383" s="621"/>
      <c r="L383" s="621"/>
      <c r="M383" s="621"/>
      <c r="N383" s="545"/>
      <c r="O383" s="545"/>
      <c r="P383" s="621"/>
      <c r="Q383" s="1349">
        <v>3</v>
      </c>
      <c r="R383" s="621" t="s">
        <v>232</v>
      </c>
      <c r="S383" s="545">
        <v>20000</v>
      </c>
      <c r="T383" s="621" t="s">
        <v>37</v>
      </c>
      <c r="U383" s="621"/>
      <c r="V383" s="621">
        <v>15</v>
      </c>
      <c r="W383" s="621" t="s">
        <v>259</v>
      </c>
      <c r="X383" s="585" t="s">
        <v>38</v>
      </c>
      <c r="Y383" s="517">
        <f>+Z383/1000</f>
        <v>900</v>
      </c>
      <c r="Z383" s="473">
        <f>S383*Q383*V383</f>
        <v>900000</v>
      </c>
    </row>
    <row r="384" spans="1:340" ht="21" hidden="1" customHeight="1">
      <c r="A384" s="2957"/>
      <c r="B384" s="2035"/>
      <c r="C384" s="2013"/>
      <c r="D384" s="3834" t="s">
        <v>556</v>
      </c>
      <c r="E384" s="3913"/>
      <c r="F384" s="584">
        <f>SUM(F385:F385)</f>
        <v>0</v>
      </c>
      <c r="G384" s="584">
        <f>SUM(G385:G385)</f>
        <v>0</v>
      </c>
      <c r="H384" s="529">
        <f>+F384-G384</f>
        <v>0</v>
      </c>
      <c r="I384" s="1899"/>
      <c r="J384" s="514"/>
      <c r="K384" s="515"/>
      <c r="L384" s="515"/>
      <c r="M384" s="515"/>
      <c r="N384" s="515"/>
      <c r="O384" s="515"/>
      <c r="P384" s="516"/>
      <c r="Q384" s="515"/>
      <c r="R384" s="516"/>
      <c r="S384" s="515"/>
      <c r="T384" s="516"/>
      <c r="U384" s="515"/>
      <c r="V384" s="516"/>
      <c r="W384" s="515"/>
      <c r="X384" s="515"/>
      <c r="Y384" s="667"/>
      <c r="Z384" s="2016"/>
    </row>
    <row r="385" spans="1:26" ht="21.75" hidden="1" customHeight="1" thickBot="1">
      <c r="A385" s="772"/>
      <c r="B385" s="637"/>
      <c r="C385" s="773"/>
      <c r="D385" s="1613"/>
      <c r="E385" s="1614" t="s">
        <v>557</v>
      </c>
      <c r="F385" s="1615">
        <f>+Y385</f>
        <v>0</v>
      </c>
      <c r="G385" s="1615">
        <v>0</v>
      </c>
      <c r="H385" s="1616"/>
      <c r="I385" s="1899"/>
      <c r="J385" s="1666" t="s">
        <v>1707</v>
      </c>
      <c r="K385" s="1667"/>
      <c r="L385" s="1667"/>
      <c r="M385" s="1667"/>
      <c r="N385" s="1668"/>
      <c r="O385" s="1668"/>
      <c r="P385" s="1667"/>
      <c r="Q385" s="1669"/>
      <c r="R385" s="1667"/>
      <c r="S385" s="1667"/>
      <c r="T385" s="1667"/>
      <c r="U385" s="1667"/>
      <c r="V385" s="1667"/>
      <c r="W385" s="1667"/>
      <c r="X385" s="1667"/>
      <c r="Y385" s="1670">
        <v>0</v>
      </c>
      <c r="Z385" s="473" t="e">
        <f>SUM(#REF!)</f>
        <v>#REF!</v>
      </c>
    </row>
    <row r="386" spans="1:26" ht="21.75" hidden="1" customHeight="1"/>
    <row r="489" ht="20.25" hidden="1" customHeight="1"/>
    <row r="490" ht="20.25" hidden="1" customHeight="1"/>
    <row r="491" ht="20.25" hidden="1" customHeight="1"/>
    <row r="492" ht="20.25" hidden="1" customHeight="1"/>
    <row r="493" ht="20.25" hidden="1" customHeight="1"/>
    <row r="494" ht="20.25" hidden="1" customHeight="1"/>
    <row r="495" ht="20.25" hidden="1" customHeight="1"/>
    <row r="496" ht="20.25" hidden="1" customHeight="1"/>
    <row r="497" ht="20.25" hidden="1" customHeight="1"/>
    <row r="498" ht="20.25" hidden="1" customHeight="1"/>
    <row r="499" ht="20.25" hidden="1" customHeight="1"/>
    <row r="500" ht="20.25" hidden="1" customHeight="1"/>
    <row r="501" ht="20.25" hidden="1" customHeight="1" thickBot="1"/>
    <row r="502" ht="20.25" hidden="1" customHeight="1"/>
    <row r="503" ht="20.25" hidden="1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</sheetData>
  <autoFilter ref="A4:MB32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54">
    <mergeCell ref="J215:M215"/>
    <mergeCell ref="D205:E205"/>
    <mergeCell ref="J211:M211"/>
    <mergeCell ref="J212:N212"/>
    <mergeCell ref="J213:N213"/>
    <mergeCell ref="J214:M214"/>
    <mergeCell ref="D93:E93"/>
    <mergeCell ref="J100:M100"/>
    <mergeCell ref="J110:N110"/>
    <mergeCell ref="D112:E112"/>
    <mergeCell ref="J111:N111"/>
    <mergeCell ref="D135:E135"/>
    <mergeCell ref="D187:E187"/>
    <mergeCell ref="D154:E154"/>
    <mergeCell ref="D166:E166"/>
    <mergeCell ref="D202:E202"/>
    <mergeCell ref="C91:E91"/>
    <mergeCell ref="A1:Y1"/>
    <mergeCell ref="A3:E3"/>
    <mergeCell ref="F3:F4"/>
    <mergeCell ref="G3:G4"/>
    <mergeCell ref="H3:H4"/>
    <mergeCell ref="J3:Y4"/>
    <mergeCell ref="B6:E6"/>
    <mergeCell ref="C7:E7"/>
    <mergeCell ref="D20:E20"/>
    <mergeCell ref="D86:E86"/>
    <mergeCell ref="D8:E8"/>
    <mergeCell ref="A5:E5"/>
    <mergeCell ref="J216:M216"/>
    <mergeCell ref="D217:E217"/>
    <mergeCell ref="D221:E221"/>
    <mergeCell ref="D237:E237"/>
    <mergeCell ref="J239:M239"/>
    <mergeCell ref="D242:E242"/>
    <mergeCell ref="D253:E253"/>
    <mergeCell ref="J260:M260"/>
    <mergeCell ref="J261:M261"/>
    <mergeCell ref="J262:M262"/>
    <mergeCell ref="J263:M263"/>
    <mergeCell ref="D266:E266"/>
    <mergeCell ref="D273:E273"/>
    <mergeCell ref="D285:E285"/>
    <mergeCell ref="D306:E306"/>
    <mergeCell ref="D296:E296"/>
    <mergeCell ref="D384:E384"/>
    <mergeCell ref="J308:L308"/>
    <mergeCell ref="J310:L310"/>
    <mergeCell ref="D312:E312"/>
    <mergeCell ref="D317:E317"/>
    <mergeCell ref="D339:E339"/>
    <mergeCell ref="D351:E351"/>
    <mergeCell ref="C350:E350"/>
    <mergeCell ref="D361:E361"/>
  </mergeCells>
  <phoneticPr fontId="15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57" fitToHeight="100" orientation="landscape" r:id="rId1"/>
  <rowBreaks count="7" manualBreakCount="7">
    <brk id="40" max="24" man="1"/>
    <brk id="80" max="24" man="1"/>
    <brk id="165" max="24" man="1"/>
    <brk id="201" max="24" man="1"/>
    <brk id="236" max="24" man="1"/>
    <brk id="278" max="24" man="1"/>
    <brk id="317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337"/>
  <sheetViews>
    <sheetView view="pageBreakPreview" zoomScale="70" zoomScaleNormal="70" zoomScaleSheetLayoutView="70" workbookViewId="0">
      <pane ySplit="6" topLeftCell="A308" activePane="bottomLeft" state="frozen"/>
      <selection activeCell="F663" sqref="F663:G663"/>
      <selection pane="bottomLeft" activeCell="L343" sqref="L343"/>
    </sheetView>
  </sheetViews>
  <sheetFormatPr defaultRowHeight="13.5"/>
  <cols>
    <col min="1" max="1" width="7.6640625" style="691" customWidth="1"/>
    <col min="2" max="2" width="7.33203125" style="691" customWidth="1"/>
    <col min="3" max="3" width="6.109375" style="691" customWidth="1"/>
    <col min="4" max="4" width="6.44140625" style="691" customWidth="1"/>
    <col min="5" max="5" width="14.109375" style="691" customWidth="1"/>
    <col min="6" max="6" width="14.88671875" style="691" customWidth="1"/>
    <col min="7" max="7" width="14.5546875" style="691" customWidth="1"/>
    <col min="8" max="8" width="14.77734375" style="1543" customWidth="1"/>
    <col min="9" max="9" width="1.6640625" style="689" customWidth="1"/>
    <col min="10" max="10" width="5.109375" style="691" customWidth="1"/>
    <col min="11" max="11" width="2.109375" style="691" customWidth="1"/>
    <col min="12" max="12" width="6.77734375" style="691" customWidth="1"/>
    <col min="13" max="13" width="7.88671875" style="691" customWidth="1"/>
    <col min="14" max="14" width="7.44140625" style="691" customWidth="1"/>
    <col min="15" max="15" width="10.21875" style="691" customWidth="1"/>
    <col min="16" max="16" width="12" style="691" customWidth="1"/>
    <col min="17" max="17" width="8.6640625" style="691" customWidth="1"/>
    <col min="18" max="18" width="6.109375" style="691" customWidth="1"/>
    <col min="19" max="19" width="14.6640625" style="691" customWidth="1"/>
    <col min="20" max="20" width="5.21875" style="691" customWidth="1"/>
    <col min="21" max="21" width="7.33203125" style="691" customWidth="1"/>
    <col min="22" max="22" width="7.109375" style="691" customWidth="1"/>
    <col min="23" max="23" width="7.5546875" style="691" customWidth="1"/>
    <col min="24" max="24" width="4" style="1544" customWidth="1"/>
    <col min="25" max="25" width="14.77734375" style="691" customWidth="1"/>
    <col min="26" max="26" width="19.6640625" style="691" customWidth="1"/>
    <col min="27" max="27" width="21.33203125" style="1483" bestFit="1" customWidth="1"/>
    <col min="28" max="28" width="19.109375" style="1483" bestFit="1" customWidth="1"/>
    <col min="29" max="29" width="17.109375" style="691" bestFit="1" customWidth="1"/>
    <col min="30" max="30" width="14.33203125" style="691" bestFit="1" customWidth="1"/>
    <col min="31" max="31" width="14.88671875" style="691" bestFit="1" customWidth="1"/>
    <col min="32" max="32" width="13.88671875" style="691" bestFit="1" customWidth="1"/>
    <col min="33" max="33" width="10.33203125" style="691" bestFit="1" customWidth="1"/>
    <col min="34" max="16384" width="8.88671875" style="691"/>
  </cols>
  <sheetData>
    <row r="1" spans="1:29" ht="27">
      <c r="A1" s="3956" t="s">
        <v>6115</v>
      </c>
      <c r="B1" s="3956"/>
      <c r="C1" s="3956"/>
      <c r="D1" s="3956"/>
      <c r="E1" s="3956"/>
      <c r="F1" s="3956"/>
      <c r="G1" s="3956"/>
      <c r="H1" s="3956"/>
      <c r="I1" s="3956"/>
      <c r="J1" s="3956"/>
      <c r="K1" s="3956"/>
      <c r="L1" s="3956"/>
      <c r="M1" s="3956"/>
      <c r="N1" s="3956"/>
      <c r="O1" s="3956"/>
      <c r="P1" s="3956"/>
      <c r="Q1" s="3956"/>
      <c r="R1" s="3956"/>
      <c r="S1" s="3956"/>
      <c r="T1" s="3956"/>
      <c r="U1" s="3956"/>
      <c r="V1" s="3956"/>
      <c r="W1" s="3956"/>
      <c r="X1" s="3956"/>
      <c r="Y1" s="3956"/>
      <c r="Z1" s="1482"/>
    </row>
    <row r="2" spans="1:29" ht="15" thickBot="1">
      <c r="A2" s="1045"/>
      <c r="B2" s="1045"/>
      <c r="C2" s="1045"/>
      <c r="D2" s="1045" t="s">
        <v>2587</v>
      </c>
      <c r="E2" s="951"/>
      <c r="F2" s="993"/>
      <c r="G2" s="1484"/>
      <c r="H2" s="1485" t="s">
        <v>2588</v>
      </c>
      <c r="I2" s="709"/>
      <c r="J2" s="1045" t="s">
        <v>2587</v>
      </c>
      <c r="K2" s="1045"/>
      <c r="L2" s="1486" t="s">
        <v>2587</v>
      </c>
      <c r="M2" s="1045"/>
      <c r="N2" s="1045"/>
      <c r="O2" s="1487"/>
      <c r="P2" s="1488"/>
      <c r="Q2" s="1489"/>
      <c r="R2" s="1023"/>
      <c r="S2" s="1023"/>
      <c r="T2" s="1023"/>
      <c r="U2" s="1023"/>
      <c r="V2" s="1023"/>
      <c r="W2" s="1023"/>
      <c r="X2" s="1490"/>
      <c r="Y2" s="1048" t="s">
        <v>2588</v>
      </c>
      <c r="Z2" s="709"/>
    </row>
    <row r="3" spans="1:29" ht="24" customHeight="1">
      <c r="A3" s="3957" t="s">
        <v>2589</v>
      </c>
      <c r="B3" s="3958"/>
      <c r="C3" s="3958"/>
      <c r="D3" s="3958"/>
      <c r="E3" s="3959"/>
      <c r="F3" s="3851" t="s">
        <v>2590</v>
      </c>
      <c r="G3" s="3811" t="s">
        <v>2591</v>
      </c>
      <c r="H3" s="4017" t="s">
        <v>2592</v>
      </c>
      <c r="I3" s="734"/>
      <c r="J3" s="3964" t="s">
        <v>2593</v>
      </c>
      <c r="K3" s="3965"/>
      <c r="L3" s="3965"/>
      <c r="M3" s="3965"/>
      <c r="N3" s="3965"/>
      <c r="O3" s="3965"/>
      <c r="P3" s="3965"/>
      <c r="Q3" s="3965"/>
      <c r="R3" s="3965"/>
      <c r="S3" s="3965"/>
      <c r="T3" s="3965"/>
      <c r="U3" s="3965"/>
      <c r="V3" s="3965"/>
      <c r="W3" s="3965"/>
      <c r="X3" s="3965"/>
      <c r="Y3" s="3966"/>
      <c r="Z3" s="1671"/>
      <c r="AA3" s="1672"/>
    </row>
    <row r="4" spans="1:29" ht="21.75" customHeight="1" thickBot="1">
      <c r="A4" s="1491" t="s">
        <v>2594</v>
      </c>
      <c r="B4" s="1492" t="s">
        <v>2595</v>
      </c>
      <c r="C4" s="1492" t="s">
        <v>2596</v>
      </c>
      <c r="D4" s="1492" t="s">
        <v>2597</v>
      </c>
      <c r="E4" s="1492" t="s">
        <v>2598</v>
      </c>
      <c r="F4" s="3852"/>
      <c r="G4" s="3812"/>
      <c r="H4" s="4018"/>
      <c r="I4" s="1724"/>
      <c r="J4" s="3967"/>
      <c r="K4" s="3968"/>
      <c r="L4" s="3968"/>
      <c r="M4" s="3968"/>
      <c r="N4" s="3968"/>
      <c r="O4" s="3968"/>
      <c r="P4" s="3968"/>
      <c r="Q4" s="3968"/>
      <c r="R4" s="3968"/>
      <c r="S4" s="3968"/>
      <c r="T4" s="3968"/>
      <c r="U4" s="3968"/>
      <c r="V4" s="3968"/>
      <c r="W4" s="3968"/>
      <c r="X4" s="3968"/>
      <c r="Y4" s="3969"/>
      <c r="Z4" s="684"/>
      <c r="AA4" s="1672"/>
    </row>
    <row r="5" spans="1:29" ht="19.5" customHeight="1" thickBot="1">
      <c r="A5" s="4009" t="s">
        <v>915</v>
      </c>
      <c r="B5" s="4010"/>
      <c r="C5" s="4010"/>
      <c r="D5" s="4010"/>
      <c r="E5" s="4011"/>
      <c r="F5" s="1493"/>
      <c r="G5" s="1494"/>
      <c r="H5" s="1495"/>
      <c r="I5" s="1724"/>
      <c r="J5" s="1496"/>
      <c r="K5" s="1497"/>
      <c r="L5" s="1497"/>
      <c r="M5" s="1497"/>
      <c r="N5" s="1497"/>
      <c r="O5" s="1497"/>
      <c r="P5" s="1497"/>
      <c r="Q5" s="1497"/>
      <c r="R5" s="1497"/>
      <c r="S5" s="1497"/>
      <c r="T5" s="1497"/>
      <c r="U5" s="1497"/>
      <c r="V5" s="1497"/>
      <c r="W5" s="1497"/>
      <c r="X5" s="1497"/>
      <c r="Y5" s="1498"/>
      <c r="Z5" s="684"/>
      <c r="AA5" s="1672"/>
    </row>
    <row r="6" spans="1:29" ht="21" customHeight="1" thickBot="1">
      <c r="A6" s="899"/>
      <c r="B6" s="900" t="s">
        <v>2599</v>
      </c>
      <c r="C6" s="901"/>
      <c r="D6" s="901"/>
      <c r="E6" s="902"/>
      <c r="F6" s="1499">
        <f>+F7+F109</f>
        <v>3056000</v>
      </c>
      <c r="G6" s="1499">
        <f>+G7+G109</f>
        <v>3056000</v>
      </c>
      <c r="H6" s="1392">
        <f>+H7+H109</f>
        <v>0</v>
      </c>
      <c r="I6" s="1725"/>
      <c r="J6" s="1500"/>
      <c r="K6" s="901"/>
      <c r="L6" s="901"/>
      <c r="M6" s="901"/>
      <c r="N6" s="901"/>
      <c r="O6" s="1434"/>
      <c r="P6" s="1501"/>
      <c r="Q6" s="1435"/>
      <c r="R6" s="1501"/>
      <c r="S6" s="1434"/>
      <c r="T6" s="901"/>
      <c r="U6" s="1434"/>
      <c r="V6" s="901"/>
      <c r="W6" s="901"/>
      <c r="X6" s="1502"/>
      <c r="Y6" s="1503"/>
      <c r="Z6" s="1673"/>
      <c r="AA6" s="1672"/>
    </row>
    <row r="7" spans="1:29" ht="21" customHeight="1">
      <c r="A7" s="1468"/>
      <c r="B7" s="1504"/>
      <c r="C7" s="4012" t="s">
        <v>2600</v>
      </c>
      <c r="D7" s="4013"/>
      <c r="E7" s="4014"/>
      <c r="F7" s="1170">
        <f>F8+F20+F107</f>
        <v>2059000</v>
      </c>
      <c r="G7" s="1170">
        <f>G8+G20+G107</f>
        <v>2059000</v>
      </c>
      <c r="H7" s="1171">
        <f>F7-G7</f>
        <v>0</v>
      </c>
      <c r="I7" s="1725"/>
      <c r="J7" s="1173"/>
      <c r="K7" s="1174"/>
      <c r="L7" s="1174"/>
      <c r="M7" s="1174"/>
      <c r="N7" s="1174"/>
      <c r="O7" s="1401"/>
      <c r="P7" s="1950"/>
      <c r="Q7" s="1505"/>
      <c r="R7" s="1950"/>
      <c r="S7" s="1401"/>
      <c r="T7" s="1174"/>
      <c r="U7" s="1401"/>
      <c r="V7" s="1174"/>
      <c r="W7" s="1174"/>
      <c r="X7" s="1402"/>
      <c r="Y7" s="1506"/>
      <c r="Z7" s="1673"/>
      <c r="AA7" s="1185"/>
      <c r="AB7" s="690"/>
    </row>
    <row r="8" spans="1:29" s="931" customFormat="1" ht="21" customHeight="1">
      <c r="A8" s="916"/>
      <c r="B8" s="1982"/>
      <c r="C8" s="675"/>
      <c r="D8" s="4015" t="s">
        <v>2601</v>
      </c>
      <c r="E8" s="4016"/>
      <c r="F8" s="932">
        <f>+F9+F16+F17</f>
        <v>1065000</v>
      </c>
      <c r="G8" s="932">
        <f>+G9+G16+G17</f>
        <v>1065000</v>
      </c>
      <c r="H8" s="1208">
        <f>F8-G8</f>
        <v>0</v>
      </c>
      <c r="I8" s="734"/>
      <c r="J8" s="934"/>
      <c r="K8" s="935"/>
      <c r="L8" s="935"/>
      <c r="M8" s="935"/>
      <c r="N8" s="935"/>
      <c r="O8" s="935"/>
      <c r="P8" s="936"/>
      <c r="Q8" s="937"/>
      <c r="R8" s="1969"/>
      <c r="S8" s="938"/>
      <c r="T8" s="1957"/>
      <c r="U8" s="938"/>
      <c r="V8" s="1957"/>
      <c r="W8" s="1957"/>
      <c r="X8" s="1184"/>
      <c r="Y8" s="939"/>
      <c r="Z8" s="736"/>
      <c r="AA8" s="1185"/>
      <c r="AB8" s="690"/>
      <c r="AC8" s="690"/>
    </row>
    <row r="9" spans="1:29" s="931" customFormat="1" ht="21" customHeight="1">
      <c r="A9" s="916"/>
      <c r="B9" s="1982"/>
      <c r="C9" s="675"/>
      <c r="D9" s="675"/>
      <c r="E9" s="851" t="s">
        <v>2602</v>
      </c>
      <c r="F9" s="941">
        <f>+Y9</f>
        <v>862800</v>
      </c>
      <c r="G9" s="941">
        <v>862800</v>
      </c>
      <c r="H9" s="942"/>
      <c r="I9" s="734"/>
      <c r="J9" s="943" t="s">
        <v>2603</v>
      </c>
      <c r="K9" s="944"/>
      <c r="L9" s="944"/>
      <c r="M9" s="944"/>
      <c r="N9" s="945"/>
      <c r="O9" s="945"/>
      <c r="P9" s="944"/>
      <c r="Q9" s="946"/>
      <c r="R9" s="867"/>
      <c r="S9" s="867"/>
      <c r="T9" s="867"/>
      <c r="U9" s="867"/>
      <c r="V9" s="867"/>
      <c r="W9" s="867"/>
      <c r="X9" s="870"/>
      <c r="Y9" s="1022">
        <f>+INT(Z9/1000)</f>
        <v>862800</v>
      </c>
      <c r="Z9" s="867">
        <f>+Z10+Z12+Z14</f>
        <v>862800000</v>
      </c>
      <c r="AA9" s="1185">
        <f>F9*1000000</f>
        <v>862800000000</v>
      </c>
      <c r="AB9" s="690"/>
      <c r="AC9" s="690"/>
    </row>
    <row r="10" spans="1:29" s="931" customFormat="1" ht="21" customHeight="1">
      <c r="A10" s="673"/>
      <c r="B10" s="674"/>
      <c r="C10" s="948"/>
      <c r="D10" s="675"/>
      <c r="E10" s="851"/>
      <c r="F10" s="941"/>
      <c r="G10" s="941"/>
      <c r="H10" s="949"/>
      <c r="I10" s="734"/>
      <c r="J10" s="943" t="s">
        <v>2604</v>
      </c>
      <c r="K10" s="950"/>
      <c r="L10" s="951"/>
      <c r="M10" s="951"/>
      <c r="N10" s="945"/>
      <c r="O10" s="945"/>
      <c r="P10" s="944"/>
      <c r="Q10" s="946" t="s">
        <v>2605</v>
      </c>
      <c r="R10" s="867" t="s">
        <v>2587</v>
      </c>
      <c r="S10" s="952"/>
      <c r="T10" s="867"/>
      <c r="U10" s="867"/>
      <c r="V10" s="867"/>
      <c r="W10" s="867"/>
      <c r="X10" s="870"/>
      <c r="Y10" s="1022">
        <f t="shared" ref="Y10:Y19" si="0">+INT(Z10/1000)</f>
        <v>745200</v>
      </c>
      <c r="Z10" s="867">
        <f>SUM(Z11:Z11)</f>
        <v>745200000</v>
      </c>
      <c r="AA10" s="1185">
        <f t="shared" ref="AA10:AA73" si="1">F10*1000000</f>
        <v>0</v>
      </c>
      <c r="AB10" s="690"/>
      <c r="AC10" s="690"/>
    </row>
    <row r="11" spans="1:29" s="931" customFormat="1" ht="21" customHeight="1">
      <c r="A11" s="673"/>
      <c r="B11" s="674"/>
      <c r="C11" s="948"/>
      <c r="D11" s="675"/>
      <c r="E11" s="851"/>
      <c r="F11" s="941"/>
      <c r="G11" s="941"/>
      <c r="H11" s="949"/>
      <c r="I11" s="734"/>
      <c r="J11" s="943"/>
      <c r="K11" s="1317" t="s">
        <v>2606</v>
      </c>
      <c r="L11" s="951"/>
      <c r="M11" s="951"/>
      <c r="N11" s="954"/>
      <c r="O11" s="944"/>
      <c r="P11" s="944"/>
      <c r="Q11" s="946" t="s">
        <v>2607</v>
      </c>
      <c r="R11" s="867" t="s">
        <v>2608</v>
      </c>
      <c r="S11" s="868">
        <v>4140000</v>
      </c>
      <c r="T11" s="867" t="s">
        <v>2609</v>
      </c>
      <c r="U11" s="867"/>
      <c r="V11" s="867">
        <v>12</v>
      </c>
      <c r="W11" s="867" t="s">
        <v>2610</v>
      </c>
      <c r="X11" s="870" t="s">
        <v>2611</v>
      </c>
      <c r="Y11" s="1022">
        <f t="shared" si="0"/>
        <v>745200</v>
      </c>
      <c r="Z11" s="868">
        <f>S11*Q11*V11</f>
        <v>745200000</v>
      </c>
      <c r="AA11" s="1185">
        <f t="shared" si="1"/>
        <v>0</v>
      </c>
      <c r="AB11" s="690"/>
      <c r="AC11" s="690"/>
    </row>
    <row r="12" spans="1:29" s="931" customFormat="1" ht="21" customHeight="1">
      <c r="A12" s="673"/>
      <c r="B12" s="674"/>
      <c r="C12" s="948"/>
      <c r="D12" s="675"/>
      <c r="E12" s="851"/>
      <c r="F12" s="941"/>
      <c r="G12" s="941"/>
      <c r="H12" s="949"/>
      <c r="I12" s="734"/>
      <c r="J12" s="943" t="s">
        <v>2612</v>
      </c>
      <c r="K12" s="950"/>
      <c r="L12" s="951"/>
      <c r="M12" s="951"/>
      <c r="N12" s="954"/>
      <c r="O12" s="944"/>
      <c r="P12" s="944"/>
      <c r="Q12" s="946"/>
      <c r="R12" s="682"/>
      <c r="S12" s="867"/>
      <c r="T12" s="682"/>
      <c r="U12" s="867"/>
      <c r="V12" s="867"/>
      <c r="W12" s="867"/>
      <c r="X12" s="870"/>
      <c r="Y12" s="1022">
        <f t="shared" si="0"/>
        <v>86800</v>
      </c>
      <c r="Z12" s="868">
        <f>SUM(Z13:Z13)</f>
        <v>86800000</v>
      </c>
      <c r="AA12" s="1185">
        <f t="shared" si="1"/>
        <v>0</v>
      </c>
      <c r="AB12" s="690"/>
      <c r="AC12" s="690"/>
    </row>
    <row r="13" spans="1:29" s="931" customFormat="1" ht="21" customHeight="1">
      <c r="A13" s="673"/>
      <c r="B13" s="674"/>
      <c r="C13" s="948"/>
      <c r="D13" s="675"/>
      <c r="E13" s="851"/>
      <c r="F13" s="941"/>
      <c r="G13" s="941"/>
      <c r="H13" s="949"/>
      <c r="I13" s="734"/>
      <c r="J13" s="943"/>
      <c r="K13" s="1317" t="s">
        <v>2606</v>
      </c>
      <c r="L13" s="951"/>
      <c r="M13" s="951"/>
      <c r="N13" s="954"/>
      <c r="O13" s="944"/>
      <c r="P13" s="944"/>
      <c r="Q13" s="946" t="s">
        <v>2607</v>
      </c>
      <c r="R13" s="867" t="s">
        <v>2608</v>
      </c>
      <c r="S13" s="868">
        <v>482222.22222222225</v>
      </c>
      <c r="T13" s="867" t="s">
        <v>2609</v>
      </c>
      <c r="U13" s="867"/>
      <c r="V13" s="867">
        <v>12</v>
      </c>
      <c r="W13" s="867" t="s">
        <v>2610</v>
      </c>
      <c r="X13" s="870" t="s">
        <v>2611</v>
      </c>
      <c r="Y13" s="1022">
        <f t="shared" si="0"/>
        <v>86800</v>
      </c>
      <c r="Z13" s="868">
        <f>ROUNDUP(S13*Q13*V13,-3)</f>
        <v>86800000</v>
      </c>
      <c r="AA13" s="1185">
        <f t="shared" si="1"/>
        <v>0</v>
      </c>
      <c r="AB13" s="690"/>
      <c r="AC13" s="690"/>
    </row>
    <row r="14" spans="1:29" s="931" customFormat="1" ht="21" customHeight="1">
      <c r="A14" s="673"/>
      <c r="B14" s="674"/>
      <c r="C14" s="948"/>
      <c r="D14" s="675"/>
      <c r="E14" s="851"/>
      <c r="F14" s="941"/>
      <c r="G14" s="941"/>
      <c r="H14" s="949"/>
      <c r="I14" s="734"/>
      <c r="J14" s="943" t="s">
        <v>2613</v>
      </c>
      <c r="K14" s="950"/>
      <c r="L14" s="951"/>
      <c r="M14" s="951"/>
      <c r="N14" s="954"/>
      <c r="O14" s="944"/>
      <c r="P14" s="944"/>
      <c r="Q14" s="946"/>
      <c r="R14" s="682"/>
      <c r="S14" s="867"/>
      <c r="T14" s="682"/>
      <c r="U14" s="867"/>
      <c r="V14" s="867"/>
      <c r="W14" s="867"/>
      <c r="X14" s="870"/>
      <c r="Y14" s="1022">
        <f t="shared" si="0"/>
        <v>30800</v>
      </c>
      <c r="Z14" s="868">
        <f>SUM(Z15:Z15)</f>
        <v>30800000</v>
      </c>
      <c r="AA14" s="1185">
        <f t="shared" si="1"/>
        <v>0</v>
      </c>
      <c r="AB14" s="690"/>
      <c r="AC14" s="690"/>
    </row>
    <row r="15" spans="1:29" s="931" customFormat="1" ht="21" customHeight="1">
      <c r="A15" s="673"/>
      <c r="B15" s="674"/>
      <c r="C15" s="948"/>
      <c r="D15" s="675"/>
      <c r="E15" s="851"/>
      <c r="F15" s="941"/>
      <c r="G15" s="941"/>
      <c r="H15" s="949"/>
      <c r="I15" s="734"/>
      <c r="J15" s="943"/>
      <c r="K15" s="1317" t="s">
        <v>2606</v>
      </c>
      <c r="L15" s="951"/>
      <c r="M15" s="951"/>
      <c r="N15" s="954"/>
      <c r="O15" s="944"/>
      <c r="P15" s="944"/>
      <c r="Q15" s="946" t="s">
        <v>2607</v>
      </c>
      <c r="R15" s="867" t="s">
        <v>2608</v>
      </c>
      <c r="S15" s="868">
        <v>2053333.3333333333</v>
      </c>
      <c r="T15" s="867" t="s">
        <v>2609</v>
      </c>
      <c r="U15" s="867"/>
      <c r="V15" s="867">
        <v>1</v>
      </c>
      <c r="W15" s="867" t="s">
        <v>2614</v>
      </c>
      <c r="X15" s="870" t="s">
        <v>2611</v>
      </c>
      <c r="Y15" s="1022">
        <f t="shared" si="0"/>
        <v>30800</v>
      </c>
      <c r="Z15" s="868">
        <f>ROUNDUP(S15*Q15*V15,-3)</f>
        <v>30800000</v>
      </c>
      <c r="AA15" s="1185">
        <f t="shared" si="1"/>
        <v>0</v>
      </c>
      <c r="AB15" s="690"/>
      <c r="AC15" s="690"/>
    </row>
    <row r="16" spans="1:29" s="931" customFormat="1" ht="21" customHeight="1">
      <c r="A16" s="673"/>
      <c r="B16" s="674"/>
      <c r="C16" s="948"/>
      <c r="D16" s="675"/>
      <c r="E16" s="852" t="s">
        <v>2615</v>
      </c>
      <c r="F16" s="955">
        <f>Y16</f>
        <v>104000</v>
      </c>
      <c r="G16" s="956">
        <v>104000</v>
      </c>
      <c r="H16" s="957"/>
      <c r="I16" s="734"/>
      <c r="J16" s="958" t="s">
        <v>2616</v>
      </c>
      <c r="K16" s="959"/>
      <c r="L16" s="960"/>
      <c r="M16" s="960"/>
      <c r="N16" s="961"/>
      <c r="O16" s="961"/>
      <c r="P16" s="959"/>
      <c r="Q16" s="962"/>
      <c r="R16" s="857"/>
      <c r="S16" s="858">
        <f>+Z10+Z12</f>
        <v>832000000</v>
      </c>
      <c r="T16" s="857" t="s">
        <v>2617</v>
      </c>
      <c r="U16" s="963">
        <v>12</v>
      </c>
      <c r="V16" s="857" t="s">
        <v>2618</v>
      </c>
      <c r="W16" s="964">
        <v>1.5</v>
      </c>
      <c r="X16" s="860" t="s">
        <v>2611</v>
      </c>
      <c r="Y16" s="1056">
        <f t="shared" si="0"/>
        <v>104000</v>
      </c>
      <c r="Z16" s="867">
        <f>+(S16/U16*W16)</f>
        <v>104000000</v>
      </c>
      <c r="AA16" s="1185">
        <f t="shared" si="1"/>
        <v>104000000000</v>
      </c>
      <c r="AB16" s="690"/>
      <c r="AC16" s="690"/>
    </row>
    <row r="17" spans="1:31" s="931" customFormat="1" ht="21" customHeight="1">
      <c r="A17" s="673"/>
      <c r="B17" s="674"/>
      <c r="C17" s="948"/>
      <c r="D17" s="675"/>
      <c r="E17" s="852" t="s">
        <v>2619</v>
      </c>
      <c r="F17" s="956">
        <f>Y17</f>
        <v>98200</v>
      </c>
      <c r="G17" s="956">
        <v>98200</v>
      </c>
      <c r="H17" s="957"/>
      <c r="I17" s="734"/>
      <c r="J17" s="958" t="s">
        <v>2603</v>
      </c>
      <c r="K17" s="959"/>
      <c r="L17" s="959"/>
      <c r="M17" s="959"/>
      <c r="N17" s="961"/>
      <c r="O17" s="961"/>
      <c r="P17" s="959"/>
      <c r="Q17" s="962"/>
      <c r="R17" s="857"/>
      <c r="S17" s="857"/>
      <c r="T17" s="857"/>
      <c r="U17" s="857"/>
      <c r="V17" s="857"/>
      <c r="W17" s="857"/>
      <c r="X17" s="860"/>
      <c r="Y17" s="1022">
        <f t="shared" si="0"/>
        <v>98200</v>
      </c>
      <c r="Z17" s="867">
        <f>SUM(Z18:Z19)</f>
        <v>98200000</v>
      </c>
      <c r="AA17" s="1185">
        <f t="shared" si="1"/>
        <v>98200000000</v>
      </c>
      <c r="AB17" s="690"/>
      <c r="AC17" s="690"/>
    </row>
    <row r="18" spans="1:31" s="967" customFormat="1" ht="21" customHeight="1">
      <c r="A18" s="866"/>
      <c r="B18" s="851"/>
      <c r="C18" s="968"/>
      <c r="D18" s="675"/>
      <c r="E18" s="851"/>
      <c r="F18" s="941"/>
      <c r="G18" s="941"/>
      <c r="H18" s="949"/>
      <c r="I18" s="734"/>
      <c r="J18" s="943" t="s">
        <v>2620</v>
      </c>
      <c r="K18" s="944"/>
      <c r="L18" s="944"/>
      <c r="M18" s="944"/>
      <c r="N18" s="945"/>
      <c r="O18" s="944"/>
      <c r="P18" s="944"/>
      <c r="Q18" s="946"/>
      <c r="R18" s="867"/>
      <c r="S18" s="868">
        <f>+S16</f>
        <v>832000000</v>
      </c>
      <c r="T18" s="867" t="s">
        <v>2609</v>
      </c>
      <c r="U18" s="867"/>
      <c r="V18" s="969">
        <v>0.1</v>
      </c>
      <c r="W18" s="867"/>
      <c r="X18" s="870" t="s">
        <v>2611</v>
      </c>
      <c r="Y18" s="1022">
        <f t="shared" si="0"/>
        <v>83200</v>
      </c>
      <c r="Z18" s="867">
        <f>ROUNDUP(S18*V18,-3)</f>
        <v>83200000</v>
      </c>
      <c r="AA18" s="1185">
        <f t="shared" si="1"/>
        <v>0</v>
      </c>
      <c r="AB18" s="690"/>
      <c r="AC18" s="966"/>
    </row>
    <row r="19" spans="1:31" s="931" customFormat="1" ht="21" customHeight="1">
      <c r="A19" s="673"/>
      <c r="B19" s="674"/>
      <c r="C19" s="948"/>
      <c r="D19" s="970"/>
      <c r="E19" s="971"/>
      <c r="F19" s="972"/>
      <c r="G19" s="972"/>
      <c r="H19" s="973"/>
      <c r="I19" s="734"/>
      <c r="J19" s="974" t="s">
        <v>2621</v>
      </c>
      <c r="K19" s="975"/>
      <c r="L19" s="975"/>
      <c r="M19" s="975"/>
      <c r="N19" s="976"/>
      <c r="O19" s="976"/>
      <c r="P19" s="975"/>
      <c r="Q19" s="977"/>
      <c r="R19" s="978"/>
      <c r="S19" s="979">
        <v>1000000</v>
      </c>
      <c r="T19" s="978" t="s">
        <v>2609</v>
      </c>
      <c r="U19" s="978"/>
      <c r="V19" s="980">
        <v>15</v>
      </c>
      <c r="W19" s="978" t="s">
        <v>2622</v>
      </c>
      <c r="X19" s="1025" t="s">
        <v>2611</v>
      </c>
      <c r="Y19" s="1022">
        <f t="shared" si="0"/>
        <v>15000</v>
      </c>
      <c r="Z19" s="867">
        <f>ROUNDUP(S19*V19,-3)</f>
        <v>15000000</v>
      </c>
      <c r="AA19" s="1185">
        <f t="shared" si="1"/>
        <v>0</v>
      </c>
      <c r="AB19" s="690"/>
      <c r="AC19" s="690"/>
    </row>
    <row r="20" spans="1:31" s="967" customFormat="1" ht="21" customHeight="1">
      <c r="A20" s="673"/>
      <c r="B20" s="674"/>
      <c r="C20" s="675"/>
      <c r="D20" s="3955" t="s">
        <v>2623</v>
      </c>
      <c r="E20" s="3883"/>
      <c r="F20" s="1507">
        <f>SUM(F21:F106)</f>
        <v>992000</v>
      </c>
      <c r="G20" s="1507">
        <f>SUM(G21:G106)</f>
        <v>992000</v>
      </c>
      <c r="H20" s="1208">
        <f>F20-G20</f>
        <v>0</v>
      </c>
      <c r="I20" s="920"/>
      <c r="J20" s="1233"/>
      <c r="K20" s="1973"/>
      <c r="L20" s="1973"/>
      <c r="M20" s="1973"/>
      <c r="N20" s="1973"/>
      <c r="O20" s="1973"/>
      <c r="P20" s="1033"/>
      <c r="Q20" s="1973"/>
      <c r="R20" s="1033"/>
      <c r="S20" s="1973"/>
      <c r="T20" s="1033"/>
      <c r="U20" s="1973"/>
      <c r="V20" s="1033"/>
      <c r="W20" s="1973"/>
      <c r="X20" s="1973"/>
      <c r="Y20" s="940"/>
      <c r="Z20" s="736"/>
      <c r="AA20" s="1185">
        <f t="shared" si="1"/>
        <v>992000000000</v>
      </c>
      <c r="AB20" s="690"/>
      <c r="AC20" s="930"/>
      <c r="AD20" s="930"/>
      <c r="AE20" s="930"/>
    </row>
    <row r="21" spans="1:31" s="967" customFormat="1" ht="21" customHeight="1">
      <c r="A21" s="673"/>
      <c r="B21" s="674"/>
      <c r="C21" s="675"/>
      <c r="D21" s="1981"/>
      <c r="E21" s="1003" t="s">
        <v>2624</v>
      </c>
      <c r="F21" s="1507">
        <f>+Y21</f>
        <v>4750</v>
      </c>
      <c r="G21" s="1507">
        <v>4750</v>
      </c>
      <c r="H21" s="1208"/>
      <c r="I21" s="920"/>
      <c r="J21" s="1018" t="s">
        <v>2625</v>
      </c>
      <c r="K21" s="1976"/>
      <c r="L21" s="1976"/>
      <c r="M21" s="1976"/>
      <c r="N21" s="1976"/>
      <c r="O21" s="1976"/>
      <c r="P21" s="988"/>
      <c r="Q21" s="1508">
        <v>19</v>
      </c>
      <c r="R21" s="1091" t="s">
        <v>25</v>
      </c>
      <c r="S21" s="1232">
        <v>250000</v>
      </c>
      <c r="T21" s="1091" t="s">
        <v>0</v>
      </c>
      <c r="U21" s="1976"/>
      <c r="V21" s="988"/>
      <c r="W21" s="1976"/>
      <c r="X21" s="1976"/>
      <c r="Y21" s="929">
        <f>Q21*S21/1000</f>
        <v>4750</v>
      </c>
      <c r="Z21" s="735">
        <f>Q21*S21</f>
        <v>4750000</v>
      </c>
      <c r="AA21" s="1185">
        <f t="shared" si="1"/>
        <v>4750000000</v>
      </c>
      <c r="AB21" s="690"/>
      <c r="AC21" s="930"/>
      <c r="AD21" s="930"/>
      <c r="AE21" s="930"/>
    </row>
    <row r="22" spans="1:31" s="967" customFormat="1" ht="21" customHeight="1">
      <c r="A22" s="673"/>
      <c r="B22" s="674"/>
      <c r="C22" s="675"/>
      <c r="D22" s="674"/>
      <c r="E22" s="1003" t="s">
        <v>2626</v>
      </c>
      <c r="F22" s="1509">
        <f>+Y22</f>
        <v>1500</v>
      </c>
      <c r="G22" s="1509">
        <v>1500</v>
      </c>
      <c r="H22" s="1421"/>
      <c r="I22" s="920"/>
      <c r="J22" s="1018" t="s">
        <v>2627</v>
      </c>
      <c r="K22" s="978"/>
      <c r="L22" s="978"/>
      <c r="M22" s="978"/>
      <c r="N22" s="979"/>
      <c r="O22" s="978"/>
      <c r="P22" s="978"/>
      <c r="Q22" s="1019">
        <v>15</v>
      </c>
      <c r="R22" s="978" t="s">
        <v>25</v>
      </c>
      <c r="S22" s="979">
        <v>100000</v>
      </c>
      <c r="T22" s="978" t="s">
        <v>0</v>
      </c>
      <c r="U22" s="978"/>
      <c r="V22" s="978">
        <v>1</v>
      </c>
      <c r="W22" s="978" t="s">
        <v>3</v>
      </c>
      <c r="X22" s="1025" t="s">
        <v>1</v>
      </c>
      <c r="Y22" s="929">
        <f>Q22*S22/1000</f>
        <v>1500</v>
      </c>
      <c r="Z22" s="735">
        <f>Q22*S22</f>
        <v>1500000</v>
      </c>
      <c r="AA22" s="1185">
        <f t="shared" si="1"/>
        <v>1500000000</v>
      </c>
      <c r="AB22" s="690"/>
      <c r="AC22" s="930"/>
      <c r="AD22" s="930"/>
      <c r="AE22" s="930"/>
    </row>
    <row r="23" spans="1:31" s="967" customFormat="1" ht="21" customHeight="1">
      <c r="A23" s="673"/>
      <c r="B23" s="674"/>
      <c r="C23" s="675"/>
      <c r="D23" s="674"/>
      <c r="E23" s="1510" t="s">
        <v>2628</v>
      </c>
      <c r="F23" s="1511">
        <f>+Y23</f>
        <v>4174</v>
      </c>
      <c r="G23" s="1512">
        <v>4174</v>
      </c>
      <c r="H23" s="957"/>
      <c r="I23" s="920"/>
      <c r="J23" s="856" t="s">
        <v>2603</v>
      </c>
      <c r="K23" s="857"/>
      <c r="L23" s="857"/>
      <c r="M23" s="857"/>
      <c r="N23" s="858"/>
      <c r="O23" s="857"/>
      <c r="P23" s="857"/>
      <c r="Q23" s="859"/>
      <c r="R23" s="857"/>
      <c r="S23" s="858"/>
      <c r="T23" s="857"/>
      <c r="U23" s="857"/>
      <c r="V23" s="857"/>
      <c r="W23" s="857"/>
      <c r="X23" s="860"/>
      <c r="Y23" s="1513">
        <f>+Y24+Y25</f>
        <v>4174</v>
      </c>
      <c r="Z23" s="867">
        <f>SUM(Z24:Z25)</f>
        <v>4174000</v>
      </c>
      <c r="AA23" s="1185">
        <f t="shared" si="1"/>
        <v>4174000000</v>
      </c>
      <c r="AB23" s="690"/>
      <c r="AC23" s="930"/>
      <c r="AD23" s="930"/>
      <c r="AE23" s="930"/>
    </row>
    <row r="24" spans="1:31" s="967" customFormat="1" ht="21" customHeight="1">
      <c r="A24" s="673"/>
      <c r="B24" s="674"/>
      <c r="C24" s="675"/>
      <c r="D24" s="674"/>
      <c r="E24" s="1379"/>
      <c r="F24" s="1509"/>
      <c r="G24" s="1514"/>
      <c r="H24" s="949"/>
      <c r="I24" s="920"/>
      <c r="J24" s="866" t="s">
        <v>2629</v>
      </c>
      <c r="K24" s="867"/>
      <c r="L24" s="867"/>
      <c r="M24" s="867"/>
      <c r="N24" s="868"/>
      <c r="O24" s="867"/>
      <c r="P24" s="867"/>
      <c r="Q24" s="869"/>
      <c r="R24" s="867"/>
      <c r="S24" s="868">
        <v>2018000</v>
      </c>
      <c r="T24" s="867" t="s">
        <v>0</v>
      </c>
      <c r="U24" s="1515"/>
      <c r="V24" s="867">
        <v>1</v>
      </c>
      <c r="W24" s="867" t="s">
        <v>6</v>
      </c>
      <c r="X24" s="870" t="s">
        <v>1</v>
      </c>
      <c r="Y24" s="687">
        <f>+S24*V24/1000</f>
        <v>2018</v>
      </c>
      <c r="Z24" s="867">
        <f>S24*V24</f>
        <v>2018000</v>
      </c>
      <c r="AA24" s="1185">
        <f t="shared" si="1"/>
        <v>0</v>
      </c>
      <c r="AB24" s="690"/>
      <c r="AC24" s="930"/>
      <c r="AD24" s="930"/>
      <c r="AE24" s="930"/>
    </row>
    <row r="25" spans="1:31" s="967" customFormat="1" ht="21" customHeight="1">
      <c r="A25" s="673"/>
      <c r="B25" s="674"/>
      <c r="C25" s="675"/>
      <c r="D25" s="674"/>
      <c r="E25" s="1383"/>
      <c r="F25" s="1516"/>
      <c r="G25" s="1517"/>
      <c r="H25" s="973"/>
      <c r="I25" s="920"/>
      <c r="J25" s="1018" t="s">
        <v>2630</v>
      </c>
      <c r="K25" s="978"/>
      <c r="L25" s="978"/>
      <c r="M25" s="978"/>
      <c r="N25" s="979"/>
      <c r="O25" s="978"/>
      <c r="P25" s="978"/>
      <c r="Q25" s="1019"/>
      <c r="R25" s="978"/>
      <c r="S25" s="979">
        <v>2156000</v>
      </c>
      <c r="T25" s="978" t="s">
        <v>0</v>
      </c>
      <c r="U25" s="1518"/>
      <c r="V25" s="978">
        <v>1</v>
      </c>
      <c r="W25" s="978" t="s">
        <v>6</v>
      </c>
      <c r="X25" s="1025" t="s">
        <v>1</v>
      </c>
      <c r="Y25" s="706">
        <f>+S25*V25/1000</f>
        <v>2156</v>
      </c>
      <c r="Z25" s="867">
        <f>S25*V25</f>
        <v>2156000</v>
      </c>
      <c r="AA25" s="1185">
        <f t="shared" si="1"/>
        <v>0</v>
      </c>
      <c r="AB25" s="690"/>
      <c r="AC25" s="930"/>
      <c r="AD25" s="930"/>
      <c r="AE25" s="930"/>
    </row>
    <row r="26" spans="1:31" s="967" customFormat="1" ht="21" customHeight="1">
      <c r="A26" s="673"/>
      <c r="B26" s="674"/>
      <c r="C26" s="675"/>
      <c r="D26" s="674"/>
      <c r="E26" s="851" t="s">
        <v>2631</v>
      </c>
      <c r="F26" s="1509">
        <f>+Y26</f>
        <v>6000</v>
      </c>
      <c r="G26" s="1509">
        <v>6000</v>
      </c>
      <c r="H26" s="957"/>
      <c r="I26" s="920"/>
      <c r="J26" s="866" t="s">
        <v>2603</v>
      </c>
      <c r="K26" s="867"/>
      <c r="L26" s="867"/>
      <c r="M26" s="867"/>
      <c r="N26" s="868"/>
      <c r="O26" s="867"/>
      <c r="P26" s="867"/>
      <c r="Q26" s="869"/>
      <c r="R26" s="867"/>
      <c r="S26" s="868"/>
      <c r="T26" s="867"/>
      <c r="U26" s="867"/>
      <c r="V26" s="867"/>
      <c r="W26" s="867"/>
      <c r="X26" s="870"/>
      <c r="Y26" s="687">
        <f>+Z26/1000</f>
        <v>6000</v>
      </c>
      <c r="Z26" s="867">
        <f>SUM(Z27:Z28)</f>
        <v>6000000</v>
      </c>
      <c r="AA26" s="1185">
        <f t="shared" si="1"/>
        <v>6000000000</v>
      </c>
      <c r="AB26" s="690"/>
      <c r="AC26" s="930"/>
      <c r="AD26" s="930"/>
      <c r="AE26" s="930"/>
    </row>
    <row r="27" spans="1:31" s="967" customFormat="1" ht="21" customHeight="1">
      <c r="A27" s="673"/>
      <c r="B27" s="674"/>
      <c r="C27" s="675"/>
      <c r="D27" s="674"/>
      <c r="E27" s="851" t="s">
        <v>2587</v>
      </c>
      <c r="F27" s="1509"/>
      <c r="G27" s="1509"/>
      <c r="H27" s="949"/>
      <c r="I27" s="920"/>
      <c r="J27" s="866" t="s">
        <v>2632</v>
      </c>
      <c r="K27" s="867"/>
      <c r="L27" s="867"/>
      <c r="M27" s="867"/>
      <c r="N27" s="868"/>
      <c r="O27" s="867"/>
      <c r="P27" s="867"/>
      <c r="Q27" s="869">
        <v>1</v>
      </c>
      <c r="R27" s="867" t="s">
        <v>2633</v>
      </c>
      <c r="S27" s="868">
        <v>100000</v>
      </c>
      <c r="T27" s="867" t="s">
        <v>0</v>
      </c>
      <c r="U27" s="867"/>
      <c r="V27" s="867">
        <v>12</v>
      </c>
      <c r="W27" s="867" t="s">
        <v>2</v>
      </c>
      <c r="X27" s="870" t="s">
        <v>1</v>
      </c>
      <c r="Y27" s="687">
        <f>Q27*S27*V27/1000</f>
        <v>1200</v>
      </c>
      <c r="Z27" s="867">
        <f>Q27*S27*V27</f>
        <v>1200000</v>
      </c>
      <c r="AA27" s="1185">
        <f t="shared" si="1"/>
        <v>0</v>
      </c>
      <c r="AB27" s="690"/>
      <c r="AC27" s="930"/>
      <c r="AD27" s="930"/>
      <c r="AE27" s="930"/>
    </row>
    <row r="28" spans="1:31" s="967" customFormat="1" ht="21" customHeight="1">
      <c r="A28" s="673"/>
      <c r="B28" s="674"/>
      <c r="C28" s="675"/>
      <c r="D28" s="674"/>
      <c r="E28" s="971" t="s">
        <v>2587</v>
      </c>
      <c r="F28" s="1516"/>
      <c r="G28" s="1516"/>
      <c r="H28" s="973"/>
      <c r="I28" s="920"/>
      <c r="J28" s="1018" t="s">
        <v>2634</v>
      </c>
      <c r="K28" s="978"/>
      <c r="L28" s="978"/>
      <c r="M28" s="978"/>
      <c r="N28" s="979"/>
      <c r="O28" s="978"/>
      <c r="P28" s="978"/>
      <c r="Q28" s="1019">
        <v>2</v>
      </c>
      <c r="R28" s="978" t="s">
        <v>2635</v>
      </c>
      <c r="S28" s="979">
        <v>200000</v>
      </c>
      <c r="T28" s="978" t="s">
        <v>0</v>
      </c>
      <c r="U28" s="978"/>
      <c r="V28" s="978">
        <v>12</v>
      </c>
      <c r="W28" s="978" t="s">
        <v>2</v>
      </c>
      <c r="X28" s="1025" t="s">
        <v>1</v>
      </c>
      <c r="Y28" s="706">
        <f>Q28*S28*V28/1000</f>
        <v>4800</v>
      </c>
      <c r="Z28" s="867">
        <f>Q28*S28*V28</f>
        <v>4800000</v>
      </c>
      <c r="AA28" s="1185">
        <f t="shared" si="1"/>
        <v>0</v>
      </c>
      <c r="AB28" s="690"/>
      <c r="AC28" s="930"/>
      <c r="AD28" s="930"/>
      <c r="AE28" s="930"/>
    </row>
    <row r="29" spans="1:31" s="967" customFormat="1" ht="21" customHeight="1">
      <c r="A29" s="673"/>
      <c r="B29" s="674"/>
      <c r="C29" s="675"/>
      <c r="D29" s="674"/>
      <c r="E29" s="851" t="s">
        <v>18</v>
      </c>
      <c r="F29" s="1509">
        <f>+Y29</f>
        <v>21550</v>
      </c>
      <c r="G29" s="1509">
        <v>21550</v>
      </c>
      <c r="H29" s="957"/>
      <c r="I29" s="2060"/>
      <c r="J29" s="866" t="s">
        <v>224</v>
      </c>
      <c r="K29" s="3163"/>
      <c r="L29" s="3163"/>
      <c r="M29" s="3163"/>
      <c r="N29" s="3164"/>
      <c r="O29" s="3164"/>
      <c r="P29" s="3163"/>
      <c r="Q29" s="869"/>
      <c r="R29" s="3163"/>
      <c r="S29" s="3163"/>
      <c r="T29" s="3163"/>
      <c r="U29" s="3163"/>
      <c r="V29" s="3163"/>
      <c r="W29" s="3163"/>
      <c r="X29" s="3165"/>
      <c r="Y29" s="687">
        <f t="shared" ref="Y29:Y34" si="2">+Z29/1000</f>
        <v>21550</v>
      </c>
      <c r="Z29" s="3163">
        <f>SUM(Z30:Z34)</f>
        <v>21550000</v>
      </c>
      <c r="AA29" s="1185">
        <f t="shared" si="1"/>
        <v>21550000000</v>
      </c>
      <c r="AB29" s="690"/>
      <c r="AC29" s="930"/>
      <c r="AD29" s="930"/>
      <c r="AE29" s="930"/>
    </row>
    <row r="30" spans="1:31" s="967" customFormat="1" ht="21" customHeight="1">
      <c r="A30" s="673"/>
      <c r="B30" s="674"/>
      <c r="C30" s="675"/>
      <c r="D30" s="674"/>
      <c r="E30" s="851"/>
      <c r="F30" s="1509"/>
      <c r="G30" s="1509"/>
      <c r="H30" s="949"/>
      <c r="I30" s="2060"/>
      <c r="J30" s="866" t="s">
        <v>2637</v>
      </c>
      <c r="K30" s="3163"/>
      <c r="L30" s="3163"/>
      <c r="M30" s="3163"/>
      <c r="N30" s="3164"/>
      <c r="O30" s="3163"/>
      <c r="P30" s="3163"/>
      <c r="Q30" s="869"/>
      <c r="R30" s="3163"/>
      <c r="S30" s="3164">
        <v>1500000</v>
      </c>
      <c r="T30" s="3163" t="s">
        <v>37</v>
      </c>
      <c r="U30" s="3163"/>
      <c r="V30" s="3163">
        <v>1</v>
      </c>
      <c r="W30" s="3163" t="s">
        <v>39</v>
      </c>
      <c r="X30" s="3165" t="s">
        <v>38</v>
      </c>
      <c r="Y30" s="687">
        <f t="shared" si="2"/>
        <v>1500</v>
      </c>
      <c r="Z30" s="3163">
        <f>+S30*V30</f>
        <v>1500000</v>
      </c>
      <c r="AA30" s="1185">
        <f t="shared" si="1"/>
        <v>0</v>
      </c>
      <c r="AB30" s="690"/>
      <c r="AC30" s="930"/>
      <c r="AD30" s="930"/>
      <c r="AE30" s="930"/>
    </row>
    <row r="31" spans="1:31" s="967" customFormat="1" ht="21" customHeight="1">
      <c r="A31" s="673"/>
      <c r="B31" s="674"/>
      <c r="C31" s="675"/>
      <c r="D31" s="674"/>
      <c r="E31" s="851"/>
      <c r="F31" s="1509"/>
      <c r="G31" s="1509"/>
      <c r="H31" s="949"/>
      <c r="I31" s="2060"/>
      <c r="J31" s="866" t="s">
        <v>2639</v>
      </c>
      <c r="K31" s="3163"/>
      <c r="L31" s="3163"/>
      <c r="M31" s="3163"/>
      <c r="N31" s="3164"/>
      <c r="O31" s="3163"/>
      <c r="P31" s="3163"/>
      <c r="Q31" s="869"/>
      <c r="R31" s="3163"/>
      <c r="S31" s="3164">
        <v>250000</v>
      </c>
      <c r="T31" s="3163" t="s">
        <v>37</v>
      </c>
      <c r="U31" s="3163"/>
      <c r="V31" s="3163">
        <v>1</v>
      </c>
      <c r="W31" s="3163" t="s">
        <v>39</v>
      </c>
      <c r="X31" s="3165" t="s">
        <v>38</v>
      </c>
      <c r="Y31" s="687">
        <f t="shared" si="2"/>
        <v>250</v>
      </c>
      <c r="Z31" s="3163">
        <f>+S31*V31</f>
        <v>250000</v>
      </c>
      <c r="AA31" s="1185">
        <f t="shared" si="1"/>
        <v>0</v>
      </c>
      <c r="AB31" s="690"/>
      <c r="AC31" s="930"/>
      <c r="AD31" s="930"/>
      <c r="AE31" s="930"/>
    </row>
    <row r="32" spans="1:31" s="967" customFormat="1" ht="21" customHeight="1">
      <c r="A32" s="3132"/>
      <c r="B32" s="674"/>
      <c r="C32" s="675"/>
      <c r="D32" s="674"/>
      <c r="E32" s="851"/>
      <c r="F32" s="1509"/>
      <c r="G32" s="1509"/>
      <c r="H32" s="949"/>
      <c r="I32" s="2060"/>
      <c r="J32" s="866" t="s">
        <v>4262</v>
      </c>
      <c r="K32" s="3163"/>
      <c r="L32" s="3163"/>
      <c r="M32" s="3163"/>
      <c r="N32" s="3164"/>
      <c r="O32" s="3163"/>
      <c r="P32" s="3163"/>
      <c r="Q32" s="869"/>
      <c r="R32" s="3163"/>
      <c r="S32" s="3164">
        <v>2000000</v>
      </c>
      <c r="T32" s="3163" t="s">
        <v>37</v>
      </c>
      <c r="U32" s="3163"/>
      <c r="V32" s="3163">
        <v>1</v>
      </c>
      <c r="W32" s="3163" t="s">
        <v>39</v>
      </c>
      <c r="X32" s="3165" t="s">
        <v>38</v>
      </c>
      <c r="Y32" s="687">
        <f t="shared" si="2"/>
        <v>2000</v>
      </c>
      <c r="Z32" s="3163">
        <f>+S32*V32</f>
        <v>2000000</v>
      </c>
      <c r="AA32" s="1185">
        <f t="shared" si="1"/>
        <v>0</v>
      </c>
      <c r="AB32" s="690"/>
      <c r="AC32" s="930"/>
      <c r="AD32" s="930"/>
      <c r="AE32" s="930"/>
    </row>
    <row r="33" spans="1:31" s="967" customFormat="1" ht="21" customHeight="1">
      <c r="A33" s="673"/>
      <c r="B33" s="674"/>
      <c r="C33" s="675"/>
      <c r="D33" s="674"/>
      <c r="E33" s="851"/>
      <c r="F33" s="1509"/>
      <c r="G33" s="1509"/>
      <c r="H33" s="949"/>
      <c r="I33" s="2060"/>
      <c r="J33" s="866" t="s">
        <v>4263</v>
      </c>
      <c r="K33" s="3163"/>
      <c r="L33" s="3163"/>
      <c r="M33" s="3163"/>
      <c r="N33" s="3164"/>
      <c r="O33" s="3163"/>
      <c r="P33" s="3163"/>
      <c r="Q33" s="869"/>
      <c r="R33" s="3163"/>
      <c r="S33" s="3164">
        <v>5533333.333333333</v>
      </c>
      <c r="T33" s="3163" t="s">
        <v>37</v>
      </c>
      <c r="U33" s="3163"/>
      <c r="V33" s="3163">
        <v>3</v>
      </c>
      <c r="W33" s="3163" t="s">
        <v>39</v>
      </c>
      <c r="X33" s="3165" t="s">
        <v>38</v>
      </c>
      <c r="Y33" s="687">
        <f t="shared" si="2"/>
        <v>16600</v>
      </c>
      <c r="Z33" s="3163">
        <f>+S33*V33</f>
        <v>16600000</v>
      </c>
      <c r="AA33" s="1185">
        <f t="shared" si="1"/>
        <v>0</v>
      </c>
      <c r="AB33" s="690">
        <v>16600000</v>
      </c>
      <c r="AC33" s="930">
        <f>AB33/V33</f>
        <v>5533333.333333333</v>
      </c>
      <c r="AD33" s="930"/>
      <c r="AE33" s="930"/>
    </row>
    <row r="34" spans="1:31" s="967" customFormat="1" ht="21" customHeight="1">
      <c r="A34" s="673"/>
      <c r="B34" s="674"/>
      <c r="C34" s="675"/>
      <c r="D34" s="674"/>
      <c r="E34" s="971"/>
      <c r="F34" s="1516"/>
      <c r="G34" s="1516"/>
      <c r="H34" s="2062"/>
      <c r="I34" s="2060"/>
      <c r="J34" s="1018" t="s">
        <v>4264</v>
      </c>
      <c r="K34" s="978"/>
      <c r="L34" s="978"/>
      <c r="M34" s="978"/>
      <c r="N34" s="979"/>
      <c r="O34" s="978"/>
      <c r="P34" s="978"/>
      <c r="Q34" s="1019"/>
      <c r="R34" s="978"/>
      <c r="S34" s="979">
        <v>600000</v>
      </c>
      <c r="T34" s="978" t="s">
        <v>37</v>
      </c>
      <c r="U34" s="978"/>
      <c r="V34" s="978">
        <v>2</v>
      </c>
      <c r="W34" s="978" t="s">
        <v>39</v>
      </c>
      <c r="X34" s="1025" t="s">
        <v>38</v>
      </c>
      <c r="Y34" s="2048">
        <f t="shared" si="2"/>
        <v>1200</v>
      </c>
      <c r="Z34" s="3163">
        <f>ROUNDUP(S34*V34,-3)</f>
        <v>1200000</v>
      </c>
      <c r="AA34" s="1185">
        <f t="shared" si="1"/>
        <v>0</v>
      </c>
      <c r="AB34" s="690"/>
      <c r="AC34" s="930"/>
      <c r="AD34" s="930"/>
      <c r="AE34" s="930"/>
    </row>
    <row r="35" spans="1:31" s="967" customFormat="1" ht="21" customHeight="1">
      <c r="A35" s="673"/>
      <c r="B35" s="674"/>
      <c r="C35" s="675"/>
      <c r="D35" s="674"/>
      <c r="E35" s="851" t="s">
        <v>2640</v>
      </c>
      <c r="F35" s="1509">
        <f>+Y35</f>
        <v>16935</v>
      </c>
      <c r="G35" s="1509">
        <v>16935</v>
      </c>
      <c r="H35" s="957"/>
      <c r="I35" s="920"/>
      <c r="J35" s="866" t="s">
        <v>2603</v>
      </c>
      <c r="K35" s="867"/>
      <c r="L35" s="867"/>
      <c r="M35" s="867"/>
      <c r="N35" s="868"/>
      <c r="O35" s="868"/>
      <c r="P35" s="867"/>
      <c r="Q35" s="869"/>
      <c r="R35" s="867"/>
      <c r="S35" s="867"/>
      <c r="T35" s="867"/>
      <c r="U35" s="867"/>
      <c r="V35" s="867"/>
      <c r="W35" s="867"/>
      <c r="X35" s="870"/>
      <c r="Y35" s="687">
        <f t="shared" ref="Y35:Y60" si="3">+Z35/1000</f>
        <v>16935</v>
      </c>
      <c r="Z35" s="867">
        <f>SUM(Z36:Z42)</f>
        <v>16935000</v>
      </c>
      <c r="AA35" s="1185">
        <f t="shared" si="1"/>
        <v>16935000000</v>
      </c>
      <c r="AB35" s="690"/>
      <c r="AC35" s="930"/>
      <c r="AD35" s="930"/>
      <c r="AE35" s="930"/>
    </row>
    <row r="36" spans="1:31" s="683" customFormat="1" ht="21" customHeight="1">
      <c r="A36" s="673"/>
      <c r="B36" s="674"/>
      <c r="C36" s="675"/>
      <c r="D36" s="674"/>
      <c r="E36" s="851"/>
      <c r="F36" s="1509"/>
      <c r="G36" s="1509"/>
      <c r="H36" s="949"/>
      <c r="I36" s="920"/>
      <c r="J36" s="866" t="s">
        <v>2641</v>
      </c>
      <c r="K36" s="867"/>
      <c r="L36" s="867"/>
      <c r="M36" s="867"/>
      <c r="N36" s="868"/>
      <c r="O36" s="867"/>
      <c r="P36" s="867"/>
      <c r="Q36" s="869">
        <v>10</v>
      </c>
      <c r="R36" s="867" t="s">
        <v>40</v>
      </c>
      <c r="S36" s="868">
        <v>25000</v>
      </c>
      <c r="T36" s="867" t="s">
        <v>0</v>
      </c>
      <c r="U36" s="867"/>
      <c r="V36" s="867">
        <v>12</v>
      </c>
      <c r="W36" s="867" t="s">
        <v>2</v>
      </c>
      <c r="X36" s="870" t="s">
        <v>1</v>
      </c>
      <c r="Y36" s="687">
        <f t="shared" si="3"/>
        <v>3000</v>
      </c>
      <c r="Z36" s="867">
        <f>Q36*S36*V36</f>
        <v>3000000</v>
      </c>
      <c r="AA36" s="1185">
        <f t="shared" si="1"/>
        <v>0</v>
      </c>
      <c r="AB36" s="690"/>
      <c r="AC36" s="930"/>
      <c r="AD36" s="930"/>
      <c r="AE36" s="930"/>
    </row>
    <row r="37" spans="1:31" s="967" customFormat="1" ht="21" customHeight="1">
      <c r="A37" s="673"/>
      <c r="B37" s="674"/>
      <c r="C37" s="675"/>
      <c r="D37" s="674"/>
      <c r="E37" s="851"/>
      <c r="F37" s="1509"/>
      <c r="G37" s="1509"/>
      <c r="H37" s="949"/>
      <c r="I37" s="920"/>
      <c r="J37" s="1016" t="s">
        <v>2642</v>
      </c>
      <c r="K37" s="682"/>
      <c r="L37" s="682"/>
      <c r="M37" s="682"/>
      <c r="N37" s="1017"/>
      <c r="O37" s="867"/>
      <c r="P37" s="867"/>
      <c r="Q37" s="867">
        <v>200000</v>
      </c>
      <c r="R37" s="867" t="s">
        <v>33</v>
      </c>
      <c r="S37" s="868">
        <v>30</v>
      </c>
      <c r="T37" s="867" t="s">
        <v>0</v>
      </c>
      <c r="U37" s="867"/>
      <c r="V37" s="867">
        <v>1</v>
      </c>
      <c r="W37" s="867" t="s">
        <v>3</v>
      </c>
      <c r="X37" s="870" t="s">
        <v>1</v>
      </c>
      <c r="Y37" s="687">
        <f t="shared" si="3"/>
        <v>6000</v>
      </c>
      <c r="Z37" s="867">
        <f t="shared" ref="Z37:Z41" si="4">Q37*S37*V37</f>
        <v>6000000</v>
      </c>
      <c r="AA37" s="1185">
        <f t="shared" si="1"/>
        <v>0</v>
      </c>
      <c r="AB37" s="690"/>
      <c r="AC37" s="930"/>
      <c r="AD37" s="930"/>
      <c r="AE37" s="930"/>
    </row>
    <row r="38" spans="1:31" s="967" customFormat="1" ht="21" customHeight="1">
      <c r="A38" s="673"/>
      <c r="B38" s="674"/>
      <c r="C38" s="675"/>
      <c r="D38" s="674"/>
      <c r="E38" s="851"/>
      <c r="F38" s="1509"/>
      <c r="G38" s="1509"/>
      <c r="H38" s="949"/>
      <c r="I38" s="920"/>
      <c r="J38" s="1016" t="s">
        <v>2643</v>
      </c>
      <c r="K38" s="682"/>
      <c r="L38" s="682"/>
      <c r="M38" s="682"/>
      <c r="N38" s="1017"/>
      <c r="O38" s="867"/>
      <c r="P38" s="867"/>
      <c r="Q38" s="867">
        <v>50</v>
      </c>
      <c r="R38" s="867" t="s">
        <v>34</v>
      </c>
      <c r="S38" s="868">
        <v>5000</v>
      </c>
      <c r="T38" s="867" t="s">
        <v>0</v>
      </c>
      <c r="U38" s="867"/>
      <c r="V38" s="867">
        <v>12</v>
      </c>
      <c r="W38" s="867" t="s">
        <v>29</v>
      </c>
      <c r="X38" s="870" t="s">
        <v>1</v>
      </c>
      <c r="Y38" s="687">
        <f t="shared" si="3"/>
        <v>3000</v>
      </c>
      <c r="Z38" s="867">
        <f t="shared" si="4"/>
        <v>3000000</v>
      </c>
      <c r="AA38" s="1185">
        <f t="shared" si="1"/>
        <v>0</v>
      </c>
      <c r="AB38" s="690"/>
      <c r="AC38" s="930"/>
      <c r="AD38" s="930"/>
      <c r="AE38" s="930"/>
    </row>
    <row r="39" spans="1:31" s="967" customFormat="1" ht="21" customHeight="1">
      <c r="A39" s="673"/>
      <c r="B39" s="674"/>
      <c r="C39" s="675"/>
      <c r="D39" s="674"/>
      <c r="E39" s="851"/>
      <c r="F39" s="1509"/>
      <c r="G39" s="1509"/>
      <c r="H39" s="949"/>
      <c r="I39" s="920"/>
      <c r="J39" s="1016" t="s">
        <v>2644</v>
      </c>
      <c r="K39" s="682"/>
      <c r="L39" s="682"/>
      <c r="M39" s="682"/>
      <c r="N39" s="1017"/>
      <c r="O39" s="867"/>
      <c r="P39" s="867"/>
      <c r="Q39" s="867">
        <v>3</v>
      </c>
      <c r="R39" s="867" t="s">
        <v>32</v>
      </c>
      <c r="S39" s="868">
        <v>120000</v>
      </c>
      <c r="T39" s="867" t="s">
        <v>0</v>
      </c>
      <c r="U39" s="867"/>
      <c r="V39" s="867">
        <v>2</v>
      </c>
      <c r="W39" s="867" t="s">
        <v>3</v>
      </c>
      <c r="X39" s="870" t="s">
        <v>1</v>
      </c>
      <c r="Y39" s="687">
        <f t="shared" si="3"/>
        <v>720</v>
      </c>
      <c r="Z39" s="867">
        <f t="shared" si="4"/>
        <v>720000</v>
      </c>
      <c r="AA39" s="1185">
        <f t="shared" si="1"/>
        <v>0</v>
      </c>
      <c r="AB39" s="690"/>
      <c r="AC39" s="930"/>
      <c r="AD39" s="930"/>
      <c r="AE39" s="930"/>
    </row>
    <row r="40" spans="1:31" s="683" customFormat="1" ht="21" customHeight="1">
      <c r="A40" s="673"/>
      <c r="B40" s="674"/>
      <c r="C40" s="675"/>
      <c r="D40" s="674"/>
      <c r="E40" s="851"/>
      <c r="F40" s="1509"/>
      <c r="G40" s="1509"/>
      <c r="H40" s="949"/>
      <c r="I40" s="920"/>
      <c r="J40" s="1016" t="s">
        <v>2645</v>
      </c>
      <c r="K40" s="682"/>
      <c r="L40" s="682"/>
      <c r="M40" s="682"/>
      <c r="N40" s="1017"/>
      <c r="O40" s="867"/>
      <c r="P40" s="867"/>
      <c r="Q40" s="867">
        <v>2</v>
      </c>
      <c r="R40" s="867" t="s">
        <v>32</v>
      </c>
      <c r="S40" s="868">
        <v>290000</v>
      </c>
      <c r="T40" s="867" t="s">
        <v>0</v>
      </c>
      <c r="U40" s="867"/>
      <c r="V40" s="867">
        <v>3</v>
      </c>
      <c r="W40" s="867" t="s">
        <v>3</v>
      </c>
      <c r="X40" s="870" t="s">
        <v>1</v>
      </c>
      <c r="Y40" s="687">
        <f t="shared" si="3"/>
        <v>1740</v>
      </c>
      <c r="Z40" s="867">
        <f t="shared" si="4"/>
        <v>1740000</v>
      </c>
      <c r="AA40" s="1185">
        <f t="shared" si="1"/>
        <v>0</v>
      </c>
      <c r="AB40" s="690"/>
      <c r="AC40" s="930"/>
      <c r="AD40" s="930"/>
      <c r="AE40" s="930"/>
    </row>
    <row r="41" spans="1:31" s="967" customFormat="1" ht="21" customHeight="1">
      <c r="A41" s="673"/>
      <c r="B41" s="674"/>
      <c r="C41" s="675"/>
      <c r="D41" s="674"/>
      <c r="E41" s="851"/>
      <c r="F41" s="1509"/>
      <c r="G41" s="1509"/>
      <c r="H41" s="949"/>
      <c r="I41" s="920"/>
      <c r="J41" s="866" t="s">
        <v>2646</v>
      </c>
      <c r="K41" s="867"/>
      <c r="L41" s="867"/>
      <c r="M41" s="867"/>
      <c r="N41" s="868"/>
      <c r="O41" s="867"/>
      <c r="P41" s="867"/>
      <c r="Q41" s="869">
        <v>3</v>
      </c>
      <c r="R41" s="867" t="s">
        <v>32</v>
      </c>
      <c r="S41" s="868">
        <v>212500</v>
      </c>
      <c r="T41" s="867" t="s">
        <v>0</v>
      </c>
      <c r="U41" s="867"/>
      <c r="V41" s="867">
        <v>2</v>
      </c>
      <c r="W41" s="867" t="s">
        <v>3</v>
      </c>
      <c r="X41" s="870" t="s">
        <v>1</v>
      </c>
      <c r="Y41" s="687">
        <f t="shared" si="3"/>
        <v>1275</v>
      </c>
      <c r="Z41" s="867">
        <f t="shared" si="4"/>
        <v>1275000</v>
      </c>
      <c r="AA41" s="1185">
        <f t="shared" si="1"/>
        <v>0</v>
      </c>
      <c r="AB41" s="690"/>
      <c r="AC41" s="930"/>
      <c r="AD41" s="930"/>
      <c r="AE41" s="930"/>
    </row>
    <row r="42" spans="1:31" s="967" customFormat="1" ht="22.5" customHeight="1">
      <c r="A42" s="673"/>
      <c r="B42" s="674"/>
      <c r="C42" s="675"/>
      <c r="D42" s="674"/>
      <c r="E42" s="971"/>
      <c r="F42" s="1516"/>
      <c r="G42" s="1516"/>
      <c r="H42" s="973"/>
      <c r="I42" s="920"/>
      <c r="J42" s="1018" t="s">
        <v>2647</v>
      </c>
      <c r="K42" s="978"/>
      <c r="L42" s="978"/>
      <c r="M42" s="978"/>
      <c r="N42" s="979"/>
      <c r="O42" s="979"/>
      <c r="P42" s="978"/>
      <c r="Q42" s="1019"/>
      <c r="R42" s="978"/>
      <c r="S42" s="978">
        <v>100000</v>
      </c>
      <c r="T42" s="978" t="s">
        <v>0</v>
      </c>
      <c r="U42" s="978"/>
      <c r="V42" s="978">
        <v>12</v>
      </c>
      <c r="W42" s="978" t="s">
        <v>2</v>
      </c>
      <c r="X42" s="1025" t="s">
        <v>1</v>
      </c>
      <c r="Y42" s="706">
        <f t="shared" si="3"/>
        <v>1200</v>
      </c>
      <c r="Z42" s="867">
        <f>+S42*V42</f>
        <v>1200000</v>
      </c>
      <c r="AA42" s="1185">
        <f t="shared" si="1"/>
        <v>0</v>
      </c>
      <c r="AB42" s="690"/>
      <c r="AC42" s="930"/>
      <c r="AD42" s="930"/>
      <c r="AE42" s="930"/>
    </row>
    <row r="43" spans="1:31" s="967" customFormat="1" ht="21.95" customHeight="1">
      <c r="A43" s="673"/>
      <c r="B43" s="674"/>
      <c r="C43" s="675"/>
      <c r="D43" s="674"/>
      <c r="E43" s="852" t="s">
        <v>511</v>
      </c>
      <c r="F43" s="1511">
        <f>+Y43</f>
        <v>157093</v>
      </c>
      <c r="G43" s="1511">
        <v>157093</v>
      </c>
      <c r="H43" s="957"/>
      <c r="I43" s="2060"/>
      <c r="J43" s="856" t="s">
        <v>224</v>
      </c>
      <c r="K43" s="857"/>
      <c r="L43" s="857"/>
      <c r="M43" s="857"/>
      <c r="N43" s="858"/>
      <c r="O43" s="858"/>
      <c r="P43" s="857"/>
      <c r="Q43" s="859"/>
      <c r="R43" s="857"/>
      <c r="S43" s="857"/>
      <c r="T43" s="857"/>
      <c r="U43" s="857"/>
      <c r="V43" s="857"/>
      <c r="W43" s="857"/>
      <c r="X43" s="860"/>
      <c r="Y43" s="1513">
        <f t="shared" si="3"/>
        <v>157093</v>
      </c>
      <c r="Z43" s="3163">
        <f>SUM(Z44:Z45)</f>
        <v>157093000</v>
      </c>
      <c r="AA43" s="1185">
        <f t="shared" si="1"/>
        <v>157093000000</v>
      </c>
      <c r="AB43" s="690"/>
      <c r="AC43" s="930"/>
      <c r="AD43" s="930"/>
      <c r="AE43" s="930"/>
    </row>
    <row r="44" spans="1:31" s="967" customFormat="1" ht="21.95" customHeight="1">
      <c r="A44" s="673"/>
      <c r="B44" s="674"/>
      <c r="C44" s="675"/>
      <c r="D44" s="674"/>
      <c r="E44" s="851"/>
      <c r="F44" s="1509"/>
      <c r="G44" s="1509"/>
      <c r="H44" s="949"/>
      <c r="I44" s="2060"/>
      <c r="J44" s="866" t="s">
        <v>512</v>
      </c>
      <c r="K44" s="3163"/>
      <c r="L44" s="3163"/>
      <c r="M44" s="3163"/>
      <c r="N44" s="3164"/>
      <c r="O44" s="3163"/>
      <c r="P44" s="3163"/>
      <c r="Q44" s="869"/>
      <c r="R44" s="3163"/>
      <c r="S44" s="3164">
        <v>11804833.333333334</v>
      </c>
      <c r="T44" s="3163" t="s">
        <v>0</v>
      </c>
      <c r="U44" s="3163"/>
      <c r="V44" s="869">
        <v>12</v>
      </c>
      <c r="W44" s="3163" t="s">
        <v>2</v>
      </c>
      <c r="X44" s="3165" t="s">
        <v>1</v>
      </c>
      <c r="Y44" s="687">
        <f t="shared" si="3"/>
        <v>141658</v>
      </c>
      <c r="Z44" s="3163">
        <f t="shared" ref="Z44:Z45" si="5">+S44*V44</f>
        <v>141658000</v>
      </c>
      <c r="AA44" s="1185">
        <f t="shared" si="1"/>
        <v>0</v>
      </c>
      <c r="AB44" s="690">
        <v>141658000</v>
      </c>
      <c r="AC44" s="930">
        <f>AB44/V44</f>
        <v>11804833.333333334</v>
      </c>
      <c r="AD44" s="930"/>
      <c r="AE44" s="930"/>
    </row>
    <row r="45" spans="1:31" s="967" customFormat="1" ht="21.95" customHeight="1">
      <c r="A45" s="673"/>
      <c r="B45" s="674"/>
      <c r="C45" s="675"/>
      <c r="D45" s="674"/>
      <c r="E45" s="851"/>
      <c r="F45" s="1509"/>
      <c r="G45" s="1509"/>
      <c r="H45" s="949"/>
      <c r="I45" s="2060"/>
      <c r="J45" s="866" t="s">
        <v>708</v>
      </c>
      <c r="K45" s="3163"/>
      <c r="L45" s="3163"/>
      <c r="M45" s="3163"/>
      <c r="N45" s="3164"/>
      <c r="O45" s="3164"/>
      <c r="P45" s="3163"/>
      <c r="Q45" s="869"/>
      <c r="R45" s="3163"/>
      <c r="S45" s="3164">
        <v>1286250</v>
      </c>
      <c r="T45" s="3163" t="s">
        <v>0</v>
      </c>
      <c r="U45" s="3163"/>
      <c r="V45" s="869">
        <v>12</v>
      </c>
      <c r="W45" s="3163" t="s">
        <v>2</v>
      </c>
      <c r="X45" s="3165" t="s">
        <v>1</v>
      </c>
      <c r="Y45" s="687">
        <f t="shared" si="3"/>
        <v>15435</v>
      </c>
      <c r="Z45" s="3163">
        <f t="shared" si="5"/>
        <v>15435000</v>
      </c>
      <c r="AA45" s="1185">
        <f t="shared" si="1"/>
        <v>0</v>
      </c>
      <c r="AB45" s="690">
        <v>15435000</v>
      </c>
      <c r="AC45" s="930">
        <f>AB45/V45</f>
        <v>1286250</v>
      </c>
      <c r="AD45" s="930"/>
      <c r="AE45" s="930"/>
    </row>
    <row r="46" spans="1:31" s="967" customFormat="1" ht="21.95" customHeight="1">
      <c r="A46" s="673"/>
      <c r="B46" s="674"/>
      <c r="C46" s="675"/>
      <c r="D46" s="674"/>
      <c r="E46" s="852" t="s">
        <v>2651</v>
      </c>
      <c r="F46" s="1511">
        <f>+Y46</f>
        <v>10394</v>
      </c>
      <c r="G46" s="1511">
        <v>10394</v>
      </c>
      <c r="H46" s="957"/>
      <c r="I46" s="920"/>
      <c r="J46" s="856" t="s">
        <v>2603</v>
      </c>
      <c r="K46" s="857"/>
      <c r="L46" s="857"/>
      <c r="M46" s="857"/>
      <c r="N46" s="858"/>
      <c r="O46" s="858"/>
      <c r="P46" s="857"/>
      <c r="Q46" s="859"/>
      <c r="R46" s="857"/>
      <c r="S46" s="857"/>
      <c r="T46" s="857"/>
      <c r="U46" s="857"/>
      <c r="V46" s="857"/>
      <c r="W46" s="857"/>
      <c r="X46" s="860"/>
      <c r="Y46" s="1513">
        <f>+Z46/1000</f>
        <v>10394</v>
      </c>
      <c r="Z46" s="867">
        <f>ROUNDDOWN(SUM(Z47:Z48),-3)</f>
        <v>10394000</v>
      </c>
      <c r="AA46" s="1185">
        <f t="shared" si="1"/>
        <v>10394000000</v>
      </c>
      <c r="AB46" s="690"/>
      <c r="AC46" s="930"/>
      <c r="AD46" s="930"/>
      <c r="AE46" s="930"/>
    </row>
    <row r="47" spans="1:31" s="967" customFormat="1" ht="21.95" customHeight="1">
      <c r="A47" s="673"/>
      <c r="B47" s="674"/>
      <c r="C47" s="675"/>
      <c r="D47" s="674"/>
      <c r="E47" s="851"/>
      <c r="F47" s="1509"/>
      <c r="G47" s="1509"/>
      <c r="H47" s="949"/>
      <c r="I47" s="920"/>
      <c r="J47" s="866" t="s">
        <v>2652</v>
      </c>
      <c r="K47" s="867"/>
      <c r="L47" s="867"/>
      <c r="M47" s="867"/>
      <c r="N47" s="868"/>
      <c r="O47" s="868"/>
      <c r="P47" s="867"/>
      <c r="Q47" s="869"/>
      <c r="R47" s="867"/>
      <c r="S47" s="867">
        <v>691666.66666666605</v>
      </c>
      <c r="T47" s="867" t="s">
        <v>0</v>
      </c>
      <c r="U47" s="867"/>
      <c r="V47" s="867">
        <v>12</v>
      </c>
      <c r="W47" s="867" t="s">
        <v>2</v>
      </c>
      <c r="X47" s="870" t="s">
        <v>1</v>
      </c>
      <c r="Y47" s="687">
        <f>Z47/1000</f>
        <v>8299.9999999999927</v>
      </c>
      <c r="Z47" s="867">
        <f>+S47*V47</f>
        <v>8299999.9999999925</v>
      </c>
      <c r="AA47" s="1185">
        <f t="shared" si="1"/>
        <v>0</v>
      </c>
      <c r="AB47" s="690"/>
      <c r="AC47" s="930"/>
      <c r="AD47" s="930"/>
      <c r="AE47" s="930"/>
    </row>
    <row r="48" spans="1:31" s="967" customFormat="1" ht="21.95" customHeight="1">
      <c r="A48" s="673"/>
      <c r="B48" s="674"/>
      <c r="C48" s="675"/>
      <c r="D48" s="674"/>
      <c r="E48" s="971"/>
      <c r="F48" s="1516"/>
      <c r="G48" s="1516"/>
      <c r="H48" s="973"/>
      <c r="I48" s="920"/>
      <c r="J48" s="1018" t="s">
        <v>2653</v>
      </c>
      <c r="K48" s="978"/>
      <c r="L48" s="978"/>
      <c r="M48" s="978"/>
      <c r="N48" s="979"/>
      <c r="O48" s="979"/>
      <c r="P48" s="978"/>
      <c r="Q48" s="1019"/>
      <c r="R48" s="978"/>
      <c r="S48" s="978">
        <v>2094000000</v>
      </c>
      <c r="T48" s="978" t="s">
        <v>0</v>
      </c>
      <c r="U48" s="978"/>
      <c r="V48" s="1519">
        <v>1E-3</v>
      </c>
      <c r="W48" s="978"/>
      <c r="X48" s="1025" t="s">
        <v>1</v>
      </c>
      <c r="Y48" s="706">
        <v>2094</v>
      </c>
      <c r="Z48" s="867">
        <f>ROUNDDOWN(S48*V48,-3)</f>
        <v>2094000</v>
      </c>
      <c r="AA48" s="1185">
        <f t="shared" si="1"/>
        <v>0</v>
      </c>
      <c r="AB48" s="690"/>
      <c r="AC48" s="930"/>
      <c r="AD48" s="930"/>
      <c r="AE48" s="930"/>
    </row>
    <row r="49" spans="1:31" s="967" customFormat="1" ht="21.95" customHeight="1">
      <c r="A49" s="673"/>
      <c r="B49" s="674"/>
      <c r="C49" s="675"/>
      <c r="D49" s="674"/>
      <c r="E49" s="851" t="s">
        <v>2654</v>
      </c>
      <c r="F49" s="1509">
        <f>+Y49</f>
        <v>18672</v>
      </c>
      <c r="G49" s="1509">
        <v>18672</v>
      </c>
      <c r="H49" s="949"/>
      <c r="I49" s="920"/>
      <c r="J49" s="866" t="s">
        <v>2603</v>
      </c>
      <c r="K49" s="867"/>
      <c r="L49" s="867"/>
      <c r="M49" s="867"/>
      <c r="N49" s="868"/>
      <c r="O49" s="868"/>
      <c r="P49" s="867"/>
      <c r="Q49" s="869"/>
      <c r="R49" s="867"/>
      <c r="S49" s="867"/>
      <c r="T49" s="867"/>
      <c r="U49" s="867"/>
      <c r="V49" s="867"/>
      <c r="W49" s="867"/>
      <c r="X49" s="870"/>
      <c r="Y49" s="687">
        <f>+Z49/1000</f>
        <v>18672</v>
      </c>
      <c r="Z49" s="867">
        <f>SUM(Z50:Z52)</f>
        <v>18672000</v>
      </c>
      <c r="AA49" s="1185">
        <f t="shared" si="1"/>
        <v>18672000000</v>
      </c>
      <c r="AB49" s="690"/>
      <c r="AC49" s="930"/>
      <c r="AD49" s="930"/>
      <c r="AE49" s="930"/>
    </row>
    <row r="50" spans="1:31" s="967" customFormat="1" ht="21.95" customHeight="1">
      <c r="A50" s="673"/>
      <c r="B50" s="674"/>
      <c r="C50" s="675"/>
      <c r="D50" s="674"/>
      <c r="E50" s="851" t="s">
        <v>2587</v>
      </c>
      <c r="F50" s="1509"/>
      <c r="G50" s="1509"/>
      <c r="H50" s="949"/>
      <c r="I50" s="920"/>
      <c r="J50" s="866" t="s">
        <v>2655</v>
      </c>
      <c r="K50" s="867"/>
      <c r="L50" s="867"/>
      <c r="M50" s="867"/>
      <c r="N50" s="868"/>
      <c r="O50" s="867">
        <v>14</v>
      </c>
      <c r="P50" s="867" t="s">
        <v>25</v>
      </c>
      <c r="Q50" s="869">
        <v>4</v>
      </c>
      <c r="R50" s="867" t="s">
        <v>31</v>
      </c>
      <c r="S50" s="868">
        <v>25000</v>
      </c>
      <c r="T50" s="867" t="s">
        <v>0</v>
      </c>
      <c r="U50" s="867"/>
      <c r="V50" s="867">
        <v>12</v>
      </c>
      <c r="W50" s="867" t="s">
        <v>2</v>
      </c>
      <c r="X50" s="870" t="s">
        <v>1</v>
      </c>
      <c r="Y50" s="687">
        <f t="shared" ref="Y50:Y52" si="6">+Z50/1000</f>
        <v>16800</v>
      </c>
      <c r="Z50" s="867">
        <f>O50*Q50*S50*V50</f>
        <v>16800000</v>
      </c>
      <c r="AA50" s="1185">
        <f t="shared" si="1"/>
        <v>0</v>
      </c>
      <c r="AB50" s="690"/>
      <c r="AC50" s="930"/>
      <c r="AD50" s="930"/>
      <c r="AE50" s="930"/>
    </row>
    <row r="51" spans="1:31" s="967" customFormat="1" ht="21.95" customHeight="1">
      <c r="A51" s="673"/>
      <c r="B51" s="674"/>
      <c r="C51" s="675"/>
      <c r="D51" s="674"/>
      <c r="E51" s="851"/>
      <c r="F51" s="1509"/>
      <c r="G51" s="1509"/>
      <c r="H51" s="949"/>
      <c r="I51" s="920"/>
      <c r="J51" s="866" t="s">
        <v>2656</v>
      </c>
      <c r="K51" s="867"/>
      <c r="L51" s="867"/>
      <c r="M51" s="867"/>
      <c r="N51" s="868"/>
      <c r="O51" s="868">
        <v>2500</v>
      </c>
      <c r="P51" s="867" t="s">
        <v>0</v>
      </c>
      <c r="Q51" s="869">
        <v>2</v>
      </c>
      <c r="R51" s="1017" t="s">
        <v>35</v>
      </c>
      <c r="S51" s="867">
        <v>12</v>
      </c>
      <c r="T51" s="867" t="s">
        <v>31</v>
      </c>
      <c r="U51" s="867"/>
      <c r="V51" s="867">
        <v>12</v>
      </c>
      <c r="W51" s="867" t="s">
        <v>2</v>
      </c>
      <c r="X51" s="870" t="s">
        <v>1</v>
      </c>
      <c r="Y51" s="687">
        <f t="shared" si="6"/>
        <v>720</v>
      </c>
      <c r="Z51" s="867">
        <f t="shared" ref="Z51:Z52" si="7">O51*Q51*S51*V51</f>
        <v>720000</v>
      </c>
      <c r="AA51" s="1185">
        <f t="shared" si="1"/>
        <v>0</v>
      </c>
      <c r="AB51" s="690"/>
      <c r="AC51" s="930"/>
      <c r="AD51" s="930"/>
      <c r="AE51" s="930"/>
    </row>
    <row r="52" spans="1:31" s="967" customFormat="1" ht="21.95" customHeight="1">
      <c r="A52" s="673"/>
      <c r="B52" s="674"/>
      <c r="C52" s="675"/>
      <c r="D52" s="674"/>
      <c r="E52" s="971"/>
      <c r="F52" s="1516"/>
      <c r="G52" s="1516"/>
      <c r="H52" s="973"/>
      <c r="I52" s="920"/>
      <c r="J52" s="1018" t="s">
        <v>2657</v>
      </c>
      <c r="K52" s="978"/>
      <c r="L52" s="978"/>
      <c r="M52" s="978"/>
      <c r="N52" s="979"/>
      <c r="O52" s="979">
        <v>2000</v>
      </c>
      <c r="P52" s="978" t="s">
        <v>0</v>
      </c>
      <c r="Q52" s="1019">
        <v>2</v>
      </c>
      <c r="R52" s="978" t="s">
        <v>32</v>
      </c>
      <c r="S52" s="978">
        <v>24</v>
      </c>
      <c r="T52" s="978" t="s">
        <v>31</v>
      </c>
      <c r="U52" s="978"/>
      <c r="V52" s="978">
        <v>12</v>
      </c>
      <c r="W52" s="978" t="s">
        <v>2</v>
      </c>
      <c r="X52" s="1025" t="s">
        <v>1</v>
      </c>
      <c r="Y52" s="706">
        <f t="shared" si="6"/>
        <v>1152</v>
      </c>
      <c r="Z52" s="867">
        <f t="shared" si="7"/>
        <v>1152000</v>
      </c>
      <c r="AA52" s="1185">
        <f t="shared" si="1"/>
        <v>0</v>
      </c>
      <c r="AB52" s="690"/>
      <c r="AC52" s="930"/>
      <c r="AD52" s="930"/>
      <c r="AE52" s="930"/>
    </row>
    <row r="53" spans="1:31" s="967" customFormat="1" ht="21.95" customHeight="1">
      <c r="A53" s="673"/>
      <c r="B53" s="674"/>
      <c r="C53" s="675"/>
      <c r="D53" s="674"/>
      <c r="E53" s="851" t="s">
        <v>2658</v>
      </c>
      <c r="F53" s="1509">
        <f>+Y53</f>
        <v>126172</v>
      </c>
      <c r="G53" s="1509">
        <v>126172</v>
      </c>
      <c r="H53" s="957"/>
      <c r="I53" s="920"/>
      <c r="J53" s="866" t="s">
        <v>2603</v>
      </c>
      <c r="K53" s="867"/>
      <c r="L53" s="867"/>
      <c r="M53" s="867"/>
      <c r="N53" s="868"/>
      <c r="O53" s="867"/>
      <c r="P53" s="867"/>
      <c r="Q53" s="869"/>
      <c r="R53" s="867"/>
      <c r="S53" s="868"/>
      <c r="T53" s="867"/>
      <c r="U53" s="867"/>
      <c r="V53" s="867"/>
      <c r="W53" s="867"/>
      <c r="X53" s="870"/>
      <c r="Y53" s="687">
        <f>+Z53/1000</f>
        <v>126172</v>
      </c>
      <c r="Z53" s="867">
        <f>+Z54+Z61+Z64+Z70+Z75+Z78+Z79+Z80</f>
        <v>126172000</v>
      </c>
      <c r="AA53" s="1185">
        <f t="shared" si="1"/>
        <v>126172000000</v>
      </c>
      <c r="AB53" s="690"/>
      <c r="AC53" s="930"/>
      <c r="AD53" s="930"/>
      <c r="AE53" s="930"/>
    </row>
    <row r="54" spans="1:31" s="967" customFormat="1" ht="21.95" customHeight="1">
      <c r="A54" s="673"/>
      <c r="B54" s="674"/>
      <c r="C54" s="675"/>
      <c r="D54" s="674"/>
      <c r="E54" s="1520"/>
      <c r="F54" s="1521"/>
      <c r="G54" s="1521"/>
      <c r="H54" s="1522"/>
      <c r="I54" s="920"/>
      <c r="J54" s="866" t="s">
        <v>2659</v>
      </c>
      <c r="K54" s="867"/>
      <c r="L54" s="867"/>
      <c r="M54" s="867"/>
      <c r="N54" s="868"/>
      <c r="O54" s="867"/>
      <c r="P54" s="867"/>
      <c r="Q54" s="869"/>
      <c r="R54" s="867"/>
      <c r="S54" s="868"/>
      <c r="T54" s="867"/>
      <c r="U54" s="867"/>
      <c r="V54" s="867"/>
      <c r="W54" s="867"/>
      <c r="X54" s="870"/>
      <c r="Y54" s="687">
        <f t="shared" si="3"/>
        <v>24450</v>
      </c>
      <c r="Z54" s="867">
        <f>SUM(Z55:Z60)</f>
        <v>24450000</v>
      </c>
      <c r="AA54" s="1185">
        <f t="shared" si="1"/>
        <v>0</v>
      </c>
      <c r="AB54" s="690"/>
      <c r="AC54" s="930"/>
      <c r="AD54" s="930"/>
      <c r="AE54" s="930"/>
    </row>
    <row r="55" spans="1:31" s="967" customFormat="1" ht="21.95" customHeight="1">
      <c r="A55" s="673"/>
      <c r="B55" s="674"/>
      <c r="C55" s="675"/>
      <c r="D55" s="674"/>
      <c r="E55" s="851"/>
      <c r="F55" s="1509"/>
      <c r="G55" s="1523"/>
      <c r="H55" s="949"/>
      <c r="I55" s="920"/>
      <c r="J55" s="866" t="s">
        <v>2660</v>
      </c>
      <c r="K55" s="867"/>
      <c r="L55" s="867"/>
      <c r="M55" s="867"/>
      <c r="N55" s="868"/>
      <c r="O55" s="867"/>
      <c r="P55" s="867"/>
      <c r="Q55" s="869"/>
      <c r="R55" s="867"/>
      <c r="S55" s="868">
        <v>9000000</v>
      </c>
      <c r="T55" s="867" t="s">
        <v>0</v>
      </c>
      <c r="U55" s="867"/>
      <c r="V55" s="867">
        <v>1</v>
      </c>
      <c r="W55" s="867" t="s">
        <v>3</v>
      </c>
      <c r="X55" s="870" t="s">
        <v>2611</v>
      </c>
      <c r="Y55" s="687">
        <f t="shared" si="3"/>
        <v>9000</v>
      </c>
      <c r="Z55" s="867">
        <f>S55*V55</f>
        <v>9000000</v>
      </c>
      <c r="AA55" s="1185">
        <f t="shared" si="1"/>
        <v>0</v>
      </c>
      <c r="AB55" s="690"/>
      <c r="AC55" s="930"/>
      <c r="AD55" s="930"/>
      <c r="AE55" s="930"/>
    </row>
    <row r="56" spans="1:31" s="967" customFormat="1" ht="21.95" customHeight="1">
      <c r="A56" s="673"/>
      <c r="B56" s="674"/>
      <c r="C56" s="675"/>
      <c r="D56" s="674"/>
      <c r="E56" s="851"/>
      <c r="F56" s="1509"/>
      <c r="G56" s="1523"/>
      <c r="H56" s="949"/>
      <c r="I56" s="920"/>
      <c r="J56" s="866" t="s">
        <v>2661</v>
      </c>
      <c r="K56" s="867"/>
      <c r="L56" s="867"/>
      <c r="M56" s="867"/>
      <c r="N56" s="868"/>
      <c r="O56" s="867"/>
      <c r="P56" s="867"/>
      <c r="Q56" s="869"/>
      <c r="R56" s="867"/>
      <c r="S56" s="868">
        <v>2500000</v>
      </c>
      <c r="T56" s="867" t="s">
        <v>0</v>
      </c>
      <c r="U56" s="867"/>
      <c r="V56" s="867">
        <v>2</v>
      </c>
      <c r="W56" s="867" t="s">
        <v>3</v>
      </c>
      <c r="X56" s="870" t="s">
        <v>2611</v>
      </c>
      <c r="Y56" s="687">
        <f t="shared" si="3"/>
        <v>5000</v>
      </c>
      <c r="Z56" s="867">
        <f>S56*V56</f>
        <v>5000000</v>
      </c>
      <c r="AA56" s="1185">
        <f t="shared" si="1"/>
        <v>0</v>
      </c>
      <c r="AB56" s="690"/>
      <c r="AC56" s="930"/>
      <c r="AD56" s="930"/>
      <c r="AE56" s="930"/>
    </row>
    <row r="57" spans="1:31" s="967" customFormat="1" ht="21.95" customHeight="1">
      <c r="A57" s="673"/>
      <c r="B57" s="674"/>
      <c r="C57" s="675"/>
      <c r="D57" s="674"/>
      <c r="E57" s="851"/>
      <c r="F57" s="1509"/>
      <c r="G57" s="1523"/>
      <c r="H57" s="949"/>
      <c r="I57" s="920"/>
      <c r="J57" s="866" t="s">
        <v>2662</v>
      </c>
      <c r="K57" s="867"/>
      <c r="L57" s="867"/>
      <c r="M57" s="867"/>
      <c r="N57" s="868"/>
      <c r="O57" s="867"/>
      <c r="P57" s="867"/>
      <c r="Q57" s="869"/>
      <c r="R57" s="867"/>
      <c r="S57" s="868">
        <v>2500000</v>
      </c>
      <c r="T57" s="867" t="s">
        <v>0</v>
      </c>
      <c r="U57" s="867"/>
      <c r="V57" s="867">
        <v>1</v>
      </c>
      <c r="W57" s="867" t="s">
        <v>3</v>
      </c>
      <c r="X57" s="870" t="s">
        <v>2611</v>
      </c>
      <c r="Y57" s="687">
        <f t="shared" si="3"/>
        <v>2500</v>
      </c>
      <c r="Z57" s="867">
        <f>S57*V57</f>
        <v>2500000</v>
      </c>
      <c r="AA57" s="1185">
        <f t="shared" si="1"/>
        <v>0</v>
      </c>
      <c r="AB57" s="690"/>
      <c r="AC57" s="930"/>
      <c r="AD57" s="930"/>
      <c r="AE57" s="930"/>
    </row>
    <row r="58" spans="1:31" s="967" customFormat="1" ht="21.95" customHeight="1">
      <c r="A58" s="673"/>
      <c r="B58" s="674"/>
      <c r="C58" s="675"/>
      <c r="D58" s="674"/>
      <c r="E58" s="851"/>
      <c r="F58" s="1509"/>
      <c r="G58" s="1523"/>
      <c r="H58" s="949"/>
      <c r="I58" s="920"/>
      <c r="J58" s="866" t="s">
        <v>2663</v>
      </c>
      <c r="K58" s="867"/>
      <c r="L58" s="867"/>
      <c r="M58" s="867"/>
      <c r="N58" s="868"/>
      <c r="O58" s="867"/>
      <c r="P58" s="867"/>
      <c r="Q58" s="869">
        <v>4</v>
      </c>
      <c r="R58" s="867" t="s">
        <v>32</v>
      </c>
      <c r="S58" s="868">
        <v>300000</v>
      </c>
      <c r="T58" s="867" t="s">
        <v>0</v>
      </c>
      <c r="U58" s="867"/>
      <c r="V58" s="1524">
        <v>1</v>
      </c>
      <c r="W58" s="867" t="s">
        <v>3</v>
      </c>
      <c r="X58" s="870" t="s">
        <v>2611</v>
      </c>
      <c r="Y58" s="687">
        <f t="shared" si="3"/>
        <v>1200</v>
      </c>
      <c r="Z58" s="867">
        <f>S58*V58*Q58</f>
        <v>1200000</v>
      </c>
      <c r="AA58" s="1185">
        <f t="shared" si="1"/>
        <v>0</v>
      </c>
      <c r="AB58" s="690"/>
      <c r="AC58" s="930"/>
      <c r="AD58" s="930"/>
      <c r="AE58" s="930"/>
    </row>
    <row r="59" spans="1:31" s="967" customFormat="1" ht="21.95" customHeight="1">
      <c r="A59" s="673"/>
      <c r="B59" s="674"/>
      <c r="C59" s="675"/>
      <c r="D59" s="674"/>
      <c r="E59" s="851"/>
      <c r="F59" s="1509"/>
      <c r="G59" s="1523"/>
      <c r="H59" s="949"/>
      <c r="I59" s="920"/>
      <c r="J59" s="866" t="s">
        <v>2664</v>
      </c>
      <c r="K59" s="867"/>
      <c r="L59" s="867"/>
      <c r="M59" s="867"/>
      <c r="N59" s="868"/>
      <c r="O59" s="867"/>
      <c r="P59" s="867"/>
      <c r="Q59" s="869">
        <v>9</v>
      </c>
      <c r="R59" s="867" t="s">
        <v>32</v>
      </c>
      <c r="S59" s="868">
        <v>1500000</v>
      </c>
      <c r="T59" s="867" t="s">
        <v>0</v>
      </c>
      <c r="U59" s="867"/>
      <c r="V59" s="1447">
        <v>0.3</v>
      </c>
      <c r="W59" s="867" t="s">
        <v>3</v>
      </c>
      <c r="X59" s="870" t="s">
        <v>2611</v>
      </c>
      <c r="Y59" s="687">
        <f t="shared" si="3"/>
        <v>4050</v>
      </c>
      <c r="Z59" s="867">
        <f>ROUNDDOWN(S59*V59*Q59,-1)</f>
        <v>4050000</v>
      </c>
      <c r="AA59" s="1185">
        <f t="shared" si="1"/>
        <v>0</v>
      </c>
      <c r="AB59" s="690"/>
      <c r="AC59" s="930"/>
      <c r="AD59" s="930"/>
      <c r="AE59" s="930"/>
    </row>
    <row r="60" spans="1:31" s="967" customFormat="1" ht="21.95" customHeight="1">
      <c r="A60" s="673"/>
      <c r="B60" s="674"/>
      <c r="C60" s="675"/>
      <c r="D60" s="674"/>
      <c r="E60" s="851"/>
      <c r="F60" s="1509"/>
      <c r="G60" s="1523"/>
      <c r="H60" s="949"/>
      <c r="I60" s="920"/>
      <c r="J60" s="866" t="s">
        <v>2665</v>
      </c>
      <c r="K60" s="867"/>
      <c r="L60" s="867"/>
      <c r="M60" s="867"/>
      <c r="N60" s="868"/>
      <c r="O60" s="867"/>
      <c r="P60" s="867"/>
      <c r="Q60" s="869"/>
      <c r="R60" s="867"/>
      <c r="S60" s="868">
        <v>9000000</v>
      </c>
      <c r="T60" s="867" t="s">
        <v>0</v>
      </c>
      <c r="U60" s="867"/>
      <c r="V60" s="1525">
        <v>0.3</v>
      </c>
      <c r="W60" s="867" t="s">
        <v>3</v>
      </c>
      <c r="X60" s="870" t="s">
        <v>2611</v>
      </c>
      <c r="Y60" s="687">
        <f t="shared" si="3"/>
        <v>2700</v>
      </c>
      <c r="Z60" s="867">
        <f>S60*V60</f>
        <v>2700000</v>
      </c>
      <c r="AA60" s="1185">
        <f t="shared" si="1"/>
        <v>0</v>
      </c>
      <c r="AB60" s="690"/>
      <c r="AC60" s="930"/>
      <c r="AD60" s="930"/>
      <c r="AE60" s="930"/>
    </row>
    <row r="61" spans="1:31" s="967" customFormat="1" ht="21.95" customHeight="1">
      <c r="A61" s="673"/>
      <c r="B61" s="674"/>
      <c r="C61" s="675"/>
      <c r="D61" s="674"/>
      <c r="E61" s="851"/>
      <c r="F61" s="1509"/>
      <c r="G61" s="1523"/>
      <c r="H61" s="949"/>
      <c r="I61" s="920"/>
      <c r="J61" s="866" t="s">
        <v>2666</v>
      </c>
      <c r="K61" s="867"/>
      <c r="L61" s="867"/>
      <c r="M61" s="867"/>
      <c r="N61" s="868"/>
      <c r="O61" s="867"/>
      <c r="P61" s="867"/>
      <c r="Q61" s="869"/>
      <c r="R61" s="867"/>
      <c r="S61" s="868"/>
      <c r="T61" s="867"/>
      <c r="U61" s="867"/>
      <c r="V61" s="867"/>
      <c r="W61" s="867"/>
      <c r="X61" s="870"/>
      <c r="Y61" s="687">
        <f>SUM(Y62:Y63)</f>
        <v>26494</v>
      </c>
      <c r="Z61" s="867">
        <f>SUM(Z62:Z63)</f>
        <v>26494000</v>
      </c>
      <c r="AA61" s="1185">
        <f t="shared" si="1"/>
        <v>0</v>
      </c>
      <c r="AB61" s="690"/>
      <c r="AC61" s="930"/>
      <c r="AD61" s="930"/>
      <c r="AE61" s="930"/>
    </row>
    <row r="62" spans="1:31" s="967" customFormat="1" ht="21.95" customHeight="1">
      <c r="A62" s="673"/>
      <c r="B62" s="674"/>
      <c r="C62" s="675"/>
      <c r="D62" s="674"/>
      <c r="E62" s="851"/>
      <c r="F62" s="1509"/>
      <c r="G62" s="1523"/>
      <c r="H62" s="949"/>
      <c r="I62" s="920"/>
      <c r="J62" s="866" t="s">
        <v>2667</v>
      </c>
      <c r="K62" s="867"/>
      <c r="L62" s="867"/>
      <c r="M62" s="867"/>
      <c r="N62" s="868"/>
      <c r="O62" s="867"/>
      <c r="P62" s="867"/>
      <c r="Q62" s="869">
        <v>160</v>
      </c>
      <c r="R62" s="867" t="s">
        <v>43</v>
      </c>
      <c r="S62" s="868">
        <v>7700</v>
      </c>
      <c r="T62" s="867" t="s">
        <v>0</v>
      </c>
      <c r="U62" s="867"/>
      <c r="V62" s="867">
        <v>2</v>
      </c>
      <c r="W62" s="867" t="s">
        <v>3</v>
      </c>
      <c r="X62" s="870" t="s">
        <v>2668</v>
      </c>
      <c r="Y62" s="687">
        <f>+Z62/1000</f>
        <v>2464</v>
      </c>
      <c r="Z62" s="867">
        <f>ROUNDUP(V62*S62*Q62,-3)</f>
        <v>2464000</v>
      </c>
      <c r="AA62" s="1185">
        <f t="shared" si="1"/>
        <v>0</v>
      </c>
      <c r="AB62" s="690"/>
      <c r="AC62" s="930"/>
      <c r="AD62" s="930"/>
      <c r="AE62" s="930"/>
    </row>
    <row r="63" spans="1:31" s="967" customFormat="1" ht="21.95" customHeight="1">
      <c r="A63" s="673"/>
      <c r="B63" s="674"/>
      <c r="C63" s="675"/>
      <c r="D63" s="674"/>
      <c r="E63" s="851"/>
      <c r="F63" s="1509"/>
      <c r="G63" s="1523"/>
      <c r="H63" s="949"/>
      <c r="I63" s="920"/>
      <c r="J63" s="866" t="s">
        <v>2669</v>
      </c>
      <c r="K63" s="867"/>
      <c r="L63" s="867"/>
      <c r="M63" s="867"/>
      <c r="N63" s="868"/>
      <c r="O63" s="867"/>
      <c r="P63" s="867"/>
      <c r="Q63" s="869">
        <v>3670</v>
      </c>
      <c r="R63" s="867" t="s">
        <v>44</v>
      </c>
      <c r="S63" s="868">
        <v>32738</v>
      </c>
      <c r="T63" s="867" t="s">
        <v>0</v>
      </c>
      <c r="U63" s="867"/>
      <c r="V63" s="1447">
        <v>0.2</v>
      </c>
      <c r="W63" s="867" t="s">
        <v>3</v>
      </c>
      <c r="X63" s="870" t="s">
        <v>2668</v>
      </c>
      <c r="Y63" s="687">
        <f>+Z63/1000</f>
        <v>24030</v>
      </c>
      <c r="Z63" s="867">
        <f>ROUNDUP(V63*S63*Q63,-3)</f>
        <v>24030000</v>
      </c>
      <c r="AA63" s="1185">
        <f t="shared" si="1"/>
        <v>0</v>
      </c>
      <c r="AB63" s="690"/>
      <c r="AC63" s="930"/>
      <c r="AD63" s="930"/>
      <c r="AE63" s="930"/>
    </row>
    <row r="64" spans="1:31" s="967" customFormat="1" ht="21.95" customHeight="1">
      <c r="A64" s="673"/>
      <c r="B64" s="674"/>
      <c r="C64" s="675"/>
      <c r="D64" s="674"/>
      <c r="E64" s="851"/>
      <c r="F64" s="1509"/>
      <c r="G64" s="1523"/>
      <c r="H64" s="949"/>
      <c r="I64" s="920"/>
      <c r="J64" s="866" t="s">
        <v>2670</v>
      </c>
      <c r="K64" s="867"/>
      <c r="L64" s="867"/>
      <c r="M64" s="867"/>
      <c r="N64" s="868"/>
      <c r="O64" s="867"/>
      <c r="P64" s="867"/>
      <c r="Q64" s="869"/>
      <c r="R64" s="867"/>
      <c r="S64" s="868"/>
      <c r="T64" s="867"/>
      <c r="U64" s="867"/>
      <c r="V64" s="867"/>
      <c r="W64" s="867"/>
      <c r="X64" s="870"/>
      <c r="Y64" s="687">
        <f>SUM(Y65:Y69)</f>
        <v>17400</v>
      </c>
      <c r="Z64" s="867">
        <f>SUM(Z65:Z69)</f>
        <v>17400000</v>
      </c>
      <c r="AA64" s="1185">
        <f t="shared" si="1"/>
        <v>0</v>
      </c>
      <c r="AB64" s="690"/>
      <c r="AC64" s="930"/>
      <c r="AD64" s="930"/>
      <c r="AE64" s="930"/>
    </row>
    <row r="65" spans="1:31" s="967" customFormat="1" ht="21.95" customHeight="1">
      <c r="A65" s="673"/>
      <c r="B65" s="674"/>
      <c r="C65" s="675"/>
      <c r="D65" s="674"/>
      <c r="E65" s="851"/>
      <c r="F65" s="1509"/>
      <c r="G65" s="1523"/>
      <c r="H65" s="949"/>
      <c r="I65" s="920"/>
      <c r="J65" s="866" t="s">
        <v>2671</v>
      </c>
      <c r="K65" s="867"/>
      <c r="L65" s="867"/>
      <c r="M65" s="867"/>
      <c r="N65" s="868"/>
      <c r="O65" s="867"/>
      <c r="P65" s="867"/>
      <c r="Q65" s="869"/>
      <c r="R65" s="867"/>
      <c r="S65" s="868">
        <v>6100000</v>
      </c>
      <c r="T65" s="867" t="s">
        <v>0</v>
      </c>
      <c r="U65" s="867"/>
      <c r="V65" s="867">
        <v>1</v>
      </c>
      <c r="W65" s="867" t="s">
        <v>3</v>
      </c>
      <c r="X65" s="870" t="s">
        <v>2668</v>
      </c>
      <c r="Y65" s="687">
        <f>+Z65/1000</f>
        <v>6100</v>
      </c>
      <c r="Z65" s="867">
        <f>S65*V65</f>
        <v>6100000</v>
      </c>
      <c r="AA65" s="1185">
        <f t="shared" si="1"/>
        <v>0</v>
      </c>
      <c r="AB65" s="690"/>
      <c r="AC65" s="930"/>
      <c r="AD65" s="930"/>
      <c r="AE65" s="930"/>
    </row>
    <row r="66" spans="1:31" s="967" customFormat="1" ht="21.95" customHeight="1">
      <c r="A66" s="673"/>
      <c r="B66" s="674"/>
      <c r="C66" s="675"/>
      <c r="D66" s="674"/>
      <c r="E66" s="851"/>
      <c r="F66" s="1509"/>
      <c r="G66" s="1523"/>
      <c r="H66" s="949"/>
      <c r="I66" s="920"/>
      <c r="J66" s="866" t="s">
        <v>2672</v>
      </c>
      <c r="K66" s="867"/>
      <c r="L66" s="867"/>
      <c r="M66" s="867"/>
      <c r="N66" s="868"/>
      <c r="O66" s="867"/>
      <c r="P66" s="867"/>
      <c r="Q66" s="869"/>
      <c r="R66" s="867"/>
      <c r="S66" s="868">
        <v>900000</v>
      </c>
      <c r="T66" s="867" t="s">
        <v>0</v>
      </c>
      <c r="U66" s="867"/>
      <c r="V66" s="867">
        <v>1</v>
      </c>
      <c r="W66" s="867" t="s">
        <v>3</v>
      </c>
      <c r="X66" s="870" t="s">
        <v>2668</v>
      </c>
      <c r="Y66" s="687">
        <v>900</v>
      </c>
      <c r="Z66" s="867">
        <f>S66*V66</f>
        <v>900000</v>
      </c>
      <c r="AA66" s="1185">
        <f t="shared" si="1"/>
        <v>0</v>
      </c>
      <c r="AB66" s="690"/>
      <c r="AC66" s="930"/>
      <c r="AD66" s="930"/>
      <c r="AE66" s="930"/>
    </row>
    <row r="67" spans="1:31" s="967" customFormat="1" ht="21.95" customHeight="1">
      <c r="A67" s="673"/>
      <c r="B67" s="674"/>
      <c r="C67" s="675"/>
      <c r="D67" s="674"/>
      <c r="E67" s="851"/>
      <c r="F67" s="1509"/>
      <c r="G67" s="1523"/>
      <c r="H67" s="949"/>
      <c r="I67" s="920"/>
      <c r="J67" s="866" t="s">
        <v>2673</v>
      </c>
      <c r="K67" s="867"/>
      <c r="L67" s="867"/>
      <c r="M67" s="867"/>
      <c r="N67" s="868"/>
      <c r="O67" s="867"/>
      <c r="P67" s="867"/>
      <c r="Q67" s="869"/>
      <c r="R67" s="867"/>
      <c r="S67" s="868">
        <v>2000000</v>
      </c>
      <c r="T67" s="867" t="s">
        <v>0</v>
      </c>
      <c r="U67" s="867"/>
      <c r="V67" s="1447">
        <v>1</v>
      </c>
      <c r="W67" s="867" t="s">
        <v>3</v>
      </c>
      <c r="X67" s="870" t="s">
        <v>2668</v>
      </c>
      <c r="Y67" s="687">
        <f>+Z67/1000</f>
        <v>2000</v>
      </c>
      <c r="Z67" s="867">
        <f>V67*S67</f>
        <v>2000000</v>
      </c>
      <c r="AA67" s="1185">
        <f t="shared" si="1"/>
        <v>0</v>
      </c>
      <c r="AB67" s="690"/>
      <c r="AC67" s="930"/>
      <c r="AD67" s="930"/>
      <c r="AE67" s="930"/>
    </row>
    <row r="68" spans="1:31" s="967" customFormat="1" ht="21.95" customHeight="1">
      <c r="A68" s="673"/>
      <c r="B68" s="674"/>
      <c r="C68" s="675"/>
      <c r="D68" s="674"/>
      <c r="E68" s="851"/>
      <c r="F68" s="1509"/>
      <c r="G68" s="1523"/>
      <c r="H68" s="949"/>
      <c r="I68" s="920"/>
      <c r="J68" s="866" t="s">
        <v>2674</v>
      </c>
      <c r="K68" s="867"/>
      <c r="L68" s="867"/>
      <c r="M68" s="867"/>
      <c r="N68" s="868"/>
      <c r="O68" s="867"/>
      <c r="P68" s="867"/>
      <c r="Q68" s="869"/>
      <c r="R68" s="867"/>
      <c r="S68" s="868">
        <v>2000000</v>
      </c>
      <c r="T68" s="867" t="s">
        <v>0</v>
      </c>
      <c r="U68" s="867"/>
      <c r="V68" s="1447">
        <v>1</v>
      </c>
      <c r="W68" s="867" t="s">
        <v>3</v>
      </c>
      <c r="X68" s="870" t="s">
        <v>2675</v>
      </c>
      <c r="Y68" s="687">
        <f>+Z68/1000</f>
        <v>2000</v>
      </c>
      <c r="Z68" s="867">
        <f>V68*S68</f>
        <v>2000000</v>
      </c>
      <c r="AA68" s="1185">
        <f t="shared" si="1"/>
        <v>0</v>
      </c>
      <c r="AB68" s="690"/>
      <c r="AC68" s="930"/>
      <c r="AD68" s="930"/>
      <c r="AE68" s="930"/>
    </row>
    <row r="69" spans="1:31" s="967" customFormat="1" ht="21.95" customHeight="1">
      <c r="A69" s="673"/>
      <c r="B69" s="674"/>
      <c r="C69" s="675"/>
      <c r="D69" s="674"/>
      <c r="E69" s="851"/>
      <c r="F69" s="1509"/>
      <c r="G69" s="1523"/>
      <c r="H69" s="949"/>
      <c r="I69" s="920"/>
      <c r="J69" s="866" t="s">
        <v>2676</v>
      </c>
      <c r="K69" s="867"/>
      <c r="L69" s="867"/>
      <c r="M69" s="867"/>
      <c r="N69" s="868"/>
      <c r="O69" s="867"/>
      <c r="P69" s="867"/>
      <c r="Q69" s="869">
        <v>16</v>
      </c>
      <c r="R69" s="867" t="s">
        <v>45</v>
      </c>
      <c r="S69" s="868">
        <v>800000</v>
      </c>
      <c r="T69" s="867" t="s">
        <v>0</v>
      </c>
      <c r="U69" s="867"/>
      <c r="V69" s="1447">
        <v>0.5</v>
      </c>
      <c r="W69" s="867" t="s">
        <v>3</v>
      </c>
      <c r="X69" s="870" t="s">
        <v>2675</v>
      </c>
      <c r="Y69" s="687">
        <f>+Z69/1000</f>
        <v>6400</v>
      </c>
      <c r="Z69" s="867">
        <f>V69*S69*Q69</f>
        <v>6400000</v>
      </c>
      <c r="AA69" s="1185">
        <f t="shared" si="1"/>
        <v>0</v>
      </c>
      <c r="AB69" s="690"/>
      <c r="AC69" s="930"/>
      <c r="AD69" s="930"/>
      <c r="AE69" s="930"/>
    </row>
    <row r="70" spans="1:31" s="967" customFormat="1" ht="21.95" customHeight="1">
      <c r="A70" s="673"/>
      <c r="B70" s="674"/>
      <c r="C70" s="675"/>
      <c r="D70" s="674"/>
      <c r="E70" s="851"/>
      <c r="F70" s="1509"/>
      <c r="G70" s="1523"/>
      <c r="H70" s="949"/>
      <c r="I70" s="920"/>
      <c r="J70" s="866" t="s">
        <v>2677</v>
      </c>
      <c r="K70" s="867"/>
      <c r="L70" s="867"/>
      <c r="M70" s="867"/>
      <c r="N70" s="868"/>
      <c r="O70" s="867"/>
      <c r="P70" s="867"/>
      <c r="Q70" s="869"/>
      <c r="R70" s="867"/>
      <c r="S70" s="868"/>
      <c r="T70" s="867"/>
      <c r="U70" s="867"/>
      <c r="V70" s="867"/>
      <c r="W70" s="867"/>
      <c r="X70" s="870"/>
      <c r="Y70" s="687">
        <f>SUM(Y71:Y74)</f>
        <v>11000</v>
      </c>
      <c r="Z70" s="867">
        <f>SUM(Z71:Z74)</f>
        <v>11000000</v>
      </c>
      <c r="AA70" s="1185">
        <f t="shared" si="1"/>
        <v>0</v>
      </c>
      <c r="AB70" s="690"/>
      <c r="AC70" s="930"/>
      <c r="AD70" s="930"/>
      <c r="AE70" s="930"/>
    </row>
    <row r="71" spans="1:31" s="967" customFormat="1" ht="21.95" customHeight="1">
      <c r="A71" s="673"/>
      <c r="B71" s="674"/>
      <c r="C71" s="675"/>
      <c r="D71" s="674"/>
      <c r="E71" s="851"/>
      <c r="F71" s="1509"/>
      <c r="G71" s="1523"/>
      <c r="H71" s="949"/>
      <c r="I71" s="920"/>
      <c r="J71" s="866" t="s">
        <v>2678</v>
      </c>
      <c r="K71" s="867"/>
      <c r="L71" s="867"/>
      <c r="M71" s="867"/>
      <c r="N71" s="868"/>
      <c r="O71" s="867"/>
      <c r="P71" s="867"/>
      <c r="Q71" s="869">
        <v>50</v>
      </c>
      <c r="R71" s="867" t="s">
        <v>32</v>
      </c>
      <c r="S71" s="868">
        <v>200000</v>
      </c>
      <c r="T71" s="867" t="s">
        <v>0</v>
      </c>
      <c r="U71" s="867"/>
      <c r="V71" s="1447">
        <v>0.5</v>
      </c>
      <c r="W71" s="867" t="s">
        <v>3</v>
      </c>
      <c r="X71" s="870" t="s">
        <v>2675</v>
      </c>
      <c r="Y71" s="687">
        <f t="shared" ref="Y71:Y105" si="8">+Z71/1000</f>
        <v>5000</v>
      </c>
      <c r="Z71" s="867">
        <f>V71*S71*Q71</f>
        <v>5000000</v>
      </c>
      <c r="AA71" s="1185">
        <f t="shared" si="1"/>
        <v>0</v>
      </c>
      <c r="AB71" s="690"/>
      <c r="AC71" s="930"/>
      <c r="AD71" s="930"/>
      <c r="AE71" s="930"/>
    </row>
    <row r="72" spans="1:31" s="967" customFormat="1" ht="21.95" customHeight="1">
      <c r="A72" s="673"/>
      <c r="B72" s="674"/>
      <c r="C72" s="675"/>
      <c r="D72" s="674"/>
      <c r="E72" s="851"/>
      <c r="F72" s="1509"/>
      <c r="G72" s="1523"/>
      <c r="H72" s="949"/>
      <c r="I72" s="920"/>
      <c r="J72" s="866" t="s">
        <v>2679</v>
      </c>
      <c r="K72" s="867"/>
      <c r="L72" s="867"/>
      <c r="M72" s="867"/>
      <c r="N72" s="868"/>
      <c r="O72" s="867"/>
      <c r="P72" s="867"/>
      <c r="Q72" s="869">
        <v>6</v>
      </c>
      <c r="R72" s="867" t="s">
        <v>46</v>
      </c>
      <c r="S72" s="868">
        <v>500000</v>
      </c>
      <c r="T72" s="867" t="s">
        <v>0</v>
      </c>
      <c r="U72" s="867"/>
      <c r="V72" s="1447">
        <v>0.5</v>
      </c>
      <c r="W72" s="867" t="s">
        <v>3</v>
      </c>
      <c r="X72" s="870" t="s">
        <v>2675</v>
      </c>
      <c r="Y72" s="687">
        <f t="shared" si="8"/>
        <v>1500</v>
      </c>
      <c r="Z72" s="867">
        <f>V72*S72*Q72</f>
        <v>1500000</v>
      </c>
      <c r="AA72" s="1185">
        <f t="shared" si="1"/>
        <v>0</v>
      </c>
      <c r="AB72" s="690"/>
      <c r="AC72" s="930"/>
      <c r="AD72" s="930"/>
      <c r="AE72" s="930"/>
    </row>
    <row r="73" spans="1:31" s="967" customFormat="1" ht="21.95" customHeight="1">
      <c r="A73" s="673"/>
      <c r="B73" s="674"/>
      <c r="C73" s="675"/>
      <c r="D73" s="674"/>
      <c r="E73" s="851"/>
      <c r="F73" s="1509"/>
      <c r="G73" s="1523"/>
      <c r="H73" s="949"/>
      <c r="I73" s="920"/>
      <c r="J73" s="866" t="s">
        <v>2680</v>
      </c>
      <c r="K73" s="867"/>
      <c r="L73" s="867"/>
      <c r="M73" s="867"/>
      <c r="N73" s="868"/>
      <c r="O73" s="867"/>
      <c r="P73" s="867"/>
      <c r="Q73" s="869">
        <v>2</v>
      </c>
      <c r="R73" s="867" t="s">
        <v>32</v>
      </c>
      <c r="S73" s="868">
        <v>750000</v>
      </c>
      <c r="T73" s="867" t="s">
        <v>0</v>
      </c>
      <c r="U73" s="867"/>
      <c r="V73" s="1447">
        <v>0.6</v>
      </c>
      <c r="W73" s="867" t="s">
        <v>3</v>
      </c>
      <c r="X73" s="870" t="s">
        <v>2675</v>
      </c>
      <c r="Y73" s="687">
        <f t="shared" si="8"/>
        <v>900</v>
      </c>
      <c r="Z73" s="867">
        <f>V73*S73*Q73</f>
        <v>900000</v>
      </c>
      <c r="AA73" s="1185">
        <f t="shared" si="1"/>
        <v>0</v>
      </c>
      <c r="AB73" s="690"/>
      <c r="AC73" s="930"/>
      <c r="AD73" s="930"/>
      <c r="AE73" s="930"/>
    </row>
    <row r="74" spans="1:31" s="967" customFormat="1" ht="21.95" customHeight="1">
      <c r="A74" s="673"/>
      <c r="B74" s="674"/>
      <c r="C74" s="675"/>
      <c r="D74" s="674"/>
      <c r="E74" s="851"/>
      <c r="F74" s="1509"/>
      <c r="G74" s="1523"/>
      <c r="H74" s="949"/>
      <c r="I74" s="920"/>
      <c r="J74" s="866" t="s">
        <v>2681</v>
      </c>
      <c r="K74" s="867"/>
      <c r="L74" s="867"/>
      <c r="M74" s="867"/>
      <c r="N74" s="868"/>
      <c r="O74" s="867"/>
      <c r="P74" s="867"/>
      <c r="Q74" s="869">
        <v>3</v>
      </c>
      <c r="R74" s="867" t="s">
        <v>32</v>
      </c>
      <c r="S74" s="868">
        <v>100000</v>
      </c>
      <c r="T74" s="867" t="s">
        <v>0</v>
      </c>
      <c r="U74" s="867"/>
      <c r="V74" s="867">
        <v>12</v>
      </c>
      <c r="W74" s="867" t="s">
        <v>2</v>
      </c>
      <c r="X74" s="870" t="s">
        <v>2675</v>
      </c>
      <c r="Y74" s="687">
        <f t="shared" si="8"/>
        <v>3600</v>
      </c>
      <c r="Z74" s="867">
        <f>V74*S74*Q74</f>
        <v>3600000</v>
      </c>
      <c r="AA74" s="1185">
        <f t="shared" ref="AA74:AA138" si="9">F74*1000000</f>
        <v>0</v>
      </c>
      <c r="AB74" s="690"/>
      <c r="AC74" s="930"/>
      <c r="AD74" s="930"/>
      <c r="AE74" s="930"/>
    </row>
    <row r="75" spans="1:31" s="967" customFormat="1" ht="21.95" customHeight="1">
      <c r="A75" s="673"/>
      <c r="B75" s="674"/>
      <c r="C75" s="675"/>
      <c r="D75" s="674"/>
      <c r="E75" s="851"/>
      <c r="F75" s="1509"/>
      <c r="G75" s="1523"/>
      <c r="H75" s="949"/>
      <c r="I75" s="920"/>
      <c r="J75" s="866" t="s">
        <v>2682</v>
      </c>
      <c r="K75" s="867"/>
      <c r="L75" s="867"/>
      <c r="M75" s="867"/>
      <c r="N75" s="868"/>
      <c r="O75" s="867"/>
      <c r="P75" s="867"/>
      <c r="Q75" s="869"/>
      <c r="R75" s="867"/>
      <c r="S75" s="868"/>
      <c r="T75" s="867"/>
      <c r="U75" s="867"/>
      <c r="V75" s="1447"/>
      <c r="W75" s="867"/>
      <c r="X75" s="870"/>
      <c r="Y75" s="687">
        <f t="shared" si="8"/>
        <v>9415</v>
      </c>
      <c r="Z75" s="867">
        <f>SUM(Z76:Z77)</f>
        <v>9415000</v>
      </c>
      <c r="AA75" s="1185">
        <f t="shared" si="9"/>
        <v>0</v>
      </c>
      <c r="AB75" s="690"/>
      <c r="AC75" s="930"/>
      <c r="AD75" s="930"/>
      <c r="AE75" s="930"/>
    </row>
    <row r="76" spans="1:31" s="967" customFormat="1" ht="21.95" customHeight="1">
      <c r="A76" s="673"/>
      <c r="B76" s="674"/>
      <c r="C76" s="675"/>
      <c r="D76" s="674"/>
      <c r="E76" s="851"/>
      <c r="F76" s="1509"/>
      <c r="G76" s="1523"/>
      <c r="H76" s="949"/>
      <c r="I76" s="920"/>
      <c r="J76" s="866" t="s">
        <v>2683</v>
      </c>
      <c r="K76" s="867"/>
      <c r="L76" s="867"/>
      <c r="M76" s="867"/>
      <c r="N76" s="868"/>
      <c r="O76" s="867"/>
      <c r="P76" s="867"/>
      <c r="Q76" s="869">
        <v>8277</v>
      </c>
      <c r="R76" s="867" t="s">
        <v>44</v>
      </c>
      <c r="S76" s="868">
        <v>2400</v>
      </c>
      <c r="T76" s="867" t="s">
        <v>0</v>
      </c>
      <c r="U76" s="867"/>
      <c r="V76" s="1447">
        <v>0.3</v>
      </c>
      <c r="W76" s="867" t="s">
        <v>3</v>
      </c>
      <c r="X76" s="870" t="s">
        <v>2675</v>
      </c>
      <c r="Y76" s="687">
        <f>+Z76/1000</f>
        <v>5959</v>
      </c>
      <c r="Z76" s="867">
        <f>ROUNDDOWN(V76*S76*Q76,-3)</f>
        <v>5959000</v>
      </c>
      <c r="AA76" s="1185">
        <f t="shared" si="9"/>
        <v>0</v>
      </c>
      <c r="AB76" s="690"/>
      <c r="AC76" s="930"/>
      <c r="AD76" s="930"/>
      <c r="AE76" s="930"/>
    </row>
    <row r="77" spans="1:31" s="683" customFormat="1" ht="21.95" customHeight="1">
      <c r="A77" s="673"/>
      <c r="B77" s="674"/>
      <c r="C77" s="675"/>
      <c r="D77" s="674"/>
      <c r="E77" s="851"/>
      <c r="F77" s="1509"/>
      <c r="G77" s="1523"/>
      <c r="H77" s="949"/>
      <c r="I77" s="920"/>
      <c r="J77" s="866" t="s">
        <v>2684</v>
      </c>
      <c r="K77" s="867"/>
      <c r="L77" s="867"/>
      <c r="M77" s="867"/>
      <c r="N77" s="868"/>
      <c r="O77" s="867"/>
      <c r="P77" s="867"/>
      <c r="Q77" s="869">
        <v>3600</v>
      </c>
      <c r="R77" s="867" t="s">
        <v>44</v>
      </c>
      <c r="S77" s="868">
        <v>4800</v>
      </c>
      <c r="T77" s="867" t="s">
        <v>0</v>
      </c>
      <c r="U77" s="867"/>
      <c r="V77" s="1447">
        <v>0.2</v>
      </c>
      <c r="W77" s="867" t="s">
        <v>3</v>
      </c>
      <c r="X77" s="870" t="s">
        <v>2675</v>
      </c>
      <c r="Y77" s="687">
        <f>+Z77/1000</f>
        <v>3456</v>
      </c>
      <c r="Z77" s="867">
        <f>ROUNDDOWN(V77*S77*Q77,-3)</f>
        <v>3456000</v>
      </c>
      <c r="AA77" s="1185">
        <f t="shared" si="9"/>
        <v>0</v>
      </c>
      <c r="AB77" s="690"/>
      <c r="AC77" s="930"/>
      <c r="AD77" s="930"/>
      <c r="AE77" s="930"/>
    </row>
    <row r="78" spans="1:31" s="967" customFormat="1" ht="21.95" customHeight="1">
      <c r="A78" s="673"/>
      <c r="B78" s="674"/>
      <c r="C78" s="675"/>
      <c r="D78" s="674"/>
      <c r="E78" s="851"/>
      <c r="F78" s="1509"/>
      <c r="G78" s="1523"/>
      <c r="H78" s="949"/>
      <c r="I78" s="920"/>
      <c r="J78" s="866" t="s">
        <v>2685</v>
      </c>
      <c r="K78" s="867"/>
      <c r="L78" s="867"/>
      <c r="M78" s="1526"/>
      <c r="N78" s="867"/>
      <c r="O78" s="867"/>
      <c r="P78" s="867"/>
      <c r="Q78" s="1526"/>
      <c r="R78" s="867"/>
      <c r="S78" s="868">
        <v>917710</v>
      </c>
      <c r="T78" s="867" t="s">
        <v>0</v>
      </c>
      <c r="U78" s="867"/>
      <c r="V78" s="867">
        <v>12</v>
      </c>
      <c r="W78" s="867" t="s">
        <v>2</v>
      </c>
      <c r="X78" s="870" t="s">
        <v>2675</v>
      </c>
      <c r="Y78" s="687">
        <f t="shared" si="8"/>
        <v>11013</v>
      </c>
      <c r="Z78" s="867">
        <f>S78*V78+480</f>
        <v>11013000</v>
      </c>
      <c r="AA78" s="1185">
        <f t="shared" si="9"/>
        <v>0</v>
      </c>
      <c r="AB78" s="690"/>
      <c r="AC78" s="930"/>
      <c r="AD78" s="930"/>
      <c r="AE78" s="930"/>
    </row>
    <row r="79" spans="1:31" s="967" customFormat="1" ht="21.95" customHeight="1">
      <c r="A79" s="673"/>
      <c r="B79" s="674"/>
      <c r="C79" s="675"/>
      <c r="D79" s="674"/>
      <c r="E79" s="851"/>
      <c r="F79" s="1509"/>
      <c r="G79" s="1523"/>
      <c r="H79" s="949"/>
      <c r="I79" s="920"/>
      <c r="J79" s="681" t="s">
        <v>2686</v>
      </c>
      <c r="K79" s="682"/>
      <c r="L79" s="682"/>
      <c r="M79" s="682"/>
      <c r="N79" s="682"/>
      <c r="O79" s="682"/>
      <c r="P79" s="683"/>
      <c r="Q79" s="869">
        <v>12</v>
      </c>
      <c r="R79" s="867" t="s">
        <v>47</v>
      </c>
      <c r="S79" s="868">
        <v>400000</v>
      </c>
      <c r="T79" s="867" t="s">
        <v>0</v>
      </c>
      <c r="U79" s="867"/>
      <c r="V79" s="867">
        <v>1</v>
      </c>
      <c r="W79" s="867" t="s">
        <v>30</v>
      </c>
      <c r="X79" s="870" t="s">
        <v>2687</v>
      </c>
      <c r="Y79" s="687">
        <f t="shared" si="8"/>
        <v>4800</v>
      </c>
      <c r="Z79" s="867">
        <f>+Q79*S79*V79</f>
        <v>4800000</v>
      </c>
      <c r="AA79" s="1185">
        <f t="shared" si="9"/>
        <v>0</v>
      </c>
      <c r="AB79" s="690"/>
      <c r="AC79" s="930"/>
      <c r="AD79" s="930"/>
      <c r="AE79" s="930"/>
    </row>
    <row r="80" spans="1:31" s="967" customFormat="1" ht="22.5" customHeight="1">
      <c r="A80" s="673"/>
      <c r="B80" s="674"/>
      <c r="C80" s="675"/>
      <c r="D80" s="674"/>
      <c r="E80" s="971"/>
      <c r="F80" s="1516"/>
      <c r="G80" s="1527"/>
      <c r="H80" s="973"/>
      <c r="I80" s="920"/>
      <c r="J80" s="700" t="s">
        <v>2688</v>
      </c>
      <c r="K80" s="701"/>
      <c r="L80" s="701"/>
      <c r="M80" s="701"/>
      <c r="N80" s="701"/>
      <c r="O80" s="701"/>
      <c r="P80" s="702"/>
      <c r="Q80" s="703"/>
      <c r="R80" s="704"/>
      <c r="S80" s="979">
        <v>1800000</v>
      </c>
      <c r="T80" s="978" t="s">
        <v>0</v>
      </c>
      <c r="U80" s="978"/>
      <c r="V80" s="978">
        <v>12</v>
      </c>
      <c r="W80" s="978" t="s">
        <v>2</v>
      </c>
      <c r="X80" s="1025" t="s">
        <v>2689</v>
      </c>
      <c r="Y80" s="706">
        <f t="shared" si="8"/>
        <v>21600</v>
      </c>
      <c r="Z80" s="867">
        <f>S80*V80</f>
        <v>21600000</v>
      </c>
      <c r="AA80" s="1185">
        <f t="shared" si="9"/>
        <v>0</v>
      </c>
      <c r="AB80" s="690"/>
      <c r="AC80" s="930"/>
      <c r="AD80" s="930"/>
      <c r="AE80" s="930"/>
    </row>
    <row r="81" spans="1:31" s="683" customFormat="1" ht="21" customHeight="1">
      <c r="A81" s="673"/>
      <c r="B81" s="674"/>
      <c r="C81" s="675"/>
      <c r="D81" s="674"/>
      <c r="E81" s="851" t="s">
        <v>2690</v>
      </c>
      <c r="F81" s="1509">
        <f>+Y81</f>
        <v>2360</v>
      </c>
      <c r="G81" s="1509">
        <v>2360</v>
      </c>
      <c r="H81" s="949"/>
      <c r="I81" s="920"/>
      <c r="J81" s="866" t="s">
        <v>2691</v>
      </c>
      <c r="K81" s="867"/>
      <c r="L81" s="867"/>
      <c r="M81" s="867"/>
      <c r="N81" s="868"/>
      <c r="O81" s="867"/>
      <c r="P81" s="867"/>
      <c r="Q81" s="869"/>
      <c r="R81" s="867"/>
      <c r="S81" s="868"/>
      <c r="T81" s="867"/>
      <c r="U81" s="867"/>
      <c r="V81" s="867"/>
      <c r="W81" s="867"/>
      <c r="X81" s="870"/>
      <c r="Y81" s="687">
        <f t="shared" si="8"/>
        <v>2360</v>
      </c>
      <c r="Z81" s="867">
        <f>SUM(Z82:Z83)</f>
        <v>2360000</v>
      </c>
      <c r="AA81" s="1185">
        <f t="shared" si="9"/>
        <v>2360000000</v>
      </c>
      <c r="AB81" s="690"/>
      <c r="AC81" s="930"/>
      <c r="AD81" s="930"/>
      <c r="AE81" s="930"/>
    </row>
    <row r="82" spans="1:31" s="967" customFormat="1" ht="21" customHeight="1">
      <c r="A82" s="673"/>
      <c r="B82" s="674"/>
      <c r="C82" s="675"/>
      <c r="D82" s="674"/>
      <c r="E82" s="851"/>
      <c r="F82" s="1509"/>
      <c r="G82" s="1509"/>
      <c r="H82" s="949"/>
      <c r="I82" s="920"/>
      <c r="J82" s="866" t="s">
        <v>2692</v>
      </c>
      <c r="K82" s="867"/>
      <c r="L82" s="867"/>
      <c r="M82" s="867"/>
      <c r="N82" s="868"/>
      <c r="O82" s="867"/>
      <c r="P82" s="867"/>
      <c r="Q82" s="869">
        <v>12</v>
      </c>
      <c r="R82" s="867" t="s">
        <v>7</v>
      </c>
      <c r="S82" s="868">
        <v>15000</v>
      </c>
      <c r="T82" s="867" t="s">
        <v>0</v>
      </c>
      <c r="U82" s="867"/>
      <c r="V82" s="867">
        <v>12</v>
      </c>
      <c r="W82" s="867" t="s">
        <v>2</v>
      </c>
      <c r="X82" s="870" t="s">
        <v>2675</v>
      </c>
      <c r="Y82" s="687">
        <f t="shared" si="8"/>
        <v>2160</v>
      </c>
      <c r="Z82" s="867">
        <f>S82*Q82*V82</f>
        <v>2160000</v>
      </c>
      <c r="AA82" s="1185">
        <f t="shared" si="9"/>
        <v>0</v>
      </c>
      <c r="AB82" s="690"/>
      <c r="AC82" s="930"/>
      <c r="AD82" s="930"/>
      <c r="AE82" s="930"/>
    </row>
    <row r="83" spans="1:31" s="683" customFormat="1" ht="21" customHeight="1">
      <c r="A83" s="673"/>
      <c r="B83" s="674"/>
      <c r="C83" s="675"/>
      <c r="D83" s="674"/>
      <c r="E83" s="971"/>
      <c r="F83" s="1516"/>
      <c r="G83" s="1516"/>
      <c r="H83" s="973"/>
      <c r="I83" s="920"/>
      <c r="J83" s="1018" t="s">
        <v>2693</v>
      </c>
      <c r="K83" s="978"/>
      <c r="L83" s="978"/>
      <c r="M83" s="978"/>
      <c r="N83" s="979"/>
      <c r="O83" s="978"/>
      <c r="P83" s="978"/>
      <c r="Q83" s="1019">
        <v>5</v>
      </c>
      <c r="R83" s="978" t="s">
        <v>7</v>
      </c>
      <c r="S83" s="979">
        <v>20000</v>
      </c>
      <c r="T83" s="978" t="s">
        <v>0</v>
      </c>
      <c r="U83" s="978"/>
      <c r="V83" s="978">
        <v>2</v>
      </c>
      <c r="W83" s="978" t="s">
        <v>3</v>
      </c>
      <c r="X83" s="1025" t="s">
        <v>2675</v>
      </c>
      <c r="Y83" s="706">
        <f t="shared" si="8"/>
        <v>200</v>
      </c>
      <c r="Z83" s="867">
        <f>S83*Q83*V83</f>
        <v>200000</v>
      </c>
      <c r="AA83" s="1185">
        <f t="shared" si="9"/>
        <v>0</v>
      </c>
      <c r="AB83" s="690"/>
      <c r="AC83" s="930"/>
      <c r="AD83" s="930"/>
      <c r="AE83" s="930"/>
    </row>
    <row r="84" spans="1:31" s="967" customFormat="1" ht="21" customHeight="1">
      <c r="A84" s="673"/>
      <c r="B84" s="674"/>
      <c r="C84" s="675"/>
      <c r="D84" s="674"/>
      <c r="E84" s="851" t="s">
        <v>2694</v>
      </c>
      <c r="F84" s="1509">
        <f>+Y84</f>
        <v>12600</v>
      </c>
      <c r="G84" s="1509">
        <v>12600</v>
      </c>
      <c r="H84" s="949"/>
      <c r="I84" s="920"/>
      <c r="J84" s="866" t="s">
        <v>2695</v>
      </c>
      <c r="K84" s="867"/>
      <c r="L84" s="867"/>
      <c r="M84" s="867"/>
      <c r="N84" s="868"/>
      <c r="O84" s="868"/>
      <c r="P84" s="867"/>
      <c r="Q84" s="869"/>
      <c r="R84" s="867"/>
      <c r="S84" s="867"/>
      <c r="T84" s="867"/>
      <c r="U84" s="867"/>
      <c r="V84" s="867"/>
      <c r="W84" s="867"/>
      <c r="X84" s="870"/>
      <c r="Y84" s="687">
        <f t="shared" si="8"/>
        <v>12600</v>
      </c>
      <c r="Z84" s="867">
        <f>SUM(Z85:Z87)</f>
        <v>12600000</v>
      </c>
      <c r="AA84" s="1185">
        <f t="shared" si="9"/>
        <v>12600000000</v>
      </c>
      <c r="AB84" s="690"/>
      <c r="AC84" s="930"/>
      <c r="AD84" s="930"/>
      <c r="AE84" s="930"/>
    </row>
    <row r="85" spans="1:31" s="967" customFormat="1" ht="21" customHeight="1">
      <c r="A85" s="673"/>
      <c r="B85" s="674"/>
      <c r="C85" s="675"/>
      <c r="D85" s="674"/>
      <c r="E85" s="851"/>
      <c r="F85" s="1509"/>
      <c r="G85" s="1509"/>
      <c r="H85" s="949"/>
      <c r="I85" s="920"/>
      <c r="J85" s="866" t="s">
        <v>2696</v>
      </c>
      <c r="K85" s="867"/>
      <c r="L85" s="867"/>
      <c r="M85" s="867"/>
      <c r="N85" s="868"/>
      <c r="O85" s="867"/>
      <c r="P85" s="867"/>
      <c r="Q85" s="869">
        <v>10</v>
      </c>
      <c r="R85" s="867" t="s">
        <v>25</v>
      </c>
      <c r="S85" s="868">
        <v>200000</v>
      </c>
      <c r="T85" s="867" t="s">
        <v>0</v>
      </c>
      <c r="U85" s="867"/>
      <c r="V85" s="867">
        <v>3</v>
      </c>
      <c r="W85" s="867" t="s">
        <v>3</v>
      </c>
      <c r="X85" s="870" t="s">
        <v>2675</v>
      </c>
      <c r="Y85" s="687">
        <f t="shared" si="8"/>
        <v>6000</v>
      </c>
      <c r="Z85" s="867">
        <f>S85*Q85*V85</f>
        <v>6000000</v>
      </c>
      <c r="AA85" s="1185">
        <f t="shared" si="9"/>
        <v>0</v>
      </c>
      <c r="AB85" s="690"/>
      <c r="AC85" s="930"/>
      <c r="AD85" s="930"/>
      <c r="AE85" s="930"/>
    </row>
    <row r="86" spans="1:31" s="967" customFormat="1" ht="21" customHeight="1">
      <c r="A86" s="673"/>
      <c r="B86" s="674"/>
      <c r="C86" s="675"/>
      <c r="D86" s="674"/>
      <c r="E86" s="851"/>
      <c r="F86" s="1509"/>
      <c r="G86" s="1509"/>
      <c r="H86" s="949"/>
      <c r="I86" s="920"/>
      <c r="J86" s="866" t="s">
        <v>2697</v>
      </c>
      <c r="K86" s="867"/>
      <c r="L86" s="867"/>
      <c r="M86" s="867"/>
      <c r="N86" s="868"/>
      <c r="O86" s="867"/>
      <c r="P86" s="867"/>
      <c r="Q86" s="869"/>
      <c r="R86" s="867"/>
      <c r="S86" s="868">
        <v>6000000</v>
      </c>
      <c r="T86" s="867" t="s">
        <v>0</v>
      </c>
      <c r="U86" s="867"/>
      <c r="V86" s="867">
        <v>1</v>
      </c>
      <c r="W86" s="867" t="s">
        <v>3</v>
      </c>
      <c r="X86" s="870" t="s">
        <v>2698</v>
      </c>
      <c r="Y86" s="687">
        <f t="shared" si="8"/>
        <v>6000</v>
      </c>
      <c r="Z86" s="867">
        <f>S86*V86</f>
        <v>6000000</v>
      </c>
      <c r="AA86" s="1185">
        <f t="shared" si="9"/>
        <v>0</v>
      </c>
      <c r="AB86" s="690"/>
      <c r="AC86" s="930"/>
      <c r="AD86" s="930"/>
      <c r="AE86" s="930"/>
    </row>
    <row r="87" spans="1:31" s="967" customFormat="1" ht="21" customHeight="1">
      <c r="A87" s="673"/>
      <c r="B87" s="674"/>
      <c r="C87" s="675"/>
      <c r="D87" s="674"/>
      <c r="E87" s="851"/>
      <c r="F87" s="1509"/>
      <c r="G87" s="1509"/>
      <c r="H87" s="949"/>
      <c r="I87" s="920"/>
      <c r="J87" s="866" t="s">
        <v>2699</v>
      </c>
      <c r="K87" s="867"/>
      <c r="L87" s="867"/>
      <c r="M87" s="867"/>
      <c r="N87" s="868"/>
      <c r="O87" s="867"/>
      <c r="P87" s="867"/>
      <c r="Q87" s="869">
        <v>12</v>
      </c>
      <c r="R87" s="867" t="s">
        <v>47</v>
      </c>
      <c r="S87" s="868">
        <v>25000</v>
      </c>
      <c r="T87" s="867" t="s">
        <v>0</v>
      </c>
      <c r="U87" s="867"/>
      <c r="V87" s="867">
        <v>2</v>
      </c>
      <c r="W87" s="867" t="s">
        <v>3</v>
      </c>
      <c r="X87" s="870" t="s">
        <v>2698</v>
      </c>
      <c r="Y87" s="687">
        <f t="shared" si="8"/>
        <v>600</v>
      </c>
      <c r="Z87" s="867">
        <f>S87*V87*Q87</f>
        <v>600000</v>
      </c>
      <c r="AA87" s="1185">
        <f t="shared" si="9"/>
        <v>0</v>
      </c>
      <c r="AB87" s="690"/>
      <c r="AC87" s="930"/>
      <c r="AD87" s="930"/>
      <c r="AE87" s="930"/>
    </row>
    <row r="88" spans="1:31" s="967" customFormat="1" ht="21" customHeight="1">
      <c r="A88" s="673"/>
      <c r="B88" s="674"/>
      <c r="C88" s="675"/>
      <c r="D88" s="674"/>
      <c r="E88" s="852" t="s">
        <v>2700</v>
      </c>
      <c r="F88" s="1511">
        <f>+Y88</f>
        <v>551306</v>
      </c>
      <c r="G88" s="1511">
        <v>551306</v>
      </c>
      <c r="H88" s="957"/>
      <c r="I88" s="920"/>
      <c r="J88" s="856" t="s">
        <v>2695</v>
      </c>
      <c r="K88" s="857"/>
      <c r="L88" s="857"/>
      <c r="M88" s="857"/>
      <c r="N88" s="858"/>
      <c r="O88" s="858"/>
      <c r="P88" s="857"/>
      <c r="Q88" s="859"/>
      <c r="R88" s="857"/>
      <c r="S88" s="857"/>
      <c r="T88" s="857"/>
      <c r="U88" s="857"/>
      <c r="V88" s="857"/>
      <c r="W88" s="857"/>
      <c r="X88" s="860"/>
      <c r="Y88" s="1513">
        <f t="shared" si="8"/>
        <v>551306</v>
      </c>
      <c r="Z88" s="867">
        <f>SUM(Z89:Z93)</f>
        <v>551306000</v>
      </c>
      <c r="AA88" s="1185">
        <f t="shared" si="9"/>
        <v>551306000000</v>
      </c>
      <c r="AB88" s="690"/>
      <c r="AC88" s="930"/>
      <c r="AD88" s="930"/>
      <c r="AE88" s="930"/>
    </row>
    <row r="89" spans="1:31" s="967" customFormat="1" ht="21" customHeight="1">
      <c r="A89" s="673"/>
      <c r="B89" s="674"/>
      <c r="C89" s="675"/>
      <c r="D89" s="674"/>
      <c r="E89" s="851"/>
      <c r="F89" s="1509"/>
      <c r="G89" s="1509"/>
      <c r="H89" s="949"/>
      <c r="I89" s="920"/>
      <c r="J89" s="866" t="s">
        <v>2701</v>
      </c>
      <c r="K89" s="867"/>
      <c r="L89" s="867"/>
      <c r="M89" s="867"/>
      <c r="N89" s="868"/>
      <c r="O89" s="867"/>
      <c r="P89" s="867"/>
      <c r="Q89" s="869"/>
      <c r="R89" s="867"/>
      <c r="S89" s="868">
        <v>3000000</v>
      </c>
      <c r="T89" s="867" t="s">
        <v>2702</v>
      </c>
      <c r="U89" s="867"/>
      <c r="V89" s="867">
        <v>2</v>
      </c>
      <c r="W89" s="867" t="s">
        <v>2703</v>
      </c>
      <c r="X89" s="870" t="s">
        <v>2675</v>
      </c>
      <c r="Y89" s="687">
        <f t="shared" si="8"/>
        <v>6000</v>
      </c>
      <c r="Z89" s="867">
        <f>S89*V89</f>
        <v>6000000</v>
      </c>
      <c r="AA89" s="1185">
        <f t="shared" si="9"/>
        <v>0</v>
      </c>
      <c r="AB89" s="690"/>
      <c r="AC89" s="930"/>
      <c r="AD89" s="930"/>
      <c r="AE89" s="930"/>
    </row>
    <row r="90" spans="1:31" s="967" customFormat="1" ht="21" customHeight="1">
      <c r="A90" s="673"/>
      <c r="B90" s="674"/>
      <c r="C90" s="675"/>
      <c r="D90" s="674"/>
      <c r="E90" s="851"/>
      <c r="F90" s="1509"/>
      <c r="G90" s="1509"/>
      <c r="H90" s="949"/>
      <c r="I90" s="920"/>
      <c r="J90" s="866" t="s">
        <v>2704</v>
      </c>
      <c r="K90" s="867"/>
      <c r="L90" s="867"/>
      <c r="M90" s="867"/>
      <c r="N90" s="868"/>
      <c r="O90" s="867"/>
      <c r="P90" s="867"/>
      <c r="Q90" s="869"/>
      <c r="R90" s="867"/>
      <c r="S90" s="868">
        <v>492700000</v>
      </c>
      <c r="T90" s="867" t="s">
        <v>0</v>
      </c>
      <c r="U90" s="1515"/>
      <c r="V90" s="867">
        <v>1</v>
      </c>
      <c r="W90" s="867" t="s">
        <v>2705</v>
      </c>
      <c r="X90" s="870" t="s">
        <v>2675</v>
      </c>
      <c r="Y90" s="687">
        <f>+Z90/1000</f>
        <v>492700</v>
      </c>
      <c r="Z90" s="867">
        <f>+S90*V90</f>
        <v>492700000</v>
      </c>
      <c r="AA90" s="1185">
        <f t="shared" si="9"/>
        <v>0</v>
      </c>
      <c r="AB90" s="690"/>
      <c r="AC90" s="930"/>
      <c r="AD90" s="930"/>
      <c r="AE90" s="930"/>
    </row>
    <row r="91" spans="1:31" s="967" customFormat="1" ht="21" customHeight="1">
      <c r="A91" s="673"/>
      <c r="B91" s="674"/>
      <c r="C91" s="675"/>
      <c r="D91" s="674"/>
      <c r="E91" s="851"/>
      <c r="F91" s="1509"/>
      <c r="G91" s="1509"/>
      <c r="H91" s="949"/>
      <c r="I91" s="920"/>
      <c r="J91" s="866" t="s">
        <v>2706</v>
      </c>
      <c r="K91" s="867"/>
      <c r="L91" s="867"/>
      <c r="M91" s="867"/>
      <c r="N91" s="868"/>
      <c r="O91" s="867"/>
      <c r="P91" s="867"/>
      <c r="Q91" s="869"/>
      <c r="R91" s="867"/>
      <c r="S91" s="868">
        <f>2625000+200000</f>
        <v>2825000</v>
      </c>
      <c r="T91" s="867" t="s">
        <v>0</v>
      </c>
      <c r="U91" s="1515"/>
      <c r="V91" s="867">
        <v>12</v>
      </c>
      <c r="W91" s="867" t="s">
        <v>2</v>
      </c>
      <c r="X91" s="870" t="s">
        <v>2675</v>
      </c>
      <c r="Y91" s="687">
        <f t="shared" si="8"/>
        <v>33900</v>
      </c>
      <c r="Z91" s="867">
        <f>S91*V91</f>
        <v>33900000</v>
      </c>
      <c r="AA91" s="1185">
        <f t="shared" si="9"/>
        <v>0</v>
      </c>
      <c r="AB91" s="690"/>
      <c r="AC91" s="930"/>
      <c r="AD91" s="930"/>
      <c r="AE91" s="930"/>
    </row>
    <row r="92" spans="1:31" s="967" customFormat="1" ht="21" customHeight="1">
      <c r="A92" s="673"/>
      <c r="B92" s="674"/>
      <c r="C92" s="675"/>
      <c r="D92" s="674"/>
      <c r="E92" s="851"/>
      <c r="F92" s="1509"/>
      <c r="G92" s="1509"/>
      <c r="H92" s="949"/>
      <c r="I92" s="920"/>
      <c r="J92" s="866" t="s">
        <v>2707</v>
      </c>
      <c r="K92" s="867"/>
      <c r="L92" s="867"/>
      <c r="M92" s="867"/>
      <c r="N92" s="868"/>
      <c r="O92" s="867"/>
      <c r="P92" s="867"/>
      <c r="Q92" s="869">
        <v>3495</v>
      </c>
      <c r="R92" s="867" t="s">
        <v>2708</v>
      </c>
      <c r="S92" s="868">
        <v>1000</v>
      </c>
      <c r="T92" s="867" t="s">
        <v>0</v>
      </c>
      <c r="U92" s="1515"/>
      <c r="V92" s="867">
        <v>3</v>
      </c>
      <c r="W92" s="867" t="s">
        <v>3</v>
      </c>
      <c r="X92" s="870" t="s">
        <v>2668</v>
      </c>
      <c r="Y92" s="687">
        <f t="shared" si="8"/>
        <v>10485</v>
      </c>
      <c r="Z92" s="867">
        <f>S92*V92*Q92</f>
        <v>10485000</v>
      </c>
      <c r="AA92" s="1185">
        <f t="shared" si="9"/>
        <v>0</v>
      </c>
      <c r="AB92" s="690"/>
      <c r="AC92" s="930"/>
      <c r="AD92" s="930"/>
      <c r="AE92" s="930"/>
    </row>
    <row r="93" spans="1:31" s="967" customFormat="1" ht="21" customHeight="1">
      <c r="A93" s="673"/>
      <c r="B93" s="674"/>
      <c r="C93" s="675"/>
      <c r="D93" s="674"/>
      <c r="E93" s="971"/>
      <c r="F93" s="1516"/>
      <c r="G93" s="1516"/>
      <c r="H93" s="973"/>
      <c r="I93" s="920"/>
      <c r="J93" s="1018" t="s">
        <v>2709</v>
      </c>
      <c r="K93" s="978"/>
      <c r="L93" s="978"/>
      <c r="M93" s="978"/>
      <c r="N93" s="979"/>
      <c r="O93" s="978"/>
      <c r="P93" s="978"/>
      <c r="Q93" s="1019"/>
      <c r="R93" s="978"/>
      <c r="S93" s="979">
        <f>4310500-200000</f>
        <v>4110500</v>
      </c>
      <c r="T93" s="978" t="s">
        <v>0</v>
      </c>
      <c r="U93" s="1518"/>
      <c r="V93" s="978">
        <v>2</v>
      </c>
      <c r="W93" s="978" t="s">
        <v>3</v>
      </c>
      <c r="X93" s="1025" t="s">
        <v>2668</v>
      </c>
      <c r="Y93" s="706">
        <f>S93*V93/1000</f>
        <v>8221</v>
      </c>
      <c r="Z93" s="867">
        <f>S93*V93</f>
        <v>8221000</v>
      </c>
      <c r="AA93" s="1185">
        <f t="shared" si="9"/>
        <v>0</v>
      </c>
      <c r="AB93" s="690"/>
      <c r="AC93" s="930"/>
      <c r="AD93" s="930"/>
      <c r="AE93" s="930"/>
    </row>
    <row r="94" spans="1:31" s="967" customFormat="1" ht="21" customHeight="1">
      <c r="A94" s="673"/>
      <c r="B94" s="674"/>
      <c r="C94" s="675"/>
      <c r="D94" s="674"/>
      <c r="E94" s="851" t="s">
        <v>2710</v>
      </c>
      <c r="F94" s="1509">
        <f>+Y94</f>
        <v>21030</v>
      </c>
      <c r="G94" s="1509">
        <v>21030</v>
      </c>
      <c r="H94" s="949"/>
      <c r="I94" s="920"/>
      <c r="J94" s="866" t="s">
        <v>2711</v>
      </c>
      <c r="K94" s="867"/>
      <c r="L94" s="867"/>
      <c r="M94" s="867"/>
      <c r="N94" s="868"/>
      <c r="O94" s="868"/>
      <c r="P94" s="867"/>
      <c r="Q94" s="869"/>
      <c r="R94" s="867"/>
      <c r="S94" s="867"/>
      <c r="T94" s="867"/>
      <c r="U94" s="867"/>
      <c r="V94" s="867"/>
      <c r="W94" s="867"/>
      <c r="X94" s="870"/>
      <c r="Y94" s="687">
        <f t="shared" si="8"/>
        <v>21030</v>
      </c>
      <c r="Z94" s="867">
        <f>SUM(Z95:Z97)</f>
        <v>21030000</v>
      </c>
      <c r="AA94" s="1185">
        <f t="shared" si="9"/>
        <v>21030000000</v>
      </c>
      <c r="AB94" s="690"/>
      <c r="AC94" s="930"/>
      <c r="AD94" s="930"/>
      <c r="AE94" s="930"/>
    </row>
    <row r="95" spans="1:31" s="967" customFormat="1" ht="21" customHeight="1">
      <c r="A95" s="673"/>
      <c r="B95" s="674"/>
      <c r="C95" s="675"/>
      <c r="D95" s="674"/>
      <c r="E95" s="851"/>
      <c r="F95" s="1509"/>
      <c r="G95" s="1509"/>
      <c r="H95" s="949"/>
      <c r="I95" s="920"/>
      <c r="J95" s="866" t="s">
        <v>2712</v>
      </c>
      <c r="K95" s="867"/>
      <c r="L95" s="867"/>
      <c r="M95" s="867"/>
      <c r="N95" s="868"/>
      <c r="O95" s="868"/>
      <c r="P95" s="867"/>
      <c r="Q95" s="869">
        <v>1</v>
      </c>
      <c r="R95" s="867" t="s">
        <v>2713</v>
      </c>
      <c r="S95" s="868">
        <v>765000</v>
      </c>
      <c r="T95" s="867" t="s">
        <v>0</v>
      </c>
      <c r="U95" s="867"/>
      <c r="V95" s="867">
        <v>12</v>
      </c>
      <c r="W95" s="867" t="s">
        <v>2</v>
      </c>
      <c r="X95" s="870" t="s">
        <v>2668</v>
      </c>
      <c r="Y95" s="687">
        <f t="shared" si="8"/>
        <v>9180</v>
      </c>
      <c r="Z95" s="867">
        <f>S95*V95*Q95</f>
        <v>9180000</v>
      </c>
      <c r="AA95" s="1185">
        <f t="shared" si="9"/>
        <v>0</v>
      </c>
      <c r="AB95" s="690"/>
      <c r="AC95" s="930"/>
      <c r="AD95" s="930"/>
      <c r="AE95" s="930"/>
    </row>
    <row r="96" spans="1:31" s="967" customFormat="1" ht="21" customHeight="1">
      <c r="A96" s="673"/>
      <c r="B96" s="674"/>
      <c r="C96" s="675"/>
      <c r="D96" s="674"/>
      <c r="E96" s="851"/>
      <c r="F96" s="1509"/>
      <c r="G96" s="1509"/>
      <c r="H96" s="949"/>
      <c r="I96" s="920"/>
      <c r="J96" s="866" t="s">
        <v>2714</v>
      </c>
      <c r="K96" s="867"/>
      <c r="L96" s="867"/>
      <c r="M96" s="867"/>
      <c r="N96" s="868"/>
      <c r="O96" s="868"/>
      <c r="P96" s="867"/>
      <c r="Q96" s="869"/>
      <c r="R96" s="867"/>
      <c r="S96" s="868">
        <v>550000</v>
      </c>
      <c r="T96" s="867" t="s">
        <v>0</v>
      </c>
      <c r="U96" s="867"/>
      <c r="V96" s="867">
        <v>12</v>
      </c>
      <c r="W96" s="867" t="s">
        <v>2</v>
      </c>
      <c r="X96" s="870" t="s">
        <v>2668</v>
      </c>
      <c r="Y96" s="687">
        <f t="shared" si="8"/>
        <v>6600</v>
      </c>
      <c r="Z96" s="867">
        <f>S96*V96</f>
        <v>6600000</v>
      </c>
      <c r="AA96" s="1185">
        <f t="shared" si="9"/>
        <v>0</v>
      </c>
      <c r="AB96" s="690"/>
      <c r="AC96" s="930"/>
      <c r="AD96" s="930"/>
      <c r="AE96" s="930"/>
    </row>
    <row r="97" spans="1:31" s="967" customFormat="1" ht="21" customHeight="1">
      <c r="A97" s="673"/>
      <c r="B97" s="674"/>
      <c r="C97" s="675"/>
      <c r="D97" s="674"/>
      <c r="E97" s="971"/>
      <c r="F97" s="1516"/>
      <c r="G97" s="1516"/>
      <c r="H97" s="973"/>
      <c r="I97" s="920"/>
      <c r="J97" s="1018" t="s">
        <v>2715</v>
      </c>
      <c r="K97" s="978"/>
      <c r="L97" s="978"/>
      <c r="M97" s="978"/>
      <c r="N97" s="979"/>
      <c r="O97" s="979"/>
      <c r="P97" s="978"/>
      <c r="Q97" s="1019">
        <v>5</v>
      </c>
      <c r="R97" s="978" t="s">
        <v>2716</v>
      </c>
      <c r="S97" s="979">
        <v>210000</v>
      </c>
      <c r="T97" s="978" t="s">
        <v>0</v>
      </c>
      <c r="U97" s="978"/>
      <c r="V97" s="978">
        <v>5</v>
      </c>
      <c r="W97" s="978" t="s">
        <v>3</v>
      </c>
      <c r="X97" s="1025" t="s">
        <v>2668</v>
      </c>
      <c r="Y97" s="706">
        <f t="shared" si="8"/>
        <v>5250</v>
      </c>
      <c r="Z97" s="867">
        <f>Q97*S97*V97</f>
        <v>5250000</v>
      </c>
      <c r="AA97" s="1185">
        <f t="shared" si="9"/>
        <v>0</v>
      </c>
      <c r="AB97" s="690"/>
      <c r="AC97" s="930"/>
      <c r="AD97" s="930"/>
      <c r="AE97" s="930"/>
    </row>
    <row r="98" spans="1:31" s="967" customFormat="1" ht="21" customHeight="1">
      <c r="A98" s="673"/>
      <c r="B98" s="674"/>
      <c r="C98" s="675"/>
      <c r="D98" s="674"/>
      <c r="E98" s="852" t="s">
        <v>2717</v>
      </c>
      <c r="F98" s="1509">
        <f>+Y98</f>
        <v>13999.999999999993</v>
      </c>
      <c r="G98" s="1511">
        <v>13999.999999999993</v>
      </c>
      <c r="H98" s="957"/>
      <c r="I98" s="920"/>
      <c r="J98" s="866" t="s">
        <v>2711</v>
      </c>
      <c r="K98" s="867"/>
      <c r="L98" s="867"/>
      <c r="M98" s="867"/>
      <c r="N98" s="868"/>
      <c r="O98" s="868"/>
      <c r="P98" s="867"/>
      <c r="Q98" s="869"/>
      <c r="R98" s="867"/>
      <c r="S98" s="867"/>
      <c r="T98" s="867"/>
      <c r="U98" s="867"/>
      <c r="V98" s="867"/>
      <c r="W98" s="867"/>
      <c r="X98" s="870"/>
      <c r="Y98" s="687">
        <f t="shared" si="8"/>
        <v>13999.999999999993</v>
      </c>
      <c r="Z98" s="867">
        <f>SUM(Z99:Z100)</f>
        <v>13999999.999999993</v>
      </c>
      <c r="AA98" s="1185">
        <f t="shared" si="9"/>
        <v>13999999999.999992</v>
      </c>
      <c r="AB98" s="690"/>
      <c r="AC98" s="930"/>
      <c r="AD98" s="930"/>
      <c r="AE98" s="930"/>
    </row>
    <row r="99" spans="1:31" s="967" customFormat="1" ht="21" customHeight="1">
      <c r="A99" s="673"/>
      <c r="B99" s="674"/>
      <c r="C99" s="675"/>
      <c r="D99" s="674"/>
      <c r="E99" s="851"/>
      <c r="F99" s="1509"/>
      <c r="G99" s="1509"/>
      <c r="H99" s="949"/>
      <c r="I99" s="920"/>
      <c r="J99" s="866" t="s">
        <v>2718</v>
      </c>
      <c r="K99" s="867"/>
      <c r="L99" s="867"/>
      <c r="M99" s="867"/>
      <c r="N99" s="868"/>
      <c r="O99" s="867"/>
      <c r="P99" s="867"/>
      <c r="Q99" s="869">
        <v>1</v>
      </c>
      <c r="R99" s="867" t="s">
        <v>25</v>
      </c>
      <c r="S99" s="868">
        <v>591666.66666666605</v>
      </c>
      <c r="T99" s="867" t="s">
        <v>0</v>
      </c>
      <c r="U99" s="867"/>
      <c r="V99" s="867">
        <v>12</v>
      </c>
      <c r="W99" s="867" t="s">
        <v>2</v>
      </c>
      <c r="X99" s="870" t="s">
        <v>2668</v>
      </c>
      <c r="Y99" s="687">
        <f t="shared" si="8"/>
        <v>7099.9999999999927</v>
      </c>
      <c r="Z99" s="867">
        <f>S99*Q99*V99</f>
        <v>7099999.9999999925</v>
      </c>
      <c r="AA99" s="1185">
        <f t="shared" si="9"/>
        <v>0</v>
      </c>
      <c r="AB99" s="690"/>
      <c r="AC99" s="930"/>
      <c r="AD99" s="930"/>
      <c r="AE99" s="930"/>
    </row>
    <row r="100" spans="1:31" s="967" customFormat="1" ht="21" customHeight="1">
      <c r="A100" s="673"/>
      <c r="B100" s="674"/>
      <c r="C100" s="675"/>
      <c r="D100" s="674"/>
      <c r="E100" s="851"/>
      <c r="F100" s="1516"/>
      <c r="G100" s="1509"/>
      <c r="H100" s="949"/>
      <c r="I100" s="920"/>
      <c r="J100" s="866" t="s">
        <v>2719</v>
      </c>
      <c r="K100" s="867"/>
      <c r="L100" s="867"/>
      <c r="M100" s="867"/>
      <c r="N100" s="868"/>
      <c r="O100" s="867"/>
      <c r="P100" s="867"/>
      <c r="Q100" s="869">
        <v>2</v>
      </c>
      <c r="R100" s="867" t="s">
        <v>25</v>
      </c>
      <c r="S100" s="868">
        <v>287500</v>
      </c>
      <c r="T100" s="867" t="s">
        <v>0</v>
      </c>
      <c r="U100" s="867"/>
      <c r="V100" s="867">
        <v>12</v>
      </c>
      <c r="W100" s="867" t="s">
        <v>2</v>
      </c>
      <c r="X100" s="870" t="s">
        <v>2668</v>
      </c>
      <c r="Y100" s="687">
        <f t="shared" si="8"/>
        <v>6900</v>
      </c>
      <c r="Z100" s="867">
        <f>S100*Q100*V100</f>
        <v>6900000</v>
      </c>
      <c r="AA100" s="1185">
        <f t="shared" si="9"/>
        <v>0</v>
      </c>
      <c r="AB100" s="690"/>
      <c r="AC100" s="930"/>
      <c r="AD100" s="930"/>
      <c r="AE100" s="930"/>
    </row>
    <row r="101" spans="1:31" s="967" customFormat="1" ht="21" customHeight="1">
      <c r="A101" s="673"/>
      <c r="B101" s="674"/>
      <c r="C101" s="675"/>
      <c r="D101" s="674"/>
      <c r="E101" s="852" t="s">
        <v>2720</v>
      </c>
      <c r="F101" s="1509">
        <f>+Y101</f>
        <v>21864</v>
      </c>
      <c r="G101" s="1511">
        <v>21864</v>
      </c>
      <c r="H101" s="957"/>
      <c r="I101" s="920"/>
      <c r="J101" s="856" t="s">
        <v>2711</v>
      </c>
      <c r="K101" s="857"/>
      <c r="L101" s="857"/>
      <c r="M101" s="857"/>
      <c r="N101" s="858"/>
      <c r="O101" s="857"/>
      <c r="P101" s="857"/>
      <c r="Q101" s="859"/>
      <c r="R101" s="857"/>
      <c r="S101" s="858"/>
      <c r="T101" s="857"/>
      <c r="U101" s="857"/>
      <c r="V101" s="857"/>
      <c r="W101" s="857"/>
      <c r="X101" s="860"/>
      <c r="Y101" s="1513">
        <f t="shared" si="8"/>
        <v>21864</v>
      </c>
      <c r="Z101" s="867">
        <f>SUM(Z102:Z105)</f>
        <v>21864000</v>
      </c>
      <c r="AA101" s="1185">
        <f t="shared" si="9"/>
        <v>21864000000</v>
      </c>
      <c r="AB101" s="690"/>
      <c r="AC101" s="930"/>
      <c r="AD101" s="930"/>
      <c r="AE101" s="930"/>
    </row>
    <row r="102" spans="1:31" s="967" customFormat="1" ht="21" customHeight="1">
      <c r="A102" s="673"/>
      <c r="B102" s="674"/>
      <c r="C102" s="675"/>
      <c r="D102" s="674"/>
      <c r="E102" s="1528"/>
      <c r="F102" s="1509"/>
      <c r="G102" s="1509"/>
      <c r="H102" s="949"/>
      <c r="I102" s="920"/>
      <c r="J102" s="866" t="s">
        <v>2721</v>
      </c>
      <c r="K102" s="867"/>
      <c r="L102" s="867"/>
      <c r="M102" s="867"/>
      <c r="N102" s="868"/>
      <c r="O102" s="867"/>
      <c r="P102" s="867"/>
      <c r="Q102" s="869"/>
      <c r="R102" s="867"/>
      <c r="S102" s="868">
        <v>180000</v>
      </c>
      <c r="T102" s="867" t="s">
        <v>0</v>
      </c>
      <c r="U102" s="867"/>
      <c r="V102" s="869">
        <v>12</v>
      </c>
      <c r="W102" s="867" t="s">
        <v>2</v>
      </c>
      <c r="X102" s="870" t="s">
        <v>2668</v>
      </c>
      <c r="Y102" s="687">
        <f t="shared" si="8"/>
        <v>2160</v>
      </c>
      <c r="Z102" s="867">
        <f>ROUNDUP(S102*V102,-3)</f>
        <v>2160000</v>
      </c>
      <c r="AA102" s="1185">
        <f t="shared" si="9"/>
        <v>0</v>
      </c>
      <c r="AB102" s="690"/>
      <c r="AC102" s="930"/>
      <c r="AD102" s="930"/>
      <c r="AE102" s="930"/>
    </row>
    <row r="103" spans="1:31" s="967" customFormat="1" ht="21" customHeight="1">
      <c r="A103" s="673"/>
      <c r="B103" s="674"/>
      <c r="C103" s="675"/>
      <c r="D103" s="674"/>
      <c r="E103" s="851"/>
      <c r="F103" s="1509"/>
      <c r="G103" s="1509"/>
      <c r="H103" s="949"/>
      <c r="I103" s="920"/>
      <c r="J103" s="866" t="s">
        <v>2722</v>
      </c>
      <c r="K103" s="867"/>
      <c r="L103" s="867"/>
      <c r="M103" s="867"/>
      <c r="N103" s="868"/>
      <c r="O103" s="867"/>
      <c r="P103" s="867"/>
      <c r="Q103" s="869">
        <v>5</v>
      </c>
      <c r="R103" s="867" t="s">
        <v>32</v>
      </c>
      <c r="S103" s="868">
        <v>140000</v>
      </c>
      <c r="T103" s="867" t="s">
        <v>0</v>
      </c>
      <c r="U103" s="867"/>
      <c r="V103" s="867">
        <v>12</v>
      </c>
      <c r="W103" s="867" t="s">
        <v>2</v>
      </c>
      <c r="X103" s="870" t="s">
        <v>2668</v>
      </c>
      <c r="Y103" s="687">
        <f t="shared" si="8"/>
        <v>8400</v>
      </c>
      <c r="Z103" s="867">
        <f>+Q103*S103*V103</f>
        <v>8400000</v>
      </c>
      <c r="AA103" s="1185">
        <f t="shared" si="9"/>
        <v>0</v>
      </c>
      <c r="AB103" s="690"/>
      <c r="AC103" s="930"/>
      <c r="AD103" s="930"/>
      <c r="AE103" s="930"/>
    </row>
    <row r="104" spans="1:31" s="967" customFormat="1" ht="21" customHeight="1">
      <c r="A104" s="673"/>
      <c r="B104" s="674"/>
      <c r="C104" s="675"/>
      <c r="D104" s="674"/>
      <c r="E104" s="851"/>
      <c r="F104" s="1509"/>
      <c r="G104" s="1509"/>
      <c r="H104" s="949"/>
      <c r="I104" s="920"/>
      <c r="J104" s="866" t="s">
        <v>2723</v>
      </c>
      <c r="K104" s="867"/>
      <c r="L104" s="867"/>
      <c r="M104" s="867"/>
      <c r="N104" s="868"/>
      <c r="O104" s="867"/>
      <c r="P104" s="867"/>
      <c r="Q104" s="869">
        <v>1</v>
      </c>
      <c r="R104" s="867" t="s">
        <v>41</v>
      </c>
      <c r="S104" s="868">
        <v>900000</v>
      </c>
      <c r="T104" s="867" t="s">
        <v>0</v>
      </c>
      <c r="U104" s="867"/>
      <c r="V104" s="869">
        <v>12</v>
      </c>
      <c r="W104" s="867" t="s">
        <v>2</v>
      </c>
      <c r="X104" s="870" t="s">
        <v>2668</v>
      </c>
      <c r="Y104" s="687">
        <f t="shared" si="8"/>
        <v>10800</v>
      </c>
      <c r="Z104" s="867">
        <f>+Q104*S104*V104</f>
        <v>10800000</v>
      </c>
      <c r="AA104" s="1185">
        <f t="shared" si="9"/>
        <v>0</v>
      </c>
      <c r="AB104" s="690"/>
      <c r="AC104" s="930"/>
      <c r="AD104" s="930"/>
      <c r="AE104" s="930"/>
    </row>
    <row r="105" spans="1:31" s="967" customFormat="1" ht="21" customHeight="1">
      <c r="A105" s="673"/>
      <c r="B105" s="674"/>
      <c r="C105" s="675"/>
      <c r="D105" s="674"/>
      <c r="E105" s="971"/>
      <c r="F105" s="1516"/>
      <c r="G105" s="1516"/>
      <c r="H105" s="973"/>
      <c r="I105" s="920"/>
      <c r="J105" s="1018" t="s">
        <v>2724</v>
      </c>
      <c r="K105" s="978"/>
      <c r="L105" s="978"/>
      <c r="M105" s="978"/>
      <c r="N105" s="979"/>
      <c r="O105" s="978"/>
      <c r="P105" s="978"/>
      <c r="Q105" s="1019">
        <v>1</v>
      </c>
      <c r="R105" s="978" t="s">
        <v>32</v>
      </c>
      <c r="S105" s="979">
        <v>42000</v>
      </c>
      <c r="T105" s="978" t="s">
        <v>0</v>
      </c>
      <c r="U105" s="978"/>
      <c r="V105" s="978">
        <v>12</v>
      </c>
      <c r="W105" s="978" t="s">
        <v>2</v>
      </c>
      <c r="X105" s="1025" t="s">
        <v>2668</v>
      </c>
      <c r="Y105" s="706">
        <f t="shared" si="8"/>
        <v>504</v>
      </c>
      <c r="Z105" s="867">
        <f>+Q105*S105*V105</f>
        <v>504000</v>
      </c>
      <c r="AA105" s="1185">
        <f t="shared" si="9"/>
        <v>0</v>
      </c>
      <c r="AB105" s="690"/>
      <c r="AC105" s="930"/>
      <c r="AD105" s="930"/>
      <c r="AE105" s="930"/>
    </row>
    <row r="106" spans="1:31" s="967" customFormat="1" ht="21" customHeight="1">
      <c r="A106" s="673"/>
      <c r="B106" s="674"/>
      <c r="C106" s="675"/>
      <c r="D106" s="674"/>
      <c r="E106" s="852" t="s">
        <v>2725</v>
      </c>
      <c r="F106" s="1511">
        <f>+Y106</f>
        <v>1600</v>
      </c>
      <c r="G106" s="1511">
        <v>1600</v>
      </c>
      <c r="H106" s="957"/>
      <c r="I106" s="920"/>
      <c r="J106" s="866" t="s">
        <v>2726</v>
      </c>
      <c r="K106" s="867"/>
      <c r="L106" s="867"/>
      <c r="M106" s="867"/>
      <c r="N106" s="868"/>
      <c r="O106" s="868"/>
      <c r="P106" s="867"/>
      <c r="Q106" s="869">
        <v>8</v>
      </c>
      <c r="R106" s="867" t="s">
        <v>31</v>
      </c>
      <c r="S106" s="868">
        <v>20000</v>
      </c>
      <c r="T106" s="867" t="s">
        <v>0</v>
      </c>
      <c r="U106" s="867"/>
      <c r="V106" s="867">
        <v>10</v>
      </c>
      <c r="W106" s="867" t="s">
        <v>28</v>
      </c>
      <c r="X106" s="870" t="s">
        <v>2668</v>
      </c>
      <c r="Y106" s="687">
        <f>+Z106/1000</f>
        <v>1600</v>
      </c>
      <c r="Z106" s="867">
        <f>+Q106*S106*V106</f>
        <v>1600000</v>
      </c>
      <c r="AA106" s="1185">
        <f t="shared" si="9"/>
        <v>1600000000</v>
      </c>
      <c r="AB106" s="690"/>
      <c r="AC106" s="930"/>
      <c r="AD106" s="930"/>
      <c r="AE106" s="930"/>
    </row>
    <row r="107" spans="1:31" s="967" customFormat="1" ht="21" customHeight="1">
      <c r="A107" s="673"/>
      <c r="B107" s="674"/>
      <c r="C107" s="675"/>
      <c r="D107" s="3955" t="s">
        <v>2727</v>
      </c>
      <c r="E107" s="3883"/>
      <c r="F107" s="1507">
        <f>SUM(F108)</f>
        <v>2000</v>
      </c>
      <c r="G107" s="1507">
        <v>2000</v>
      </c>
      <c r="H107" s="933">
        <f>F107-G107</f>
        <v>0</v>
      </c>
      <c r="I107" s="920"/>
      <c r="J107" s="1233"/>
      <c r="K107" s="1973"/>
      <c r="L107" s="1973"/>
      <c r="M107" s="1973"/>
      <c r="N107" s="1973"/>
      <c r="O107" s="1973"/>
      <c r="P107" s="1033"/>
      <c r="Q107" s="1973"/>
      <c r="R107" s="1033"/>
      <c r="S107" s="1973"/>
      <c r="T107" s="1033"/>
      <c r="U107" s="1973"/>
      <c r="V107" s="1033"/>
      <c r="W107" s="1973"/>
      <c r="X107" s="1973"/>
      <c r="Y107" s="940"/>
      <c r="Z107" s="736">
        <f>+Z108</f>
        <v>2000000</v>
      </c>
      <c r="AA107" s="1185">
        <f t="shared" si="9"/>
        <v>2000000000</v>
      </c>
      <c r="AB107" s="690"/>
      <c r="AC107" s="930"/>
      <c r="AD107" s="930"/>
      <c r="AE107" s="930"/>
    </row>
    <row r="108" spans="1:31" s="967" customFormat="1" ht="21" customHeight="1" thickBot="1">
      <c r="A108" s="673"/>
      <c r="B108" s="674"/>
      <c r="C108" s="675"/>
      <c r="D108" s="1034"/>
      <c r="E108" s="1034" t="s">
        <v>2728</v>
      </c>
      <c r="F108" s="1509">
        <f>+Y108</f>
        <v>2000</v>
      </c>
      <c r="G108" s="1198">
        <v>2000</v>
      </c>
      <c r="H108" s="942"/>
      <c r="I108" s="920"/>
      <c r="J108" s="681" t="s">
        <v>2729</v>
      </c>
      <c r="K108" s="682"/>
      <c r="L108" s="682"/>
      <c r="M108" s="682"/>
      <c r="N108" s="709"/>
      <c r="O108" s="709"/>
      <c r="P108" s="709"/>
      <c r="Q108" s="869"/>
      <c r="R108" s="867"/>
      <c r="S108" s="868">
        <v>2000000</v>
      </c>
      <c r="T108" s="867" t="s">
        <v>2730</v>
      </c>
      <c r="U108" s="867"/>
      <c r="V108" s="867">
        <v>1</v>
      </c>
      <c r="W108" s="867" t="s">
        <v>2731</v>
      </c>
      <c r="X108" s="870" t="s">
        <v>2668</v>
      </c>
      <c r="Y108" s="687">
        <f>+Z108/1000</f>
        <v>2000</v>
      </c>
      <c r="Z108" s="867">
        <f>S108*V108</f>
        <v>2000000</v>
      </c>
      <c r="AA108" s="1185">
        <f t="shared" si="9"/>
        <v>2000000000</v>
      </c>
      <c r="AB108" s="690"/>
      <c r="AC108" s="930"/>
      <c r="AD108" s="930"/>
      <c r="AE108" s="930"/>
    </row>
    <row r="109" spans="1:31" ht="21" customHeight="1" thickBot="1">
      <c r="A109" s="1431" t="s">
        <v>2732</v>
      </c>
      <c r="B109" s="1432"/>
      <c r="C109" s="4019" t="s">
        <v>2733</v>
      </c>
      <c r="D109" s="4020"/>
      <c r="E109" s="4021"/>
      <c r="F109" s="1499">
        <f>+F110+F126+F198+F262+F275+F317+F326</f>
        <v>997000</v>
      </c>
      <c r="G109" s="1499">
        <v>997000</v>
      </c>
      <c r="H109" s="1392">
        <f t="shared" ref="H109:H111" si="10">F109-G109</f>
        <v>0</v>
      </c>
      <c r="I109" s="920"/>
      <c r="J109" s="1500"/>
      <c r="K109" s="1434"/>
      <c r="L109" s="1434"/>
      <c r="M109" s="1434"/>
      <c r="N109" s="1434"/>
      <c r="O109" s="1434"/>
      <c r="P109" s="1434"/>
      <c r="Q109" s="1435"/>
      <c r="R109" s="1434"/>
      <c r="S109" s="1434"/>
      <c r="T109" s="1434"/>
      <c r="U109" s="1434"/>
      <c r="V109" s="1434"/>
      <c r="W109" s="1434"/>
      <c r="X109" s="1955"/>
      <c r="Y109" s="1438"/>
      <c r="Z109" s="1673"/>
      <c r="AA109" s="1185">
        <f t="shared" si="9"/>
        <v>997000000000</v>
      </c>
      <c r="AB109" s="690"/>
    </row>
    <row r="110" spans="1:31" ht="21" customHeight="1">
      <c r="A110" s="673"/>
      <c r="B110" s="674"/>
      <c r="C110" s="1960" t="s">
        <v>2734</v>
      </c>
      <c r="D110" s="1975"/>
      <c r="E110" s="1961"/>
      <c r="F110" s="697">
        <f>+F111</f>
        <v>30000</v>
      </c>
      <c r="G110" s="2040">
        <f>+G111</f>
        <v>30000</v>
      </c>
      <c r="H110" s="1208">
        <f t="shared" si="10"/>
        <v>0</v>
      </c>
      <c r="I110" s="920"/>
      <c r="J110" s="1115"/>
      <c r="K110" s="1231"/>
      <c r="L110" s="1231"/>
      <c r="M110" s="1231"/>
      <c r="N110" s="1231"/>
      <c r="O110" s="1231"/>
      <c r="P110" s="1231"/>
      <c r="Q110" s="1232"/>
      <c r="R110" s="1231"/>
      <c r="S110" s="1231"/>
      <c r="T110" s="1231"/>
      <c r="U110" s="1231"/>
      <c r="V110" s="1231"/>
      <c r="W110" s="1231"/>
      <c r="X110" s="1976"/>
      <c r="Y110" s="737"/>
      <c r="Z110" s="736">
        <f>AB110</f>
        <v>0</v>
      </c>
      <c r="AA110" s="1185">
        <f t="shared" si="9"/>
        <v>30000000000</v>
      </c>
      <c r="AB110" s="690"/>
    </row>
    <row r="111" spans="1:31" ht="21" customHeight="1">
      <c r="A111" s="673"/>
      <c r="B111" s="674"/>
      <c r="C111" s="675"/>
      <c r="D111" s="3996" t="s">
        <v>2735</v>
      </c>
      <c r="E111" s="3997"/>
      <c r="F111" s="1529">
        <f>SUM(F112:F125)</f>
        <v>30000</v>
      </c>
      <c r="G111" s="1529">
        <f>SUM(G112:G125)</f>
        <v>30000</v>
      </c>
      <c r="H111" s="1208">
        <f t="shared" si="10"/>
        <v>0</v>
      </c>
      <c r="I111" s="2060"/>
      <c r="J111" s="1074"/>
      <c r="K111" s="2094"/>
      <c r="L111" s="2094"/>
      <c r="M111" s="2094"/>
      <c r="N111" s="2094"/>
      <c r="O111" s="2094"/>
      <c r="P111" s="1075"/>
      <c r="Q111" s="2094"/>
      <c r="R111" s="1259"/>
      <c r="S111" s="1075"/>
      <c r="T111" s="2094"/>
      <c r="U111" s="2094"/>
      <c r="V111" s="1075"/>
      <c r="W111" s="2094"/>
      <c r="X111" s="1260"/>
      <c r="Y111" s="940"/>
      <c r="Z111" s="2066">
        <f>AB111</f>
        <v>0</v>
      </c>
      <c r="AA111" s="1185">
        <f t="shared" si="9"/>
        <v>30000000000</v>
      </c>
      <c r="AB111" s="690"/>
    </row>
    <row r="112" spans="1:31" ht="21" customHeight="1">
      <c r="A112" s="673"/>
      <c r="B112" s="674"/>
      <c r="C112" s="675"/>
      <c r="D112" s="1530"/>
      <c r="E112" s="677" t="s">
        <v>57</v>
      </c>
      <c r="F112" s="678">
        <f>+Y112</f>
        <v>5000</v>
      </c>
      <c r="G112" s="679">
        <v>5000</v>
      </c>
      <c r="H112" s="949"/>
      <c r="I112" s="2060"/>
      <c r="J112" s="681" t="s">
        <v>2736</v>
      </c>
      <c r="K112" s="682"/>
      <c r="L112" s="682"/>
      <c r="M112" s="682"/>
      <c r="N112" s="682"/>
      <c r="O112" s="682"/>
      <c r="P112" s="683"/>
      <c r="Q112" s="684"/>
      <c r="R112" s="685"/>
      <c r="S112" s="684">
        <v>5000000</v>
      </c>
      <c r="T112" s="684" t="s">
        <v>0</v>
      </c>
      <c r="U112" s="683"/>
      <c r="V112" s="684">
        <v>1</v>
      </c>
      <c r="W112" s="684" t="s">
        <v>2737</v>
      </c>
      <c r="X112" s="686" t="s">
        <v>2668</v>
      </c>
      <c r="Y112" s="687">
        <f t="shared" ref="Y112:Y125" si="11">+Z112/1000</f>
        <v>5000</v>
      </c>
      <c r="Z112" s="736">
        <f>+S112*V112</f>
        <v>5000000</v>
      </c>
      <c r="AA112" s="1185">
        <f t="shared" si="9"/>
        <v>5000000000</v>
      </c>
      <c r="AB112" s="690"/>
    </row>
    <row r="113" spans="1:28" ht="21" customHeight="1">
      <c r="A113" s="673"/>
      <c r="B113" s="674"/>
      <c r="C113" s="675"/>
      <c r="D113" s="1530"/>
      <c r="E113" s="677" t="s">
        <v>80</v>
      </c>
      <c r="F113" s="678">
        <f>+Y113</f>
        <v>500</v>
      </c>
      <c r="G113" s="679">
        <v>500</v>
      </c>
      <c r="H113" s="949"/>
      <c r="I113" s="2060"/>
      <c r="J113" s="681" t="s">
        <v>2738</v>
      </c>
      <c r="K113" s="682"/>
      <c r="L113" s="682"/>
      <c r="M113" s="682"/>
      <c r="N113" s="682"/>
      <c r="O113" s="682"/>
      <c r="P113" s="683"/>
      <c r="Q113" s="684"/>
      <c r="R113" s="685"/>
      <c r="S113" s="684">
        <v>250000</v>
      </c>
      <c r="T113" s="684" t="s">
        <v>0</v>
      </c>
      <c r="U113" s="683"/>
      <c r="V113" s="684">
        <v>2</v>
      </c>
      <c r="W113" s="684" t="s">
        <v>3</v>
      </c>
      <c r="X113" s="686" t="s">
        <v>2668</v>
      </c>
      <c r="Y113" s="687">
        <f t="shared" si="11"/>
        <v>500</v>
      </c>
      <c r="Z113" s="736">
        <f>+S113*V113</f>
        <v>500000</v>
      </c>
      <c r="AA113" s="1185">
        <f t="shared" si="9"/>
        <v>500000000</v>
      </c>
      <c r="AB113" s="690"/>
    </row>
    <row r="114" spans="1:28" ht="21" customHeight="1">
      <c r="A114" s="673"/>
      <c r="B114" s="674"/>
      <c r="C114" s="675"/>
      <c r="D114" s="1530"/>
      <c r="E114" s="677" t="s">
        <v>95</v>
      </c>
      <c r="F114" s="1078">
        <f>+Y114</f>
        <v>400</v>
      </c>
      <c r="G114" s="679">
        <v>400</v>
      </c>
      <c r="H114" s="949"/>
      <c r="I114" s="2060"/>
      <c r="J114" s="681" t="s">
        <v>2739</v>
      </c>
      <c r="K114" s="682"/>
      <c r="L114" s="682"/>
      <c r="M114" s="682"/>
      <c r="N114" s="682"/>
      <c r="O114" s="682"/>
      <c r="P114" s="683"/>
      <c r="Q114" s="684">
        <v>2</v>
      </c>
      <c r="R114" s="685" t="s">
        <v>2740</v>
      </c>
      <c r="S114" s="684">
        <v>40000</v>
      </c>
      <c r="T114" s="684" t="s">
        <v>0</v>
      </c>
      <c r="U114" s="683"/>
      <c r="V114" s="684">
        <v>5</v>
      </c>
      <c r="W114" s="684" t="s">
        <v>3</v>
      </c>
      <c r="X114" s="686" t="s">
        <v>2668</v>
      </c>
      <c r="Y114" s="687">
        <f t="shared" si="11"/>
        <v>400</v>
      </c>
      <c r="Z114" s="736">
        <f>+Q114*S114*V114</f>
        <v>400000</v>
      </c>
      <c r="AA114" s="1185">
        <f t="shared" si="9"/>
        <v>400000000</v>
      </c>
      <c r="AB114" s="690"/>
    </row>
    <row r="115" spans="1:28" ht="21" customHeight="1">
      <c r="A115" s="673"/>
      <c r="B115" s="674"/>
      <c r="C115" s="675"/>
      <c r="D115" s="676"/>
      <c r="E115" s="677" t="s">
        <v>58</v>
      </c>
      <c r="F115" s="678">
        <f>+Y115</f>
        <v>20700</v>
      </c>
      <c r="G115" s="679">
        <v>20700</v>
      </c>
      <c r="H115" s="949"/>
      <c r="I115" s="2060"/>
      <c r="J115" s="681" t="s">
        <v>8</v>
      </c>
      <c r="K115" s="682"/>
      <c r="L115" s="682"/>
      <c r="M115" s="682"/>
      <c r="N115" s="682"/>
      <c r="O115" s="682"/>
      <c r="P115" s="683"/>
      <c r="Q115" s="683"/>
      <c r="R115" s="684"/>
      <c r="S115" s="685"/>
      <c r="T115" s="684"/>
      <c r="U115" s="684"/>
      <c r="V115" s="684"/>
      <c r="W115" s="684"/>
      <c r="X115" s="686"/>
      <c r="Y115" s="687">
        <f t="shared" si="11"/>
        <v>20700</v>
      </c>
      <c r="Z115" s="736">
        <f>SUM(Z116:Z119)</f>
        <v>20700000</v>
      </c>
      <c r="AA115" s="1185">
        <f t="shared" si="9"/>
        <v>20700000000</v>
      </c>
      <c r="AB115" s="690"/>
    </row>
    <row r="116" spans="1:28" ht="21" customHeight="1">
      <c r="A116" s="673"/>
      <c r="B116" s="674"/>
      <c r="C116" s="675"/>
      <c r="D116" s="676"/>
      <c r="E116" s="677"/>
      <c r="F116" s="678"/>
      <c r="G116" s="679"/>
      <c r="H116" s="680"/>
      <c r="I116" s="2060"/>
      <c r="J116" s="681" t="s">
        <v>2741</v>
      </c>
      <c r="K116" s="682"/>
      <c r="L116" s="682"/>
      <c r="M116" s="682"/>
      <c r="N116" s="682"/>
      <c r="O116" s="682"/>
      <c r="P116" s="683"/>
      <c r="Q116" s="684">
        <v>5</v>
      </c>
      <c r="R116" s="685" t="s">
        <v>25</v>
      </c>
      <c r="S116" s="684">
        <v>400000</v>
      </c>
      <c r="T116" s="684" t="s">
        <v>0</v>
      </c>
      <c r="U116" s="683"/>
      <c r="V116" s="684">
        <v>1</v>
      </c>
      <c r="W116" s="867" t="s">
        <v>3</v>
      </c>
      <c r="X116" s="686" t="s">
        <v>2668</v>
      </c>
      <c r="Y116" s="687">
        <f t="shared" si="11"/>
        <v>2000</v>
      </c>
      <c r="Z116" s="736">
        <f>S116*V116*Q116</f>
        <v>2000000</v>
      </c>
      <c r="AA116" s="1185">
        <f t="shared" si="9"/>
        <v>0</v>
      </c>
      <c r="AB116" s="690"/>
    </row>
    <row r="117" spans="1:28" ht="21" customHeight="1">
      <c r="A117" s="673"/>
      <c r="B117" s="674"/>
      <c r="C117" s="675"/>
      <c r="D117" s="676"/>
      <c r="E117" s="677"/>
      <c r="F117" s="678"/>
      <c r="G117" s="679"/>
      <c r="H117" s="680"/>
      <c r="I117" s="2060"/>
      <c r="J117" s="681" t="s">
        <v>2742</v>
      </c>
      <c r="K117" s="682"/>
      <c r="L117" s="682"/>
      <c r="M117" s="682"/>
      <c r="N117" s="682"/>
      <c r="O117" s="682"/>
      <c r="P117" s="683"/>
      <c r="Q117" s="684">
        <v>4</v>
      </c>
      <c r="R117" s="685" t="s">
        <v>25</v>
      </c>
      <c r="S117" s="684">
        <v>200000</v>
      </c>
      <c r="T117" s="684" t="s">
        <v>0</v>
      </c>
      <c r="U117" s="683"/>
      <c r="V117" s="684">
        <v>3</v>
      </c>
      <c r="W117" s="867" t="s">
        <v>3</v>
      </c>
      <c r="X117" s="686" t="s">
        <v>2668</v>
      </c>
      <c r="Y117" s="687">
        <f t="shared" si="11"/>
        <v>2400</v>
      </c>
      <c r="Z117" s="736">
        <f>S117*V117*Q117</f>
        <v>2400000</v>
      </c>
      <c r="AA117" s="1185">
        <f t="shared" si="9"/>
        <v>0</v>
      </c>
      <c r="AB117" s="690"/>
    </row>
    <row r="118" spans="1:28" ht="21" customHeight="1">
      <c r="A118" s="673"/>
      <c r="B118" s="674"/>
      <c r="C118" s="675"/>
      <c r="D118" s="676"/>
      <c r="E118" s="677"/>
      <c r="F118" s="678"/>
      <c r="G118" s="679"/>
      <c r="H118" s="680"/>
      <c r="I118" s="2060"/>
      <c r="J118" s="681" t="s">
        <v>2743</v>
      </c>
      <c r="K118" s="682"/>
      <c r="L118" s="682"/>
      <c r="M118" s="682"/>
      <c r="N118" s="682"/>
      <c r="O118" s="682"/>
      <c r="P118" s="683"/>
      <c r="Q118" s="684"/>
      <c r="R118" s="685"/>
      <c r="S118" s="684">
        <v>2000000</v>
      </c>
      <c r="T118" s="684" t="s">
        <v>0</v>
      </c>
      <c r="U118" s="683"/>
      <c r="V118" s="684">
        <v>5</v>
      </c>
      <c r="W118" s="867" t="s">
        <v>3</v>
      </c>
      <c r="X118" s="686" t="s">
        <v>2668</v>
      </c>
      <c r="Y118" s="687">
        <f t="shared" si="11"/>
        <v>10000</v>
      </c>
      <c r="Z118" s="736">
        <f>S118*V118</f>
        <v>10000000</v>
      </c>
      <c r="AA118" s="1185">
        <f t="shared" si="9"/>
        <v>0</v>
      </c>
      <c r="AB118" s="690"/>
    </row>
    <row r="119" spans="1:28" ht="21" customHeight="1">
      <c r="A119" s="673"/>
      <c r="B119" s="674"/>
      <c r="C119" s="675"/>
      <c r="D119" s="676"/>
      <c r="E119" s="677"/>
      <c r="F119" s="678"/>
      <c r="G119" s="679"/>
      <c r="H119" s="680"/>
      <c r="I119" s="2060"/>
      <c r="J119" s="681" t="s">
        <v>2744</v>
      </c>
      <c r="K119" s="682"/>
      <c r="L119" s="682"/>
      <c r="M119" s="682"/>
      <c r="N119" s="682"/>
      <c r="O119" s="682"/>
      <c r="P119" s="683"/>
      <c r="Q119" s="684">
        <v>1</v>
      </c>
      <c r="R119" s="685" t="s">
        <v>25</v>
      </c>
      <c r="S119" s="684">
        <v>70000</v>
      </c>
      <c r="T119" s="684" t="s">
        <v>0</v>
      </c>
      <c r="U119" s="683"/>
      <c r="V119" s="684">
        <v>90</v>
      </c>
      <c r="W119" s="867" t="s">
        <v>2745</v>
      </c>
      <c r="X119" s="686" t="s">
        <v>2668</v>
      </c>
      <c r="Y119" s="687">
        <f t="shared" si="11"/>
        <v>6300</v>
      </c>
      <c r="Z119" s="736">
        <f>S119*V119*Q119</f>
        <v>6300000</v>
      </c>
      <c r="AA119" s="1185">
        <f t="shared" si="9"/>
        <v>0</v>
      </c>
      <c r="AB119" s="690"/>
    </row>
    <row r="120" spans="1:28" ht="21" customHeight="1">
      <c r="A120" s="673"/>
      <c r="B120" s="674"/>
      <c r="C120" s="675"/>
      <c r="D120" s="676"/>
      <c r="E120" s="677" t="s">
        <v>60</v>
      </c>
      <c r="F120" s="678">
        <f t="shared" ref="F120" si="12">+Y120</f>
        <v>400</v>
      </c>
      <c r="G120" s="679">
        <v>400</v>
      </c>
      <c r="H120" s="949"/>
      <c r="I120" s="2060"/>
      <c r="J120" s="681" t="s">
        <v>359</v>
      </c>
      <c r="K120" s="867"/>
      <c r="L120" s="867"/>
      <c r="M120" s="867"/>
      <c r="N120" s="868"/>
      <c r="O120" s="867"/>
      <c r="P120" s="867"/>
      <c r="Q120" s="869"/>
      <c r="R120" s="867"/>
      <c r="S120" s="868">
        <v>4000</v>
      </c>
      <c r="T120" s="867" t="s">
        <v>0</v>
      </c>
      <c r="U120" s="867"/>
      <c r="V120" s="869">
        <v>100</v>
      </c>
      <c r="W120" s="867" t="s">
        <v>2746</v>
      </c>
      <c r="X120" s="870" t="s">
        <v>1</v>
      </c>
      <c r="Y120" s="687">
        <f t="shared" si="11"/>
        <v>400</v>
      </c>
      <c r="Z120" s="736">
        <f>+S120*V120</f>
        <v>400000</v>
      </c>
      <c r="AA120" s="1185">
        <f t="shared" si="9"/>
        <v>400000000</v>
      </c>
      <c r="AB120" s="690"/>
    </row>
    <row r="121" spans="1:28" ht="19.5" customHeight="1">
      <c r="A121" s="673"/>
      <c r="B121" s="674"/>
      <c r="C121" s="675"/>
      <c r="D121" s="676"/>
      <c r="E121" s="677" t="s">
        <v>2747</v>
      </c>
      <c r="F121" s="678">
        <f>+Y121</f>
        <v>1000</v>
      </c>
      <c r="G121" s="679">
        <v>1000</v>
      </c>
      <c r="H121" s="949"/>
      <c r="I121" s="2060"/>
      <c r="J121" s="681" t="s">
        <v>8</v>
      </c>
      <c r="K121" s="682"/>
      <c r="L121" s="682"/>
      <c r="M121" s="682"/>
      <c r="N121" s="682"/>
      <c r="O121" s="682"/>
      <c r="P121" s="683"/>
      <c r="Q121" s="683"/>
      <c r="R121" s="684"/>
      <c r="S121" s="685"/>
      <c r="T121" s="684"/>
      <c r="U121" s="684"/>
      <c r="V121" s="684"/>
      <c r="W121" s="684"/>
      <c r="X121" s="686"/>
      <c r="Y121" s="687">
        <f t="shared" si="11"/>
        <v>1000</v>
      </c>
      <c r="Z121" s="736">
        <f>SUM(Z122:Z124)</f>
        <v>1000000</v>
      </c>
      <c r="AA121" s="1185">
        <f t="shared" si="9"/>
        <v>1000000000</v>
      </c>
      <c r="AB121" s="690"/>
    </row>
    <row r="122" spans="1:28" ht="19.5" customHeight="1">
      <c r="A122" s="673"/>
      <c r="B122" s="674"/>
      <c r="C122" s="675"/>
      <c r="D122" s="676"/>
      <c r="E122" s="677"/>
      <c r="F122" s="678"/>
      <c r="G122" s="679"/>
      <c r="H122" s="680"/>
      <c r="I122" s="2060"/>
      <c r="J122" s="681" t="s">
        <v>2748</v>
      </c>
      <c r="K122" s="682"/>
      <c r="L122" s="682"/>
      <c r="M122" s="682"/>
      <c r="N122" s="682"/>
      <c r="O122" s="682"/>
      <c r="P122" s="683"/>
      <c r="Q122" s="869"/>
      <c r="R122" s="867"/>
      <c r="S122" s="868">
        <v>300000</v>
      </c>
      <c r="T122" s="867" t="s">
        <v>0</v>
      </c>
      <c r="U122" s="867"/>
      <c r="V122" s="869">
        <v>1</v>
      </c>
      <c r="W122" s="867" t="s">
        <v>2749</v>
      </c>
      <c r="X122" s="870" t="s">
        <v>1</v>
      </c>
      <c r="Y122" s="687">
        <f t="shared" si="11"/>
        <v>300</v>
      </c>
      <c r="Z122" s="736">
        <f>+S122*V122</f>
        <v>300000</v>
      </c>
      <c r="AA122" s="1185">
        <f t="shared" si="9"/>
        <v>0</v>
      </c>
      <c r="AB122" s="690"/>
    </row>
    <row r="123" spans="1:28" ht="19.5" customHeight="1">
      <c r="A123" s="673"/>
      <c r="B123" s="674"/>
      <c r="C123" s="675"/>
      <c r="D123" s="676"/>
      <c r="E123" s="677"/>
      <c r="F123" s="678"/>
      <c r="G123" s="679"/>
      <c r="H123" s="680"/>
      <c r="I123" s="2060"/>
      <c r="J123" s="681" t="s">
        <v>2750</v>
      </c>
      <c r="K123" s="682"/>
      <c r="L123" s="682"/>
      <c r="M123" s="682"/>
      <c r="N123" s="682"/>
      <c r="O123" s="682"/>
      <c r="P123" s="683"/>
      <c r="Q123" s="869"/>
      <c r="R123" s="867"/>
      <c r="S123" s="868">
        <v>50000</v>
      </c>
      <c r="T123" s="867" t="s">
        <v>0</v>
      </c>
      <c r="U123" s="867"/>
      <c r="V123" s="869">
        <v>2</v>
      </c>
      <c r="W123" s="867" t="s">
        <v>2746</v>
      </c>
      <c r="X123" s="870" t="s">
        <v>1</v>
      </c>
      <c r="Y123" s="687">
        <f t="shared" si="11"/>
        <v>100</v>
      </c>
      <c r="Z123" s="736">
        <f>+S123*V123</f>
        <v>100000</v>
      </c>
      <c r="AA123" s="1185">
        <f t="shared" si="9"/>
        <v>0</v>
      </c>
      <c r="AB123" s="690"/>
    </row>
    <row r="124" spans="1:28" ht="19.5" customHeight="1">
      <c r="A124" s="673"/>
      <c r="B124" s="674"/>
      <c r="C124" s="675"/>
      <c r="D124" s="676"/>
      <c r="E124" s="677"/>
      <c r="F124" s="678"/>
      <c r="G124" s="679"/>
      <c r="H124" s="680"/>
      <c r="I124" s="2060"/>
      <c r="J124" s="681" t="s">
        <v>2751</v>
      </c>
      <c r="K124" s="682"/>
      <c r="L124" s="682"/>
      <c r="M124" s="682"/>
      <c r="N124" s="682"/>
      <c r="O124" s="682"/>
      <c r="P124" s="683"/>
      <c r="Q124" s="684"/>
      <c r="R124" s="685"/>
      <c r="S124" s="684">
        <v>600000</v>
      </c>
      <c r="T124" s="684" t="s">
        <v>0</v>
      </c>
      <c r="U124" s="683"/>
      <c r="V124" s="684">
        <v>1</v>
      </c>
      <c r="W124" s="867" t="s">
        <v>3</v>
      </c>
      <c r="X124" s="686" t="s">
        <v>2668</v>
      </c>
      <c r="Y124" s="687">
        <f t="shared" si="11"/>
        <v>600</v>
      </c>
      <c r="Z124" s="736">
        <f>S124*V124</f>
        <v>600000</v>
      </c>
      <c r="AA124" s="1185">
        <f t="shared" si="9"/>
        <v>0</v>
      </c>
      <c r="AB124" s="690"/>
    </row>
    <row r="125" spans="1:28" ht="19.5" customHeight="1">
      <c r="A125" s="673"/>
      <c r="B125" s="674"/>
      <c r="C125" s="692"/>
      <c r="D125" s="1384"/>
      <c r="E125" s="2039" t="s">
        <v>61</v>
      </c>
      <c r="F125" s="2040">
        <f>+Y125</f>
        <v>2000</v>
      </c>
      <c r="G125" s="2041">
        <v>2000</v>
      </c>
      <c r="H125" s="2062"/>
      <c r="I125" s="2060"/>
      <c r="J125" s="2042" t="s">
        <v>3481</v>
      </c>
      <c r="K125" s="2043"/>
      <c r="L125" s="2043"/>
      <c r="M125" s="2043"/>
      <c r="N125" s="2043"/>
      <c r="O125" s="2043"/>
      <c r="P125" s="2044"/>
      <c r="Q125" s="2045">
        <v>10</v>
      </c>
      <c r="R125" s="2046" t="s">
        <v>25</v>
      </c>
      <c r="S125" s="2045">
        <v>20000</v>
      </c>
      <c r="T125" s="2045" t="s">
        <v>0</v>
      </c>
      <c r="U125" s="2044"/>
      <c r="V125" s="2045">
        <v>10</v>
      </c>
      <c r="W125" s="2045" t="s">
        <v>3</v>
      </c>
      <c r="X125" s="2047" t="s">
        <v>1</v>
      </c>
      <c r="Y125" s="2048">
        <f t="shared" si="11"/>
        <v>2000</v>
      </c>
      <c r="Z125" s="2066">
        <f>S125*V125*Q125</f>
        <v>2000000</v>
      </c>
      <c r="AA125" s="1185">
        <f t="shared" si="9"/>
        <v>2000000000</v>
      </c>
      <c r="AB125" s="690"/>
    </row>
    <row r="126" spans="1:28" ht="19.5" customHeight="1">
      <c r="A126" s="673"/>
      <c r="B126" s="674"/>
      <c r="C126" s="1951" t="s">
        <v>2752</v>
      </c>
      <c r="D126" s="1975"/>
      <c r="E126" s="1961"/>
      <c r="F126" s="697">
        <f>+F127+F144+F167+F189</f>
        <v>336000</v>
      </c>
      <c r="G126" s="2040">
        <v>336000</v>
      </c>
      <c r="H126" s="1208">
        <f>F126-G126</f>
        <v>0</v>
      </c>
      <c r="I126" s="920"/>
      <c r="J126" s="1115"/>
      <c r="K126" s="1231"/>
      <c r="L126" s="1231"/>
      <c r="M126" s="1231"/>
      <c r="N126" s="1231"/>
      <c r="O126" s="1231"/>
      <c r="P126" s="1231"/>
      <c r="Q126" s="1232"/>
      <c r="R126" s="1231"/>
      <c r="S126" s="1231"/>
      <c r="T126" s="1231"/>
      <c r="U126" s="1231"/>
      <c r="V126" s="1231"/>
      <c r="W126" s="1231"/>
      <c r="X126" s="1976"/>
      <c r="Y126" s="737"/>
      <c r="Z126" s="736">
        <f>AB126</f>
        <v>0</v>
      </c>
      <c r="AA126" s="1185">
        <f t="shared" si="9"/>
        <v>336000000000</v>
      </c>
      <c r="AB126" s="690"/>
    </row>
    <row r="127" spans="1:28" ht="19.5" customHeight="1">
      <c r="A127" s="673"/>
      <c r="B127" s="674"/>
      <c r="C127" s="675"/>
      <c r="D127" s="3996" t="s">
        <v>2753</v>
      </c>
      <c r="E127" s="3997"/>
      <c r="F127" s="1529">
        <f>SUM(F128:F143)</f>
        <v>108000</v>
      </c>
      <c r="G127" s="1529">
        <f>SUM(G128:G143)</f>
        <v>108000</v>
      </c>
      <c r="H127" s="1208">
        <f>F127-G127</f>
        <v>0</v>
      </c>
      <c r="I127" s="920"/>
      <c r="J127" s="1074"/>
      <c r="K127" s="1957"/>
      <c r="L127" s="1957"/>
      <c r="M127" s="1957"/>
      <c r="N127" s="1957"/>
      <c r="O127" s="1957"/>
      <c r="P127" s="1075"/>
      <c r="Q127" s="1957"/>
      <c r="R127" s="1259"/>
      <c r="S127" s="1075"/>
      <c r="T127" s="1957"/>
      <c r="U127" s="1957"/>
      <c r="V127" s="1075"/>
      <c r="W127" s="1957"/>
      <c r="X127" s="1260"/>
      <c r="Y127" s="940"/>
      <c r="Z127" s="1674">
        <f>AB127</f>
        <v>0</v>
      </c>
      <c r="AA127" s="1185">
        <f t="shared" si="9"/>
        <v>108000000000</v>
      </c>
      <c r="AB127" s="690"/>
    </row>
    <row r="128" spans="1:28" ht="19.5" customHeight="1">
      <c r="A128" s="673"/>
      <c r="B128" s="674"/>
      <c r="C128" s="675"/>
      <c r="D128" s="1530"/>
      <c r="E128" s="677" t="s">
        <v>229</v>
      </c>
      <c r="F128" s="678">
        <f t="shared" ref="F128:F135" si="13">+Y128</f>
        <v>0</v>
      </c>
      <c r="G128" s="679">
        <v>12000</v>
      </c>
      <c r="H128" s="680">
        <f>F128-G128</f>
        <v>-12000</v>
      </c>
      <c r="I128" s="2060"/>
      <c r="J128" s="681" t="s">
        <v>2754</v>
      </c>
      <c r="K128" s="3515"/>
      <c r="L128" s="3515"/>
      <c r="M128" s="3515"/>
      <c r="N128" s="3515"/>
      <c r="O128" s="3515"/>
      <c r="P128" s="683"/>
      <c r="Q128" s="684"/>
      <c r="R128" s="3524"/>
      <c r="S128" s="684">
        <v>20000</v>
      </c>
      <c r="T128" s="684" t="s">
        <v>4</v>
      </c>
      <c r="U128" s="683"/>
      <c r="V128" s="684">
        <v>0</v>
      </c>
      <c r="W128" s="684" t="s">
        <v>254</v>
      </c>
      <c r="X128" s="686" t="s">
        <v>5</v>
      </c>
      <c r="Y128" s="687">
        <f t="shared" ref="Y128:Y143" si="14">+Z128/1000</f>
        <v>0</v>
      </c>
      <c r="Z128" s="736">
        <f>S128*V128</f>
        <v>0</v>
      </c>
      <c r="AA128" s="3386">
        <f t="shared" si="9"/>
        <v>0</v>
      </c>
      <c r="AB128" s="690"/>
    </row>
    <row r="129" spans="1:28" ht="19.5" customHeight="1">
      <c r="A129" s="673"/>
      <c r="B129" s="674"/>
      <c r="C129" s="675"/>
      <c r="D129" s="1530"/>
      <c r="E129" s="677" t="s">
        <v>659</v>
      </c>
      <c r="F129" s="678">
        <f t="shared" si="13"/>
        <v>3500</v>
      </c>
      <c r="G129" s="679">
        <v>1000</v>
      </c>
      <c r="H129" s="680">
        <f>F129-G129</f>
        <v>2500</v>
      </c>
      <c r="I129" s="2060"/>
      <c r="J129" s="681" t="s">
        <v>2755</v>
      </c>
      <c r="K129" s="3515"/>
      <c r="L129" s="3515"/>
      <c r="M129" s="3515"/>
      <c r="N129" s="3515"/>
      <c r="O129" s="3515"/>
      <c r="P129" s="683"/>
      <c r="Q129" s="684"/>
      <c r="R129" s="3524"/>
      <c r="S129" s="684">
        <v>1400000000</v>
      </c>
      <c r="T129" s="684" t="s">
        <v>4</v>
      </c>
      <c r="U129" s="683"/>
      <c r="V129" s="1531">
        <v>2.5000000000000001E-3</v>
      </c>
      <c r="W129" s="684"/>
      <c r="X129" s="686" t="s">
        <v>5</v>
      </c>
      <c r="Y129" s="687">
        <f>+Z129/1000</f>
        <v>3500</v>
      </c>
      <c r="Z129" s="736">
        <f t="shared" ref="Z129" si="15">+S129*V129</f>
        <v>3500000</v>
      </c>
      <c r="AA129" s="3386">
        <f t="shared" si="9"/>
        <v>3500000000</v>
      </c>
      <c r="AB129" s="690"/>
    </row>
    <row r="130" spans="1:28" ht="19.5" customHeight="1">
      <c r="A130" s="673"/>
      <c r="B130" s="674"/>
      <c r="C130" s="675"/>
      <c r="D130" s="1530"/>
      <c r="E130" s="677" t="s">
        <v>225</v>
      </c>
      <c r="F130" s="678">
        <f t="shared" si="13"/>
        <v>24000</v>
      </c>
      <c r="G130" s="679">
        <v>28000</v>
      </c>
      <c r="H130" s="680">
        <f>F130-G130</f>
        <v>-4000</v>
      </c>
      <c r="I130" s="2060"/>
      <c r="J130" s="681" t="s">
        <v>224</v>
      </c>
      <c r="K130" s="3515"/>
      <c r="L130" s="3515"/>
      <c r="M130" s="3515"/>
      <c r="N130" s="3515"/>
      <c r="O130" s="3515"/>
      <c r="P130" s="683"/>
      <c r="Q130" s="684"/>
      <c r="R130" s="3524"/>
      <c r="S130" s="684"/>
      <c r="T130" s="684"/>
      <c r="U130" s="683"/>
      <c r="V130" s="684"/>
      <c r="W130" s="684"/>
      <c r="X130" s="686"/>
      <c r="Y130" s="687">
        <f t="shared" si="14"/>
        <v>24000</v>
      </c>
      <c r="Z130" s="736">
        <f>SUM(Z131:Z132)</f>
        <v>24000000</v>
      </c>
      <c r="AA130" s="3386">
        <f t="shared" si="9"/>
        <v>24000000000</v>
      </c>
      <c r="AB130" s="690"/>
    </row>
    <row r="131" spans="1:28" ht="19.5" customHeight="1">
      <c r="A131" s="673"/>
      <c r="B131" s="674"/>
      <c r="C131" s="675"/>
      <c r="D131" s="1530"/>
      <c r="E131" s="677"/>
      <c r="F131" s="678"/>
      <c r="G131" s="679"/>
      <c r="H131" s="949"/>
      <c r="I131" s="2060"/>
      <c r="J131" s="3514" t="s">
        <v>2756</v>
      </c>
      <c r="K131" s="3515"/>
      <c r="L131" s="3515"/>
      <c r="M131" s="3515"/>
      <c r="N131" s="3515"/>
      <c r="O131" s="3515"/>
      <c r="P131" s="683"/>
      <c r="Q131" s="684">
        <v>1</v>
      </c>
      <c r="R131" s="3524" t="s">
        <v>232</v>
      </c>
      <c r="S131" s="684">
        <v>2000000</v>
      </c>
      <c r="T131" s="684" t="s">
        <v>4</v>
      </c>
      <c r="U131" s="683"/>
      <c r="V131" s="684">
        <v>2</v>
      </c>
      <c r="W131" s="684" t="s">
        <v>2757</v>
      </c>
      <c r="X131" s="686" t="s">
        <v>5</v>
      </c>
      <c r="Y131" s="687">
        <f t="shared" si="14"/>
        <v>4000</v>
      </c>
      <c r="Z131" s="736">
        <f t="shared" ref="Z131:Z132" si="16">+S131*V131*Q131</f>
        <v>4000000</v>
      </c>
      <c r="AA131" s="3386">
        <f t="shared" si="9"/>
        <v>0</v>
      </c>
      <c r="AB131" s="690"/>
    </row>
    <row r="132" spans="1:28" ht="19.5" customHeight="1">
      <c r="A132" s="673"/>
      <c r="B132" s="674"/>
      <c r="C132" s="675"/>
      <c r="D132" s="1530"/>
      <c r="E132" s="677"/>
      <c r="F132" s="678"/>
      <c r="G132" s="679"/>
      <c r="H132" s="949"/>
      <c r="I132" s="2060"/>
      <c r="J132" s="681" t="s">
        <v>2758</v>
      </c>
      <c r="K132" s="3515"/>
      <c r="L132" s="3515"/>
      <c r="M132" s="3515"/>
      <c r="N132" s="3515"/>
      <c r="O132" s="3515"/>
      <c r="P132" s="683"/>
      <c r="Q132" s="684">
        <v>1</v>
      </c>
      <c r="R132" s="3524" t="s">
        <v>232</v>
      </c>
      <c r="S132" s="684">
        <v>4000000</v>
      </c>
      <c r="T132" s="684" t="s">
        <v>4</v>
      </c>
      <c r="U132" s="683"/>
      <c r="V132" s="684">
        <v>5</v>
      </c>
      <c r="W132" s="684" t="s">
        <v>2757</v>
      </c>
      <c r="X132" s="686" t="s">
        <v>5</v>
      </c>
      <c r="Y132" s="687">
        <f t="shared" si="14"/>
        <v>20000</v>
      </c>
      <c r="Z132" s="736">
        <f t="shared" si="16"/>
        <v>20000000</v>
      </c>
      <c r="AA132" s="3386">
        <f t="shared" si="9"/>
        <v>0</v>
      </c>
      <c r="AB132" s="690"/>
    </row>
    <row r="133" spans="1:28" ht="19.5" customHeight="1">
      <c r="A133" s="3447"/>
      <c r="B133" s="3160"/>
      <c r="C133" s="675"/>
      <c r="D133" s="1530"/>
      <c r="E133" s="677" t="s">
        <v>5567</v>
      </c>
      <c r="F133" s="678">
        <f t="shared" si="13"/>
        <v>1000</v>
      </c>
      <c r="G133" s="679">
        <v>0</v>
      </c>
      <c r="H133" s="680">
        <f>F133-G133</f>
        <v>1000</v>
      </c>
      <c r="I133" s="2060"/>
      <c r="J133" s="681" t="s">
        <v>125</v>
      </c>
      <c r="K133" s="3515"/>
      <c r="L133" s="3515"/>
      <c r="M133" s="3515"/>
      <c r="N133" s="3515"/>
      <c r="O133" s="3515"/>
      <c r="P133" s="683"/>
      <c r="Q133" s="684"/>
      <c r="R133" s="3524"/>
      <c r="S133" s="684">
        <v>1000000</v>
      </c>
      <c r="T133" s="684" t="s">
        <v>0</v>
      </c>
      <c r="U133" s="683"/>
      <c r="V133" s="684">
        <v>1</v>
      </c>
      <c r="W133" s="684" t="s">
        <v>3</v>
      </c>
      <c r="X133" s="686" t="s">
        <v>5</v>
      </c>
      <c r="Y133" s="687">
        <f t="shared" si="14"/>
        <v>1000</v>
      </c>
      <c r="Z133" s="736">
        <f>+S133*V133</f>
        <v>1000000</v>
      </c>
      <c r="AA133" s="3386">
        <f t="shared" si="9"/>
        <v>1000000000</v>
      </c>
      <c r="AB133" s="690"/>
    </row>
    <row r="134" spans="1:28" ht="19.5" customHeight="1">
      <c r="A134" s="673"/>
      <c r="B134" s="674"/>
      <c r="C134" s="675"/>
      <c r="D134" s="1530"/>
      <c r="E134" s="677" t="s">
        <v>245</v>
      </c>
      <c r="F134" s="678">
        <f t="shared" si="13"/>
        <v>5300</v>
      </c>
      <c r="G134" s="679">
        <v>5000</v>
      </c>
      <c r="H134" s="680">
        <f>F134-G134</f>
        <v>300</v>
      </c>
      <c r="I134" s="2060"/>
      <c r="J134" s="681" t="s">
        <v>2759</v>
      </c>
      <c r="K134" s="3515"/>
      <c r="L134" s="3515"/>
      <c r="M134" s="3515"/>
      <c r="N134" s="3515"/>
      <c r="O134" s="3515"/>
      <c r="P134" s="683"/>
      <c r="Q134" s="684"/>
      <c r="R134" s="3524"/>
      <c r="S134" s="684">
        <v>1060000</v>
      </c>
      <c r="T134" s="684" t="s">
        <v>4</v>
      </c>
      <c r="U134" s="683"/>
      <c r="V134" s="684">
        <v>5</v>
      </c>
      <c r="W134" s="684" t="s">
        <v>51</v>
      </c>
      <c r="X134" s="686" t="s">
        <v>5</v>
      </c>
      <c r="Y134" s="687">
        <f t="shared" si="14"/>
        <v>5300</v>
      </c>
      <c r="Z134" s="736">
        <f t="shared" ref="Z134" si="17">+S134*V134</f>
        <v>5300000</v>
      </c>
      <c r="AA134" s="3386">
        <f t="shared" si="9"/>
        <v>5300000000</v>
      </c>
      <c r="AB134" s="690"/>
    </row>
    <row r="135" spans="1:28" ht="19.5" customHeight="1">
      <c r="A135" s="673"/>
      <c r="B135" s="674"/>
      <c r="C135" s="675"/>
      <c r="D135" s="1530"/>
      <c r="E135" s="677" t="s">
        <v>16</v>
      </c>
      <c r="F135" s="678">
        <f t="shared" si="13"/>
        <v>61000</v>
      </c>
      <c r="G135" s="679">
        <v>48000</v>
      </c>
      <c r="H135" s="680">
        <f>F135-G135</f>
        <v>13000</v>
      </c>
      <c r="I135" s="2060"/>
      <c r="J135" s="681" t="s">
        <v>224</v>
      </c>
      <c r="K135" s="3515"/>
      <c r="L135" s="3515"/>
      <c r="M135" s="3515"/>
      <c r="N135" s="3515"/>
      <c r="O135" s="3515"/>
      <c r="P135" s="683"/>
      <c r="Q135" s="684"/>
      <c r="R135" s="3524"/>
      <c r="S135" s="684"/>
      <c r="T135" s="684"/>
      <c r="U135" s="683"/>
      <c r="V135" s="684"/>
      <c r="W135" s="684"/>
      <c r="X135" s="686"/>
      <c r="Y135" s="687">
        <f t="shared" si="14"/>
        <v>61000</v>
      </c>
      <c r="Z135" s="736">
        <f>SUM(Z136:Z140)</f>
        <v>61000000</v>
      </c>
      <c r="AA135" s="3386">
        <f t="shared" si="9"/>
        <v>61000000000</v>
      </c>
      <c r="AB135" s="690"/>
    </row>
    <row r="136" spans="1:28" ht="19.5" customHeight="1">
      <c r="A136" s="673"/>
      <c r="B136" s="674"/>
      <c r="C136" s="675"/>
      <c r="D136" s="674"/>
      <c r="E136" s="851"/>
      <c r="F136" s="1509"/>
      <c r="G136" s="1523"/>
      <c r="H136" s="949"/>
      <c r="I136" s="2060"/>
      <c r="J136" s="3514" t="s">
        <v>2760</v>
      </c>
      <c r="K136" s="3515"/>
      <c r="L136" s="3515"/>
      <c r="M136" s="3515"/>
      <c r="N136" s="1017"/>
      <c r="O136" s="3163"/>
      <c r="P136" s="683"/>
      <c r="Q136" s="3163"/>
      <c r="R136" s="683"/>
      <c r="S136" s="684">
        <v>11000000</v>
      </c>
      <c r="T136" s="684" t="s">
        <v>4</v>
      </c>
      <c r="U136" s="683"/>
      <c r="V136" s="684">
        <v>1</v>
      </c>
      <c r="W136" s="684" t="s">
        <v>39</v>
      </c>
      <c r="X136" s="686" t="s">
        <v>5</v>
      </c>
      <c r="Y136" s="687">
        <f t="shared" si="14"/>
        <v>11000</v>
      </c>
      <c r="Z136" s="736">
        <f>+S136*V136</f>
        <v>11000000</v>
      </c>
      <c r="AA136" s="3386">
        <f t="shared" si="9"/>
        <v>0</v>
      </c>
      <c r="AB136" s="690"/>
    </row>
    <row r="137" spans="1:28" ht="19.5" customHeight="1">
      <c r="A137" s="673"/>
      <c r="B137" s="674"/>
      <c r="C137" s="675"/>
      <c r="D137" s="1530"/>
      <c r="E137" s="677"/>
      <c r="F137" s="678"/>
      <c r="G137" s="679"/>
      <c r="H137" s="949"/>
      <c r="I137" s="2060"/>
      <c r="J137" s="681" t="s">
        <v>2761</v>
      </c>
      <c r="K137" s="3515"/>
      <c r="L137" s="3515"/>
      <c r="M137" s="3515"/>
      <c r="N137" s="3515"/>
      <c r="O137" s="869" t="s">
        <v>48</v>
      </c>
      <c r="P137" s="683" t="s">
        <v>48</v>
      </c>
      <c r="Q137" s="3163"/>
      <c r="R137" s="683"/>
      <c r="S137" s="3164">
        <v>32000000</v>
      </c>
      <c r="T137" s="3163" t="s">
        <v>4</v>
      </c>
      <c r="U137" s="3163"/>
      <c r="V137" s="3163">
        <v>1</v>
      </c>
      <c r="W137" s="3163" t="s">
        <v>653</v>
      </c>
      <c r="X137" s="3165" t="s">
        <v>5</v>
      </c>
      <c r="Y137" s="687">
        <f t="shared" si="14"/>
        <v>32000</v>
      </c>
      <c r="Z137" s="736">
        <f t="shared" ref="Z137:Z141" si="18">+S137*V137</f>
        <v>32000000</v>
      </c>
      <c r="AA137" s="3386">
        <f t="shared" si="9"/>
        <v>0</v>
      </c>
      <c r="AB137" s="690"/>
    </row>
    <row r="138" spans="1:28" s="689" customFormat="1" ht="19.5" customHeight="1">
      <c r="A138" s="673"/>
      <c r="B138" s="674"/>
      <c r="C138" s="675"/>
      <c r="D138" s="1530"/>
      <c r="E138" s="677"/>
      <c r="F138" s="678"/>
      <c r="G138" s="679"/>
      <c r="H138" s="949"/>
      <c r="I138" s="2060"/>
      <c r="J138" s="681" t="s">
        <v>2762</v>
      </c>
      <c r="K138" s="3515"/>
      <c r="L138" s="3515"/>
      <c r="M138" s="3515"/>
      <c r="N138" s="3515"/>
      <c r="O138" s="869" t="s">
        <v>48</v>
      </c>
      <c r="P138" s="683" t="s">
        <v>48</v>
      </c>
      <c r="Q138" s="684"/>
      <c r="R138" s="3524"/>
      <c r="S138" s="684">
        <v>2000000</v>
      </c>
      <c r="T138" s="684" t="s">
        <v>4</v>
      </c>
      <c r="U138" s="683"/>
      <c r="V138" s="684">
        <v>1</v>
      </c>
      <c r="W138" s="684" t="s">
        <v>39</v>
      </c>
      <c r="X138" s="686" t="s">
        <v>5</v>
      </c>
      <c r="Y138" s="687">
        <f t="shared" si="14"/>
        <v>2000</v>
      </c>
      <c r="Z138" s="736">
        <f t="shared" si="18"/>
        <v>2000000</v>
      </c>
      <c r="AA138" s="3386">
        <f t="shared" si="9"/>
        <v>0</v>
      </c>
      <c r="AB138" s="690"/>
    </row>
    <row r="139" spans="1:28" ht="19.5" customHeight="1">
      <c r="A139" s="673"/>
      <c r="B139" s="674"/>
      <c r="C139" s="675"/>
      <c r="D139" s="674"/>
      <c r="E139" s="851"/>
      <c r="F139" s="1509"/>
      <c r="G139" s="1523"/>
      <c r="H139" s="949"/>
      <c r="I139" s="2060"/>
      <c r="J139" s="3514" t="s">
        <v>2763</v>
      </c>
      <c r="K139" s="3515"/>
      <c r="L139" s="3515"/>
      <c r="M139" s="3515"/>
      <c r="N139" s="1017"/>
      <c r="O139" s="3163"/>
      <c r="P139" s="3163"/>
      <c r="Q139" s="3163"/>
      <c r="R139" s="3163"/>
      <c r="S139" s="3164">
        <v>10000000</v>
      </c>
      <c r="T139" s="3163" t="s">
        <v>4</v>
      </c>
      <c r="U139" s="3163"/>
      <c r="V139" s="3163">
        <v>1</v>
      </c>
      <c r="W139" s="3163" t="s">
        <v>226</v>
      </c>
      <c r="X139" s="3165" t="s">
        <v>5</v>
      </c>
      <c r="Y139" s="687">
        <f t="shared" si="14"/>
        <v>10000</v>
      </c>
      <c r="Z139" s="736">
        <f t="shared" si="18"/>
        <v>10000000</v>
      </c>
      <c r="AA139" s="3386">
        <f t="shared" ref="AA139:AA202" si="19">F139*1000000</f>
        <v>0</v>
      </c>
      <c r="AB139" s="690"/>
    </row>
    <row r="140" spans="1:28" ht="19.5" customHeight="1">
      <c r="A140" s="673"/>
      <c r="B140" s="674"/>
      <c r="C140" s="675"/>
      <c r="D140" s="674"/>
      <c r="E140" s="851"/>
      <c r="F140" s="1509"/>
      <c r="G140" s="1523"/>
      <c r="H140" s="949"/>
      <c r="I140" s="2060"/>
      <c r="J140" s="3514" t="s">
        <v>2764</v>
      </c>
      <c r="K140" s="3515"/>
      <c r="L140" s="3515"/>
      <c r="M140" s="3515"/>
      <c r="N140" s="1017"/>
      <c r="O140" s="3163"/>
      <c r="P140" s="3163"/>
      <c r="Q140" s="3163"/>
      <c r="R140" s="3163"/>
      <c r="S140" s="3164">
        <v>2000000</v>
      </c>
      <c r="T140" s="3163" t="s">
        <v>4</v>
      </c>
      <c r="U140" s="3163"/>
      <c r="V140" s="3163">
        <v>3</v>
      </c>
      <c r="W140" s="3163" t="s">
        <v>10</v>
      </c>
      <c r="X140" s="3165" t="s">
        <v>5</v>
      </c>
      <c r="Y140" s="687">
        <f t="shared" si="14"/>
        <v>6000</v>
      </c>
      <c r="Z140" s="736">
        <f t="shared" si="18"/>
        <v>6000000</v>
      </c>
      <c r="AA140" s="3386">
        <f t="shared" si="19"/>
        <v>0</v>
      </c>
      <c r="AB140" s="690"/>
    </row>
    <row r="141" spans="1:28" ht="19.5" customHeight="1">
      <c r="A141" s="673"/>
      <c r="B141" s="674"/>
      <c r="C141" s="675"/>
      <c r="D141" s="674"/>
      <c r="E141" s="851" t="s">
        <v>262</v>
      </c>
      <c r="F141" s="678">
        <f t="shared" ref="F141" si="20">+Y141</f>
        <v>12200</v>
      </c>
      <c r="G141" s="679">
        <v>10000</v>
      </c>
      <c r="H141" s="680">
        <f>F141-G141</f>
        <v>2200</v>
      </c>
      <c r="I141" s="2060"/>
      <c r="J141" s="3514" t="s">
        <v>2766</v>
      </c>
      <c r="K141" s="3515"/>
      <c r="L141" s="3515"/>
      <c r="M141" s="3515"/>
      <c r="N141" s="1017"/>
      <c r="O141" s="3163"/>
      <c r="P141" s="3163"/>
      <c r="Q141" s="3163"/>
      <c r="R141" s="3163"/>
      <c r="S141" s="3164">
        <v>12200000</v>
      </c>
      <c r="T141" s="3163" t="s">
        <v>4</v>
      </c>
      <c r="U141" s="3163"/>
      <c r="V141" s="3163">
        <v>1</v>
      </c>
      <c r="W141" s="3163" t="s">
        <v>226</v>
      </c>
      <c r="X141" s="3165"/>
      <c r="Y141" s="687">
        <f t="shared" si="14"/>
        <v>12200</v>
      </c>
      <c r="Z141" s="736">
        <f t="shared" si="18"/>
        <v>12200000</v>
      </c>
      <c r="AA141" s="3386">
        <f t="shared" si="19"/>
        <v>12200000000</v>
      </c>
      <c r="AB141" s="690"/>
    </row>
    <row r="142" spans="1:28" ht="19.5" customHeight="1">
      <c r="A142" s="673"/>
      <c r="B142" s="674"/>
      <c r="C142" s="675"/>
      <c r="D142" s="676"/>
      <c r="E142" s="677" t="s">
        <v>73</v>
      </c>
      <c r="F142" s="678">
        <f>+Y142</f>
        <v>0</v>
      </c>
      <c r="G142" s="679">
        <v>3000</v>
      </c>
      <c r="H142" s="680">
        <f>F142-G142</f>
        <v>-3000</v>
      </c>
      <c r="I142" s="2060"/>
      <c r="J142" s="681" t="s">
        <v>2768</v>
      </c>
      <c r="K142" s="3515"/>
      <c r="L142" s="3515"/>
      <c r="M142" s="3515"/>
      <c r="N142" s="3515"/>
      <c r="O142" s="3515"/>
      <c r="P142" s="683"/>
      <c r="Q142" s="684"/>
      <c r="R142" s="3524"/>
      <c r="S142" s="684">
        <v>3000000</v>
      </c>
      <c r="T142" s="684" t="s">
        <v>4</v>
      </c>
      <c r="U142" s="683"/>
      <c r="V142" s="684">
        <v>0</v>
      </c>
      <c r="W142" s="684" t="s">
        <v>233</v>
      </c>
      <c r="X142" s="686" t="s">
        <v>5</v>
      </c>
      <c r="Y142" s="687">
        <f t="shared" si="14"/>
        <v>0</v>
      </c>
      <c r="Z142" s="736">
        <f>S142*V142</f>
        <v>0</v>
      </c>
      <c r="AA142" s="3386">
        <f t="shared" si="19"/>
        <v>0</v>
      </c>
      <c r="AB142" s="690"/>
    </row>
    <row r="143" spans="1:28" ht="19.5" customHeight="1">
      <c r="A143" s="673"/>
      <c r="B143" s="674"/>
      <c r="C143" s="675"/>
      <c r="D143" s="1384"/>
      <c r="E143" s="2039" t="s">
        <v>242</v>
      </c>
      <c r="F143" s="2040">
        <f>+Y143</f>
        <v>1000</v>
      </c>
      <c r="G143" s="2041">
        <v>1000</v>
      </c>
      <c r="H143" s="699"/>
      <c r="I143" s="2060"/>
      <c r="J143" s="2042" t="s">
        <v>2771</v>
      </c>
      <c r="K143" s="2043"/>
      <c r="L143" s="2043"/>
      <c r="M143" s="2043"/>
      <c r="N143" s="2043"/>
      <c r="O143" s="2043"/>
      <c r="P143" s="2044"/>
      <c r="Q143" s="2045">
        <v>5</v>
      </c>
      <c r="R143" s="2046" t="s">
        <v>36</v>
      </c>
      <c r="S143" s="2045">
        <v>20000</v>
      </c>
      <c r="T143" s="2045" t="s">
        <v>4</v>
      </c>
      <c r="U143" s="2044"/>
      <c r="V143" s="2045">
        <v>10</v>
      </c>
      <c r="W143" s="2045" t="s">
        <v>233</v>
      </c>
      <c r="X143" s="2047" t="s">
        <v>5</v>
      </c>
      <c r="Y143" s="2048">
        <f t="shared" si="14"/>
        <v>1000</v>
      </c>
      <c r="Z143" s="2066">
        <f>Q143*S143*V143</f>
        <v>1000000</v>
      </c>
      <c r="AA143" s="3386">
        <f t="shared" si="19"/>
        <v>1000000000</v>
      </c>
      <c r="AB143" s="690"/>
    </row>
    <row r="144" spans="1:28" ht="19.5" customHeight="1">
      <c r="A144" s="673"/>
      <c r="B144" s="674"/>
      <c r="C144" s="675"/>
      <c r="D144" s="3902" t="s">
        <v>3473</v>
      </c>
      <c r="E144" s="3903"/>
      <c r="F144" s="1529">
        <f>SUM(F145:F166)</f>
        <v>115000</v>
      </c>
      <c r="G144" s="1529">
        <f>SUM(G145:G166)</f>
        <v>115000</v>
      </c>
      <c r="H144" s="1208"/>
      <c r="I144" s="2060"/>
      <c r="J144" s="1115"/>
      <c r="K144" s="1093"/>
      <c r="L144" s="1093"/>
      <c r="M144" s="1093"/>
      <c r="N144" s="1093"/>
      <c r="O144" s="1093"/>
      <c r="P144" s="1116"/>
      <c r="Q144" s="1093"/>
      <c r="R144" s="2044"/>
      <c r="S144" s="1116"/>
      <c r="T144" s="1093"/>
      <c r="U144" s="1093"/>
      <c r="V144" s="1116"/>
      <c r="W144" s="1093"/>
      <c r="X144" s="1378"/>
      <c r="Y144" s="929"/>
      <c r="Z144" s="2066" t="e">
        <f>Z145+Z146+Z149+Z150+#REF!+Z151+Z156+Z163+Z164+Z165+Z166</f>
        <v>#REF!</v>
      </c>
      <c r="AA144" s="1185">
        <f t="shared" si="19"/>
        <v>115000000000</v>
      </c>
      <c r="AB144" s="690"/>
    </row>
    <row r="145" spans="1:28" ht="19.5" customHeight="1">
      <c r="A145" s="673"/>
      <c r="B145" s="674"/>
      <c r="C145" s="675"/>
      <c r="D145" s="1530"/>
      <c r="E145" s="677" t="s">
        <v>81</v>
      </c>
      <c r="F145" s="678">
        <f>+Y145</f>
        <v>27600</v>
      </c>
      <c r="G145" s="679">
        <v>27600</v>
      </c>
      <c r="H145" s="949"/>
      <c r="I145" s="2060"/>
      <c r="J145" s="681" t="s">
        <v>123</v>
      </c>
      <c r="K145" s="3016"/>
      <c r="L145" s="3016"/>
      <c r="M145" s="3016"/>
      <c r="N145" s="3016"/>
      <c r="O145" s="3016"/>
      <c r="P145" s="683"/>
      <c r="Q145" s="684">
        <v>1</v>
      </c>
      <c r="R145" s="3182" t="s">
        <v>25</v>
      </c>
      <c r="S145" s="684">
        <v>2300000</v>
      </c>
      <c r="T145" s="684" t="s">
        <v>0</v>
      </c>
      <c r="U145" s="683"/>
      <c r="V145" s="684">
        <v>12</v>
      </c>
      <c r="W145" s="684" t="s">
        <v>29</v>
      </c>
      <c r="X145" s="686" t="s">
        <v>4601</v>
      </c>
      <c r="Y145" s="687">
        <f t="shared" ref="Y145:Y151" si="21">+Z145/1000</f>
        <v>27600</v>
      </c>
      <c r="Z145" s="736">
        <f>S145*V145*Q145</f>
        <v>27600000</v>
      </c>
      <c r="AA145" s="1185">
        <f t="shared" si="19"/>
        <v>27600000000</v>
      </c>
      <c r="AB145" s="690"/>
    </row>
    <row r="146" spans="1:28" ht="19.5" customHeight="1">
      <c r="A146" s="673"/>
      <c r="B146" s="674"/>
      <c r="C146" s="675"/>
      <c r="D146" s="1530"/>
      <c r="E146" s="677" t="s">
        <v>57</v>
      </c>
      <c r="F146" s="678">
        <f>+Y146</f>
        <v>11520</v>
      </c>
      <c r="G146" s="679">
        <v>11520</v>
      </c>
      <c r="H146" s="949"/>
      <c r="I146" s="2060"/>
      <c r="J146" s="681" t="s">
        <v>8</v>
      </c>
      <c r="K146" s="3016"/>
      <c r="L146" s="3016"/>
      <c r="M146" s="3016"/>
      <c r="N146" s="3016"/>
      <c r="O146" s="3016"/>
      <c r="P146" s="683"/>
      <c r="Q146" s="684"/>
      <c r="R146" s="3182"/>
      <c r="S146" s="684"/>
      <c r="T146" s="684"/>
      <c r="U146" s="683"/>
      <c r="V146" s="684"/>
      <c r="W146" s="684"/>
      <c r="X146" s="686"/>
      <c r="Y146" s="687">
        <f t="shared" si="21"/>
        <v>11520</v>
      </c>
      <c r="Z146" s="736">
        <f>SUM(Z147:Z148)</f>
        <v>11520000</v>
      </c>
      <c r="AA146" s="1185">
        <f t="shared" si="19"/>
        <v>11520000000</v>
      </c>
      <c r="AB146" s="690"/>
    </row>
    <row r="147" spans="1:28" ht="19.5" customHeight="1">
      <c r="A147" s="673"/>
      <c r="B147" s="674"/>
      <c r="C147" s="675"/>
      <c r="D147" s="1530"/>
      <c r="E147" s="677"/>
      <c r="F147" s="678"/>
      <c r="G147" s="679"/>
      <c r="H147" s="949"/>
      <c r="I147" s="2060"/>
      <c r="J147" s="681" t="s">
        <v>4602</v>
      </c>
      <c r="K147" s="3016"/>
      <c r="L147" s="3016"/>
      <c r="M147" s="3016"/>
      <c r="N147" s="3016"/>
      <c r="O147" s="3016"/>
      <c r="P147" s="683"/>
      <c r="Q147" s="684"/>
      <c r="R147" s="3182"/>
      <c r="S147" s="684">
        <v>8000000</v>
      </c>
      <c r="T147" s="684" t="s">
        <v>0</v>
      </c>
      <c r="U147" s="683"/>
      <c r="V147" s="684">
        <v>1</v>
      </c>
      <c r="W147" s="684" t="s">
        <v>3</v>
      </c>
      <c r="X147" s="3192"/>
      <c r="Y147" s="687">
        <f t="shared" si="21"/>
        <v>8000</v>
      </c>
      <c r="Z147" s="736">
        <f>S147*V147</f>
        <v>8000000</v>
      </c>
      <c r="AA147" s="1185">
        <f t="shared" si="19"/>
        <v>0</v>
      </c>
      <c r="AB147" s="690"/>
    </row>
    <row r="148" spans="1:28" ht="19.5" customHeight="1">
      <c r="A148" s="673"/>
      <c r="B148" s="674"/>
      <c r="C148" s="675"/>
      <c r="D148" s="1530"/>
      <c r="E148" s="677"/>
      <c r="F148" s="678"/>
      <c r="G148" s="679"/>
      <c r="H148" s="949"/>
      <c r="I148" s="2060"/>
      <c r="J148" s="681" t="s">
        <v>4603</v>
      </c>
      <c r="K148" s="3016"/>
      <c r="L148" s="3016"/>
      <c r="M148" s="3016"/>
      <c r="N148" s="3016"/>
      <c r="O148" s="3016"/>
      <c r="P148" s="683"/>
      <c r="Q148" s="684"/>
      <c r="R148" s="3182"/>
      <c r="S148" s="684">
        <v>3520000</v>
      </c>
      <c r="T148" s="684" t="s">
        <v>0</v>
      </c>
      <c r="U148" s="683"/>
      <c r="V148" s="684">
        <v>1</v>
      </c>
      <c r="W148" s="684" t="s">
        <v>3</v>
      </c>
      <c r="X148" s="686" t="s">
        <v>4601</v>
      </c>
      <c r="Y148" s="687">
        <f>+Z148/1000</f>
        <v>3520</v>
      </c>
      <c r="Z148" s="736">
        <f>S148*V148</f>
        <v>3520000</v>
      </c>
      <c r="AA148" s="1185">
        <f t="shared" si="19"/>
        <v>0</v>
      </c>
      <c r="AB148" s="690"/>
    </row>
    <row r="149" spans="1:28" ht="19.5" customHeight="1">
      <c r="A149" s="673"/>
      <c r="B149" s="674"/>
      <c r="C149" s="675"/>
      <c r="D149" s="1530"/>
      <c r="E149" s="677" t="s">
        <v>27</v>
      </c>
      <c r="F149" s="678">
        <f>+Y149</f>
        <v>594.44000000000005</v>
      </c>
      <c r="G149" s="679">
        <v>594</v>
      </c>
      <c r="H149" s="949"/>
      <c r="I149" s="2060"/>
      <c r="J149" s="681" t="s">
        <v>124</v>
      </c>
      <c r="K149" s="3016"/>
      <c r="L149" s="3016"/>
      <c r="M149" s="3016"/>
      <c r="N149" s="3016"/>
      <c r="O149" s="3016"/>
      <c r="P149" s="683"/>
      <c r="Q149" s="684"/>
      <c r="R149" s="3182"/>
      <c r="S149" s="684">
        <v>424600000</v>
      </c>
      <c r="T149" s="684" t="s">
        <v>0</v>
      </c>
      <c r="U149" s="683"/>
      <c r="V149" s="1531">
        <v>1.4E-3</v>
      </c>
      <c r="W149" s="684"/>
      <c r="X149" s="686" t="s">
        <v>4604</v>
      </c>
      <c r="Y149" s="687">
        <f t="shared" ref="Y149" si="22">+Z149/1000</f>
        <v>594.44000000000005</v>
      </c>
      <c r="Z149" s="736">
        <f>S149*V149</f>
        <v>594440</v>
      </c>
      <c r="AA149" s="1185">
        <f t="shared" si="19"/>
        <v>594440000</v>
      </c>
      <c r="AB149" s="690"/>
    </row>
    <row r="150" spans="1:28" ht="19.5" customHeight="1">
      <c r="A150" s="673"/>
      <c r="B150" s="674"/>
      <c r="C150" s="675"/>
      <c r="D150" s="1530"/>
      <c r="E150" s="677" t="s">
        <v>80</v>
      </c>
      <c r="F150" s="678">
        <f>+Y150</f>
        <v>1530.6420000000001</v>
      </c>
      <c r="G150" s="679">
        <v>1531</v>
      </c>
      <c r="H150" s="680"/>
      <c r="I150" s="2060"/>
      <c r="J150" s="681" t="s">
        <v>125</v>
      </c>
      <c r="K150" s="3016"/>
      <c r="L150" s="3016"/>
      <c r="M150" s="3016"/>
      <c r="N150" s="3016"/>
      <c r="O150" s="3016"/>
      <c r="P150" s="683"/>
      <c r="Q150" s="684"/>
      <c r="R150" s="3182"/>
      <c r="S150" s="684">
        <v>153064.20000000001</v>
      </c>
      <c r="T150" s="684" t="s">
        <v>0</v>
      </c>
      <c r="U150" s="683"/>
      <c r="V150" s="684">
        <v>10</v>
      </c>
      <c r="W150" s="684" t="s">
        <v>3</v>
      </c>
      <c r="X150" s="686" t="s">
        <v>4604</v>
      </c>
      <c r="Y150" s="687">
        <f t="shared" si="21"/>
        <v>1530.6420000000001</v>
      </c>
      <c r="Z150" s="736">
        <f>+S150*V150</f>
        <v>1530642</v>
      </c>
      <c r="AA150" s="1185">
        <f t="shared" si="19"/>
        <v>1530642000</v>
      </c>
      <c r="AB150" s="690"/>
    </row>
    <row r="151" spans="1:28" ht="19.5" customHeight="1">
      <c r="A151" s="673"/>
      <c r="B151" s="674"/>
      <c r="C151" s="675"/>
      <c r="D151" s="1530"/>
      <c r="E151" s="677" t="s">
        <v>58</v>
      </c>
      <c r="F151" s="678">
        <f>+Y151</f>
        <v>11635</v>
      </c>
      <c r="G151" s="679">
        <v>11635</v>
      </c>
      <c r="H151" s="680"/>
      <c r="I151" s="2060"/>
      <c r="J151" s="681" t="s">
        <v>8</v>
      </c>
      <c r="K151" s="3016"/>
      <c r="L151" s="3016"/>
      <c r="M151" s="3016"/>
      <c r="N151" s="3016"/>
      <c r="O151" s="3016"/>
      <c r="P151" s="683"/>
      <c r="Q151" s="684"/>
      <c r="R151" s="3182"/>
      <c r="S151" s="684"/>
      <c r="T151" s="684"/>
      <c r="U151" s="683"/>
      <c r="V151" s="684"/>
      <c r="W151" s="684"/>
      <c r="X151" s="3192"/>
      <c r="Y151" s="687">
        <f t="shared" si="21"/>
        <v>11635</v>
      </c>
      <c r="Z151" s="736">
        <f>SUM(Z152:Z155)</f>
        <v>11635000</v>
      </c>
      <c r="AA151" s="1185">
        <f t="shared" si="19"/>
        <v>11635000000</v>
      </c>
      <c r="AB151" s="690"/>
    </row>
    <row r="152" spans="1:28" ht="19.5" customHeight="1">
      <c r="A152" s="673"/>
      <c r="B152" s="674"/>
      <c r="C152" s="675"/>
      <c r="D152" s="1530"/>
      <c r="E152" s="851"/>
      <c r="F152" s="1509"/>
      <c r="G152" s="679"/>
      <c r="H152" s="949"/>
      <c r="I152" s="2060"/>
      <c r="J152" s="1016" t="s">
        <v>4605</v>
      </c>
      <c r="K152" s="3016"/>
      <c r="L152" s="3016"/>
      <c r="M152" s="3016"/>
      <c r="N152" s="3016"/>
      <c r="O152" s="3016"/>
      <c r="P152" s="683"/>
      <c r="Q152" s="3163"/>
      <c r="R152" s="3182"/>
      <c r="S152" s="684">
        <v>50000</v>
      </c>
      <c r="T152" s="684" t="s">
        <v>0</v>
      </c>
      <c r="U152" s="683"/>
      <c r="V152" s="684">
        <v>24.7</v>
      </c>
      <c r="W152" s="684" t="s">
        <v>4606</v>
      </c>
      <c r="X152" s="686" t="s">
        <v>4604</v>
      </c>
      <c r="Y152" s="687">
        <f>+Z152/1000</f>
        <v>1235</v>
      </c>
      <c r="Z152" s="736">
        <f>+S152*V152</f>
        <v>1235000</v>
      </c>
      <c r="AA152" s="1185">
        <f t="shared" si="19"/>
        <v>0</v>
      </c>
      <c r="AB152" s="690"/>
    </row>
    <row r="153" spans="1:28" ht="19.5" customHeight="1">
      <c r="A153" s="673"/>
      <c r="B153" s="674"/>
      <c r="C153" s="675"/>
      <c r="D153" s="1530"/>
      <c r="E153" s="677"/>
      <c r="F153" s="678"/>
      <c r="G153" s="679"/>
      <c r="H153" s="949"/>
      <c r="I153" s="2060"/>
      <c r="J153" s="681" t="s">
        <v>128</v>
      </c>
      <c r="K153" s="3016"/>
      <c r="L153" s="3016"/>
      <c r="M153" s="3016"/>
      <c r="N153" s="3016"/>
      <c r="O153" s="3016"/>
      <c r="P153" s="683"/>
      <c r="Q153" s="3163">
        <v>2</v>
      </c>
      <c r="R153" s="3182" t="s">
        <v>25</v>
      </c>
      <c r="S153" s="684">
        <v>10000</v>
      </c>
      <c r="T153" s="684" t="s">
        <v>0</v>
      </c>
      <c r="U153" s="683"/>
      <c r="V153" s="684">
        <v>30</v>
      </c>
      <c r="W153" s="684" t="s">
        <v>9</v>
      </c>
      <c r="X153" s="686" t="s">
        <v>4604</v>
      </c>
      <c r="Y153" s="687">
        <f t="shared" ref="Y153:Y166" si="23">+Z153/1000</f>
        <v>600</v>
      </c>
      <c r="Z153" s="736">
        <f>S153*V153*Q153</f>
        <v>600000</v>
      </c>
      <c r="AA153" s="1185">
        <f t="shared" si="19"/>
        <v>0</v>
      </c>
      <c r="AB153" s="690"/>
    </row>
    <row r="154" spans="1:28" ht="19.5" customHeight="1">
      <c r="A154" s="673"/>
      <c r="B154" s="674"/>
      <c r="C154" s="675"/>
      <c r="D154" s="1530"/>
      <c r="E154" s="677"/>
      <c r="F154" s="678"/>
      <c r="G154" s="679"/>
      <c r="H154" s="949"/>
      <c r="I154" s="2060"/>
      <c r="J154" s="681" t="s">
        <v>4607</v>
      </c>
      <c r="K154" s="3016"/>
      <c r="L154" s="3016"/>
      <c r="M154" s="3016"/>
      <c r="N154" s="3016"/>
      <c r="O154" s="3016"/>
      <c r="P154" s="683"/>
      <c r="Q154" s="3163">
        <v>10</v>
      </c>
      <c r="R154" s="3182" t="s">
        <v>25</v>
      </c>
      <c r="S154" s="684">
        <v>300000</v>
      </c>
      <c r="T154" s="684" t="s">
        <v>0</v>
      </c>
      <c r="U154" s="683"/>
      <c r="V154" s="684">
        <v>1</v>
      </c>
      <c r="W154" s="684" t="s">
        <v>3</v>
      </c>
      <c r="X154" s="686" t="s">
        <v>4604</v>
      </c>
      <c r="Y154" s="687">
        <f t="shared" si="23"/>
        <v>3000</v>
      </c>
      <c r="Z154" s="736">
        <f>S154*V154*Q154</f>
        <v>3000000</v>
      </c>
      <c r="AA154" s="1185">
        <f t="shared" si="19"/>
        <v>0</v>
      </c>
      <c r="AB154" s="690"/>
    </row>
    <row r="155" spans="1:28" ht="19.5" customHeight="1">
      <c r="A155" s="673"/>
      <c r="B155" s="674"/>
      <c r="C155" s="675"/>
      <c r="D155" s="1530"/>
      <c r="E155" s="677"/>
      <c r="F155" s="678"/>
      <c r="G155" s="679"/>
      <c r="H155" s="949"/>
      <c r="I155" s="2060"/>
      <c r="J155" s="681" t="s">
        <v>4608</v>
      </c>
      <c r="K155" s="3016"/>
      <c r="L155" s="3016"/>
      <c r="M155" s="3016"/>
      <c r="N155" s="3016"/>
      <c r="O155" s="3016"/>
      <c r="P155" s="683"/>
      <c r="Q155" s="3163">
        <v>4</v>
      </c>
      <c r="R155" s="3182" t="s">
        <v>25</v>
      </c>
      <c r="S155" s="684">
        <v>1700000</v>
      </c>
      <c r="T155" s="684" t="s">
        <v>0</v>
      </c>
      <c r="U155" s="683"/>
      <c r="V155" s="684">
        <v>1</v>
      </c>
      <c r="W155" s="684" t="s">
        <v>3</v>
      </c>
      <c r="X155" s="686" t="s">
        <v>4604</v>
      </c>
      <c r="Y155" s="687">
        <f t="shared" si="23"/>
        <v>6800</v>
      </c>
      <c r="Z155" s="736">
        <f>S155*V155*Q155</f>
        <v>6800000</v>
      </c>
      <c r="AA155" s="1185">
        <f t="shared" si="19"/>
        <v>0</v>
      </c>
      <c r="AB155" s="690"/>
    </row>
    <row r="156" spans="1:28" ht="19.5" customHeight="1">
      <c r="A156" s="673"/>
      <c r="B156" s="674"/>
      <c r="C156" s="675"/>
      <c r="D156" s="1530"/>
      <c r="E156" s="677" t="s">
        <v>71</v>
      </c>
      <c r="F156" s="678">
        <f>+Y156</f>
        <v>48912.4</v>
      </c>
      <c r="G156" s="679">
        <v>48912</v>
      </c>
      <c r="H156" s="680"/>
      <c r="I156" s="2060"/>
      <c r="J156" s="681" t="s">
        <v>8</v>
      </c>
      <c r="K156" s="3016"/>
      <c r="L156" s="3016"/>
      <c r="M156" s="3016"/>
      <c r="N156" s="1017"/>
      <c r="O156" s="3163"/>
      <c r="P156" s="683"/>
      <c r="Q156" s="684"/>
      <c r="R156" s="3182"/>
      <c r="S156" s="684"/>
      <c r="T156" s="684"/>
      <c r="U156" s="683"/>
      <c r="V156" s="684"/>
      <c r="W156" s="684"/>
      <c r="X156" s="686"/>
      <c r="Y156" s="687">
        <f t="shared" si="23"/>
        <v>48912.4</v>
      </c>
      <c r="Z156" s="736">
        <f>SUM(Z157:Z162)</f>
        <v>48912400</v>
      </c>
      <c r="AA156" s="1185">
        <f t="shared" si="19"/>
        <v>48912400000</v>
      </c>
      <c r="AB156" s="690"/>
    </row>
    <row r="157" spans="1:28" ht="19.5" customHeight="1">
      <c r="A157" s="673"/>
      <c r="B157" s="674"/>
      <c r="C157" s="675"/>
      <c r="D157" s="1530"/>
      <c r="E157" s="851"/>
      <c r="F157" s="1509"/>
      <c r="G157" s="679"/>
      <c r="H157" s="949"/>
      <c r="I157" s="2060"/>
      <c r="J157" s="1016" t="s">
        <v>4609</v>
      </c>
      <c r="K157" s="3016"/>
      <c r="L157" s="3016"/>
      <c r="M157" s="3016"/>
      <c r="N157" s="3016"/>
      <c r="O157" s="869" t="s">
        <v>4610</v>
      </c>
      <c r="P157" s="683" t="s">
        <v>4610</v>
      </c>
      <c r="Q157" s="3163"/>
      <c r="R157" s="683"/>
      <c r="S157" s="684">
        <v>20800000</v>
      </c>
      <c r="T157" s="684" t="s">
        <v>0</v>
      </c>
      <c r="U157" s="683"/>
      <c r="V157" s="684">
        <v>1</v>
      </c>
      <c r="W157" s="684" t="s">
        <v>3</v>
      </c>
      <c r="X157" s="3165" t="s">
        <v>4604</v>
      </c>
      <c r="Y157" s="687">
        <f t="shared" si="23"/>
        <v>20800</v>
      </c>
      <c r="Z157" s="736">
        <f>S157*V157</f>
        <v>20800000</v>
      </c>
      <c r="AA157" s="1185">
        <f t="shared" si="19"/>
        <v>0</v>
      </c>
      <c r="AB157" s="690"/>
    </row>
    <row r="158" spans="1:28" ht="19.5" customHeight="1">
      <c r="A158" s="673"/>
      <c r="B158" s="674"/>
      <c r="C158" s="675"/>
      <c r="D158" s="1530"/>
      <c r="E158" s="677"/>
      <c r="F158" s="678"/>
      <c r="G158" s="679"/>
      <c r="H158" s="949"/>
      <c r="I158" s="2060"/>
      <c r="J158" s="681" t="s">
        <v>4611</v>
      </c>
      <c r="K158" s="3016"/>
      <c r="L158" s="3016"/>
      <c r="M158" s="3016"/>
      <c r="N158" s="3016"/>
      <c r="O158" s="869" t="s">
        <v>4610</v>
      </c>
      <c r="P158" s="683" t="s">
        <v>4610</v>
      </c>
      <c r="Q158" s="3163"/>
      <c r="R158" s="683"/>
      <c r="S158" s="3164">
        <v>16157000</v>
      </c>
      <c r="T158" s="3163" t="s">
        <v>0</v>
      </c>
      <c r="U158" s="3163"/>
      <c r="V158" s="3163">
        <v>1</v>
      </c>
      <c r="W158" s="3163" t="s">
        <v>3</v>
      </c>
      <c r="X158" s="686" t="s">
        <v>4604</v>
      </c>
      <c r="Y158" s="687">
        <f t="shared" si="23"/>
        <v>16157</v>
      </c>
      <c r="Z158" s="736">
        <f t="shared" ref="Z158:Z165" si="24">+S158*V158</f>
        <v>16157000</v>
      </c>
      <c r="AA158" s="1185">
        <f t="shared" si="19"/>
        <v>0</v>
      </c>
      <c r="AB158" s="690"/>
    </row>
    <row r="159" spans="1:28" ht="19.5" customHeight="1">
      <c r="A159" s="673"/>
      <c r="B159" s="674"/>
      <c r="C159" s="675"/>
      <c r="D159" s="1530"/>
      <c r="E159" s="677"/>
      <c r="F159" s="678"/>
      <c r="G159" s="679"/>
      <c r="H159" s="949"/>
      <c r="I159" s="2060"/>
      <c r="J159" s="681" t="s">
        <v>4612</v>
      </c>
      <c r="K159" s="3016"/>
      <c r="L159" s="3016"/>
      <c r="M159" s="3016"/>
      <c r="N159" s="3016"/>
      <c r="O159" s="869" t="s">
        <v>4610</v>
      </c>
      <c r="P159" s="683" t="s">
        <v>4610</v>
      </c>
      <c r="Q159" s="3163"/>
      <c r="R159" s="683"/>
      <c r="S159" s="3164">
        <v>7964000</v>
      </c>
      <c r="T159" s="3163" t="s">
        <v>0</v>
      </c>
      <c r="U159" s="3163"/>
      <c r="V159" s="3163">
        <v>1</v>
      </c>
      <c r="W159" s="3163" t="s">
        <v>3</v>
      </c>
      <c r="X159" s="686" t="s">
        <v>4604</v>
      </c>
      <c r="Y159" s="687">
        <f t="shared" si="23"/>
        <v>7964</v>
      </c>
      <c r="Z159" s="736">
        <f t="shared" si="24"/>
        <v>7964000</v>
      </c>
      <c r="AA159" s="1185">
        <f t="shared" si="19"/>
        <v>0</v>
      </c>
      <c r="AB159" s="690"/>
    </row>
    <row r="160" spans="1:28" ht="19.5" customHeight="1">
      <c r="A160" s="673"/>
      <c r="B160" s="674"/>
      <c r="C160" s="675"/>
      <c r="D160" s="1530"/>
      <c r="E160" s="677"/>
      <c r="F160" s="678"/>
      <c r="G160" s="679"/>
      <c r="H160" s="949"/>
      <c r="I160" s="2060"/>
      <c r="J160" s="681" t="s">
        <v>4613</v>
      </c>
      <c r="K160" s="3016"/>
      <c r="L160" s="3016"/>
      <c r="M160" s="3016"/>
      <c r="N160" s="3016"/>
      <c r="O160" s="869" t="s">
        <v>4610</v>
      </c>
      <c r="P160" s="683" t="s">
        <v>4610</v>
      </c>
      <c r="Q160" s="3163"/>
      <c r="R160" s="683"/>
      <c r="S160" s="3164">
        <v>741400</v>
      </c>
      <c r="T160" s="3163" t="s">
        <v>0</v>
      </c>
      <c r="U160" s="3163"/>
      <c r="V160" s="3163">
        <v>1</v>
      </c>
      <c r="W160" s="3163" t="s">
        <v>3</v>
      </c>
      <c r="X160" s="686" t="s">
        <v>4604</v>
      </c>
      <c r="Y160" s="687">
        <f t="shared" si="23"/>
        <v>741.4</v>
      </c>
      <c r="Z160" s="736">
        <f t="shared" si="24"/>
        <v>741400</v>
      </c>
      <c r="AA160" s="1185">
        <f t="shared" si="19"/>
        <v>0</v>
      </c>
      <c r="AB160" s="690"/>
    </row>
    <row r="161" spans="1:29" ht="19.5" customHeight="1">
      <c r="A161" s="673"/>
      <c r="B161" s="674"/>
      <c r="C161" s="675"/>
      <c r="D161" s="1530"/>
      <c r="E161" s="677"/>
      <c r="F161" s="678"/>
      <c r="G161" s="679"/>
      <c r="H161" s="949"/>
      <c r="I161" s="2060"/>
      <c r="J161" s="681" t="s">
        <v>4614</v>
      </c>
      <c r="K161" s="3016"/>
      <c r="L161" s="3016"/>
      <c r="M161" s="3016"/>
      <c r="N161" s="3016"/>
      <c r="O161" s="869" t="s">
        <v>4610</v>
      </c>
      <c r="P161" s="683" t="s">
        <v>4610</v>
      </c>
      <c r="Q161" s="3163"/>
      <c r="R161" s="683"/>
      <c r="S161" s="3164">
        <v>50000</v>
      </c>
      <c r="T161" s="3163" t="s">
        <v>0</v>
      </c>
      <c r="U161" s="3163"/>
      <c r="V161" s="3163">
        <v>1</v>
      </c>
      <c r="W161" s="3163" t="s">
        <v>3</v>
      </c>
      <c r="X161" s="686" t="s">
        <v>4604</v>
      </c>
      <c r="Y161" s="687">
        <f t="shared" si="23"/>
        <v>50</v>
      </c>
      <c r="Z161" s="736">
        <f t="shared" si="24"/>
        <v>50000</v>
      </c>
      <c r="AA161" s="1185">
        <f t="shared" si="19"/>
        <v>0</v>
      </c>
      <c r="AB161" s="690"/>
    </row>
    <row r="162" spans="1:29" ht="19.5" customHeight="1">
      <c r="A162" s="673"/>
      <c r="B162" s="674"/>
      <c r="C162" s="675"/>
      <c r="D162" s="1530"/>
      <c r="E162" s="677"/>
      <c r="F162" s="678"/>
      <c r="G162" s="679"/>
      <c r="H162" s="949"/>
      <c r="I162" s="2060"/>
      <c r="J162" s="681" t="s">
        <v>4615</v>
      </c>
      <c r="K162" s="3016"/>
      <c r="L162" s="3016"/>
      <c r="M162" s="3016"/>
      <c r="N162" s="3016"/>
      <c r="O162" s="869" t="s">
        <v>4610</v>
      </c>
      <c r="P162" s="683" t="s">
        <v>4610</v>
      </c>
      <c r="Q162" s="3163"/>
      <c r="R162" s="3182"/>
      <c r="S162" s="3164">
        <v>3200000</v>
      </c>
      <c r="T162" s="3163" t="s">
        <v>0</v>
      </c>
      <c r="U162" s="3163"/>
      <c r="V162" s="3163">
        <v>1</v>
      </c>
      <c r="W162" s="3163" t="s">
        <v>3</v>
      </c>
      <c r="X162" s="686" t="s">
        <v>4604</v>
      </c>
      <c r="Y162" s="687">
        <f t="shared" si="23"/>
        <v>3200</v>
      </c>
      <c r="Z162" s="736">
        <f t="shared" si="24"/>
        <v>3200000</v>
      </c>
      <c r="AA162" s="1185">
        <f t="shared" si="19"/>
        <v>0</v>
      </c>
      <c r="AB162" s="690"/>
    </row>
    <row r="163" spans="1:29" ht="19.5" customHeight="1">
      <c r="A163" s="673"/>
      <c r="B163" s="674"/>
      <c r="C163" s="675"/>
      <c r="D163" s="729"/>
      <c r="E163" s="677" t="s">
        <v>70</v>
      </c>
      <c r="F163" s="678">
        <f>+Y163</f>
        <v>10499.5</v>
      </c>
      <c r="G163" s="679">
        <v>10500</v>
      </c>
      <c r="H163" s="949"/>
      <c r="I163" s="2060"/>
      <c r="J163" s="681" t="s">
        <v>4616</v>
      </c>
      <c r="K163" s="3016"/>
      <c r="L163" s="3016"/>
      <c r="M163" s="3016"/>
      <c r="N163" s="3016"/>
      <c r="O163" s="3016"/>
      <c r="P163" s="683"/>
      <c r="Q163" s="684"/>
      <c r="R163" s="3182"/>
      <c r="S163" s="684">
        <v>10499500</v>
      </c>
      <c r="T163" s="684" t="s">
        <v>0</v>
      </c>
      <c r="U163" s="683"/>
      <c r="V163" s="684">
        <v>1</v>
      </c>
      <c r="W163" s="684" t="s">
        <v>3</v>
      </c>
      <c r="X163" s="686" t="s">
        <v>4604</v>
      </c>
      <c r="Y163" s="687">
        <f>+Z163/1000</f>
        <v>10499.5</v>
      </c>
      <c r="Z163" s="736">
        <f t="shared" si="24"/>
        <v>10499500</v>
      </c>
      <c r="AA163" s="1185">
        <f t="shared" si="19"/>
        <v>10499500000</v>
      </c>
      <c r="AB163" s="690"/>
    </row>
    <row r="164" spans="1:29" ht="24" customHeight="1">
      <c r="A164" s="673"/>
      <c r="B164" s="674"/>
      <c r="C164" s="675"/>
      <c r="D164" s="729"/>
      <c r="E164" s="677" t="s">
        <v>4617</v>
      </c>
      <c r="F164" s="678">
        <f>+Y164</f>
        <v>558.76800000000003</v>
      </c>
      <c r="G164" s="679">
        <v>559</v>
      </c>
      <c r="H164" s="680"/>
      <c r="I164" s="2060"/>
      <c r="J164" s="681" t="s">
        <v>4618</v>
      </c>
      <c r="K164" s="3016"/>
      <c r="L164" s="3016"/>
      <c r="M164" s="3016"/>
      <c r="N164" s="3016"/>
      <c r="O164" s="3016"/>
      <c r="P164" s="683"/>
      <c r="Q164" s="684"/>
      <c r="R164" s="3182"/>
      <c r="S164" s="684">
        <v>1862.56</v>
      </c>
      <c r="T164" s="684" t="s">
        <v>0</v>
      </c>
      <c r="U164" s="683"/>
      <c r="V164" s="684">
        <v>300</v>
      </c>
      <c r="W164" s="684" t="s">
        <v>4619</v>
      </c>
      <c r="X164" s="686"/>
      <c r="Y164" s="687">
        <f>+Z164/1000</f>
        <v>558.76800000000003</v>
      </c>
      <c r="Z164" s="736">
        <f t="shared" si="24"/>
        <v>558768</v>
      </c>
      <c r="AA164" s="1185">
        <f t="shared" si="19"/>
        <v>558768000</v>
      </c>
      <c r="AB164" s="690"/>
    </row>
    <row r="165" spans="1:29" ht="24" customHeight="1">
      <c r="A165" s="673"/>
      <c r="B165" s="674"/>
      <c r="C165" s="675"/>
      <c r="D165" s="1530"/>
      <c r="E165" s="677" t="s">
        <v>62</v>
      </c>
      <c r="F165" s="678">
        <f>+Y165</f>
        <v>2000</v>
      </c>
      <c r="G165" s="679">
        <v>2000</v>
      </c>
      <c r="H165" s="949"/>
      <c r="I165" s="2060"/>
      <c r="J165" s="681" t="s">
        <v>129</v>
      </c>
      <c r="K165" s="3016"/>
      <c r="L165" s="3016"/>
      <c r="M165" s="3016"/>
      <c r="N165" s="3016"/>
      <c r="O165" s="3016"/>
      <c r="P165" s="683"/>
      <c r="Q165" s="684"/>
      <c r="R165" s="3182"/>
      <c r="S165" s="684">
        <v>2000000</v>
      </c>
      <c r="T165" s="684" t="s">
        <v>0</v>
      </c>
      <c r="U165" s="683"/>
      <c r="V165" s="684">
        <v>1</v>
      </c>
      <c r="W165" s="684" t="s">
        <v>3</v>
      </c>
      <c r="X165" s="686" t="s">
        <v>4604</v>
      </c>
      <c r="Y165" s="687">
        <f t="shared" si="23"/>
        <v>2000</v>
      </c>
      <c r="Z165" s="736">
        <f t="shared" si="24"/>
        <v>2000000</v>
      </c>
      <c r="AA165" s="1185">
        <f t="shared" si="19"/>
        <v>2000000000</v>
      </c>
      <c r="AB165" s="690"/>
    </row>
    <row r="166" spans="1:29" ht="24" customHeight="1">
      <c r="A166" s="673"/>
      <c r="B166" s="674"/>
      <c r="C166" s="675"/>
      <c r="D166" s="1530"/>
      <c r="E166" s="677" t="s">
        <v>61</v>
      </c>
      <c r="F166" s="678">
        <f>+Y166</f>
        <v>149.25</v>
      </c>
      <c r="G166" s="679">
        <v>149</v>
      </c>
      <c r="H166" s="699"/>
      <c r="I166" s="2060"/>
      <c r="J166" s="681" t="s">
        <v>130</v>
      </c>
      <c r="K166" s="3016"/>
      <c r="L166" s="3016"/>
      <c r="M166" s="3016"/>
      <c r="N166" s="3016"/>
      <c r="O166" s="3016"/>
      <c r="P166" s="683"/>
      <c r="Q166" s="684">
        <v>15</v>
      </c>
      <c r="R166" s="3182" t="s">
        <v>4620</v>
      </c>
      <c r="S166" s="684">
        <v>9950</v>
      </c>
      <c r="T166" s="684" t="s">
        <v>0</v>
      </c>
      <c r="U166" s="683"/>
      <c r="V166" s="684">
        <v>1</v>
      </c>
      <c r="W166" s="684" t="s">
        <v>3</v>
      </c>
      <c r="X166" s="686" t="s">
        <v>4604</v>
      </c>
      <c r="Y166" s="687">
        <f t="shared" si="23"/>
        <v>149.25</v>
      </c>
      <c r="Z166" s="736">
        <f>S166*V166*Q166</f>
        <v>149250</v>
      </c>
      <c r="AA166" s="1185">
        <f t="shared" si="19"/>
        <v>149250000</v>
      </c>
      <c r="AB166" s="690"/>
      <c r="AC166" s="3027"/>
    </row>
    <row r="167" spans="1:29" ht="24" customHeight="1">
      <c r="A167" s="673"/>
      <c r="B167" s="674"/>
      <c r="C167" s="675"/>
      <c r="D167" s="3996" t="s">
        <v>3463</v>
      </c>
      <c r="E167" s="3997"/>
      <c r="F167" s="1529">
        <f>SUM(F168:F188)</f>
        <v>93000</v>
      </c>
      <c r="G167" s="663">
        <f>SUM(G168:G188)</f>
        <v>93000</v>
      </c>
      <c r="H167" s="2606">
        <f>SUM(H168:H188)</f>
        <v>0</v>
      </c>
      <c r="I167" s="920"/>
      <c r="J167" s="1074"/>
      <c r="K167" s="2001"/>
      <c r="L167" s="2001"/>
      <c r="M167" s="2001"/>
      <c r="N167" s="2001"/>
      <c r="O167" s="2001"/>
      <c r="P167" s="1075"/>
      <c r="Q167" s="2001"/>
      <c r="R167" s="1259"/>
      <c r="S167" s="1075"/>
      <c r="T167" s="2001"/>
      <c r="U167" s="2001"/>
      <c r="V167" s="1075"/>
      <c r="W167" s="2001"/>
      <c r="X167" s="1260"/>
      <c r="Y167" s="940"/>
      <c r="Z167" s="1674">
        <f>Z168+Z171+Z172+Z173+Z174+Z178+Z185+Z186+Z187+Z188</f>
        <v>93000000</v>
      </c>
      <c r="AA167" s="1185">
        <f t="shared" si="19"/>
        <v>93000000000</v>
      </c>
      <c r="AB167" s="690"/>
    </row>
    <row r="168" spans="1:29" ht="24" customHeight="1">
      <c r="A168" s="673"/>
      <c r="B168" s="674"/>
      <c r="C168" s="675"/>
      <c r="D168" s="1530"/>
      <c r="E168" s="677" t="s">
        <v>57</v>
      </c>
      <c r="F168" s="678">
        <f t="shared" ref="F168:F188" si="25">+Y168</f>
        <v>15300</v>
      </c>
      <c r="G168" s="679">
        <v>15300</v>
      </c>
      <c r="H168" s="2606"/>
      <c r="I168" s="2060"/>
      <c r="J168" s="681" t="s">
        <v>8</v>
      </c>
      <c r="K168" s="3515"/>
      <c r="L168" s="3515"/>
      <c r="M168" s="3515"/>
      <c r="N168" s="3515"/>
      <c r="O168" s="3515"/>
      <c r="P168" s="683"/>
      <c r="Q168" s="684"/>
      <c r="R168" s="3524"/>
      <c r="S168" s="684"/>
      <c r="T168" s="684"/>
      <c r="U168" s="683"/>
      <c r="V168" s="684"/>
      <c r="W168" s="684"/>
      <c r="X168" s="686"/>
      <c r="Y168" s="687">
        <f>+Z168/1000</f>
        <v>15300</v>
      </c>
      <c r="Z168" s="736">
        <f>SUM(Z169:Z170)</f>
        <v>15300000</v>
      </c>
      <c r="AA168" s="3386">
        <f t="shared" si="19"/>
        <v>15300000000</v>
      </c>
      <c r="AB168" s="690"/>
    </row>
    <row r="169" spans="1:29" ht="24" customHeight="1">
      <c r="A169" s="673"/>
      <c r="B169" s="674"/>
      <c r="C169" s="675"/>
      <c r="D169" s="676"/>
      <c r="E169" s="677"/>
      <c r="F169" s="678"/>
      <c r="G169" s="679"/>
      <c r="H169" s="949"/>
      <c r="I169" s="2060"/>
      <c r="J169" s="681" t="s">
        <v>4072</v>
      </c>
      <c r="K169" s="3515"/>
      <c r="L169" s="3515"/>
      <c r="M169" s="3515"/>
      <c r="N169" s="3515"/>
      <c r="O169" s="3515"/>
      <c r="P169" s="683"/>
      <c r="Q169" s="684"/>
      <c r="R169" s="3524"/>
      <c r="S169" s="684">
        <v>9000000</v>
      </c>
      <c r="T169" s="684" t="s">
        <v>4073</v>
      </c>
      <c r="U169" s="683"/>
      <c r="V169" s="684">
        <v>1</v>
      </c>
      <c r="W169" s="684" t="s">
        <v>3</v>
      </c>
      <c r="X169" s="686" t="s">
        <v>1</v>
      </c>
      <c r="Y169" s="687">
        <f>+Z169/1000</f>
        <v>9000</v>
      </c>
      <c r="Z169" s="736">
        <f t="shared" ref="Z169:Z172" si="26">+S169*V169</f>
        <v>9000000</v>
      </c>
      <c r="AA169" s="3386">
        <f t="shared" si="19"/>
        <v>0</v>
      </c>
      <c r="AB169" s="690"/>
    </row>
    <row r="170" spans="1:29" ht="24" customHeight="1">
      <c r="A170" s="673"/>
      <c r="B170" s="674"/>
      <c r="C170" s="675"/>
      <c r="D170" s="676"/>
      <c r="E170" s="677"/>
      <c r="F170" s="678"/>
      <c r="G170" s="679"/>
      <c r="H170" s="949"/>
      <c r="I170" s="2060"/>
      <c r="J170" s="681" t="s">
        <v>4074</v>
      </c>
      <c r="K170" s="3515"/>
      <c r="L170" s="3515"/>
      <c r="M170" s="3515"/>
      <c r="N170" s="3515"/>
      <c r="O170" s="3515"/>
      <c r="P170" s="683"/>
      <c r="Q170" s="684"/>
      <c r="R170" s="3524"/>
      <c r="S170" s="684">
        <v>6300000</v>
      </c>
      <c r="T170" s="684" t="s">
        <v>0</v>
      </c>
      <c r="U170" s="683"/>
      <c r="V170" s="684">
        <v>1</v>
      </c>
      <c r="W170" s="684" t="s">
        <v>3</v>
      </c>
      <c r="X170" s="686" t="s">
        <v>1</v>
      </c>
      <c r="Y170" s="687">
        <f>+Z170/1000</f>
        <v>6300</v>
      </c>
      <c r="Z170" s="736">
        <f t="shared" si="26"/>
        <v>6300000</v>
      </c>
      <c r="AA170" s="3386">
        <f t="shared" si="19"/>
        <v>0</v>
      </c>
      <c r="AB170" s="690"/>
    </row>
    <row r="171" spans="1:29" ht="24" customHeight="1">
      <c r="A171" s="673"/>
      <c r="B171" s="674"/>
      <c r="C171" s="675"/>
      <c r="D171" s="1530"/>
      <c r="E171" s="677" t="s">
        <v>27</v>
      </c>
      <c r="F171" s="678">
        <f>+Y171</f>
        <v>1193</v>
      </c>
      <c r="G171" s="679">
        <v>1193</v>
      </c>
      <c r="H171" s="680"/>
      <c r="I171" s="2060"/>
      <c r="J171" s="681" t="s">
        <v>124</v>
      </c>
      <c r="K171" s="3515"/>
      <c r="L171" s="3515"/>
      <c r="M171" s="3515"/>
      <c r="N171" s="3515"/>
      <c r="O171" s="3515"/>
      <c r="P171" s="683"/>
      <c r="Q171" s="684"/>
      <c r="R171" s="3524"/>
      <c r="S171" s="684">
        <v>1193000000</v>
      </c>
      <c r="T171" s="684" t="s">
        <v>0</v>
      </c>
      <c r="U171" s="683"/>
      <c r="V171" s="1531">
        <v>1E-3</v>
      </c>
      <c r="W171" s="684"/>
      <c r="X171" s="686" t="s">
        <v>1</v>
      </c>
      <c r="Y171" s="687">
        <f t="shared" ref="Y171:Y188" si="27">+Z171/1000</f>
        <v>1193</v>
      </c>
      <c r="Z171" s="736">
        <f t="shared" si="26"/>
        <v>1193000</v>
      </c>
      <c r="AA171" s="3386">
        <f t="shared" si="19"/>
        <v>1193000000</v>
      </c>
      <c r="AB171" s="690"/>
    </row>
    <row r="172" spans="1:29" ht="24" customHeight="1">
      <c r="A172" s="673"/>
      <c r="B172" s="674"/>
      <c r="C172" s="675"/>
      <c r="D172" s="1530"/>
      <c r="E172" s="677" t="s">
        <v>4075</v>
      </c>
      <c r="F172" s="678">
        <f t="shared" si="25"/>
        <v>306</v>
      </c>
      <c r="G172" s="679">
        <v>306</v>
      </c>
      <c r="H172" s="680"/>
      <c r="I172" s="2060"/>
      <c r="J172" s="681" t="s">
        <v>125</v>
      </c>
      <c r="K172" s="3515"/>
      <c r="L172" s="3515"/>
      <c r="M172" s="3515"/>
      <c r="N172" s="3515"/>
      <c r="O172" s="3515"/>
      <c r="P172" s="683"/>
      <c r="Q172" s="684"/>
      <c r="R172" s="3524"/>
      <c r="S172" s="684">
        <v>306000</v>
      </c>
      <c r="T172" s="684" t="s">
        <v>0</v>
      </c>
      <c r="U172" s="683"/>
      <c r="V172" s="684">
        <v>1</v>
      </c>
      <c r="W172" s="684" t="s">
        <v>3</v>
      </c>
      <c r="X172" s="686" t="s">
        <v>1</v>
      </c>
      <c r="Y172" s="687">
        <f t="shared" si="27"/>
        <v>306</v>
      </c>
      <c r="Z172" s="736">
        <f t="shared" si="26"/>
        <v>306000</v>
      </c>
      <c r="AA172" s="3386">
        <f t="shared" si="19"/>
        <v>306000000</v>
      </c>
      <c r="AB172" s="690"/>
    </row>
    <row r="173" spans="1:29" ht="24" customHeight="1">
      <c r="A173" s="673"/>
      <c r="B173" s="674"/>
      <c r="C173" s="675"/>
      <c r="D173" s="1530"/>
      <c r="E173" s="677" t="s">
        <v>4076</v>
      </c>
      <c r="F173" s="678">
        <f t="shared" si="25"/>
        <v>600</v>
      </c>
      <c r="G173" s="679">
        <v>600</v>
      </c>
      <c r="H173" s="680"/>
      <c r="I173" s="2060"/>
      <c r="J173" s="681" t="s">
        <v>126</v>
      </c>
      <c r="K173" s="3515"/>
      <c r="L173" s="3515"/>
      <c r="M173" s="3515"/>
      <c r="N173" s="3515"/>
      <c r="O173" s="3515"/>
      <c r="P173" s="683"/>
      <c r="Q173" s="684">
        <v>1</v>
      </c>
      <c r="R173" s="3524" t="s">
        <v>25</v>
      </c>
      <c r="S173" s="684">
        <v>300000</v>
      </c>
      <c r="T173" s="684" t="s">
        <v>0</v>
      </c>
      <c r="U173" s="683"/>
      <c r="V173" s="684">
        <v>2</v>
      </c>
      <c r="W173" s="684" t="s">
        <v>29</v>
      </c>
      <c r="X173" s="686" t="s">
        <v>1</v>
      </c>
      <c r="Y173" s="687">
        <f t="shared" si="27"/>
        <v>600</v>
      </c>
      <c r="Z173" s="736">
        <f>+S173*V173*Q173</f>
        <v>600000</v>
      </c>
      <c r="AA173" s="3386">
        <f t="shared" si="19"/>
        <v>600000000</v>
      </c>
      <c r="AB173" s="690"/>
    </row>
    <row r="174" spans="1:29" ht="24" customHeight="1">
      <c r="A174" s="673"/>
      <c r="B174" s="674"/>
      <c r="C174" s="675"/>
      <c r="D174" s="1530"/>
      <c r="E174" s="677" t="s">
        <v>4077</v>
      </c>
      <c r="F174" s="678">
        <f t="shared" si="25"/>
        <v>11300</v>
      </c>
      <c r="G174" s="679">
        <v>11400</v>
      </c>
      <c r="H174" s="680">
        <f>F174-G174</f>
        <v>-100</v>
      </c>
      <c r="I174" s="2060"/>
      <c r="J174" s="681" t="s">
        <v>8</v>
      </c>
      <c r="K174" s="3515"/>
      <c r="L174" s="3515"/>
      <c r="M174" s="3515"/>
      <c r="N174" s="3515"/>
      <c r="O174" s="3515"/>
      <c r="P174" s="683"/>
      <c r="Q174" s="684"/>
      <c r="R174" s="3524"/>
      <c r="S174" s="684"/>
      <c r="T174" s="684"/>
      <c r="U174" s="683"/>
      <c r="V174" s="684"/>
      <c r="W174" s="684"/>
      <c r="X174" s="3192"/>
      <c r="Y174" s="687">
        <f t="shared" si="27"/>
        <v>11300</v>
      </c>
      <c r="Z174" s="736">
        <f>SUM(Z175:Z177)</f>
        <v>11300000</v>
      </c>
      <c r="AA174" s="3386">
        <f t="shared" si="19"/>
        <v>11300000000</v>
      </c>
      <c r="AB174" s="690"/>
    </row>
    <row r="175" spans="1:29" ht="24" customHeight="1">
      <c r="A175" s="673"/>
      <c r="B175" s="674"/>
      <c r="C175" s="675"/>
      <c r="D175" s="676"/>
      <c r="E175" s="851"/>
      <c r="F175" s="678"/>
      <c r="G175" s="679"/>
      <c r="H175" s="949"/>
      <c r="I175" s="2060"/>
      <c r="J175" s="3514" t="s">
        <v>127</v>
      </c>
      <c r="K175" s="3515"/>
      <c r="L175" s="3515"/>
      <c r="M175" s="3515"/>
      <c r="N175" s="3515"/>
      <c r="O175" s="3515"/>
      <c r="P175" s="683"/>
      <c r="Q175" s="3163">
        <v>1</v>
      </c>
      <c r="R175" s="3524" t="s">
        <v>25</v>
      </c>
      <c r="S175" s="684">
        <v>200000</v>
      </c>
      <c r="T175" s="684" t="s">
        <v>0</v>
      </c>
      <c r="U175" s="683"/>
      <c r="V175" s="684">
        <v>13</v>
      </c>
      <c r="W175" s="684" t="s">
        <v>3</v>
      </c>
      <c r="X175" s="686" t="s">
        <v>1</v>
      </c>
      <c r="Y175" s="687">
        <f t="shared" si="27"/>
        <v>2600</v>
      </c>
      <c r="Z175" s="736">
        <f t="shared" ref="Z175:Z188" si="28">+S175*V175*Q175</f>
        <v>2600000</v>
      </c>
      <c r="AA175" s="3386">
        <f t="shared" si="19"/>
        <v>0</v>
      </c>
      <c r="AB175" s="690"/>
    </row>
    <row r="176" spans="1:29" ht="24" customHeight="1">
      <c r="A176" s="673"/>
      <c r="B176" s="674"/>
      <c r="C176" s="675"/>
      <c r="D176" s="676"/>
      <c r="E176" s="677"/>
      <c r="F176" s="678"/>
      <c r="G176" s="679"/>
      <c r="H176" s="949"/>
      <c r="I176" s="2060"/>
      <c r="J176" s="681" t="s">
        <v>4078</v>
      </c>
      <c r="K176" s="3515"/>
      <c r="L176" s="3515"/>
      <c r="M176" s="3515"/>
      <c r="N176" s="3515"/>
      <c r="O176" s="3515"/>
      <c r="P176" s="683"/>
      <c r="Q176" s="3163">
        <v>1</v>
      </c>
      <c r="R176" s="3524" t="s">
        <v>25</v>
      </c>
      <c r="S176" s="684">
        <v>10000</v>
      </c>
      <c r="T176" s="684" t="s">
        <v>0</v>
      </c>
      <c r="U176" s="683"/>
      <c r="V176" s="684">
        <v>100</v>
      </c>
      <c r="W176" s="684" t="s">
        <v>9</v>
      </c>
      <c r="X176" s="686" t="s">
        <v>1</v>
      </c>
      <c r="Y176" s="687">
        <f t="shared" si="27"/>
        <v>1000</v>
      </c>
      <c r="Z176" s="736">
        <f t="shared" si="28"/>
        <v>1000000</v>
      </c>
      <c r="AA176" s="3386">
        <f t="shared" si="19"/>
        <v>0</v>
      </c>
      <c r="AB176" s="690"/>
    </row>
    <row r="177" spans="1:28" ht="24" customHeight="1">
      <c r="A177" s="673"/>
      <c r="B177" s="674"/>
      <c r="C177" s="675"/>
      <c r="D177" s="1530"/>
      <c r="E177" s="677"/>
      <c r="F177" s="678"/>
      <c r="G177" s="679"/>
      <c r="H177" s="949"/>
      <c r="I177" s="2060"/>
      <c r="J177" s="681" t="s">
        <v>4079</v>
      </c>
      <c r="K177" s="3515"/>
      <c r="L177" s="3515"/>
      <c r="M177" s="3515"/>
      <c r="N177" s="3515"/>
      <c r="O177" s="3515"/>
      <c r="P177" s="683"/>
      <c r="Q177" s="3163">
        <v>1</v>
      </c>
      <c r="R177" s="3524" t="s">
        <v>4080</v>
      </c>
      <c r="S177" s="684">
        <v>7700000</v>
      </c>
      <c r="T177" s="684" t="s">
        <v>0</v>
      </c>
      <c r="U177" s="683"/>
      <c r="V177" s="684">
        <v>1</v>
      </c>
      <c r="W177" s="684" t="s">
        <v>3</v>
      </c>
      <c r="X177" s="686" t="s">
        <v>1</v>
      </c>
      <c r="Y177" s="687">
        <f t="shared" si="27"/>
        <v>7700</v>
      </c>
      <c r="Z177" s="736">
        <f t="shared" si="28"/>
        <v>7700000</v>
      </c>
      <c r="AA177" s="3386">
        <f t="shared" si="19"/>
        <v>0</v>
      </c>
      <c r="AB177" s="690"/>
    </row>
    <row r="178" spans="1:28" ht="24" customHeight="1">
      <c r="A178" s="673"/>
      <c r="B178" s="674"/>
      <c r="C178" s="675"/>
      <c r="D178" s="1530"/>
      <c r="E178" s="677" t="s">
        <v>71</v>
      </c>
      <c r="F178" s="678">
        <f t="shared" si="25"/>
        <v>56660</v>
      </c>
      <c r="G178" s="679">
        <v>56660</v>
      </c>
      <c r="H178" s="680"/>
      <c r="I178" s="2060"/>
      <c r="J178" s="681" t="s">
        <v>8</v>
      </c>
      <c r="K178" s="3515"/>
      <c r="L178" s="3515"/>
      <c r="M178" s="3515"/>
      <c r="N178" s="1017"/>
      <c r="O178" s="3163"/>
      <c r="P178" s="683"/>
      <c r="Q178" s="684"/>
      <c r="R178" s="3524"/>
      <c r="S178" s="684"/>
      <c r="T178" s="684"/>
      <c r="U178" s="683"/>
      <c r="V178" s="684"/>
      <c r="W178" s="684"/>
      <c r="X178" s="686"/>
      <c r="Y178" s="687">
        <f>+Z178/1000</f>
        <v>56660</v>
      </c>
      <c r="Z178" s="736">
        <f>SUM(Z179:Z184)</f>
        <v>56660000</v>
      </c>
      <c r="AA178" s="3386">
        <f t="shared" si="19"/>
        <v>56660000000</v>
      </c>
      <c r="AB178" s="690"/>
    </row>
    <row r="179" spans="1:28" ht="24" customHeight="1">
      <c r="A179" s="673"/>
      <c r="B179" s="674"/>
      <c r="C179" s="675"/>
      <c r="D179" s="1530"/>
      <c r="E179" s="851"/>
      <c r="F179" s="678"/>
      <c r="G179" s="679"/>
      <c r="H179" s="949"/>
      <c r="I179" s="2060"/>
      <c r="J179" s="3514" t="s">
        <v>356</v>
      </c>
      <c r="K179" s="3515"/>
      <c r="L179" s="3515"/>
      <c r="M179" s="3515"/>
      <c r="N179" s="3515"/>
      <c r="O179" s="869" t="s">
        <v>20</v>
      </c>
      <c r="P179" s="683" t="s">
        <v>20</v>
      </c>
      <c r="Q179" s="3163"/>
      <c r="R179" s="683"/>
      <c r="S179" s="684">
        <v>20400000</v>
      </c>
      <c r="T179" s="684" t="s">
        <v>0</v>
      </c>
      <c r="U179" s="683"/>
      <c r="V179" s="684">
        <v>1</v>
      </c>
      <c r="W179" s="684" t="s">
        <v>3</v>
      </c>
      <c r="X179" s="3165" t="s">
        <v>1</v>
      </c>
      <c r="Y179" s="687">
        <f t="shared" si="27"/>
        <v>20400</v>
      </c>
      <c r="Z179" s="736">
        <f>+S179*V179</f>
        <v>20400000</v>
      </c>
      <c r="AA179" s="3386">
        <f t="shared" si="19"/>
        <v>0</v>
      </c>
      <c r="AB179" s="690"/>
    </row>
    <row r="180" spans="1:28" ht="24" customHeight="1">
      <c r="A180" s="673"/>
      <c r="B180" s="674"/>
      <c r="C180" s="675"/>
      <c r="D180" s="676"/>
      <c r="E180" s="677"/>
      <c r="F180" s="678"/>
      <c r="G180" s="679"/>
      <c r="H180" s="949"/>
      <c r="I180" s="2060"/>
      <c r="J180" s="681" t="s">
        <v>357</v>
      </c>
      <c r="K180" s="3515"/>
      <c r="L180" s="3515"/>
      <c r="M180" s="3515"/>
      <c r="N180" s="3515"/>
      <c r="O180" s="869" t="s">
        <v>20</v>
      </c>
      <c r="P180" s="683" t="s">
        <v>20</v>
      </c>
      <c r="Q180" s="3163"/>
      <c r="R180" s="683"/>
      <c r="S180" s="3164">
        <v>7096000</v>
      </c>
      <c r="T180" s="3163" t="s">
        <v>0</v>
      </c>
      <c r="U180" s="3163"/>
      <c r="V180" s="3163">
        <v>1</v>
      </c>
      <c r="W180" s="3163" t="s">
        <v>3</v>
      </c>
      <c r="X180" s="686" t="s">
        <v>1</v>
      </c>
      <c r="Y180" s="687">
        <f t="shared" si="27"/>
        <v>7096</v>
      </c>
      <c r="Z180" s="736">
        <f t="shared" ref="Z180:Z184" si="29">+S180*V180</f>
        <v>7096000</v>
      </c>
      <c r="AA180" s="3386">
        <f t="shared" si="19"/>
        <v>0</v>
      </c>
      <c r="AB180" s="690"/>
    </row>
    <row r="181" spans="1:28" ht="24" customHeight="1">
      <c r="A181" s="3114"/>
      <c r="B181" s="674"/>
      <c r="C181" s="675"/>
      <c r="D181" s="676"/>
      <c r="E181" s="677"/>
      <c r="F181" s="678"/>
      <c r="G181" s="679"/>
      <c r="H181" s="949"/>
      <c r="I181" s="2060"/>
      <c r="J181" s="681" t="s">
        <v>4081</v>
      </c>
      <c r="K181" s="3515"/>
      <c r="L181" s="3515"/>
      <c r="M181" s="3515"/>
      <c r="N181" s="3515"/>
      <c r="O181" s="3515"/>
      <c r="P181" s="683"/>
      <c r="Q181" s="684"/>
      <c r="R181" s="3524"/>
      <c r="S181" s="684">
        <v>3000000</v>
      </c>
      <c r="T181" s="684" t="s">
        <v>0</v>
      </c>
      <c r="U181" s="683"/>
      <c r="V181" s="684">
        <v>1</v>
      </c>
      <c r="W181" s="684" t="s">
        <v>6</v>
      </c>
      <c r="X181" s="686" t="s">
        <v>1</v>
      </c>
      <c r="Y181" s="687">
        <f t="shared" si="27"/>
        <v>3000</v>
      </c>
      <c r="Z181" s="736">
        <f t="shared" si="29"/>
        <v>3000000</v>
      </c>
      <c r="AA181" s="3386">
        <f t="shared" si="19"/>
        <v>0</v>
      </c>
      <c r="AB181" s="690"/>
    </row>
    <row r="182" spans="1:28" ht="24" customHeight="1">
      <c r="A182" s="673"/>
      <c r="B182" s="674"/>
      <c r="C182" s="675"/>
      <c r="D182" s="676"/>
      <c r="E182" s="677"/>
      <c r="F182" s="678"/>
      <c r="G182" s="679"/>
      <c r="H182" s="949"/>
      <c r="I182" s="2060"/>
      <c r="J182" s="681" t="s">
        <v>4082</v>
      </c>
      <c r="K182" s="3515"/>
      <c r="L182" s="3515"/>
      <c r="M182" s="3515"/>
      <c r="N182" s="3515"/>
      <c r="O182" s="869" t="s">
        <v>20</v>
      </c>
      <c r="P182" s="683" t="s">
        <v>20</v>
      </c>
      <c r="Q182" s="3163"/>
      <c r="R182" s="683"/>
      <c r="S182" s="3164">
        <v>16000000</v>
      </c>
      <c r="T182" s="3163" t="s">
        <v>0</v>
      </c>
      <c r="U182" s="3163"/>
      <c r="V182" s="3163">
        <v>1</v>
      </c>
      <c r="W182" s="3163" t="s">
        <v>3</v>
      </c>
      <c r="X182" s="3165" t="s">
        <v>1</v>
      </c>
      <c r="Y182" s="687">
        <f t="shared" si="27"/>
        <v>16000</v>
      </c>
      <c r="Z182" s="736">
        <f t="shared" si="29"/>
        <v>16000000</v>
      </c>
      <c r="AA182" s="3386">
        <f t="shared" si="19"/>
        <v>0</v>
      </c>
      <c r="AB182" s="690"/>
    </row>
    <row r="183" spans="1:28" ht="24" customHeight="1">
      <c r="A183" s="673"/>
      <c r="B183" s="674"/>
      <c r="C183" s="675"/>
      <c r="D183" s="1530"/>
      <c r="E183" s="677"/>
      <c r="F183" s="678"/>
      <c r="G183" s="679"/>
      <c r="H183" s="949"/>
      <c r="I183" s="2060"/>
      <c r="J183" s="681" t="s">
        <v>4083</v>
      </c>
      <c r="K183" s="3515"/>
      <c r="L183" s="3515"/>
      <c r="M183" s="3515"/>
      <c r="N183" s="3515"/>
      <c r="O183" s="869" t="s">
        <v>20</v>
      </c>
      <c r="P183" s="683" t="s">
        <v>20</v>
      </c>
      <c r="Q183" s="3163"/>
      <c r="R183" s="683"/>
      <c r="S183" s="3164">
        <v>7164000</v>
      </c>
      <c r="T183" s="3163" t="s">
        <v>0</v>
      </c>
      <c r="U183" s="3163"/>
      <c r="V183" s="3163">
        <v>1</v>
      </c>
      <c r="W183" s="3163" t="s">
        <v>3</v>
      </c>
      <c r="X183" s="3165" t="s">
        <v>1</v>
      </c>
      <c r="Y183" s="687">
        <f t="shared" si="27"/>
        <v>7164</v>
      </c>
      <c r="Z183" s="736">
        <f t="shared" si="29"/>
        <v>7164000</v>
      </c>
      <c r="AA183" s="3386">
        <f t="shared" si="19"/>
        <v>0</v>
      </c>
      <c r="AB183" s="690"/>
    </row>
    <row r="184" spans="1:28" ht="24" customHeight="1">
      <c r="A184" s="673"/>
      <c r="B184" s="674"/>
      <c r="C184" s="675"/>
      <c r="D184" s="1530"/>
      <c r="E184" s="677"/>
      <c r="F184" s="678"/>
      <c r="G184" s="679"/>
      <c r="H184" s="949"/>
      <c r="I184" s="2060"/>
      <c r="J184" s="681" t="s">
        <v>4084</v>
      </c>
      <c r="K184" s="3515"/>
      <c r="L184" s="3515"/>
      <c r="M184" s="3515"/>
      <c r="N184" s="3515"/>
      <c r="O184" s="869" t="s">
        <v>20</v>
      </c>
      <c r="P184" s="683" t="s">
        <v>20</v>
      </c>
      <c r="Q184" s="3163"/>
      <c r="R184" s="683"/>
      <c r="S184" s="3164">
        <v>3000000</v>
      </c>
      <c r="T184" s="3163" t="s">
        <v>0</v>
      </c>
      <c r="U184" s="3163"/>
      <c r="V184" s="3163">
        <v>1</v>
      </c>
      <c r="W184" s="3163" t="s">
        <v>3</v>
      </c>
      <c r="X184" s="3165" t="s">
        <v>1</v>
      </c>
      <c r="Y184" s="687">
        <f>+Z184/1000</f>
        <v>3000</v>
      </c>
      <c r="Z184" s="736">
        <f t="shared" si="29"/>
        <v>3000000</v>
      </c>
      <c r="AA184" s="3386">
        <f t="shared" si="19"/>
        <v>0</v>
      </c>
      <c r="AB184" s="690"/>
    </row>
    <row r="185" spans="1:28" ht="24" customHeight="1">
      <c r="A185" s="673"/>
      <c r="B185" s="674"/>
      <c r="C185" s="675"/>
      <c r="D185" s="1530"/>
      <c r="E185" s="677" t="s">
        <v>70</v>
      </c>
      <c r="F185" s="678">
        <f t="shared" si="25"/>
        <v>2035</v>
      </c>
      <c r="G185" s="679">
        <v>2035</v>
      </c>
      <c r="H185" s="680"/>
      <c r="I185" s="2060"/>
      <c r="J185" s="681" t="s">
        <v>4085</v>
      </c>
      <c r="K185" s="3515"/>
      <c r="L185" s="3515"/>
      <c r="M185" s="3515"/>
      <c r="N185" s="3515"/>
      <c r="O185" s="3515"/>
      <c r="P185" s="683"/>
      <c r="Q185" s="684">
        <v>1</v>
      </c>
      <c r="R185" s="3524" t="s">
        <v>3</v>
      </c>
      <c r="S185" s="684">
        <v>2035000</v>
      </c>
      <c r="T185" s="684" t="s">
        <v>0</v>
      </c>
      <c r="U185" s="683"/>
      <c r="V185" s="684">
        <v>1</v>
      </c>
      <c r="W185" s="684" t="s">
        <v>3</v>
      </c>
      <c r="X185" s="686" t="s">
        <v>1</v>
      </c>
      <c r="Y185" s="687">
        <f t="shared" si="27"/>
        <v>2035</v>
      </c>
      <c r="Z185" s="736">
        <f t="shared" si="28"/>
        <v>2035000</v>
      </c>
      <c r="AA185" s="3386">
        <f t="shared" si="19"/>
        <v>2035000000</v>
      </c>
      <c r="AB185" s="690"/>
    </row>
    <row r="186" spans="1:28" ht="24" customHeight="1">
      <c r="A186" s="673"/>
      <c r="B186" s="674"/>
      <c r="C186" s="675"/>
      <c r="D186" s="1530"/>
      <c r="E186" s="677" t="s">
        <v>62</v>
      </c>
      <c r="F186" s="678">
        <f t="shared" si="25"/>
        <v>2500</v>
      </c>
      <c r="G186" s="679">
        <v>2500</v>
      </c>
      <c r="H186" s="680"/>
      <c r="I186" s="2060"/>
      <c r="J186" s="681" t="s">
        <v>129</v>
      </c>
      <c r="K186" s="3515"/>
      <c r="L186" s="3515"/>
      <c r="M186" s="3515"/>
      <c r="N186" s="3515"/>
      <c r="O186" s="3515"/>
      <c r="P186" s="683"/>
      <c r="Q186" s="684"/>
      <c r="R186" s="3524"/>
      <c r="S186" s="684">
        <v>2500000</v>
      </c>
      <c r="T186" s="684" t="s">
        <v>0</v>
      </c>
      <c r="U186" s="683"/>
      <c r="V186" s="684">
        <v>1</v>
      </c>
      <c r="W186" s="684" t="s">
        <v>3</v>
      </c>
      <c r="X186" s="686" t="s">
        <v>1</v>
      </c>
      <c r="Y186" s="687">
        <f t="shared" si="27"/>
        <v>2500</v>
      </c>
      <c r="Z186" s="736">
        <f>+S186*V186</f>
        <v>2500000</v>
      </c>
      <c r="AA186" s="3386">
        <f t="shared" si="19"/>
        <v>2500000000</v>
      </c>
      <c r="AB186" s="690"/>
    </row>
    <row r="187" spans="1:28" ht="24" customHeight="1">
      <c r="A187" s="673"/>
      <c r="B187" s="674"/>
      <c r="C187" s="675"/>
      <c r="D187" s="676"/>
      <c r="E187" s="677" t="s">
        <v>61</v>
      </c>
      <c r="F187" s="678">
        <f t="shared" si="25"/>
        <v>1900</v>
      </c>
      <c r="G187" s="679">
        <v>1800</v>
      </c>
      <c r="H187" s="680">
        <f>F187-G187</f>
        <v>100</v>
      </c>
      <c r="I187" s="2060"/>
      <c r="J187" s="681" t="s">
        <v>130</v>
      </c>
      <c r="K187" s="3515"/>
      <c r="L187" s="3515"/>
      <c r="M187" s="3515"/>
      <c r="N187" s="3515"/>
      <c r="O187" s="3515"/>
      <c r="P187" s="683"/>
      <c r="Q187" s="684">
        <v>19</v>
      </c>
      <c r="R187" s="3524" t="s">
        <v>4086</v>
      </c>
      <c r="S187" s="684">
        <v>10000</v>
      </c>
      <c r="T187" s="684" t="s">
        <v>0</v>
      </c>
      <c r="U187" s="683"/>
      <c r="V187" s="684">
        <v>10</v>
      </c>
      <c r="W187" s="684" t="s">
        <v>3</v>
      </c>
      <c r="X187" s="686" t="s">
        <v>1</v>
      </c>
      <c r="Y187" s="687">
        <f t="shared" si="27"/>
        <v>1900</v>
      </c>
      <c r="Z187" s="736">
        <f t="shared" si="28"/>
        <v>1900000</v>
      </c>
      <c r="AA187" s="3386">
        <f t="shared" si="19"/>
        <v>1900000000</v>
      </c>
      <c r="AB187" s="690"/>
    </row>
    <row r="188" spans="1:28" ht="24" customHeight="1">
      <c r="A188" s="3114"/>
      <c r="B188" s="674"/>
      <c r="C188" s="675"/>
      <c r="D188" s="676"/>
      <c r="E188" s="677" t="s">
        <v>60</v>
      </c>
      <c r="F188" s="678">
        <f t="shared" si="25"/>
        <v>1206</v>
      </c>
      <c r="G188" s="679">
        <v>1206</v>
      </c>
      <c r="H188" s="699"/>
      <c r="I188" s="2060"/>
      <c r="J188" s="681" t="s">
        <v>359</v>
      </c>
      <c r="K188" s="3163"/>
      <c r="L188" s="3163"/>
      <c r="M188" s="3163"/>
      <c r="N188" s="3164"/>
      <c r="O188" s="3163"/>
      <c r="P188" s="3163"/>
      <c r="Q188" s="869">
        <v>1</v>
      </c>
      <c r="R188" s="3163" t="s">
        <v>6</v>
      </c>
      <c r="S188" s="3164">
        <v>1206000</v>
      </c>
      <c r="T188" s="3163" t="s">
        <v>0</v>
      </c>
      <c r="U188" s="3163"/>
      <c r="V188" s="869">
        <v>1</v>
      </c>
      <c r="W188" s="3163" t="s">
        <v>3</v>
      </c>
      <c r="X188" s="3165" t="s">
        <v>1</v>
      </c>
      <c r="Y188" s="687">
        <f t="shared" si="27"/>
        <v>1206</v>
      </c>
      <c r="Z188" s="736">
        <f t="shared" si="28"/>
        <v>1206000</v>
      </c>
      <c r="AA188" s="3386">
        <f t="shared" si="19"/>
        <v>1206000000</v>
      </c>
      <c r="AB188" s="690"/>
    </row>
    <row r="189" spans="1:28" ht="24" customHeight="1">
      <c r="A189" s="1931"/>
      <c r="B189" s="630"/>
      <c r="C189" s="468"/>
      <c r="D189" s="3837" t="s">
        <v>2776</v>
      </c>
      <c r="E189" s="3838"/>
      <c r="F189" s="663">
        <f>SUM(F190:F197)</f>
        <v>20000</v>
      </c>
      <c r="G189" s="663">
        <f>SUM(G190:G197)</f>
        <v>20000</v>
      </c>
      <c r="H189" s="769">
        <f>F189-G189</f>
        <v>0</v>
      </c>
      <c r="I189" s="471"/>
      <c r="J189" s="665"/>
      <c r="K189" s="1963"/>
      <c r="L189" s="1963"/>
      <c r="M189" s="1963"/>
      <c r="N189" s="1963"/>
      <c r="O189" s="1963"/>
      <c r="P189" s="645"/>
      <c r="Q189" s="1963"/>
      <c r="R189" s="651"/>
      <c r="S189" s="645"/>
      <c r="T189" s="1963"/>
      <c r="U189" s="1963"/>
      <c r="V189" s="645"/>
      <c r="W189" s="1963"/>
      <c r="X189" s="666"/>
      <c r="Y189" s="667"/>
      <c r="Z189" s="1675">
        <f>Z190+Z191+Z192+Z196+Z197</f>
        <v>20000000</v>
      </c>
      <c r="AA189" s="1185">
        <f t="shared" si="19"/>
        <v>20000000000</v>
      </c>
      <c r="AB189" s="690"/>
    </row>
    <row r="190" spans="1:28" s="668" customFormat="1" ht="24" customHeight="1">
      <c r="A190" s="1931"/>
      <c r="B190" s="630"/>
      <c r="C190" s="468"/>
      <c r="D190" s="670"/>
      <c r="E190" s="535" t="s">
        <v>57</v>
      </c>
      <c r="F190" s="558">
        <f t="shared" ref="F190:F192" si="30">+Y190</f>
        <v>5000</v>
      </c>
      <c r="G190" s="550">
        <v>5000</v>
      </c>
      <c r="H190" s="551"/>
      <c r="I190" s="471"/>
      <c r="J190" s="1964" t="s">
        <v>2777</v>
      </c>
      <c r="K190" s="1946"/>
      <c r="L190" s="1946"/>
      <c r="M190" s="1946"/>
      <c r="N190" s="1946"/>
      <c r="O190" s="1946"/>
      <c r="P190" s="479"/>
      <c r="Q190" s="1965"/>
      <c r="R190" s="1948"/>
      <c r="S190" s="1965">
        <v>5000000</v>
      </c>
      <c r="T190" s="1965" t="s">
        <v>0</v>
      </c>
      <c r="U190" s="479"/>
      <c r="V190" s="1965">
        <v>1</v>
      </c>
      <c r="W190" s="1965" t="s">
        <v>3</v>
      </c>
      <c r="X190" s="671"/>
      <c r="Y190" s="560">
        <f>+Z190/1000</f>
        <v>5000</v>
      </c>
      <c r="Z190" s="482">
        <f t="shared" ref="Z190:Z191" si="31">+S190*V190</f>
        <v>5000000</v>
      </c>
      <c r="AA190" s="1185">
        <f t="shared" si="19"/>
        <v>5000000000</v>
      </c>
      <c r="AB190" s="669"/>
    </row>
    <row r="191" spans="1:28" s="668" customFormat="1" ht="24" customHeight="1">
      <c r="A191" s="1931"/>
      <c r="B191" s="630"/>
      <c r="C191" s="468"/>
      <c r="D191" s="670"/>
      <c r="E191" s="535" t="s">
        <v>2775</v>
      </c>
      <c r="F191" s="558">
        <f t="shared" si="30"/>
        <v>200</v>
      </c>
      <c r="G191" s="558">
        <v>200</v>
      </c>
      <c r="H191" s="551"/>
      <c r="I191" s="471"/>
      <c r="J191" s="1964" t="s">
        <v>2778</v>
      </c>
      <c r="K191" s="1946"/>
      <c r="L191" s="1946"/>
      <c r="M191" s="1946"/>
      <c r="N191" s="1946"/>
      <c r="O191" s="1946"/>
      <c r="P191" s="479"/>
      <c r="Q191" s="1965"/>
      <c r="R191" s="1948"/>
      <c r="S191" s="1965">
        <v>200000</v>
      </c>
      <c r="T191" s="1965" t="s">
        <v>0</v>
      </c>
      <c r="U191" s="479"/>
      <c r="V191" s="1965">
        <v>1</v>
      </c>
      <c r="W191" s="1965" t="s">
        <v>3</v>
      </c>
      <c r="X191" s="553" t="s">
        <v>1</v>
      </c>
      <c r="Y191" s="560">
        <f t="shared" ref="Y191:Y197" si="32">+Z191/1000</f>
        <v>200</v>
      </c>
      <c r="Z191" s="482">
        <f t="shared" si="31"/>
        <v>200000</v>
      </c>
      <c r="AA191" s="1185">
        <f t="shared" si="19"/>
        <v>200000000</v>
      </c>
      <c r="AB191" s="669"/>
    </row>
    <row r="192" spans="1:28" s="668" customFormat="1" ht="24" customHeight="1">
      <c r="A192" s="1931"/>
      <c r="B192" s="630"/>
      <c r="C192" s="468"/>
      <c r="D192" s="670"/>
      <c r="E192" s="535" t="s">
        <v>71</v>
      </c>
      <c r="F192" s="558">
        <f t="shared" si="30"/>
        <v>13600</v>
      </c>
      <c r="G192" s="558">
        <v>13600</v>
      </c>
      <c r="H192" s="551"/>
      <c r="I192" s="471"/>
      <c r="J192" s="1964" t="s">
        <v>8</v>
      </c>
      <c r="K192" s="1946"/>
      <c r="L192" s="1946"/>
      <c r="M192" s="1946"/>
      <c r="N192" s="672"/>
      <c r="O192" s="473"/>
      <c r="P192" s="479"/>
      <c r="Q192" s="1965"/>
      <c r="R192" s="1948"/>
      <c r="S192" s="1965"/>
      <c r="T192" s="1965"/>
      <c r="U192" s="479"/>
      <c r="V192" s="1965"/>
      <c r="W192" s="1965"/>
      <c r="X192" s="553"/>
      <c r="Y192" s="560">
        <f t="shared" si="32"/>
        <v>13600</v>
      </c>
      <c r="Z192" s="482">
        <f>SUM(Z193:Z195)</f>
        <v>13600000</v>
      </c>
      <c r="AA192" s="1185">
        <f t="shared" si="19"/>
        <v>13600000000</v>
      </c>
      <c r="AB192" s="669"/>
    </row>
    <row r="193" spans="1:33" s="668" customFormat="1" ht="24" customHeight="1">
      <c r="A193" s="1931"/>
      <c r="B193" s="630"/>
      <c r="C193" s="468"/>
      <c r="D193" s="670"/>
      <c r="E193" s="624"/>
      <c r="F193" s="558"/>
      <c r="G193" s="550"/>
      <c r="H193" s="551"/>
      <c r="I193" s="471"/>
      <c r="J193" s="1945" t="s">
        <v>356</v>
      </c>
      <c r="K193" s="1946"/>
      <c r="L193" s="1946"/>
      <c r="M193" s="1946"/>
      <c r="N193" s="1946"/>
      <c r="O193" s="475" t="s">
        <v>20</v>
      </c>
      <c r="P193" s="479" t="s">
        <v>20</v>
      </c>
      <c r="Q193" s="473"/>
      <c r="R193" s="479"/>
      <c r="S193" s="1965">
        <v>6000000</v>
      </c>
      <c r="T193" s="1965" t="s">
        <v>0</v>
      </c>
      <c r="U193" s="479"/>
      <c r="V193" s="1965">
        <v>1</v>
      </c>
      <c r="W193" s="1965" t="s">
        <v>3</v>
      </c>
      <c r="X193" s="542" t="s">
        <v>1</v>
      </c>
      <c r="Y193" s="560">
        <f t="shared" si="32"/>
        <v>6000</v>
      </c>
      <c r="Z193" s="482">
        <f>+S193*V193</f>
        <v>6000000</v>
      </c>
      <c r="AA193" s="1185">
        <f t="shared" si="19"/>
        <v>0</v>
      </c>
      <c r="AB193" s="669"/>
    </row>
    <row r="194" spans="1:33" s="668" customFormat="1" ht="24" customHeight="1">
      <c r="A194" s="1931"/>
      <c r="B194" s="630"/>
      <c r="C194" s="468"/>
      <c r="D194" s="505"/>
      <c r="E194" s="535"/>
      <c r="F194" s="558"/>
      <c r="G194" s="550"/>
      <c r="H194" s="551"/>
      <c r="I194" s="471"/>
      <c r="J194" s="1964" t="s">
        <v>357</v>
      </c>
      <c r="K194" s="1946"/>
      <c r="L194" s="1946"/>
      <c r="M194" s="1946"/>
      <c r="N194" s="1946"/>
      <c r="O194" s="475" t="s">
        <v>20</v>
      </c>
      <c r="P194" s="479" t="s">
        <v>20</v>
      </c>
      <c r="Q194" s="473"/>
      <c r="R194" s="479"/>
      <c r="S194" s="474">
        <v>2600000</v>
      </c>
      <c r="T194" s="473" t="s">
        <v>0</v>
      </c>
      <c r="U194" s="473"/>
      <c r="V194" s="473">
        <v>1</v>
      </c>
      <c r="W194" s="473" t="s">
        <v>3</v>
      </c>
      <c r="X194" s="553" t="s">
        <v>1</v>
      </c>
      <c r="Y194" s="560">
        <f t="shared" si="32"/>
        <v>2600</v>
      </c>
      <c r="Z194" s="482">
        <f t="shared" ref="Z194:Z195" si="33">+S194*V194</f>
        <v>2600000</v>
      </c>
      <c r="AA194" s="1185">
        <f t="shared" si="19"/>
        <v>0</v>
      </c>
      <c r="AB194" s="669"/>
    </row>
    <row r="195" spans="1:33" s="668" customFormat="1" ht="24" customHeight="1">
      <c r="A195" s="1931"/>
      <c r="B195" s="630"/>
      <c r="C195" s="468"/>
      <c r="D195" s="505"/>
      <c r="E195" s="535"/>
      <c r="F195" s="558"/>
      <c r="G195" s="550"/>
      <c r="H195" s="551"/>
      <c r="I195" s="471"/>
      <c r="J195" s="1964" t="s">
        <v>2779</v>
      </c>
      <c r="K195" s="1946"/>
      <c r="L195" s="1946"/>
      <c r="M195" s="1946"/>
      <c r="N195" s="1946"/>
      <c r="O195" s="1946"/>
      <c r="P195" s="479"/>
      <c r="Q195" s="1965"/>
      <c r="R195" s="1948"/>
      <c r="S195" s="1965">
        <v>5000000</v>
      </c>
      <c r="T195" s="1965" t="s">
        <v>0</v>
      </c>
      <c r="U195" s="479"/>
      <c r="V195" s="1965">
        <v>1</v>
      </c>
      <c r="W195" s="1965" t="s">
        <v>6</v>
      </c>
      <c r="X195" s="553" t="s">
        <v>1</v>
      </c>
      <c r="Y195" s="560">
        <f t="shared" si="32"/>
        <v>5000</v>
      </c>
      <c r="Z195" s="482">
        <f t="shared" si="33"/>
        <v>5000000</v>
      </c>
      <c r="AA195" s="1185">
        <f t="shared" si="19"/>
        <v>0</v>
      </c>
      <c r="AB195" s="669"/>
    </row>
    <row r="196" spans="1:33" s="668" customFormat="1" ht="24" customHeight="1">
      <c r="A196" s="1931"/>
      <c r="B196" s="630"/>
      <c r="C196" s="468"/>
      <c r="D196" s="670"/>
      <c r="E196" s="535" t="s">
        <v>62</v>
      </c>
      <c r="F196" s="558">
        <f t="shared" ref="F196:F197" si="34">+Y196</f>
        <v>1000</v>
      </c>
      <c r="G196" s="550">
        <v>1000</v>
      </c>
      <c r="H196" s="551"/>
      <c r="I196" s="471"/>
      <c r="J196" s="1964" t="s">
        <v>129</v>
      </c>
      <c r="K196" s="1946"/>
      <c r="L196" s="1946"/>
      <c r="M196" s="1946"/>
      <c r="N196" s="1946"/>
      <c r="O196" s="1946"/>
      <c r="P196" s="479"/>
      <c r="Q196" s="1965"/>
      <c r="R196" s="1948"/>
      <c r="S196" s="1965">
        <v>1000000</v>
      </c>
      <c r="T196" s="1965" t="s">
        <v>0</v>
      </c>
      <c r="U196" s="479"/>
      <c r="V196" s="1965">
        <v>1</v>
      </c>
      <c r="W196" s="1965" t="s">
        <v>3</v>
      </c>
      <c r="X196" s="553" t="s">
        <v>1</v>
      </c>
      <c r="Y196" s="560">
        <f t="shared" si="32"/>
        <v>1000</v>
      </c>
      <c r="Z196" s="482">
        <f>+S196*V196</f>
        <v>1000000</v>
      </c>
      <c r="AA196" s="1185">
        <f t="shared" si="19"/>
        <v>1000000000</v>
      </c>
      <c r="AB196" s="669"/>
    </row>
    <row r="197" spans="1:33" s="668" customFormat="1" ht="24" customHeight="1">
      <c r="A197" s="1931"/>
      <c r="B197" s="630"/>
      <c r="C197" s="468"/>
      <c r="D197" s="505"/>
      <c r="E197" s="535" t="s">
        <v>61</v>
      </c>
      <c r="F197" s="558">
        <f t="shared" si="34"/>
        <v>200</v>
      </c>
      <c r="G197" s="550">
        <v>200</v>
      </c>
      <c r="H197" s="551"/>
      <c r="I197" s="471"/>
      <c r="J197" s="1964" t="s">
        <v>130</v>
      </c>
      <c r="K197" s="1946"/>
      <c r="L197" s="1946"/>
      <c r="M197" s="1946"/>
      <c r="N197" s="1946"/>
      <c r="O197" s="1946"/>
      <c r="P197" s="479"/>
      <c r="Q197" s="1965">
        <v>1</v>
      </c>
      <c r="R197" s="1948" t="s">
        <v>31</v>
      </c>
      <c r="S197" s="1965">
        <v>100000</v>
      </c>
      <c r="T197" s="1965" t="s">
        <v>0</v>
      </c>
      <c r="U197" s="479"/>
      <c r="V197" s="1965">
        <v>2</v>
      </c>
      <c r="W197" s="1965" t="s">
        <v>3</v>
      </c>
      <c r="X197" s="553" t="s">
        <v>1</v>
      </c>
      <c r="Y197" s="560">
        <f t="shared" si="32"/>
        <v>200</v>
      </c>
      <c r="Z197" s="482">
        <f t="shared" ref="Z197" si="35">+S197*V197*Q197</f>
        <v>200000</v>
      </c>
      <c r="AA197" s="1185">
        <f t="shared" si="19"/>
        <v>200000000</v>
      </c>
      <c r="AB197" s="669"/>
    </row>
    <row r="198" spans="1:33" s="668" customFormat="1" ht="21.6" customHeight="1">
      <c r="A198" s="673"/>
      <c r="B198" s="674"/>
      <c r="C198" s="1956" t="s">
        <v>2780</v>
      </c>
      <c r="D198" s="1969"/>
      <c r="E198" s="1952"/>
      <c r="F198" s="1192">
        <f>SUM(F199,F209,F220,F230,F237)</f>
        <v>232000</v>
      </c>
      <c r="G198" s="1192">
        <f>SUM(G199,G209,G220,G230,G237)</f>
        <v>232000</v>
      </c>
      <c r="H198" s="933">
        <f>F198-G198</f>
        <v>0</v>
      </c>
      <c r="I198" s="920"/>
      <c r="J198" s="1074"/>
      <c r="K198" s="938"/>
      <c r="L198" s="938"/>
      <c r="M198" s="938"/>
      <c r="N198" s="938"/>
      <c r="O198" s="938"/>
      <c r="P198" s="938"/>
      <c r="Q198" s="1250"/>
      <c r="R198" s="938"/>
      <c r="S198" s="938"/>
      <c r="T198" s="938"/>
      <c r="U198" s="938"/>
      <c r="V198" s="938"/>
      <c r="W198" s="938"/>
      <c r="X198" s="1973"/>
      <c r="Y198" s="1381"/>
      <c r="Z198" s="736"/>
      <c r="AA198" s="1185">
        <f t="shared" si="19"/>
        <v>232000000000</v>
      </c>
      <c r="AB198" s="669"/>
    </row>
    <row r="199" spans="1:33" ht="21.6" customHeight="1">
      <c r="A199" s="673"/>
      <c r="B199" s="1533"/>
      <c r="C199" s="675"/>
      <c r="D199" s="3996" t="s">
        <v>2781</v>
      </c>
      <c r="E199" s="3997"/>
      <c r="F199" s="1529">
        <f>SUM(F200:F208)</f>
        <v>10000</v>
      </c>
      <c r="G199" s="663">
        <f>SUM(G200:G208)</f>
        <v>10000</v>
      </c>
      <c r="H199" s="1208">
        <f>F199-G199</f>
        <v>0</v>
      </c>
      <c r="I199" s="920"/>
      <c r="J199" s="1074"/>
      <c r="K199" s="1957"/>
      <c r="L199" s="1957"/>
      <c r="M199" s="1957"/>
      <c r="N199" s="1957"/>
      <c r="O199" s="1957"/>
      <c r="P199" s="1075"/>
      <c r="Q199" s="1957"/>
      <c r="R199" s="1259"/>
      <c r="S199" s="1075"/>
      <c r="T199" s="1957"/>
      <c r="U199" s="1957"/>
      <c r="V199" s="1075"/>
      <c r="W199" s="1957"/>
      <c r="X199" s="1260"/>
      <c r="Y199" s="940"/>
      <c r="Z199" s="736" t="e">
        <f>+Z206+Z201+#REF!+Z205++#REF!+#REF!</f>
        <v>#REF!</v>
      </c>
      <c r="AA199" s="1185">
        <f t="shared" si="19"/>
        <v>10000000000</v>
      </c>
      <c r="AB199" s="690"/>
    </row>
    <row r="200" spans="1:33" ht="21.6" customHeight="1">
      <c r="A200" s="3412"/>
      <c r="B200" s="1533"/>
      <c r="C200" s="675"/>
      <c r="D200" s="3411"/>
      <c r="E200" s="2132" t="s">
        <v>5451</v>
      </c>
      <c r="F200" s="678">
        <f t="shared" ref="F200:F208" si="36">+Y200</f>
        <v>500</v>
      </c>
      <c r="G200" s="679">
        <v>0</v>
      </c>
      <c r="H200" s="680">
        <f>F200-G200</f>
        <v>500</v>
      </c>
      <c r="I200" s="2060"/>
      <c r="J200" s="681" t="s">
        <v>5453</v>
      </c>
      <c r="K200" s="3515"/>
      <c r="L200" s="3515"/>
      <c r="M200" s="3515"/>
      <c r="N200" s="3515"/>
      <c r="O200" s="3515"/>
      <c r="P200" s="683"/>
      <c r="Q200" s="684"/>
      <c r="R200" s="3524"/>
      <c r="S200" s="684">
        <v>500000</v>
      </c>
      <c r="T200" s="684" t="s">
        <v>5407</v>
      </c>
      <c r="U200" s="683"/>
      <c r="V200" s="684">
        <v>1</v>
      </c>
      <c r="W200" s="3163" t="s">
        <v>5413</v>
      </c>
      <c r="X200" s="3165" t="s">
        <v>1</v>
      </c>
      <c r="Y200" s="2630">
        <v>500</v>
      </c>
      <c r="Z200" s="736">
        <v>500000</v>
      </c>
      <c r="AA200" s="3386">
        <f t="shared" si="19"/>
        <v>500000000</v>
      </c>
      <c r="AB200" s="690"/>
    </row>
    <row r="201" spans="1:33" ht="21.6" customHeight="1">
      <c r="A201" s="673"/>
      <c r="B201" s="674"/>
      <c r="C201" s="675"/>
      <c r="D201" s="729"/>
      <c r="E201" s="677" t="s">
        <v>57</v>
      </c>
      <c r="F201" s="678">
        <f t="shared" ref="F201" si="37">+Y201</f>
        <v>2500</v>
      </c>
      <c r="G201" s="679">
        <v>1900</v>
      </c>
      <c r="H201" s="680">
        <f>F201-G201</f>
        <v>600</v>
      </c>
      <c r="I201" s="2060"/>
      <c r="J201" s="3191" t="s">
        <v>5454</v>
      </c>
      <c r="K201" s="684"/>
      <c r="L201" s="684"/>
      <c r="M201" s="3515"/>
      <c r="N201" s="3515"/>
      <c r="O201" s="3515"/>
      <c r="P201" s="683"/>
      <c r="Q201" s="684"/>
      <c r="R201" s="3524"/>
      <c r="S201" s="684">
        <v>2500000</v>
      </c>
      <c r="T201" s="684" t="s">
        <v>0</v>
      </c>
      <c r="U201" s="683"/>
      <c r="V201" s="684">
        <v>1</v>
      </c>
      <c r="W201" s="3524" t="s">
        <v>3</v>
      </c>
      <c r="X201" s="686" t="s">
        <v>1</v>
      </c>
      <c r="Y201" s="2630">
        <v>2500</v>
      </c>
      <c r="Z201" s="736">
        <v>2500000</v>
      </c>
      <c r="AA201" s="3386">
        <f t="shared" ref="AA201" si="38">F201*1000000</f>
        <v>2500000000</v>
      </c>
      <c r="AB201" s="690"/>
    </row>
    <row r="202" spans="1:33" ht="21.6" customHeight="1">
      <c r="A202" s="673"/>
      <c r="B202" s="674"/>
      <c r="C202" s="675"/>
      <c r="D202" s="729"/>
      <c r="E202" s="677" t="s">
        <v>80</v>
      </c>
      <c r="F202" s="678">
        <f t="shared" si="36"/>
        <v>200</v>
      </c>
      <c r="G202" s="679">
        <v>600</v>
      </c>
      <c r="H202" s="680">
        <f>F202-G202</f>
        <v>-400</v>
      </c>
      <c r="I202" s="2060"/>
      <c r="J202" s="3191" t="s">
        <v>5455</v>
      </c>
      <c r="K202" s="3515"/>
      <c r="L202" s="3515"/>
      <c r="M202" s="3515"/>
      <c r="N202" s="3515"/>
      <c r="O202" s="3515"/>
      <c r="P202" s="683"/>
      <c r="Q202" s="684"/>
      <c r="R202" s="3524"/>
      <c r="S202" s="684">
        <v>50000</v>
      </c>
      <c r="T202" s="684" t="s">
        <v>0</v>
      </c>
      <c r="U202" s="683"/>
      <c r="V202" s="684">
        <v>4</v>
      </c>
      <c r="W202" s="684" t="s">
        <v>3</v>
      </c>
      <c r="X202" s="686" t="s">
        <v>1</v>
      </c>
      <c r="Y202" s="2630">
        <v>200</v>
      </c>
      <c r="Z202" s="736">
        <f>+S202*V202</f>
        <v>200000</v>
      </c>
      <c r="AA202" s="3386">
        <f t="shared" si="19"/>
        <v>200000000</v>
      </c>
      <c r="AB202" s="690"/>
      <c r="AC202" s="1080"/>
      <c r="AD202" s="1080"/>
      <c r="AE202" s="1080"/>
      <c r="AF202" s="1081"/>
      <c r="AG202" s="1082"/>
    </row>
    <row r="203" spans="1:33" ht="21.6" customHeight="1">
      <c r="A203" s="673"/>
      <c r="B203" s="674"/>
      <c r="C203" s="675"/>
      <c r="D203" s="693"/>
      <c r="E203" s="677" t="s">
        <v>95</v>
      </c>
      <c r="F203" s="678">
        <f t="shared" si="36"/>
        <v>600</v>
      </c>
      <c r="G203" s="679">
        <v>600</v>
      </c>
      <c r="H203" s="680"/>
      <c r="I203" s="2060"/>
      <c r="J203" s="3191" t="s">
        <v>5448</v>
      </c>
      <c r="K203" s="3515"/>
      <c r="L203" s="3515"/>
      <c r="M203" s="3515"/>
      <c r="N203" s="3515"/>
      <c r="O203" s="3515"/>
      <c r="P203" s="683"/>
      <c r="Q203" s="684">
        <v>15</v>
      </c>
      <c r="R203" s="3524" t="s">
        <v>31</v>
      </c>
      <c r="S203" s="684">
        <v>20000</v>
      </c>
      <c r="T203" s="684" t="s">
        <v>0</v>
      </c>
      <c r="U203" s="683"/>
      <c r="V203" s="684">
        <v>2</v>
      </c>
      <c r="W203" s="684" t="s">
        <v>28</v>
      </c>
      <c r="X203" s="686" t="s">
        <v>1</v>
      </c>
      <c r="Y203" s="2630">
        <v>600</v>
      </c>
      <c r="Z203" s="736">
        <f>+S203*V203*Q203</f>
        <v>600000</v>
      </c>
      <c r="AA203" s="3386">
        <f t="shared" ref="AA203:AA208" si="39">F203*1000000</f>
        <v>600000000</v>
      </c>
      <c r="AB203" s="690"/>
    </row>
    <row r="204" spans="1:33" s="689" customFormat="1" ht="21.6" customHeight="1">
      <c r="A204" s="673"/>
      <c r="B204" s="674"/>
      <c r="C204" s="675"/>
      <c r="D204" s="729"/>
      <c r="E204" s="677" t="s">
        <v>58</v>
      </c>
      <c r="F204" s="678">
        <f t="shared" si="36"/>
        <v>5000</v>
      </c>
      <c r="G204" s="679">
        <v>5600</v>
      </c>
      <c r="H204" s="680">
        <f>F204-G204</f>
        <v>-600</v>
      </c>
      <c r="I204" s="2060"/>
      <c r="J204" s="3191" t="s">
        <v>8</v>
      </c>
      <c r="K204" s="3515"/>
      <c r="L204" s="3515"/>
      <c r="M204" s="3515"/>
      <c r="N204" s="3515"/>
      <c r="O204" s="3515"/>
      <c r="P204" s="683"/>
      <c r="Q204" s="683"/>
      <c r="R204" s="3524"/>
      <c r="S204" s="3524"/>
      <c r="T204" s="684"/>
      <c r="U204" s="684"/>
      <c r="V204" s="684"/>
      <c r="W204" s="684"/>
      <c r="X204" s="686"/>
      <c r="Y204" s="2630">
        <f t="shared" ref="Y204" si="40">+Z204/1000</f>
        <v>5000</v>
      </c>
      <c r="Z204" s="736">
        <f>SUM(Z205:Z206)</f>
        <v>5000000</v>
      </c>
      <c r="AA204" s="3386">
        <f t="shared" si="39"/>
        <v>5000000000</v>
      </c>
      <c r="AB204" s="690"/>
    </row>
    <row r="205" spans="1:33" s="689" customFormat="1" ht="21.6" customHeight="1">
      <c r="A205" s="673"/>
      <c r="B205" s="674"/>
      <c r="C205" s="675"/>
      <c r="D205" s="729"/>
      <c r="E205" s="677"/>
      <c r="F205" s="678"/>
      <c r="G205" s="679"/>
      <c r="H205" s="680"/>
      <c r="I205" s="2060"/>
      <c r="J205" s="3191" t="s">
        <v>5449</v>
      </c>
      <c r="K205" s="3515"/>
      <c r="L205" s="3515"/>
      <c r="M205" s="3515"/>
      <c r="N205" s="3515"/>
      <c r="O205" s="3515"/>
      <c r="P205" s="683"/>
      <c r="Q205" s="684">
        <v>8</v>
      </c>
      <c r="R205" s="3524" t="s">
        <v>25</v>
      </c>
      <c r="S205" s="684">
        <v>500000</v>
      </c>
      <c r="T205" s="684" t="s">
        <v>0</v>
      </c>
      <c r="U205" s="683"/>
      <c r="V205" s="684">
        <v>1</v>
      </c>
      <c r="W205" s="684" t="s">
        <v>3</v>
      </c>
      <c r="X205" s="686" t="s">
        <v>1</v>
      </c>
      <c r="Y205" s="2630">
        <v>4000</v>
      </c>
      <c r="Z205" s="736">
        <f>+S205*V205*Q205</f>
        <v>4000000</v>
      </c>
      <c r="AA205" s="3386">
        <f t="shared" si="39"/>
        <v>0</v>
      </c>
      <c r="AB205" s="690"/>
    </row>
    <row r="206" spans="1:33" ht="21.6" customHeight="1">
      <c r="A206" s="673"/>
      <c r="B206" s="674"/>
      <c r="C206" s="675"/>
      <c r="D206" s="729"/>
      <c r="E206" s="677"/>
      <c r="F206" s="678"/>
      <c r="G206" s="679"/>
      <c r="H206" s="680"/>
      <c r="I206" s="2060"/>
      <c r="J206" s="3191" t="s">
        <v>5450</v>
      </c>
      <c r="K206" s="3515"/>
      <c r="L206" s="3515"/>
      <c r="M206" s="3515"/>
      <c r="N206" s="3515"/>
      <c r="O206" s="3515"/>
      <c r="P206" s="683"/>
      <c r="Q206" s="684">
        <v>1</v>
      </c>
      <c r="R206" s="3524" t="s">
        <v>25</v>
      </c>
      <c r="S206" s="684">
        <v>1000000</v>
      </c>
      <c r="T206" s="684" t="s">
        <v>0</v>
      </c>
      <c r="U206" s="683"/>
      <c r="V206" s="684">
        <v>1</v>
      </c>
      <c r="W206" s="684" t="s">
        <v>3</v>
      </c>
      <c r="X206" s="686" t="s">
        <v>1</v>
      </c>
      <c r="Y206" s="2630">
        <v>1000</v>
      </c>
      <c r="Z206" s="736">
        <f>+S206*V206*Q206</f>
        <v>1000000</v>
      </c>
      <c r="AA206" s="3386">
        <f t="shared" si="39"/>
        <v>0</v>
      </c>
      <c r="AB206" s="690"/>
    </row>
    <row r="207" spans="1:33" ht="21.6" customHeight="1">
      <c r="A207" s="673"/>
      <c r="B207" s="674"/>
      <c r="C207" s="675"/>
      <c r="D207" s="729"/>
      <c r="E207" s="677" t="s">
        <v>62</v>
      </c>
      <c r="F207" s="678">
        <f t="shared" si="36"/>
        <v>800</v>
      </c>
      <c r="G207" s="679">
        <v>300</v>
      </c>
      <c r="H207" s="680">
        <f>F207-G207</f>
        <v>500</v>
      </c>
      <c r="I207" s="2060"/>
      <c r="J207" s="3191" t="s">
        <v>360</v>
      </c>
      <c r="K207" s="3515"/>
      <c r="L207" s="3515"/>
      <c r="M207" s="3515"/>
      <c r="N207" s="3515"/>
      <c r="O207" s="3515"/>
      <c r="P207" s="683"/>
      <c r="Q207" s="684"/>
      <c r="R207" s="3524"/>
      <c r="S207" s="684">
        <v>100000</v>
      </c>
      <c r="T207" s="684" t="s">
        <v>0</v>
      </c>
      <c r="U207" s="683"/>
      <c r="V207" s="684">
        <v>8</v>
      </c>
      <c r="W207" s="684" t="s">
        <v>3</v>
      </c>
      <c r="X207" s="686" t="s">
        <v>1</v>
      </c>
      <c r="Y207" s="2630">
        <v>800</v>
      </c>
      <c r="Z207" s="736">
        <f t="shared" ref="Z207" si="41">+S207*V207</f>
        <v>800000</v>
      </c>
      <c r="AA207" s="3386">
        <f t="shared" si="39"/>
        <v>800000000</v>
      </c>
      <c r="AB207" s="690"/>
    </row>
    <row r="208" spans="1:33" ht="21.6" customHeight="1">
      <c r="A208" s="673"/>
      <c r="B208" s="674"/>
      <c r="C208" s="675"/>
      <c r="D208" s="729"/>
      <c r="E208" s="2039" t="s">
        <v>61</v>
      </c>
      <c r="F208" s="678">
        <f t="shared" si="36"/>
        <v>400</v>
      </c>
      <c r="G208" s="679">
        <v>1000</v>
      </c>
      <c r="H208" s="680">
        <f>F208-G208</f>
        <v>-600</v>
      </c>
      <c r="I208" s="2060"/>
      <c r="J208" s="3191" t="s">
        <v>133</v>
      </c>
      <c r="K208" s="3515"/>
      <c r="L208" s="3515"/>
      <c r="M208" s="3515" t="s">
        <v>361</v>
      </c>
      <c r="N208" s="3515"/>
      <c r="O208" s="3515"/>
      <c r="P208" s="683"/>
      <c r="Q208" s="684">
        <v>5</v>
      </c>
      <c r="R208" s="3524" t="s">
        <v>25</v>
      </c>
      <c r="S208" s="684">
        <v>20000</v>
      </c>
      <c r="T208" s="684" t="s">
        <v>0</v>
      </c>
      <c r="U208" s="683"/>
      <c r="V208" s="684">
        <v>4</v>
      </c>
      <c r="W208" s="3163" t="s">
        <v>3</v>
      </c>
      <c r="X208" s="3165" t="s">
        <v>1</v>
      </c>
      <c r="Y208" s="2630">
        <v>400</v>
      </c>
      <c r="Z208" s="736">
        <f>+S208*V208*Q208</f>
        <v>400000</v>
      </c>
      <c r="AA208" s="3386">
        <f t="shared" si="39"/>
        <v>400000000</v>
      </c>
      <c r="AB208" s="690"/>
    </row>
    <row r="209" spans="1:29" ht="21.6" customHeight="1">
      <c r="A209" s="673"/>
      <c r="B209" s="1533"/>
      <c r="C209" s="675"/>
      <c r="D209" s="3996" t="s">
        <v>2782</v>
      </c>
      <c r="E209" s="3997"/>
      <c r="F209" s="1529">
        <f>SUM(F210:F219)</f>
        <v>15000</v>
      </c>
      <c r="G209" s="1529">
        <f>SUM(G210:G219)</f>
        <v>15000</v>
      </c>
      <c r="H209" s="933">
        <f>F209-G209</f>
        <v>0</v>
      </c>
      <c r="I209" s="920"/>
      <c r="J209" s="1074"/>
      <c r="K209" s="3410"/>
      <c r="L209" s="3410"/>
      <c r="M209" s="3410"/>
      <c r="N209" s="3410"/>
      <c r="O209" s="3410"/>
      <c r="P209" s="1075"/>
      <c r="Q209" s="3410"/>
      <c r="R209" s="1259"/>
      <c r="S209" s="1075"/>
      <c r="T209" s="3410"/>
      <c r="U209" s="3410"/>
      <c r="V209" s="1075"/>
      <c r="W209" s="3410"/>
      <c r="X209" s="1260"/>
      <c r="Y209" s="940"/>
      <c r="Z209" s="1194">
        <f>SUM(Z213:Z219)</f>
        <v>11599000</v>
      </c>
      <c r="AA209" s="1185">
        <f t="shared" ref="AA209:AA267" si="42">F209*1000000</f>
        <v>15000000000</v>
      </c>
      <c r="AB209" s="690"/>
    </row>
    <row r="210" spans="1:29" ht="21.6" customHeight="1">
      <c r="A210" s="673"/>
      <c r="B210" s="674"/>
      <c r="C210" s="675"/>
      <c r="D210" s="1530"/>
      <c r="E210" s="677" t="s">
        <v>5420</v>
      </c>
      <c r="F210" s="3547">
        <f>+Y210</f>
        <v>5000</v>
      </c>
      <c r="G210" s="679">
        <v>5000</v>
      </c>
      <c r="H210" s="1239"/>
      <c r="I210" s="2060"/>
      <c r="J210" s="681" t="s">
        <v>5406</v>
      </c>
      <c r="K210" s="3515"/>
      <c r="L210" s="3515"/>
      <c r="M210" s="3515"/>
      <c r="N210" s="3515"/>
      <c r="O210" s="3515"/>
      <c r="P210" s="683"/>
      <c r="Q210" s="684"/>
      <c r="R210" s="3524"/>
      <c r="S210" s="684">
        <v>25000</v>
      </c>
      <c r="T210" s="684" t="s">
        <v>5407</v>
      </c>
      <c r="U210" s="683"/>
      <c r="V210" s="684">
        <v>200</v>
      </c>
      <c r="W210" s="684" t="s">
        <v>5408</v>
      </c>
      <c r="X210" s="686" t="s">
        <v>5409</v>
      </c>
      <c r="Y210" s="687">
        <f>+Z210/1000</f>
        <v>5000</v>
      </c>
      <c r="Z210" s="736">
        <f>S210*V210</f>
        <v>5000000</v>
      </c>
      <c r="AA210" s="3386">
        <f t="shared" si="42"/>
        <v>5000000000</v>
      </c>
      <c r="AB210" s="690"/>
    </row>
    <row r="211" spans="1:29" ht="21.6" customHeight="1">
      <c r="A211" s="3412"/>
      <c r="B211" s="3160"/>
      <c r="C211" s="675"/>
      <c r="D211" s="1530"/>
      <c r="E211" s="677" t="s">
        <v>5421</v>
      </c>
      <c r="F211" s="3547">
        <f>+Y211</f>
        <v>500</v>
      </c>
      <c r="G211" s="679">
        <v>0</v>
      </c>
      <c r="H211" s="1239">
        <f t="shared" ref="H211:H221" si="43">F211-G211</f>
        <v>500</v>
      </c>
      <c r="I211" s="2060"/>
      <c r="J211" s="681" t="s">
        <v>132</v>
      </c>
      <c r="K211" s="3515"/>
      <c r="L211" s="3515"/>
      <c r="M211" s="3515"/>
      <c r="N211" s="3515"/>
      <c r="O211" s="3515"/>
      <c r="P211" s="683"/>
      <c r="Q211" s="684"/>
      <c r="R211" s="3524"/>
      <c r="S211" s="684">
        <v>500000</v>
      </c>
      <c r="T211" s="684" t="s">
        <v>0</v>
      </c>
      <c r="U211" s="683"/>
      <c r="V211" s="684">
        <v>1</v>
      </c>
      <c r="W211" s="3524" t="s">
        <v>5410</v>
      </c>
      <c r="X211" s="686" t="s">
        <v>5409</v>
      </c>
      <c r="Y211" s="687">
        <v>500</v>
      </c>
      <c r="Z211" s="736">
        <f>S211*V211</f>
        <v>500000</v>
      </c>
      <c r="AA211" s="3386">
        <f t="shared" si="42"/>
        <v>500000000</v>
      </c>
      <c r="AB211" s="690"/>
      <c r="AC211" s="691" t="s">
        <v>5452</v>
      </c>
    </row>
    <row r="212" spans="1:29" ht="21.6" customHeight="1">
      <c r="A212" s="3139"/>
      <c r="B212" s="674"/>
      <c r="C212" s="675"/>
      <c r="D212" s="1530"/>
      <c r="E212" s="677" t="s">
        <v>5422</v>
      </c>
      <c r="F212" s="3547">
        <f>+Y212</f>
        <v>441</v>
      </c>
      <c r="G212" s="679">
        <v>500</v>
      </c>
      <c r="H212" s="1239">
        <f t="shared" si="43"/>
        <v>-59</v>
      </c>
      <c r="I212" s="2060"/>
      <c r="J212" s="681" t="s">
        <v>5411</v>
      </c>
      <c r="K212" s="3515"/>
      <c r="L212" s="3515"/>
      <c r="M212" s="3515"/>
      <c r="N212" s="3515"/>
      <c r="O212" s="3515"/>
      <c r="P212" s="683"/>
      <c r="Q212" s="684">
        <v>2</v>
      </c>
      <c r="R212" s="3524" t="s">
        <v>25</v>
      </c>
      <c r="S212" s="684">
        <v>22050</v>
      </c>
      <c r="T212" s="684" t="s">
        <v>0</v>
      </c>
      <c r="U212" s="683"/>
      <c r="V212" s="684">
        <v>10</v>
      </c>
      <c r="W212" s="3163" t="s">
        <v>3</v>
      </c>
      <c r="X212" s="3165" t="s">
        <v>5409</v>
      </c>
      <c r="Y212" s="687">
        <f>+Z212/1000</f>
        <v>441</v>
      </c>
      <c r="Z212" s="736">
        <f>S212*V212*Q212</f>
        <v>441000</v>
      </c>
      <c r="AA212" s="3386">
        <f t="shared" si="42"/>
        <v>441000000</v>
      </c>
      <c r="AB212" s="690"/>
    </row>
    <row r="213" spans="1:29" ht="21.6" customHeight="1">
      <c r="A213" s="673"/>
      <c r="B213" s="674"/>
      <c r="C213" s="675"/>
      <c r="D213" s="676"/>
      <c r="E213" s="677" t="s">
        <v>5423</v>
      </c>
      <c r="F213" s="3547">
        <f>+Y213</f>
        <v>2976</v>
      </c>
      <c r="G213" s="679">
        <v>3000</v>
      </c>
      <c r="H213" s="1239">
        <f t="shared" si="43"/>
        <v>-24</v>
      </c>
      <c r="I213" s="2060"/>
      <c r="J213" s="681" t="s">
        <v>5412</v>
      </c>
      <c r="K213" s="3515"/>
      <c r="L213" s="3515"/>
      <c r="M213" s="3515"/>
      <c r="N213" s="3515"/>
      <c r="O213" s="3515"/>
      <c r="P213" s="683"/>
      <c r="Q213" s="684"/>
      <c r="R213" s="3524"/>
      <c r="S213" s="684">
        <v>297600</v>
      </c>
      <c r="T213" s="684" t="s">
        <v>5407</v>
      </c>
      <c r="U213" s="684"/>
      <c r="V213" s="684">
        <v>10</v>
      </c>
      <c r="W213" s="684" t="s">
        <v>5413</v>
      </c>
      <c r="X213" s="686" t="s">
        <v>5409</v>
      </c>
      <c r="Y213" s="687">
        <f t="shared" ref="Y213:Y219" si="44">+Z213/1000</f>
        <v>2976</v>
      </c>
      <c r="Z213" s="736">
        <f t="shared" ref="Z213:Z219" si="45">S213*V213</f>
        <v>2976000</v>
      </c>
      <c r="AA213" s="3386">
        <f t="shared" si="42"/>
        <v>2976000000</v>
      </c>
      <c r="AB213" s="690"/>
    </row>
    <row r="214" spans="1:29" ht="21.6" customHeight="1">
      <c r="A214" s="3139"/>
      <c r="B214" s="674"/>
      <c r="C214" s="675"/>
      <c r="D214" s="1530"/>
      <c r="E214" s="677" t="s">
        <v>5424</v>
      </c>
      <c r="F214" s="3547">
        <f>+Y214</f>
        <v>2540</v>
      </c>
      <c r="G214" s="679">
        <v>2500</v>
      </c>
      <c r="H214" s="1239">
        <f t="shared" si="43"/>
        <v>40</v>
      </c>
      <c r="I214" s="2060"/>
      <c r="J214" s="681" t="s">
        <v>5414</v>
      </c>
      <c r="K214" s="3515"/>
      <c r="L214" s="3515"/>
      <c r="M214" s="3515"/>
      <c r="N214" s="3515"/>
      <c r="O214" s="3515"/>
      <c r="P214" s="683"/>
      <c r="Q214" s="684"/>
      <c r="R214" s="3524"/>
      <c r="S214" s="1038"/>
      <c r="T214" s="684"/>
      <c r="U214" s="683"/>
      <c r="V214" s="684"/>
      <c r="W214" s="3163"/>
      <c r="X214" s="3165"/>
      <c r="Y214" s="687">
        <f t="shared" si="44"/>
        <v>2540</v>
      </c>
      <c r="Z214" s="736">
        <f>SUM(Z215:Z216)</f>
        <v>2540000</v>
      </c>
      <c r="AA214" s="3386">
        <f t="shared" si="42"/>
        <v>2540000000</v>
      </c>
      <c r="AB214" s="690"/>
    </row>
    <row r="215" spans="1:29" ht="21.6" customHeight="1">
      <c r="A215" s="673"/>
      <c r="B215" s="674"/>
      <c r="C215" s="675"/>
      <c r="D215" s="1530"/>
      <c r="E215" s="677"/>
      <c r="F215" s="678"/>
      <c r="G215" s="679"/>
      <c r="H215" s="1239"/>
      <c r="I215" s="2060"/>
      <c r="J215" s="681" t="s">
        <v>5415</v>
      </c>
      <c r="K215" s="3515"/>
      <c r="L215" s="3515"/>
      <c r="M215" s="3515"/>
      <c r="N215" s="3515"/>
      <c r="O215" s="3515"/>
      <c r="P215" s="683"/>
      <c r="Q215" s="684"/>
      <c r="R215" s="3524"/>
      <c r="S215" s="1038">
        <v>1040000</v>
      </c>
      <c r="T215" s="684" t="s">
        <v>5407</v>
      </c>
      <c r="U215" s="683"/>
      <c r="V215" s="684">
        <v>1</v>
      </c>
      <c r="W215" s="3163" t="s">
        <v>5410</v>
      </c>
      <c r="X215" s="3165" t="s">
        <v>5409</v>
      </c>
      <c r="Y215" s="687">
        <f t="shared" si="44"/>
        <v>1040</v>
      </c>
      <c r="Z215" s="736">
        <f>S215*V215</f>
        <v>1040000</v>
      </c>
      <c r="AA215" s="3386">
        <f t="shared" si="42"/>
        <v>0</v>
      </c>
      <c r="AB215" s="690"/>
    </row>
    <row r="216" spans="1:29" ht="21.6" customHeight="1">
      <c r="A216" s="3139"/>
      <c r="B216" s="674"/>
      <c r="C216" s="675"/>
      <c r="D216" s="729"/>
      <c r="E216" s="677"/>
      <c r="F216" s="678"/>
      <c r="G216" s="3551"/>
      <c r="H216" s="1239"/>
      <c r="I216" s="2060"/>
      <c r="J216" s="681" t="s">
        <v>5416</v>
      </c>
      <c r="K216" s="3515"/>
      <c r="L216" s="3515"/>
      <c r="M216" s="3515"/>
      <c r="N216" s="3515"/>
      <c r="O216" s="3515"/>
      <c r="P216" s="683"/>
      <c r="Q216" s="684"/>
      <c r="R216" s="3524"/>
      <c r="S216" s="1038">
        <v>1500000</v>
      </c>
      <c r="T216" s="684" t="s">
        <v>5407</v>
      </c>
      <c r="U216" s="683"/>
      <c r="V216" s="684">
        <v>1</v>
      </c>
      <c r="W216" s="3163" t="s">
        <v>5410</v>
      </c>
      <c r="X216" s="3165" t="s">
        <v>5409</v>
      </c>
      <c r="Y216" s="687">
        <f t="shared" si="44"/>
        <v>1500</v>
      </c>
      <c r="Z216" s="736">
        <f>S216*V216</f>
        <v>1500000</v>
      </c>
      <c r="AA216" s="3386">
        <f t="shared" si="42"/>
        <v>0</v>
      </c>
      <c r="AB216" s="690"/>
    </row>
    <row r="217" spans="1:29" ht="21.6" customHeight="1">
      <c r="A217" s="3139"/>
      <c r="B217" s="674"/>
      <c r="C217" s="675"/>
      <c r="D217" s="729"/>
      <c r="E217" s="677" t="s">
        <v>5425</v>
      </c>
      <c r="F217" s="3547">
        <f>+Y217</f>
        <v>429</v>
      </c>
      <c r="G217" s="679">
        <v>500</v>
      </c>
      <c r="H217" s="1239">
        <f t="shared" si="43"/>
        <v>-71</v>
      </c>
      <c r="I217" s="2060"/>
      <c r="J217" s="681" t="s">
        <v>5417</v>
      </c>
      <c r="K217" s="3515"/>
      <c r="L217" s="3515"/>
      <c r="M217" s="3515"/>
      <c r="N217" s="3515"/>
      <c r="O217" s="3515"/>
      <c r="P217" s="683"/>
      <c r="Q217" s="683"/>
      <c r="R217" s="684"/>
      <c r="S217" s="684">
        <v>429000</v>
      </c>
      <c r="T217" s="684" t="s">
        <v>5407</v>
      </c>
      <c r="U217" s="684"/>
      <c r="V217" s="684">
        <v>1</v>
      </c>
      <c r="W217" s="684" t="s">
        <v>5413</v>
      </c>
      <c r="X217" s="686" t="s">
        <v>5409</v>
      </c>
      <c r="Y217" s="687">
        <f t="shared" si="44"/>
        <v>429</v>
      </c>
      <c r="Z217" s="736">
        <f t="shared" si="45"/>
        <v>429000</v>
      </c>
      <c r="AA217" s="3386">
        <f t="shared" si="42"/>
        <v>429000000</v>
      </c>
      <c r="AB217" s="690"/>
    </row>
    <row r="218" spans="1:29" ht="21.6" customHeight="1">
      <c r="A218" s="673"/>
      <c r="B218" s="674"/>
      <c r="C218" s="675"/>
      <c r="D218" s="729"/>
      <c r="E218" s="677" t="s">
        <v>5426</v>
      </c>
      <c r="F218" s="3547">
        <f>+Y218</f>
        <v>2500</v>
      </c>
      <c r="G218" s="679">
        <v>2500</v>
      </c>
      <c r="H218" s="1239"/>
      <c r="I218" s="2060"/>
      <c r="J218" s="681" t="s">
        <v>5418</v>
      </c>
      <c r="K218" s="3515"/>
      <c r="L218" s="3515"/>
      <c r="M218" s="3515"/>
      <c r="N218" s="3515"/>
      <c r="O218" s="3515"/>
      <c r="P218" s="683"/>
      <c r="Q218" s="684"/>
      <c r="R218" s="3524"/>
      <c r="S218" s="684">
        <v>500000</v>
      </c>
      <c r="T218" s="684" t="s">
        <v>5407</v>
      </c>
      <c r="U218" s="683"/>
      <c r="V218" s="684">
        <v>5</v>
      </c>
      <c r="W218" s="684" t="s">
        <v>5413</v>
      </c>
      <c r="X218" s="686" t="s">
        <v>5409</v>
      </c>
      <c r="Y218" s="687">
        <f t="shared" si="44"/>
        <v>2500</v>
      </c>
      <c r="Z218" s="736">
        <f t="shared" si="45"/>
        <v>2500000</v>
      </c>
      <c r="AA218" s="3386">
        <f t="shared" si="42"/>
        <v>2500000000</v>
      </c>
      <c r="AB218" s="690"/>
    </row>
    <row r="219" spans="1:29" ht="21.6" customHeight="1">
      <c r="A219" s="3412"/>
      <c r="B219" s="3160"/>
      <c r="C219" s="675"/>
      <c r="D219" s="729"/>
      <c r="E219" s="677" t="s">
        <v>5427</v>
      </c>
      <c r="F219" s="3547">
        <f>+Y219</f>
        <v>614</v>
      </c>
      <c r="G219" s="679">
        <v>1000</v>
      </c>
      <c r="H219" s="1239">
        <f t="shared" si="43"/>
        <v>-386</v>
      </c>
      <c r="I219" s="2060"/>
      <c r="J219" s="681" t="s">
        <v>5419</v>
      </c>
      <c r="K219" s="3515"/>
      <c r="L219" s="3515"/>
      <c r="M219" s="3515"/>
      <c r="N219" s="3515"/>
      <c r="O219" s="3515"/>
      <c r="P219" s="683"/>
      <c r="Q219" s="684"/>
      <c r="R219" s="3524"/>
      <c r="S219" s="684">
        <v>307000</v>
      </c>
      <c r="T219" s="684" t="s">
        <v>5407</v>
      </c>
      <c r="U219" s="683"/>
      <c r="V219" s="684">
        <v>2</v>
      </c>
      <c r="W219" s="684" t="s">
        <v>5413</v>
      </c>
      <c r="X219" s="686" t="s">
        <v>5409</v>
      </c>
      <c r="Y219" s="687">
        <f t="shared" si="44"/>
        <v>614</v>
      </c>
      <c r="Z219" s="736">
        <f t="shared" si="45"/>
        <v>614000</v>
      </c>
      <c r="AA219" s="3386">
        <f t="shared" si="42"/>
        <v>614000000</v>
      </c>
      <c r="AB219" s="690"/>
    </row>
    <row r="220" spans="1:29" ht="21.6" customHeight="1">
      <c r="A220" s="673"/>
      <c r="B220" s="674"/>
      <c r="C220" s="675"/>
      <c r="D220" s="4004" t="s">
        <v>2788</v>
      </c>
      <c r="E220" s="4004"/>
      <c r="F220" s="1529">
        <f>SUM(F221:F229)</f>
        <v>40000</v>
      </c>
      <c r="G220" s="663">
        <f>SUM(G221:G229)</f>
        <v>40000</v>
      </c>
      <c r="H220" s="933">
        <f>F220-G220</f>
        <v>0</v>
      </c>
      <c r="I220" s="920"/>
      <c r="J220" s="1074"/>
      <c r="K220" s="1957"/>
      <c r="L220" s="1957"/>
      <c r="M220" s="1957"/>
      <c r="N220" s="1957"/>
      <c r="O220" s="1957"/>
      <c r="P220" s="1075"/>
      <c r="Q220" s="1957"/>
      <c r="R220" s="1259"/>
      <c r="S220" s="1075"/>
      <c r="T220" s="1957"/>
      <c r="U220" s="1957"/>
      <c r="V220" s="1075"/>
      <c r="W220" s="1957"/>
      <c r="X220" s="1260"/>
      <c r="Y220" s="940">
        <f t="shared" ref="Y220:Y229" si="46">+Z220/1000</f>
        <v>0</v>
      </c>
      <c r="Z220" s="736"/>
      <c r="AA220" s="1185">
        <f t="shared" si="42"/>
        <v>40000000000</v>
      </c>
      <c r="AB220" s="690"/>
    </row>
    <row r="221" spans="1:29" ht="21.6" customHeight="1">
      <c r="A221" s="3120"/>
      <c r="B221" s="674"/>
      <c r="C221" s="675"/>
      <c r="D221" s="1456"/>
      <c r="E221" s="3546" t="s">
        <v>57</v>
      </c>
      <c r="F221" s="3547">
        <f>+Y221</f>
        <v>6000</v>
      </c>
      <c r="G221" s="3548">
        <v>8000</v>
      </c>
      <c r="H221" s="1239">
        <f t="shared" si="43"/>
        <v>-2000</v>
      </c>
      <c r="I221" s="683"/>
      <c r="J221" s="681" t="s">
        <v>131</v>
      </c>
      <c r="K221" s="3515"/>
      <c r="L221" s="3515"/>
      <c r="M221" s="3515"/>
      <c r="N221" s="3515"/>
      <c r="O221" s="3515"/>
      <c r="P221" s="683"/>
      <c r="Q221" s="684"/>
      <c r="R221" s="3524"/>
      <c r="S221" s="684">
        <v>600000</v>
      </c>
      <c r="T221" s="684" t="s">
        <v>0</v>
      </c>
      <c r="U221" s="683"/>
      <c r="V221" s="684">
        <v>10</v>
      </c>
      <c r="W221" s="3524" t="s">
        <v>3</v>
      </c>
      <c r="X221" s="686" t="s">
        <v>5570</v>
      </c>
      <c r="Y221" s="687">
        <f t="shared" si="46"/>
        <v>6000</v>
      </c>
      <c r="Z221" s="736">
        <f>S221*V221</f>
        <v>6000000</v>
      </c>
      <c r="AA221" s="3463">
        <f t="shared" si="42"/>
        <v>6000000000</v>
      </c>
      <c r="AB221" s="690"/>
    </row>
    <row r="222" spans="1:29" ht="21.6" customHeight="1">
      <c r="A222" s="673"/>
      <c r="B222" s="674"/>
      <c r="C222" s="675"/>
      <c r="D222" s="676"/>
      <c r="E222" s="3191" t="s">
        <v>80</v>
      </c>
      <c r="F222" s="3547">
        <f>+Y222</f>
        <v>12000</v>
      </c>
      <c r="G222" s="3549">
        <v>12000</v>
      </c>
      <c r="H222" s="949"/>
      <c r="I222" s="683"/>
      <c r="J222" s="681" t="s">
        <v>132</v>
      </c>
      <c r="K222" s="3515"/>
      <c r="L222" s="3515"/>
      <c r="M222" s="3515"/>
      <c r="N222" s="3515"/>
      <c r="O222" s="3515"/>
      <c r="P222" s="683"/>
      <c r="Q222" s="684"/>
      <c r="R222" s="3524"/>
      <c r="S222" s="684">
        <v>500000</v>
      </c>
      <c r="T222" s="684" t="s">
        <v>0</v>
      </c>
      <c r="U222" s="683"/>
      <c r="V222" s="684">
        <v>24</v>
      </c>
      <c r="W222" s="3524" t="s">
        <v>3</v>
      </c>
      <c r="X222" s="686" t="s">
        <v>5570</v>
      </c>
      <c r="Y222" s="687">
        <f t="shared" si="46"/>
        <v>12000</v>
      </c>
      <c r="Z222" s="736">
        <f>S222*V222</f>
        <v>12000000</v>
      </c>
      <c r="AA222" s="1185">
        <f t="shared" si="42"/>
        <v>12000000000</v>
      </c>
      <c r="AB222" s="690"/>
    </row>
    <row r="223" spans="1:29" s="689" customFormat="1" ht="21.6" customHeight="1">
      <c r="A223" s="673"/>
      <c r="B223" s="674"/>
      <c r="C223" s="675"/>
      <c r="D223" s="676"/>
      <c r="E223" s="3191" t="s">
        <v>95</v>
      </c>
      <c r="F223" s="3547">
        <f>+Y223</f>
        <v>400</v>
      </c>
      <c r="G223" s="3549">
        <v>400</v>
      </c>
      <c r="H223" s="680"/>
      <c r="I223" s="683"/>
      <c r="J223" s="681" t="s">
        <v>5571</v>
      </c>
      <c r="K223" s="3515"/>
      <c r="L223" s="3515"/>
      <c r="M223" s="3515"/>
      <c r="N223" s="3515"/>
      <c r="O223" s="3515"/>
      <c r="P223" s="683"/>
      <c r="Q223" s="684">
        <v>5</v>
      </c>
      <c r="R223" s="3524" t="s">
        <v>25</v>
      </c>
      <c r="S223" s="684">
        <v>20000</v>
      </c>
      <c r="T223" s="684" t="s">
        <v>0</v>
      </c>
      <c r="U223" s="683"/>
      <c r="V223" s="684">
        <v>4</v>
      </c>
      <c r="W223" s="3163" t="s">
        <v>3</v>
      </c>
      <c r="X223" s="3165" t="s">
        <v>5570</v>
      </c>
      <c r="Y223" s="687">
        <f>+Z223/1000</f>
        <v>400</v>
      </c>
      <c r="Z223" s="736">
        <f>S223*V223*Q223</f>
        <v>400000</v>
      </c>
      <c r="AA223" s="1185">
        <f t="shared" si="42"/>
        <v>400000000</v>
      </c>
      <c r="AB223" s="690"/>
    </row>
    <row r="224" spans="1:29" s="689" customFormat="1" ht="21.6" customHeight="1">
      <c r="A224" s="3120"/>
      <c r="B224" s="674"/>
      <c r="C224" s="675"/>
      <c r="D224" s="676"/>
      <c r="E224" s="3191" t="s">
        <v>58</v>
      </c>
      <c r="F224" s="3547">
        <f>+Y224</f>
        <v>13200</v>
      </c>
      <c r="G224" s="3549">
        <v>8200</v>
      </c>
      <c r="H224" s="1239">
        <f t="shared" ref="H224" si="47">F224-G224</f>
        <v>5000</v>
      </c>
      <c r="I224" s="683"/>
      <c r="J224" s="681" t="s">
        <v>8</v>
      </c>
      <c r="K224" s="3515"/>
      <c r="L224" s="3515"/>
      <c r="M224" s="3515"/>
      <c r="N224" s="3515"/>
      <c r="O224" s="3515"/>
      <c r="P224" s="683"/>
      <c r="Q224" s="683"/>
      <c r="R224" s="684"/>
      <c r="S224" s="3524"/>
      <c r="T224" s="684"/>
      <c r="U224" s="684"/>
      <c r="V224" s="684"/>
      <c r="W224" s="684"/>
      <c r="X224" s="686"/>
      <c r="Y224" s="687">
        <f t="shared" si="46"/>
        <v>13200</v>
      </c>
      <c r="Z224" s="736">
        <f>SUM(Z225:Z226)</f>
        <v>13200000</v>
      </c>
      <c r="AA224" s="3463">
        <f t="shared" si="42"/>
        <v>13200000000</v>
      </c>
      <c r="AB224" s="690"/>
    </row>
    <row r="225" spans="1:33" ht="21.6" customHeight="1">
      <c r="A225" s="673"/>
      <c r="B225" s="674"/>
      <c r="C225" s="675"/>
      <c r="D225" s="676"/>
      <c r="E225" s="3191"/>
      <c r="F225" s="3547"/>
      <c r="G225" s="3549"/>
      <c r="H225" s="680"/>
      <c r="I225" s="683"/>
      <c r="J225" s="681" t="s">
        <v>5572</v>
      </c>
      <c r="K225" s="3515"/>
      <c r="L225" s="3515"/>
      <c r="M225" s="3515"/>
      <c r="N225" s="3515"/>
      <c r="O225" s="3515"/>
      <c r="P225" s="683"/>
      <c r="Q225" s="684">
        <v>1</v>
      </c>
      <c r="R225" s="3524" t="s">
        <v>25</v>
      </c>
      <c r="S225" s="684">
        <v>200000</v>
      </c>
      <c r="T225" s="684" t="s">
        <v>0</v>
      </c>
      <c r="U225" s="683"/>
      <c r="V225" s="684">
        <v>45</v>
      </c>
      <c r="W225" s="3163" t="s">
        <v>3</v>
      </c>
      <c r="X225" s="686" t="s">
        <v>5570</v>
      </c>
      <c r="Y225" s="687">
        <f t="shared" si="46"/>
        <v>9000</v>
      </c>
      <c r="Z225" s="736">
        <f>S225*V225*Q225</f>
        <v>9000000</v>
      </c>
      <c r="AA225" s="3463">
        <f t="shared" si="42"/>
        <v>0</v>
      </c>
      <c r="AB225" s="690"/>
    </row>
    <row r="226" spans="1:33" ht="21.6" customHeight="1">
      <c r="A226" s="3120"/>
      <c r="B226" s="674"/>
      <c r="C226" s="675"/>
      <c r="D226" s="676"/>
      <c r="E226" s="3191"/>
      <c r="F226" s="3547"/>
      <c r="G226" s="3549"/>
      <c r="H226" s="680"/>
      <c r="I226" s="683"/>
      <c r="J226" s="681" t="s">
        <v>5573</v>
      </c>
      <c r="K226" s="3515"/>
      <c r="L226" s="3515"/>
      <c r="M226" s="3515"/>
      <c r="N226" s="3515"/>
      <c r="O226" s="3515"/>
      <c r="P226" s="683"/>
      <c r="Q226" s="684">
        <v>1</v>
      </c>
      <c r="R226" s="3524" t="s">
        <v>25</v>
      </c>
      <c r="S226" s="684">
        <v>100000</v>
      </c>
      <c r="T226" s="684" t="s">
        <v>0</v>
      </c>
      <c r="U226" s="683"/>
      <c r="V226" s="684">
        <v>42</v>
      </c>
      <c r="W226" s="3163" t="s">
        <v>3</v>
      </c>
      <c r="X226" s="686" t="s">
        <v>5570</v>
      </c>
      <c r="Y226" s="687">
        <f t="shared" si="46"/>
        <v>4200</v>
      </c>
      <c r="Z226" s="736">
        <f>S226*V226*Q226</f>
        <v>4200000</v>
      </c>
      <c r="AA226" s="3463">
        <f t="shared" si="42"/>
        <v>0</v>
      </c>
      <c r="AB226" s="690"/>
    </row>
    <row r="227" spans="1:33" ht="21.6" customHeight="1">
      <c r="A227" s="673"/>
      <c r="B227" s="674"/>
      <c r="C227" s="675"/>
      <c r="D227" s="676"/>
      <c r="E227" s="3191" t="s">
        <v>71</v>
      </c>
      <c r="F227" s="3547">
        <f>+Y227</f>
        <v>6500</v>
      </c>
      <c r="G227" s="3549">
        <v>9500</v>
      </c>
      <c r="H227" s="1239">
        <f t="shared" ref="H227" si="48">F227-G227</f>
        <v>-3000</v>
      </c>
      <c r="I227" s="683"/>
      <c r="J227" s="681" t="s">
        <v>5574</v>
      </c>
      <c r="K227" s="3515"/>
      <c r="L227" s="3515"/>
      <c r="M227" s="3515"/>
      <c r="N227" s="3515"/>
      <c r="O227" s="3515"/>
      <c r="P227" s="683"/>
      <c r="Q227" s="684"/>
      <c r="R227" s="3524"/>
      <c r="S227" s="684">
        <v>1625000</v>
      </c>
      <c r="T227" s="684" t="s">
        <v>0</v>
      </c>
      <c r="U227" s="683"/>
      <c r="V227" s="684">
        <v>4</v>
      </c>
      <c r="W227" s="3163" t="s">
        <v>3</v>
      </c>
      <c r="X227" s="686" t="s">
        <v>5570</v>
      </c>
      <c r="Y227" s="687">
        <f t="shared" si="46"/>
        <v>6500</v>
      </c>
      <c r="Z227" s="736">
        <f>S227*V227</f>
        <v>6500000</v>
      </c>
      <c r="AA227" s="3463">
        <f t="shared" si="42"/>
        <v>6500000000</v>
      </c>
      <c r="AB227" s="690"/>
    </row>
    <row r="228" spans="1:33" ht="21.6" customHeight="1">
      <c r="A228" s="3447"/>
      <c r="B228" s="3160"/>
      <c r="C228" s="675"/>
      <c r="D228" s="676"/>
      <c r="E228" s="3191" t="s">
        <v>5569</v>
      </c>
      <c r="F228" s="3547">
        <f>+Y228</f>
        <v>1160</v>
      </c>
      <c r="G228" s="3549">
        <v>1160</v>
      </c>
      <c r="H228" s="1239"/>
      <c r="I228" s="683"/>
      <c r="J228" s="681" t="s">
        <v>5577</v>
      </c>
      <c r="K228" s="3515"/>
      <c r="L228" s="3515"/>
      <c r="M228" s="3515"/>
      <c r="N228" s="3515"/>
      <c r="O228" s="3515"/>
      <c r="P228" s="683"/>
      <c r="Q228" s="684"/>
      <c r="R228" s="3524"/>
      <c r="S228" s="684">
        <v>1160000</v>
      </c>
      <c r="T228" s="684" t="s">
        <v>5575</v>
      </c>
      <c r="U228" s="683"/>
      <c r="V228" s="684">
        <v>1</v>
      </c>
      <c r="W228" s="3163" t="s">
        <v>5576</v>
      </c>
      <c r="X228" s="686" t="s">
        <v>5570</v>
      </c>
      <c r="Y228" s="687">
        <v>1160</v>
      </c>
      <c r="Z228" s="736"/>
      <c r="AA228" s="1185"/>
      <c r="AB228" s="690"/>
    </row>
    <row r="229" spans="1:33" ht="21.6" customHeight="1">
      <c r="A229" s="673"/>
      <c r="B229" s="674"/>
      <c r="C229" s="675"/>
      <c r="D229" s="676"/>
      <c r="E229" s="3191" t="s">
        <v>61</v>
      </c>
      <c r="F229" s="2040">
        <f>+Y229</f>
        <v>740</v>
      </c>
      <c r="G229" s="3550">
        <v>740</v>
      </c>
      <c r="H229" s="1208"/>
      <c r="I229" s="683"/>
      <c r="J229" s="2042" t="s">
        <v>133</v>
      </c>
      <c r="K229" s="2043"/>
      <c r="L229" s="2043"/>
      <c r="M229" s="2043"/>
      <c r="N229" s="2043"/>
      <c r="O229" s="2043"/>
      <c r="P229" s="2044"/>
      <c r="Q229" s="2045">
        <v>4</v>
      </c>
      <c r="R229" s="2046" t="s">
        <v>25</v>
      </c>
      <c r="S229" s="2045">
        <v>18500</v>
      </c>
      <c r="T229" s="2045" t="s">
        <v>0</v>
      </c>
      <c r="U229" s="2044"/>
      <c r="V229" s="2045">
        <v>10</v>
      </c>
      <c r="W229" s="978" t="s">
        <v>3</v>
      </c>
      <c r="X229" s="2047" t="s">
        <v>5570</v>
      </c>
      <c r="Y229" s="2048">
        <f t="shared" si="46"/>
        <v>740</v>
      </c>
      <c r="Z229" s="736">
        <f>S229*V229*Q229</f>
        <v>740000</v>
      </c>
      <c r="AA229" s="1185">
        <f t="shared" si="42"/>
        <v>740000000</v>
      </c>
      <c r="AB229" s="690"/>
    </row>
    <row r="230" spans="1:33" ht="21.6" customHeight="1">
      <c r="A230" s="673"/>
      <c r="B230" s="674"/>
      <c r="C230" s="675"/>
      <c r="D230" s="3996" t="s">
        <v>2789</v>
      </c>
      <c r="E230" s="3997"/>
      <c r="F230" s="1532">
        <f>SUM(F231:F236)</f>
        <v>37000</v>
      </c>
      <c r="G230" s="2052">
        <f>SUM(G231:G236)</f>
        <v>37000</v>
      </c>
      <c r="H230" s="1208">
        <f>F230-G230</f>
        <v>0</v>
      </c>
      <c r="I230" s="920"/>
      <c r="J230" s="1115"/>
      <c r="K230" s="1093"/>
      <c r="L230" s="1093"/>
      <c r="M230" s="1093"/>
      <c r="N230" s="1093"/>
      <c r="O230" s="1093"/>
      <c r="P230" s="1116"/>
      <c r="Q230" s="1093"/>
      <c r="R230" s="702"/>
      <c r="S230" s="1116"/>
      <c r="T230" s="1093"/>
      <c r="U230" s="1093"/>
      <c r="V230" s="1116"/>
      <c r="W230" s="1093"/>
      <c r="X230" s="1378"/>
      <c r="Y230" s="929"/>
      <c r="Z230" s="736">
        <f>Z234+Z233+Z232+Z235+Z236+Z231</f>
        <v>37000000</v>
      </c>
      <c r="AA230" s="1185">
        <f t="shared" si="42"/>
        <v>37000000000</v>
      </c>
      <c r="AB230" s="690"/>
    </row>
    <row r="231" spans="1:33" ht="21.6" customHeight="1">
      <c r="A231" s="673"/>
      <c r="B231" s="674"/>
      <c r="C231" s="675"/>
      <c r="D231" s="676"/>
      <c r="E231" s="677" t="s">
        <v>81</v>
      </c>
      <c r="F231" s="678">
        <f t="shared" ref="F231:F236" si="49">+Y231</f>
        <v>27600</v>
      </c>
      <c r="G231" s="679">
        <v>27600</v>
      </c>
      <c r="H231" s="680"/>
      <c r="I231" s="2060"/>
      <c r="J231" s="681" t="s">
        <v>5250</v>
      </c>
      <c r="K231" s="3515"/>
      <c r="L231" s="3515"/>
      <c r="M231" s="3515"/>
      <c r="N231" s="3515"/>
      <c r="O231" s="3515"/>
      <c r="P231" s="683"/>
      <c r="Q231" s="684">
        <v>1</v>
      </c>
      <c r="R231" s="3524" t="s">
        <v>25</v>
      </c>
      <c r="S231" s="684">
        <v>2300000</v>
      </c>
      <c r="T231" s="684" t="s">
        <v>0</v>
      </c>
      <c r="U231" s="683"/>
      <c r="V231" s="684">
        <v>12</v>
      </c>
      <c r="W231" s="3163" t="s">
        <v>29</v>
      </c>
      <c r="X231" s="3165" t="s">
        <v>5100</v>
      </c>
      <c r="Y231" s="687">
        <f>+Z231/1000</f>
        <v>27600</v>
      </c>
      <c r="Z231" s="736">
        <f>Q231*S231*V231</f>
        <v>27600000</v>
      </c>
      <c r="AA231" s="3386">
        <f t="shared" si="42"/>
        <v>27600000000</v>
      </c>
      <c r="AB231" s="690"/>
    </row>
    <row r="232" spans="1:33" ht="21.6" customHeight="1">
      <c r="A232" s="673"/>
      <c r="B232" s="674"/>
      <c r="C232" s="675"/>
      <c r="D232" s="1530"/>
      <c r="E232" s="677" t="s">
        <v>95</v>
      </c>
      <c r="F232" s="1078">
        <f t="shared" si="49"/>
        <v>1000</v>
      </c>
      <c r="G232" s="679">
        <v>1000</v>
      </c>
      <c r="H232" s="680"/>
      <c r="I232" s="2060"/>
      <c r="J232" s="681" t="s">
        <v>5251</v>
      </c>
      <c r="K232" s="3515"/>
      <c r="L232" s="3515"/>
      <c r="M232" s="3515"/>
      <c r="N232" s="3515"/>
      <c r="O232" s="3515"/>
      <c r="P232" s="683"/>
      <c r="Q232" s="684">
        <v>2</v>
      </c>
      <c r="R232" s="3524" t="s">
        <v>5098</v>
      </c>
      <c r="S232" s="1038">
        <v>20000</v>
      </c>
      <c r="T232" s="684" t="s">
        <v>5135</v>
      </c>
      <c r="U232" s="683"/>
      <c r="V232" s="684">
        <v>25</v>
      </c>
      <c r="W232" s="3524" t="s">
        <v>5172</v>
      </c>
      <c r="X232" s="3165" t="s">
        <v>5100</v>
      </c>
      <c r="Y232" s="687">
        <f>+Z232/1000</f>
        <v>1000</v>
      </c>
      <c r="Z232" s="736">
        <f>S232*V232*Q232</f>
        <v>1000000</v>
      </c>
      <c r="AA232" s="3386">
        <f t="shared" si="42"/>
        <v>1000000000</v>
      </c>
      <c r="AB232" s="690"/>
    </row>
    <row r="233" spans="1:33" ht="21.6" customHeight="1">
      <c r="A233" s="673"/>
      <c r="B233" s="674"/>
      <c r="C233" s="675"/>
      <c r="D233" s="1530"/>
      <c r="E233" s="677" t="s">
        <v>2790</v>
      </c>
      <c r="F233" s="1078">
        <f t="shared" si="49"/>
        <v>3100</v>
      </c>
      <c r="G233" s="679">
        <v>1500</v>
      </c>
      <c r="H233" s="1239">
        <f>F233-G233</f>
        <v>1600</v>
      </c>
      <c r="I233" s="2060"/>
      <c r="J233" s="681" t="s">
        <v>5252</v>
      </c>
      <c r="K233" s="3515"/>
      <c r="L233" s="3515"/>
      <c r="M233" s="3515"/>
      <c r="N233" s="3515"/>
      <c r="O233" s="3515"/>
      <c r="P233" s="683"/>
      <c r="Q233" s="684"/>
      <c r="R233" s="3524"/>
      <c r="S233" s="1038">
        <v>50000</v>
      </c>
      <c r="T233" s="684" t="s">
        <v>5135</v>
      </c>
      <c r="U233" s="683"/>
      <c r="V233" s="684">
        <v>62</v>
      </c>
      <c r="W233" s="3163" t="s">
        <v>5105</v>
      </c>
      <c r="X233" s="3165" t="s">
        <v>5100</v>
      </c>
      <c r="Y233" s="687">
        <f>+Z233/1000</f>
        <v>3100</v>
      </c>
      <c r="Z233" s="736">
        <f>S233*V233</f>
        <v>3100000</v>
      </c>
      <c r="AA233" s="3386">
        <f t="shared" si="42"/>
        <v>3100000000</v>
      </c>
      <c r="AB233" s="690"/>
    </row>
    <row r="234" spans="1:33" ht="21.6" customHeight="1">
      <c r="A234" s="673"/>
      <c r="B234" s="674"/>
      <c r="C234" s="675"/>
      <c r="D234" s="1530"/>
      <c r="E234" s="677" t="s">
        <v>2791</v>
      </c>
      <c r="F234" s="678">
        <f t="shared" si="49"/>
        <v>4000</v>
      </c>
      <c r="G234" s="679">
        <v>5000</v>
      </c>
      <c r="H234" s="1239">
        <f>F234-G234</f>
        <v>-1000</v>
      </c>
      <c r="I234" s="2060"/>
      <c r="J234" s="681" t="s">
        <v>5255</v>
      </c>
      <c r="K234" s="3515"/>
      <c r="L234" s="3515"/>
      <c r="M234" s="3515"/>
      <c r="N234" s="3515"/>
      <c r="O234" s="3515"/>
      <c r="P234" s="683"/>
      <c r="Q234" s="684"/>
      <c r="R234" s="3524"/>
      <c r="S234" s="1038">
        <v>4000000</v>
      </c>
      <c r="T234" s="684" t="s">
        <v>5135</v>
      </c>
      <c r="U234" s="683"/>
      <c r="V234" s="684">
        <v>1</v>
      </c>
      <c r="W234" s="3163" t="s">
        <v>5105</v>
      </c>
      <c r="X234" s="3165" t="s">
        <v>5100</v>
      </c>
      <c r="Y234" s="687">
        <f t="shared" ref="Y234" si="50">+Z234/1000</f>
        <v>4000</v>
      </c>
      <c r="Z234" s="736">
        <f>S234*V234</f>
        <v>4000000</v>
      </c>
      <c r="AA234" s="3386">
        <f t="shared" si="42"/>
        <v>4000000000</v>
      </c>
      <c r="AB234" s="690"/>
    </row>
    <row r="235" spans="1:33" ht="21.6" customHeight="1">
      <c r="A235" s="673"/>
      <c r="B235" s="674"/>
      <c r="C235" s="675"/>
      <c r="D235" s="729"/>
      <c r="E235" s="677" t="s">
        <v>62</v>
      </c>
      <c r="F235" s="678">
        <f t="shared" si="49"/>
        <v>800</v>
      </c>
      <c r="G235" s="679">
        <v>1400</v>
      </c>
      <c r="H235" s="1239">
        <f>F235-G235</f>
        <v>-600</v>
      </c>
      <c r="I235" s="2060"/>
      <c r="J235" s="681" t="s">
        <v>5253</v>
      </c>
      <c r="K235" s="3515"/>
      <c r="L235" s="3515"/>
      <c r="M235" s="3515"/>
      <c r="N235" s="3515"/>
      <c r="O235" s="3515"/>
      <c r="P235" s="683"/>
      <c r="Q235" s="684"/>
      <c r="R235" s="3524"/>
      <c r="S235" s="1038">
        <v>400000</v>
      </c>
      <c r="T235" s="684" t="s">
        <v>5135</v>
      </c>
      <c r="U235" s="683"/>
      <c r="V235" s="684">
        <v>2</v>
      </c>
      <c r="W235" s="3163" t="s">
        <v>5105</v>
      </c>
      <c r="X235" s="3165" t="s">
        <v>5100</v>
      </c>
      <c r="Y235" s="687">
        <f t="shared" ref="Y235:Y236" si="51">+Z235/1000</f>
        <v>800</v>
      </c>
      <c r="Z235" s="736">
        <f>S235*V235</f>
        <v>800000</v>
      </c>
      <c r="AA235" s="3386">
        <f t="shared" si="42"/>
        <v>800000000</v>
      </c>
      <c r="AB235" s="690"/>
    </row>
    <row r="236" spans="1:33" ht="21.6" customHeight="1">
      <c r="A236" s="673"/>
      <c r="B236" s="674"/>
      <c r="C236" s="675"/>
      <c r="D236" s="676"/>
      <c r="E236" s="677" t="s">
        <v>61</v>
      </c>
      <c r="F236" s="678">
        <f t="shared" si="49"/>
        <v>500</v>
      </c>
      <c r="G236" s="679">
        <v>500</v>
      </c>
      <c r="H236" s="680"/>
      <c r="I236" s="2060"/>
      <c r="J236" s="681" t="s">
        <v>5254</v>
      </c>
      <c r="K236" s="3515"/>
      <c r="L236" s="3515"/>
      <c r="M236" s="3515"/>
      <c r="N236" s="3515"/>
      <c r="O236" s="3515"/>
      <c r="P236" s="683"/>
      <c r="Q236" s="684">
        <v>5</v>
      </c>
      <c r="R236" s="3524" t="s">
        <v>5098</v>
      </c>
      <c r="S236" s="1038">
        <v>20000</v>
      </c>
      <c r="T236" s="684" t="s">
        <v>5135</v>
      </c>
      <c r="U236" s="683"/>
      <c r="V236" s="684">
        <v>5</v>
      </c>
      <c r="W236" s="3524" t="s">
        <v>5105</v>
      </c>
      <c r="X236" s="686" t="s">
        <v>5100</v>
      </c>
      <c r="Y236" s="687">
        <f t="shared" si="51"/>
        <v>500</v>
      </c>
      <c r="Z236" s="736">
        <f>S236*V236*Q236</f>
        <v>500000</v>
      </c>
      <c r="AA236" s="3386">
        <f t="shared" si="42"/>
        <v>500000000</v>
      </c>
      <c r="AB236" s="690"/>
    </row>
    <row r="237" spans="1:33" ht="24" customHeight="1">
      <c r="A237" s="673"/>
      <c r="B237" s="674"/>
      <c r="C237" s="675"/>
      <c r="D237" s="3996" t="s">
        <v>2792</v>
      </c>
      <c r="E237" s="3997"/>
      <c r="F237" s="1529">
        <f>SUM(F238:F261)</f>
        <v>130000</v>
      </c>
      <c r="G237" s="1529">
        <f>SUM(G238:G261)</f>
        <v>130000</v>
      </c>
      <c r="H237" s="1380">
        <f>F237-G237</f>
        <v>0</v>
      </c>
      <c r="I237" s="920"/>
      <c r="J237" s="1074"/>
      <c r="K237" s="1957"/>
      <c r="L237" s="1957"/>
      <c r="M237" s="1957"/>
      <c r="N237" s="1957"/>
      <c r="O237" s="1957"/>
      <c r="P237" s="1075"/>
      <c r="Q237" s="1957"/>
      <c r="R237" s="1259"/>
      <c r="S237" s="1075"/>
      <c r="T237" s="1957"/>
      <c r="U237" s="1957"/>
      <c r="V237" s="1075"/>
      <c r="W237" s="1957"/>
      <c r="X237" s="1260"/>
      <c r="Y237" s="940"/>
      <c r="Z237" s="1674">
        <f>Z238+Z247+Z241+Z248+Z243+Z254+Z242+Z246+Z260</f>
        <v>79606000</v>
      </c>
      <c r="AA237" s="1185">
        <f t="shared" si="42"/>
        <v>130000000000</v>
      </c>
      <c r="AB237" s="690"/>
    </row>
    <row r="238" spans="1:33" ht="24" customHeight="1">
      <c r="A238" s="673"/>
      <c r="B238" s="1533"/>
      <c r="C238" s="675"/>
      <c r="D238" s="1530"/>
      <c r="E238" s="677" t="s">
        <v>5443</v>
      </c>
      <c r="F238" s="678">
        <f t="shared" ref="F238:F260" si="52">+Y238</f>
        <v>61806</v>
      </c>
      <c r="G238" s="679">
        <v>66000</v>
      </c>
      <c r="H238" s="1239">
        <f t="shared" ref="H238:H261" si="53">F238-G238</f>
        <v>-4194</v>
      </c>
      <c r="I238" s="2060"/>
      <c r="J238" s="681" t="s">
        <v>5414</v>
      </c>
      <c r="K238" s="3515"/>
      <c r="L238" s="3515"/>
      <c r="M238" s="3515"/>
      <c r="N238" s="3515"/>
      <c r="O238" s="3515"/>
      <c r="P238" s="683"/>
      <c r="Q238" s="683"/>
      <c r="R238" s="684"/>
      <c r="S238" s="3524"/>
      <c r="T238" s="684"/>
      <c r="U238" s="684"/>
      <c r="V238" s="684"/>
      <c r="W238" s="684"/>
      <c r="X238" s="686"/>
      <c r="Y238" s="687">
        <f t="shared" ref="Y238:Y240" si="54">+Z238/1000</f>
        <v>61806</v>
      </c>
      <c r="Z238" s="736">
        <f>SUM(Z239:Z240)</f>
        <v>61806000</v>
      </c>
      <c r="AA238" s="3386">
        <f t="shared" si="42"/>
        <v>61806000000</v>
      </c>
      <c r="AB238" s="3420"/>
    </row>
    <row r="239" spans="1:33" ht="24" customHeight="1">
      <c r="A239" s="673"/>
      <c r="B239" s="674"/>
      <c r="C239" s="675"/>
      <c r="D239" s="1530"/>
      <c r="E239" s="677"/>
      <c r="F239" s="678"/>
      <c r="G239" s="679"/>
      <c r="H239" s="1239"/>
      <c r="I239" s="2060"/>
      <c r="J239" s="681" t="s">
        <v>5428</v>
      </c>
      <c r="K239" s="3515"/>
      <c r="L239" s="3515"/>
      <c r="M239" s="3515"/>
      <c r="N239" s="3515"/>
      <c r="O239" s="3515"/>
      <c r="P239" s="683"/>
      <c r="Q239" s="684">
        <v>1</v>
      </c>
      <c r="R239" s="3524" t="s">
        <v>5429</v>
      </c>
      <c r="S239" s="684">
        <v>2200000</v>
      </c>
      <c r="T239" s="684" t="s">
        <v>5407</v>
      </c>
      <c r="U239" s="683"/>
      <c r="V239" s="684">
        <v>12</v>
      </c>
      <c r="W239" s="3163" t="s">
        <v>5430</v>
      </c>
      <c r="X239" s="3165" t="s">
        <v>5409</v>
      </c>
      <c r="Y239" s="687">
        <f t="shared" si="54"/>
        <v>26400</v>
      </c>
      <c r="Z239" s="736">
        <f>Q239*S239*V239</f>
        <v>26400000</v>
      </c>
      <c r="AA239" s="3386">
        <f t="shared" si="42"/>
        <v>0</v>
      </c>
      <c r="AB239" s="3420"/>
    </row>
    <row r="240" spans="1:33" ht="24" customHeight="1">
      <c r="A240" s="673"/>
      <c r="B240" s="674"/>
      <c r="C240" s="675"/>
      <c r="D240" s="1530"/>
      <c r="E240" s="677"/>
      <c r="F240" s="678"/>
      <c r="G240" s="679"/>
      <c r="H240" s="1239"/>
      <c r="I240" s="2060"/>
      <c r="J240" s="681" t="s">
        <v>5431</v>
      </c>
      <c r="K240" s="3515"/>
      <c r="L240" s="3515"/>
      <c r="M240" s="3515"/>
      <c r="N240" s="3515"/>
      <c r="O240" s="3515"/>
      <c r="P240" s="683"/>
      <c r="Q240" s="684">
        <v>2</v>
      </c>
      <c r="R240" s="3524" t="s">
        <v>5429</v>
      </c>
      <c r="S240" s="684">
        <v>1475250</v>
      </c>
      <c r="T240" s="684" t="s">
        <v>5407</v>
      </c>
      <c r="U240" s="683"/>
      <c r="V240" s="684">
        <v>12</v>
      </c>
      <c r="W240" s="3163" t="s">
        <v>5430</v>
      </c>
      <c r="X240" s="3165" t="s">
        <v>5409</v>
      </c>
      <c r="Y240" s="687">
        <f t="shared" si="54"/>
        <v>35406</v>
      </c>
      <c r="Z240" s="736">
        <f>S240*V240*Q240</f>
        <v>35406000</v>
      </c>
      <c r="AA240" s="3386">
        <f t="shared" si="42"/>
        <v>0</v>
      </c>
      <c r="AB240" s="3420"/>
      <c r="AC240" s="1080"/>
      <c r="AD240" s="1080">
        <v>861000</v>
      </c>
      <c r="AE240" s="1080">
        <f>SUM(AA240:AD240)</f>
        <v>861000</v>
      </c>
      <c r="AF240" s="1081">
        <f>+AE240/12</f>
        <v>71750</v>
      </c>
      <c r="AG240" s="1082">
        <v>2200000</v>
      </c>
    </row>
    <row r="241" spans="1:28" ht="21.95" customHeight="1">
      <c r="A241" s="673"/>
      <c r="B241" s="674"/>
      <c r="C241" s="675"/>
      <c r="D241" s="693"/>
      <c r="E241" s="677" t="s">
        <v>5420</v>
      </c>
      <c r="F241" s="678">
        <f t="shared" si="52"/>
        <v>5000</v>
      </c>
      <c r="G241" s="679">
        <v>9000</v>
      </c>
      <c r="H241" s="1239">
        <f t="shared" si="53"/>
        <v>-4000</v>
      </c>
      <c r="I241" s="2060"/>
      <c r="J241" s="681" t="s">
        <v>134</v>
      </c>
      <c r="K241" s="3515"/>
      <c r="L241" s="3515"/>
      <c r="M241" s="3515"/>
      <c r="N241" s="3515"/>
      <c r="O241" s="3515"/>
      <c r="P241" s="683"/>
      <c r="Q241" s="684"/>
      <c r="R241" s="3524"/>
      <c r="S241" s="684">
        <v>5000000</v>
      </c>
      <c r="T241" s="684" t="s">
        <v>5407</v>
      </c>
      <c r="U241" s="683"/>
      <c r="V241" s="684">
        <v>1</v>
      </c>
      <c r="W241" s="3163" t="s">
        <v>5413</v>
      </c>
      <c r="X241" s="3165" t="s">
        <v>5409</v>
      </c>
      <c r="Y241" s="687">
        <v>5000</v>
      </c>
      <c r="Z241" s="736">
        <f>S241*V241</f>
        <v>5000000</v>
      </c>
      <c r="AA241" s="3386">
        <f t="shared" si="42"/>
        <v>5000000000</v>
      </c>
      <c r="AB241" s="3421"/>
    </row>
    <row r="242" spans="1:28" ht="21.95" customHeight="1">
      <c r="A242" s="673"/>
      <c r="B242" s="674"/>
      <c r="C242" s="675"/>
      <c r="D242" s="676"/>
      <c r="E242" s="677" t="s">
        <v>5444</v>
      </c>
      <c r="F242" s="678">
        <f t="shared" si="52"/>
        <v>500</v>
      </c>
      <c r="G242" s="679">
        <v>1000</v>
      </c>
      <c r="H242" s="1239">
        <f t="shared" si="53"/>
        <v>-500</v>
      </c>
      <c r="I242" s="2060"/>
      <c r="J242" s="681" t="s">
        <v>135</v>
      </c>
      <c r="K242" s="3515"/>
      <c r="L242" s="3515"/>
      <c r="M242" s="3515"/>
      <c r="N242" s="3515"/>
      <c r="O242" s="3515"/>
      <c r="P242" s="683"/>
      <c r="Q242" s="684"/>
      <c r="R242" s="3524"/>
      <c r="S242" s="684">
        <v>500000</v>
      </c>
      <c r="T242" s="684" t="s">
        <v>0</v>
      </c>
      <c r="U242" s="683"/>
      <c r="V242" s="684">
        <v>1</v>
      </c>
      <c r="W242" s="684" t="s">
        <v>6</v>
      </c>
      <c r="X242" s="3165" t="s">
        <v>5409</v>
      </c>
      <c r="Y242" s="687">
        <f>+Z242/1000</f>
        <v>500</v>
      </c>
      <c r="Z242" s="736">
        <f t="shared" ref="Z242" si="55">S242*V242</f>
        <v>500000</v>
      </c>
      <c r="AA242" s="3386">
        <f t="shared" si="42"/>
        <v>500000000</v>
      </c>
      <c r="AB242" s="3421"/>
    </row>
    <row r="243" spans="1:28" ht="21.95" customHeight="1">
      <c r="A243" s="673"/>
      <c r="B243" s="674"/>
      <c r="C243" s="675"/>
      <c r="D243" s="676"/>
      <c r="E243" s="1534" t="s">
        <v>5421</v>
      </c>
      <c r="F243" s="678">
        <f t="shared" si="52"/>
        <v>4250</v>
      </c>
      <c r="G243" s="679">
        <v>11250</v>
      </c>
      <c r="H243" s="1239">
        <f t="shared" si="53"/>
        <v>-7000</v>
      </c>
      <c r="I243" s="2060"/>
      <c r="J243" s="681" t="s">
        <v>8</v>
      </c>
      <c r="K243" s="3515"/>
      <c r="L243" s="3515"/>
      <c r="M243" s="3515"/>
      <c r="N243" s="3515"/>
      <c r="O243" s="869"/>
      <c r="P243" s="683"/>
      <c r="Q243" s="684"/>
      <c r="R243" s="3524"/>
      <c r="S243" s="3164"/>
      <c r="T243" s="3163"/>
      <c r="U243" s="3163"/>
      <c r="V243" s="3163"/>
      <c r="W243" s="3163"/>
      <c r="X243" s="686"/>
      <c r="Y243" s="687">
        <f>+Z243/1000</f>
        <v>4250</v>
      </c>
      <c r="Z243" s="736">
        <f>SUM(Z244:Z245)</f>
        <v>4250000</v>
      </c>
      <c r="AA243" s="3386">
        <f t="shared" si="42"/>
        <v>4250000000</v>
      </c>
      <c r="AB243" s="3421"/>
    </row>
    <row r="244" spans="1:28" ht="21.95" customHeight="1">
      <c r="A244" s="673"/>
      <c r="B244" s="674"/>
      <c r="C244" s="675"/>
      <c r="D244" s="676"/>
      <c r="E244" s="1534"/>
      <c r="F244" s="678"/>
      <c r="G244" s="679"/>
      <c r="H244" s="1239"/>
      <c r="I244" s="2060"/>
      <c r="J244" s="681" t="s">
        <v>5432</v>
      </c>
      <c r="K244" s="3515"/>
      <c r="L244" s="3515"/>
      <c r="M244" s="3515"/>
      <c r="N244" s="3515"/>
      <c r="O244" s="869"/>
      <c r="P244" s="683"/>
      <c r="Q244" s="684"/>
      <c r="R244" s="3524"/>
      <c r="S244" s="684">
        <v>250000</v>
      </c>
      <c r="T244" s="684" t="s">
        <v>0</v>
      </c>
      <c r="U244" s="683"/>
      <c r="V244" s="684">
        <v>1</v>
      </c>
      <c r="W244" s="684" t="s">
        <v>3</v>
      </c>
      <c r="X244" s="3165" t="s">
        <v>5409</v>
      </c>
      <c r="Y244" s="687">
        <f>+Z244/1000</f>
        <v>250</v>
      </c>
      <c r="Z244" s="736">
        <f>S244*V244</f>
        <v>250000</v>
      </c>
      <c r="AA244" s="3386">
        <f t="shared" si="42"/>
        <v>0</v>
      </c>
      <c r="AB244" s="3421"/>
    </row>
    <row r="245" spans="1:28" ht="21.95" customHeight="1">
      <c r="A245" s="673"/>
      <c r="B245" s="674"/>
      <c r="C245" s="675"/>
      <c r="D245" s="676"/>
      <c r="E245" s="1534"/>
      <c r="F245" s="678"/>
      <c r="G245" s="679"/>
      <c r="H245" s="1239"/>
      <c r="I245" s="2060"/>
      <c r="J245" s="681" t="s">
        <v>5433</v>
      </c>
      <c r="K245" s="3515"/>
      <c r="L245" s="3515"/>
      <c r="M245" s="3515"/>
      <c r="N245" s="3515"/>
      <c r="O245" s="869"/>
      <c r="P245" s="683"/>
      <c r="Q245" s="684">
        <v>20</v>
      </c>
      <c r="R245" s="3524" t="s">
        <v>25</v>
      </c>
      <c r="S245" s="684">
        <v>1000</v>
      </c>
      <c r="T245" s="684" t="s">
        <v>0</v>
      </c>
      <c r="U245" s="683"/>
      <c r="V245" s="684">
        <v>200</v>
      </c>
      <c r="W245" s="684" t="s">
        <v>3</v>
      </c>
      <c r="X245" s="3165" t="s">
        <v>5409</v>
      </c>
      <c r="Y245" s="687">
        <v>4000</v>
      </c>
      <c r="Z245" s="736">
        <f>S245*V245*Q245</f>
        <v>4000000</v>
      </c>
      <c r="AA245" s="3386">
        <f t="shared" si="42"/>
        <v>0</v>
      </c>
      <c r="AB245" s="3421"/>
    </row>
    <row r="246" spans="1:28" ht="21.95" customHeight="1">
      <c r="A246" s="673"/>
      <c r="B246" s="674"/>
      <c r="C246" s="675"/>
      <c r="D246" s="676"/>
      <c r="E246" s="677" t="s">
        <v>5422</v>
      </c>
      <c r="F246" s="678">
        <f t="shared" si="52"/>
        <v>1000</v>
      </c>
      <c r="G246" s="679">
        <v>2000</v>
      </c>
      <c r="H246" s="1239">
        <f t="shared" si="53"/>
        <v>-1000</v>
      </c>
      <c r="I246" s="2060"/>
      <c r="J246" s="681" t="s">
        <v>136</v>
      </c>
      <c r="K246" s="3515"/>
      <c r="L246" s="3515"/>
      <c r="M246" s="3515"/>
      <c r="N246" s="3515"/>
      <c r="O246" s="3515"/>
      <c r="P246" s="683"/>
      <c r="Q246" s="684">
        <v>2</v>
      </c>
      <c r="R246" s="3524" t="s">
        <v>25</v>
      </c>
      <c r="S246" s="684">
        <v>50000</v>
      </c>
      <c r="T246" s="684" t="s">
        <v>0</v>
      </c>
      <c r="U246" s="683"/>
      <c r="V246" s="684">
        <v>10</v>
      </c>
      <c r="W246" s="684" t="s">
        <v>5413</v>
      </c>
      <c r="X246" s="3165" t="s">
        <v>5409</v>
      </c>
      <c r="Y246" s="687">
        <f>+Z246/1000</f>
        <v>1000</v>
      </c>
      <c r="Z246" s="736">
        <f>S246*V246*Q246</f>
        <v>1000000</v>
      </c>
      <c r="AA246" s="3386">
        <f t="shared" si="42"/>
        <v>1000000000</v>
      </c>
      <c r="AB246" s="3421"/>
    </row>
    <row r="247" spans="1:28" ht="21.95" customHeight="1">
      <c r="A247" s="673"/>
      <c r="B247" s="674"/>
      <c r="C247" s="675"/>
      <c r="D247" s="1530"/>
      <c r="E247" s="677" t="s">
        <v>5423</v>
      </c>
      <c r="F247" s="678">
        <f t="shared" si="52"/>
        <v>9650</v>
      </c>
      <c r="G247" s="679">
        <v>800</v>
      </c>
      <c r="H247" s="1239">
        <f t="shared" si="53"/>
        <v>8850</v>
      </c>
      <c r="I247" s="2060"/>
      <c r="J247" s="681" t="s">
        <v>8</v>
      </c>
      <c r="X247" s="691"/>
      <c r="Y247" s="3545">
        <f>Y248+Y249+Y250+Y251</f>
        <v>9650</v>
      </c>
      <c r="AA247" s="3422">
        <f t="shared" si="42"/>
        <v>9650000000</v>
      </c>
      <c r="AB247" s="3421"/>
    </row>
    <row r="248" spans="1:28" ht="21.95" customHeight="1">
      <c r="A248" s="673"/>
      <c r="B248" s="674"/>
      <c r="C248" s="675"/>
      <c r="D248" s="1530"/>
      <c r="E248" s="677"/>
      <c r="F248" s="678"/>
      <c r="G248" s="679"/>
      <c r="H248" s="1239"/>
      <c r="I248" s="2060"/>
      <c r="J248" s="681" t="s">
        <v>5150</v>
      </c>
      <c r="K248" s="3515"/>
      <c r="L248" s="3515"/>
      <c r="M248" s="3515"/>
      <c r="N248" s="3515"/>
      <c r="O248" s="3515"/>
      <c r="P248" s="683"/>
      <c r="Q248" s="683"/>
      <c r="R248" s="684"/>
      <c r="S248" s="684">
        <v>50000</v>
      </c>
      <c r="T248" s="684" t="s">
        <v>0</v>
      </c>
      <c r="U248" s="683"/>
      <c r="V248" s="684">
        <v>21</v>
      </c>
      <c r="W248" s="684" t="s">
        <v>5434</v>
      </c>
      <c r="X248" s="3165" t="s">
        <v>5409</v>
      </c>
      <c r="Y248" s="687">
        <v>1050</v>
      </c>
      <c r="Z248" s="736">
        <v>1050000</v>
      </c>
      <c r="AA248" s="3386">
        <f>F247*1000000</f>
        <v>9650000000</v>
      </c>
      <c r="AB248" s="3421"/>
    </row>
    <row r="249" spans="1:28" ht="21.95" customHeight="1">
      <c r="A249" s="673"/>
      <c r="B249" s="674"/>
      <c r="C249" s="675"/>
      <c r="D249" s="674"/>
      <c r="E249" s="677"/>
      <c r="F249" s="678"/>
      <c r="G249" s="1523"/>
      <c r="H249" s="1239"/>
      <c r="I249" s="2060"/>
      <c r="J249" s="681" t="s">
        <v>5456</v>
      </c>
      <c r="K249" s="3515"/>
      <c r="L249" s="3515"/>
      <c r="M249" s="3515"/>
      <c r="N249" s="3515"/>
      <c r="O249" s="3515"/>
      <c r="P249" s="683"/>
      <c r="Q249" s="683"/>
      <c r="R249" s="684"/>
      <c r="S249" s="684">
        <v>6000000</v>
      </c>
      <c r="T249" s="684" t="s">
        <v>5407</v>
      </c>
      <c r="U249" s="683"/>
      <c r="V249" s="684">
        <v>1</v>
      </c>
      <c r="W249" s="684" t="s">
        <v>5413</v>
      </c>
      <c r="X249" s="3165" t="s">
        <v>1</v>
      </c>
      <c r="Y249" s="687">
        <f t="shared" ref="Y249:Y257" si="56">+Z249/1000</f>
        <v>6000</v>
      </c>
      <c r="Z249" s="736">
        <v>6000000</v>
      </c>
      <c r="AA249" s="3386"/>
      <c r="AB249" s="3421"/>
    </row>
    <row r="250" spans="1:28" s="689" customFormat="1" ht="21.95" customHeight="1">
      <c r="A250" s="673"/>
      <c r="B250" s="674"/>
      <c r="C250" s="675"/>
      <c r="D250" s="1530"/>
      <c r="E250" s="677"/>
      <c r="F250" s="678"/>
      <c r="G250" s="679"/>
      <c r="H250" s="1239"/>
      <c r="I250" s="2060"/>
      <c r="J250" s="681" t="s">
        <v>5457</v>
      </c>
      <c r="K250" s="3515"/>
      <c r="L250" s="3515"/>
      <c r="M250" s="3515"/>
      <c r="N250" s="3515"/>
      <c r="O250" s="3515"/>
      <c r="P250" s="683"/>
      <c r="Q250" s="683"/>
      <c r="R250" s="684"/>
      <c r="S250" s="684">
        <v>2000000</v>
      </c>
      <c r="T250" s="684" t="s">
        <v>5407</v>
      </c>
      <c r="U250" s="683"/>
      <c r="V250" s="684">
        <v>1</v>
      </c>
      <c r="W250" s="684" t="s">
        <v>5435</v>
      </c>
      <c r="X250" s="3165" t="s">
        <v>1</v>
      </c>
      <c r="Y250" s="687">
        <f t="shared" si="56"/>
        <v>2000</v>
      </c>
      <c r="Z250" s="736">
        <v>2000000</v>
      </c>
      <c r="AA250" s="3386"/>
      <c r="AB250" s="3421"/>
    </row>
    <row r="251" spans="1:28" s="689" customFormat="1" ht="21.95" customHeight="1">
      <c r="A251" s="673"/>
      <c r="B251" s="674"/>
      <c r="C251" s="675"/>
      <c r="D251" s="1530"/>
      <c r="E251" s="677"/>
      <c r="F251" s="678"/>
      <c r="G251" s="679"/>
      <c r="H251" s="1239"/>
      <c r="I251" s="2060"/>
      <c r="J251" s="681" t="s">
        <v>5458</v>
      </c>
      <c r="K251" s="3515"/>
      <c r="L251" s="3515"/>
      <c r="M251" s="3515"/>
      <c r="N251" s="3515"/>
      <c r="O251" s="3515"/>
      <c r="P251" s="683"/>
      <c r="Q251" s="683"/>
      <c r="R251" s="684"/>
      <c r="S251" s="684">
        <v>200000</v>
      </c>
      <c r="T251" s="684" t="s">
        <v>5407</v>
      </c>
      <c r="U251" s="683"/>
      <c r="V251" s="684">
        <v>3</v>
      </c>
      <c r="W251" s="684" t="s">
        <v>5435</v>
      </c>
      <c r="X251" s="3165" t="s">
        <v>1</v>
      </c>
      <c r="Y251" s="687">
        <f t="shared" si="56"/>
        <v>600</v>
      </c>
      <c r="Z251" s="736">
        <v>600000</v>
      </c>
      <c r="AA251" s="3386"/>
      <c r="AB251" s="3421"/>
    </row>
    <row r="252" spans="1:28" ht="21.95" customHeight="1">
      <c r="A252" s="673"/>
      <c r="B252" s="674"/>
      <c r="C252" s="675"/>
      <c r="D252" s="1530"/>
      <c r="E252" s="677" t="s">
        <v>5424</v>
      </c>
      <c r="F252" s="678">
        <f t="shared" si="52"/>
        <v>40244</v>
      </c>
      <c r="G252" s="679">
        <v>30200</v>
      </c>
      <c r="H252" s="1239">
        <f t="shared" si="53"/>
        <v>10044</v>
      </c>
      <c r="I252" s="2060"/>
      <c r="J252" s="681" t="s">
        <v>8</v>
      </c>
      <c r="K252" s="3515"/>
      <c r="L252" s="3515"/>
      <c r="M252" s="3515"/>
      <c r="N252" s="3515"/>
      <c r="O252" s="3515"/>
      <c r="P252" s="683"/>
      <c r="Q252" s="684"/>
      <c r="R252" s="3524"/>
      <c r="S252" s="684"/>
      <c r="T252" s="684"/>
      <c r="U252" s="683"/>
      <c r="V252" s="684"/>
      <c r="W252" s="684"/>
      <c r="X252" s="686"/>
      <c r="Y252" s="687">
        <f t="shared" si="56"/>
        <v>40244</v>
      </c>
      <c r="Z252" s="736">
        <f>SUM(Z253:Z257)</f>
        <v>40244000</v>
      </c>
      <c r="AA252" s="3386">
        <f t="shared" si="42"/>
        <v>40244000000</v>
      </c>
      <c r="AB252" s="3421"/>
    </row>
    <row r="253" spans="1:28" ht="21.95" customHeight="1">
      <c r="A253" s="673"/>
      <c r="B253" s="674"/>
      <c r="C253" s="675"/>
      <c r="D253" s="1530"/>
      <c r="E253" s="851"/>
      <c r="F253" s="678"/>
      <c r="G253" s="679"/>
      <c r="H253" s="1239"/>
      <c r="I253" s="2060"/>
      <c r="J253" s="3514" t="s">
        <v>5436</v>
      </c>
      <c r="K253" s="3515"/>
      <c r="L253" s="3515"/>
      <c r="M253" s="3515"/>
      <c r="N253" s="1017"/>
      <c r="O253" s="3163"/>
      <c r="P253" s="683"/>
      <c r="Q253" s="3163"/>
      <c r="R253" s="3163"/>
      <c r="S253" s="3164">
        <v>10000000</v>
      </c>
      <c r="T253" s="3163" t="s">
        <v>0</v>
      </c>
      <c r="U253" s="3163"/>
      <c r="V253" s="3163">
        <v>1</v>
      </c>
      <c r="W253" s="3163" t="s">
        <v>3</v>
      </c>
      <c r="X253" s="3165" t="s">
        <v>1</v>
      </c>
      <c r="Y253" s="687">
        <f t="shared" si="56"/>
        <v>10000</v>
      </c>
      <c r="Z253" s="736">
        <f>S253*V253</f>
        <v>10000000</v>
      </c>
      <c r="AA253" s="3386">
        <f t="shared" si="42"/>
        <v>0</v>
      </c>
      <c r="AB253" s="3421"/>
    </row>
    <row r="254" spans="1:28" ht="21.95" customHeight="1">
      <c r="A254" s="673"/>
      <c r="B254" s="674"/>
      <c r="C254" s="675"/>
      <c r="D254" s="676"/>
      <c r="E254" s="677"/>
      <c r="F254" s="678"/>
      <c r="G254" s="679"/>
      <c r="H254" s="1239"/>
      <c r="I254" s="2060"/>
      <c r="J254" s="4007" t="s">
        <v>5437</v>
      </c>
      <c r="K254" s="4008"/>
      <c r="L254" s="4008"/>
      <c r="M254" s="4008"/>
      <c r="N254" s="4008"/>
      <c r="O254" s="869" t="s">
        <v>20</v>
      </c>
      <c r="P254" s="683" t="s">
        <v>20</v>
      </c>
      <c r="Q254" s="684"/>
      <c r="R254" s="3524"/>
      <c r="S254" s="684">
        <v>3000000</v>
      </c>
      <c r="T254" s="684" t="s">
        <v>0</v>
      </c>
      <c r="U254" s="683"/>
      <c r="V254" s="684">
        <v>1</v>
      </c>
      <c r="W254" s="684" t="s">
        <v>3</v>
      </c>
      <c r="X254" s="686" t="s">
        <v>1</v>
      </c>
      <c r="Y254" s="687">
        <f t="shared" si="56"/>
        <v>3000</v>
      </c>
      <c r="Z254" s="736">
        <f t="shared" ref="Z254:Z257" si="57">S254*V254</f>
        <v>3000000</v>
      </c>
      <c r="AA254" s="3386">
        <f t="shared" si="42"/>
        <v>0</v>
      </c>
      <c r="AB254" s="3421"/>
    </row>
    <row r="255" spans="1:28" ht="21.95" customHeight="1">
      <c r="A255" s="673"/>
      <c r="B255" s="674"/>
      <c r="C255" s="675"/>
      <c r="D255" s="676"/>
      <c r="E255" s="677"/>
      <c r="F255" s="678"/>
      <c r="G255" s="679"/>
      <c r="H255" s="1239"/>
      <c r="I255" s="2060"/>
      <c r="J255" s="681" t="s">
        <v>5438</v>
      </c>
      <c r="K255" s="3515"/>
      <c r="L255" s="3515"/>
      <c r="M255" s="3515"/>
      <c r="N255" s="3515"/>
      <c r="O255" s="869"/>
      <c r="P255" s="683"/>
      <c r="Q255" s="3163"/>
      <c r="R255" s="3163"/>
      <c r="S255" s="3164">
        <v>18244000</v>
      </c>
      <c r="T255" s="3163" t="s">
        <v>0</v>
      </c>
      <c r="U255" s="3163"/>
      <c r="V255" s="3163">
        <v>1</v>
      </c>
      <c r="W255" s="3163" t="s">
        <v>6</v>
      </c>
      <c r="X255" s="3165" t="s">
        <v>1</v>
      </c>
      <c r="Y255" s="687">
        <f t="shared" si="56"/>
        <v>18244</v>
      </c>
      <c r="Z255" s="736">
        <f t="shared" si="57"/>
        <v>18244000</v>
      </c>
      <c r="AA255" s="3386">
        <f t="shared" si="42"/>
        <v>0</v>
      </c>
      <c r="AB255" s="3421"/>
    </row>
    <row r="256" spans="1:28" ht="21.95" customHeight="1">
      <c r="A256" s="3412"/>
      <c r="B256" s="3160"/>
      <c r="C256" s="675"/>
      <c r="D256" s="676"/>
      <c r="E256" s="677"/>
      <c r="F256" s="678"/>
      <c r="G256" s="679"/>
      <c r="H256" s="1239"/>
      <c r="I256" s="2060"/>
      <c r="J256" s="681" t="s">
        <v>5439</v>
      </c>
      <c r="K256" s="3515"/>
      <c r="L256" s="3515"/>
      <c r="M256" s="3515"/>
      <c r="N256" s="3515"/>
      <c r="O256" s="869"/>
      <c r="P256" s="683"/>
      <c r="Q256" s="3163"/>
      <c r="R256" s="3163"/>
      <c r="S256" s="3164">
        <v>7000000</v>
      </c>
      <c r="T256" s="3163" t="s">
        <v>0</v>
      </c>
      <c r="U256" s="3163"/>
      <c r="V256" s="3163">
        <v>1</v>
      </c>
      <c r="W256" s="3163" t="s">
        <v>6</v>
      </c>
      <c r="X256" s="3165" t="s">
        <v>1</v>
      </c>
      <c r="Y256" s="687">
        <f t="shared" si="56"/>
        <v>7000</v>
      </c>
      <c r="Z256" s="736">
        <f t="shared" si="57"/>
        <v>7000000</v>
      </c>
      <c r="AA256" s="3386">
        <f t="shared" si="42"/>
        <v>0</v>
      </c>
      <c r="AB256" s="3421"/>
    </row>
    <row r="257" spans="1:28" ht="21.95" customHeight="1">
      <c r="A257" s="3412"/>
      <c r="B257" s="3160"/>
      <c r="C257" s="675"/>
      <c r="D257" s="676"/>
      <c r="E257" s="1534"/>
      <c r="F257" s="678"/>
      <c r="G257" s="679"/>
      <c r="H257" s="1239"/>
      <c r="I257" s="2060"/>
      <c r="J257" s="681" t="s">
        <v>5440</v>
      </c>
      <c r="K257" s="3515"/>
      <c r="L257" s="3515"/>
      <c r="M257" s="3515"/>
      <c r="N257" s="3515"/>
      <c r="O257" s="869"/>
      <c r="P257" s="683"/>
      <c r="Q257" s="3163"/>
      <c r="R257" s="3163"/>
      <c r="S257" s="3164">
        <v>2000000</v>
      </c>
      <c r="T257" s="3163" t="s">
        <v>0</v>
      </c>
      <c r="U257" s="3163"/>
      <c r="V257" s="3163">
        <v>1</v>
      </c>
      <c r="W257" s="3163" t="s">
        <v>3</v>
      </c>
      <c r="X257" s="3165" t="s">
        <v>1</v>
      </c>
      <c r="Y257" s="687">
        <f t="shared" si="56"/>
        <v>2000</v>
      </c>
      <c r="Z257" s="736">
        <f t="shared" si="57"/>
        <v>2000000</v>
      </c>
      <c r="AA257" s="3386">
        <f t="shared" si="42"/>
        <v>0</v>
      </c>
      <c r="AB257" s="3421"/>
    </row>
    <row r="258" spans="1:28" ht="21.95" customHeight="1">
      <c r="A258" s="3412"/>
      <c r="B258" s="3160"/>
      <c r="C258" s="675"/>
      <c r="D258" s="676"/>
      <c r="E258" s="677" t="s">
        <v>5445</v>
      </c>
      <c r="F258" s="678">
        <f t="shared" si="52"/>
        <v>3300</v>
      </c>
      <c r="G258" s="679">
        <v>9000</v>
      </c>
      <c r="H258" s="1239">
        <f t="shared" si="53"/>
        <v>-5700</v>
      </c>
      <c r="I258" s="2060"/>
      <c r="J258" s="681" t="s">
        <v>5447</v>
      </c>
      <c r="K258" s="3515"/>
      <c r="L258" s="3515"/>
      <c r="M258" s="3515"/>
      <c r="N258" s="3515"/>
      <c r="O258" s="3515"/>
      <c r="P258" s="683"/>
      <c r="Q258" s="684">
        <v>1</v>
      </c>
      <c r="R258" s="3524" t="s">
        <v>92</v>
      </c>
      <c r="S258" s="684">
        <v>1100000</v>
      </c>
      <c r="T258" s="684" t="s">
        <v>0</v>
      </c>
      <c r="U258" s="683"/>
      <c r="V258" s="684">
        <v>3</v>
      </c>
      <c r="W258" s="3163" t="s">
        <v>2</v>
      </c>
      <c r="X258" s="3165" t="s">
        <v>5409</v>
      </c>
      <c r="Y258" s="687">
        <f t="shared" ref="Y258" si="58">+Z258/1000</f>
        <v>3300</v>
      </c>
      <c r="Z258" s="736">
        <f>S258*V258*Q258</f>
        <v>3300000</v>
      </c>
      <c r="AA258" s="3386">
        <f t="shared" ref="AA258" si="59">F258*1000000</f>
        <v>3300000000</v>
      </c>
      <c r="AB258" s="3421"/>
    </row>
    <row r="259" spans="1:28" ht="21.95" customHeight="1">
      <c r="A259" s="673"/>
      <c r="B259" s="674"/>
      <c r="C259" s="675"/>
      <c r="D259" s="676"/>
      <c r="E259" s="1534" t="s">
        <v>5446</v>
      </c>
      <c r="F259" s="678">
        <f t="shared" si="52"/>
        <v>500</v>
      </c>
      <c r="G259" s="679">
        <v>0</v>
      </c>
      <c r="H259" s="1239">
        <f t="shared" si="53"/>
        <v>500</v>
      </c>
      <c r="I259" s="2060"/>
      <c r="J259" s="681" t="s">
        <v>5441</v>
      </c>
      <c r="K259" s="3515"/>
      <c r="L259" s="3515"/>
      <c r="M259" s="3515"/>
      <c r="N259" s="3515"/>
      <c r="O259" s="3515"/>
      <c r="P259" s="683"/>
      <c r="Q259" s="684"/>
      <c r="R259" s="3524"/>
      <c r="S259" s="684">
        <v>500000</v>
      </c>
      <c r="T259" s="684" t="s">
        <v>5407</v>
      </c>
      <c r="U259" s="683"/>
      <c r="V259" s="684">
        <v>1</v>
      </c>
      <c r="W259" s="3524" t="s">
        <v>5410</v>
      </c>
      <c r="X259" s="3165" t="s">
        <v>1</v>
      </c>
      <c r="Y259" s="687">
        <f>+Z259/1000</f>
        <v>500</v>
      </c>
      <c r="Z259" s="736">
        <v>500000</v>
      </c>
      <c r="AA259" s="3386"/>
      <c r="AB259" s="3421"/>
    </row>
    <row r="260" spans="1:28" ht="21.95" customHeight="1">
      <c r="A260" s="673"/>
      <c r="B260" s="674"/>
      <c r="C260" s="675"/>
      <c r="D260" s="676"/>
      <c r="E260" s="1534" t="s">
        <v>5426</v>
      </c>
      <c r="F260" s="678">
        <f t="shared" si="52"/>
        <v>3000</v>
      </c>
      <c r="G260" s="679">
        <v>0</v>
      </c>
      <c r="H260" s="1239">
        <f t="shared" si="53"/>
        <v>3000</v>
      </c>
      <c r="I260" s="2060"/>
      <c r="J260" s="681" t="s">
        <v>5442</v>
      </c>
      <c r="K260" s="3515"/>
      <c r="L260" s="3515"/>
      <c r="M260" s="3515"/>
      <c r="N260" s="3515"/>
      <c r="O260" s="3515"/>
      <c r="P260" s="683"/>
      <c r="Q260" s="684"/>
      <c r="R260" s="3524"/>
      <c r="S260" s="684">
        <v>3000000</v>
      </c>
      <c r="T260" s="684" t="s">
        <v>5407</v>
      </c>
      <c r="U260" s="683"/>
      <c r="V260" s="684">
        <v>1</v>
      </c>
      <c r="W260" s="3524" t="s">
        <v>5410</v>
      </c>
      <c r="X260" s="3165" t="s">
        <v>1</v>
      </c>
      <c r="Y260" s="687">
        <f>+Z260/1000</f>
        <v>3000</v>
      </c>
      <c r="Z260" s="736">
        <v>3000000</v>
      </c>
      <c r="AA260" s="3386"/>
      <c r="AB260" s="3421"/>
    </row>
    <row r="261" spans="1:28" ht="21.95" customHeight="1">
      <c r="A261" s="3412"/>
      <c r="B261" s="3160"/>
      <c r="C261" s="692"/>
      <c r="D261" s="1384"/>
      <c r="E261" s="1534" t="s">
        <v>5427</v>
      </c>
      <c r="F261" s="678">
        <f t="shared" ref="F261" si="60">+Y261</f>
        <v>750</v>
      </c>
      <c r="G261" s="679">
        <v>750</v>
      </c>
      <c r="H261" s="1239">
        <f t="shared" si="53"/>
        <v>0</v>
      </c>
      <c r="I261" s="2060"/>
      <c r="J261" s="681" t="s">
        <v>5419</v>
      </c>
      <c r="K261" s="3515"/>
      <c r="L261" s="3515"/>
      <c r="M261" s="3515"/>
      <c r="N261" s="3515"/>
      <c r="O261" s="3515"/>
      <c r="P261" s="683"/>
      <c r="Q261" s="684">
        <v>10</v>
      </c>
      <c r="R261" s="3524" t="s">
        <v>25</v>
      </c>
      <c r="S261" s="684">
        <v>15000</v>
      </c>
      <c r="T261" s="684" t="s">
        <v>0</v>
      </c>
      <c r="U261" s="683"/>
      <c r="V261" s="684">
        <v>5</v>
      </c>
      <c r="W261" s="3524" t="s">
        <v>3</v>
      </c>
      <c r="X261" s="3165" t="s">
        <v>5409</v>
      </c>
      <c r="Y261" s="687">
        <f>+Z261/1000</f>
        <v>750</v>
      </c>
      <c r="Z261" s="736">
        <f>S261*V261*Q261</f>
        <v>750000</v>
      </c>
      <c r="AA261" s="3386">
        <f t="shared" ref="AA261" si="61">F261*1000000</f>
        <v>750000000</v>
      </c>
      <c r="AB261" s="3421"/>
    </row>
    <row r="262" spans="1:28" ht="21.95" customHeight="1">
      <c r="A262" s="673"/>
      <c r="B262" s="674"/>
      <c r="C262" s="3978" t="s">
        <v>2798</v>
      </c>
      <c r="D262" s="3991"/>
      <c r="E262" s="3979"/>
      <c r="F262" s="1192">
        <f>SUM(F263)</f>
        <v>88000</v>
      </c>
      <c r="G262" s="1192">
        <f>SUM(G263)</f>
        <v>88000</v>
      </c>
      <c r="H262" s="933">
        <f>F262-G262</f>
        <v>0</v>
      </c>
      <c r="I262" s="920"/>
      <c r="J262" s="1535"/>
      <c r="K262" s="1536"/>
      <c r="L262" s="1536"/>
      <c r="M262" s="1536"/>
      <c r="N262" s="1536"/>
      <c r="O262" s="1536"/>
      <c r="P262" s="1259"/>
      <c r="Q262" s="1084"/>
      <c r="R262" s="1537"/>
      <c r="S262" s="1084"/>
      <c r="T262" s="1084"/>
      <c r="U262" s="1259"/>
      <c r="V262" s="1084"/>
      <c r="W262" s="1084"/>
      <c r="X262" s="1538"/>
      <c r="Y262" s="1539"/>
      <c r="Z262" s="736">
        <f>Z263</f>
        <v>17139000</v>
      </c>
      <c r="AA262" s="1185">
        <f t="shared" si="42"/>
        <v>88000000000</v>
      </c>
      <c r="AB262" s="690"/>
    </row>
    <row r="263" spans="1:28" ht="21.95" customHeight="1">
      <c r="A263" s="673"/>
      <c r="B263" s="674"/>
      <c r="C263" s="675"/>
      <c r="D263" s="3840" t="s">
        <v>2799</v>
      </c>
      <c r="E263" s="3904"/>
      <c r="F263" s="1529">
        <f>SUM(F264:F274)</f>
        <v>88000</v>
      </c>
      <c r="G263" s="663">
        <f>SUM(G264:G274)</f>
        <v>88000</v>
      </c>
      <c r="H263" s="1380">
        <f>SUM(H264:H274)</f>
        <v>0</v>
      </c>
      <c r="I263" s="920"/>
      <c r="J263" s="1074"/>
      <c r="K263" s="1957"/>
      <c r="L263" s="1957"/>
      <c r="M263" s="1957"/>
      <c r="N263" s="1957"/>
      <c r="O263" s="1957"/>
      <c r="P263" s="1075"/>
      <c r="Q263" s="1957"/>
      <c r="R263" s="1259"/>
      <c r="S263" s="1075"/>
      <c r="T263" s="1957"/>
      <c r="U263" s="1957"/>
      <c r="V263" s="1075"/>
      <c r="W263" s="1957"/>
      <c r="X263" s="1260"/>
      <c r="Y263" s="940"/>
      <c r="Z263" s="736">
        <f>Z272+Z267+Z264+Z266+Z265+Z274</f>
        <v>17139000</v>
      </c>
      <c r="AA263" s="1185">
        <f t="shared" si="42"/>
        <v>88000000000</v>
      </c>
      <c r="AB263" s="690"/>
    </row>
    <row r="264" spans="1:28" ht="21.95" customHeight="1">
      <c r="A264" s="673"/>
      <c r="B264" s="674"/>
      <c r="C264" s="675"/>
      <c r="D264" s="1530"/>
      <c r="E264" s="677" t="s">
        <v>445</v>
      </c>
      <c r="F264" s="678">
        <f>+Y264</f>
        <v>6344.9999999999991</v>
      </c>
      <c r="G264" s="679">
        <v>25000</v>
      </c>
      <c r="H264" s="680">
        <f>F264-G264</f>
        <v>-18655</v>
      </c>
      <c r="I264" s="2060"/>
      <c r="J264" s="681" t="s">
        <v>2801</v>
      </c>
      <c r="K264" s="3515"/>
      <c r="L264" s="3515"/>
      <c r="M264" s="3515"/>
      <c r="N264" s="3515"/>
      <c r="O264" s="3515"/>
      <c r="P264" s="683"/>
      <c r="Q264" s="1531"/>
      <c r="R264" s="3524"/>
      <c r="S264" s="1540">
        <v>10575000000</v>
      </c>
      <c r="T264" s="684" t="s">
        <v>391</v>
      </c>
      <c r="U264" s="683"/>
      <c r="V264" s="1531">
        <v>5.9999999999999995E-4</v>
      </c>
      <c r="W264" s="684"/>
      <c r="X264" s="686" t="s">
        <v>5</v>
      </c>
      <c r="Y264" s="687">
        <f>+Z264/1000</f>
        <v>6344.9999999999991</v>
      </c>
      <c r="Z264" s="736">
        <f>+V264*S264</f>
        <v>6344999.9999999991</v>
      </c>
      <c r="AA264" s="3386">
        <f t="shared" si="42"/>
        <v>6344999999.999999</v>
      </c>
      <c r="AB264" s="690"/>
    </row>
    <row r="265" spans="1:28" ht="21.95" customHeight="1">
      <c r="A265" s="673"/>
      <c r="B265" s="674"/>
      <c r="C265" s="675"/>
      <c r="D265" s="1530"/>
      <c r="E265" s="677" t="s">
        <v>264</v>
      </c>
      <c r="F265" s="678">
        <f>+Y265</f>
        <v>2492</v>
      </c>
      <c r="G265" s="679">
        <v>1500</v>
      </c>
      <c r="H265" s="680">
        <f>F265-G265</f>
        <v>992</v>
      </c>
      <c r="I265" s="2060"/>
      <c r="J265" s="681" t="s">
        <v>2802</v>
      </c>
      <c r="K265" s="3515"/>
      <c r="L265" s="3515"/>
      <c r="M265" s="3515"/>
      <c r="N265" s="3515"/>
      <c r="O265" s="3515"/>
      <c r="P265" s="683"/>
      <c r="Q265" s="684"/>
      <c r="R265" s="3524"/>
      <c r="S265" s="684">
        <v>498400</v>
      </c>
      <c r="T265" s="684" t="s">
        <v>4</v>
      </c>
      <c r="U265" s="683"/>
      <c r="V265" s="684">
        <v>5</v>
      </c>
      <c r="W265" s="684" t="s">
        <v>233</v>
      </c>
      <c r="X265" s="686" t="s">
        <v>5</v>
      </c>
      <c r="Y265" s="687">
        <f>+Z265/1000</f>
        <v>2492</v>
      </c>
      <c r="Z265" s="736">
        <f>+S265*V265</f>
        <v>2492000</v>
      </c>
      <c r="AA265" s="3386">
        <f t="shared" si="42"/>
        <v>2492000000</v>
      </c>
      <c r="AB265" s="690"/>
    </row>
    <row r="266" spans="1:28" ht="21.95" customHeight="1">
      <c r="A266" s="673"/>
      <c r="B266" s="674"/>
      <c r="C266" s="675"/>
      <c r="D266" s="1530"/>
      <c r="E266" s="677" t="s">
        <v>225</v>
      </c>
      <c r="F266" s="678">
        <f>+Y266</f>
        <v>3025</v>
      </c>
      <c r="G266" s="679">
        <v>1000</v>
      </c>
      <c r="H266" s="680">
        <f>F266-G266</f>
        <v>2025</v>
      </c>
      <c r="I266" s="2060"/>
      <c r="J266" s="681" t="s">
        <v>375</v>
      </c>
      <c r="K266" s="3515"/>
      <c r="L266" s="3515"/>
      <c r="M266" s="3515"/>
      <c r="N266" s="3515"/>
      <c r="O266" s="3515"/>
      <c r="P266" s="683"/>
      <c r="Q266" s="684"/>
      <c r="R266" s="3524"/>
      <c r="S266" s="684"/>
      <c r="T266" s="684"/>
      <c r="U266" s="683"/>
      <c r="V266" s="684"/>
      <c r="W266" s="684"/>
      <c r="X266" s="686"/>
      <c r="Y266" s="687">
        <f t="shared" ref="Y266" si="62">+Z266/1000</f>
        <v>3025</v>
      </c>
      <c r="Z266" s="736">
        <f>SUM(Z267:Z268)</f>
        <v>3025000</v>
      </c>
      <c r="AA266" s="3386">
        <f t="shared" si="42"/>
        <v>3025000000</v>
      </c>
      <c r="AB266" s="690"/>
    </row>
    <row r="267" spans="1:28" ht="21.95" customHeight="1">
      <c r="A267" s="673"/>
      <c r="B267" s="674"/>
      <c r="C267" s="675"/>
      <c r="D267" s="1530"/>
      <c r="E267" s="677"/>
      <c r="F267" s="678"/>
      <c r="G267" s="679"/>
      <c r="H267" s="680"/>
      <c r="I267" s="2060"/>
      <c r="J267" s="681" t="s">
        <v>5173</v>
      </c>
      <c r="K267" s="3515"/>
      <c r="L267" s="3515"/>
      <c r="M267" s="3515"/>
      <c r="N267" s="3515"/>
      <c r="O267" s="3515"/>
      <c r="P267" s="683"/>
      <c r="Q267" s="684">
        <v>2</v>
      </c>
      <c r="R267" s="3524" t="s">
        <v>36</v>
      </c>
      <c r="S267" s="684">
        <v>20000</v>
      </c>
      <c r="T267" s="684" t="s">
        <v>4</v>
      </c>
      <c r="U267" s="683"/>
      <c r="V267" s="684">
        <v>25</v>
      </c>
      <c r="W267" s="684" t="s">
        <v>233</v>
      </c>
      <c r="X267" s="686" t="s">
        <v>5</v>
      </c>
      <c r="Y267" s="687">
        <f>+Z267/1000</f>
        <v>1000</v>
      </c>
      <c r="Z267" s="736">
        <f>S267*Q267*V267</f>
        <v>1000000</v>
      </c>
      <c r="AA267" s="3386">
        <f t="shared" si="42"/>
        <v>0</v>
      </c>
      <c r="AB267" s="690"/>
    </row>
    <row r="268" spans="1:28" ht="21.95" customHeight="1">
      <c r="A268" s="673"/>
      <c r="B268" s="674"/>
      <c r="C268" s="675"/>
      <c r="D268" s="1530"/>
      <c r="E268" s="677"/>
      <c r="F268" s="678"/>
      <c r="G268" s="679"/>
      <c r="H268" s="680"/>
      <c r="I268" s="2060"/>
      <c r="J268" s="681" t="s">
        <v>5174</v>
      </c>
      <c r="K268" s="3515"/>
      <c r="L268" s="3515"/>
      <c r="M268" s="3515"/>
      <c r="N268" s="3515"/>
      <c r="O268" s="3515"/>
      <c r="P268" s="683"/>
      <c r="Q268" s="684">
        <v>1</v>
      </c>
      <c r="R268" s="3524" t="s">
        <v>36</v>
      </c>
      <c r="S268" s="684">
        <v>2025000</v>
      </c>
      <c r="T268" s="684" t="s">
        <v>4</v>
      </c>
      <c r="U268" s="683"/>
      <c r="V268" s="684">
        <v>1</v>
      </c>
      <c r="W268" s="684" t="s">
        <v>233</v>
      </c>
      <c r="X268" s="686" t="s">
        <v>5</v>
      </c>
      <c r="Y268" s="687">
        <f>+Z268/1000</f>
        <v>2025</v>
      </c>
      <c r="Z268" s="736">
        <f>S268*Q268*V268</f>
        <v>2025000</v>
      </c>
      <c r="AA268" s="3386">
        <f t="shared" ref="AA268:AA274" si="63">F268*1000000</f>
        <v>0</v>
      </c>
      <c r="AB268" s="690"/>
    </row>
    <row r="269" spans="1:28" ht="21.95" customHeight="1">
      <c r="A269" s="673"/>
      <c r="B269" s="674"/>
      <c r="C269" s="675"/>
      <c r="D269" s="1530"/>
      <c r="E269" s="677" t="s">
        <v>379</v>
      </c>
      <c r="F269" s="678">
        <f>+Y269</f>
        <v>6331</v>
      </c>
      <c r="G269" s="679">
        <v>30000</v>
      </c>
      <c r="H269" s="680">
        <f>F269-G269</f>
        <v>-23669</v>
      </c>
      <c r="I269" s="2060"/>
      <c r="J269" s="681" t="s">
        <v>5175</v>
      </c>
      <c r="K269" s="3515"/>
      <c r="L269" s="3515"/>
      <c r="M269" s="3515"/>
      <c r="N269" s="3515"/>
      <c r="O269" s="3515"/>
      <c r="P269" s="683"/>
      <c r="Q269" s="684"/>
      <c r="R269" s="3524"/>
      <c r="S269" s="684">
        <v>1266200</v>
      </c>
      <c r="T269" s="684" t="s">
        <v>4</v>
      </c>
      <c r="U269" s="683"/>
      <c r="V269" s="684">
        <v>5</v>
      </c>
      <c r="W269" s="684" t="s">
        <v>233</v>
      </c>
      <c r="X269" s="686" t="s">
        <v>5</v>
      </c>
      <c r="Y269" s="687">
        <f>+Z269/1000</f>
        <v>6331</v>
      </c>
      <c r="Z269" s="736">
        <f>+S269*V269</f>
        <v>6331000</v>
      </c>
      <c r="AA269" s="3386">
        <f t="shared" si="63"/>
        <v>6331000000</v>
      </c>
      <c r="AB269" s="690"/>
    </row>
    <row r="270" spans="1:28" ht="21.95" customHeight="1">
      <c r="A270" s="673"/>
      <c r="B270" s="674"/>
      <c r="C270" s="675"/>
      <c r="D270" s="1530"/>
      <c r="E270" s="677" t="s">
        <v>15</v>
      </c>
      <c r="F270" s="678">
        <f>+Y270</f>
        <v>30000</v>
      </c>
      <c r="G270" s="679">
        <v>20000</v>
      </c>
      <c r="H270" s="680">
        <f>F270-G270</f>
        <v>10000</v>
      </c>
      <c r="I270" s="2060"/>
      <c r="J270" s="681" t="s">
        <v>375</v>
      </c>
      <c r="K270" s="3515"/>
      <c r="L270" s="3515"/>
      <c r="M270" s="3515"/>
      <c r="N270" s="3515"/>
      <c r="O270" s="3515"/>
      <c r="P270" s="683"/>
      <c r="Q270" s="684"/>
      <c r="R270" s="3524"/>
      <c r="S270" s="684"/>
      <c r="T270" s="684"/>
      <c r="U270" s="683"/>
      <c r="V270" s="684"/>
      <c r="W270" s="684"/>
      <c r="X270" s="686"/>
      <c r="Y270" s="687">
        <f t="shared" ref="Y270" si="64">+Z270/1000</f>
        <v>30000</v>
      </c>
      <c r="Z270" s="736">
        <f>SUM(Z271:Z272)</f>
        <v>30000000</v>
      </c>
      <c r="AA270" s="3386">
        <f t="shared" si="63"/>
        <v>30000000000</v>
      </c>
      <c r="AB270" s="690"/>
    </row>
    <row r="271" spans="1:28" ht="21.95" customHeight="1">
      <c r="A271" s="673"/>
      <c r="B271" s="674"/>
      <c r="C271" s="675"/>
      <c r="D271" s="1530"/>
      <c r="E271" s="677"/>
      <c r="F271" s="678"/>
      <c r="G271" s="679"/>
      <c r="H271" s="680"/>
      <c r="I271" s="2060"/>
      <c r="J271" s="681" t="s">
        <v>5176</v>
      </c>
      <c r="K271" s="3515"/>
      <c r="L271" s="3515"/>
      <c r="M271" s="3515"/>
      <c r="N271" s="3515"/>
      <c r="O271" s="3515"/>
      <c r="P271" s="683"/>
      <c r="Q271" s="684"/>
      <c r="R271" s="3524"/>
      <c r="S271" s="684">
        <v>26800000</v>
      </c>
      <c r="T271" s="684" t="s">
        <v>4</v>
      </c>
      <c r="U271" s="683"/>
      <c r="V271" s="684">
        <v>1</v>
      </c>
      <c r="W271" s="684" t="s">
        <v>579</v>
      </c>
      <c r="X271" s="686" t="s">
        <v>5</v>
      </c>
      <c r="Y271" s="687">
        <f>+Z271/1000</f>
        <v>26800</v>
      </c>
      <c r="Z271" s="736">
        <f>+S271*V271</f>
        <v>26800000</v>
      </c>
      <c r="AA271" s="3386">
        <f t="shared" si="63"/>
        <v>0</v>
      </c>
      <c r="AB271" s="690"/>
    </row>
    <row r="272" spans="1:28" ht="21.95" customHeight="1">
      <c r="A272" s="673"/>
      <c r="B272" s="674"/>
      <c r="C272" s="675"/>
      <c r="D272" s="1530"/>
      <c r="E272" s="677"/>
      <c r="F272" s="678"/>
      <c r="G272" s="679"/>
      <c r="H272" s="680"/>
      <c r="I272" s="2060"/>
      <c r="J272" s="681" t="s">
        <v>5177</v>
      </c>
      <c r="K272" s="3515"/>
      <c r="L272" s="3515"/>
      <c r="M272" s="3515"/>
      <c r="N272" s="3515"/>
      <c r="O272" s="3515"/>
      <c r="P272" s="683"/>
      <c r="Q272" s="684">
        <v>8</v>
      </c>
      <c r="R272" s="3524" t="s">
        <v>36</v>
      </c>
      <c r="S272" s="684">
        <v>200000</v>
      </c>
      <c r="T272" s="684" t="s">
        <v>4</v>
      </c>
      <c r="U272" s="683"/>
      <c r="V272" s="684">
        <v>2</v>
      </c>
      <c r="W272" s="684" t="s">
        <v>233</v>
      </c>
      <c r="X272" s="686" t="s">
        <v>5</v>
      </c>
      <c r="Y272" s="687">
        <f>+Z272/1000</f>
        <v>3200</v>
      </c>
      <c r="Z272" s="736">
        <f>S272*Q272*V272</f>
        <v>3200000</v>
      </c>
      <c r="AA272" s="3386">
        <f t="shared" si="63"/>
        <v>0</v>
      </c>
      <c r="AB272" s="690"/>
    </row>
    <row r="273" spans="1:29" ht="21.95" customHeight="1">
      <c r="A273" s="3378"/>
      <c r="B273" s="3160"/>
      <c r="C273" s="675"/>
      <c r="D273" s="1530"/>
      <c r="E273" s="677" t="s">
        <v>16</v>
      </c>
      <c r="F273" s="678">
        <f>+Y273</f>
        <v>38730</v>
      </c>
      <c r="G273" s="679">
        <v>10000</v>
      </c>
      <c r="H273" s="680">
        <f>F273-G273</f>
        <v>28730</v>
      </c>
      <c r="I273" s="2060"/>
      <c r="J273" s="681" t="s">
        <v>2807</v>
      </c>
      <c r="K273" s="3515"/>
      <c r="L273" s="3515"/>
      <c r="M273" s="3515"/>
      <c r="N273" s="3515"/>
      <c r="O273" s="3515"/>
      <c r="P273" s="683"/>
      <c r="Q273" s="684"/>
      <c r="R273" s="3524"/>
      <c r="S273" s="684">
        <v>3873000</v>
      </c>
      <c r="T273" s="684" t="s">
        <v>4</v>
      </c>
      <c r="U273" s="683"/>
      <c r="V273" s="684">
        <v>10</v>
      </c>
      <c r="W273" s="684" t="s">
        <v>652</v>
      </c>
      <c r="X273" s="686" t="s">
        <v>5</v>
      </c>
      <c r="Y273" s="687">
        <f t="shared" ref="Y273:Y274" si="65">+Z273/1000</f>
        <v>38730</v>
      </c>
      <c r="Z273" s="736">
        <f>S273*V273</f>
        <v>38730000</v>
      </c>
      <c r="AA273" s="3386">
        <f t="shared" si="63"/>
        <v>38730000000</v>
      </c>
      <c r="AB273" s="690"/>
    </row>
    <row r="274" spans="1:29" s="689" customFormat="1" ht="21.95" customHeight="1">
      <c r="A274" s="673"/>
      <c r="B274" s="674"/>
      <c r="C274" s="675"/>
      <c r="D274" s="1530"/>
      <c r="E274" s="677" t="s">
        <v>242</v>
      </c>
      <c r="F274" s="678">
        <f>+Y274</f>
        <v>1077</v>
      </c>
      <c r="G274" s="679">
        <v>500</v>
      </c>
      <c r="H274" s="699">
        <f>F274-G274</f>
        <v>577</v>
      </c>
      <c r="I274" s="2060"/>
      <c r="J274" s="681" t="s">
        <v>2808</v>
      </c>
      <c r="K274" s="3515"/>
      <c r="L274" s="3515"/>
      <c r="M274" s="3515"/>
      <c r="N274" s="3515"/>
      <c r="O274" s="3515"/>
      <c r="P274" s="683"/>
      <c r="Q274" s="684"/>
      <c r="R274" s="3524"/>
      <c r="S274" s="684">
        <v>107700</v>
      </c>
      <c r="T274" s="684" t="s">
        <v>4</v>
      </c>
      <c r="U274" s="683"/>
      <c r="V274" s="684">
        <v>10</v>
      </c>
      <c r="W274" s="684" t="s">
        <v>233</v>
      </c>
      <c r="X274" s="686" t="s">
        <v>5</v>
      </c>
      <c r="Y274" s="687">
        <f t="shared" si="65"/>
        <v>1077</v>
      </c>
      <c r="Z274" s="736">
        <f>+S274*V274</f>
        <v>1077000</v>
      </c>
      <c r="AA274" s="3386">
        <f t="shared" si="63"/>
        <v>1077000000</v>
      </c>
      <c r="AB274" s="690"/>
    </row>
    <row r="275" spans="1:29" ht="19.899999999999999" customHeight="1">
      <c r="A275" s="673"/>
      <c r="B275" s="674"/>
      <c r="C275" s="3978" t="s">
        <v>2809</v>
      </c>
      <c r="D275" s="3991"/>
      <c r="E275" s="3979"/>
      <c r="F275" s="1192">
        <f>+F276+F289+F302+F280+F307+F315</f>
        <v>236000</v>
      </c>
      <c r="G275" s="1192">
        <f>+G276+G289+G302+G280+G307+G315</f>
        <v>236000</v>
      </c>
      <c r="H275" s="1380">
        <f>F275-G275</f>
        <v>0</v>
      </c>
      <c r="I275" s="920"/>
      <c r="J275" s="1535"/>
      <c r="K275" s="1536"/>
      <c r="L275" s="1536"/>
      <c r="M275" s="1536"/>
      <c r="N275" s="1536"/>
      <c r="O275" s="1536"/>
      <c r="P275" s="1259"/>
      <c r="Q275" s="1084"/>
      <c r="R275" s="1537"/>
      <c r="S275" s="1084"/>
      <c r="T275" s="1084"/>
      <c r="U275" s="1259"/>
      <c r="V275" s="1084"/>
      <c r="W275" s="1084"/>
      <c r="X275" s="1538"/>
      <c r="Y275" s="1539"/>
      <c r="Z275" s="736"/>
      <c r="AA275" s="1185">
        <f t="shared" ref="AA275:AA334" si="66">F275*1000000</f>
        <v>236000000000</v>
      </c>
      <c r="AB275" s="690"/>
    </row>
    <row r="276" spans="1:29" ht="19.899999999999999" customHeight="1">
      <c r="A276" s="673"/>
      <c r="B276" s="674"/>
      <c r="C276" s="675"/>
      <c r="D276" s="3840" t="s">
        <v>2810</v>
      </c>
      <c r="E276" s="3904"/>
      <c r="F276" s="1529">
        <f>SUM(F277:F279)</f>
        <v>123400</v>
      </c>
      <c r="G276" s="663">
        <f>SUM(G277:G279)</f>
        <v>123400</v>
      </c>
      <c r="H276" s="699">
        <f>F276-G276</f>
        <v>0</v>
      </c>
      <c r="I276" s="920"/>
      <c r="J276" s="1535"/>
      <c r="K276" s="1536"/>
      <c r="L276" s="1536"/>
      <c r="M276" s="1536"/>
      <c r="N276" s="1536"/>
      <c r="O276" s="1536"/>
      <c r="P276" s="1259"/>
      <c r="Q276" s="1084"/>
      <c r="R276" s="1537"/>
      <c r="S276" s="1084"/>
      <c r="T276" s="1084"/>
      <c r="U276" s="1259"/>
      <c r="V276" s="1084"/>
      <c r="W276" s="1084"/>
      <c r="X276" s="1538"/>
      <c r="Y276" s="1539"/>
      <c r="Z276" s="736">
        <f>SUM(Z277:Z279)</f>
        <v>123400000</v>
      </c>
      <c r="AA276" s="1185">
        <f t="shared" si="66"/>
        <v>123400000000</v>
      </c>
      <c r="AB276" s="690"/>
    </row>
    <row r="277" spans="1:29" ht="19.899999999999999" customHeight="1">
      <c r="A277" s="673"/>
      <c r="B277" s="674"/>
      <c r="C277" s="675"/>
      <c r="D277" s="676"/>
      <c r="E277" s="677" t="s">
        <v>2793</v>
      </c>
      <c r="F277" s="678">
        <f>SUM(Y277)</f>
        <v>120600</v>
      </c>
      <c r="G277" s="679">
        <v>120600</v>
      </c>
      <c r="H277" s="680"/>
      <c r="I277" s="920"/>
      <c r="J277" s="681" t="s">
        <v>2811</v>
      </c>
      <c r="K277" s="682"/>
      <c r="L277" s="682"/>
      <c r="M277" s="682"/>
      <c r="N277" s="682"/>
      <c r="O277" s="682"/>
      <c r="P277" s="683"/>
      <c r="Q277" s="684">
        <v>7</v>
      </c>
      <c r="R277" s="685" t="s">
        <v>2772</v>
      </c>
      <c r="S277" s="684">
        <v>1435714.2857142857</v>
      </c>
      <c r="T277" s="684" t="s">
        <v>2769</v>
      </c>
      <c r="U277" s="683"/>
      <c r="V277" s="684">
        <v>12</v>
      </c>
      <c r="W277" s="685" t="s">
        <v>2805</v>
      </c>
      <c r="X277" s="686" t="s">
        <v>2689</v>
      </c>
      <c r="Y277" s="687">
        <f>SUM(S277*Q277*V277)/1000</f>
        <v>120600</v>
      </c>
      <c r="Z277" s="736">
        <f>+S277*V277*Q277</f>
        <v>120600000</v>
      </c>
      <c r="AA277" s="1185">
        <f t="shared" si="66"/>
        <v>120600000000</v>
      </c>
      <c r="AB277" s="690"/>
    </row>
    <row r="278" spans="1:29" ht="19.899999999999999" customHeight="1">
      <c r="A278" s="673"/>
      <c r="B278" s="674"/>
      <c r="C278" s="675"/>
      <c r="D278" s="676"/>
      <c r="E278" s="677" t="s">
        <v>2797</v>
      </c>
      <c r="F278" s="678">
        <f>SUM(Y278)</f>
        <v>1050</v>
      </c>
      <c r="G278" s="679">
        <v>1050</v>
      </c>
      <c r="H278" s="680"/>
      <c r="I278" s="920"/>
      <c r="J278" s="681" t="s">
        <v>2812</v>
      </c>
      <c r="K278" s="682"/>
      <c r="L278" s="682"/>
      <c r="M278" s="682"/>
      <c r="N278" s="682"/>
      <c r="O278" s="682"/>
      <c r="P278" s="683"/>
      <c r="Q278" s="684">
        <v>10</v>
      </c>
      <c r="R278" s="685" t="s">
        <v>2772</v>
      </c>
      <c r="S278" s="684">
        <v>15000</v>
      </c>
      <c r="T278" s="684" t="s">
        <v>2769</v>
      </c>
      <c r="U278" s="683"/>
      <c r="V278" s="684">
        <v>7</v>
      </c>
      <c r="W278" s="685" t="s">
        <v>2787</v>
      </c>
      <c r="X278" s="686" t="s">
        <v>2689</v>
      </c>
      <c r="Y278" s="687">
        <f>SUM(S278*Q278*V278)/1000</f>
        <v>1050</v>
      </c>
      <c r="Z278" s="736">
        <f>+S278*V278*Q278</f>
        <v>1050000</v>
      </c>
      <c r="AA278" s="1185">
        <f t="shared" si="66"/>
        <v>1050000000</v>
      </c>
      <c r="AB278" s="690">
        <f>AA278/Q278/V278</f>
        <v>15000000</v>
      </c>
      <c r="AC278" s="1642"/>
    </row>
    <row r="279" spans="1:29" ht="19.899999999999999" customHeight="1">
      <c r="A279" s="673"/>
      <c r="B279" s="674"/>
      <c r="C279" s="675"/>
      <c r="D279" s="1384"/>
      <c r="E279" s="696" t="s">
        <v>2813</v>
      </c>
      <c r="F279" s="678">
        <f>SUM(Y279)</f>
        <v>1750</v>
      </c>
      <c r="G279" s="679">
        <v>1750</v>
      </c>
      <c r="H279" s="680"/>
      <c r="I279" s="920"/>
      <c r="J279" s="681" t="s">
        <v>2814</v>
      </c>
      <c r="K279" s="682"/>
      <c r="L279" s="682"/>
      <c r="M279" s="682"/>
      <c r="N279" s="682"/>
      <c r="O279" s="682"/>
      <c r="P279" s="683"/>
      <c r="Q279" s="684">
        <v>10</v>
      </c>
      <c r="R279" s="685" t="s">
        <v>2772</v>
      </c>
      <c r="S279" s="684">
        <v>175000</v>
      </c>
      <c r="T279" s="684" t="s">
        <v>2769</v>
      </c>
      <c r="U279" s="683"/>
      <c r="V279" s="684">
        <v>1</v>
      </c>
      <c r="W279" s="685" t="s">
        <v>2787</v>
      </c>
      <c r="X279" s="686" t="s">
        <v>2689</v>
      </c>
      <c r="Y279" s="687">
        <f>SUM(S279*Q279*V279)/1000</f>
        <v>1750</v>
      </c>
      <c r="Z279" s="736">
        <f>+S279*V279*Q279</f>
        <v>1750000</v>
      </c>
      <c r="AA279" s="1185">
        <f t="shared" si="66"/>
        <v>1750000000</v>
      </c>
      <c r="AB279" s="690"/>
    </row>
    <row r="280" spans="1:29" ht="19.899999999999999" customHeight="1">
      <c r="A280" s="673"/>
      <c r="B280" s="674"/>
      <c r="C280" s="675"/>
      <c r="D280" s="3840" t="s">
        <v>272</v>
      </c>
      <c r="E280" s="3904"/>
      <c r="F280" s="1529">
        <f>SUM(F281:F288)</f>
        <v>7000</v>
      </c>
      <c r="G280" s="663">
        <f>SUM(G281:G288)</f>
        <v>7000</v>
      </c>
      <c r="H280" s="1380">
        <f>F280-G280</f>
        <v>0</v>
      </c>
      <c r="I280" s="920"/>
      <c r="J280" s="1074"/>
      <c r="K280" s="1957"/>
      <c r="L280" s="1957"/>
      <c r="M280" s="1957"/>
      <c r="N280" s="1957"/>
      <c r="O280" s="1957"/>
      <c r="P280" s="1075"/>
      <c r="Q280" s="1957"/>
      <c r="R280" s="1259"/>
      <c r="S280" s="1075"/>
      <c r="T280" s="1957"/>
      <c r="U280" s="1957"/>
      <c r="V280" s="1075"/>
      <c r="W280" s="1957"/>
      <c r="X280" s="1260"/>
      <c r="Y280" s="940"/>
      <c r="Z280" s="736"/>
      <c r="AA280" s="1185">
        <f t="shared" si="66"/>
        <v>7000000000</v>
      </c>
      <c r="AB280" s="690"/>
    </row>
    <row r="281" spans="1:29" ht="19.899999999999999" customHeight="1">
      <c r="A281" s="673"/>
      <c r="B281" s="674"/>
      <c r="C281" s="675"/>
      <c r="D281" s="676"/>
      <c r="E281" s="677" t="s">
        <v>57</v>
      </c>
      <c r="F281" s="678">
        <f t="shared" ref="F281:F288" si="67">+Y281</f>
        <v>1540</v>
      </c>
      <c r="G281" s="679">
        <v>2000</v>
      </c>
      <c r="H281" s="680">
        <f>F281-G281</f>
        <v>-460</v>
      </c>
      <c r="I281" s="2060"/>
      <c r="J281" s="681" t="s">
        <v>5622</v>
      </c>
      <c r="K281" s="3515"/>
      <c r="L281" s="3515"/>
      <c r="M281" s="3515"/>
      <c r="N281" s="3515"/>
      <c r="O281" s="3515"/>
      <c r="P281" s="683"/>
      <c r="Q281" s="684"/>
      <c r="R281" s="3524"/>
      <c r="S281" s="684">
        <v>385000</v>
      </c>
      <c r="T281" s="684" t="s">
        <v>5623</v>
      </c>
      <c r="U281" s="683"/>
      <c r="V281" s="684">
        <v>4</v>
      </c>
      <c r="W281" s="684" t="s">
        <v>5624</v>
      </c>
      <c r="X281" s="686" t="s">
        <v>5625</v>
      </c>
      <c r="Y281" s="687">
        <f>+Z281/1000</f>
        <v>1540</v>
      </c>
      <c r="Z281" s="736">
        <f>S281*V281</f>
        <v>1540000</v>
      </c>
      <c r="AA281" s="1185">
        <f t="shared" si="66"/>
        <v>1540000000</v>
      </c>
      <c r="AB281" s="690"/>
    </row>
    <row r="282" spans="1:29" ht="19.899999999999999" customHeight="1">
      <c r="A282" s="673"/>
      <c r="B282" s="674"/>
      <c r="C282" s="675"/>
      <c r="D282" s="729"/>
      <c r="E282" s="677" t="s">
        <v>80</v>
      </c>
      <c r="F282" s="678">
        <f t="shared" si="67"/>
        <v>620</v>
      </c>
      <c r="G282" s="679">
        <v>300</v>
      </c>
      <c r="H282" s="680">
        <f>F282-G282</f>
        <v>320</v>
      </c>
      <c r="I282" s="2060"/>
      <c r="J282" s="681" t="s">
        <v>1014</v>
      </c>
      <c r="K282" s="3515"/>
      <c r="L282" s="3515"/>
      <c r="M282" s="3515"/>
      <c r="N282" s="3515"/>
      <c r="O282" s="3515"/>
      <c r="P282" s="683"/>
      <c r="Q282" s="684"/>
      <c r="R282" s="3524"/>
      <c r="S282" s="684">
        <v>310000</v>
      </c>
      <c r="T282" s="684" t="s">
        <v>5623</v>
      </c>
      <c r="U282" s="683"/>
      <c r="V282" s="684">
        <v>2</v>
      </c>
      <c r="W282" s="684" t="s">
        <v>5624</v>
      </c>
      <c r="X282" s="686" t="s">
        <v>5625</v>
      </c>
      <c r="Y282" s="687">
        <v>620</v>
      </c>
      <c r="Z282" s="736">
        <v>300000</v>
      </c>
      <c r="AA282" s="1185">
        <f t="shared" si="66"/>
        <v>620000000</v>
      </c>
      <c r="AB282" s="690"/>
    </row>
    <row r="283" spans="1:29" s="689" customFormat="1" ht="19.899999999999999" customHeight="1">
      <c r="A283" s="673"/>
      <c r="B283" s="674"/>
      <c r="C283" s="675"/>
      <c r="D283" s="729"/>
      <c r="E283" s="677" t="s">
        <v>71</v>
      </c>
      <c r="F283" s="678">
        <f t="shared" si="67"/>
        <v>3140</v>
      </c>
      <c r="G283" s="679">
        <v>3450</v>
      </c>
      <c r="H283" s="680">
        <f>F283-G283</f>
        <v>-310</v>
      </c>
      <c r="I283" s="2060"/>
      <c r="J283" s="681" t="s">
        <v>1013</v>
      </c>
      <c r="K283" s="3515"/>
      <c r="L283" s="3515"/>
      <c r="M283" s="3515"/>
      <c r="N283" s="3515"/>
      <c r="O283" s="3515"/>
      <c r="P283" s="683"/>
      <c r="Q283" s="684"/>
      <c r="R283" s="3524"/>
      <c r="S283" s="684">
        <v>3140000</v>
      </c>
      <c r="T283" s="684" t="s">
        <v>5623</v>
      </c>
      <c r="U283" s="683"/>
      <c r="V283" s="684">
        <v>1</v>
      </c>
      <c r="W283" s="684" t="s">
        <v>5624</v>
      </c>
      <c r="X283" s="686" t="s">
        <v>5625</v>
      </c>
      <c r="Y283" s="687">
        <f>+Z283/1000</f>
        <v>3140</v>
      </c>
      <c r="Z283" s="736">
        <f>+S283*V283</f>
        <v>3140000</v>
      </c>
      <c r="AA283" s="1185">
        <f t="shared" si="66"/>
        <v>3140000000</v>
      </c>
      <c r="AB283" s="690"/>
    </row>
    <row r="284" spans="1:29" s="689" customFormat="1" ht="19.899999999999999" customHeight="1">
      <c r="A284" s="673"/>
      <c r="B284" s="674"/>
      <c r="C284" s="675"/>
      <c r="D284" s="1530"/>
      <c r="E284" s="677" t="s">
        <v>70</v>
      </c>
      <c r="F284" s="678">
        <f t="shared" si="67"/>
        <v>0</v>
      </c>
      <c r="G284" s="679">
        <v>250</v>
      </c>
      <c r="H284" s="680">
        <f>F284-G284</f>
        <v>-250</v>
      </c>
      <c r="I284" s="2060"/>
      <c r="J284" s="681" t="s">
        <v>5739</v>
      </c>
      <c r="K284" s="3515"/>
      <c r="L284" s="3515"/>
      <c r="M284" s="3515"/>
      <c r="N284" s="3515"/>
      <c r="O284" s="3515"/>
      <c r="P284" s="683"/>
      <c r="Q284" s="1531"/>
      <c r="R284" s="3524"/>
      <c r="S284" s="684"/>
      <c r="T284" s="684"/>
      <c r="U284" s="683"/>
      <c r="V284" s="684"/>
      <c r="W284" s="684"/>
      <c r="X284" s="686"/>
      <c r="Y284" s="687"/>
      <c r="Z284" s="736">
        <f>+S284*V284</f>
        <v>0</v>
      </c>
      <c r="AA284" s="1185">
        <f t="shared" si="66"/>
        <v>0</v>
      </c>
      <c r="AB284" s="690"/>
    </row>
    <row r="285" spans="1:29" s="689" customFormat="1" ht="19.899999999999999" customHeight="1">
      <c r="A285" s="3490"/>
      <c r="B285" s="3160"/>
      <c r="C285" s="675"/>
      <c r="D285" s="1530"/>
      <c r="E285" s="677" t="s">
        <v>61</v>
      </c>
      <c r="F285" s="678">
        <f t="shared" si="67"/>
        <v>600</v>
      </c>
      <c r="G285" s="679">
        <v>600</v>
      </c>
      <c r="H285" s="680">
        <f t="shared" ref="H285:H286" si="68">F285-G285</f>
        <v>0</v>
      </c>
      <c r="I285" s="2060"/>
      <c r="J285" s="681" t="s">
        <v>1015</v>
      </c>
      <c r="K285" s="3515"/>
      <c r="L285" s="3515"/>
      <c r="M285" s="3515"/>
      <c r="N285" s="3515"/>
      <c r="O285" s="3515"/>
      <c r="P285" s="683"/>
      <c r="Q285" s="684">
        <v>10</v>
      </c>
      <c r="R285" s="3524" t="s">
        <v>5626</v>
      </c>
      <c r="S285" s="684">
        <v>15000</v>
      </c>
      <c r="T285" s="684" t="s">
        <v>5623</v>
      </c>
      <c r="U285" s="683"/>
      <c r="V285" s="684">
        <v>4</v>
      </c>
      <c r="W285" s="684" t="s">
        <v>5627</v>
      </c>
      <c r="X285" s="686" t="s">
        <v>5625</v>
      </c>
      <c r="Y285" s="687">
        <f>+Z285/1000</f>
        <v>600</v>
      </c>
      <c r="Z285" s="736">
        <f>Q285*S285*V285</f>
        <v>600000</v>
      </c>
      <c r="AA285" s="1185">
        <f t="shared" si="66"/>
        <v>600000000</v>
      </c>
      <c r="AB285" s="690"/>
    </row>
    <row r="286" spans="1:29" s="689" customFormat="1" ht="19.899999999999999" customHeight="1">
      <c r="A286" s="3490"/>
      <c r="B286" s="3160"/>
      <c r="C286" s="675"/>
      <c r="D286" s="1530"/>
      <c r="E286" s="677" t="s">
        <v>62</v>
      </c>
      <c r="F286" s="678">
        <f t="shared" si="67"/>
        <v>400</v>
      </c>
      <c r="G286" s="679">
        <v>400</v>
      </c>
      <c r="H286" s="680">
        <f t="shared" si="68"/>
        <v>0</v>
      </c>
      <c r="I286" s="2060"/>
      <c r="J286" s="681" t="s">
        <v>5628</v>
      </c>
      <c r="K286" s="3515"/>
      <c r="L286" s="3515"/>
      <c r="M286" s="3515"/>
      <c r="N286" s="3515"/>
      <c r="O286" s="3515"/>
      <c r="P286" s="683"/>
      <c r="Q286" s="684"/>
      <c r="R286" s="3524"/>
      <c r="S286" s="684">
        <v>100000</v>
      </c>
      <c r="T286" s="684" t="s">
        <v>5623</v>
      </c>
      <c r="U286" s="683"/>
      <c r="V286" s="684">
        <v>4</v>
      </c>
      <c r="W286" s="684" t="s">
        <v>5624</v>
      </c>
      <c r="X286" s="686" t="s">
        <v>5625</v>
      </c>
      <c r="Y286" s="687">
        <f t="shared" ref="Y286" si="69">+Z286/1000</f>
        <v>400</v>
      </c>
      <c r="Z286" s="736">
        <f>+S286*V286</f>
        <v>400000</v>
      </c>
      <c r="AA286" s="1185">
        <f t="shared" si="66"/>
        <v>400000000</v>
      </c>
      <c r="AB286" s="690"/>
    </row>
    <row r="287" spans="1:29" ht="19.899999999999999" customHeight="1">
      <c r="A287" s="673"/>
      <c r="B287" s="674"/>
      <c r="C287" s="675"/>
      <c r="D287" s="1530"/>
      <c r="E287" s="677" t="s">
        <v>5631</v>
      </c>
      <c r="F287" s="678">
        <f t="shared" si="67"/>
        <v>300</v>
      </c>
      <c r="G287" s="679">
        <v>0</v>
      </c>
      <c r="H287" s="680">
        <f>F287-G287</f>
        <v>300</v>
      </c>
      <c r="I287" s="2060"/>
      <c r="J287" s="681" t="s">
        <v>5629</v>
      </c>
      <c r="K287" s="3515"/>
      <c r="L287" s="3515"/>
      <c r="M287" s="3515"/>
      <c r="N287" s="3515"/>
      <c r="O287" s="3515"/>
      <c r="P287" s="683"/>
      <c r="Q287" s="684"/>
      <c r="R287" s="3524"/>
      <c r="S287" s="684">
        <v>300000</v>
      </c>
      <c r="T287" s="684" t="s">
        <v>5623</v>
      </c>
      <c r="U287" s="683"/>
      <c r="V287" s="684">
        <v>1</v>
      </c>
      <c r="W287" s="684" t="s">
        <v>5624</v>
      </c>
      <c r="X287" s="686" t="s">
        <v>5625</v>
      </c>
      <c r="Y287" s="687">
        <v>300</v>
      </c>
      <c r="Z287" s="736"/>
      <c r="AA287" s="1185">
        <f t="shared" si="66"/>
        <v>300000000</v>
      </c>
      <c r="AB287" s="690"/>
    </row>
    <row r="288" spans="1:29" s="689" customFormat="1" ht="19.899999999999999" customHeight="1">
      <c r="A288" s="673"/>
      <c r="B288" s="674"/>
      <c r="C288" s="675"/>
      <c r="D288" s="1530"/>
      <c r="E288" s="2039" t="s">
        <v>5632</v>
      </c>
      <c r="F288" s="678">
        <f t="shared" si="67"/>
        <v>400</v>
      </c>
      <c r="G288" s="679">
        <v>0</v>
      </c>
      <c r="H288" s="680">
        <f>F288-G288</f>
        <v>400</v>
      </c>
      <c r="I288" s="2060"/>
      <c r="J288" s="681" t="s">
        <v>5630</v>
      </c>
      <c r="K288" s="3515"/>
      <c r="L288" s="3515"/>
      <c r="M288" s="3515"/>
      <c r="N288" s="3515"/>
      <c r="O288" s="3515"/>
      <c r="P288" s="683"/>
      <c r="Q288" s="684"/>
      <c r="R288" s="3524"/>
      <c r="S288" s="684">
        <v>200000</v>
      </c>
      <c r="T288" s="684" t="s">
        <v>5623</v>
      </c>
      <c r="U288" s="683"/>
      <c r="V288" s="684">
        <v>2</v>
      </c>
      <c r="W288" s="684" t="s">
        <v>5624</v>
      </c>
      <c r="X288" s="686" t="s">
        <v>5625</v>
      </c>
      <c r="Y288" s="687">
        <v>400</v>
      </c>
      <c r="Z288" s="736"/>
      <c r="AA288" s="1185">
        <f t="shared" si="66"/>
        <v>400000000</v>
      </c>
      <c r="AB288" s="690"/>
    </row>
    <row r="289" spans="1:28" ht="19.899999999999999" customHeight="1">
      <c r="A289" s="673"/>
      <c r="B289" s="674"/>
      <c r="C289" s="675"/>
      <c r="D289" s="3996" t="s">
        <v>2815</v>
      </c>
      <c r="E289" s="3997"/>
      <c r="F289" s="1529">
        <f>SUM(F290:F301)</f>
        <v>61600</v>
      </c>
      <c r="G289" s="663">
        <f>SUM(G290:G301)</f>
        <v>61600</v>
      </c>
      <c r="H289" s="1380">
        <f>F289-G289</f>
        <v>0</v>
      </c>
      <c r="I289" s="920"/>
      <c r="J289" s="1074"/>
      <c r="K289" s="1957"/>
      <c r="L289" s="1957"/>
      <c r="M289" s="1957"/>
      <c r="N289" s="1957"/>
      <c r="O289" s="1957"/>
      <c r="P289" s="1075"/>
      <c r="Q289" s="1957"/>
      <c r="R289" s="1259"/>
      <c r="S289" s="1075"/>
      <c r="T289" s="1957"/>
      <c r="U289" s="1957"/>
      <c r="V289" s="1075"/>
      <c r="W289" s="1957"/>
      <c r="X289" s="1260"/>
      <c r="Y289" s="940"/>
      <c r="Z289" s="736">
        <f>+Z290+Z293+Z297+Z296+Z291+Z292+Z301</f>
        <v>61600000</v>
      </c>
      <c r="AA289" s="1185">
        <f t="shared" si="66"/>
        <v>61600000000</v>
      </c>
      <c r="AB289" s="690"/>
    </row>
    <row r="290" spans="1:28" ht="19.899999999999999" customHeight="1">
      <c r="A290" s="673"/>
      <c r="B290" s="674"/>
      <c r="C290" s="675"/>
      <c r="D290" s="1530"/>
      <c r="E290" s="677" t="s">
        <v>2816</v>
      </c>
      <c r="F290" s="678">
        <f>+Y290</f>
        <v>27600</v>
      </c>
      <c r="G290" s="679">
        <v>27600</v>
      </c>
      <c r="H290" s="680"/>
      <c r="I290" s="920"/>
      <c r="J290" s="681" t="s">
        <v>362</v>
      </c>
      <c r="K290" s="682"/>
      <c r="L290" s="682"/>
      <c r="M290" s="682"/>
      <c r="N290" s="682"/>
      <c r="O290" s="682"/>
      <c r="P290" s="683"/>
      <c r="Q290" s="684">
        <v>1</v>
      </c>
      <c r="R290" s="685" t="s">
        <v>25</v>
      </c>
      <c r="S290" s="684">
        <v>2300000</v>
      </c>
      <c r="T290" s="684" t="s">
        <v>0</v>
      </c>
      <c r="U290" s="683"/>
      <c r="V290" s="684">
        <v>12</v>
      </c>
      <c r="W290" s="684" t="s">
        <v>29</v>
      </c>
      <c r="X290" s="686" t="s">
        <v>1</v>
      </c>
      <c r="Y290" s="687">
        <f t="shared" ref="Y290" si="70">+Z290/1000</f>
        <v>27600</v>
      </c>
      <c r="Z290" s="736">
        <f>Q290*S290*V290</f>
        <v>27600000</v>
      </c>
      <c r="AA290" s="1185">
        <f t="shared" si="66"/>
        <v>27600000000</v>
      </c>
      <c r="AB290" s="690"/>
    </row>
    <row r="291" spans="1:28" ht="19.899999999999999" customHeight="1">
      <c r="A291" s="673"/>
      <c r="B291" s="674"/>
      <c r="C291" s="675"/>
      <c r="D291" s="676"/>
      <c r="E291" s="677" t="s">
        <v>2795</v>
      </c>
      <c r="F291" s="678">
        <f>+Y291</f>
        <v>500</v>
      </c>
      <c r="G291" s="679">
        <v>500</v>
      </c>
      <c r="H291" s="680"/>
      <c r="I291" s="920"/>
      <c r="J291" s="681" t="s">
        <v>366</v>
      </c>
      <c r="K291" s="682"/>
      <c r="L291" s="682"/>
      <c r="M291" s="682"/>
      <c r="N291" s="682"/>
      <c r="O291" s="682"/>
      <c r="P291" s="683"/>
      <c r="Q291" s="684"/>
      <c r="R291" s="685"/>
      <c r="S291" s="684">
        <v>50000</v>
      </c>
      <c r="T291" s="684" t="s">
        <v>0</v>
      </c>
      <c r="U291" s="683"/>
      <c r="V291" s="684">
        <v>10</v>
      </c>
      <c r="W291" s="685" t="s">
        <v>3</v>
      </c>
      <c r="X291" s="686" t="s">
        <v>1</v>
      </c>
      <c r="Y291" s="687">
        <v>500</v>
      </c>
      <c r="Z291" s="736">
        <f>S291*V291</f>
        <v>500000</v>
      </c>
      <c r="AA291" s="1185">
        <f t="shared" si="66"/>
        <v>500000000</v>
      </c>
      <c r="AB291" s="690"/>
    </row>
    <row r="292" spans="1:28" s="689" customFormat="1" ht="19.899999999999999" customHeight="1">
      <c r="A292" s="673"/>
      <c r="B292" s="674"/>
      <c r="C292" s="675"/>
      <c r="D292" s="676"/>
      <c r="E292" s="677" t="s">
        <v>2796</v>
      </c>
      <c r="F292" s="678">
        <f>+Y292</f>
        <v>600</v>
      </c>
      <c r="G292" s="679">
        <v>600</v>
      </c>
      <c r="H292" s="680"/>
      <c r="I292" s="920"/>
      <c r="J292" s="681" t="s">
        <v>365</v>
      </c>
      <c r="K292" s="682"/>
      <c r="L292" s="682"/>
      <c r="M292" s="682"/>
      <c r="N292" s="682"/>
      <c r="O292" s="682"/>
      <c r="P292" s="683"/>
      <c r="Q292" s="684">
        <v>15</v>
      </c>
      <c r="R292" s="685" t="s">
        <v>31</v>
      </c>
      <c r="S292" s="684">
        <v>20000</v>
      </c>
      <c r="T292" s="684" t="s">
        <v>0</v>
      </c>
      <c r="U292" s="683"/>
      <c r="V292" s="684">
        <v>2</v>
      </c>
      <c r="W292" s="684" t="s">
        <v>28</v>
      </c>
      <c r="X292" s="686" t="s">
        <v>1</v>
      </c>
      <c r="Y292" s="687">
        <v>600</v>
      </c>
      <c r="Z292" s="736">
        <f>S292*V292*Q292</f>
        <v>600000</v>
      </c>
      <c r="AA292" s="1185">
        <f t="shared" si="66"/>
        <v>600000000</v>
      </c>
      <c r="AB292" s="690"/>
    </row>
    <row r="293" spans="1:28" s="689" customFormat="1" ht="19.899999999999999" customHeight="1">
      <c r="A293" s="673"/>
      <c r="B293" s="674"/>
      <c r="C293" s="675"/>
      <c r="D293" s="1530"/>
      <c r="E293" s="677" t="s">
        <v>2790</v>
      </c>
      <c r="F293" s="678">
        <f t="shared" ref="F293:F301" si="71">+Y293</f>
        <v>26000</v>
      </c>
      <c r="G293" s="679">
        <v>26000</v>
      </c>
      <c r="H293" s="680"/>
      <c r="I293" s="920"/>
      <c r="J293" s="681" t="s">
        <v>2691</v>
      </c>
      <c r="K293" s="682"/>
      <c r="L293" s="682"/>
      <c r="M293" s="682"/>
      <c r="N293" s="682"/>
      <c r="O293" s="682"/>
      <c r="P293" s="683"/>
      <c r="Q293" s="684"/>
      <c r="R293" s="685"/>
      <c r="S293" s="684"/>
      <c r="T293" s="684"/>
      <c r="U293" s="683"/>
      <c r="V293" s="684"/>
      <c r="W293" s="684"/>
      <c r="X293" s="686"/>
      <c r="Y293" s="687">
        <v>26000</v>
      </c>
      <c r="Z293" s="736">
        <f>SUM(Z294:Z295)</f>
        <v>26000000</v>
      </c>
      <c r="AA293" s="1185">
        <f t="shared" si="66"/>
        <v>26000000000</v>
      </c>
      <c r="AB293" s="690"/>
    </row>
    <row r="294" spans="1:28" ht="19.899999999999999" customHeight="1">
      <c r="A294" s="673"/>
      <c r="B294" s="674"/>
      <c r="C294" s="675"/>
      <c r="D294" s="1530"/>
      <c r="E294" s="677"/>
      <c r="F294" s="678"/>
      <c r="G294" s="679"/>
      <c r="H294" s="680"/>
      <c r="I294" s="920"/>
      <c r="J294" s="681" t="s">
        <v>2817</v>
      </c>
      <c r="K294" s="682"/>
      <c r="L294" s="682"/>
      <c r="M294" s="682"/>
      <c r="N294" s="682"/>
      <c r="O294" s="682"/>
      <c r="P294" s="683"/>
      <c r="Q294" s="684">
        <v>35</v>
      </c>
      <c r="R294" s="685" t="s">
        <v>25</v>
      </c>
      <c r="S294" s="684">
        <v>18000</v>
      </c>
      <c r="T294" s="684" t="s">
        <v>0</v>
      </c>
      <c r="U294" s="683"/>
      <c r="V294" s="684">
        <v>40</v>
      </c>
      <c r="W294" s="684" t="s">
        <v>66</v>
      </c>
      <c r="X294" s="686" t="s">
        <v>1</v>
      </c>
      <c r="Y294" s="687">
        <v>25200</v>
      </c>
      <c r="Z294" s="736">
        <f>Q294*S294*V294</f>
        <v>25200000</v>
      </c>
      <c r="AA294" s="1185">
        <f t="shared" si="66"/>
        <v>0</v>
      </c>
      <c r="AB294" s="690"/>
    </row>
    <row r="295" spans="1:28" ht="19.899999999999999" customHeight="1">
      <c r="A295" s="916"/>
      <c r="B295" s="674"/>
      <c r="C295" s="675"/>
      <c r="D295" s="676"/>
      <c r="E295" s="677"/>
      <c r="F295" s="678"/>
      <c r="G295" s="679"/>
      <c r="H295" s="680"/>
      <c r="I295" s="920"/>
      <c r="J295" s="681" t="s">
        <v>2818</v>
      </c>
      <c r="K295" s="682"/>
      <c r="L295" s="682"/>
      <c r="M295" s="682"/>
      <c r="N295" s="682"/>
      <c r="O295" s="682"/>
      <c r="P295" s="683"/>
      <c r="Q295" s="684">
        <v>1</v>
      </c>
      <c r="R295" s="685" t="s">
        <v>25</v>
      </c>
      <c r="S295" s="684">
        <v>400000</v>
      </c>
      <c r="T295" s="684" t="s">
        <v>0</v>
      </c>
      <c r="U295" s="683"/>
      <c r="V295" s="684">
        <v>2</v>
      </c>
      <c r="W295" s="684" t="s">
        <v>3</v>
      </c>
      <c r="X295" s="686" t="s">
        <v>1</v>
      </c>
      <c r="Y295" s="687">
        <v>800</v>
      </c>
      <c r="Z295" s="736">
        <f>Q295*S295*V295</f>
        <v>800000</v>
      </c>
      <c r="AA295" s="1185">
        <f t="shared" si="66"/>
        <v>0</v>
      </c>
      <c r="AB295" s="690"/>
    </row>
    <row r="296" spans="1:28" ht="19.899999999999999" customHeight="1">
      <c r="A296" s="673"/>
      <c r="B296" s="674"/>
      <c r="C296" s="675"/>
      <c r="D296" s="676"/>
      <c r="E296" s="677" t="s">
        <v>2819</v>
      </c>
      <c r="F296" s="678">
        <f>+Y296</f>
        <v>1000</v>
      </c>
      <c r="G296" s="679">
        <v>1000</v>
      </c>
      <c r="H296" s="680"/>
      <c r="I296" s="920"/>
      <c r="J296" s="681" t="s">
        <v>2820</v>
      </c>
      <c r="K296" s="682"/>
      <c r="L296" s="682"/>
      <c r="M296" s="682"/>
      <c r="N296" s="682"/>
      <c r="O296" s="682"/>
      <c r="P296" s="683"/>
      <c r="Q296" s="684"/>
      <c r="R296" s="685"/>
      <c r="S296" s="684">
        <v>500000</v>
      </c>
      <c r="T296" s="684" t="s">
        <v>0</v>
      </c>
      <c r="U296" s="683"/>
      <c r="V296" s="684">
        <v>2</v>
      </c>
      <c r="W296" s="685" t="s">
        <v>3</v>
      </c>
      <c r="X296" s="686" t="s">
        <v>1</v>
      </c>
      <c r="Y296" s="687">
        <v>1000</v>
      </c>
      <c r="Z296" s="736">
        <f>S296*V296</f>
        <v>1000000</v>
      </c>
      <c r="AA296" s="1185">
        <f t="shared" si="66"/>
        <v>1000000000</v>
      </c>
      <c r="AB296" s="690"/>
    </row>
    <row r="297" spans="1:28" s="689" customFormat="1" ht="19.899999999999999" customHeight="1">
      <c r="A297" s="916"/>
      <c r="B297" s="674"/>
      <c r="C297" s="675"/>
      <c r="D297" s="676"/>
      <c r="E297" s="677" t="s">
        <v>2821</v>
      </c>
      <c r="F297" s="678">
        <f t="shared" si="71"/>
        <v>3500</v>
      </c>
      <c r="G297" s="679">
        <v>3500</v>
      </c>
      <c r="H297" s="680"/>
      <c r="I297" s="920"/>
      <c r="J297" s="681" t="s">
        <v>8</v>
      </c>
      <c r="K297" s="682"/>
      <c r="L297" s="682"/>
      <c r="M297" s="682"/>
      <c r="N297" s="682"/>
      <c r="O297" s="682"/>
      <c r="P297" s="683"/>
      <c r="Q297" s="684"/>
      <c r="R297" s="685"/>
      <c r="S297" s="684"/>
      <c r="T297" s="684"/>
      <c r="U297" s="683"/>
      <c r="V297" s="684"/>
      <c r="W297" s="684"/>
      <c r="X297" s="686"/>
      <c r="Y297" s="687">
        <v>3500</v>
      </c>
      <c r="Z297" s="736">
        <v>3500000</v>
      </c>
      <c r="AA297" s="1185">
        <f t="shared" si="66"/>
        <v>3500000000</v>
      </c>
      <c r="AB297" s="690"/>
    </row>
    <row r="298" spans="1:28" ht="19.899999999999999" customHeight="1">
      <c r="A298" s="673"/>
      <c r="B298" s="674"/>
      <c r="C298" s="675"/>
      <c r="D298" s="676"/>
      <c r="E298" s="1534"/>
      <c r="F298" s="678"/>
      <c r="G298" s="679"/>
      <c r="H298" s="680"/>
      <c r="I298" s="920"/>
      <c r="J298" s="681" t="s">
        <v>363</v>
      </c>
      <c r="K298" s="682"/>
      <c r="L298" s="682"/>
      <c r="M298" s="682"/>
      <c r="N298" s="682"/>
      <c r="O298" s="682"/>
      <c r="P298" s="683"/>
      <c r="Q298" s="684"/>
      <c r="R298" s="685"/>
      <c r="S298" s="684">
        <v>800000</v>
      </c>
      <c r="T298" s="684" t="s">
        <v>0</v>
      </c>
      <c r="U298" s="683"/>
      <c r="V298" s="684">
        <v>2</v>
      </c>
      <c r="W298" s="685" t="s">
        <v>3</v>
      </c>
      <c r="X298" s="686" t="s">
        <v>1</v>
      </c>
      <c r="Y298" s="687">
        <v>1600</v>
      </c>
      <c r="Z298" s="736">
        <f>S298*V298</f>
        <v>1600000</v>
      </c>
      <c r="AA298" s="1185">
        <f t="shared" si="66"/>
        <v>0</v>
      </c>
      <c r="AB298" s="690"/>
    </row>
    <row r="299" spans="1:28" ht="19.899999999999999" customHeight="1">
      <c r="A299" s="673"/>
      <c r="B299" s="674"/>
      <c r="C299" s="675"/>
      <c r="D299" s="676"/>
      <c r="E299" s="677"/>
      <c r="F299" s="678"/>
      <c r="G299" s="679"/>
      <c r="H299" s="680"/>
      <c r="I299" s="920"/>
      <c r="J299" s="681" t="s">
        <v>364</v>
      </c>
      <c r="K299" s="682"/>
      <c r="L299" s="682"/>
      <c r="M299" s="682"/>
      <c r="N299" s="682"/>
      <c r="O299" s="682"/>
      <c r="P299" s="683"/>
      <c r="Q299" s="684"/>
      <c r="R299" s="685"/>
      <c r="S299" s="684">
        <v>500000</v>
      </c>
      <c r="T299" s="684" t="s">
        <v>0</v>
      </c>
      <c r="U299" s="683"/>
      <c r="V299" s="684">
        <v>2</v>
      </c>
      <c r="W299" s="684" t="s">
        <v>3</v>
      </c>
      <c r="X299" s="686" t="s">
        <v>1</v>
      </c>
      <c r="Y299" s="687">
        <v>1000</v>
      </c>
      <c r="Z299" s="736">
        <f t="shared" ref="Z299:Z300" si="72">S299*V299</f>
        <v>1000000</v>
      </c>
      <c r="AA299" s="1185">
        <f t="shared" si="66"/>
        <v>0</v>
      </c>
      <c r="AB299" s="690"/>
    </row>
    <row r="300" spans="1:28" ht="19.899999999999999" customHeight="1">
      <c r="A300" s="673"/>
      <c r="B300" s="674"/>
      <c r="C300" s="675"/>
      <c r="D300" s="676"/>
      <c r="E300" s="677"/>
      <c r="F300" s="678"/>
      <c r="G300" s="679"/>
      <c r="H300" s="680"/>
      <c r="I300" s="920"/>
      <c r="J300" s="681" t="s">
        <v>2822</v>
      </c>
      <c r="K300" s="682"/>
      <c r="L300" s="682"/>
      <c r="M300" s="682"/>
      <c r="N300" s="682"/>
      <c r="O300" s="682"/>
      <c r="P300" s="683"/>
      <c r="Q300" s="684"/>
      <c r="R300" s="685"/>
      <c r="S300" s="684">
        <v>900000</v>
      </c>
      <c r="T300" s="684" t="s">
        <v>0</v>
      </c>
      <c r="U300" s="683"/>
      <c r="V300" s="684">
        <v>1</v>
      </c>
      <c r="W300" s="684" t="s">
        <v>3</v>
      </c>
      <c r="X300" s="686" t="s">
        <v>1</v>
      </c>
      <c r="Y300" s="687">
        <v>900</v>
      </c>
      <c r="Z300" s="736">
        <f t="shared" si="72"/>
        <v>900000</v>
      </c>
      <c r="AA300" s="1185">
        <f t="shared" si="66"/>
        <v>0</v>
      </c>
      <c r="AB300" s="690"/>
    </row>
    <row r="301" spans="1:28" s="689" customFormat="1" ht="19.899999999999999" customHeight="1">
      <c r="A301" s="673"/>
      <c r="B301" s="674"/>
      <c r="C301" s="675"/>
      <c r="D301" s="676"/>
      <c r="E301" s="677" t="s">
        <v>2797</v>
      </c>
      <c r="F301" s="678">
        <f t="shared" si="71"/>
        <v>2400</v>
      </c>
      <c r="G301" s="679">
        <v>2400</v>
      </c>
      <c r="H301" s="680"/>
      <c r="I301" s="920"/>
      <c r="J301" s="681" t="s">
        <v>2823</v>
      </c>
      <c r="K301" s="682"/>
      <c r="L301" s="682"/>
      <c r="M301" s="682"/>
      <c r="N301" s="682"/>
      <c r="O301" s="682"/>
      <c r="P301" s="683"/>
      <c r="Q301" s="684"/>
      <c r="R301" s="685"/>
      <c r="S301" s="684">
        <v>200000</v>
      </c>
      <c r="T301" s="684" t="s">
        <v>0</v>
      </c>
      <c r="U301" s="683"/>
      <c r="V301" s="684">
        <v>12</v>
      </c>
      <c r="W301" s="685" t="s">
        <v>3</v>
      </c>
      <c r="X301" s="686" t="s">
        <v>1</v>
      </c>
      <c r="Y301" s="687">
        <v>2400</v>
      </c>
      <c r="Z301" s="736">
        <f>S301*V301</f>
        <v>2400000</v>
      </c>
      <c r="AA301" s="1185">
        <f t="shared" si="66"/>
        <v>2400000000</v>
      </c>
      <c r="AB301" s="690"/>
    </row>
    <row r="302" spans="1:28" s="689" customFormat="1" ht="19.899999999999999" customHeight="1">
      <c r="A302" s="673"/>
      <c r="B302" s="674"/>
      <c r="C302" s="675"/>
      <c r="D302" s="4004" t="s">
        <v>2824</v>
      </c>
      <c r="E302" s="4004"/>
      <c r="F302" s="1529">
        <f>SUM(F303:F306)</f>
        <v>10000</v>
      </c>
      <c r="G302" s="663">
        <f>SUM(G303:G306)</f>
        <v>10000</v>
      </c>
      <c r="H302" s="1380">
        <f>F302-G302</f>
        <v>0</v>
      </c>
      <c r="I302" s="2060"/>
      <c r="J302" s="1074"/>
      <c r="K302" s="2094"/>
      <c r="L302" s="2094"/>
      <c r="M302" s="2094"/>
      <c r="N302" s="2094"/>
      <c r="O302" s="2094"/>
      <c r="P302" s="1075"/>
      <c r="Q302" s="2094"/>
      <c r="R302" s="1259"/>
      <c r="S302" s="1075"/>
      <c r="T302" s="2094"/>
      <c r="U302" s="2094"/>
      <c r="V302" s="1075"/>
      <c r="W302" s="2094"/>
      <c r="X302" s="1260"/>
      <c r="Y302" s="940"/>
      <c r="Z302" s="736">
        <f>Z304+Z305+Z303</f>
        <v>9400000</v>
      </c>
      <c r="AA302" s="1185">
        <f t="shared" si="66"/>
        <v>10000000000</v>
      </c>
      <c r="AB302" s="690"/>
    </row>
    <row r="303" spans="1:28" ht="19.899999999999999" customHeight="1">
      <c r="A303" s="673"/>
      <c r="B303" s="674"/>
      <c r="C303" s="675"/>
      <c r="D303" s="676"/>
      <c r="E303" s="677" t="s">
        <v>2825</v>
      </c>
      <c r="F303" s="678">
        <v>2000</v>
      </c>
      <c r="G303" s="679">
        <v>2000</v>
      </c>
      <c r="H303" s="680"/>
      <c r="I303" s="2060" t="s">
        <v>2774</v>
      </c>
      <c r="J303" s="681" t="s">
        <v>2826</v>
      </c>
      <c r="K303" s="682"/>
      <c r="L303" s="682"/>
      <c r="M303" s="682"/>
      <c r="N303" s="682"/>
      <c r="O303" s="682"/>
      <c r="P303" s="683"/>
      <c r="Q303" s="684"/>
      <c r="R303" s="685"/>
      <c r="S303" s="684">
        <v>200000</v>
      </c>
      <c r="T303" s="684" t="s">
        <v>2769</v>
      </c>
      <c r="U303" s="683"/>
      <c r="V303" s="684">
        <v>10</v>
      </c>
      <c r="W303" s="684" t="s">
        <v>2770</v>
      </c>
      <c r="X303" s="686" t="s">
        <v>2689</v>
      </c>
      <c r="Y303" s="687">
        <f>Z303/1000</f>
        <v>2000</v>
      </c>
      <c r="Z303" s="736">
        <f>S303*V303</f>
        <v>2000000</v>
      </c>
      <c r="AA303" s="1185">
        <f t="shared" si="66"/>
        <v>2000000000</v>
      </c>
      <c r="AB303" s="690"/>
    </row>
    <row r="304" spans="1:28" ht="19.899999999999999" customHeight="1">
      <c r="A304" s="673"/>
      <c r="B304" s="674"/>
      <c r="C304" s="675"/>
      <c r="D304" s="676"/>
      <c r="E304" s="677" t="s">
        <v>2827</v>
      </c>
      <c r="F304" s="678">
        <v>4700</v>
      </c>
      <c r="G304" s="679">
        <v>4700</v>
      </c>
      <c r="H304" s="680"/>
      <c r="I304" s="2060"/>
      <c r="J304" s="681" t="s">
        <v>2828</v>
      </c>
      <c r="K304" s="682"/>
      <c r="L304" s="682"/>
      <c r="M304" s="682"/>
      <c r="N304" s="682"/>
      <c r="O304" s="682"/>
      <c r="P304" s="683"/>
      <c r="Q304" s="684"/>
      <c r="R304" s="685"/>
      <c r="S304" s="684">
        <v>470000</v>
      </c>
      <c r="T304" s="684" t="s">
        <v>2769</v>
      </c>
      <c r="U304" s="683"/>
      <c r="V304" s="684">
        <v>10</v>
      </c>
      <c r="W304" s="684" t="s">
        <v>2770</v>
      </c>
      <c r="X304" s="686" t="s">
        <v>2689</v>
      </c>
      <c r="Y304" s="687">
        <f>Z304/1000</f>
        <v>4700</v>
      </c>
      <c r="Z304" s="736">
        <f>S304*V304</f>
        <v>4700000</v>
      </c>
      <c r="AA304" s="1185">
        <f t="shared" si="66"/>
        <v>4700000000</v>
      </c>
      <c r="AB304" s="690"/>
    </row>
    <row r="305" spans="1:28" ht="19.899999999999999" customHeight="1">
      <c r="A305" s="673"/>
      <c r="B305" s="674"/>
      <c r="C305" s="675"/>
      <c r="D305" s="676"/>
      <c r="E305" s="677" t="s">
        <v>2790</v>
      </c>
      <c r="F305" s="678">
        <v>2700</v>
      </c>
      <c r="G305" s="679">
        <v>2700</v>
      </c>
      <c r="H305" s="680"/>
      <c r="I305" s="2060"/>
      <c r="J305" s="681" t="s">
        <v>2829</v>
      </c>
      <c r="K305" s="682"/>
      <c r="L305" s="682"/>
      <c r="M305" s="682"/>
      <c r="N305" s="682"/>
      <c r="O305" s="682"/>
      <c r="P305" s="683"/>
      <c r="Q305" s="684">
        <v>1</v>
      </c>
      <c r="R305" s="685" t="s">
        <v>2772</v>
      </c>
      <c r="S305" s="684">
        <v>18000</v>
      </c>
      <c r="T305" s="684" t="s">
        <v>2769</v>
      </c>
      <c r="U305" s="683"/>
      <c r="V305" s="684">
        <v>150</v>
      </c>
      <c r="W305" s="684" t="s">
        <v>2830</v>
      </c>
      <c r="X305" s="686" t="s">
        <v>2689</v>
      </c>
      <c r="Y305" s="687">
        <f>Z305/1000</f>
        <v>2700</v>
      </c>
      <c r="Z305" s="736">
        <f>+Q305*S305*V305</f>
        <v>2700000</v>
      </c>
      <c r="AA305" s="1185">
        <f t="shared" si="66"/>
        <v>2700000000</v>
      </c>
      <c r="AB305" s="690"/>
    </row>
    <row r="306" spans="1:28" ht="19.899999999999999" customHeight="1">
      <c r="A306" s="673"/>
      <c r="B306" s="674"/>
      <c r="C306" s="675"/>
      <c r="D306" s="676"/>
      <c r="E306" s="677" t="s">
        <v>2797</v>
      </c>
      <c r="F306" s="678">
        <v>600</v>
      </c>
      <c r="G306" s="679">
        <v>600</v>
      </c>
      <c r="H306" s="680"/>
      <c r="I306" s="2060"/>
      <c r="J306" s="2042" t="s">
        <v>2831</v>
      </c>
      <c r="K306" s="2043"/>
      <c r="L306" s="2043"/>
      <c r="M306" s="2043"/>
      <c r="N306" s="2043"/>
      <c r="O306" s="2043"/>
      <c r="P306" s="2044"/>
      <c r="Q306" s="2045"/>
      <c r="R306" s="2046"/>
      <c r="S306" s="2045">
        <v>200000</v>
      </c>
      <c r="T306" s="2045" t="s">
        <v>2769</v>
      </c>
      <c r="U306" s="2044"/>
      <c r="V306" s="2045">
        <v>3</v>
      </c>
      <c r="W306" s="2045" t="s">
        <v>2806</v>
      </c>
      <c r="X306" s="2047" t="s">
        <v>2689</v>
      </c>
      <c r="Y306" s="2048">
        <f>Z306/1000</f>
        <v>0</v>
      </c>
      <c r="Z306" s="736"/>
      <c r="AA306" s="1185">
        <f t="shared" si="66"/>
        <v>600000000</v>
      </c>
      <c r="AB306" s="690"/>
    </row>
    <row r="307" spans="1:28" ht="19.899999999999999" customHeight="1">
      <c r="A307" s="673"/>
      <c r="B307" s="674"/>
      <c r="C307" s="675"/>
      <c r="D307" s="3996" t="s">
        <v>2832</v>
      </c>
      <c r="E307" s="3997"/>
      <c r="F307" s="1529">
        <f>SUM(F308:F314)</f>
        <v>30000</v>
      </c>
      <c r="G307" s="663">
        <f>SUM(G308:G314)</f>
        <v>30000</v>
      </c>
      <c r="H307" s="1380">
        <f>F307-G307</f>
        <v>0</v>
      </c>
      <c r="I307" s="920"/>
      <c r="J307" s="1115"/>
      <c r="K307" s="1093"/>
      <c r="L307" s="1093"/>
      <c r="M307" s="1093"/>
      <c r="N307" s="1093"/>
      <c r="O307" s="1093"/>
      <c r="P307" s="1116"/>
      <c r="Q307" s="1093"/>
      <c r="R307" s="702"/>
      <c r="S307" s="1116"/>
      <c r="T307" s="1093"/>
      <c r="U307" s="1093"/>
      <c r="V307" s="1116"/>
      <c r="W307" s="1093"/>
      <c r="X307" s="1378"/>
      <c r="Y307" s="929"/>
      <c r="Z307" s="736"/>
      <c r="AA307" s="1185">
        <f t="shared" si="66"/>
        <v>30000000000</v>
      </c>
      <c r="AB307" s="690"/>
    </row>
    <row r="308" spans="1:28" ht="19.899999999999999" customHeight="1">
      <c r="A308" s="673"/>
      <c r="B308" s="674"/>
      <c r="C308" s="692"/>
      <c r="D308" s="693"/>
      <c r="E308" s="677" t="s">
        <v>137</v>
      </c>
      <c r="F308" s="678">
        <f>+Y308</f>
        <v>11000</v>
      </c>
      <c r="G308" s="679">
        <v>11000</v>
      </c>
      <c r="H308" s="680"/>
      <c r="I308" s="920"/>
      <c r="J308" s="681" t="s">
        <v>2691</v>
      </c>
      <c r="K308" s="682"/>
      <c r="L308" s="682"/>
      <c r="M308" s="682"/>
      <c r="N308" s="682"/>
      <c r="O308" s="682"/>
      <c r="P308" s="683"/>
      <c r="Q308" s="684"/>
      <c r="R308" s="685"/>
      <c r="S308" s="684"/>
      <c r="T308" s="684"/>
      <c r="U308" s="683"/>
      <c r="V308" s="684"/>
      <c r="W308" s="684"/>
      <c r="X308" s="686"/>
      <c r="Y308" s="687">
        <f t="shared" ref="Y308" si="73">+Z308/1000</f>
        <v>11000</v>
      </c>
      <c r="Z308" s="736">
        <f>SUM(Z309:Z310)</f>
        <v>11000000</v>
      </c>
      <c r="AA308" s="1185">
        <f t="shared" si="66"/>
        <v>11000000000</v>
      </c>
      <c r="AB308" s="690"/>
    </row>
    <row r="309" spans="1:28" ht="19.899999999999999" customHeight="1">
      <c r="A309" s="673"/>
      <c r="B309" s="674"/>
      <c r="C309" s="692"/>
      <c r="D309" s="693"/>
      <c r="E309" s="694"/>
      <c r="F309" s="678"/>
      <c r="G309" s="679"/>
      <c r="H309" s="680"/>
      <c r="I309" s="920"/>
      <c r="J309" s="681" t="s">
        <v>138</v>
      </c>
      <c r="K309" s="682"/>
      <c r="L309" s="682"/>
      <c r="M309" s="682"/>
      <c r="N309" s="682"/>
      <c r="O309" s="682"/>
      <c r="P309" s="683"/>
      <c r="Q309" s="684"/>
      <c r="R309" s="685"/>
      <c r="S309" s="684">
        <v>2000000</v>
      </c>
      <c r="T309" s="684" t="s">
        <v>0</v>
      </c>
      <c r="U309" s="683"/>
      <c r="V309" s="684">
        <v>2</v>
      </c>
      <c r="W309" s="684" t="s">
        <v>3</v>
      </c>
      <c r="X309" s="686" t="s">
        <v>2689</v>
      </c>
      <c r="Y309" s="687">
        <f>SUM(S309*V309/1000)</f>
        <v>4000</v>
      </c>
      <c r="Z309" s="736">
        <f>S309*V309</f>
        <v>4000000</v>
      </c>
      <c r="AA309" s="1185">
        <f t="shared" si="66"/>
        <v>0</v>
      </c>
      <c r="AB309" s="690"/>
    </row>
    <row r="310" spans="1:28" ht="19.899999999999999" customHeight="1">
      <c r="A310" s="673"/>
      <c r="B310" s="674"/>
      <c r="C310" s="692"/>
      <c r="D310" s="693"/>
      <c r="E310" s="677"/>
      <c r="F310" s="678"/>
      <c r="G310" s="679"/>
      <c r="H310" s="680"/>
      <c r="I310" s="920"/>
      <c r="J310" s="681" t="s">
        <v>139</v>
      </c>
      <c r="K310" s="682"/>
      <c r="L310" s="682"/>
      <c r="M310" s="682"/>
      <c r="N310" s="682"/>
      <c r="O310" s="682"/>
      <c r="P310" s="683"/>
      <c r="Q310" s="684"/>
      <c r="R310" s="685"/>
      <c r="S310" s="684">
        <v>1000000</v>
      </c>
      <c r="T310" s="684" t="s">
        <v>0</v>
      </c>
      <c r="U310" s="683"/>
      <c r="V310" s="684">
        <v>7</v>
      </c>
      <c r="W310" s="684" t="s">
        <v>3</v>
      </c>
      <c r="X310" s="686" t="s">
        <v>2689</v>
      </c>
      <c r="Y310" s="687">
        <f>SUM(S310*V310/1000)</f>
        <v>7000</v>
      </c>
      <c r="Z310" s="736">
        <f t="shared" ref="Z310:Z312" si="74">S310*V310</f>
        <v>7000000</v>
      </c>
      <c r="AA310" s="1185">
        <f t="shared" si="66"/>
        <v>0</v>
      </c>
      <c r="AB310" s="690"/>
    </row>
    <row r="311" spans="1:28" ht="19.899999999999999" customHeight="1">
      <c r="A311" s="673"/>
      <c r="B311" s="674"/>
      <c r="C311" s="692"/>
      <c r="D311" s="693"/>
      <c r="E311" s="677" t="s">
        <v>57</v>
      </c>
      <c r="F311" s="678">
        <f t="shared" ref="F311:F314" si="75">SUM(Y311)</f>
        <v>10000</v>
      </c>
      <c r="G311" s="679">
        <v>10000</v>
      </c>
      <c r="H311" s="680"/>
      <c r="I311" s="920"/>
      <c r="J311" s="681" t="s">
        <v>2833</v>
      </c>
      <c r="K311" s="682"/>
      <c r="L311" s="682"/>
      <c r="M311" s="682"/>
      <c r="N311" s="682"/>
      <c r="O311" s="682"/>
      <c r="P311" s="683"/>
      <c r="Q311" s="684"/>
      <c r="R311" s="685"/>
      <c r="S311" s="684">
        <v>5000000</v>
      </c>
      <c r="T311" s="684" t="s">
        <v>0</v>
      </c>
      <c r="U311" s="683"/>
      <c r="V311" s="684">
        <v>2</v>
      </c>
      <c r="W311" s="684" t="s">
        <v>3</v>
      </c>
      <c r="X311" s="686" t="s">
        <v>2689</v>
      </c>
      <c r="Y311" s="687">
        <f t="shared" ref="Y311:Y314" si="76">+Z311/1000</f>
        <v>10000</v>
      </c>
      <c r="Z311" s="736">
        <f t="shared" si="74"/>
        <v>10000000</v>
      </c>
      <c r="AA311" s="1185">
        <f t="shared" si="66"/>
        <v>10000000000</v>
      </c>
      <c r="AB311" s="690"/>
    </row>
    <row r="312" spans="1:28" ht="19.899999999999999" customHeight="1">
      <c r="A312" s="673"/>
      <c r="B312" s="674"/>
      <c r="C312" s="675"/>
      <c r="D312" s="676"/>
      <c r="E312" s="677" t="s">
        <v>2790</v>
      </c>
      <c r="F312" s="678">
        <f t="shared" si="75"/>
        <v>3000</v>
      </c>
      <c r="G312" s="679">
        <v>3000</v>
      </c>
      <c r="H312" s="680"/>
      <c r="I312" s="920"/>
      <c r="J312" s="681" t="s">
        <v>2834</v>
      </c>
      <c r="K312" s="682"/>
      <c r="L312" s="682"/>
      <c r="M312" s="682"/>
      <c r="N312" s="682"/>
      <c r="O312" s="682"/>
      <c r="P312" s="683"/>
      <c r="Q312" s="684"/>
      <c r="R312" s="685"/>
      <c r="S312" s="684">
        <v>300000</v>
      </c>
      <c r="T312" s="684" t="s">
        <v>0</v>
      </c>
      <c r="U312" s="683"/>
      <c r="V312" s="684">
        <v>10</v>
      </c>
      <c r="W312" s="684" t="s">
        <v>2835</v>
      </c>
      <c r="X312" s="686" t="s">
        <v>2689</v>
      </c>
      <c r="Y312" s="687">
        <f t="shared" si="76"/>
        <v>3000</v>
      </c>
      <c r="Z312" s="736">
        <f t="shared" si="74"/>
        <v>3000000</v>
      </c>
      <c r="AA312" s="1185">
        <f t="shared" si="66"/>
        <v>3000000000</v>
      </c>
      <c r="AB312" s="690"/>
    </row>
    <row r="313" spans="1:28" ht="19.899999999999999" customHeight="1">
      <c r="A313" s="673"/>
      <c r="B313" s="674"/>
      <c r="C313" s="692"/>
      <c r="D313" s="693"/>
      <c r="E313" s="677" t="s">
        <v>70</v>
      </c>
      <c r="F313" s="678">
        <f t="shared" si="75"/>
        <v>1000</v>
      </c>
      <c r="G313" s="679">
        <v>1000</v>
      </c>
      <c r="H313" s="680"/>
      <c r="I313" s="920"/>
      <c r="J313" s="681" t="s">
        <v>140</v>
      </c>
      <c r="K313" s="682"/>
      <c r="L313" s="682"/>
      <c r="M313" s="682"/>
      <c r="N313" s="682"/>
      <c r="O313" s="682"/>
      <c r="P313" s="683"/>
      <c r="Q313" s="684"/>
      <c r="R313" s="685"/>
      <c r="S313" s="684">
        <v>500000</v>
      </c>
      <c r="T313" s="684" t="s">
        <v>0</v>
      </c>
      <c r="U313" s="683"/>
      <c r="V313" s="684">
        <v>2</v>
      </c>
      <c r="W313" s="684" t="s">
        <v>3</v>
      </c>
      <c r="X313" s="686" t="s">
        <v>2689</v>
      </c>
      <c r="Y313" s="687">
        <f t="shared" si="76"/>
        <v>1000</v>
      </c>
      <c r="Z313" s="736">
        <f>S313*V313</f>
        <v>1000000</v>
      </c>
      <c r="AA313" s="1185">
        <f t="shared" si="66"/>
        <v>1000000000</v>
      </c>
      <c r="AB313" s="690"/>
    </row>
    <row r="314" spans="1:28" ht="19.899999999999999" customHeight="1">
      <c r="A314" s="673"/>
      <c r="B314" s="674"/>
      <c r="C314" s="692"/>
      <c r="D314" s="695"/>
      <c r="E314" s="696" t="s">
        <v>62</v>
      </c>
      <c r="F314" s="697">
        <f t="shared" si="75"/>
        <v>5000</v>
      </c>
      <c r="G314" s="698">
        <v>5000</v>
      </c>
      <c r="H314" s="699"/>
      <c r="I314" s="920"/>
      <c r="J314" s="700" t="s">
        <v>141</v>
      </c>
      <c r="K314" s="701"/>
      <c r="L314" s="701"/>
      <c r="M314" s="701"/>
      <c r="N314" s="701"/>
      <c r="O314" s="701"/>
      <c r="P314" s="702"/>
      <c r="Q314" s="703">
        <v>50</v>
      </c>
      <c r="R314" s="704" t="s">
        <v>25</v>
      </c>
      <c r="S314" s="703">
        <v>50000</v>
      </c>
      <c r="T314" s="703" t="s">
        <v>0</v>
      </c>
      <c r="U314" s="702"/>
      <c r="V314" s="703">
        <v>2</v>
      </c>
      <c r="W314" s="703" t="s">
        <v>3</v>
      </c>
      <c r="X314" s="705" t="s">
        <v>2689</v>
      </c>
      <c r="Y314" s="706">
        <f t="shared" si="76"/>
        <v>5000</v>
      </c>
      <c r="Z314" s="736">
        <f>S314*V314*Q314</f>
        <v>5000000</v>
      </c>
      <c r="AA314" s="1185">
        <f t="shared" si="66"/>
        <v>5000000000</v>
      </c>
      <c r="AB314" s="690"/>
    </row>
    <row r="315" spans="1:28" ht="19.899999999999999" customHeight="1">
      <c r="A315" s="673"/>
      <c r="B315" s="674"/>
      <c r="C315" s="692"/>
      <c r="D315" s="3840" t="s">
        <v>2836</v>
      </c>
      <c r="E315" s="3904"/>
      <c r="F315" s="1529">
        <f>SUM(F316)</f>
        <v>4000</v>
      </c>
      <c r="G315" s="1529">
        <f>SUM(G316)</f>
        <v>4000</v>
      </c>
      <c r="H315" s="699">
        <f>F315-G315</f>
        <v>0</v>
      </c>
      <c r="I315" s="920"/>
      <c r="J315" s="1535"/>
      <c r="K315" s="1536"/>
      <c r="L315" s="1536"/>
      <c r="M315" s="1536"/>
      <c r="N315" s="1536"/>
      <c r="O315" s="1536"/>
      <c r="P315" s="1259"/>
      <c r="Q315" s="1084"/>
      <c r="R315" s="1537"/>
      <c r="S315" s="1084"/>
      <c r="T315" s="1084"/>
      <c r="U315" s="1259"/>
      <c r="V315" s="1084"/>
      <c r="W315" s="1084"/>
      <c r="X315" s="1538"/>
      <c r="Y315" s="1539"/>
      <c r="Z315" s="736"/>
      <c r="AA315" s="1185">
        <f t="shared" si="66"/>
        <v>4000000000</v>
      </c>
      <c r="AB315" s="690"/>
    </row>
    <row r="316" spans="1:28" ht="19.899999999999999" customHeight="1">
      <c r="A316" s="673"/>
      <c r="B316" s="674"/>
      <c r="C316" s="692"/>
      <c r="D316" s="676"/>
      <c r="E316" s="677" t="s">
        <v>2803</v>
      </c>
      <c r="F316" s="678">
        <f>SUM(Y316)</f>
        <v>4000</v>
      </c>
      <c r="G316" s="679">
        <v>4000</v>
      </c>
      <c r="H316" s="680"/>
      <c r="I316" s="920"/>
      <c r="J316" s="681" t="s">
        <v>2837</v>
      </c>
      <c r="K316" s="682"/>
      <c r="L316" s="682"/>
      <c r="M316" s="682"/>
      <c r="N316" s="682"/>
      <c r="O316" s="682"/>
      <c r="P316" s="683"/>
      <c r="Q316" s="684">
        <v>1</v>
      </c>
      <c r="R316" s="685" t="s">
        <v>2838</v>
      </c>
      <c r="S316" s="684">
        <v>4000000</v>
      </c>
      <c r="T316" s="684" t="s">
        <v>2769</v>
      </c>
      <c r="U316" s="683"/>
      <c r="V316" s="684">
        <v>1</v>
      </c>
      <c r="W316" s="685" t="s">
        <v>2770</v>
      </c>
      <c r="X316" s="686" t="s">
        <v>2689</v>
      </c>
      <c r="Y316" s="687">
        <f>SUM(S316*Q316*V316)/1000</f>
        <v>4000</v>
      </c>
      <c r="Z316" s="736">
        <f>+S316*V316*Q316</f>
        <v>4000000</v>
      </c>
      <c r="AA316" s="1185">
        <f t="shared" si="66"/>
        <v>4000000000</v>
      </c>
      <c r="AB316" s="690"/>
    </row>
    <row r="317" spans="1:28" ht="21.95" customHeight="1">
      <c r="A317" s="673"/>
      <c r="B317" s="674"/>
      <c r="C317" s="3978" t="s">
        <v>2839</v>
      </c>
      <c r="D317" s="3991"/>
      <c r="E317" s="3979"/>
      <c r="F317" s="1192">
        <f>F318+F323</f>
        <v>20000</v>
      </c>
      <c r="G317" s="1192">
        <f>G318+G323</f>
        <v>20000</v>
      </c>
      <c r="H317" s="933">
        <f>F317-G317</f>
        <v>0</v>
      </c>
      <c r="I317" s="920"/>
      <c r="J317" s="1535"/>
      <c r="K317" s="1536"/>
      <c r="L317" s="1536"/>
      <c r="M317" s="1536"/>
      <c r="N317" s="1536"/>
      <c r="O317" s="1536"/>
      <c r="P317" s="1259"/>
      <c r="Q317" s="1084"/>
      <c r="R317" s="1537"/>
      <c r="S317" s="1084"/>
      <c r="T317" s="1084"/>
      <c r="U317" s="1259"/>
      <c r="V317" s="1084"/>
      <c r="W317" s="1084"/>
      <c r="X317" s="1538"/>
      <c r="Y317" s="1539"/>
      <c r="Z317" s="736"/>
      <c r="AA317" s="1185">
        <f t="shared" si="66"/>
        <v>20000000000</v>
      </c>
      <c r="AB317" s="690"/>
    </row>
    <row r="318" spans="1:28" ht="21.95" customHeight="1">
      <c r="A318" s="673"/>
      <c r="B318" s="674"/>
      <c r="C318" s="675"/>
      <c r="D318" s="3902" t="s">
        <v>2840</v>
      </c>
      <c r="E318" s="3903"/>
      <c r="F318" s="1532">
        <f>SUM(F319:F322)</f>
        <v>10000</v>
      </c>
      <c r="G318" s="1532">
        <f>SUM(G319:G322)</f>
        <v>10000</v>
      </c>
      <c r="H318" s="699">
        <f>F318-G318</f>
        <v>0</v>
      </c>
      <c r="I318" s="920"/>
      <c r="J318" s="1115"/>
      <c r="K318" s="1093"/>
      <c r="L318" s="1093"/>
      <c r="M318" s="1093"/>
      <c r="N318" s="1093"/>
      <c r="O318" s="1093"/>
      <c r="P318" s="1116"/>
      <c r="Q318" s="1093"/>
      <c r="R318" s="702"/>
      <c r="S318" s="1116"/>
      <c r="T318" s="1093"/>
      <c r="U318" s="1093"/>
      <c r="V318" s="1116"/>
      <c r="W318" s="1093"/>
      <c r="X318" s="1378"/>
      <c r="Y318" s="929"/>
      <c r="Z318" s="1674">
        <f>Z320+Z322+Z321+Z319</f>
        <v>10000000</v>
      </c>
      <c r="AA318" s="1185">
        <f t="shared" si="66"/>
        <v>10000000000</v>
      </c>
      <c r="AB318" s="690"/>
    </row>
    <row r="319" spans="1:28" ht="21.95" customHeight="1">
      <c r="A319" s="673"/>
      <c r="B319" s="674"/>
      <c r="C319" s="675"/>
      <c r="D319" s="676"/>
      <c r="E319" s="677" t="s">
        <v>2796</v>
      </c>
      <c r="F319" s="678">
        <f>+Y319</f>
        <v>1000</v>
      </c>
      <c r="G319" s="679">
        <v>1000</v>
      </c>
      <c r="H319" s="680"/>
      <c r="I319" s="920"/>
      <c r="J319" s="681" t="s">
        <v>2841</v>
      </c>
      <c r="K319" s="682"/>
      <c r="L319" s="682"/>
      <c r="M319" s="682"/>
      <c r="N319" s="682"/>
      <c r="O319" s="682"/>
      <c r="P319" s="683"/>
      <c r="Q319" s="684"/>
      <c r="R319" s="685"/>
      <c r="S319" s="684">
        <v>25000</v>
      </c>
      <c r="T319" s="684" t="s">
        <v>2769</v>
      </c>
      <c r="U319" s="683"/>
      <c r="V319" s="684">
        <v>40</v>
      </c>
      <c r="W319" s="684" t="s">
        <v>2770</v>
      </c>
      <c r="X319" s="686" t="s">
        <v>2689</v>
      </c>
      <c r="Y319" s="687">
        <f t="shared" ref="Y319:Y322" si="77">+Z319/1000</f>
        <v>1000</v>
      </c>
      <c r="Z319" s="736">
        <f>+S319*V319</f>
        <v>1000000</v>
      </c>
      <c r="AA319" s="1185">
        <f t="shared" si="66"/>
        <v>1000000000</v>
      </c>
      <c r="AB319" s="690"/>
    </row>
    <row r="320" spans="1:28" ht="21.95" customHeight="1">
      <c r="A320" s="673"/>
      <c r="B320" s="674"/>
      <c r="C320" s="675"/>
      <c r="D320" s="676"/>
      <c r="E320" s="677" t="s">
        <v>2842</v>
      </c>
      <c r="F320" s="678">
        <f>+Y320</f>
        <v>5000</v>
      </c>
      <c r="G320" s="679">
        <v>5000</v>
      </c>
      <c r="H320" s="680"/>
      <c r="I320" s="920"/>
      <c r="J320" s="681" t="s">
        <v>2843</v>
      </c>
      <c r="K320" s="682"/>
      <c r="L320" s="682"/>
      <c r="M320" s="682"/>
      <c r="N320" s="682"/>
      <c r="O320" s="869"/>
      <c r="P320" s="683"/>
      <c r="Q320" s="684">
        <v>10</v>
      </c>
      <c r="R320" s="685" t="s">
        <v>2844</v>
      </c>
      <c r="S320" s="684">
        <v>50000</v>
      </c>
      <c r="T320" s="684" t="s">
        <v>2769</v>
      </c>
      <c r="U320" s="683"/>
      <c r="V320" s="684">
        <v>10</v>
      </c>
      <c r="W320" s="685" t="s">
        <v>2770</v>
      </c>
      <c r="X320" s="686" t="s">
        <v>2689</v>
      </c>
      <c r="Y320" s="687">
        <f t="shared" si="77"/>
        <v>5000</v>
      </c>
      <c r="Z320" s="736">
        <f>Q320*S320*V320</f>
        <v>5000000</v>
      </c>
      <c r="AA320" s="1185">
        <f t="shared" si="66"/>
        <v>5000000000</v>
      </c>
      <c r="AB320" s="690"/>
    </row>
    <row r="321" spans="1:28" ht="21.95" customHeight="1">
      <c r="A321" s="673"/>
      <c r="B321" s="674"/>
      <c r="C321" s="675"/>
      <c r="D321" s="676"/>
      <c r="E321" s="677" t="s">
        <v>2821</v>
      </c>
      <c r="F321" s="678">
        <f>+Y321</f>
        <v>3500</v>
      </c>
      <c r="G321" s="679">
        <v>3500</v>
      </c>
      <c r="H321" s="680"/>
      <c r="I321" s="920"/>
      <c r="J321" s="681" t="s">
        <v>2845</v>
      </c>
      <c r="K321" s="682"/>
      <c r="L321" s="682"/>
      <c r="M321" s="682"/>
      <c r="N321" s="682"/>
      <c r="O321" s="682"/>
      <c r="P321" s="683"/>
      <c r="Q321" s="684"/>
      <c r="R321" s="685"/>
      <c r="S321" s="684">
        <v>350000</v>
      </c>
      <c r="T321" s="684" t="s">
        <v>2769</v>
      </c>
      <c r="U321" s="683"/>
      <c r="V321" s="684">
        <v>10</v>
      </c>
      <c r="W321" s="685" t="s">
        <v>2770</v>
      </c>
      <c r="X321" s="686" t="s">
        <v>2689</v>
      </c>
      <c r="Y321" s="687">
        <v>3500</v>
      </c>
      <c r="Z321" s="736">
        <f>+S321*V321</f>
        <v>3500000</v>
      </c>
      <c r="AA321" s="1185">
        <f t="shared" si="66"/>
        <v>3500000000</v>
      </c>
      <c r="AB321" s="690"/>
    </row>
    <row r="322" spans="1:28" ht="21.95" customHeight="1">
      <c r="A322" s="673"/>
      <c r="B322" s="674"/>
      <c r="C322" s="675"/>
      <c r="D322" s="676"/>
      <c r="E322" s="677" t="s">
        <v>2797</v>
      </c>
      <c r="F322" s="678">
        <f>+Y322</f>
        <v>500</v>
      </c>
      <c r="G322" s="679">
        <v>500</v>
      </c>
      <c r="H322" s="680"/>
      <c r="I322" s="920"/>
      <c r="J322" s="681" t="s">
        <v>2846</v>
      </c>
      <c r="K322" s="682"/>
      <c r="L322" s="682"/>
      <c r="M322" s="682"/>
      <c r="N322" s="682"/>
      <c r="O322" s="869"/>
      <c r="P322" s="683"/>
      <c r="Q322" s="684">
        <v>5</v>
      </c>
      <c r="R322" s="685" t="s">
        <v>2844</v>
      </c>
      <c r="S322" s="684">
        <v>20000</v>
      </c>
      <c r="T322" s="684" t="s">
        <v>2769</v>
      </c>
      <c r="U322" s="683"/>
      <c r="V322" s="684">
        <v>5</v>
      </c>
      <c r="W322" s="685" t="s">
        <v>2770</v>
      </c>
      <c r="X322" s="686" t="s">
        <v>2689</v>
      </c>
      <c r="Y322" s="687">
        <f t="shared" si="77"/>
        <v>500</v>
      </c>
      <c r="Z322" s="736">
        <f>+S322*V322*Q322</f>
        <v>500000</v>
      </c>
      <c r="AA322" s="1185">
        <f t="shared" si="66"/>
        <v>500000000</v>
      </c>
      <c r="AB322" s="690"/>
    </row>
    <row r="323" spans="1:28" ht="21.95" customHeight="1">
      <c r="A323" s="673"/>
      <c r="B323" s="674"/>
      <c r="C323" s="675"/>
      <c r="D323" s="3996" t="s">
        <v>2847</v>
      </c>
      <c r="E323" s="3997"/>
      <c r="F323" s="1529">
        <f>SUM(F324:F325)</f>
        <v>10000</v>
      </c>
      <c r="G323" s="1529">
        <f>SUM(G324:G325)</f>
        <v>10000</v>
      </c>
      <c r="H323" s="1380">
        <f>F323-G323</f>
        <v>0</v>
      </c>
      <c r="I323" s="920"/>
      <c r="J323" s="1074"/>
      <c r="K323" s="1957"/>
      <c r="L323" s="1957"/>
      <c r="M323" s="1957"/>
      <c r="N323" s="1957"/>
      <c r="O323" s="1957"/>
      <c r="P323" s="1075"/>
      <c r="Q323" s="1957"/>
      <c r="R323" s="1259"/>
      <c r="S323" s="1075"/>
      <c r="T323" s="1957"/>
      <c r="U323" s="1957"/>
      <c r="V323" s="1075"/>
      <c r="W323" s="1957"/>
      <c r="X323" s="1260"/>
      <c r="Y323" s="940"/>
      <c r="Z323" s="736">
        <f>AB323</f>
        <v>0</v>
      </c>
      <c r="AA323" s="1185">
        <f t="shared" si="66"/>
        <v>10000000000</v>
      </c>
      <c r="AB323" s="690"/>
    </row>
    <row r="324" spans="1:28" ht="21.95" customHeight="1">
      <c r="A324" s="673"/>
      <c r="B324" s="674"/>
      <c r="C324" s="675"/>
      <c r="D324" s="676"/>
      <c r="E324" s="677" t="s">
        <v>2796</v>
      </c>
      <c r="F324" s="678">
        <f>+Y324</f>
        <v>2000</v>
      </c>
      <c r="G324" s="679">
        <v>2000</v>
      </c>
      <c r="H324" s="680"/>
      <c r="I324" s="920"/>
      <c r="J324" s="681" t="s">
        <v>2848</v>
      </c>
      <c r="K324" s="682"/>
      <c r="L324" s="682"/>
      <c r="M324" s="682"/>
      <c r="N324" s="682"/>
      <c r="O324" s="682"/>
      <c r="P324" s="683"/>
      <c r="Q324" s="684">
        <v>2</v>
      </c>
      <c r="R324" s="685" t="s">
        <v>2772</v>
      </c>
      <c r="S324" s="684">
        <v>500000</v>
      </c>
      <c r="T324" s="684" t="s">
        <v>0</v>
      </c>
      <c r="U324" s="683"/>
      <c r="V324" s="684">
        <v>4</v>
      </c>
      <c r="W324" s="684" t="s">
        <v>2787</v>
      </c>
      <c r="X324" s="686" t="s">
        <v>2689</v>
      </c>
      <c r="Y324" s="687">
        <f>+Z324/1000</f>
        <v>2000</v>
      </c>
      <c r="Z324" s="736">
        <f>+S324*V324</f>
        <v>2000000</v>
      </c>
      <c r="AA324" s="1185">
        <f t="shared" si="66"/>
        <v>2000000000</v>
      </c>
      <c r="AB324" s="690"/>
    </row>
    <row r="325" spans="1:28" ht="21.95" customHeight="1">
      <c r="A325" s="673"/>
      <c r="B325" s="674"/>
      <c r="C325" s="692"/>
      <c r="D325" s="693"/>
      <c r="E325" s="677" t="s">
        <v>2849</v>
      </c>
      <c r="F325" s="678">
        <f t="shared" ref="F325:F335" si="78">+Y325</f>
        <v>8000</v>
      </c>
      <c r="G325" s="679">
        <v>8000</v>
      </c>
      <c r="H325" s="680"/>
      <c r="I325" s="920"/>
      <c r="J325" s="681" t="s">
        <v>2850</v>
      </c>
      <c r="K325" s="682"/>
      <c r="L325" s="682"/>
      <c r="M325" s="682"/>
      <c r="N325" s="682"/>
      <c r="O325" s="682"/>
      <c r="P325" s="683"/>
      <c r="Q325" s="684"/>
      <c r="R325" s="685"/>
      <c r="S325" s="684">
        <v>8000000</v>
      </c>
      <c r="T325" s="684" t="s">
        <v>0</v>
      </c>
      <c r="U325" s="683"/>
      <c r="V325" s="684">
        <v>1</v>
      </c>
      <c r="W325" s="684" t="s">
        <v>2787</v>
      </c>
      <c r="X325" s="686" t="s">
        <v>2689</v>
      </c>
      <c r="Y325" s="687">
        <f t="shared" ref="Y325" si="79">+Z325/1000</f>
        <v>8000</v>
      </c>
      <c r="Z325" s="736">
        <f>+S325*V325</f>
        <v>8000000</v>
      </c>
      <c r="AA325" s="1185">
        <f t="shared" si="66"/>
        <v>8000000000</v>
      </c>
      <c r="AB325" s="690"/>
    </row>
    <row r="326" spans="1:28" ht="21.95" customHeight="1">
      <c r="A326" s="673"/>
      <c r="B326" s="674"/>
      <c r="C326" s="3978" t="s">
        <v>2851</v>
      </c>
      <c r="D326" s="3991"/>
      <c r="E326" s="3979"/>
      <c r="F326" s="1192">
        <f>F327</f>
        <v>55000</v>
      </c>
      <c r="G326" s="1192">
        <f>G327</f>
        <v>55000</v>
      </c>
      <c r="H326" s="933">
        <f>F326-G326</f>
        <v>0</v>
      </c>
      <c r="I326" s="920"/>
      <c r="J326" s="1535"/>
      <c r="K326" s="1536"/>
      <c r="L326" s="1536"/>
      <c r="M326" s="1536"/>
      <c r="N326" s="1536"/>
      <c r="O326" s="1536"/>
      <c r="P326" s="1259"/>
      <c r="Q326" s="1084"/>
      <c r="R326" s="1537"/>
      <c r="S326" s="1084"/>
      <c r="T326" s="1084"/>
      <c r="U326" s="1259"/>
      <c r="V326" s="1084"/>
      <c r="W326" s="1084"/>
      <c r="X326" s="1538"/>
      <c r="Y326" s="1539"/>
      <c r="Z326" s="736"/>
      <c r="AA326" s="1185">
        <f t="shared" si="66"/>
        <v>55000000000</v>
      </c>
      <c r="AB326" s="690"/>
    </row>
    <row r="327" spans="1:28" ht="21.95" customHeight="1">
      <c r="A327" s="673"/>
      <c r="B327" s="674"/>
      <c r="C327" s="675"/>
      <c r="D327" s="3902" t="s">
        <v>3444</v>
      </c>
      <c r="E327" s="3903"/>
      <c r="F327" s="1532">
        <f>SUM(F328:F335)</f>
        <v>55000</v>
      </c>
      <c r="G327" s="663">
        <f>SUM(G328:G335)</f>
        <v>55000</v>
      </c>
      <c r="H327" s="699">
        <f>F327-G327</f>
        <v>0</v>
      </c>
      <c r="I327" s="920"/>
      <c r="J327" s="1115"/>
      <c r="K327" s="1093"/>
      <c r="L327" s="1093"/>
      <c r="M327" s="1093"/>
      <c r="N327" s="1093"/>
      <c r="O327" s="1093"/>
      <c r="P327" s="1116"/>
      <c r="Q327" s="1093"/>
      <c r="R327" s="702"/>
      <c r="S327" s="1116"/>
      <c r="T327" s="1093"/>
      <c r="U327" s="1093"/>
      <c r="V327" s="1116"/>
      <c r="W327" s="1093"/>
      <c r="X327" s="1378"/>
      <c r="Y327" s="929"/>
      <c r="Z327" s="736">
        <f>AB327</f>
        <v>0</v>
      </c>
      <c r="AA327" s="1185">
        <f t="shared" si="66"/>
        <v>55000000000</v>
      </c>
      <c r="AB327" s="690"/>
    </row>
    <row r="328" spans="1:28" ht="21.95" customHeight="1">
      <c r="A328" s="673"/>
      <c r="B328" s="674"/>
      <c r="C328" s="675"/>
      <c r="D328" s="1530"/>
      <c r="E328" s="677" t="s">
        <v>3445</v>
      </c>
      <c r="F328" s="678">
        <f>+Y328</f>
        <v>27600</v>
      </c>
      <c r="G328" s="679">
        <v>27600</v>
      </c>
      <c r="H328" s="680"/>
      <c r="I328" s="920"/>
      <c r="J328" s="681" t="s">
        <v>3446</v>
      </c>
      <c r="K328" s="682"/>
      <c r="L328" s="682"/>
      <c r="M328" s="682"/>
      <c r="N328" s="682"/>
      <c r="O328" s="682"/>
      <c r="P328" s="683"/>
      <c r="Q328" s="684">
        <v>1</v>
      </c>
      <c r="R328" s="685" t="s">
        <v>25</v>
      </c>
      <c r="S328" s="684">
        <v>2300000</v>
      </c>
      <c r="T328" s="684" t="s">
        <v>0</v>
      </c>
      <c r="U328" s="683"/>
      <c r="V328" s="684">
        <v>12</v>
      </c>
      <c r="W328" s="684" t="s">
        <v>29</v>
      </c>
      <c r="X328" s="686" t="s">
        <v>1</v>
      </c>
      <c r="Y328" s="687">
        <f t="shared" ref="Y328:Y335" si="80">+Z328/1000</f>
        <v>27600</v>
      </c>
      <c r="Z328" s="736">
        <f>Q328*S328*V328</f>
        <v>27600000</v>
      </c>
      <c r="AA328" s="1185">
        <f t="shared" si="66"/>
        <v>27600000000</v>
      </c>
      <c r="AB328" s="690"/>
    </row>
    <row r="329" spans="1:28" ht="21.95" customHeight="1">
      <c r="A329" s="673"/>
      <c r="B329" s="674"/>
      <c r="C329" s="675"/>
      <c r="D329" s="676"/>
      <c r="E329" s="677" t="s">
        <v>3447</v>
      </c>
      <c r="F329" s="678">
        <f t="shared" ref="F329:F334" si="81">+Y329</f>
        <v>500</v>
      </c>
      <c r="G329" s="679">
        <v>500</v>
      </c>
      <c r="H329" s="680"/>
      <c r="I329" s="920"/>
      <c r="J329" s="681" t="s">
        <v>3448</v>
      </c>
      <c r="K329" s="682"/>
      <c r="L329" s="682"/>
      <c r="M329" s="682"/>
      <c r="N329" s="682"/>
      <c r="O329" s="682"/>
      <c r="P329" s="683"/>
      <c r="Q329" s="684"/>
      <c r="R329" s="685"/>
      <c r="S329" s="684">
        <v>500000</v>
      </c>
      <c r="T329" s="684" t="s">
        <v>0</v>
      </c>
      <c r="U329" s="683"/>
      <c r="V329" s="684">
        <v>1</v>
      </c>
      <c r="W329" s="685" t="s">
        <v>3</v>
      </c>
      <c r="X329" s="686" t="s">
        <v>1</v>
      </c>
      <c r="Y329" s="687">
        <f t="shared" si="80"/>
        <v>500</v>
      </c>
      <c r="Z329" s="736">
        <f t="shared" ref="Z329" si="82">S329*V329</f>
        <v>500000</v>
      </c>
      <c r="AA329" s="1185">
        <f t="shared" si="66"/>
        <v>500000000</v>
      </c>
      <c r="AB329" s="690"/>
    </row>
    <row r="330" spans="1:28" s="689" customFormat="1" ht="21.95" customHeight="1">
      <c r="A330" s="673"/>
      <c r="B330" s="674"/>
      <c r="C330" s="675"/>
      <c r="D330" s="676"/>
      <c r="E330" s="677" t="s">
        <v>3449</v>
      </c>
      <c r="F330" s="678">
        <f>+Y330</f>
        <v>1000</v>
      </c>
      <c r="G330" s="679">
        <v>1000</v>
      </c>
      <c r="H330" s="680"/>
      <c r="I330" s="920"/>
      <c r="J330" s="681" t="s">
        <v>366</v>
      </c>
      <c r="K330" s="682"/>
      <c r="L330" s="682"/>
      <c r="M330" s="682"/>
      <c r="N330" s="682"/>
      <c r="O330" s="682"/>
      <c r="P330" s="683"/>
      <c r="Q330" s="684"/>
      <c r="R330" s="685"/>
      <c r="S330" s="684">
        <v>500000</v>
      </c>
      <c r="T330" s="684" t="s">
        <v>0</v>
      </c>
      <c r="U330" s="683"/>
      <c r="V330" s="684">
        <v>2</v>
      </c>
      <c r="W330" s="685" t="s">
        <v>3</v>
      </c>
      <c r="X330" s="686" t="s">
        <v>1</v>
      </c>
      <c r="Y330" s="687">
        <f>+Z330/1000</f>
        <v>1000</v>
      </c>
      <c r="Z330" s="736">
        <f>S330*V330</f>
        <v>1000000</v>
      </c>
      <c r="AA330" s="1185">
        <f t="shared" si="66"/>
        <v>1000000000</v>
      </c>
      <c r="AB330" s="690"/>
    </row>
    <row r="331" spans="1:28" s="689" customFormat="1" ht="21.95" customHeight="1">
      <c r="A331" s="673"/>
      <c r="B331" s="674"/>
      <c r="C331" s="675"/>
      <c r="D331" s="676"/>
      <c r="E331" s="677" t="s">
        <v>3450</v>
      </c>
      <c r="F331" s="678">
        <f t="shared" si="81"/>
        <v>1000</v>
      </c>
      <c r="G331" s="679">
        <v>1000</v>
      </c>
      <c r="H331" s="680"/>
      <c r="I331" s="920"/>
      <c r="J331" s="681" t="s">
        <v>3451</v>
      </c>
      <c r="K331" s="682"/>
      <c r="L331" s="682"/>
      <c r="M331" s="682"/>
      <c r="N331" s="682"/>
      <c r="O331" s="682"/>
      <c r="P331" s="683"/>
      <c r="Q331" s="684"/>
      <c r="R331" s="685"/>
      <c r="S331" s="684">
        <v>1000000</v>
      </c>
      <c r="T331" s="684" t="s">
        <v>0</v>
      </c>
      <c r="U331" s="683"/>
      <c r="V331" s="684">
        <v>1</v>
      </c>
      <c r="W331" s="684" t="s">
        <v>3452</v>
      </c>
      <c r="X331" s="686" t="s">
        <v>1</v>
      </c>
      <c r="Y331" s="687">
        <f t="shared" si="80"/>
        <v>1000</v>
      </c>
      <c r="Z331" s="736">
        <f>S331*V331</f>
        <v>1000000</v>
      </c>
      <c r="AA331" s="1185">
        <f t="shared" si="66"/>
        <v>1000000000</v>
      </c>
      <c r="AB331" s="690"/>
    </row>
    <row r="332" spans="1:28" s="689" customFormat="1" ht="21.95" customHeight="1">
      <c r="A332" s="673"/>
      <c r="B332" s="674"/>
      <c r="C332" s="675"/>
      <c r="D332" s="676"/>
      <c r="E332" s="677" t="s">
        <v>3453</v>
      </c>
      <c r="F332" s="678">
        <f t="shared" si="81"/>
        <v>500</v>
      </c>
      <c r="G332" s="679">
        <v>500</v>
      </c>
      <c r="H332" s="680"/>
      <c r="I332" s="920"/>
      <c r="J332" s="681" t="s">
        <v>3454</v>
      </c>
      <c r="K332" s="682"/>
      <c r="L332" s="682"/>
      <c r="M332" s="682"/>
      <c r="N332" s="682"/>
      <c r="O332" s="682"/>
      <c r="P332" s="683"/>
      <c r="Q332" s="684"/>
      <c r="R332" s="685"/>
      <c r="S332" s="684">
        <v>500000</v>
      </c>
      <c r="T332" s="684" t="s">
        <v>0</v>
      </c>
      <c r="U332" s="683"/>
      <c r="V332" s="684">
        <v>1</v>
      </c>
      <c r="W332" s="685" t="s">
        <v>3</v>
      </c>
      <c r="X332" s="686" t="s">
        <v>1</v>
      </c>
      <c r="Y332" s="687">
        <f t="shared" si="80"/>
        <v>500</v>
      </c>
      <c r="Z332" s="736">
        <f>S332*V332</f>
        <v>500000</v>
      </c>
      <c r="AA332" s="1185">
        <f t="shared" si="66"/>
        <v>500000000</v>
      </c>
      <c r="AB332" s="690"/>
    </row>
    <row r="333" spans="1:28" s="689" customFormat="1" ht="21.95" customHeight="1">
      <c r="A333" s="673"/>
      <c r="B333" s="674"/>
      <c r="C333" s="675"/>
      <c r="D333" s="676"/>
      <c r="E333" s="677" t="s">
        <v>3455</v>
      </c>
      <c r="F333" s="678">
        <f t="shared" si="81"/>
        <v>1000</v>
      </c>
      <c r="G333" s="679">
        <v>1000</v>
      </c>
      <c r="H333" s="680"/>
      <c r="I333" s="920"/>
      <c r="J333" s="681" t="s">
        <v>3456</v>
      </c>
      <c r="K333" s="682"/>
      <c r="L333" s="682"/>
      <c r="M333" s="682"/>
      <c r="N333" s="682"/>
      <c r="O333" s="682"/>
      <c r="P333" s="683"/>
      <c r="Q333" s="684"/>
      <c r="R333" s="685"/>
      <c r="S333" s="684">
        <v>100000</v>
      </c>
      <c r="T333" s="684" t="s">
        <v>0</v>
      </c>
      <c r="U333" s="683"/>
      <c r="V333" s="684">
        <v>10</v>
      </c>
      <c r="W333" s="685" t="s">
        <v>3</v>
      </c>
      <c r="X333" s="686" t="s">
        <v>1</v>
      </c>
      <c r="Y333" s="687">
        <f t="shared" si="80"/>
        <v>1000</v>
      </c>
      <c r="Z333" s="736">
        <f>S333*V333</f>
        <v>1000000</v>
      </c>
      <c r="AA333" s="1185">
        <f t="shared" si="66"/>
        <v>1000000000</v>
      </c>
      <c r="AB333" s="690"/>
    </row>
    <row r="334" spans="1:28" s="689" customFormat="1" ht="21.95" customHeight="1">
      <c r="A334" s="673"/>
      <c r="B334" s="674"/>
      <c r="C334" s="675"/>
      <c r="D334" s="676"/>
      <c r="E334" s="677" t="s">
        <v>3457</v>
      </c>
      <c r="F334" s="678">
        <f t="shared" si="81"/>
        <v>1000</v>
      </c>
      <c r="G334" s="679">
        <v>1000</v>
      </c>
      <c r="H334" s="680"/>
      <c r="I334" s="920"/>
      <c r="J334" s="681" t="s">
        <v>3458</v>
      </c>
      <c r="K334" s="682"/>
      <c r="L334" s="682"/>
      <c r="M334" s="682"/>
      <c r="N334" s="682"/>
      <c r="O334" s="682"/>
      <c r="P334" s="683"/>
      <c r="Q334" s="684"/>
      <c r="R334" s="685"/>
      <c r="S334" s="684">
        <v>200000</v>
      </c>
      <c r="T334" s="684" t="s">
        <v>0</v>
      </c>
      <c r="U334" s="683"/>
      <c r="V334" s="684">
        <v>5</v>
      </c>
      <c r="W334" s="685" t="s">
        <v>3</v>
      </c>
      <c r="X334" s="686" t="s">
        <v>1</v>
      </c>
      <c r="Y334" s="687">
        <f t="shared" si="80"/>
        <v>1000</v>
      </c>
      <c r="Z334" s="736">
        <f>S334*V334</f>
        <v>1000000</v>
      </c>
      <c r="AA334" s="1185">
        <f t="shared" si="66"/>
        <v>1000000000</v>
      </c>
      <c r="AB334" s="690"/>
    </row>
    <row r="335" spans="1:28" s="689" customFormat="1" ht="21.95" customHeight="1" thickBot="1">
      <c r="A335" s="1541"/>
      <c r="B335" s="1264"/>
      <c r="C335" s="1542"/>
      <c r="D335" s="1265"/>
      <c r="E335" s="1266" t="s">
        <v>3459</v>
      </c>
      <c r="F335" s="1213">
        <f t="shared" si="78"/>
        <v>22400</v>
      </c>
      <c r="G335" s="1998">
        <v>22400</v>
      </c>
      <c r="H335" s="1999"/>
      <c r="I335" s="920"/>
      <c r="J335" s="1268" t="s">
        <v>3460</v>
      </c>
      <c r="K335" s="1269"/>
      <c r="L335" s="1269"/>
      <c r="M335" s="1269"/>
      <c r="N335" s="1269"/>
      <c r="O335" s="1269"/>
      <c r="P335" s="1271"/>
      <c r="Q335" s="1049"/>
      <c r="R335" s="1047"/>
      <c r="S335" s="1049">
        <v>2036364</v>
      </c>
      <c r="T335" s="1049" t="s">
        <v>0</v>
      </c>
      <c r="U335" s="1271"/>
      <c r="V335" s="1049">
        <v>11</v>
      </c>
      <c r="W335" s="1049" t="s">
        <v>3461</v>
      </c>
      <c r="X335" s="1272" t="s">
        <v>3462</v>
      </c>
      <c r="Y335" s="1273">
        <f t="shared" si="80"/>
        <v>22400</v>
      </c>
      <c r="Z335" s="736">
        <f>S335*V335-4</f>
        <v>22400000</v>
      </c>
      <c r="AA335" s="1185">
        <f t="shared" ref="AA335" si="83">F335*1000000</f>
        <v>22400000000</v>
      </c>
      <c r="AB335" s="690"/>
    </row>
    <row r="336" spans="1:28" ht="22.5" customHeight="1"/>
    <row r="337" ht="22.5" customHeight="1"/>
  </sheetData>
  <autoFilter ref="A4:AG335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7">
    <mergeCell ref="D237:E237"/>
    <mergeCell ref="C262:E262"/>
    <mergeCell ref="D263:E263"/>
    <mergeCell ref="C275:E275"/>
    <mergeCell ref="D276:E276"/>
    <mergeCell ref="D189:E189"/>
    <mergeCell ref="D199:E199"/>
    <mergeCell ref="D209:E209"/>
    <mergeCell ref="D220:E220"/>
    <mergeCell ref="D230:E230"/>
    <mergeCell ref="D111:E111"/>
    <mergeCell ref="C109:E109"/>
    <mergeCell ref="D127:E127"/>
    <mergeCell ref="D144:E144"/>
    <mergeCell ref="D167:E167"/>
    <mergeCell ref="A1:Y1"/>
    <mergeCell ref="F3:F4"/>
    <mergeCell ref="G3:G4"/>
    <mergeCell ref="H3:H4"/>
    <mergeCell ref="J3:Y4"/>
    <mergeCell ref="A3:E3"/>
    <mergeCell ref="A5:E5"/>
    <mergeCell ref="C7:E7"/>
    <mergeCell ref="D20:E20"/>
    <mergeCell ref="D107:E107"/>
    <mergeCell ref="D8:E8"/>
    <mergeCell ref="J254:N254"/>
    <mergeCell ref="D318:E318"/>
    <mergeCell ref="D323:E323"/>
    <mergeCell ref="C326:E326"/>
    <mergeCell ref="D327:E327"/>
    <mergeCell ref="D289:E289"/>
    <mergeCell ref="D302:E302"/>
    <mergeCell ref="D307:E307"/>
    <mergeCell ref="D315:E315"/>
    <mergeCell ref="C317:E317"/>
    <mergeCell ref="D280:E280"/>
  </mergeCells>
  <phoneticPr fontId="15" type="noConversion"/>
  <printOptions horizontalCentered="1"/>
  <pageMargins left="0.31496062992125984" right="0.31496062992125984" top="0.55118110236220474" bottom="0.51181102362204722" header="0.31496062992125984" footer="0.31496062992125984"/>
  <pageSetup paperSize="9" scale="57" fitToHeight="100" orientation="landscape" r:id="rId1"/>
  <rowBreaks count="6" manualBreakCount="6">
    <brk id="42" max="24" man="1"/>
    <brk id="80" max="24" man="1"/>
    <brk id="129" max="24" man="1"/>
    <brk id="229" max="24" man="1"/>
    <brk id="261" max="24" man="1"/>
    <brk id="30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422"/>
  <sheetViews>
    <sheetView view="pageBreakPreview" zoomScale="70" zoomScaleNormal="70" zoomScaleSheetLayoutView="70" workbookViewId="0">
      <pane ySplit="6" topLeftCell="A163" activePane="bottomLeft" state="frozen"/>
      <selection activeCell="F663" sqref="F663:G663"/>
      <selection pane="bottomLeft" activeCell="M168" sqref="M168"/>
    </sheetView>
  </sheetViews>
  <sheetFormatPr defaultRowHeight="21.75" customHeight="1"/>
  <cols>
    <col min="1" max="4" width="6.88671875" style="763" customWidth="1"/>
    <col min="5" max="5" width="16" style="763" customWidth="1"/>
    <col min="6" max="6" width="12.33203125" style="1480" bestFit="1" customWidth="1"/>
    <col min="7" max="7" width="13.77734375" style="1480" customWidth="1"/>
    <col min="8" max="8" width="13.77734375" style="1282" customWidth="1"/>
    <col min="9" max="9" width="1.77734375" style="880" customWidth="1"/>
    <col min="10" max="10" width="2.88671875" style="1143" customWidth="1"/>
    <col min="11" max="11" width="2" style="1143" customWidth="1"/>
    <col min="12" max="14" width="8.77734375" style="1143" customWidth="1"/>
    <col min="15" max="16" width="7.77734375" style="1143" customWidth="1"/>
    <col min="17" max="17" width="7.77734375" style="1144" customWidth="1"/>
    <col min="18" max="18" width="11.6640625" style="763" customWidth="1"/>
    <col min="19" max="19" width="14.77734375" style="763" customWidth="1"/>
    <col min="20" max="23" width="6.88671875" style="763" customWidth="1"/>
    <col min="24" max="24" width="3" style="1481" customWidth="1"/>
    <col min="25" max="25" width="16.77734375" style="1145" customWidth="1"/>
    <col min="26" max="26" width="16.77734375" style="763" customWidth="1"/>
    <col min="27" max="27" width="23.44140625" style="2033" bestFit="1" customWidth="1"/>
    <col min="28" max="28" width="13.5546875" style="565" bestFit="1" customWidth="1"/>
    <col min="29" max="29" width="12.44140625" style="565" bestFit="1" customWidth="1"/>
    <col min="30" max="30" width="12.44140625" style="763" bestFit="1" customWidth="1"/>
    <col min="31" max="31" width="12.44140625" style="763" customWidth="1"/>
    <col min="32" max="32" width="11.6640625" style="763" customWidth="1"/>
    <col min="33" max="33" width="9.6640625" style="763" bestFit="1" customWidth="1"/>
    <col min="34" max="16384" width="8.88671875" style="763"/>
  </cols>
  <sheetData>
    <row r="1" spans="1:29" ht="27" customHeight="1">
      <c r="A1" s="3805" t="s">
        <v>6116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885"/>
      <c r="AA1" s="308"/>
    </row>
    <row r="2" spans="1:29" s="880" customFormat="1" ht="15" customHeight="1" thickBot="1">
      <c r="A2" s="886"/>
      <c r="B2" s="886"/>
      <c r="C2" s="886"/>
      <c r="D2" s="886" t="s">
        <v>2587</v>
      </c>
      <c r="E2" s="886"/>
      <c r="F2" s="1390"/>
      <c r="G2" s="1282"/>
      <c r="H2" s="1282" t="s">
        <v>2588</v>
      </c>
      <c r="I2" s="1934"/>
      <c r="J2" s="886" t="s">
        <v>2587</v>
      </c>
      <c r="K2" s="886"/>
      <c r="L2" s="888" t="s">
        <v>2587</v>
      </c>
      <c r="M2" s="886"/>
      <c r="N2" s="886"/>
      <c r="O2" s="886"/>
      <c r="P2" s="889"/>
      <c r="Q2" s="890"/>
      <c r="R2" s="1934"/>
      <c r="S2" s="1934"/>
      <c r="T2" s="1934"/>
      <c r="U2" s="1934"/>
      <c r="V2" s="1934"/>
      <c r="W2" s="1934"/>
      <c r="X2" s="719"/>
      <c r="Y2" s="488" t="s">
        <v>2588</v>
      </c>
      <c r="Z2" s="1934"/>
      <c r="AA2" s="308"/>
      <c r="AB2" s="308"/>
      <c r="AC2" s="308"/>
    </row>
    <row r="3" spans="1:29" ht="23.25" customHeight="1">
      <c r="A3" s="3806" t="s">
        <v>2589</v>
      </c>
      <c r="B3" s="3807"/>
      <c r="C3" s="3807"/>
      <c r="D3" s="3807"/>
      <c r="E3" s="4027"/>
      <c r="F3" s="3809" t="s">
        <v>2590</v>
      </c>
      <c r="G3" s="3811" t="s">
        <v>2591</v>
      </c>
      <c r="H3" s="4028" t="s">
        <v>2592</v>
      </c>
      <c r="I3" s="634"/>
      <c r="J3" s="3815" t="s">
        <v>2853</v>
      </c>
      <c r="K3" s="3816"/>
      <c r="L3" s="3816"/>
      <c r="M3" s="3816"/>
      <c r="N3" s="3816"/>
      <c r="O3" s="3816"/>
      <c r="P3" s="3816"/>
      <c r="Q3" s="3816"/>
      <c r="R3" s="3816"/>
      <c r="S3" s="3816"/>
      <c r="T3" s="3816"/>
      <c r="U3" s="3816"/>
      <c r="V3" s="3816"/>
      <c r="W3" s="3816"/>
      <c r="X3" s="3816"/>
      <c r="Y3" s="3817"/>
      <c r="Z3" s="476"/>
      <c r="AA3" s="308"/>
    </row>
    <row r="4" spans="1:29" s="897" customFormat="1" ht="21.75" customHeight="1" thickBot="1">
      <c r="A4" s="892" t="s">
        <v>2594</v>
      </c>
      <c r="B4" s="893" t="s">
        <v>2595</v>
      </c>
      <c r="C4" s="894" t="s">
        <v>2596</v>
      </c>
      <c r="D4" s="894" t="s">
        <v>2597</v>
      </c>
      <c r="E4" s="894" t="s">
        <v>2598</v>
      </c>
      <c r="F4" s="3810"/>
      <c r="G4" s="3812"/>
      <c r="H4" s="4029"/>
      <c r="I4" s="895"/>
      <c r="J4" s="3818"/>
      <c r="K4" s="3819"/>
      <c r="L4" s="3819"/>
      <c r="M4" s="3819"/>
      <c r="N4" s="3819"/>
      <c r="O4" s="3819"/>
      <c r="P4" s="3819"/>
      <c r="Q4" s="3819"/>
      <c r="R4" s="3819"/>
      <c r="S4" s="3819"/>
      <c r="T4" s="3819"/>
      <c r="U4" s="3819"/>
      <c r="V4" s="3819"/>
      <c r="W4" s="3819"/>
      <c r="X4" s="3819"/>
      <c r="Y4" s="3820"/>
      <c r="Z4" s="1965"/>
      <c r="AA4" s="308"/>
      <c r="AB4" s="565"/>
      <c r="AC4" s="565"/>
    </row>
    <row r="5" spans="1:29" s="897" customFormat="1" ht="22.5" customHeight="1" thickBot="1">
      <c r="A5" s="3827" t="s">
        <v>236</v>
      </c>
      <c r="B5" s="3828"/>
      <c r="C5" s="3828"/>
      <c r="D5" s="3828"/>
      <c r="E5" s="3829"/>
      <c r="F5" s="1284"/>
      <c r="G5" s="1935"/>
      <c r="H5" s="1962"/>
      <c r="I5" s="895"/>
      <c r="J5" s="1937"/>
      <c r="K5" s="1938"/>
      <c r="L5" s="1938"/>
      <c r="M5" s="1938"/>
      <c r="N5" s="1938"/>
      <c r="O5" s="1938"/>
      <c r="P5" s="1938"/>
      <c r="Q5" s="1938"/>
      <c r="R5" s="1938"/>
      <c r="S5" s="1938"/>
      <c r="T5" s="1938"/>
      <c r="U5" s="1938"/>
      <c r="V5" s="1938"/>
      <c r="W5" s="1938"/>
      <c r="X5" s="1938"/>
      <c r="Y5" s="1939"/>
      <c r="Z5" s="1965"/>
      <c r="AA5" s="308"/>
      <c r="AB5" s="565"/>
      <c r="AC5" s="565"/>
    </row>
    <row r="6" spans="1:29" s="709" customFormat="1" ht="22.5" customHeight="1" thickBot="1">
      <c r="A6" s="899"/>
      <c r="B6" s="900" t="s">
        <v>2854</v>
      </c>
      <c r="C6" s="901"/>
      <c r="D6" s="901"/>
      <c r="E6" s="902"/>
      <c r="F6" s="1391">
        <f>+F7+F87</f>
        <v>3015418.0300000003</v>
      </c>
      <c r="G6" s="1391">
        <f>+G7+G87</f>
        <v>2991600</v>
      </c>
      <c r="H6" s="1392">
        <f>F6-G6</f>
        <v>23818.030000000261</v>
      </c>
      <c r="I6" s="905" t="e">
        <f>SUM(I7+#REF!)</f>
        <v>#REF!</v>
      </c>
      <c r="J6" s="906"/>
      <c r="K6" s="907"/>
      <c r="L6" s="907"/>
      <c r="M6" s="907"/>
      <c r="N6" s="907"/>
      <c r="O6" s="907"/>
      <c r="P6" s="908"/>
      <c r="Q6" s="909"/>
      <c r="R6" s="910"/>
      <c r="S6" s="911"/>
      <c r="T6" s="912"/>
      <c r="U6" s="911"/>
      <c r="V6" s="912"/>
      <c r="W6" s="912"/>
      <c r="X6" s="1393"/>
      <c r="Y6" s="913"/>
      <c r="Z6" s="1673"/>
      <c r="AA6" s="3166"/>
      <c r="AB6" s="915"/>
      <c r="AC6" s="915"/>
    </row>
    <row r="7" spans="1:29" s="1082" customFormat="1" ht="21" customHeight="1">
      <c r="A7" s="1394"/>
      <c r="B7" s="1395"/>
      <c r="C7" s="4012" t="s">
        <v>2600</v>
      </c>
      <c r="D7" s="4013"/>
      <c r="E7" s="4014"/>
      <c r="F7" s="1396">
        <f>+F8+F20+F83</f>
        <v>1915600</v>
      </c>
      <c r="G7" s="1396">
        <f>+G8+G20+G83</f>
        <v>1915600</v>
      </c>
      <c r="H7" s="1171">
        <f>+H8+H20+H83</f>
        <v>0</v>
      </c>
      <c r="I7" s="734"/>
      <c r="J7" s="1397"/>
      <c r="K7" s="1398"/>
      <c r="L7" s="1398"/>
      <c r="M7" s="1398"/>
      <c r="N7" s="1398"/>
      <c r="O7" s="1398"/>
      <c r="P7" s="1399"/>
      <c r="Q7" s="1400"/>
      <c r="R7" s="1950"/>
      <c r="S7" s="1401"/>
      <c r="T7" s="1174"/>
      <c r="U7" s="1401"/>
      <c r="V7" s="1174"/>
      <c r="W7" s="1174"/>
      <c r="X7" s="1402"/>
      <c r="Y7" s="1403"/>
      <c r="Z7" s="1673"/>
      <c r="AA7" s="3166"/>
      <c r="AB7" s="1404"/>
      <c r="AC7" s="1404"/>
    </row>
    <row r="8" spans="1:29" s="931" customFormat="1" ht="21" customHeight="1">
      <c r="A8" s="916"/>
      <c r="B8" s="1982"/>
      <c r="C8" s="675"/>
      <c r="D8" s="4015" t="s">
        <v>2601</v>
      </c>
      <c r="E8" s="4016"/>
      <c r="F8" s="932">
        <f>+F9+F16+F17</f>
        <v>805600</v>
      </c>
      <c r="G8" s="932">
        <f>+G9+G16+G17</f>
        <v>805600</v>
      </c>
      <c r="H8" s="933">
        <f>F8-G8</f>
        <v>0</v>
      </c>
      <c r="I8" s="734"/>
      <c r="J8" s="934"/>
      <c r="K8" s="935"/>
      <c r="L8" s="935"/>
      <c r="M8" s="935"/>
      <c r="N8" s="935"/>
      <c r="O8" s="935"/>
      <c r="P8" s="936"/>
      <c r="Q8" s="937"/>
      <c r="R8" s="1969"/>
      <c r="S8" s="938"/>
      <c r="T8" s="1957"/>
      <c r="U8" s="938"/>
      <c r="V8" s="1957"/>
      <c r="W8" s="1957"/>
      <c r="X8" s="1184"/>
      <c r="Y8" s="939"/>
      <c r="Z8" s="736">
        <f>+Z9+Z24+Z23</f>
        <v>655300000</v>
      </c>
      <c r="AA8" s="1185"/>
      <c r="AB8" s="690"/>
      <c r="AC8" s="690"/>
    </row>
    <row r="9" spans="1:29" s="931" customFormat="1" ht="21" customHeight="1">
      <c r="A9" s="916"/>
      <c r="B9" s="1982"/>
      <c r="C9" s="675"/>
      <c r="D9" s="675"/>
      <c r="E9" s="851" t="s">
        <v>2602</v>
      </c>
      <c r="F9" s="941">
        <f>+Y9</f>
        <v>651300</v>
      </c>
      <c r="G9" s="941">
        <v>651300</v>
      </c>
      <c r="H9" s="942"/>
      <c r="I9" s="734"/>
      <c r="J9" s="943" t="s">
        <v>2603</v>
      </c>
      <c r="K9" s="944"/>
      <c r="L9" s="944"/>
      <c r="M9" s="944"/>
      <c r="N9" s="945"/>
      <c r="O9" s="945"/>
      <c r="P9" s="944"/>
      <c r="Q9" s="946"/>
      <c r="R9" s="867"/>
      <c r="S9" s="867"/>
      <c r="T9" s="867"/>
      <c r="U9" s="867"/>
      <c r="V9" s="867"/>
      <c r="W9" s="867"/>
      <c r="X9" s="870"/>
      <c r="Y9" s="1028">
        <f>+INT(Z9/1000)</f>
        <v>651300</v>
      </c>
      <c r="Z9" s="867">
        <f>+Z10+Z12+Z14</f>
        <v>651300000</v>
      </c>
      <c r="AA9" s="1185"/>
      <c r="AB9" s="690"/>
      <c r="AC9" s="690"/>
    </row>
    <row r="10" spans="1:29" s="931" customFormat="1" ht="21" customHeight="1">
      <c r="A10" s="673"/>
      <c r="B10" s="674"/>
      <c r="C10" s="948"/>
      <c r="D10" s="675"/>
      <c r="E10" s="851"/>
      <c r="F10" s="941"/>
      <c r="G10" s="941"/>
      <c r="H10" s="949"/>
      <c r="I10" s="734"/>
      <c r="J10" s="943" t="s">
        <v>2855</v>
      </c>
      <c r="K10" s="950"/>
      <c r="L10" s="951"/>
      <c r="M10" s="951"/>
      <c r="N10" s="945"/>
      <c r="O10" s="945"/>
      <c r="P10" s="944"/>
      <c r="Q10" s="946" t="s">
        <v>2605</v>
      </c>
      <c r="R10" s="867" t="s">
        <v>2587</v>
      </c>
      <c r="S10" s="952"/>
      <c r="T10" s="867"/>
      <c r="U10" s="867"/>
      <c r="V10" s="867"/>
      <c r="W10" s="867"/>
      <c r="X10" s="870"/>
      <c r="Y10" s="1028">
        <f t="shared" ref="Y10:Y17" si="0">+Z10/1000</f>
        <v>561600</v>
      </c>
      <c r="Z10" s="867">
        <f>SUM(Z11:Z11)</f>
        <v>561600000</v>
      </c>
      <c r="AA10" s="1185"/>
      <c r="AB10" s="690"/>
      <c r="AC10" s="690"/>
    </row>
    <row r="11" spans="1:29" s="931" customFormat="1" ht="21" customHeight="1">
      <c r="A11" s="673"/>
      <c r="B11" s="674"/>
      <c r="C11" s="948"/>
      <c r="D11" s="675"/>
      <c r="E11" s="851"/>
      <c r="F11" s="941"/>
      <c r="G11" s="941"/>
      <c r="H11" s="949"/>
      <c r="I11" s="734"/>
      <c r="J11" s="943"/>
      <c r="K11" s="953" t="s">
        <v>2606</v>
      </c>
      <c r="L11" s="951"/>
      <c r="M11" s="951"/>
      <c r="N11" s="954"/>
      <c r="O11" s="944"/>
      <c r="P11" s="944"/>
      <c r="Q11" s="946" t="s">
        <v>2856</v>
      </c>
      <c r="R11" s="867" t="s">
        <v>2608</v>
      </c>
      <c r="S11" s="868">
        <v>3600000</v>
      </c>
      <c r="T11" s="867" t="s">
        <v>2609</v>
      </c>
      <c r="U11" s="867"/>
      <c r="V11" s="867">
        <v>12</v>
      </c>
      <c r="W11" s="867" t="s">
        <v>2610</v>
      </c>
      <c r="X11" s="870" t="s">
        <v>2611</v>
      </c>
      <c r="Y11" s="1028">
        <f t="shared" si="0"/>
        <v>561600</v>
      </c>
      <c r="Z11" s="868">
        <f>S11*Q11*V11</f>
        <v>561600000</v>
      </c>
      <c r="AA11" s="1185"/>
      <c r="AB11" s="690"/>
      <c r="AC11" s="690"/>
    </row>
    <row r="12" spans="1:29" s="931" customFormat="1" ht="21" customHeight="1">
      <c r="A12" s="673"/>
      <c r="B12" s="674"/>
      <c r="C12" s="948"/>
      <c r="D12" s="675"/>
      <c r="E12" s="851"/>
      <c r="F12" s="941"/>
      <c r="G12" s="941"/>
      <c r="H12" s="949"/>
      <c r="I12" s="734"/>
      <c r="J12" s="943" t="s">
        <v>2857</v>
      </c>
      <c r="K12" s="950"/>
      <c r="L12" s="951"/>
      <c r="M12" s="951"/>
      <c r="N12" s="954"/>
      <c r="O12" s="944"/>
      <c r="P12" s="944"/>
      <c r="Q12" s="946"/>
      <c r="R12" s="682"/>
      <c r="S12" s="867"/>
      <c r="T12" s="682"/>
      <c r="U12" s="867"/>
      <c r="V12" s="867"/>
      <c r="W12" s="867"/>
      <c r="X12" s="870"/>
      <c r="Y12" s="1028">
        <f t="shared" si="0"/>
        <v>66400</v>
      </c>
      <c r="Z12" s="868">
        <f>SUM(Z13:Z13)</f>
        <v>66400000</v>
      </c>
      <c r="AA12" s="1185"/>
      <c r="AB12" s="690"/>
      <c r="AC12" s="690"/>
    </row>
    <row r="13" spans="1:29" s="931" customFormat="1" ht="21" customHeight="1">
      <c r="A13" s="673"/>
      <c r="B13" s="674"/>
      <c r="C13" s="948"/>
      <c r="D13" s="675"/>
      <c r="E13" s="851"/>
      <c r="F13" s="941"/>
      <c r="G13" s="941"/>
      <c r="H13" s="949"/>
      <c r="I13" s="734"/>
      <c r="J13" s="943"/>
      <c r="K13" s="953" t="s">
        <v>2606</v>
      </c>
      <c r="L13" s="951"/>
      <c r="M13" s="951"/>
      <c r="N13" s="954"/>
      <c r="O13" s="944"/>
      <c r="P13" s="944"/>
      <c r="Q13" s="946" t="s">
        <v>2856</v>
      </c>
      <c r="R13" s="867" t="s">
        <v>2608</v>
      </c>
      <c r="S13" s="868">
        <v>425641.02564102568</v>
      </c>
      <c r="T13" s="867" t="s">
        <v>2609</v>
      </c>
      <c r="U13" s="867"/>
      <c r="V13" s="867">
        <v>12</v>
      </c>
      <c r="W13" s="867" t="s">
        <v>2610</v>
      </c>
      <c r="X13" s="870" t="s">
        <v>2611</v>
      </c>
      <c r="Y13" s="1028">
        <f t="shared" si="0"/>
        <v>66400</v>
      </c>
      <c r="Z13" s="868">
        <f>ROUNDUP(S13*Q13*V13,-3)</f>
        <v>66400000</v>
      </c>
      <c r="AA13" s="1185"/>
      <c r="AB13" s="690"/>
      <c r="AC13" s="690"/>
    </row>
    <row r="14" spans="1:29" s="931" customFormat="1" ht="21" customHeight="1">
      <c r="A14" s="673"/>
      <c r="B14" s="674"/>
      <c r="C14" s="948"/>
      <c r="D14" s="675"/>
      <c r="E14" s="851"/>
      <c r="F14" s="941"/>
      <c r="G14" s="941"/>
      <c r="H14" s="949"/>
      <c r="I14" s="734"/>
      <c r="J14" s="943" t="s">
        <v>2858</v>
      </c>
      <c r="K14" s="950"/>
      <c r="L14" s="951"/>
      <c r="M14" s="951"/>
      <c r="N14" s="954"/>
      <c r="O14" s="944"/>
      <c r="P14" s="944"/>
      <c r="Q14" s="946"/>
      <c r="R14" s="682"/>
      <c r="S14" s="867"/>
      <c r="T14" s="682"/>
      <c r="U14" s="867"/>
      <c r="V14" s="867"/>
      <c r="W14" s="867"/>
      <c r="X14" s="870"/>
      <c r="Y14" s="1028">
        <f t="shared" si="0"/>
        <v>23300</v>
      </c>
      <c r="Z14" s="868">
        <f>SUM(Z15:Z15)</f>
        <v>23300000</v>
      </c>
      <c r="AA14" s="1185"/>
      <c r="AB14" s="690"/>
      <c r="AC14" s="690"/>
    </row>
    <row r="15" spans="1:29" s="931" customFormat="1" ht="21" customHeight="1">
      <c r="A15" s="673"/>
      <c r="B15" s="674"/>
      <c r="C15" s="948"/>
      <c r="D15" s="675"/>
      <c r="E15" s="851"/>
      <c r="F15" s="941"/>
      <c r="G15" s="941"/>
      <c r="H15" s="949"/>
      <c r="I15" s="734"/>
      <c r="J15" s="943"/>
      <c r="K15" s="953" t="s">
        <v>2606</v>
      </c>
      <c r="L15" s="951"/>
      <c r="M15" s="951"/>
      <c r="N15" s="954"/>
      <c r="O15" s="944"/>
      <c r="P15" s="944"/>
      <c r="Q15" s="946" t="s">
        <v>2856</v>
      </c>
      <c r="R15" s="867" t="s">
        <v>2608</v>
      </c>
      <c r="S15" s="868">
        <v>1792307.6923076923</v>
      </c>
      <c r="T15" s="867" t="s">
        <v>2609</v>
      </c>
      <c r="U15" s="867"/>
      <c r="V15" s="867">
        <v>1</v>
      </c>
      <c r="W15" s="867" t="s">
        <v>2614</v>
      </c>
      <c r="X15" s="870" t="s">
        <v>2611</v>
      </c>
      <c r="Y15" s="1028">
        <f t="shared" si="0"/>
        <v>23300</v>
      </c>
      <c r="Z15" s="868">
        <f>ROUNDUP(S15*Q15*V15,-3)</f>
        <v>23300000</v>
      </c>
      <c r="AA15" s="1185"/>
      <c r="AB15" s="690"/>
      <c r="AC15" s="690"/>
    </row>
    <row r="16" spans="1:29" s="931" customFormat="1" ht="21" customHeight="1">
      <c r="A16" s="673"/>
      <c r="B16" s="674"/>
      <c r="C16" s="948"/>
      <c r="D16" s="675"/>
      <c r="E16" s="852" t="s">
        <v>2615</v>
      </c>
      <c r="F16" s="955">
        <f>Y16</f>
        <v>78500</v>
      </c>
      <c r="G16" s="956">
        <v>78500</v>
      </c>
      <c r="H16" s="933"/>
      <c r="I16" s="734"/>
      <c r="J16" s="958" t="s">
        <v>2616</v>
      </c>
      <c r="K16" s="959"/>
      <c r="L16" s="960"/>
      <c r="M16" s="960"/>
      <c r="N16" s="961"/>
      <c r="O16" s="961"/>
      <c r="P16" s="959"/>
      <c r="Q16" s="962"/>
      <c r="R16" s="857"/>
      <c r="S16" s="858">
        <f>+Z11+Z13</f>
        <v>628000000</v>
      </c>
      <c r="T16" s="857" t="s">
        <v>2617</v>
      </c>
      <c r="U16" s="963">
        <v>12</v>
      </c>
      <c r="V16" s="857" t="s">
        <v>2618</v>
      </c>
      <c r="W16" s="964">
        <v>1.5</v>
      </c>
      <c r="X16" s="860" t="s">
        <v>2611</v>
      </c>
      <c r="Y16" s="1036">
        <f t="shared" si="0"/>
        <v>78500</v>
      </c>
      <c r="Z16" s="867">
        <f>+(S16/U16*W16)</f>
        <v>78500000</v>
      </c>
      <c r="AA16" s="1185"/>
      <c r="AB16" s="690"/>
      <c r="AC16" s="690"/>
    </row>
    <row r="17" spans="1:29" s="931" customFormat="1" ht="21" customHeight="1">
      <c r="A17" s="673"/>
      <c r="B17" s="674"/>
      <c r="C17" s="948"/>
      <c r="D17" s="675"/>
      <c r="E17" s="852" t="s">
        <v>2619</v>
      </c>
      <c r="F17" s="956">
        <f>Y17</f>
        <v>75800</v>
      </c>
      <c r="G17" s="956">
        <v>75800</v>
      </c>
      <c r="H17" s="957"/>
      <c r="I17" s="734"/>
      <c r="J17" s="958" t="s">
        <v>2603</v>
      </c>
      <c r="K17" s="959"/>
      <c r="L17" s="959"/>
      <c r="M17" s="959"/>
      <c r="N17" s="961"/>
      <c r="O17" s="961"/>
      <c r="P17" s="959"/>
      <c r="Q17" s="962"/>
      <c r="R17" s="857"/>
      <c r="S17" s="857"/>
      <c r="T17" s="857"/>
      <c r="U17" s="857"/>
      <c r="V17" s="857"/>
      <c r="W17" s="857"/>
      <c r="X17" s="860"/>
      <c r="Y17" s="1036">
        <f t="shared" si="0"/>
        <v>75800</v>
      </c>
      <c r="Z17" s="867">
        <f>SUM(Z18:Z19)</f>
        <v>75800000</v>
      </c>
      <c r="AA17" s="1185"/>
      <c r="AB17" s="690"/>
      <c r="AC17" s="690"/>
    </row>
    <row r="18" spans="1:29" s="967" customFormat="1" ht="21" customHeight="1">
      <c r="A18" s="866"/>
      <c r="B18" s="851"/>
      <c r="C18" s="968"/>
      <c r="D18" s="675"/>
      <c r="E18" s="851"/>
      <c r="F18" s="941"/>
      <c r="G18" s="941"/>
      <c r="H18" s="949"/>
      <c r="I18" s="734"/>
      <c r="J18" s="943" t="s">
        <v>2859</v>
      </c>
      <c r="K18" s="944"/>
      <c r="L18" s="944"/>
      <c r="M18" s="944"/>
      <c r="N18" s="945"/>
      <c r="O18" s="944"/>
      <c r="P18" s="944"/>
      <c r="Q18" s="946"/>
      <c r="R18" s="867"/>
      <c r="S18" s="868">
        <f>+S16</f>
        <v>628000000</v>
      </c>
      <c r="T18" s="867" t="s">
        <v>2609</v>
      </c>
      <c r="U18" s="867"/>
      <c r="V18" s="969">
        <v>0.1</v>
      </c>
      <c r="W18" s="867"/>
      <c r="X18" s="870" t="s">
        <v>2611</v>
      </c>
      <c r="Y18" s="1028">
        <f>+Z18/1000</f>
        <v>62800</v>
      </c>
      <c r="Z18" s="867">
        <f>ROUNDUP(S18*V18,-3)</f>
        <v>62800000</v>
      </c>
      <c r="AA18" s="966"/>
      <c r="AB18" s="966"/>
      <c r="AC18" s="966"/>
    </row>
    <row r="19" spans="1:29" s="931" customFormat="1" ht="21" customHeight="1">
      <c r="A19" s="673"/>
      <c r="B19" s="674"/>
      <c r="C19" s="948"/>
      <c r="D19" s="970"/>
      <c r="E19" s="971"/>
      <c r="F19" s="972"/>
      <c r="G19" s="972"/>
      <c r="H19" s="973"/>
      <c r="I19" s="734"/>
      <c r="J19" s="974" t="s">
        <v>2860</v>
      </c>
      <c r="K19" s="975"/>
      <c r="L19" s="975"/>
      <c r="M19" s="975"/>
      <c r="N19" s="976"/>
      <c r="O19" s="976"/>
      <c r="P19" s="975"/>
      <c r="Q19" s="977"/>
      <c r="R19" s="978"/>
      <c r="S19" s="979">
        <v>1000000</v>
      </c>
      <c r="T19" s="978" t="s">
        <v>2609</v>
      </c>
      <c r="U19" s="978"/>
      <c r="V19" s="980">
        <v>13</v>
      </c>
      <c r="W19" s="978" t="s">
        <v>2622</v>
      </c>
      <c r="X19" s="1025" t="s">
        <v>2611</v>
      </c>
      <c r="Y19" s="1029">
        <f>+Z19/1000</f>
        <v>13000</v>
      </c>
      <c r="Z19" s="867">
        <f>ROUNDUP(S19*V19,-3)</f>
        <v>13000000</v>
      </c>
      <c r="AA19" s="1185"/>
      <c r="AB19" s="690"/>
      <c r="AC19" s="690"/>
    </row>
    <row r="20" spans="1:29" s="931" customFormat="1" ht="21" customHeight="1">
      <c r="A20" s="673"/>
      <c r="B20" s="674"/>
      <c r="C20" s="948"/>
      <c r="D20" s="3955" t="s">
        <v>2623</v>
      </c>
      <c r="E20" s="3883"/>
      <c r="F20" s="955">
        <f>SUM(F21:F82)</f>
        <v>1099600</v>
      </c>
      <c r="G20" s="955">
        <f>SUM(G21:G82)</f>
        <v>1099600</v>
      </c>
      <c r="H20" s="933">
        <f>F20-G20</f>
        <v>0</v>
      </c>
      <c r="I20" s="734"/>
      <c r="J20" s="985"/>
      <c r="K20" s="986"/>
      <c r="L20" s="986"/>
      <c r="M20" s="986"/>
      <c r="N20" s="986"/>
      <c r="O20" s="986"/>
      <c r="P20" s="986"/>
      <c r="Q20" s="987"/>
      <c r="R20" s="988"/>
      <c r="S20" s="1976"/>
      <c r="T20" s="988"/>
      <c r="U20" s="1976"/>
      <c r="V20" s="988"/>
      <c r="W20" s="1976"/>
      <c r="X20" s="1976"/>
      <c r="Y20" s="1029"/>
      <c r="Z20" s="736"/>
      <c r="AA20" s="3166"/>
      <c r="AB20" s="915"/>
      <c r="AC20" s="930"/>
    </row>
    <row r="21" spans="1:29" s="931" customFormat="1" ht="21" customHeight="1">
      <c r="A21" s="673"/>
      <c r="B21" s="674"/>
      <c r="C21" s="948"/>
      <c r="D21" s="675"/>
      <c r="E21" s="1189" t="s">
        <v>2624</v>
      </c>
      <c r="F21" s="989">
        <f>Y21</f>
        <v>4500</v>
      </c>
      <c r="G21" s="989">
        <v>4500</v>
      </c>
      <c r="H21" s="854"/>
      <c r="I21" s="1405"/>
      <c r="J21" s="1018" t="s">
        <v>2861</v>
      </c>
      <c r="K21" s="978"/>
      <c r="L21" s="978"/>
      <c r="M21" s="978"/>
      <c r="N21" s="979"/>
      <c r="O21" s="978"/>
      <c r="P21" s="978"/>
      <c r="Q21" s="1019"/>
      <c r="R21" s="978"/>
      <c r="S21" s="979">
        <v>250000</v>
      </c>
      <c r="T21" s="978" t="s">
        <v>2609</v>
      </c>
      <c r="U21" s="978"/>
      <c r="V21" s="1406">
        <v>18</v>
      </c>
      <c r="W21" s="978" t="s">
        <v>2622</v>
      </c>
      <c r="X21" s="1025" t="s">
        <v>2611</v>
      </c>
      <c r="Y21" s="981">
        <f>+Z21/1000</f>
        <v>4500</v>
      </c>
      <c r="Z21" s="867">
        <f>S21*V21</f>
        <v>4500000</v>
      </c>
      <c r="AA21" s="3166"/>
      <c r="AB21" s="915"/>
      <c r="AC21" s="930"/>
    </row>
    <row r="22" spans="1:29" s="931" customFormat="1" ht="21" customHeight="1">
      <c r="A22" s="673"/>
      <c r="B22" s="674"/>
      <c r="C22" s="948"/>
      <c r="D22" s="674"/>
      <c r="E22" s="852" t="s">
        <v>2626</v>
      </c>
      <c r="F22" s="956">
        <f>+Y22</f>
        <v>1300</v>
      </c>
      <c r="G22" s="956">
        <v>1300</v>
      </c>
      <c r="H22" s="957"/>
      <c r="I22" s="734"/>
      <c r="J22" s="943" t="s">
        <v>2862</v>
      </c>
      <c r="K22" s="944"/>
      <c r="L22" s="944"/>
      <c r="M22" s="944"/>
      <c r="N22" s="945"/>
      <c r="O22" s="944"/>
      <c r="P22" s="944"/>
      <c r="Q22" s="946"/>
      <c r="R22" s="867"/>
      <c r="S22" s="868">
        <v>100000</v>
      </c>
      <c r="T22" s="867" t="s">
        <v>2609</v>
      </c>
      <c r="U22" s="867"/>
      <c r="V22" s="867">
        <v>13</v>
      </c>
      <c r="W22" s="867" t="s">
        <v>2622</v>
      </c>
      <c r="X22" s="870" t="s">
        <v>2611</v>
      </c>
      <c r="Y22" s="1028">
        <f t="shared" ref="Y22:Y70" si="1">+Z22/1000</f>
        <v>1300</v>
      </c>
      <c r="Z22" s="867">
        <f>S22*V22</f>
        <v>1300000</v>
      </c>
      <c r="AA22" s="3166"/>
      <c r="AB22" s="915"/>
      <c r="AC22" s="930"/>
    </row>
    <row r="23" spans="1:29" s="931" customFormat="1" ht="21" customHeight="1">
      <c r="A23" s="673"/>
      <c r="B23" s="674"/>
      <c r="C23" s="948"/>
      <c r="D23" s="674"/>
      <c r="E23" s="852" t="s">
        <v>2863</v>
      </c>
      <c r="F23" s="956">
        <f>+Y23</f>
        <v>3000</v>
      </c>
      <c r="G23" s="956">
        <v>3000</v>
      </c>
      <c r="H23" s="957"/>
      <c r="I23" s="734"/>
      <c r="J23" s="958" t="s">
        <v>2603</v>
      </c>
      <c r="K23" s="959"/>
      <c r="L23" s="959"/>
      <c r="M23" s="959"/>
      <c r="N23" s="961"/>
      <c r="O23" s="959"/>
      <c r="P23" s="959"/>
      <c r="Q23" s="962"/>
      <c r="R23" s="857"/>
      <c r="S23" s="858"/>
      <c r="T23" s="857"/>
      <c r="U23" s="857"/>
      <c r="V23" s="857"/>
      <c r="W23" s="857"/>
      <c r="X23" s="860"/>
      <c r="Y23" s="1036">
        <f t="shared" si="1"/>
        <v>3000</v>
      </c>
      <c r="Z23" s="867">
        <f>SUM(Z24:Z26)</f>
        <v>3000000</v>
      </c>
      <c r="AA23" s="3166"/>
      <c r="AB23" s="915"/>
      <c r="AC23" s="930"/>
    </row>
    <row r="24" spans="1:29" s="931" customFormat="1" ht="21" customHeight="1">
      <c r="A24" s="673"/>
      <c r="B24" s="674"/>
      <c r="C24" s="948"/>
      <c r="D24" s="674"/>
      <c r="E24" s="851"/>
      <c r="F24" s="941"/>
      <c r="G24" s="941"/>
      <c r="H24" s="949"/>
      <c r="I24" s="734"/>
      <c r="J24" s="943" t="s">
        <v>2864</v>
      </c>
      <c r="K24" s="944"/>
      <c r="L24" s="944"/>
      <c r="M24" s="944"/>
      <c r="N24" s="945"/>
      <c r="O24" s="944"/>
      <c r="P24" s="944"/>
      <c r="Q24" s="946"/>
      <c r="R24" s="867"/>
      <c r="S24" s="868">
        <v>1000000</v>
      </c>
      <c r="T24" s="867" t="s">
        <v>2609</v>
      </c>
      <c r="U24" s="867"/>
      <c r="V24" s="867">
        <v>1</v>
      </c>
      <c r="W24" s="867" t="s">
        <v>2865</v>
      </c>
      <c r="X24" s="870" t="s">
        <v>2611</v>
      </c>
      <c r="Y24" s="1028">
        <f t="shared" si="1"/>
        <v>1000</v>
      </c>
      <c r="Z24" s="867">
        <f>S24*V24</f>
        <v>1000000</v>
      </c>
      <c r="AA24" s="3166"/>
      <c r="AB24" s="915"/>
      <c r="AC24" s="930"/>
    </row>
    <row r="25" spans="1:29" s="931" customFormat="1" ht="21" customHeight="1">
      <c r="A25" s="673"/>
      <c r="B25" s="674"/>
      <c r="C25" s="948"/>
      <c r="D25" s="674"/>
      <c r="E25" s="851"/>
      <c r="F25" s="941"/>
      <c r="G25" s="941"/>
      <c r="H25" s="949"/>
      <c r="I25" s="734"/>
      <c r="J25" s="943" t="s">
        <v>2866</v>
      </c>
      <c r="K25" s="944"/>
      <c r="L25" s="944"/>
      <c r="M25" s="944"/>
      <c r="N25" s="945"/>
      <c r="O25" s="944"/>
      <c r="P25" s="944"/>
      <c r="Q25" s="946"/>
      <c r="R25" s="867"/>
      <c r="S25" s="868">
        <v>1000000</v>
      </c>
      <c r="T25" s="867" t="s">
        <v>2609</v>
      </c>
      <c r="U25" s="867"/>
      <c r="V25" s="867">
        <v>1</v>
      </c>
      <c r="W25" s="867" t="s">
        <v>2865</v>
      </c>
      <c r="X25" s="870" t="s">
        <v>2611</v>
      </c>
      <c r="Y25" s="1028">
        <f>+Z25/1000</f>
        <v>1000</v>
      </c>
      <c r="Z25" s="867">
        <f>S25*V25</f>
        <v>1000000</v>
      </c>
      <c r="AA25" s="3166"/>
      <c r="AB25" s="915"/>
      <c r="AC25" s="930"/>
    </row>
    <row r="26" spans="1:29" s="931" customFormat="1" ht="21" customHeight="1">
      <c r="A26" s="673"/>
      <c r="B26" s="674"/>
      <c r="C26" s="948"/>
      <c r="D26" s="674"/>
      <c r="E26" s="851"/>
      <c r="F26" s="941"/>
      <c r="G26" s="941"/>
      <c r="H26" s="949"/>
      <c r="I26" s="734"/>
      <c r="J26" s="943" t="s">
        <v>2867</v>
      </c>
      <c r="K26" s="944"/>
      <c r="L26" s="944"/>
      <c r="M26" s="944"/>
      <c r="N26" s="945"/>
      <c r="O26" s="944"/>
      <c r="P26" s="944"/>
      <c r="Q26" s="946"/>
      <c r="R26" s="867"/>
      <c r="S26" s="868">
        <v>1000000</v>
      </c>
      <c r="T26" s="867" t="s">
        <v>2609</v>
      </c>
      <c r="U26" s="867"/>
      <c r="V26" s="867">
        <v>1</v>
      </c>
      <c r="W26" s="867" t="s">
        <v>2865</v>
      </c>
      <c r="X26" s="870" t="s">
        <v>2611</v>
      </c>
      <c r="Y26" s="1028">
        <f t="shared" si="1"/>
        <v>1000</v>
      </c>
      <c r="Z26" s="867">
        <f>S26*V26</f>
        <v>1000000</v>
      </c>
      <c r="AA26" s="3166"/>
      <c r="AB26" s="915"/>
      <c r="AC26" s="930"/>
    </row>
    <row r="27" spans="1:29" s="931" customFormat="1" ht="21" customHeight="1">
      <c r="A27" s="673"/>
      <c r="B27" s="674"/>
      <c r="C27" s="948"/>
      <c r="D27" s="674"/>
      <c r="E27" s="852" t="s">
        <v>2628</v>
      </c>
      <c r="F27" s="956">
        <f>+Y27</f>
        <v>3500</v>
      </c>
      <c r="G27" s="956">
        <v>3500</v>
      </c>
      <c r="H27" s="957"/>
      <c r="I27" s="734"/>
      <c r="J27" s="1005" t="s">
        <v>2868</v>
      </c>
      <c r="K27" s="1006"/>
      <c r="L27" s="1006"/>
      <c r="M27" s="1006"/>
      <c r="N27" s="1007"/>
      <c r="O27" s="1006"/>
      <c r="P27" s="1006"/>
      <c r="Q27" s="1008"/>
      <c r="R27" s="1009"/>
      <c r="S27" s="1010">
        <v>3500000</v>
      </c>
      <c r="T27" s="1009" t="s">
        <v>2609</v>
      </c>
      <c r="U27" s="1009"/>
      <c r="V27" s="1009">
        <v>1</v>
      </c>
      <c r="W27" s="1009" t="s">
        <v>2638</v>
      </c>
      <c r="X27" s="1422" t="s">
        <v>2611</v>
      </c>
      <c r="Y27" s="939">
        <f t="shared" si="1"/>
        <v>3500</v>
      </c>
      <c r="Z27" s="867">
        <f>S27*V27</f>
        <v>3500000</v>
      </c>
      <c r="AA27" s="3166"/>
      <c r="AB27" s="915"/>
      <c r="AC27" s="930"/>
    </row>
    <row r="28" spans="1:29" s="931" customFormat="1" ht="21" customHeight="1">
      <c r="A28" s="673"/>
      <c r="B28" s="674"/>
      <c r="C28" s="948"/>
      <c r="D28" s="674"/>
      <c r="E28" s="852" t="s">
        <v>2631</v>
      </c>
      <c r="F28" s="956">
        <f>+Y28</f>
        <v>6000</v>
      </c>
      <c r="G28" s="956">
        <v>6000</v>
      </c>
      <c r="H28" s="957"/>
      <c r="I28" s="734"/>
      <c r="J28" s="943" t="s">
        <v>2603</v>
      </c>
      <c r="K28" s="944"/>
      <c r="L28" s="944"/>
      <c r="M28" s="944"/>
      <c r="N28" s="945"/>
      <c r="O28" s="945"/>
      <c r="P28" s="944"/>
      <c r="Q28" s="946"/>
      <c r="R28" s="867"/>
      <c r="S28" s="867"/>
      <c r="T28" s="867"/>
      <c r="U28" s="867"/>
      <c r="V28" s="867"/>
      <c r="W28" s="867"/>
      <c r="X28" s="870"/>
      <c r="Y28" s="1028">
        <f t="shared" si="1"/>
        <v>6000</v>
      </c>
      <c r="Z28" s="867">
        <f>SUM(Z29:Z30)</f>
        <v>6000000</v>
      </c>
      <c r="AA28" s="3166"/>
      <c r="AB28" s="915"/>
      <c r="AC28" s="930"/>
    </row>
    <row r="29" spans="1:29" s="931" customFormat="1" ht="21" customHeight="1">
      <c r="A29" s="673"/>
      <c r="B29" s="674"/>
      <c r="C29" s="948"/>
      <c r="D29" s="674"/>
      <c r="E29" s="851"/>
      <c r="F29" s="941"/>
      <c r="G29" s="941"/>
      <c r="H29" s="949"/>
      <c r="I29" s="734"/>
      <c r="J29" s="943" t="s">
        <v>2869</v>
      </c>
      <c r="K29" s="944"/>
      <c r="L29" s="944"/>
      <c r="M29" s="944"/>
      <c r="N29" s="945"/>
      <c r="O29" s="944"/>
      <c r="P29" s="944"/>
      <c r="Q29" s="946"/>
      <c r="R29" s="867"/>
      <c r="S29" s="868">
        <v>100000</v>
      </c>
      <c r="T29" s="867" t="s">
        <v>2609</v>
      </c>
      <c r="U29" s="867"/>
      <c r="V29" s="867">
        <v>12</v>
      </c>
      <c r="W29" s="867" t="s">
        <v>2610</v>
      </c>
      <c r="X29" s="870" t="s">
        <v>2611</v>
      </c>
      <c r="Y29" s="1028">
        <f t="shared" si="1"/>
        <v>1200</v>
      </c>
      <c r="Z29" s="867">
        <f>+S29*V29</f>
        <v>1200000</v>
      </c>
      <c r="AA29" s="3166"/>
      <c r="AB29" s="915"/>
      <c r="AC29" s="930"/>
    </row>
    <row r="30" spans="1:29" s="931" customFormat="1" ht="21" customHeight="1">
      <c r="A30" s="673"/>
      <c r="B30" s="674"/>
      <c r="C30" s="948"/>
      <c r="D30" s="674"/>
      <c r="E30" s="851"/>
      <c r="F30" s="941"/>
      <c r="G30" s="941"/>
      <c r="H30" s="949"/>
      <c r="I30" s="734"/>
      <c r="J30" s="943" t="s">
        <v>2870</v>
      </c>
      <c r="K30" s="944"/>
      <c r="L30" s="944"/>
      <c r="M30" s="944"/>
      <c r="N30" s="945"/>
      <c r="O30" s="944"/>
      <c r="P30" s="944"/>
      <c r="Q30" s="977" t="s">
        <v>2871</v>
      </c>
      <c r="R30" s="978" t="s">
        <v>2872</v>
      </c>
      <c r="S30" s="868">
        <v>200000</v>
      </c>
      <c r="T30" s="867" t="s">
        <v>2609</v>
      </c>
      <c r="U30" s="867"/>
      <c r="V30" s="867">
        <v>12</v>
      </c>
      <c r="W30" s="867" t="s">
        <v>2610</v>
      </c>
      <c r="X30" s="870" t="s">
        <v>2611</v>
      </c>
      <c r="Y30" s="1028">
        <f t="shared" si="1"/>
        <v>4800</v>
      </c>
      <c r="Z30" s="867">
        <f>+S30*V30*Q30</f>
        <v>4800000</v>
      </c>
      <c r="AA30" s="3166"/>
      <c r="AB30" s="915"/>
      <c r="AC30" s="930"/>
    </row>
    <row r="31" spans="1:29" s="931" customFormat="1" ht="21" customHeight="1">
      <c r="A31" s="673"/>
      <c r="B31" s="674"/>
      <c r="C31" s="948"/>
      <c r="D31" s="674"/>
      <c r="E31" s="852" t="s">
        <v>2636</v>
      </c>
      <c r="F31" s="3173">
        <f>+Y31</f>
        <v>13175</v>
      </c>
      <c r="G31" s="3173">
        <v>10775</v>
      </c>
      <c r="H31" s="3169">
        <f>F31-G31</f>
        <v>2400</v>
      </c>
      <c r="I31" s="734"/>
      <c r="J31" s="958" t="s">
        <v>5107</v>
      </c>
      <c r="K31" s="959"/>
      <c r="L31" s="959"/>
      <c r="M31" s="959"/>
      <c r="N31" s="961"/>
      <c r="O31" s="961"/>
      <c r="P31" s="959"/>
      <c r="Q31" s="962"/>
      <c r="R31" s="857"/>
      <c r="S31" s="857"/>
      <c r="T31" s="857"/>
      <c r="U31" s="857"/>
      <c r="V31" s="857"/>
      <c r="W31" s="857"/>
      <c r="X31" s="860"/>
      <c r="Y31" s="1036">
        <f t="shared" si="1"/>
        <v>13175</v>
      </c>
      <c r="Z31" s="3163">
        <f>SUM(Z32:Z35)</f>
        <v>13175000</v>
      </c>
      <c r="AA31" s="3166"/>
      <c r="AB31" s="915"/>
      <c r="AC31" s="930"/>
    </row>
    <row r="32" spans="1:29" s="709" customFormat="1" ht="21" customHeight="1">
      <c r="A32" s="673"/>
      <c r="B32" s="674"/>
      <c r="C32" s="948"/>
      <c r="D32" s="674"/>
      <c r="E32" s="851"/>
      <c r="F32" s="941"/>
      <c r="G32" s="941"/>
      <c r="H32" s="949"/>
      <c r="I32" s="734"/>
      <c r="J32" s="943" t="s">
        <v>5179</v>
      </c>
      <c r="K32" s="944"/>
      <c r="L32" s="944"/>
      <c r="M32" s="944"/>
      <c r="N32" s="945"/>
      <c r="O32" s="944"/>
      <c r="P32" s="944"/>
      <c r="Q32" s="946"/>
      <c r="R32" s="3163"/>
      <c r="S32" s="3164">
        <v>2600000</v>
      </c>
      <c r="T32" s="3163" t="s">
        <v>5135</v>
      </c>
      <c r="U32" s="3163"/>
      <c r="V32" s="3163">
        <v>4</v>
      </c>
      <c r="W32" s="3163" t="s">
        <v>5105</v>
      </c>
      <c r="X32" s="3165" t="s">
        <v>5100</v>
      </c>
      <c r="Y32" s="3175">
        <f t="shared" si="1"/>
        <v>10400</v>
      </c>
      <c r="Z32" s="3163">
        <f>+S32*V32</f>
        <v>10400000</v>
      </c>
      <c r="AA32" s="3166"/>
      <c r="AB32" s="915"/>
      <c r="AC32" s="915"/>
    </row>
    <row r="33" spans="1:29" s="709" customFormat="1" ht="21" customHeight="1">
      <c r="A33" s="673"/>
      <c r="B33" s="674"/>
      <c r="C33" s="948"/>
      <c r="D33" s="674"/>
      <c r="E33" s="851"/>
      <c r="F33" s="941"/>
      <c r="G33" s="941"/>
      <c r="H33" s="949"/>
      <c r="I33" s="734"/>
      <c r="J33" s="943" t="s">
        <v>5180</v>
      </c>
      <c r="K33" s="944"/>
      <c r="L33" s="944"/>
      <c r="M33" s="944"/>
      <c r="N33" s="945"/>
      <c r="O33" s="944"/>
      <c r="P33" s="944"/>
      <c r="Q33" s="946"/>
      <c r="R33" s="3163"/>
      <c r="S33" s="3164">
        <v>370000</v>
      </c>
      <c r="T33" s="3163" t="s">
        <v>5181</v>
      </c>
      <c r="U33" s="3163"/>
      <c r="V33" s="3163">
        <v>2</v>
      </c>
      <c r="W33" s="3163" t="s">
        <v>5182</v>
      </c>
      <c r="X33" s="3165" t="s">
        <v>5183</v>
      </c>
      <c r="Y33" s="3175">
        <f>+Z33/1000</f>
        <v>740</v>
      </c>
      <c r="Z33" s="3163">
        <f>+S33*V33</f>
        <v>740000</v>
      </c>
      <c r="AA33" s="3166"/>
      <c r="AB33" s="915"/>
      <c r="AC33" s="915"/>
    </row>
    <row r="34" spans="1:29" s="931" customFormat="1" ht="21" customHeight="1">
      <c r="A34" s="673"/>
      <c r="B34" s="674"/>
      <c r="C34" s="948"/>
      <c r="D34" s="674"/>
      <c r="E34" s="851"/>
      <c r="F34" s="941"/>
      <c r="G34" s="941"/>
      <c r="H34" s="949"/>
      <c r="I34" s="734"/>
      <c r="J34" s="943" t="s">
        <v>5184</v>
      </c>
      <c r="K34" s="944"/>
      <c r="L34" s="944"/>
      <c r="M34" s="944"/>
      <c r="N34" s="945"/>
      <c r="O34" s="944"/>
      <c r="P34" s="944"/>
      <c r="Q34" s="946"/>
      <c r="R34" s="3163"/>
      <c r="S34" s="3164">
        <v>435000</v>
      </c>
      <c r="T34" s="3163" t="s">
        <v>5181</v>
      </c>
      <c r="U34" s="3163"/>
      <c r="V34" s="3163">
        <v>1</v>
      </c>
      <c r="W34" s="3163" t="s">
        <v>5182</v>
      </c>
      <c r="X34" s="3165" t="s">
        <v>5183</v>
      </c>
      <c r="Y34" s="3175">
        <f>+Z34/1000</f>
        <v>435</v>
      </c>
      <c r="Z34" s="3163">
        <f>+S34*V34</f>
        <v>435000</v>
      </c>
      <c r="AA34" s="3166"/>
      <c r="AB34" s="915"/>
      <c r="AC34" s="930"/>
    </row>
    <row r="35" spans="1:29" s="931" customFormat="1" ht="21" customHeight="1">
      <c r="A35" s="673"/>
      <c r="B35" s="674"/>
      <c r="C35" s="948"/>
      <c r="D35" s="674"/>
      <c r="E35" s="851"/>
      <c r="F35" s="941"/>
      <c r="G35" s="941"/>
      <c r="H35" s="949"/>
      <c r="I35" s="734"/>
      <c r="J35" s="943" t="s">
        <v>5185</v>
      </c>
      <c r="K35" s="944"/>
      <c r="L35" s="944"/>
      <c r="M35" s="944"/>
      <c r="N35" s="945"/>
      <c r="O35" s="944"/>
      <c r="P35" s="944"/>
      <c r="Q35" s="946"/>
      <c r="R35" s="3163"/>
      <c r="S35" s="3164">
        <v>400000</v>
      </c>
      <c r="T35" s="3163" t="s">
        <v>5181</v>
      </c>
      <c r="U35" s="3163"/>
      <c r="V35" s="3163">
        <v>4</v>
      </c>
      <c r="W35" s="3163" t="s">
        <v>5186</v>
      </c>
      <c r="X35" s="3165" t="s">
        <v>5183</v>
      </c>
      <c r="Y35" s="3175">
        <f>+Z35/1000</f>
        <v>1600</v>
      </c>
      <c r="Z35" s="3163">
        <f>+S35*V35</f>
        <v>1600000</v>
      </c>
      <c r="AA35" s="3166"/>
      <c r="AB35" s="915"/>
      <c r="AC35" s="930"/>
    </row>
    <row r="36" spans="1:29" s="709" customFormat="1" ht="21" customHeight="1">
      <c r="A36" s="673"/>
      <c r="B36" s="674"/>
      <c r="C36" s="948"/>
      <c r="D36" s="674"/>
      <c r="E36" s="852" t="s">
        <v>2640</v>
      </c>
      <c r="F36" s="956">
        <f>+Y36</f>
        <v>28340</v>
      </c>
      <c r="G36" s="956">
        <v>28340</v>
      </c>
      <c r="H36" s="957"/>
      <c r="I36" s="734"/>
      <c r="J36" s="958" t="s">
        <v>2603</v>
      </c>
      <c r="K36" s="959"/>
      <c r="L36" s="959"/>
      <c r="M36" s="959"/>
      <c r="N36" s="961"/>
      <c r="O36" s="961"/>
      <c r="P36" s="959"/>
      <c r="Q36" s="962"/>
      <c r="R36" s="857"/>
      <c r="S36" s="857"/>
      <c r="T36" s="857"/>
      <c r="U36" s="857"/>
      <c r="V36" s="857"/>
      <c r="W36" s="857"/>
      <c r="X36" s="860"/>
      <c r="Y36" s="1036">
        <f>SUM(Y37:Y42)</f>
        <v>28340</v>
      </c>
      <c r="Z36" s="867">
        <f>SUM(Z37:Z42)</f>
        <v>28340000</v>
      </c>
      <c r="AA36" s="3166"/>
      <c r="AB36" s="915"/>
      <c r="AC36" s="915"/>
    </row>
    <row r="37" spans="1:29" s="709" customFormat="1" ht="21" customHeight="1">
      <c r="A37" s="673"/>
      <c r="B37" s="674"/>
      <c r="C37" s="948"/>
      <c r="D37" s="674"/>
      <c r="E37" s="851"/>
      <c r="F37" s="941"/>
      <c r="G37" s="941"/>
      <c r="H37" s="949"/>
      <c r="I37" s="734"/>
      <c r="J37" s="943" t="s">
        <v>2641</v>
      </c>
      <c r="K37" s="944"/>
      <c r="L37" s="944"/>
      <c r="M37" s="944"/>
      <c r="N37" s="945"/>
      <c r="O37" s="944"/>
      <c r="P37" s="944"/>
      <c r="Q37" s="946" t="s">
        <v>2873</v>
      </c>
      <c r="R37" s="867" t="s">
        <v>2874</v>
      </c>
      <c r="S37" s="868">
        <v>25416.666666666664</v>
      </c>
      <c r="T37" s="867" t="s">
        <v>2609</v>
      </c>
      <c r="U37" s="867"/>
      <c r="V37" s="867">
        <v>12</v>
      </c>
      <c r="W37" s="867" t="s">
        <v>2610</v>
      </c>
      <c r="X37" s="870" t="s">
        <v>2611</v>
      </c>
      <c r="Y37" s="1028">
        <f t="shared" ref="Y37:Y42" si="2">+Z37/1000</f>
        <v>3049.9999999999995</v>
      </c>
      <c r="Z37" s="867">
        <f>S37*Q37*V37</f>
        <v>3049999.9999999995</v>
      </c>
      <c r="AA37" s="3166"/>
      <c r="AB37" s="915"/>
      <c r="AC37" s="915"/>
    </row>
    <row r="38" spans="1:29" s="709" customFormat="1" ht="21" customHeight="1">
      <c r="A38" s="673"/>
      <c r="B38" s="674"/>
      <c r="C38" s="948"/>
      <c r="D38" s="674"/>
      <c r="E38" s="851"/>
      <c r="F38" s="941"/>
      <c r="G38" s="941"/>
      <c r="H38" s="949"/>
      <c r="I38" s="734"/>
      <c r="J38" s="1407" t="s">
        <v>2875</v>
      </c>
      <c r="K38" s="953"/>
      <c r="L38" s="953"/>
      <c r="M38" s="953"/>
      <c r="N38" s="1408"/>
      <c r="O38" s="944"/>
      <c r="P38" s="944"/>
      <c r="Q38" s="946" t="s">
        <v>2876</v>
      </c>
      <c r="R38" s="867" t="s">
        <v>2877</v>
      </c>
      <c r="S38" s="868">
        <v>4972.2222222222217</v>
      </c>
      <c r="T38" s="867" t="s">
        <v>2609</v>
      </c>
      <c r="U38" s="867"/>
      <c r="V38" s="867">
        <v>12</v>
      </c>
      <c r="W38" s="867" t="s">
        <v>2610</v>
      </c>
      <c r="X38" s="870" t="s">
        <v>2611</v>
      </c>
      <c r="Y38" s="1028">
        <f t="shared" si="2"/>
        <v>1789.9999999999998</v>
      </c>
      <c r="Z38" s="867">
        <f>S38*V38*Q38</f>
        <v>1789999.9999999998</v>
      </c>
      <c r="AA38" s="3166"/>
      <c r="AB38" s="915"/>
      <c r="AC38" s="915"/>
    </row>
    <row r="39" spans="1:29" s="709" customFormat="1" ht="21" customHeight="1">
      <c r="A39" s="673"/>
      <c r="B39" s="674"/>
      <c r="C39" s="948"/>
      <c r="D39" s="674"/>
      <c r="E39" s="851"/>
      <c r="F39" s="941"/>
      <c r="G39" s="941"/>
      <c r="H39" s="949"/>
      <c r="I39" s="734"/>
      <c r="J39" s="1407" t="s">
        <v>2878</v>
      </c>
      <c r="K39" s="953"/>
      <c r="L39" s="953"/>
      <c r="M39" s="953"/>
      <c r="N39" s="1408"/>
      <c r="O39" s="944"/>
      <c r="P39" s="944"/>
      <c r="Q39" s="946" t="s">
        <v>2871</v>
      </c>
      <c r="R39" s="867" t="s">
        <v>2879</v>
      </c>
      <c r="S39" s="868">
        <v>200000</v>
      </c>
      <c r="T39" s="867" t="s">
        <v>2609</v>
      </c>
      <c r="U39" s="867"/>
      <c r="V39" s="867">
        <v>4</v>
      </c>
      <c r="W39" s="867" t="s">
        <v>2880</v>
      </c>
      <c r="X39" s="870" t="s">
        <v>2611</v>
      </c>
      <c r="Y39" s="1028">
        <f t="shared" si="2"/>
        <v>1600</v>
      </c>
      <c r="Z39" s="867">
        <f>S39*V39*Q39</f>
        <v>1600000</v>
      </c>
      <c r="AA39" s="3166"/>
      <c r="AB39" s="915"/>
      <c r="AC39" s="915"/>
    </row>
    <row r="40" spans="1:29" s="931" customFormat="1" ht="21" customHeight="1">
      <c r="A40" s="673"/>
      <c r="B40" s="674"/>
      <c r="C40" s="948"/>
      <c r="D40" s="674"/>
      <c r="E40" s="851"/>
      <c r="F40" s="941"/>
      <c r="G40" s="941"/>
      <c r="H40" s="949"/>
      <c r="I40" s="734"/>
      <c r="J40" s="1407" t="s">
        <v>2881</v>
      </c>
      <c r="K40" s="953"/>
      <c r="L40" s="953"/>
      <c r="M40" s="953"/>
      <c r="N40" s="1408"/>
      <c r="O40" s="944"/>
      <c r="P40" s="944"/>
      <c r="Q40" s="1409">
        <v>50000</v>
      </c>
      <c r="R40" s="867" t="s">
        <v>2882</v>
      </c>
      <c r="S40" s="868">
        <v>34</v>
      </c>
      <c r="T40" s="867" t="s">
        <v>2609</v>
      </c>
      <c r="U40" s="867"/>
      <c r="V40" s="867">
        <v>3</v>
      </c>
      <c r="W40" s="867" t="s">
        <v>2638</v>
      </c>
      <c r="X40" s="870" t="s">
        <v>2611</v>
      </c>
      <c r="Y40" s="1028">
        <f t="shared" si="2"/>
        <v>5100</v>
      </c>
      <c r="Z40" s="867">
        <f>S40*V40*Q40</f>
        <v>5100000</v>
      </c>
      <c r="AA40" s="3166"/>
      <c r="AB40" s="915"/>
      <c r="AC40" s="930"/>
    </row>
    <row r="41" spans="1:29" s="931" customFormat="1" ht="21" customHeight="1">
      <c r="A41" s="673"/>
      <c r="B41" s="674"/>
      <c r="C41" s="948"/>
      <c r="D41" s="674"/>
      <c r="E41" s="851"/>
      <c r="F41" s="941"/>
      <c r="G41" s="941"/>
      <c r="H41" s="949"/>
      <c r="I41" s="734"/>
      <c r="J41" s="1407" t="s">
        <v>2883</v>
      </c>
      <c r="K41" s="953"/>
      <c r="L41" s="953"/>
      <c r="M41" s="953"/>
      <c r="N41" s="1408"/>
      <c r="O41" s="944"/>
      <c r="P41" s="944"/>
      <c r="Q41" s="1410"/>
      <c r="R41" s="867"/>
      <c r="S41" s="868">
        <v>100000</v>
      </c>
      <c r="T41" s="867" t="s">
        <v>2609</v>
      </c>
      <c r="U41" s="867"/>
      <c r="V41" s="867">
        <v>12</v>
      </c>
      <c r="W41" s="867" t="s">
        <v>2610</v>
      </c>
      <c r="X41" s="870" t="s">
        <v>2611</v>
      </c>
      <c r="Y41" s="1028">
        <f t="shared" si="2"/>
        <v>1200</v>
      </c>
      <c r="Z41" s="867">
        <f>S41*V41</f>
        <v>1200000</v>
      </c>
      <c r="AA41" s="3166"/>
      <c r="AB41" s="915"/>
      <c r="AC41" s="930"/>
    </row>
    <row r="42" spans="1:29" s="931" customFormat="1" ht="21" customHeight="1">
      <c r="A42" s="673"/>
      <c r="B42" s="674"/>
      <c r="C42" s="948"/>
      <c r="D42" s="674"/>
      <c r="E42" s="971"/>
      <c r="F42" s="972"/>
      <c r="G42" s="972"/>
      <c r="H42" s="973"/>
      <c r="I42" s="734"/>
      <c r="J42" s="974" t="s">
        <v>2884</v>
      </c>
      <c r="K42" s="1411"/>
      <c r="L42" s="1411"/>
      <c r="M42" s="1411"/>
      <c r="N42" s="1412"/>
      <c r="O42" s="975"/>
      <c r="P42" s="975"/>
      <c r="Q42" s="1413"/>
      <c r="R42" s="978"/>
      <c r="S42" s="979">
        <v>1300000</v>
      </c>
      <c r="T42" s="978" t="s">
        <v>2609</v>
      </c>
      <c r="U42" s="978"/>
      <c r="V42" s="978">
        <v>12</v>
      </c>
      <c r="W42" s="978" t="s">
        <v>2610</v>
      </c>
      <c r="X42" s="1025" t="s">
        <v>2611</v>
      </c>
      <c r="Y42" s="1029">
        <f t="shared" si="2"/>
        <v>15600</v>
      </c>
      <c r="Z42" s="867">
        <f>S42*V42</f>
        <v>15600000</v>
      </c>
      <c r="AA42" s="3166"/>
      <c r="AB42" s="915"/>
      <c r="AC42" s="930"/>
    </row>
    <row r="43" spans="1:29" s="709" customFormat="1" ht="21" customHeight="1">
      <c r="A43" s="673"/>
      <c r="B43" s="674"/>
      <c r="D43" s="674"/>
      <c r="E43" s="851" t="s">
        <v>2648</v>
      </c>
      <c r="F43" s="941">
        <f>Y43</f>
        <v>167760</v>
      </c>
      <c r="G43" s="941">
        <v>167760</v>
      </c>
      <c r="H43" s="949"/>
      <c r="I43" s="734"/>
      <c r="J43" s="943" t="s">
        <v>2603</v>
      </c>
      <c r="K43" s="944"/>
      <c r="L43" s="944"/>
      <c r="M43" s="944"/>
      <c r="N43" s="945"/>
      <c r="O43" s="945"/>
      <c r="P43" s="944"/>
      <c r="Q43" s="946"/>
      <c r="R43" s="867"/>
      <c r="S43" s="867"/>
      <c r="T43" s="867"/>
      <c r="U43" s="867"/>
      <c r="V43" s="867"/>
      <c r="W43" s="867"/>
      <c r="X43" s="870"/>
      <c r="Y43" s="1028">
        <f t="shared" si="1"/>
        <v>167760</v>
      </c>
      <c r="Z43" s="867">
        <f>SUM(Z44:Z46)</f>
        <v>167760000</v>
      </c>
      <c r="AA43" s="3166"/>
      <c r="AB43" s="915"/>
      <c r="AC43" s="915"/>
    </row>
    <row r="44" spans="1:29" s="709" customFormat="1" ht="21" customHeight="1">
      <c r="A44" s="673"/>
      <c r="B44" s="674"/>
      <c r="D44" s="674"/>
      <c r="E44" s="851"/>
      <c r="F44" s="941"/>
      <c r="G44" s="941"/>
      <c r="H44" s="949"/>
      <c r="I44" s="734"/>
      <c r="J44" s="943" t="s">
        <v>2649</v>
      </c>
      <c r="K44" s="944"/>
      <c r="L44" s="944"/>
      <c r="M44" s="944"/>
      <c r="N44" s="945"/>
      <c r="O44" s="944"/>
      <c r="P44" s="944"/>
      <c r="Q44" s="946"/>
      <c r="R44" s="867"/>
      <c r="S44" s="868">
        <v>9800000</v>
      </c>
      <c r="T44" s="867" t="s">
        <v>2609</v>
      </c>
      <c r="U44" s="867"/>
      <c r="V44" s="867">
        <v>12</v>
      </c>
      <c r="W44" s="867" t="s">
        <v>2610</v>
      </c>
      <c r="X44" s="870" t="s">
        <v>2611</v>
      </c>
      <c r="Y44" s="1028">
        <f t="shared" si="1"/>
        <v>117600</v>
      </c>
      <c r="Z44" s="867">
        <f>S44*V44</f>
        <v>117600000</v>
      </c>
      <c r="AA44" s="3166"/>
      <c r="AB44" s="915"/>
      <c r="AC44" s="915"/>
    </row>
    <row r="45" spans="1:29" s="931" customFormat="1" ht="21" customHeight="1">
      <c r="A45" s="673"/>
      <c r="B45" s="674"/>
      <c r="C45" s="948"/>
      <c r="D45" s="674"/>
      <c r="E45" s="851"/>
      <c r="F45" s="941"/>
      <c r="G45" s="941"/>
      <c r="H45" s="949"/>
      <c r="I45" s="734"/>
      <c r="J45" s="943" t="s">
        <v>2650</v>
      </c>
      <c r="K45" s="944"/>
      <c r="L45" s="944"/>
      <c r="M45" s="944"/>
      <c r="N45" s="945"/>
      <c r="O45" s="944"/>
      <c r="P45" s="944"/>
      <c r="Q45" s="946"/>
      <c r="R45" s="867"/>
      <c r="S45" s="868">
        <v>380000</v>
      </c>
      <c r="T45" s="867" t="s">
        <v>2609</v>
      </c>
      <c r="U45" s="867"/>
      <c r="V45" s="867">
        <v>12</v>
      </c>
      <c r="W45" s="867" t="s">
        <v>2610</v>
      </c>
      <c r="X45" s="870" t="s">
        <v>2611</v>
      </c>
      <c r="Y45" s="1028">
        <f t="shared" si="1"/>
        <v>4560</v>
      </c>
      <c r="Z45" s="867">
        <f>S45*V45</f>
        <v>4560000</v>
      </c>
      <c r="AA45" s="3166"/>
      <c r="AB45" s="915"/>
      <c r="AC45" s="930"/>
    </row>
    <row r="46" spans="1:29" s="931" customFormat="1" ht="21" customHeight="1">
      <c r="A46" s="673"/>
      <c r="B46" s="674"/>
      <c r="C46" s="948"/>
      <c r="D46" s="674"/>
      <c r="E46" s="971"/>
      <c r="F46" s="972"/>
      <c r="G46" s="972"/>
      <c r="H46" s="973"/>
      <c r="I46" s="734"/>
      <c r="J46" s="1001" t="s">
        <v>2885</v>
      </c>
      <c r="K46" s="975"/>
      <c r="L46" s="975"/>
      <c r="M46" s="975"/>
      <c r="N46" s="976"/>
      <c r="O46" s="976"/>
      <c r="P46" s="975"/>
      <c r="Q46" s="977"/>
      <c r="R46" s="978"/>
      <c r="S46" s="979">
        <v>3800000</v>
      </c>
      <c r="T46" s="978" t="s">
        <v>2609</v>
      </c>
      <c r="U46" s="978"/>
      <c r="V46" s="978">
        <v>12</v>
      </c>
      <c r="W46" s="978" t="s">
        <v>2610</v>
      </c>
      <c r="X46" s="1025" t="s">
        <v>2611</v>
      </c>
      <c r="Y46" s="1029">
        <f t="shared" si="1"/>
        <v>45600</v>
      </c>
      <c r="Z46" s="867">
        <f>S46*V46</f>
        <v>45600000</v>
      </c>
      <c r="AA46" s="3166"/>
      <c r="AB46" s="915"/>
      <c r="AC46" s="930"/>
    </row>
    <row r="47" spans="1:29" s="931" customFormat="1" ht="22.5" customHeight="1">
      <c r="A47" s="673"/>
      <c r="B47" s="674"/>
      <c r="C47" s="948"/>
      <c r="D47" s="675" t="s">
        <v>2587</v>
      </c>
      <c r="E47" s="709" t="s">
        <v>2651</v>
      </c>
      <c r="F47" s="1414">
        <f>Y47</f>
        <v>10414.999999999993</v>
      </c>
      <c r="G47" s="941">
        <v>10414.999999999993</v>
      </c>
      <c r="H47" s="949"/>
      <c r="I47" s="734"/>
      <c r="J47" s="943" t="s">
        <v>2603</v>
      </c>
      <c r="K47" s="944"/>
      <c r="L47" s="944"/>
      <c r="M47" s="944"/>
      <c r="N47" s="945"/>
      <c r="O47" s="945"/>
      <c r="P47" s="944"/>
      <c r="Q47" s="946"/>
      <c r="R47" s="867"/>
      <c r="S47" s="867"/>
      <c r="T47" s="867"/>
      <c r="U47" s="867"/>
      <c r="V47" s="867"/>
      <c r="W47" s="867"/>
      <c r="X47" s="870" t="s">
        <v>2886</v>
      </c>
      <c r="Y47" s="1028">
        <f t="shared" si="1"/>
        <v>10414.999999999993</v>
      </c>
      <c r="Z47" s="867">
        <f>SUM(Z48:Z49)</f>
        <v>10414999.999999993</v>
      </c>
      <c r="AA47" s="3166"/>
      <c r="AB47" s="915"/>
      <c r="AC47" s="930"/>
    </row>
    <row r="48" spans="1:29" s="709" customFormat="1" ht="22.5" customHeight="1">
      <c r="A48" s="673"/>
      <c r="B48" s="674"/>
      <c r="C48" s="948"/>
      <c r="D48" s="675"/>
      <c r="F48" s="1414"/>
      <c r="G48" s="941"/>
      <c r="H48" s="949"/>
      <c r="I48" s="734"/>
      <c r="J48" s="943" t="s">
        <v>2652</v>
      </c>
      <c r="K48" s="944"/>
      <c r="L48" s="944"/>
      <c r="M48" s="944"/>
      <c r="N48" s="945"/>
      <c r="O48" s="945"/>
      <c r="P48" s="944"/>
      <c r="Q48" s="946"/>
      <c r="R48" s="867"/>
      <c r="S48" s="867">
        <v>691666.66666666605</v>
      </c>
      <c r="T48" s="867" t="s">
        <v>2609</v>
      </c>
      <c r="U48" s="867"/>
      <c r="V48" s="867">
        <v>12</v>
      </c>
      <c r="W48" s="867" t="s">
        <v>2610</v>
      </c>
      <c r="X48" s="870" t="s">
        <v>2886</v>
      </c>
      <c r="Y48" s="1028">
        <f t="shared" si="1"/>
        <v>8299.9999999999927</v>
      </c>
      <c r="Z48" s="867">
        <f>S48*V48</f>
        <v>8299999.9999999925</v>
      </c>
      <c r="AA48" s="3166"/>
      <c r="AB48" s="915"/>
      <c r="AC48" s="915"/>
    </row>
    <row r="49" spans="1:31" s="931" customFormat="1" ht="22.5" customHeight="1">
      <c r="A49" s="673"/>
      <c r="B49" s="674"/>
      <c r="C49" s="948"/>
      <c r="D49" s="674"/>
      <c r="E49" s="971" t="s">
        <v>2587</v>
      </c>
      <c r="F49" s="972" t="s">
        <v>2587</v>
      </c>
      <c r="G49" s="972" t="s">
        <v>20</v>
      </c>
      <c r="H49" s="973"/>
      <c r="I49" s="734"/>
      <c r="J49" s="991" t="s">
        <v>2653</v>
      </c>
      <c r="K49" s="1411"/>
      <c r="L49" s="1411"/>
      <c r="M49" s="1411"/>
      <c r="N49" s="1415"/>
      <c r="O49" s="1415"/>
      <c r="P49" s="1415"/>
      <c r="Q49" s="987"/>
      <c r="R49" s="704"/>
      <c r="S49" s="979">
        <v>2114500000</v>
      </c>
      <c r="T49" s="978" t="s">
        <v>2609</v>
      </c>
      <c r="U49" s="978"/>
      <c r="V49" s="1416">
        <v>0.10002364625206904</v>
      </c>
      <c r="W49" s="978" t="s">
        <v>2887</v>
      </c>
      <c r="X49" s="1025" t="s">
        <v>2611</v>
      </c>
      <c r="Y49" s="1029">
        <f t="shared" si="1"/>
        <v>2115</v>
      </c>
      <c r="Z49" s="867">
        <f>S49*V49/100</f>
        <v>2115000</v>
      </c>
      <c r="AA49" s="3166"/>
      <c r="AB49" s="915"/>
      <c r="AC49" s="930"/>
      <c r="AE49" s="1015"/>
    </row>
    <row r="50" spans="1:31" s="931" customFormat="1" ht="22.5" customHeight="1">
      <c r="A50" s="673"/>
      <c r="B50" s="674"/>
      <c r="C50" s="948"/>
      <c r="D50" s="674"/>
      <c r="E50" s="851" t="s">
        <v>2654</v>
      </c>
      <c r="F50" s="1414">
        <f>Y50</f>
        <v>12057</v>
      </c>
      <c r="G50" s="941">
        <v>12057</v>
      </c>
      <c r="H50" s="949"/>
      <c r="I50" s="734"/>
      <c r="J50" s="943" t="s">
        <v>2603</v>
      </c>
      <c r="K50" s="944"/>
      <c r="L50" s="944"/>
      <c r="M50" s="944"/>
      <c r="N50" s="945"/>
      <c r="O50" s="945"/>
      <c r="P50" s="944"/>
      <c r="Q50" s="946"/>
      <c r="R50" s="867"/>
      <c r="S50" s="867"/>
      <c r="T50" s="867"/>
      <c r="U50" s="867"/>
      <c r="V50" s="867"/>
      <c r="W50" s="867"/>
      <c r="X50" s="870"/>
      <c r="Y50" s="1028">
        <f t="shared" si="1"/>
        <v>12057</v>
      </c>
      <c r="Z50" s="867">
        <f>SUM(Z51:Z53)</f>
        <v>12057000</v>
      </c>
      <c r="AA50" s="3166"/>
      <c r="AB50" s="915"/>
      <c r="AC50" s="930"/>
    </row>
    <row r="51" spans="1:31" s="709" customFormat="1" ht="22.5" customHeight="1">
      <c r="A51" s="673"/>
      <c r="B51" s="674"/>
      <c r="C51" s="948"/>
      <c r="D51" s="674"/>
      <c r="E51" s="851" t="s">
        <v>2587</v>
      </c>
      <c r="F51" s="941"/>
      <c r="G51" s="941"/>
      <c r="H51" s="949"/>
      <c r="I51" s="734"/>
      <c r="J51" s="943" t="s">
        <v>2655</v>
      </c>
      <c r="K51" s="944"/>
      <c r="L51" s="944"/>
      <c r="M51" s="944"/>
      <c r="N51" s="945"/>
      <c r="O51" s="946" t="s">
        <v>2888</v>
      </c>
      <c r="P51" s="944" t="s">
        <v>2889</v>
      </c>
      <c r="Q51" s="946" t="s">
        <v>2890</v>
      </c>
      <c r="R51" s="867" t="s">
        <v>2608</v>
      </c>
      <c r="S51" s="868">
        <v>15000</v>
      </c>
      <c r="T51" s="867" t="s">
        <v>2609</v>
      </c>
      <c r="U51" s="867"/>
      <c r="V51" s="867">
        <v>12</v>
      </c>
      <c r="W51" s="867" t="s">
        <v>2610</v>
      </c>
      <c r="X51" s="870" t="s">
        <v>2611</v>
      </c>
      <c r="Y51" s="1028">
        <f t="shared" si="1"/>
        <v>10800</v>
      </c>
      <c r="Z51" s="867">
        <f>ROUNDUP(O51*S51*Q51*V51,-3)</f>
        <v>10800000</v>
      </c>
      <c r="AA51" s="3166"/>
      <c r="AB51" s="915"/>
      <c r="AC51" s="915"/>
    </row>
    <row r="52" spans="1:31" s="931" customFormat="1" ht="22.5" customHeight="1">
      <c r="A52" s="673"/>
      <c r="B52" s="674"/>
      <c r="C52" s="948"/>
      <c r="D52" s="674"/>
      <c r="E52" s="851"/>
      <c r="F52" s="941"/>
      <c r="G52" s="941"/>
      <c r="H52" s="949"/>
      <c r="I52" s="734"/>
      <c r="J52" s="943" t="s">
        <v>2656</v>
      </c>
      <c r="K52" s="944"/>
      <c r="L52" s="944"/>
      <c r="M52" s="944"/>
      <c r="N52" s="945"/>
      <c r="O52" s="1410">
        <v>2000</v>
      </c>
      <c r="P52" s="944" t="s">
        <v>2609</v>
      </c>
      <c r="Q52" s="946" t="s">
        <v>2891</v>
      </c>
      <c r="R52" s="1017" t="s">
        <v>2892</v>
      </c>
      <c r="S52" s="867">
        <v>5</v>
      </c>
      <c r="T52" s="867" t="s">
        <v>2889</v>
      </c>
      <c r="U52" s="867"/>
      <c r="V52" s="867">
        <v>12</v>
      </c>
      <c r="W52" s="867" t="s">
        <v>2610</v>
      </c>
      <c r="X52" s="870" t="s">
        <v>2611</v>
      </c>
      <c r="Y52" s="1028">
        <f t="shared" si="1"/>
        <v>720</v>
      </c>
      <c r="Z52" s="867">
        <f>O52*Q52*S52*V52</f>
        <v>720000</v>
      </c>
      <c r="AA52" s="3166"/>
      <c r="AB52" s="915"/>
      <c r="AC52" s="930"/>
    </row>
    <row r="53" spans="1:31" s="931" customFormat="1" ht="22.5" customHeight="1">
      <c r="A53" s="673"/>
      <c r="B53" s="674"/>
      <c r="C53" s="948"/>
      <c r="D53" s="674"/>
      <c r="E53" s="971"/>
      <c r="F53" s="972"/>
      <c r="G53" s="972"/>
      <c r="H53" s="973"/>
      <c r="I53" s="734"/>
      <c r="J53" s="1001" t="s">
        <v>2657</v>
      </c>
      <c r="K53" s="975"/>
      <c r="L53" s="975"/>
      <c r="M53" s="975"/>
      <c r="N53" s="976"/>
      <c r="O53" s="1413">
        <v>2237.5</v>
      </c>
      <c r="P53" s="975" t="s">
        <v>2609</v>
      </c>
      <c r="Q53" s="977" t="s">
        <v>2893</v>
      </c>
      <c r="R53" s="978" t="s">
        <v>2894</v>
      </c>
      <c r="S53" s="978">
        <v>20</v>
      </c>
      <c r="T53" s="978" t="s">
        <v>2889</v>
      </c>
      <c r="U53" s="978"/>
      <c r="V53" s="978">
        <v>12</v>
      </c>
      <c r="W53" s="978" t="s">
        <v>2610</v>
      </c>
      <c r="X53" s="1025" t="s">
        <v>2611</v>
      </c>
      <c r="Y53" s="1029">
        <f t="shared" si="1"/>
        <v>537</v>
      </c>
      <c r="Z53" s="867">
        <f>O53*Q53*S53*V53</f>
        <v>537000</v>
      </c>
      <c r="AA53" s="3166"/>
      <c r="AB53" s="915"/>
      <c r="AC53" s="930"/>
    </row>
    <row r="54" spans="1:31" s="931" customFormat="1" ht="22.5" customHeight="1">
      <c r="A54" s="673"/>
      <c r="B54" s="674"/>
      <c r="C54" s="948"/>
      <c r="D54" s="674"/>
      <c r="E54" s="851" t="s">
        <v>2658</v>
      </c>
      <c r="F54" s="941">
        <f>ROUNDUP(+Z54/1000,0)</f>
        <v>97154</v>
      </c>
      <c r="G54" s="941">
        <v>97154</v>
      </c>
      <c r="H54" s="949"/>
      <c r="I54" s="734"/>
      <c r="J54" s="943" t="s">
        <v>2603</v>
      </c>
      <c r="K54" s="944"/>
      <c r="L54" s="944"/>
      <c r="M54" s="944"/>
      <c r="N54" s="945"/>
      <c r="O54" s="944"/>
      <c r="P54" s="944"/>
      <c r="Q54" s="946"/>
      <c r="R54" s="867"/>
      <c r="S54" s="868"/>
      <c r="T54" s="867"/>
      <c r="U54" s="867"/>
      <c r="V54" s="867"/>
      <c r="W54" s="867"/>
      <c r="X54" s="870"/>
      <c r="Y54" s="1028">
        <f t="shared" si="1"/>
        <v>97153.236000000004</v>
      </c>
      <c r="Z54" s="867">
        <f>SUM(Z55:Z56)</f>
        <v>97153236</v>
      </c>
      <c r="AA54" s="3166"/>
      <c r="AB54" s="915"/>
      <c r="AC54" s="930"/>
    </row>
    <row r="55" spans="1:31" s="931" customFormat="1" ht="22.5" customHeight="1">
      <c r="A55" s="673"/>
      <c r="B55" s="674"/>
      <c r="C55" s="948"/>
      <c r="D55" s="674"/>
      <c r="E55" s="851"/>
      <c r="F55" s="941"/>
      <c r="G55" s="941"/>
      <c r="H55" s="949"/>
      <c r="I55" s="734"/>
      <c r="J55" s="866" t="s">
        <v>2895</v>
      </c>
      <c r="K55" s="867"/>
      <c r="L55" s="867"/>
      <c r="M55" s="867"/>
      <c r="N55" s="868"/>
      <c r="O55" s="867"/>
      <c r="P55" s="867"/>
      <c r="Q55" s="869">
        <v>1857</v>
      </c>
      <c r="R55" s="867" t="s">
        <v>2896</v>
      </c>
      <c r="S55" s="868">
        <v>25674</v>
      </c>
      <c r="T55" s="867" t="s">
        <v>2609</v>
      </c>
      <c r="U55" s="867"/>
      <c r="V55" s="867">
        <v>2</v>
      </c>
      <c r="W55" s="867" t="s">
        <v>2638</v>
      </c>
      <c r="X55" s="870" t="s">
        <v>2611</v>
      </c>
      <c r="Y55" s="1028">
        <f>+Z55/1000</f>
        <v>95353.236000000004</v>
      </c>
      <c r="Z55" s="867">
        <f>+Q55*S55*V55</f>
        <v>95353236</v>
      </c>
      <c r="AA55" s="3166"/>
      <c r="AB55" s="915"/>
      <c r="AC55" s="930"/>
    </row>
    <row r="56" spans="1:31" s="709" customFormat="1" ht="22.5" customHeight="1">
      <c r="A56" s="673"/>
      <c r="B56" s="674"/>
      <c r="C56" s="948"/>
      <c r="D56" s="674"/>
      <c r="E56" s="851"/>
      <c r="F56" s="941"/>
      <c r="G56" s="941"/>
      <c r="H56" s="949"/>
      <c r="I56" s="734"/>
      <c r="J56" s="1018" t="s">
        <v>2897</v>
      </c>
      <c r="K56" s="867"/>
      <c r="L56" s="867"/>
      <c r="M56" s="867"/>
      <c r="N56" s="868"/>
      <c r="O56" s="867"/>
      <c r="P56" s="867"/>
      <c r="Q56" s="869">
        <v>1</v>
      </c>
      <c r="R56" s="867" t="s">
        <v>2879</v>
      </c>
      <c r="S56" s="868">
        <v>150000</v>
      </c>
      <c r="T56" s="867" t="s">
        <v>2898</v>
      </c>
      <c r="U56" s="867"/>
      <c r="V56" s="867">
        <v>12</v>
      </c>
      <c r="W56" s="867" t="s">
        <v>2899</v>
      </c>
      <c r="X56" s="870" t="s">
        <v>2886</v>
      </c>
      <c r="Y56" s="1028">
        <f>+Z56/1000</f>
        <v>1800</v>
      </c>
      <c r="Z56" s="867">
        <f>+Q56*S56*V56</f>
        <v>1800000</v>
      </c>
      <c r="AA56" s="3166"/>
      <c r="AB56" s="915"/>
      <c r="AC56" s="915"/>
    </row>
    <row r="57" spans="1:31" s="931" customFormat="1" ht="22.5" customHeight="1">
      <c r="A57" s="673"/>
      <c r="B57" s="674"/>
      <c r="C57" s="948"/>
      <c r="D57" s="674"/>
      <c r="E57" s="852" t="s">
        <v>2900</v>
      </c>
      <c r="F57" s="956">
        <f>Y57</f>
        <v>2050</v>
      </c>
      <c r="G57" s="956">
        <v>2050</v>
      </c>
      <c r="H57" s="957"/>
      <c r="I57" s="734"/>
      <c r="J57" s="958" t="s">
        <v>2603</v>
      </c>
      <c r="K57" s="959"/>
      <c r="L57" s="959"/>
      <c r="M57" s="959"/>
      <c r="N57" s="961"/>
      <c r="O57" s="961"/>
      <c r="P57" s="959"/>
      <c r="Q57" s="962"/>
      <c r="R57" s="857"/>
      <c r="S57" s="857"/>
      <c r="T57" s="857"/>
      <c r="U57" s="857"/>
      <c r="V57" s="857"/>
      <c r="W57" s="857"/>
      <c r="X57" s="860"/>
      <c r="Y57" s="1036">
        <f t="shared" si="1"/>
        <v>2050</v>
      </c>
      <c r="Z57" s="867">
        <f>SUM(Z58:Z59)</f>
        <v>2050000</v>
      </c>
      <c r="AA57" s="3166"/>
      <c r="AB57" s="915"/>
      <c r="AC57" s="930"/>
    </row>
    <row r="58" spans="1:31" s="931" customFormat="1" ht="22.5" customHeight="1">
      <c r="A58" s="673"/>
      <c r="B58" s="674"/>
      <c r="C58" s="948"/>
      <c r="D58" s="674"/>
      <c r="E58" s="851"/>
      <c r="F58" s="941"/>
      <c r="G58" s="941"/>
      <c r="H58" s="949"/>
      <c r="I58" s="734"/>
      <c r="J58" s="943" t="s">
        <v>2901</v>
      </c>
      <c r="K58" s="944"/>
      <c r="L58" s="944"/>
      <c r="M58" s="944"/>
      <c r="N58" s="945"/>
      <c r="O58" s="944"/>
      <c r="P58" s="944"/>
      <c r="Q58" s="946" t="s">
        <v>2873</v>
      </c>
      <c r="R58" s="867" t="s">
        <v>2902</v>
      </c>
      <c r="S58" s="868">
        <v>15000</v>
      </c>
      <c r="T58" s="867" t="s">
        <v>2609</v>
      </c>
      <c r="U58" s="867"/>
      <c r="V58" s="867">
        <v>12</v>
      </c>
      <c r="W58" s="867" t="s">
        <v>2610</v>
      </c>
      <c r="X58" s="870" t="s">
        <v>2611</v>
      </c>
      <c r="Y58" s="1028">
        <f t="shared" si="1"/>
        <v>1800</v>
      </c>
      <c r="Z58" s="867">
        <f>S58*Q58*V58</f>
        <v>1800000</v>
      </c>
      <c r="AA58" s="3166"/>
      <c r="AB58" s="915"/>
      <c r="AC58" s="930"/>
    </row>
    <row r="59" spans="1:31" s="931" customFormat="1" ht="22.5" customHeight="1">
      <c r="A59" s="673"/>
      <c r="B59" s="674"/>
      <c r="C59" s="948"/>
      <c r="D59" s="674"/>
      <c r="E59" s="971"/>
      <c r="F59" s="972"/>
      <c r="G59" s="972"/>
      <c r="H59" s="973"/>
      <c r="I59" s="734"/>
      <c r="J59" s="1001" t="s">
        <v>2903</v>
      </c>
      <c r="K59" s="975"/>
      <c r="L59" s="975"/>
      <c r="M59" s="975"/>
      <c r="N59" s="976"/>
      <c r="O59" s="975"/>
      <c r="P59" s="975"/>
      <c r="Q59" s="977" t="s">
        <v>2888</v>
      </c>
      <c r="R59" s="978" t="s">
        <v>2904</v>
      </c>
      <c r="S59" s="979">
        <v>50000</v>
      </c>
      <c r="T59" s="978" t="s">
        <v>2609</v>
      </c>
      <c r="U59" s="978"/>
      <c r="V59" s="978">
        <v>1</v>
      </c>
      <c r="W59" s="978" t="s">
        <v>2638</v>
      </c>
      <c r="X59" s="1025" t="s">
        <v>2611</v>
      </c>
      <c r="Y59" s="1029">
        <f t="shared" si="1"/>
        <v>250</v>
      </c>
      <c r="Z59" s="867">
        <f>S59*Q59*V59</f>
        <v>250000</v>
      </c>
      <c r="AA59" s="3166"/>
      <c r="AB59" s="915"/>
      <c r="AC59" s="930"/>
    </row>
    <row r="60" spans="1:31" s="931" customFormat="1" ht="22.5" customHeight="1">
      <c r="A60" s="673"/>
      <c r="B60" s="674"/>
      <c r="C60" s="948"/>
      <c r="D60" s="674"/>
      <c r="E60" s="851" t="s">
        <v>2905</v>
      </c>
      <c r="F60" s="941">
        <f>Y60</f>
        <v>12270</v>
      </c>
      <c r="G60" s="941">
        <v>14670</v>
      </c>
      <c r="H60" s="3169">
        <f>F60-G60</f>
        <v>-2400</v>
      </c>
      <c r="I60" s="734"/>
      <c r="J60" s="943" t="s">
        <v>5107</v>
      </c>
      <c r="K60" s="944"/>
      <c r="L60" s="944"/>
      <c r="M60" s="944"/>
      <c r="N60" s="945"/>
      <c r="O60" s="945"/>
      <c r="P60" s="944"/>
      <c r="Q60" s="946"/>
      <c r="R60" s="3163"/>
      <c r="S60" s="3163"/>
      <c r="T60" s="3163"/>
      <c r="U60" s="3163"/>
      <c r="V60" s="3163"/>
      <c r="W60" s="3163"/>
      <c r="X60" s="3165"/>
      <c r="Y60" s="3175">
        <f t="shared" si="1"/>
        <v>12270</v>
      </c>
      <c r="Z60" s="3163">
        <f>SUM(Z61:Z66)</f>
        <v>12270000</v>
      </c>
      <c r="AA60" s="3166"/>
      <c r="AB60" s="915"/>
      <c r="AC60" s="930"/>
    </row>
    <row r="61" spans="1:31" s="931" customFormat="1" ht="22.5" customHeight="1">
      <c r="A61" s="673"/>
      <c r="B61" s="674"/>
      <c r="C61" s="948"/>
      <c r="D61" s="674"/>
      <c r="E61" s="851"/>
      <c r="F61" s="941"/>
      <c r="G61" s="941"/>
      <c r="H61" s="949"/>
      <c r="I61" s="734"/>
      <c r="J61" s="943" t="s">
        <v>5187</v>
      </c>
      <c r="K61" s="944"/>
      <c r="L61" s="944"/>
      <c r="M61" s="944"/>
      <c r="N61" s="945"/>
      <c r="O61" s="944"/>
      <c r="P61" s="944"/>
      <c r="Q61" s="946" t="s">
        <v>5188</v>
      </c>
      <c r="R61" s="3163" t="s">
        <v>5189</v>
      </c>
      <c r="S61" s="3164">
        <v>2000</v>
      </c>
      <c r="T61" s="3163" t="s">
        <v>5135</v>
      </c>
      <c r="U61" s="3163"/>
      <c r="V61" s="3163">
        <v>12</v>
      </c>
      <c r="W61" s="3163" t="s">
        <v>5190</v>
      </c>
      <c r="X61" s="3165" t="s">
        <v>5100</v>
      </c>
      <c r="Y61" s="3175">
        <f t="shared" si="1"/>
        <v>1200</v>
      </c>
      <c r="Z61" s="3163">
        <f>ROUNDUP(S61*Q61*V61,-3)</f>
        <v>1200000</v>
      </c>
      <c r="AA61" s="3166"/>
      <c r="AB61" s="915"/>
      <c r="AC61" s="930"/>
    </row>
    <row r="62" spans="1:31" s="931" customFormat="1" ht="22.5" customHeight="1">
      <c r="A62" s="673"/>
      <c r="B62" s="674"/>
      <c r="C62" s="948"/>
      <c r="D62" s="674"/>
      <c r="E62" s="851"/>
      <c r="F62" s="941"/>
      <c r="G62" s="941"/>
      <c r="H62" s="949"/>
      <c r="I62" s="734"/>
      <c r="J62" s="943" t="s">
        <v>5191</v>
      </c>
      <c r="K62" s="944"/>
      <c r="L62" s="944"/>
      <c r="M62" s="944"/>
      <c r="N62" s="945"/>
      <c r="O62" s="944"/>
      <c r="P62" s="944"/>
      <c r="Q62" s="946" t="s">
        <v>5192</v>
      </c>
      <c r="R62" s="3163" t="s">
        <v>5098</v>
      </c>
      <c r="S62" s="3164">
        <v>200000</v>
      </c>
      <c r="T62" s="3163" t="s">
        <v>5135</v>
      </c>
      <c r="U62" s="3163"/>
      <c r="V62" s="3163">
        <v>1</v>
      </c>
      <c r="W62" s="3163" t="s">
        <v>5105</v>
      </c>
      <c r="X62" s="3165" t="s">
        <v>5100</v>
      </c>
      <c r="Y62" s="3175">
        <f t="shared" si="1"/>
        <v>2000</v>
      </c>
      <c r="Z62" s="3163">
        <f>S62*Q62*V62</f>
        <v>2000000</v>
      </c>
      <c r="AA62" s="3166"/>
      <c r="AB62" s="915"/>
      <c r="AC62" s="930"/>
    </row>
    <row r="63" spans="1:31" s="931" customFormat="1" ht="22.5" customHeight="1">
      <c r="A63" s="673"/>
      <c r="B63" s="674"/>
      <c r="C63" s="948"/>
      <c r="D63" s="674"/>
      <c r="E63" s="851"/>
      <c r="F63" s="941"/>
      <c r="G63" s="941"/>
      <c r="H63" s="949"/>
      <c r="I63" s="734"/>
      <c r="J63" s="943" t="s">
        <v>5193</v>
      </c>
      <c r="K63" s="944"/>
      <c r="L63" s="944"/>
      <c r="M63" s="944"/>
      <c r="N63" s="945"/>
      <c r="O63" s="944"/>
      <c r="P63" s="944"/>
      <c r="Q63" s="946"/>
      <c r="R63" s="3163"/>
      <c r="S63" s="3164">
        <v>60000</v>
      </c>
      <c r="T63" s="3163" t="s">
        <v>5135</v>
      </c>
      <c r="U63" s="3163"/>
      <c r="V63" s="3163">
        <v>12</v>
      </c>
      <c r="W63" s="3163" t="s">
        <v>5194</v>
      </c>
      <c r="X63" s="3165" t="s">
        <v>5195</v>
      </c>
      <c r="Y63" s="3175">
        <f t="shared" si="1"/>
        <v>720</v>
      </c>
      <c r="Z63" s="3163">
        <f>S63*V63</f>
        <v>720000</v>
      </c>
      <c r="AA63" s="3166"/>
      <c r="AB63" s="915"/>
      <c r="AC63" s="930"/>
    </row>
    <row r="64" spans="1:31" s="931" customFormat="1" ht="22.5" customHeight="1">
      <c r="A64" s="673"/>
      <c r="B64" s="674"/>
      <c r="C64" s="948"/>
      <c r="D64" s="674"/>
      <c r="E64" s="851"/>
      <c r="F64" s="941"/>
      <c r="G64" s="941"/>
      <c r="H64" s="949"/>
      <c r="I64" s="734"/>
      <c r="J64" s="943" t="s">
        <v>5196</v>
      </c>
      <c r="K64" s="944"/>
      <c r="L64" s="944"/>
      <c r="M64" s="944"/>
      <c r="N64" s="945"/>
      <c r="O64" s="944"/>
      <c r="P64" s="944"/>
      <c r="Q64" s="946" t="s">
        <v>5197</v>
      </c>
      <c r="R64" s="3163" t="s">
        <v>5197</v>
      </c>
      <c r="S64" s="3164">
        <v>500000</v>
      </c>
      <c r="T64" s="3163" t="s">
        <v>5135</v>
      </c>
      <c r="U64" s="3163"/>
      <c r="V64" s="3163">
        <v>12</v>
      </c>
      <c r="W64" s="3163" t="s">
        <v>5194</v>
      </c>
      <c r="X64" s="3165" t="s">
        <v>5195</v>
      </c>
      <c r="Y64" s="3175">
        <f t="shared" si="1"/>
        <v>6000</v>
      </c>
      <c r="Z64" s="3163">
        <f>S64*V64</f>
        <v>6000000</v>
      </c>
      <c r="AA64" s="3166"/>
      <c r="AB64" s="915"/>
      <c r="AC64" s="930"/>
    </row>
    <row r="65" spans="1:29" s="931" customFormat="1" ht="22.5" customHeight="1">
      <c r="A65" s="673"/>
      <c r="B65" s="674"/>
      <c r="C65" s="948"/>
      <c r="D65" s="1981"/>
      <c r="E65" s="3560"/>
      <c r="F65" s="3561"/>
      <c r="G65" s="3561"/>
      <c r="H65" s="3562"/>
      <c r="I65" s="734"/>
      <c r="J65" s="943" t="s">
        <v>5198</v>
      </c>
      <c r="K65" s="944"/>
      <c r="L65" s="944"/>
      <c r="M65" s="944"/>
      <c r="N65" s="945"/>
      <c r="O65" s="944"/>
      <c r="P65" s="944"/>
      <c r="Q65" s="946" t="s">
        <v>5197</v>
      </c>
      <c r="R65" s="3163" t="s">
        <v>5199</v>
      </c>
      <c r="S65" s="3164">
        <v>1000000</v>
      </c>
      <c r="T65" s="3163" t="s">
        <v>5135</v>
      </c>
      <c r="U65" s="3163"/>
      <c r="V65" s="3163">
        <v>1</v>
      </c>
      <c r="W65" s="3163" t="s">
        <v>5172</v>
      </c>
      <c r="X65" s="3165" t="s">
        <v>5195</v>
      </c>
      <c r="Y65" s="3175">
        <f t="shared" si="1"/>
        <v>1000</v>
      </c>
      <c r="Z65" s="3163">
        <f>V65*S65</f>
        <v>1000000</v>
      </c>
      <c r="AA65" s="3166"/>
      <c r="AB65" s="915"/>
      <c r="AC65" s="930"/>
    </row>
    <row r="66" spans="1:29" s="709" customFormat="1" ht="22.5" customHeight="1">
      <c r="A66" s="673"/>
      <c r="B66" s="674"/>
      <c r="C66" s="948"/>
      <c r="D66" s="674"/>
      <c r="E66" s="971"/>
      <c r="F66" s="972"/>
      <c r="G66" s="972"/>
      <c r="H66" s="2062"/>
      <c r="I66" s="734"/>
      <c r="J66" s="1001" t="s">
        <v>5200</v>
      </c>
      <c r="K66" s="975"/>
      <c r="L66" s="975"/>
      <c r="M66" s="975"/>
      <c r="N66" s="976"/>
      <c r="O66" s="975"/>
      <c r="P66" s="975"/>
      <c r="Q66" s="977" t="s">
        <v>5197</v>
      </c>
      <c r="R66" s="978" t="s">
        <v>5199</v>
      </c>
      <c r="S66" s="979">
        <v>1350000</v>
      </c>
      <c r="T66" s="978" t="s">
        <v>5135</v>
      </c>
      <c r="U66" s="978"/>
      <c r="V66" s="978">
        <v>1</v>
      </c>
      <c r="W66" s="978" t="s">
        <v>5172</v>
      </c>
      <c r="X66" s="1025" t="s">
        <v>5195</v>
      </c>
      <c r="Y66" s="1029">
        <f t="shared" si="1"/>
        <v>1350</v>
      </c>
      <c r="Z66" s="3163">
        <f>V66*S66</f>
        <v>1350000</v>
      </c>
      <c r="AA66" s="3166"/>
      <c r="AB66" s="915"/>
      <c r="AC66" s="915"/>
    </row>
    <row r="67" spans="1:29" s="709" customFormat="1" ht="22.5" customHeight="1">
      <c r="A67" s="673"/>
      <c r="B67" s="674"/>
      <c r="C67" s="948"/>
      <c r="D67" s="674"/>
      <c r="E67" s="851" t="s">
        <v>2906</v>
      </c>
      <c r="F67" s="941">
        <f>ROUNDUP(+Z67/1000,0)</f>
        <v>681039</v>
      </c>
      <c r="G67" s="941">
        <v>681039</v>
      </c>
      <c r="H67" s="949"/>
      <c r="I67" s="734"/>
      <c r="J67" s="943" t="s">
        <v>2603</v>
      </c>
      <c r="K67" s="944"/>
      <c r="L67" s="944"/>
      <c r="M67" s="944"/>
      <c r="N67" s="945"/>
      <c r="O67" s="945"/>
      <c r="P67" s="944"/>
      <c r="Q67" s="946"/>
      <c r="R67" s="867"/>
      <c r="S67" s="867"/>
      <c r="T67" s="867"/>
      <c r="U67" s="867"/>
      <c r="V67" s="867"/>
      <c r="W67" s="867"/>
      <c r="X67" s="870"/>
      <c r="Y67" s="1028">
        <f t="shared" si="1"/>
        <v>681039</v>
      </c>
      <c r="Z67" s="867">
        <f>SUM(Z68:Z70)</f>
        <v>681039000</v>
      </c>
      <c r="AA67" s="3166"/>
      <c r="AB67" s="915"/>
      <c r="AC67" s="915"/>
    </row>
    <row r="68" spans="1:29" s="709" customFormat="1" ht="22.5" customHeight="1">
      <c r="A68" s="673"/>
      <c r="B68" s="674"/>
      <c r="C68" s="948"/>
      <c r="D68" s="674"/>
      <c r="E68" s="851"/>
      <c r="F68" s="941"/>
      <c r="G68" s="941"/>
      <c r="H68" s="949"/>
      <c r="I68" s="734"/>
      <c r="J68" s="943" t="s">
        <v>2907</v>
      </c>
      <c r="K68" s="1417"/>
      <c r="L68" s="1417"/>
      <c r="M68" s="1417"/>
      <c r="N68" s="945"/>
      <c r="O68" s="944"/>
      <c r="P68" s="944"/>
      <c r="Q68" s="946"/>
      <c r="R68" s="867"/>
      <c r="S68" s="868">
        <v>634500000</v>
      </c>
      <c r="T68" s="867" t="s">
        <v>2609</v>
      </c>
      <c r="U68" s="867"/>
      <c r="V68" s="867">
        <v>1</v>
      </c>
      <c r="W68" s="867" t="s">
        <v>2908</v>
      </c>
      <c r="X68" s="870" t="s">
        <v>2611</v>
      </c>
      <c r="Y68" s="1028">
        <f t="shared" si="1"/>
        <v>634500</v>
      </c>
      <c r="Z68" s="867">
        <f>S68*V68</f>
        <v>634500000</v>
      </c>
      <c r="AA68" s="3166"/>
      <c r="AB68" s="915"/>
      <c r="AC68" s="915"/>
    </row>
    <row r="69" spans="1:29" s="709" customFormat="1" ht="22.5" customHeight="1">
      <c r="A69" s="673"/>
      <c r="B69" s="674"/>
      <c r="C69" s="948"/>
      <c r="D69" s="674"/>
      <c r="E69" s="851"/>
      <c r="F69" s="941"/>
      <c r="G69" s="941"/>
      <c r="H69" s="949"/>
      <c r="I69" s="734"/>
      <c r="J69" s="943" t="s">
        <v>2909</v>
      </c>
      <c r="K69" s="1417"/>
      <c r="L69" s="1417"/>
      <c r="M69" s="1417"/>
      <c r="N69" s="945"/>
      <c r="O69" s="944"/>
      <c r="P69" s="944"/>
      <c r="Q69" s="946"/>
      <c r="R69" s="867"/>
      <c r="S69" s="868">
        <f>2800000+200000</f>
        <v>3000000</v>
      </c>
      <c r="T69" s="867" t="s">
        <v>2609</v>
      </c>
      <c r="U69" s="867"/>
      <c r="V69" s="867">
        <v>12</v>
      </c>
      <c r="W69" s="867" t="s">
        <v>2610</v>
      </c>
      <c r="X69" s="870" t="s">
        <v>2611</v>
      </c>
      <c r="Y69" s="1028">
        <f t="shared" si="1"/>
        <v>36000</v>
      </c>
      <c r="Z69" s="867">
        <f>S69*V69</f>
        <v>36000000</v>
      </c>
      <c r="AA69" s="3166"/>
      <c r="AB69" s="915"/>
      <c r="AC69" s="915"/>
    </row>
    <row r="70" spans="1:29" s="1419" customFormat="1" ht="22.5" customHeight="1">
      <c r="A70" s="673"/>
      <c r="B70" s="674"/>
      <c r="C70" s="948"/>
      <c r="D70" s="674"/>
      <c r="E70" s="851"/>
      <c r="F70" s="941"/>
      <c r="G70" s="941"/>
      <c r="H70" s="949"/>
      <c r="I70" s="1418"/>
      <c r="J70" s="943" t="s">
        <v>2910</v>
      </c>
      <c r="K70" s="944"/>
      <c r="L70" s="944"/>
      <c r="M70" s="944"/>
      <c r="N70" s="945"/>
      <c r="O70" s="944"/>
      <c r="P70" s="944"/>
      <c r="Q70" s="946"/>
      <c r="R70" s="867"/>
      <c r="S70" s="868">
        <f>5200000+269500-200000</f>
        <v>5269500</v>
      </c>
      <c r="T70" s="867" t="s">
        <v>2911</v>
      </c>
      <c r="U70" s="867"/>
      <c r="V70" s="867">
        <v>2</v>
      </c>
      <c r="W70" s="867" t="s">
        <v>2912</v>
      </c>
      <c r="X70" s="870" t="s">
        <v>2913</v>
      </c>
      <c r="Y70" s="1028">
        <f t="shared" si="1"/>
        <v>10539</v>
      </c>
      <c r="Z70" s="867">
        <f>S70*V70</f>
        <v>10539000</v>
      </c>
      <c r="AB70" s="720"/>
      <c r="AC70" s="720"/>
    </row>
    <row r="71" spans="1:29" s="931" customFormat="1" ht="22.5" customHeight="1">
      <c r="A71" s="673"/>
      <c r="B71" s="674"/>
      <c r="C71" s="948"/>
      <c r="D71" s="674"/>
      <c r="E71" s="852" t="s">
        <v>2914</v>
      </c>
      <c r="F71" s="956">
        <f>Y71</f>
        <v>20160</v>
      </c>
      <c r="G71" s="956">
        <v>20160</v>
      </c>
      <c r="H71" s="957"/>
      <c r="I71" s="734"/>
      <c r="J71" s="958" t="s">
        <v>2915</v>
      </c>
      <c r="K71" s="959"/>
      <c r="L71" s="959"/>
      <c r="M71" s="959"/>
      <c r="N71" s="961"/>
      <c r="O71" s="961"/>
      <c r="P71" s="959"/>
      <c r="Q71" s="962"/>
      <c r="R71" s="857"/>
      <c r="S71" s="857"/>
      <c r="T71" s="857"/>
      <c r="U71" s="857"/>
      <c r="V71" s="857"/>
      <c r="W71" s="857"/>
      <c r="X71" s="860"/>
      <c r="Y71" s="1036">
        <f>SUM(Y72:Y73)</f>
        <v>20160</v>
      </c>
      <c r="Z71" s="867">
        <f>SUM(Z72:Z73)</f>
        <v>20160000</v>
      </c>
      <c r="AA71" s="3166"/>
      <c r="AB71" s="915"/>
      <c r="AC71" s="930"/>
    </row>
    <row r="72" spans="1:29" s="931" customFormat="1" ht="22.5" customHeight="1">
      <c r="A72" s="673"/>
      <c r="B72" s="674"/>
      <c r="C72" s="948"/>
      <c r="D72" s="674"/>
      <c r="E72" s="851"/>
      <c r="F72" s="941"/>
      <c r="G72" s="941"/>
      <c r="H72" s="949"/>
      <c r="I72" s="734"/>
      <c r="J72" s="943" t="s">
        <v>2916</v>
      </c>
      <c r="K72" s="944"/>
      <c r="L72" s="944"/>
      <c r="M72" s="944"/>
      <c r="N72" s="945"/>
      <c r="O72" s="945"/>
      <c r="P72" s="944"/>
      <c r="Q72" s="946" t="s">
        <v>2917</v>
      </c>
      <c r="R72" s="867" t="s">
        <v>2918</v>
      </c>
      <c r="S72" s="868">
        <v>800000</v>
      </c>
      <c r="T72" s="867" t="s">
        <v>2911</v>
      </c>
      <c r="U72" s="867"/>
      <c r="V72" s="867">
        <v>12</v>
      </c>
      <c r="W72" s="867" t="s">
        <v>2919</v>
      </c>
      <c r="X72" s="870" t="s">
        <v>2913</v>
      </c>
      <c r="Y72" s="1028">
        <f t="shared" ref="Y72:Y81" si="3">+Z72/1000</f>
        <v>9600</v>
      </c>
      <c r="Z72" s="867">
        <f>S72*V72*Q72</f>
        <v>9600000</v>
      </c>
      <c r="AA72" s="3166"/>
      <c r="AB72" s="915"/>
      <c r="AC72" s="930"/>
    </row>
    <row r="73" spans="1:29" s="931" customFormat="1" ht="22.5" customHeight="1">
      <c r="A73" s="673"/>
      <c r="B73" s="674"/>
      <c r="C73" s="948"/>
      <c r="D73" s="674"/>
      <c r="E73" s="971"/>
      <c r="F73" s="972"/>
      <c r="G73" s="972"/>
      <c r="H73" s="973"/>
      <c r="I73" s="734"/>
      <c r="J73" s="1001" t="s">
        <v>2920</v>
      </c>
      <c r="K73" s="975"/>
      <c r="L73" s="975"/>
      <c r="M73" s="975"/>
      <c r="N73" s="976"/>
      <c r="O73" s="976"/>
      <c r="P73" s="975"/>
      <c r="Q73" s="977" t="s">
        <v>2921</v>
      </c>
      <c r="R73" s="978" t="s">
        <v>2918</v>
      </c>
      <c r="S73" s="979">
        <v>440000</v>
      </c>
      <c r="T73" s="978" t="s">
        <v>2911</v>
      </c>
      <c r="U73" s="978"/>
      <c r="V73" s="978">
        <v>12</v>
      </c>
      <c r="W73" s="978" t="s">
        <v>2922</v>
      </c>
      <c r="X73" s="1025" t="s">
        <v>2913</v>
      </c>
      <c r="Y73" s="1029">
        <f t="shared" si="3"/>
        <v>10560</v>
      </c>
      <c r="Z73" s="867">
        <f>S73*V73*Q73</f>
        <v>10560000</v>
      </c>
      <c r="AA73" s="3166"/>
      <c r="AB73" s="915"/>
      <c r="AC73" s="930"/>
    </row>
    <row r="74" spans="1:29" s="709" customFormat="1" ht="22.5" customHeight="1">
      <c r="A74" s="673"/>
      <c r="B74" s="674"/>
      <c r="C74" s="948"/>
      <c r="D74" s="674"/>
      <c r="E74" s="852" t="s">
        <v>2923</v>
      </c>
      <c r="F74" s="956">
        <f>ROUNDUP(+Z74/1000,0)</f>
        <v>14000</v>
      </c>
      <c r="G74" s="956">
        <v>14000</v>
      </c>
      <c r="H74" s="957"/>
      <c r="I74" s="734"/>
      <c r="J74" s="958" t="s">
        <v>2915</v>
      </c>
      <c r="K74" s="959"/>
      <c r="L74" s="959"/>
      <c r="M74" s="959"/>
      <c r="N74" s="961"/>
      <c r="O74" s="961"/>
      <c r="P74" s="959"/>
      <c r="Q74" s="962"/>
      <c r="R74" s="857"/>
      <c r="S74" s="857"/>
      <c r="T74" s="857"/>
      <c r="U74" s="857"/>
      <c r="V74" s="857"/>
      <c r="W74" s="857"/>
      <c r="X74" s="860"/>
      <c r="Y74" s="1036">
        <f t="shared" si="3"/>
        <v>13999.999999999993</v>
      </c>
      <c r="Z74" s="867">
        <f>SUM(Z75:Z76)</f>
        <v>13999999.999999993</v>
      </c>
      <c r="AA74" s="3166"/>
      <c r="AB74" s="915"/>
      <c r="AC74" s="915"/>
    </row>
    <row r="75" spans="1:29" s="709" customFormat="1" ht="22.5" customHeight="1">
      <c r="A75" s="673"/>
      <c r="B75" s="674"/>
      <c r="C75" s="948"/>
      <c r="D75" s="674"/>
      <c r="E75" s="851"/>
      <c r="F75" s="941"/>
      <c r="G75" s="941"/>
      <c r="H75" s="949"/>
      <c r="I75" s="734"/>
      <c r="J75" s="943" t="s">
        <v>2924</v>
      </c>
      <c r="K75" s="944"/>
      <c r="L75" s="944"/>
      <c r="M75" s="944"/>
      <c r="N75" s="945"/>
      <c r="O75" s="944"/>
      <c r="P75" s="944"/>
      <c r="Q75" s="946">
        <v>1</v>
      </c>
      <c r="R75" s="867" t="s">
        <v>2925</v>
      </c>
      <c r="S75" s="868">
        <v>591666.66666666605</v>
      </c>
      <c r="T75" s="867" t="s">
        <v>2911</v>
      </c>
      <c r="U75" s="867"/>
      <c r="V75" s="867">
        <v>12</v>
      </c>
      <c r="W75" s="867" t="s">
        <v>2919</v>
      </c>
      <c r="X75" s="870" t="s">
        <v>2913</v>
      </c>
      <c r="Y75" s="1028">
        <f t="shared" si="3"/>
        <v>7099.9999999999927</v>
      </c>
      <c r="Z75" s="867">
        <f>S75*Q75*V75</f>
        <v>7099999.9999999925</v>
      </c>
      <c r="AA75" s="3166"/>
      <c r="AB75" s="915"/>
      <c r="AC75" s="915"/>
    </row>
    <row r="76" spans="1:29" s="709" customFormat="1" ht="22.5" customHeight="1">
      <c r="A76" s="673"/>
      <c r="B76" s="674"/>
      <c r="C76" s="948"/>
      <c r="D76" s="674"/>
      <c r="E76" s="851"/>
      <c r="F76" s="941"/>
      <c r="G76" s="941"/>
      <c r="H76" s="949"/>
      <c r="I76" s="734"/>
      <c r="J76" s="943" t="s">
        <v>2926</v>
      </c>
      <c r="K76" s="944"/>
      <c r="L76" s="944"/>
      <c r="M76" s="944"/>
      <c r="N76" s="945"/>
      <c r="O76" s="944"/>
      <c r="P76" s="944"/>
      <c r="Q76" s="946" t="s">
        <v>2921</v>
      </c>
      <c r="R76" s="867" t="s">
        <v>2925</v>
      </c>
      <c r="S76" s="868">
        <v>287500</v>
      </c>
      <c r="T76" s="867" t="s">
        <v>2911</v>
      </c>
      <c r="U76" s="867"/>
      <c r="V76" s="867">
        <v>12</v>
      </c>
      <c r="W76" s="867" t="s">
        <v>2</v>
      </c>
      <c r="X76" s="870" t="s">
        <v>2913</v>
      </c>
      <c r="Y76" s="1028">
        <f t="shared" si="3"/>
        <v>6900</v>
      </c>
      <c r="Z76" s="867">
        <f>S76*V76*Q76</f>
        <v>6900000</v>
      </c>
      <c r="AA76" s="3166"/>
      <c r="AB76" s="915"/>
      <c r="AC76" s="915"/>
    </row>
    <row r="77" spans="1:29" s="709" customFormat="1" ht="22.5" customHeight="1">
      <c r="A77" s="673"/>
      <c r="B77" s="674"/>
      <c r="C77" s="948"/>
      <c r="D77" s="674"/>
      <c r="E77" s="852" t="s">
        <v>2927</v>
      </c>
      <c r="F77" s="956">
        <f>ROUNDUP(+Z77/1000,0)</f>
        <v>20880</v>
      </c>
      <c r="G77" s="956">
        <v>20880</v>
      </c>
      <c r="H77" s="957"/>
      <c r="I77" s="734"/>
      <c r="J77" s="958" t="s">
        <v>2915</v>
      </c>
      <c r="K77" s="959"/>
      <c r="L77" s="959"/>
      <c r="M77" s="959"/>
      <c r="N77" s="961"/>
      <c r="O77" s="959"/>
      <c r="P77" s="959"/>
      <c r="Q77" s="962"/>
      <c r="R77" s="857"/>
      <c r="S77" s="858"/>
      <c r="T77" s="857"/>
      <c r="U77" s="857"/>
      <c r="V77" s="857"/>
      <c r="W77" s="857"/>
      <c r="X77" s="860"/>
      <c r="Y77" s="1036">
        <f t="shared" si="3"/>
        <v>20880</v>
      </c>
      <c r="Z77" s="867">
        <f>SUM(Z78:Z81)</f>
        <v>20880000</v>
      </c>
      <c r="AA77" s="3166"/>
      <c r="AB77" s="915"/>
      <c r="AC77" s="915"/>
    </row>
    <row r="78" spans="1:29" s="709" customFormat="1" ht="22.5" customHeight="1">
      <c r="A78" s="673"/>
      <c r="B78" s="674"/>
      <c r="C78" s="948"/>
      <c r="D78" s="674"/>
      <c r="E78" s="1420"/>
      <c r="F78" s="941"/>
      <c r="G78" s="941"/>
      <c r="H78" s="949"/>
      <c r="I78" s="734"/>
      <c r="J78" s="943" t="s">
        <v>2928</v>
      </c>
      <c r="K78" s="944"/>
      <c r="L78" s="944"/>
      <c r="M78" s="944"/>
      <c r="N78" s="945"/>
      <c r="O78" s="944"/>
      <c r="P78" s="944"/>
      <c r="Q78" s="946"/>
      <c r="R78" s="867"/>
      <c r="S78" s="868">
        <v>100000</v>
      </c>
      <c r="T78" s="867" t="s">
        <v>2911</v>
      </c>
      <c r="U78" s="867"/>
      <c r="V78" s="867">
        <v>12</v>
      </c>
      <c r="W78" s="867" t="s">
        <v>2919</v>
      </c>
      <c r="X78" s="870" t="s">
        <v>2913</v>
      </c>
      <c r="Y78" s="1028">
        <f t="shared" si="3"/>
        <v>1200</v>
      </c>
      <c r="Z78" s="867">
        <f>S78*V78</f>
        <v>1200000</v>
      </c>
      <c r="AA78" s="3166"/>
      <c r="AB78" s="915"/>
      <c r="AC78" s="915"/>
    </row>
    <row r="79" spans="1:29" s="709" customFormat="1" ht="22.5" customHeight="1">
      <c r="A79" s="673"/>
      <c r="B79" s="674"/>
      <c r="C79" s="948"/>
      <c r="D79" s="674"/>
      <c r="E79" s="851"/>
      <c r="F79" s="941"/>
      <c r="G79" s="941"/>
      <c r="H79" s="949"/>
      <c r="I79" s="734"/>
      <c r="J79" s="943" t="s">
        <v>2929</v>
      </c>
      <c r="K79" s="944"/>
      <c r="L79" s="944"/>
      <c r="M79" s="944"/>
      <c r="N79" s="945"/>
      <c r="O79" s="944"/>
      <c r="P79" s="944"/>
      <c r="Q79" s="946"/>
      <c r="R79" s="867"/>
      <c r="S79" s="868">
        <v>1500000</v>
      </c>
      <c r="T79" s="867" t="s">
        <v>2911</v>
      </c>
      <c r="U79" s="867"/>
      <c r="V79" s="867">
        <v>12</v>
      </c>
      <c r="W79" s="867" t="s">
        <v>2919</v>
      </c>
      <c r="X79" s="870" t="s">
        <v>2913</v>
      </c>
      <c r="Y79" s="1028">
        <f t="shared" si="3"/>
        <v>18000</v>
      </c>
      <c r="Z79" s="867">
        <f>S79*V79</f>
        <v>18000000</v>
      </c>
      <c r="AA79" s="3166"/>
      <c r="AB79" s="915"/>
      <c r="AC79" s="915"/>
    </row>
    <row r="80" spans="1:29" s="709" customFormat="1" ht="22.5" customHeight="1">
      <c r="A80" s="673"/>
      <c r="B80" s="674"/>
      <c r="C80" s="948"/>
      <c r="D80" s="674"/>
      <c r="E80" s="851"/>
      <c r="F80" s="941"/>
      <c r="G80" s="941"/>
      <c r="H80" s="949"/>
      <c r="I80" s="734"/>
      <c r="J80" s="943" t="s">
        <v>2930</v>
      </c>
      <c r="K80" s="944"/>
      <c r="L80" s="944"/>
      <c r="M80" s="944"/>
      <c r="N80" s="945"/>
      <c r="O80" s="944"/>
      <c r="P80" s="944"/>
      <c r="Q80" s="946"/>
      <c r="R80" s="867"/>
      <c r="S80" s="868">
        <v>80000</v>
      </c>
      <c r="T80" s="867" t="s">
        <v>2911</v>
      </c>
      <c r="U80" s="867"/>
      <c r="V80" s="867">
        <v>12</v>
      </c>
      <c r="W80" s="867" t="s">
        <v>2919</v>
      </c>
      <c r="X80" s="870" t="s">
        <v>2913</v>
      </c>
      <c r="Y80" s="1028">
        <f t="shared" si="3"/>
        <v>960</v>
      </c>
      <c r="Z80" s="867">
        <f>S80*V80</f>
        <v>960000</v>
      </c>
      <c r="AA80" s="3166"/>
      <c r="AB80" s="915"/>
      <c r="AC80" s="915"/>
    </row>
    <row r="81" spans="1:29" s="709" customFormat="1" ht="22.5" customHeight="1">
      <c r="A81" s="673"/>
      <c r="B81" s="674"/>
      <c r="C81" s="948"/>
      <c r="D81" s="674"/>
      <c r="E81" s="851"/>
      <c r="F81" s="941"/>
      <c r="G81" s="941"/>
      <c r="H81" s="949"/>
      <c r="I81" s="734"/>
      <c r="J81" s="943" t="s">
        <v>2931</v>
      </c>
      <c r="K81" s="944"/>
      <c r="L81" s="944"/>
      <c r="M81" s="944"/>
      <c r="N81" s="945"/>
      <c r="O81" s="944"/>
      <c r="P81" s="944"/>
      <c r="Q81" s="946">
        <v>1</v>
      </c>
      <c r="R81" s="867" t="s">
        <v>2932</v>
      </c>
      <c r="S81" s="868">
        <v>60000</v>
      </c>
      <c r="T81" s="867" t="s">
        <v>2911</v>
      </c>
      <c r="U81" s="867"/>
      <c r="V81" s="867">
        <v>12</v>
      </c>
      <c r="W81" s="867" t="s">
        <v>2919</v>
      </c>
      <c r="X81" s="870" t="s">
        <v>2913</v>
      </c>
      <c r="Y81" s="1028">
        <f t="shared" si="3"/>
        <v>720</v>
      </c>
      <c r="Z81" s="867">
        <f>ROUNDUP(S81*Q81*V81,-3)</f>
        <v>720000</v>
      </c>
      <c r="AA81" s="3166"/>
      <c r="AB81" s="915"/>
      <c r="AC81" s="915"/>
    </row>
    <row r="82" spans="1:29" s="931" customFormat="1" ht="22.5" customHeight="1">
      <c r="A82" s="673"/>
      <c r="B82" s="674"/>
      <c r="C82" s="948"/>
      <c r="D82" s="1981"/>
      <c r="E82" s="1003" t="s">
        <v>2933</v>
      </c>
      <c r="F82" s="955">
        <f>ROUNDUP(+Z82/1000,0)</f>
        <v>2000</v>
      </c>
      <c r="G82" s="955">
        <v>2000</v>
      </c>
      <c r="H82" s="1421"/>
      <c r="I82" s="734"/>
      <c r="J82" s="1005" t="s">
        <v>2934</v>
      </c>
      <c r="K82" s="1006"/>
      <c r="L82" s="1006"/>
      <c r="M82" s="1006"/>
      <c r="N82" s="1007"/>
      <c r="O82" s="1007"/>
      <c r="P82" s="1006"/>
      <c r="Q82" s="1008" t="s">
        <v>2935</v>
      </c>
      <c r="R82" s="1009" t="s">
        <v>2936</v>
      </c>
      <c r="S82" s="1010">
        <v>10000</v>
      </c>
      <c r="T82" s="1009" t="s">
        <v>2911</v>
      </c>
      <c r="U82" s="1009"/>
      <c r="V82" s="1009">
        <v>10</v>
      </c>
      <c r="W82" s="1009" t="s">
        <v>2937</v>
      </c>
      <c r="X82" s="1422" t="s">
        <v>2913</v>
      </c>
      <c r="Y82" s="939">
        <f>+Z82/1000</f>
        <v>2000</v>
      </c>
      <c r="Z82" s="867">
        <f>SUM(Q82*S82*V82)</f>
        <v>2000000</v>
      </c>
      <c r="AA82" s="3166"/>
      <c r="AB82" s="915"/>
      <c r="AC82" s="930"/>
    </row>
    <row r="83" spans="1:29" s="709" customFormat="1" ht="22.5" customHeight="1">
      <c r="A83" s="673"/>
      <c r="B83" s="674"/>
      <c r="C83" s="948"/>
      <c r="D83" s="3955" t="s">
        <v>2938</v>
      </c>
      <c r="E83" s="3883"/>
      <c r="F83" s="932">
        <f>SUM(F84:F84)</f>
        <v>10400</v>
      </c>
      <c r="G83" s="932">
        <v>10400</v>
      </c>
      <c r="H83" s="933">
        <f>F83-G83</f>
        <v>0</v>
      </c>
      <c r="I83" s="734"/>
      <c r="J83" s="1031"/>
      <c r="K83" s="1032"/>
      <c r="L83" s="1032"/>
      <c r="M83" s="1032"/>
      <c r="N83" s="1032"/>
      <c r="O83" s="1032"/>
      <c r="P83" s="1032"/>
      <c r="Q83" s="937"/>
      <c r="R83" s="1033"/>
      <c r="S83" s="1973"/>
      <c r="T83" s="1033"/>
      <c r="U83" s="1973"/>
      <c r="V83" s="1033"/>
      <c r="W83" s="1973"/>
      <c r="X83" s="1973"/>
      <c r="Y83" s="939"/>
      <c r="Z83" s="736">
        <f>+Z84</f>
        <v>0</v>
      </c>
      <c r="AA83" s="3166"/>
      <c r="AB83" s="915"/>
      <c r="AC83" s="915"/>
    </row>
    <row r="84" spans="1:29" s="931" customFormat="1" ht="22.5" customHeight="1">
      <c r="A84" s="673"/>
      <c r="B84" s="674"/>
      <c r="C84" s="948"/>
      <c r="D84" s="1034"/>
      <c r="E84" s="1034" t="s">
        <v>2939</v>
      </c>
      <c r="F84" s="1423">
        <f>+Y84</f>
        <v>10400</v>
      </c>
      <c r="G84" s="1423">
        <v>10400</v>
      </c>
      <c r="H84" s="942"/>
      <c r="I84" s="1418"/>
      <c r="J84" s="1012" t="s">
        <v>2940</v>
      </c>
      <c r="K84" s="1424"/>
      <c r="L84" s="1424"/>
      <c r="M84" s="1424"/>
      <c r="N84" s="960"/>
      <c r="O84" s="960"/>
      <c r="P84" s="960"/>
      <c r="Q84" s="1425"/>
      <c r="R84" s="1426"/>
      <c r="S84" s="868"/>
      <c r="T84" s="1037"/>
      <c r="U84" s="1037"/>
      <c r="V84" s="1037"/>
      <c r="W84" s="1037"/>
      <c r="X84" s="870"/>
      <c r="Y84" s="1036">
        <f>SUM(Y85:Y86)</f>
        <v>10400</v>
      </c>
      <c r="Z84" s="993">
        <f>S84*V84</f>
        <v>0</v>
      </c>
      <c r="AA84" s="3166"/>
      <c r="AB84" s="915"/>
      <c r="AC84" s="930"/>
    </row>
    <row r="85" spans="1:29" s="931" customFormat="1" ht="22.5" customHeight="1">
      <c r="A85" s="673"/>
      <c r="B85" s="674"/>
      <c r="C85" s="948"/>
      <c r="D85" s="674"/>
      <c r="E85" s="1420"/>
      <c r="F85" s="941"/>
      <c r="G85" s="941"/>
      <c r="H85" s="949"/>
      <c r="I85" s="1418"/>
      <c r="J85" s="1002" t="s">
        <v>2941</v>
      </c>
      <c r="K85" s="953"/>
      <c r="L85" s="953"/>
      <c r="M85" s="953"/>
      <c r="N85" s="951"/>
      <c r="O85" s="951"/>
      <c r="P85" s="951"/>
      <c r="Q85" s="992"/>
      <c r="R85" s="685"/>
      <c r="S85" s="868">
        <v>800000</v>
      </c>
      <c r="T85" s="684" t="s">
        <v>2911</v>
      </c>
      <c r="U85" s="684" t="s">
        <v>2942</v>
      </c>
      <c r="V85" s="684">
        <v>10</v>
      </c>
      <c r="W85" s="684" t="s">
        <v>2943</v>
      </c>
      <c r="X85" s="870" t="s">
        <v>2913</v>
      </c>
      <c r="Y85" s="1028">
        <f>Z85/1000</f>
        <v>8000</v>
      </c>
      <c r="Z85" s="867">
        <f>S85*V85</f>
        <v>8000000</v>
      </c>
      <c r="AA85" s="3166"/>
      <c r="AB85" s="915"/>
      <c r="AC85" s="930"/>
    </row>
    <row r="86" spans="1:29" s="931" customFormat="1" ht="22.5" customHeight="1" thickBot="1">
      <c r="A86" s="673"/>
      <c r="B86" s="674"/>
      <c r="C86" s="1212"/>
      <c r="D86" s="1264"/>
      <c r="E86" s="1427"/>
      <c r="F86" s="1428"/>
      <c r="G86" s="1428"/>
      <c r="H86" s="1429"/>
      <c r="I86" s="1418"/>
      <c r="J86" s="1043" t="s">
        <v>2944</v>
      </c>
      <c r="K86" s="1044"/>
      <c r="L86" s="1044"/>
      <c r="M86" s="1044"/>
      <c r="N86" s="1045"/>
      <c r="O86" s="1045"/>
      <c r="P86" s="1045"/>
      <c r="Q86" s="1046"/>
      <c r="R86" s="1047"/>
      <c r="S86" s="1430">
        <v>300000</v>
      </c>
      <c r="T86" s="1049" t="s">
        <v>2911</v>
      </c>
      <c r="U86" s="1049"/>
      <c r="V86" s="1049">
        <v>8</v>
      </c>
      <c r="W86" s="1049" t="s">
        <v>2945</v>
      </c>
      <c r="X86" s="1272" t="s">
        <v>2913</v>
      </c>
      <c r="Y86" s="1051">
        <f t="shared" ref="Y86" si="4">Z86/1000</f>
        <v>2400</v>
      </c>
      <c r="Z86" s="867">
        <f>S86*V86</f>
        <v>2400000</v>
      </c>
      <c r="AA86" s="3166"/>
      <c r="AB86" s="915"/>
      <c r="AC86" s="930"/>
    </row>
    <row r="87" spans="1:29" s="1440" customFormat="1" ht="20.100000000000001" customHeight="1" thickBot="1">
      <c r="A87" s="1431" t="s">
        <v>2942</v>
      </c>
      <c r="B87" s="1432"/>
      <c r="C87" s="4020" t="s">
        <v>2946</v>
      </c>
      <c r="D87" s="4020"/>
      <c r="E87" s="4021"/>
      <c r="F87" s="1391">
        <f>+F88+F135+F203+F254+F281+F332+F403</f>
        <v>1099818.03</v>
      </c>
      <c r="G87" s="1391">
        <v>1076000</v>
      </c>
      <c r="H87" s="1392">
        <f>+F87-G87</f>
        <v>23818.030000000028</v>
      </c>
      <c r="I87" s="734"/>
      <c r="J87" s="1433"/>
      <c r="K87" s="901"/>
      <c r="L87" s="1434"/>
      <c r="M87" s="1434"/>
      <c r="N87" s="1434"/>
      <c r="O87" s="1434"/>
      <c r="P87" s="1434"/>
      <c r="Q87" s="1435"/>
      <c r="R87" s="1435"/>
      <c r="S87" s="1434"/>
      <c r="T87" s="1434"/>
      <c r="U87" s="1434"/>
      <c r="V87" s="1434"/>
      <c r="W87" s="1434"/>
      <c r="X87" s="1436"/>
      <c r="Y87" s="1437"/>
      <c r="Z87" s="1676"/>
      <c r="AA87" s="1073">
        <f>F87*1000000</f>
        <v>1099818030000</v>
      </c>
      <c r="AB87" s="1439"/>
      <c r="AC87" s="1439"/>
    </row>
    <row r="88" spans="1:29" s="931" customFormat="1" ht="20.100000000000001" customHeight="1">
      <c r="A88" s="673"/>
      <c r="B88" s="674"/>
      <c r="C88" s="1093" t="s">
        <v>2947</v>
      </c>
      <c r="D88" s="1093"/>
      <c r="E88" s="1954"/>
      <c r="F88" s="1441">
        <f>+F89+F103+F111</f>
        <v>63000</v>
      </c>
      <c r="G88" s="1441">
        <f>G89+G103+G111</f>
        <v>63000</v>
      </c>
      <c r="H88" s="1208">
        <f>F88-G88</f>
        <v>0</v>
      </c>
      <c r="I88" s="734"/>
      <c r="J88" s="991"/>
      <c r="K88" s="1411"/>
      <c r="L88" s="1411"/>
      <c r="M88" s="1411"/>
      <c r="N88" s="1415"/>
      <c r="O88" s="1415"/>
      <c r="P88" s="1415"/>
      <c r="Q88" s="977"/>
      <c r="R88" s="978"/>
      <c r="S88" s="979"/>
      <c r="T88" s="978"/>
      <c r="U88" s="978"/>
      <c r="V88" s="978"/>
      <c r="W88" s="978"/>
      <c r="X88" s="1025"/>
      <c r="Y88" s="1029"/>
      <c r="Z88" s="1207"/>
      <c r="AA88" s="1073">
        <f t="shared" ref="AA88:AA153" si="5">F88*1000000</f>
        <v>63000000000</v>
      </c>
      <c r="AB88" s="930"/>
      <c r="AC88" s="930"/>
    </row>
    <row r="89" spans="1:29" s="709" customFormat="1" ht="20.100000000000001" customHeight="1">
      <c r="A89" s="673"/>
      <c r="B89" s="674"/>
      <c r="C89" s="948"/>
      <c r="D89" s="3955" t="s">
        <v>2948</v>
      </c>
      <c r="E89" s="3883"/>
      <c r="F89" s="1442">
        <f>SUM(F90:F102)</f>
        <v>13000</v>
      </c>
      <c r="G89" s="955">
        <f>SUM(G90:G102)</f>
        <v>13000</v>
      </c>
      <c r="H89" s="933">
        <f>SUM(H90:H102)</f>
        <v>0</v>
      </c>
      <c r="I89" s="734"/>
      <c r="J89" s="1031"/>
      <c r="K89" s="1032"/>
      <c r="L89" s="1032"/>
      <c r="M89" s="1032"/>
      <c r="N89" s="1032"/>
      <c r="O89" s="1032"/>
      <c r="P89" s="1032"/>
      <c r="Q89" s="937"/>
      <c r="R89" s="1443"/>
      <c r="S89" s="1973"/>
      <c r="T89" s="1443"/>
      <c r="U89" s="1973"/>
      <c r="V89" s="1443"/>
      <c r="W89" s="1973"/>
      <c r="X89" s="1973"/>
      <c r="Y89" s="939"/>
      <c r="Z89" s="1677">
        <f>Z90+Z91+Z92+Z93+Z100+Z101+Z102</f>
        <v>10000000</v>
      </c>
      <c r="AA89" s="1073">
        <f t="shared" si="5"/>
        <v>13000000000</v>
      </c>
      <c r="AB89" s="915"/>
      <c r="AC89" s="915"/>
    </row>
    <row r="90" spans="1:29" s="709" customFormat="1" ht="20.100000000000001" customHeight="1">
      <c r="A90" s="673"/>
      <c r="B90" s="674"/>
      <c r="C90" s="948"/>
      <c r="D90" s="675"/>
      <c r="E90" s="675" t="s">
        <v>5020</v>
      </c>
      <c r="F90" s="1414">
        <f>ROUNDUP(+Z90/1000,0)</f>
        <v>0</v>
      </c>
      <c r="G90" s="1261">
        <v>7000</v>
      </c>
      <c r="H90" s="3169">
        <f>F90-G90</f>
        <v>-7000</v>
      </c>
      <c r="I90" s="734"/>
      <c r="J90" s="943" t="s">
        <v>6126</v>
      </c>
      <c r="K90" s="3172"/>
      <c r="L90" s="3172"/>
      <c r="M90" s="3172"/>
      <c r="N90" s="3171"/>
      <c r="O90" s="3171"/>
      <c r="P90" s="3171"/>
      <c r="Q90" s="992"/>
      <c r="R90" s="3524"/>
      <c r="S90" s="1038"/>
      <c r="T90" s="684"/>
      <c r="U90" s="684"/>
      <c r="V90" s="684"/>
      <c r="W90" s="684"/>
      <c r="X90" s="686"/>
      <c r="Y90" s="3175"/>
      <c r="Z90" s="993"/>
      <c r="AA90" s="1073"/>
      <c r="AB90" s="915"/>
      <c r="AC90" s="915"/>
    </row>
    <row r="91" spans="1:29" s="709" customFormat="1" ht="20.100000000000001" customHeight="1">
      <c r="A91" s="673"/>
      <c r="B91" s="674"/>
      <c r="C91" s="948"/>
      <c r="D91" s="675"/>
      <c r="E91" s="675" t="s">
        <v>80</v>
      </c>
      <c r="F91" s="1414">
        <f>ROUNDUP(Z91/1000,0)</f>
        <v>350</v>
      </c>
      <c r="G91" s="1261">
        <v>150</v>
      </c>
      <c r="H91" s="1239">
        <f>F91-G91</f>
        <v>200</v>
      </c>
      <c r="I91" s="734"/>
      <c r="J91" s="3174" t="s">
        <v>597</v>
      </c>
      <c r="K91" s="3172"/>
      <c r="L91" s="3172"/>
      <c r="M91" s="3172"/>
      <c r="N91" s="3171"/>
      <c r="O91" s="3171"/>
      <c r="P91" s="3171"/>
      <c r="Q91" s="992"/>
      <c r="R91" s="3524"/>
      <c r="S91" s="3164">
        <v>350000</v>
      </c>
      <c r="T91" s="3163" t="s">
        <v>5004</v>
      </c>
      <c r="U91" s="3163"/>
      <c r="V91" s="3163">
        <v>1</v>
      </c>
      <c r="W91" s="3163" t="s">
        <v>5012</v>
      </c>
      <c r="X91" s="3165" t="s">
        <v>5006</v>
      </c>
      <c r="Y91" s="3175">
        <f t="shared" ref="Y91:Y102" si="6">+Z91/1000</f>
        <v>350</v>
      </c>
      <c r="Z91" s="3163">
        <f>S91*V91</f>
        <v>350000</v>
      </c>
      <c r="AA91" s="1073">
        <f t="shared" si="5"/>
        <v>350000000</v>
      </c>
      <c r="AB91" s="915"/>
      <c r="AC91" s="915"/>
    </row>
    <row r="92" spans="1:29" s="709" customFormat="1" ht="20.100000000000001" customHeight="1">
      <c r="A92" s="673"/>
      <c r="B92" s="674"/>
      <c r="C92" s="948"/>
      <c r="D92" s="692"/>
      <c r="E92" s="675" t="s">
        <v>95</v>
      </c>
      <c r="F92" s="941">
        <f>ROUNDUP(+Z92/1000,0)</f>
        <v>6150</v>
      </c>
      <c r="G92" s="1261">
        <v>200</v>
      </c>
      <c r="H92" s="1239">
        <f>F92-G92</f>
        <v>5950</v>
      </c>
      <c r="I92" s="734"/>
      <c r="J92" s="943" t="s">
        <v>5027</v>
      </c>
      <c r="K92" s="3172"/>
      <c r="L92" s="3172"/>
      <c r="M92" s="3172"/>
      <c r="N92" s="3171"/>
      <c r="O92" s="3171"/>
      <c r="P92" s="3171"/>
      <c r="Q92" s="992"/>
      <c r="R92" s="3524"/>
      <c r="S92" s="3524" t="s">
        <v>5028</v>
      </c>
      <c r="T92" s="684" t="s">
        <v>5028</v>
      </c>
      <c r="U92" s="684" t="s">
        <v>5028</v>
      </c>
      <c r="V92" s="684" t="s">
        <v>5028</v>
      </c>
      <c r="W92" s="684" t="s">
        <v>5028</v>
      </c>
      <c r="X92" s="686" t="s">
        <v>5028</v>
      </c>
      <c r="Y92" s="3175">
        <f t="shared" si="6"/>
        <v>6150</v>
      </c>
      <c r="Z92" s="993">
        <f>SUM(Z93:Z95)</f>
        <v>6150000</v>
      </c>
      <c r="AA92" s="1073">
        <f t="shared" si="5"/>
        <v>6150000000</v>
      </c>
      <c r="AB92" s="915"/>
      <c r="AC92" s="915"/>
    </row>
    <row r="93" spans="1:29" s="709" customFormat="1" ht="20.100000000000001" customHeight="1">
      <c r="A93" s="673"/>
      <c r="B93" s="674"/>
      <c r="C93" s="948"/>
      <c r="D93" s="675"/>
      <c r="E93" s="675"/>
      <c r="F93" s="1414"/>
      <c r="G93" s="1261"/>
      <c r="H93" s="1239"/>
      <c r="I93" s="734"/>
      <c r="J93" s="3174" t="s">
        <v>5029</v>
      </c>
      <c r="K93" s="3172"/>
      <c r="L93" s="3172"/>
      <c r="M93" s="3172"/>
      <c r="N93" s="3171"/>
      <c r="O93" s="3171"/>
      <c r="P93" s="3171"/>
      <c r="Q93" s="946" t="s">
        <v>5030</v>
      </c>
      <c r="R93" s="3163" t="s">
        <v>5031</v>
      </c>
      <c r="S93" s="3164">
        <v>1500000</v>
      </c>
      <c r="T93" s="3163" t="s">
        <v>5004</v>
      </c>
      <c r="U93" s="3163"/>
      <c r="V93" s="3163">
        <v>2</v>
      </c>
      <c r="W93" s="3163" t="s">
        <v>5012</v>
      </c>
      <c r="X93" s="3165" t="s">
        <v>5006</v>
      </c>
      <c r="Y93" s="3175">
        <f t="shared" si="6"/>
        <v>3000</v>
      </c>
      <c r="Z93" s="3163">
        <f>Q93*S93*V93</f>
        <v>3000000</v>
      </c>
      <c r="AA93" s="1073">
        <f t="shared" si="5"/>
        <v>0</v>
      </c>
      <c r="AB93" s="915"/>
      <c r="AC93" s="915"/>
    </row>
    <row r="94" spans="1:29" s="931" customFormat="1" ht="20.100000000000001" customHeight="1">
      <c r="A94" s="791"/>
      <c r="B94" s="675"/>
      <c r="C94" s="948"/>
      <c r="D94" s="709"/>
      <c r="E94" s="675"/>
      <c r="F94" s="1444"/>
      <c r="G94" s="1261"/>
      <c r="H94" s="1239"/>
      <c r="I94" s="734"/>
      <c r="J94" s="3174" t="s">
        <v>5032</v>
      </c>
      <c r="K94" s="3172"/>
      <c r="L94" s="3172"/>
      <c r="M94" s="3172"/>
      <c r="N94" s="3171"/>
      <c r="O94" s="3171"/>
      <c r="P94" s="3171"/>
      <c r="Q94" s="946" t="s">
        <v>587</v>
      </c>
      <c r="R94" s="3163" t="s">
        <v>5031</v>
      </c>
      <c r="S94" s="3164">
        <v>150000</v>
      </c>
      <c r="T94" s="3163" t="s">
        <v>5004</v>
      </c>
      <c r="U94" s="3163"/>
      <c r="V94" s="3163">
        <v>10</v>
      </c>
      <c r="W94" s="3163" t="s">
        <v>5033</v>
      </c>
      <c r="X94" s="3165" t="s">
        <v>5006</v>
      </c>
      <c r="Y94" s="3175">
        <f t="shared" si="6"/>
        <v>1500</v>
      </c>
      <c r="Z94" s="3163">
        <f>Q94*S94*V94</f>
        <v>1500000</v>
      </c>
      <c r="AA94" s="1073">
        <f t="shared" si="5"/>
        <v>0</v>
      </c>
      <c r="AB94" s="930"/>
      <c r="AC94" s="930"/>
    </row>
    <row r="95" spans="1:29" s="931" customFormat="1" ht="20.100000000000001" customHeight="1">
      <c r="A95" s="791"/>
      <c r="B95" s="675"/>
      <c r="C95" s="3170"/>
      <c r="D95" s="3372"/>
      <c r="E95" s="675"/>
      <c r="F95" s="1444"/>
      <c r="G95" s="1261"/>
      <c r="H95" s="1239"/>
      <c r="I95" s="734"/>
      <c r="J95" s="3174" t="s">
        <v>5034</v>
      </c>
      <c r="K95" s="3172"/>
      <c r="L95" s="3172"/>
      <c r="M95" s="3172"/>
      <c r="N95" s="3171"/>
      <c r="O95" s="3171"/>
      <c r="P95" s="3171"/>
      <c r="Q95" s="946" t="s">
        <v>587</v>
      </c>
      <c r="R95" s="3163" t="s">
        <v>5031</v>
      </c>
      <c r="S95" s="3164">
        <v>150000</v>
      </c>
      <c r="T95" s="3163" t="s">
        <v>5004</v>
      </c>
      <c r="U95" s="3163"/>
      <c r="V95" s="3163">
        <v>11</v>
      </c>
      <c r="W95" s="3163" t="s">
        <v>5033</v>
      </c>
      <c r="X95" s="3165" t="s">
        <v>5006</v>
      </c>
      <c r="Y95" s="3175">
        <f t="shared" si="6"/>
        <v>1650</v>
      </c>
      <c r="Z95" s="3163">
        <f>Q95*S95*V95</f>
        <v>1650000</v>
      </c>
      <c r="AA95" s="1073">
        <f t="shared" si="5"/>
        <v>0</v>
      </c>
      <c r="AB95" s="930"/>
      <c r="AC95" s="930"/>
    </row>
    <row r="96" spans="1:29" s="931" customFormat="1" ht="20.100000000000001" customHeight="1">
      <c r="A96" s="791"/>
      <c r="B96" s="675"/>
      <c r="C96" s="3170"/>
      <c r="D96" s="3372"/>
      <c r="E96" s="675" t="s">
        <v>5023</v>
      </c>
      <c r="F96" s="941">
        <f>ROUNDUP(+Z96/1000,0)</f>
        <v>6000</v>
      </c>
      <c r="G96" s="1261">
        <v>3500</v>
      </c>
      <c r="H96" s="1239">
        <f>F96-G96</f>
        <v>2500</v>
      </c>
      <c r="I96" s="734"/>
      <c r="J96" s="3174" t="s">
        <v>5001</v>
      </c>
      <c r="K96" s="3172"/>
      <c r="L96" s="3172"/>
      <c r="M96" s="3172"/>
      <c r="N96" s="3171"/>
      <c r="O96" s="3171"/>
      <c r="P96" s="3171"/>
      <c r="Q96" s="992"/>
      <c r="R96" s="3524"/>
      <c r="S96" s="3524" t="s">
        <v>5028</v>
      </c>
      <c r="T96" s="684" t="s">
        <v>5028</v>
      </c>
      <c r="U96" s="684" t="s">
        <v>5028</v>
      </c>
      <c r="V96" s="684" t="s">
        <v>5028</v>
      </c>
      <c r="W96" s="684" t="s">
        <v>5028</v>
      </c>
      <c r="X96" s="686" t="s">
        <v>5028</v>
      </c>
      <c r="Y96" s="3175">
        <f t="shared" si="6"/>
        <v>6000</v>
      </c>
      <c r="Z96" s="993">
        <f>SUM(Z97:Z99)</f>
        <v>6000000</v>
      </c>
      <c r="AA96" s="1073">
        <f t="shared" si="5"/>
        <v>6000000000</v>
      </c>
      <c r="AB96" s="930"/>
      <c r="AC96" s="930"/>
    </row>
    <row r="97" spans="1:29" s="931" customFormat="1" ht="20.100000000000001" customHeight="1">
      <c r="A97" s="791"/>
      <c r="B97" s="675"/>
      <c r="C97" s="3170"/>
      <c r="D97" s="3372"/>
      <c r="E97" s="675"/>
      <c r="F97" s="1444"/>
      <c r="G97" s="1445"/>
      <c r="H97" s="1239"/>
      <c r="I97" s="734"/>
      <c r="J97" s="3174" t="s">
        <v>5035</v>
      </c>
      <c r="K97" s="3172"/>
      <c r="L97" s="3172"/>
      <c r="M97" s="3172"/>
      <c r="N97" s="3171"/>
      <c r="O97" s="3171"/>
      <c r="P97" s="3171"/>
      <c r="Q97" s="3177"/>
      <c r="R97" s="3524"/>
      <c r="S97" s="3164">
        <v>100000</v>
      </c>
      <c r="T97" s="3163" t="s">
        <v>5004</v>
      </c>
      <c r="U97" s="3163"/>
      <c r="V97" s="3177">
        <v>10</v>
      </c>
      <c r="W97" s="3524" t="s">
        <v>5036</v>
      </c>
      <c r="X97" s="3165" t="s">
        <v>5006</v>
      </c>
      <c r="Y97" s="3175">
        <f t="shared" si="6"/>
        <v>1000</v>
      </c>
      <c r="Z97" s="3163">
        <f>S97*V97</f>
        <v>1000000</v>
      </c>
      <c r="AA97" s="1073">
        <f t="shared" si="5"/>
        <v>0</v>
      </c>
      <c r="AB97" s="930"/>
      <c r="AC97" s="930"/>
    </row>
    <row r="98" spans="1:29" s="931" customFormat="1" ht="20.100000000000001" customHeight="1">
      <c r="A98" s="791"/>
      <c r="B98" s="675"/>
      <c r="C98" s="3170"/>
      <c r="D98" s="3372"/>
      <c r="E98" s="675"/>
      <c r="F98" s="1444"/>
      <c r="G98" s="1445"/>
      <c r="H98" s="1239"/>
      <c r="I98" s="734"/>
      <c r="J98" s="3174" t="s">
        <v>5037</v>
      </c>
      <c r="K98" s="3172"/>
      <c r="L98" s="3172"/>
      <c r="M98" s="3172"/>
      <c r="N98" s="3171"/>
      <c r="O98" s="3171"/>
      <c r="P98" s="3171"/>
      <c r="Q98" s="3177"/>
      <c r="R98" s="3524"/>
      <c r="S98" s="3164">
        <v>50000</v>
      </c>
      <c r="T98" s="3163" t="s">
        <v>5004</v>
      </c>
      <c r="U98" s="3163"/>
      <c r="V98" s="3177">
        <v>10</v>
      </c>
      <c r="W98" s="3524" t="s">
        <v>5036</v>
      </c>
      <c r="X98" s="3165" t="s">
        <v>5006</v>
      </c>
      <c r="Y98" s="3175">
        <f t="shared" si="6"/>
        <v>500</v>
      </c>
      <c r="Z98" s="3163">
        <f>S98*V98</f>
        <v>500000</v>
      </c>
      <c r="AA98" s="1073">
        <f t="shared" si="5"/>
        <v>0</v>
      </c>
      <c r="AB98" s="930"/>
      <c r="AC98" s="930"/>
    </row>
    <row r="99" spans="1:29" s="931" customFormat="1" ht="20.100000000000001" customHeight="1">
      <c r="A99" s="791"/>
      <c r="B99" s="675"/>
      <c r="C99" s="948"/>
      <c r="D99" s="709"/>
      <c r="E99" s="675"/>
      <c r="F99" s="1444"/>
      <c r="G99" s="1445"/>
      <c r="H99" s="1239"/>
      <c r="I99" s="734"/>
      <c r="J99" s="3174" t="s">
        <v>5038</v>
      </c>
      <c r="K99" s="3172"/>
      <c r="L99" s="3172"/>
      <c r="M99" s="3172"/>
      <c r="N99" s="3171"/>
      <c r="O99" s="3171"/>
      <c r="P99" s="3171"/>
      <c r="Q99" s="3177"/>
      <c r="R99" s="3524"/>
      <c r="S99" s="3164">
        <v>1500000</v>
      </c>
      <c r="T99" s="3163" t="s">
        <v>5004</v>
      </c>
      <c r="U99" s="3163"/>
      <c r="V99" s="3177">
        <v>3</v>
      </c>
      <c r="W99" s="3524" t="s">
        <v>5036</v>
      </c>
      <c r="X99" s="3165" t="s">
        <v>5006</v>
      </c>
      <c r="Y99" s="3175">
        <f t="shared" si="6"/>
        <v>4500</v>
      </c>
      <c r="Z99" s="3163">
        <f>S99*V99</f>
        <v>4500000</v>
      </c>
      <c r="AA99" s="1073">
        <f t="shared" si="5"/>
        <v>0</v>
      </c>
      <c r="AB99" s="930"/>
      <c r="AC99" s="930"/>
    </row>
    <row r="100" spans="1:29" s="709" customFormat="1" ht="20.100000000000001" customHeight="1">
      <c r="A100" s="673"/>
      <c r="B100" s="674"/>
      <c r="C100" s="948"/>
      <c r="E100" s="675" t="s">
        <v>5024</v>
      </c>
      <c r="F100" s="941">
        <f>ROUNDUP(+Z100/1000,0)</f>
        <v>0</v>
      </c>
      <c r="G100" s="1261">
        <v>1650</v>
      </c>
      <c r="H100" s="1239">
        <f>F100-G100</f>
        <v>-1650</v>
      </c>
      <c r="I100" s="734"/>
      <c r="J100" s="943" t="s">
        <v>6126</v>
      </c>
      <c r="K100" s="3172"/>
      <c r="L100" s="3172"/>
      <c r="M100" s="3172"/>
      <c r="N100" s="3171"/>
      <c r="O100" s="3171"/>
      <c r="P100" s="3171"/>
      <c r="Q100" s="3177"/>
      <c r="R100" s="3524"/>
      <c r="S100" s="3164"/>
      <c r="T100" s="3163"/>
      <c r="U100" s="3163"/>
      <c r="V100" s="1447"/>
      <c r="W100" s="3163"/>
      <c r="X100" s="3165"/>
      <c r="Y100" s="3175"/>
      <c r="Z100" s="3163"/>
      <c r="AA100" s="1073"/>
      <c r="AB100" s="915"/>
      <c r="AC100" s="915"/>
    </row>
    <row r="101" spans="1:29" s="709" customFormat="1" ht="20.100000000000001" customHeight="1">
      <c r="A101" s="673"/>
      <c r="B101" s="674"/>
      <c r="C101" s="948"/>
      <c r="D101" s="675"/>
      <c r="E101" s="675" t="s">
        <v>5043</v>
      </c>
      <c r="F101" s="941">
        <f>ROUNDUP(+Z101/1000,0)</f>
        <v>0</v>
      </c>
      <c r="G101" s="1261">
        <v>300</v>
      </c>
      <c r="H101" s="1239">
        <f>F101-G101</f>
        <v>-300</v>
      </c>
      <c r="I101" s="734"/>
      <c r="J101" s="943" t="s">
        <v>6126</v>
      </c>
      <c r="K101" s="3172"/>
      <c r="L101" s="3172"/>
      <c r="M101" s="3172"/>
      <c r="N101" s="3171"/>
      <c r="O101" s="3171"/>
      <c r="P101" s="3171"/>
      <c r="Q101" s="3177"/>
      <c r="R101" s="3524"/>
      <c r="S101" s="1038"/>
      <c r="T101" s="684"/>
      <c r="U101" s="684"/>
      <c r="V101" s="684"/>
      <c r="W101" s="684"/>
      <c r="X101" s="686"/>
      <c r="Y101" s="3175"/>
      <c r="Z101" s="993"/>
      <c r="AA101" s="1073"/>
      <c r="AB101" s="915"/>
      <c r="AC101" s="915"/>
    </row>
    <row r="102" spans="1:29" s="709" customFormat="1" ht="20.100000000000001" customHeight="1">
      <c r="A102" s="673"/>
      <c r="B102" s="674"/>
      <c r="C102" s="948"/>
      <c r="D102" s="675"/>
      <c r="E102" s="675" t="s">
        <v>5026</v>
      </c>
      <c r="F102" s="941">
        <f>ROUNDUP(+Z102/1000,0)</f>
        <v>500</v>
      </c>
      <c r="G102" s="1261">
        <v>200</v>
      </c>
      <c r="H102" s="1208">
        <f>F102-G102</f>
        <v>300</v>
      </c>
      <c r="I102" s="734"/>
      <c r="J102" s="943" t="s">
        <v>5039</v>
      </c>
      <c r="K102" s="944"/>
      <c r="L102" s="944"/>
      <c r="M102" s="944"/>
      <c r="N102" s="945"/>
      <c r="O102" s="945"/>
      <c r="P102" s="944"/>
      <c r="Q102" s="946" t="s">
        <v>5040</v>
      </c>
      <c r="R102" s="3163" t="s">
        <v>5041</v>
      </c>
      <c r="S102" s="3164">
        <v>20000</v>
      </c>
      <c r="T102" s="3163" t="s">
        <v>5004</v>
      </c>
      <c r="U102" s="3163"/>
      <c r="V102" s="3163">
        <v>5</v>
      </c>
      <c r="W102" s="3163" t="s">
        <v>5042</v>
      </c>
      <c r="X102" s="3165" t="s">
        <v>5006</v>
      </c>
      <c r="Y102" s="3175">
        <f t="shared" si="6"/>
        <v>500</v>
      </c>
      <c r="Z102" s="3163">
        <f>SUM(Q102*S102*V102)</f>
        <v>500000</v>
      </c>
      <c r="AA102" s="1073">
        <f t="shared" si="5"/>
        <v>500000000</v>
      </c>
      <c r="AB102" s="915"/>
      <c r="AC102" s="915"/>
    </row>
    <row r="103" spans="1:29" ht="20.100000000000001" customHeight="1">
      <c r="A103" s="1931"/>
      <c r="B103" s="630"/>
      <c r="C103" s="631"/>
      <c r="D103" s="3834" t="s">
        <v>2966</v>
      </c>
      <c r="E103" s="3913"/>
      <c r="F103" s="512">
        <f>SUM(F104:F110)</f>
        <v>20000</v>
      </c>
      <c r="G103" s="955">
        <f>SUM(G104:G110)</f>
        <v>20000</v>
      </c>
      <c r="H103" s="513">
        <f>F103-G103</f>
        <v>0</v>
      </c>
      <c r="I103" s="634"/>
      <c r="J103" s="1448"/>
      <c r="K103" s="1449"/>
      <c r="L103" s="1449"/>
      <c r="M103" s="1449"/>
      <c r="N103" s="1449"/>
      <c r="O103" s="1449"/>
      <c r="P103" s="1449"/>
      <c r="Q103" s="1309"/>
      <c r="R103" s="516"/>
      <c r="S103" s="515"/>
      <c r="T103" s="516"/>
      <c r="U103" s="515"/>
      <c r="V103" s="516"/>
      <c r="W103" s="515"/>
      <c r="X103" s="515"/>
      <c r="Y103" s="1311"/>
      <c r="Z103" s="482">
        <f>SUM(Z104+Z106+Z105+Z109+Z110)</f>
        <v>20000000</v>
      </c>
      <c r="AA103" s="1073">
        <f t="shared" si="5"/>
        <v>20000000000</v>
      </c>
    </row>
    <row r="104" spans="1:29" ht="20.100000000000001" customHeight="1">
      <c r="A104" s="1931"/>
      <c r="B104" s="630"/>
      <c r="C104" s="631"/>
      <c r="D104" s="468"/>
      <c r="E104" s="468" t="s">
        <v>2949</v>
      </c>
      <c r="F104" s="1450">
        <f>ROUNDUP(Z104/1000,0)</f>
        <v>12000</v>
      </c>
      <c r="G104" s="469">
        <v>12000</v>
      </c>
      <c r="H104" s="470"/>
      <c r="I104" s="634"/>
      <c r="J104" s="1451" t="s">
        <v>2950</v>
      </c>
      <c r="K104" s="1317"/>
      <c r="L104" s="1317"/>
      <c r="M104" s="1317"/>
      <c r="N104" s="886"/>
      <c r="O104" s="886"/>
      <c r="P104" s="886"/>
      <c r="Q104" s="890"/>
      <c r="R104" s="1948"/>
      <c r="S104" s="556">
        <v>15000</v>
      </c>
      <c r="T104" s="1965" t="s">
        <v>2951</v>
      </c>
      <c r="U104" s="1965"/>
      <c r="V104" s="1965">
        <v>800</v>
      </c>
      <c r="W104" s="1965" t="s">
        <v>2952</v>
      </c>
      <c r="X104" s="553" t="s">
        <v>2953</v>
      </c>
      <c r="Y104" s="1452">
        <f t="shared" ref="Y104:Y110" si="7">+Z104/1000</f>
        <v>12000</v>
      </c>
      <c r="Z104" s="1390">
        <f>S104*V104</f>
        <v>12000000</v>
      </c>
      <c r="AA104" s="1073">
        <f t="shared" si="5"/>
        <v>12000000000</v>
      </c>
    </row>
    <row r="105" spans="1:29" ht="20.100000000000001" customHeight="1">
      <c r="A105" s="1931"/>
      <c r="B105" s="630"/>
      <c r="C105" s="631"/>
      <c r="D105" s="716"/>
      <c r="E105" s="468" t="s">
        <v>95</v>
      </c>
      <c r="F105" s="824">
        <f>ROUNDUP(+Z105/1000,0)</f>
        <v>500</v>
      </c>
      <c r="G105" s="469">
        <v>500</v>
      </c>
      <c r="H105" s="470"/>
      <c r="I105" s="634"/>
      <c r="J105" s="1312" t="s">
        <v>2954</v>
      </c>
      <c r="K105" s="1317"/>
      <c r="L105" s="1317"/>
      <c r="M105" s="1317"/>
      <c r="N105" s="886"/>
      <c r="O105" s="886"/>
      <c r="P105" s="886"/>
      <c r="Q105" s="1314" t="s">
        <v>587</v>
      </c>
      <c r="R105" s="473" t="s">
        <v>2955</v>
      </c>
      <c r="S105" s="474">
        <v>25000</v>
      </c>
      <c r="T105" s="473" t="s">
        <v>2911</v>
      </c>
      <c r="U105" s="473"/>
      <c r="V105" s="473">
        <v>20</v>
      </c>
      <c r="W105" s="473" t="s">
        <v>2956</v>
      </c>
      <c r="X105" s="542" t="s">
        <v>2913</v>
      </c>
      <c r="Y105" s="1452">
        <f t="shared" si="7"/>
        <v>500</v>
      </c>
      <c r="Z105" s="473">
        <f>Q105*S105*V105</f>
        <v>500000</v>
      </c>
      <c r="AA105" s="1073">
        <f t="shared" si="5"/>
        <v>500000000</v>
      </c>
    </row>
    <row r="106" spans="1:29" s="880" customFormat="1" ht="20.100000000000001" customHeight="1">
      <c r="A106" s="1931"/>
      <c r="B106" s="630"/>
      <c r="C106" s="631"/>
      <c r="D106" s="468"/>
      <c r="E106" s="468" t="s">
        <v>2957</v>
      </c>
      <c r="F106" s="1450">
        <f>SUM(Y107:Y108)</f>
        <v>5000</v>
      </c>
      <c r="G106" s="469">
        <v>5000</v>
      </c>
      <c r="H106" s="470"/>
      <c r="I106" s="634"/>
      <c r="J106" s="1451" t="s">
        <v>2915</v>
      </c>
      <c r="K106" s="1317"/>
      <c r="L106" s="1317"/>
      <c r="M106" s="1317"/>
      <c r="N106" s="886"/>
      <c r="O106" s="886"/>
      <c r="P106" s="886"/>
      <c r="Q106" s="890"/>
      <c r="R106" s="1948"/>
      <c r="S106" s="1948" t="s">
        <v>2942</v>
      </c>
      <c r="T106" s="1965" t="s">
        <v>2942</v>
      </c>
      <c r="U106" s="1965" t="s">
        <v>2942</v>
      </c>
      <c r="V106" s="1965" t="s">
        <v>2942</v>
      </c>
      <c r="W106" s="1965" t="s">
        <v>2942</v>
      </c>
      <c r="X106" s="553" t="s">
        <v>2942</v>
      </c>
      <c r="Y106" s="1452">
        <f t="shared" si="7"/>
        <v>5000</v>
      </c>
      <c r="Z106" s="1390">
        <f>SUM(Z107:Z108)</f>
        <v>5000000</v>
      </c>
      <c r="AA106" s="1073">
        <f t="shared" si="5"/>
        <v>5000000000</v>
      </c>
      <c r="AB106" s="308"/>
      <c r="AC106" s="308"/>
    </row>
    <row r="107" spans="1:29" s="880" customFormat="1" ht="20.100000000000001" customHeight="1">
      <c r="A107" s="481"/>
      <c r="B107" s="468"/>
      <c r="C107" s="631"/>
      <c r="D107" s="1934"/>
      <c r="E107" s="468"/>
      <c r="F107" s="1282"/>
      <c r="G107" s="549"/>
      <c r="H107" s="470"/>
      <c r="I107" s="634"/>
      <c r="J107" s="1451" t="s">
        <v>2958</v>
      </c>
      <c r="K107" s="1317"/>
      <c r="L107" s="1317"/>
      <c r="M107" s="1317"/>
      <c r="N107" s="886"/>
      <c r="O107" s="886"/>
      <c r="P107" s="886"/>
      <c r="Q107" s="1453"/>
      <c r="R107" s="1948"/>
      <c r="S107" s="474">
        <v>50000</v>
      </c>
      <c r="T107" s="473" t="s">
        <v>2911</v>
      </c>
      <c r="U107" s="473"/>
      <c r="V107" s="1453">
        <v>40</v>
      </c>
      <c r="W107" s="1948" t="s">
        <v>2959</v>
      </c>
      <c r="X107" s="542" t="s">
        <v>2913</v>
      </c>
      <c r="Y107" s="1452">
        <f t="shared" si="7"/>
        <v>2000</v>
      </c>
      <c r="Z107" s="473">
        <f>S107*V107</f>
        <v>2000000</v>
      </c>
      <c r="AA107" s="1073">
        <f t="shared" si="5"/>
        <v>0</v>
      </c>
      <c r="AB107" s="308"/>
      <c r="AC107" s="308"/>
    </row>
    <row r="108" spans="1:29" s="880" customFormat="1" ht="20.100000000000001" customHeight="1">
      <c r="A108" s="481"/>
      <c r="B108" s="468"/>
      <c r="C108" s="631"/>
      <c r="D108" s="1934"/>
      <c r="E108" s="468"/>
      <c r="F108" s="1282"/>
      <c r="G108" s="549"/>
      <c r="H108" s="470"/>
      <c r="I108" s="634"/>
      <c r="J108" s="1451" t="s">
        <v>2960</v>
      </c>
      <c r="K108" s="1317"/>
      <c r="L108" s="1317"/>
      <c r="M108" s="1317"/>
      <c r="N108" s="886"/>
      <c r="O108" s="886"/>
      <c r="P108" s="886"/>
      <c r="Q108" s="1453"/>
      <c r="R108" s="1948"/>
      <c r="S108" s="474">
        <v>30000</v>
      </c>
      <c r="T108" s="473" t="s">
        <v>2911</v>
      </c>
      <c r="U108" s="473"/>
      <c r="V108" s="1453">
        <v>100</v>
      </c>
      <c r="W108" s="1948" t="s">
        <v>2959</v>
      </c>
      <c r="X108" s="542" t="s">
        <v>2913</v>
      </c>
      <c r="Y108" s="1452">
        <f t="shared" si="7"/>
        <v>3000</v>
      </c>
      <c r="Z108" s="473">
        <f>S108*V108</f>
        <v>3000000</v>
      </c>
      <c r="AA108" s="1073">
        <f t="shared" si="5"/>
        <v>0</v>
      </c>
      <c r="AB108" s="308"/>
      <c r="AC108" s="308"/>
    </row>
    <row r="109" spans="1:29" ht="20.100000000000001" customHeight="1">
      <c r="A109" s="1931"/>
      <c r="B109" s="630"/>
      <c r="C109" s="631"/>
      <c r="D109" s="468"/>
      <c r="E109" s="468" t="s">
        <v>2927</v>
      </c>
      <c r="F109" s="824">
        <f>ROUNDUP(+Z109/1000,0)</f>
        <v>1500</v>
      </c>
      <c r="G109" s="469">
        <v>1500</v>
      </c>
      <c r="H109" s="470"/>
      <c r="I109" s="634"/>
      <c r="J109" s="1451" t="s">
        <v>2961</v>
      </c>
      <c r="K109" s="1317"/>
      <c r="L109" s="1317"/>
      <c r="M109" s="1317"/>
      <c r="N109" s="886"/>
      <c r="O109" s="886"/>
      <c r="P109" s="886"/>
      <c r="Q109" s="1453">
        <v>300</v>
      </c>
      <c r="R109" s="1948" t="s">
        <v>2962</v>
      </c>
      <c r="S109" s="556">
        <v>5000</v>
      </c>
      <c r="T109" s="1965" t="s">
        <v>2951</v>
      </c>
      <c r="U109" s="1965"/>
      <c r="V109" s="1965">
        <v>1</v>
      </c>
      <c r="W109" s="1965" t="s">
        <v>2963</v>
      </c>
      <c r="X109" s="553" t="s">
        <v>2953</v>
      </c>
      <c r="Y109" s="1452">
        <f t="shared" si="7"/>
        <v>1500</v>
      </c>
      <c r="Z109" s="1390">
        <f>Q109*S109*V109</f>
        <v>1500000</v>
      </c>
      <c r="AA109" s="1073">
        <f t="shared" si="5"/>
        <v>1500000000</v>
      </c>
    </row>
    <row r="110" spans="1:29" s="880" customFormat="1" ht="20.100000000000001" customHeight="1">
      <c r="A110" s="1931"/>
      <c r="B110" s="630"/>
      <c r="C110" s="631"/>
      <c r="D110" s="468"/>
      <c r="E110" s="468" t="s">
        <v>2964</v>
      </c>
      <c r="F110" s="824">
        <f>ROUNDUP(+Z110/1000,0)</f>
        <v>1000</v>
      </c>
      <c r="G110" s="469">
        <v>1000</v>
      </c>
      <c r="H110" s="470"/>
      <c r="I110" s="634"/>
      <c r="J110" s="1312" t="s">
        <v>2965</v>
      </c>
      <c r="K110" s="1313"/>
      <c r="L110" s="1313"/>
      <c r="M110" s="1313"/>
      <c r="N110" s="889"/>
      <c r="O110" s="889"/>
      <c r="P110" s="1313"/>
      <c r="Q110" s="1314" t="s">
        <v>2967</v>
      </c>
      <c r="R110" s="473" t="s">
        <v>2936</v>
      </c>
      <c r="S110" s="474">
        <v>10000</v>
      </c>
      <c r="T110" s="473" t="s">
        <v>2911</v>
      </c>
      <c r="U110" s="473"/>
      <c r="V110" s="473">
        <v>10</v>
      </c>
      <c r="W110" s="473" t="s">
        <v>2937</v>
      </c>
      <c r="X110" s="542" t="s">
        <v>2913</v>
      </c>
      <c r="Y110" s="1452">
        <f t="shared" si="7"/>
        <v>1000</v>
      </c>
      <c r="Z110" s="473">
        <f>SUM(Q110*S110*V110)</f>
        <v>1000000</v>
      </c>
      <c r="AA110" s="1073">
        <f t="shared" si="5"/>
        <v>1000000000</v>
      </c>
      <c r="AB110" s="308"/>
      <c r="AC110" s="308"/>
    </row>
    <row r="111" spans="1:29" s="880" customFormat="1" ht="20.100000000000001" customHeight="1">
      <c r="A111" s="1931"/>
      <c r="B111" s="630"/>
      <c r="C111" s="631"/>
      <c r="D111" s="3834" t="s">
        <v>3464</v>
      </c>
      <c r="E111" s="3913"/>
      <c r="F111" s="512">
        <f>SUM(F112:F134)</f>
        <v>30000</v>
      </c>
      <c r="G111" s="955">
        <f>SUM(G112:G134)</f>
        <v>30000</v>
      </c>
      <c r="H111" s="2021">
        <f t="shared" ref="H111" si="8">F111-G111</f>
        <v>0</v>
      </c>
      <c r="I111" s="634"/>
      <c r="J111" s="1448"/>
      <c r="K111" s="1449"/>
      <c r="L111" s="1449"/>
      <c r="M111" s="1449"/>
      <c r="N111" s="1449"/>
      <c r="O111" s="1449"/>
      <c r="P111" s="1449"/>
      <c r="Q111" s="1309"/>
      <c r="R111" s="516"/>
      <c r="S111" s="515"/>
      <c r="T111" s="516"/>
      <c r="U111" s="515"/>
      <c r="V111" s="516"/>
      <c r="W111" s="515"/>
      <c r="X111" s="515"/>
      <c r="Y111" s="1311"/>
      <c r="Z111" s="2016">
        <f>SUM(Z116+Z117+Z118+Z121+Z127+Z132+Z133)</f>
        <v>22420000</v>
      </c>
      <c r="AA111" s="1073">
        <f t="shared" si="5"/>
        <v>30000000000</v>
      </c>
      <c r="AB111" s="308"/>
      <c r="AC111" s="308"/>
    </row>
    <row r="112" spans="1:29" s="1922" customFormat="1" ht="20.100000000000001" customHeight="1">
      <c r="A112" s="1931"/>
      <c r="B112" s="630"/>
      <c r="C112" s="1934"/>
      <c r="D112" s="484"/>
      <c r="E112" s="2013" t="s">
        <v>3465</v>
      </c>
      <c r="F112" s="1450">
        <f>ROUNDUP(+Z112/1000,0)</f>
        <v>1000</v>
      </c>
      <c r="G112" s="469">
        <v>1000</v>
      </c>
      <c r="H112" s="470"/>
      <c r="I112" s="634"/>
      <c r="J112" s="1451" t="s">
        <v>4223</v>
      </c>
      <c r="K112" s="1317"/>
      <c r="L112" s="1317"/>
      <c r="M112" s="1317"/>
      <c r="N112" s="886"/>
      <c r="O112" s="886"/>
      <c r="P112" s="886"/>
      <c r="Q112" s="890"/>
      <c r="R112" s="3225"/>
      <c r="S112" s="556"/>
      <c r="T112" s="3241"/>
      <c r="U112" s="3241"/>
      <c r="V112" s="3241"/>
      <c r="W112" s="3241"/>
      <c r="X112" s="2030"/>
      <c r="Y112" s="1452">
        <v>1000</v>
      </c>
      <c r="Z112" s="3144">
        <f>SUM(Z113:Z114)</f>
        <v>1000000</v>
      </c>
      <c r="AA112" s="1073">
        <f t="shared" si="5"/>
        <v>1000000000</v>
      </c>
      <c r="AB112" s="308"/>
      <c r="AC112" s="308"/>
    </row>
    <row r="113" spans="1:29" s="1922" customFormat="1" ht="20.100000000000001" customHeight="1">
      <c r="A113" s="1931"/>
      <c r="B113" s="630"/>
      <c r="C113" s="1934"/>
      <c r="D113" s="2013"/>
      <c r="E113" s="2013"/>
      <c r="F113" s="1282"/>
      <c r="G113" s="549"/>
      <c r="H113" s="470"/>
      <c r="I113" s="634"/>
      <c r="J113" s="1451" t="s">
        <v>4232</v>
      </c>
      <c r="K113" s="1317"/>
      <c r="L113" s="1317"/>
      <c r="M113" s="1317"/>
      <c r="N113" s="886"/>
      <c r="O113" s="886"/>
      <c r="P113" s="886"/>
      <c r="Q113" s="1453"/>
      <c r="R113" s="3225"/>
      <c r="S113" s="3108">
        <v>1000</v>
      </c>
      <c r="T113" s="3107" t="s">
        <v>4220</v>
      </c>
      <c r="U113" s="3107"/>
      <c r="V113" s="1453">
        <v>500</v>
      </c>
      <c r="W113" s="3225" t="s">
        <v>4233</v>
      </c>
      <c r="X113" s="542" t="s">
        <v>4221</v>
      </c>
      <c r="Y113" s="1452">
        <f t="shared" ref="Y113:Y134" si="9">+Z113/1000</f>
        <v>500</v>
      </c>
      <c r="Z113" s="3126">
        <f>S113*V113</f>
        <v>500000</v>
      </c>
      <c r="AA113" s="1073">
        <f t="shared" si="5"/>
        <v>0</v>
      </c>
      <c r="AB113" s="308"/>
      <c r="AC113" s="308"/>
    </row>
    <row r="114" spans="1:29" s="1924" customFormat="1" ht="20.100000000000001" customHeight="1">
      <c r="A114" s="1931"/>
      <c r="B114" s="630"/>
      <c r="C114" s="1934"/>
      <c r="D114" s="2013"/>
      <c r="E114" s="2013"/>
      <c r="F114" s="1282"/>
      <c r="G114" s="549"/>
      <c r="H114" s="470"/>
      <c r="I114" s="634"/>
      <c r="J114" s="1451" t="s">
        <v>4234</v>
      </c>
      <c r="K114" s="1317"/>
      <c r="L114" s="1317"/>
      <c r="M114" s="1317"/>
      <c r="N114" s="886"/>
      <c r="O114" s="886"/>
      <c r="P114" s="886"/>
      <c r="Q114" s="1453"/>
      <c r="R114" s="3225"/>
      <c r="S114" s="3108">
        <v>5000</v>
      </c>
      <c r="T114" s="3107" t="s">
        <v>4220</v>
      </c>
      <c r="U114" s="3107"/>
      <c r="V114" s="1453">
        <v>100</v>
      </c>
      <c r="W114" s="3225" t="s">
        <v>4233</v>
      </c>
      <c r="X114" s="542" t="s">
        <v>4221</v>
      </c>
      <c r="Y114" s="1452">
        <f t="shared" si="9"/>
        <v>500</v>
      </c>
      <c r="Z114" s="3126">
        <f>S114*V114</f>
        <v>500000</v>
      </c>
      <c r="AA114" s="1073">
        <f t="shared" si="5"/>
        <v>0</v>
      </c>
      <c r="AB114" s="308"/>
      <c r="AC114" s="308"/>
    </row>
    <row r="115" spans="1:29" s="1924" customFormat="1" ht="20.100000000000001" customHeight="1">
      <c r="A115" s="1931"/>
      <c r="B115" s="630"/>
      <c r="C115" s="1934"/>
      <c r="D115" s="2013"/>
      <c r="E115" s="2013" t="s">
        <v>80</v>
      </c>
      <c r="F115" s="1450">
        <v>180</v>
      </c>
      <c r="G115" s="469">
        <v>180</v>
      </c>
      <c r="H115" s="470"/>
      <c r="I115" s="634"/>
      <c r="J115" s="1451" t="s">
        <v>4235</v>
      </c>
      <c r="K115" s="1317"/>
      <c r="L115" s="1317"/>
      <c r="M115" s="1317"/>
      <c r="N115" s="886"/>
      <c r="O115" s="886"/>
      <c r="P115" s="886"/>
      <c r="Q115" s="890"/>
      <c r="R115" s="3225"/>
      <c r="S115" s="3108">
        <v>180000</v>
      </c>
      <c r="T115" s="3107" t="s">
        <v>4220</v>
      </c>
      <c r="U115" s="3107"/>
      <c r="V115" s="3107">
        <v>1</v>
      </c>
      <c r="W115" s="3107" t="s">
        <v>4222</v>
      </c>
      <c r="X115" s="542" t="s">
        <v>4221</v>
      </c>
      <c r="Y115" s="1452">
        <f t="shared" si="9"/>
        <v>180</v>
      </c>
      <c r="Z115" s="3126">
        <f>S115*V115</f>
        <v>180000</v>
      </c>
      <c r="AA115" s="1073">
        <f t="shared" si="5"/>
        <v>180000000</v>
      </c>
      <c r="AB115" s="308"/>
      <c r="AC115" s="308"/>
    </row>
    <row r="116" spans="1:29" s="880" customFormat="1" ht="20.100000000000001" customHeight="1">
      <c r="A116" s="1931"/>
      <c r="B116" s="630"/>
      <c r="C116" s="1934"/>
      <c r="D116" s="2013"/>
      <c r="E116" s="2013" t="s">
        <v>95</v>
      </c>
      <c r="F116" s="824">
        <v>9200</v>
      </c>
      <c r="G116" s="469">
        <v>9200</v>
      </c>
      <c r="H116" s="470"/>
      <c r="I116" s="634"/>
      <c r="J116" s="1312" t="s">
        <v>4223</v>
      </c>
      <c r="K116" s="1317"/>
      <c r="L116" s="1317"/>
      <c r="M116" s="1317"/>
      <c r="N116" s="886"/>
      <c r="O116" s="886"/>
      <c r="P116" s="886"/>
      <c r="Q116" s="1314"/>
      <c r="R116" s="3107"/>
      <c r="S116" s="3108"/>
      <c r="T116" s="3107"/>
      <c r="U116" s="3107"/>
      <c r="V116" s="3107"/>
      <c r="W116" s="3107"/>
      <c r="X116" s="542"/>
      <c r="Y116" s="1452">
        <f>+Z116/1000</f>
        <v>9200</v>
      </c>
      <c r="Z116" s="3126">
        <f>SUM(Z117:Z119)</f>
        <v>9200000</v>
      </c>
      <c r="AA116" s="1073">
        <f t="shared" si="5"/>
        <v>9200000000</v>
      </c>
      <c r="AB116" s="308"/>
      <c r="AC116" s="308"/>
    </row>
    <row r="117" spans="1:29" s="880" customFormat="1" ht="20.100000000000001" customHeight="1">
      <c r="A117" s="1931"/>
      <c r="B117" s="630"/>
      <c r="C117" s="1934"/>
      <c r="D117" s="2013"/>
      <c r="E117" s="2013"/>
      <c r="F117" s="1282"/>
      <c r="G117" s="549"/>
      <c r="H117" s="470"/>
      <c r="I117" s="634"/>
      <c r="J117" s="1451" t="s">
        <v>4236</v>
      </c>
      <c r="K117" s="1317"/>
      <c r="L117" s="1317"/>
      <c r="M117" s="1317"/>
      <c r="N117" s="886"/>
      <c r="O117" s="886"/>
      <c r="P117" s="886"/>
      <c r="Q117" s="1453">
        <v>2</v>
      </c>
      <c r="R117" s="3225" t="s">
        <v>4237</v>
      </c>
      <c r="S117" s="3108">
        <v>3250000</v>
      </c>
      <c r="T117" s="3107" t="s">
        <v>4220</v>
      </c>
      <c r="U117" s="3107"/>
      <c r="V117" s="1453">
        <v>1</v>
      </c>
      <c r="W117" s="3225" t="s">
        <v>4233</v>
      </c>
      <c r="X117" s="542" t="s">
        <v>4221</v>
      </c>
      <c r="Y117" s="1452">
        <f t="shared" ref="Y117:Y119" si="10">+Z117/1000</f>
        <v>6500</v>
      </c>
      <c r="Z117" s="3126">
        <f>Q117*S117*V117</f>
        <v>6500000</v>
      </c>
      <c r="AA117" s="1073">
        <f t="shared" si="5"/>
        <v>0</v>
      </c>
      <c r="AB117" s="308"/>
      <c r="AC117" s="308"/>
    </row>
    <row r="118" spans="1:29" s="880" customFormat="1" ht="20.100000000000001" customHeight="1">
      <c r="A118" s="1931"/>
      <c r="B118" s="630"/>
      <c r="C118" s="1934"/>
      <c r="D118" s="2013"/>
      <c r="E118" s="2013"/>
      <c r="F118" s="1282"/>
      <c r="G118" s="549"/>
      <c r="H118" s="470"/>
      <c r="I118" s="634"/>
      <c r="J118" s="1451" t="s">
        <v>4238</v>
      </c>
      <c r="K118" s="1317"/>
      <c r="L118" s="1317"/>
      <c r="M118" s="1317"/>
      <c r="N118" s="886"/>
      <c r="O118" s="886"/>
      <c r="P118" s="886"/>
      <c r="Q118" s="1453">
        <v>2</v>
      </c>
      <c r="R118" s="3225" t="s">
        <v>4237</v>
      </c>
      <c r="S118" s="3108">
        <v>185000</v>
      </c>
      <c r="T118" s="3107" t="s">
        <v>4220</v>
      </c>
      <c r="U118" s="3107"/>
      <c r="V118" s="1453">
        <v>6</v>
      </c>
      <c r="W118" s="3225" t="s">
        <v>4239</v>
      </c>
      <c r="X118" s="542" t="s">
        <v>4221</v>
      </c>
      <c r="Y118" s="1452">
        <f t="shared" si="10"/>
        <v>2220</v>
      </c>
      <c r="Z118" s="3126">
        <f>Q118*S118*V118</f>
        <v>2220000</v>
      </c>
      <c r="AA118" s="1073">
        <f t="shared" si="5"/>
        <v>0</v>
      </c>
      <c r="AB118" s="308"/>
      <c r="AC118" s="308"/>
    </row>
    <row r="119" spans="1:29" s="1924" customFormat="1" ht="20.100000000000001" customHeight="1">
      <c r="A119" s="1931"/>
      <c r="B119" s="630"/>
      <c r="C119" s="1934"/>
      <c r="D119" s="2013"/>
      <c r="E119" s="2013"/>
      <c r="F119" s="1282"/>
      <c r="G119" s="549"/>
      <c r="H119" s="470"/>
      <c r="I119" s="634"/>
      <c r="J119" s="1451" t="s">
        <v>6147</v>
      </c>
      <c r="K119" s="1317"/>
      <c r="L119" s="1317"/>
      <c r="M119" s="1317"/>
      <c r="N119" s="886"/>
      <c r="O119" s="886"/>
      <c r="P119" s="886"/>
      <c r="Q119" s="1453">
        <v>2</v>
      </c>
      <c r="R119" s="3225" t="s">
        <v>4237</v>
      </c>
      <c r="S119" s="3108">
        <v>40000</v>
      </c>
      <c r="T119" s="3107" t="s">
        <v>4220</v>
      </c>
      <c r="U119" s="3107"/>
      <c r="V119" s="1453">
        <v>6</v>
      </c>
      <c r="W119" s="3225" t="s">
        <v>4240</v>
      </c>
      <c r="X119" s="542" t="s">
        <v>4221</v>
      </c>
      <c r="Y119" s="1452">
        <f t="shared" si="10"/>
        <v>480</v>
      </c>
      <c r="Z119" s="3126">
        <f>Q119*S119*V119</f>
        <v>480000</v>
      </c>
      <c r="AA119" s="1073">
        <f t="shared" si="5"/>
        <v>0</v>
      </c>
      <c r="AB119" s="308"/>
      <c r="AC119" s="308"/>
    </row>
    <row r="120" spans="1:29" s="1924" customFormat="1" ht="20.100000000000001" customHeight="1">
      <c r="A120" s="1931"/>
      <c r="B120" s="630"/>
      <c r="C120" s="1934"/>
      <c r="D120" s="2013"/>
      <c r="E120" s="2013" t="s">
        <v>3466</v>
      </c>
      <c r="F120" s="1450">
        <v>7400</v>
      </c>
      <c r="G120" s="469">
        <v>7400</v>
      </c>
      <c r="H120" s="470"/>
      <c r="I120" s="634"/>
      <c r="J120" s="1451" t="s">
        <v>4223</v>
      </c>
      <c r="K120" s="1317"/>
      <c r="L120" s="1317"/>
      <c r="M120" s="1317"/>
      <c r="N120" s="886"/>
      <c r="O120" s="886"/>
      <c r="P120" s="886"/>
      <c r="Q120" s="890"/>
      <c r="R120" s="3225"/>
      <c r="S120" s="3225" t="s">
        <v>4241</v>
      </c>
      <c r="T120" s="3241" t="s">
        <v>4241</v>
      </c>
      <c r="U120" s="3241" t="s">
        <v>4241</v>
      </c>
      <c r="V120" s="3241" t="s">
        <v>4241</v>
      </c>
      <c r="W120" s="3241" t="s">
        <v>4241</v>
      </c>
      <c r="X120" s="2030" t="s">
        <v>4241</v>
      </c>
      <c r="Y120" s="1452">
        <f t="shared" si="9"/>
        <v>7400</v>
      </c>
      <c r="Z120" s="3144">
        <f>SUM(Z121:Z124)</f>
        <v>7400000</v>
      </c>
      <c r="AA120" s="1073">
        <f t="shared" si="5"/>
        <v>7400000000</v>
      </c>
      <c r="AB120" s="308"/>
      <c r="AC120" s="308"/>
    </row>
    <row r="121" spans="1:29" ht="20.100000000000001" customHeight="1">
      <c r="A121" s="1931"/>
      <c r="B121" s="630"/>
      <c r="C121" s="1934"/>
      <c r="D121" s="2013"/>
      <c r="E121" s="2013"/>
      <c r="F121" s="1282"/>
      <c r="G121" s="549"/>
      <c r="H121" s="470"/>
      <c r="I121" s="634"/>
      <c r="J121" s="1451" t="s">
        <v>4242</v>
      </c>
      <c r="K121" s="1317"/>
      <c r="L121" s="1317"/>
      <c r="M121" s="1317"/>
      <c r="N121" s="886"/>
      <c r="O121" s="886"/>
      <c r="P121" s="886"/>
      <c r="Q121" s="1453">
        <v>2</v>
      </c>
      <c r="R121" s="3225" t="s">
        <v>4237</v>
      </c>
      <c r="S121" s="3108">
        <v>500000</v>
      </c>
      <c r="T121" s="3107" t="s">
        <v>4220</v>
      </c>
      <c r="U121" s="3107"/>
      <c r="V121" s="1453">
        <v>1</v>
      </c>
      <c r="W121" s="3225" t="s">
        <v>4222</v>
      </c>
      <c r="X121" s="542" t="s">
        <v>4221</v>
      </c>
      <c r="Y121" s="1452">
        <f t="shared" si="9"/>
        <v>1000</v>
      </c>
      <c r="Z121" s="3126">
        <f>Q121*S121*V121</f>
        <v>1000000</v>
      </c>
      <c r="AA121" s="1073">
        <f t="shared" si="5"/>
        <v>0</v>
      </c>
    </row>
    <row r="122" spans="1:29" ht="20.100000000000001" customHeight="1">
      <c r="A122" s="1931"/>
      <c r="B122" s="630"/>
      <c r="C122" s="1934"/>
      <c r="D122" s="2013"/>
      <c r="E122" s="2013"/>
      <c r="F122" s="1282"/>
      <c r="G122" s="549"/>
      <c r="H122" s="470"/>
      <c r="I122" s="634"/>
      <c r="J122" s="1451" t="s">
        <v>4243</v>
      </c>
      <c r="K122" s="1317"/>
      <c r="L122" s="1317"/>
      <c r="M122" s="1317"/>
      <c r="N122" s="886"/>
      <c r="O122" s="886"/>
      <c r="P122" s="886"/>
      <c r="Q122" s="1453">
        <v>7</v>
      </c>
      <c r="R122" s="3225" t="s">
        <v>4237</v>
      </c>
      <c r="S122" s="3108">
        <v>500000</v>
      </c>
      <c r="T122" s="3107" t="s">
        <v>4220</v>
      </c>
      <c r="U122" s="3107"/>
      <c r="V122" s="1453">
        <v>1</v>
      </c>
      <c r="W122" s="3225" t="s">
        <v>4222</v>
      </c>
      <c r="X122" s="542" t="s">
        <v>4221</v>
      </c>
      <c r="Y122" s="1452">
        <f t="shared" si="9"/>
        <v>3500</v>
      </c>
      <c r="Z122" s="3126">
        <f>Q122*S122*V122</f>
        <v>3500000</v>
      </c>
      <c r="AA122" s="1073">
        <f t="shared" si="5"/>
        <v>0</v>
      </c>
    </row>
    <row r="123" spans="1:29" ht="20.100000000000001" customHeight="1">
      <c r="A123" s="481"/>
      <c r="B123" s="468"/>
      <c r="C123" s="1934"/>
      <c r="D123" s="2013"/>
      <c r="E123" s="2013"/>
      <c r="F123" s="1282"/>
      <c r="G123" s="549"/>
      <c r="H123" s="470"/>
      <c r="I123" s="634"/>
      <c r="J123" s="1451" t="s">
        <v>4244</v>
      </c>
      <c r="K123" s="1317"/>
      <c r="L123" s="1317"/>
      <c r="M123" s="1317"/>
      <c r="N123" s="886"/>
      <c r="O123" s="886"/>
      <c r="P123" s="886"/>
      <c r="Q123" s="1453"/>
      <c r="R123" s="3225"/>
      <c r="S123" s="3108">
        <v>900000</v>
      </c>
      <c r="T123" s="3107" t="s">
        <v>4220</v>
      </c>
      <c r="U123" s="3107"/>
      <c r="V123" s="1453">
        <v>1</v>
      </c>
      <c r="W123" s="3225" t="s">
        <v>4222</v>
      </c>
      <c r="X123" s="542" t="s">
        <v>4221</v>
      </c>
      <c r="Y123" s="1452">
        <f t="shared" si="9"/>
        <v>900</v>
      </c>
      <c r="Z123" s="3126">
        <f t="shared" ref="Z123:Z127" si="11">S123*V123</f>
        <v>900000</v>
      </c>
      <c r="AA123" s="1073">
        <f t="shared" si="5"/>
        <v>0</v>
      </c>
    </row>
    <row r="124" spans="1:29" ht="20.100000000000001" customHeight="1">
      <c r="A124" s="481"/>
      <c r="B124" s="468"/>
      <c r="C124" s="1934"/>
      <c r="D124" s="2013"/>
      <c r="E124" s="2013"/>
      <c r="F124" s="1282"/>
      <c r="G124" s="549"/>
      <c r="H124" s="470"/>
      <c r="I124" s="634"/>
      <c r="J124" s="1451" t="s">
        <v>4245</v>
      </c>
      <c r="K124" s="1317"/>
      <c r="L124" s="1317"/>
      <c r="M124" s="1317"/>
      <c r="N124" s="886"/>
      <c r="O124" s="886"/>
      <c r="P124" s="886"/>
      <c r="Q124" s="1453"/>
      <c r="R124" s="3225"/>
      <c r="S124" s="3108">
        <v>1000000</v>
      </c>
      <c r="T124" s="3107" t="s">
        <v>4220</v>
      </c>
      <c r="U124" s="3107"/>
      <c r="V124" s="1453">
        <v>2</v>
      </c>
      <c r="W124" s="3225" t="s">
        <v>4222</v>
      </c>
      <c r="X124" s="542" t="s">
        <v>4221</v>
      </c>
      <c r="Y124" s="1452">
        <f t="shared" si="9"/>
        <v>2000</v>
      </c>
      <c r="Z124" s="3126">
        <f t="shared" si="11"/>
        <v>2000000</v>
      </c>
      <c r="AA124" s="1073">
        <f t="shared" si="5"/>
        <v>0</v>
      </c>
    </row>
    <row r="125" spans="1:29" ht="20.100000000000001" customHeight="1">
      <c r="A125" s="481"/>
      <c r="B125" s="468"/>
      <c r="C125" s="1934"/>
      <c r="D125" s="2013"/>
      <c r="E125" s="2013" t="s">
        <v>3467</v>
      </c>
      <c r="F125" s="824">
        <v>7500</v>
      </c>
      <c r="G125" s="469">
        <v>7500</v>
      </c>
      <c r="H125" s="470"/>
      <c r="I125" s="634"/>
      <c r="J125" s="1451" t="s">
        <v>4223</v>
      </c>
      <c r="K125" s="1317"/>
      <c r="L125" s="1317"/>
      <c r="M125" s="1317"/>
      <c r="N125" s="886"/>
      <c r="O125" s="886"/>
      <c r="P125" s="886"/>
      <c r="Q125" s="1453"/>
      <c r="R125" s="3225"/>
      <c r="S125" s="3108"/>
      <c r="T125" s="3107"/>
      <c r="U125" s="3107"/>
      <c r="V125" s="3286"/>
      <c r="W125" s="3107"/>
      <c r="X125" s="542"/>
      <c r="Y125" s="1452">
        <f t="shared" si="9"/>
        <v>7500</v>
      </c>
      <c r="Z125" s="3126">
        <f>SUM(Z126:Z127)</f>
        <v>7500000</v>
      </c>
      <c r="AA125" s="1073">
        <f t="shared" si="5"/>
        <v>7500000000</v>
      </c>
    </row>
    <row r="126" spans="1:29" ht="20.100000000000001" customHeight="1">
      <c r="A126" s="481"/>
      <c r="B126" s="468"/>
      <c r="C126" s="1934"/>
      <c r="D126" s="2013"/>
      <c r="E126" s="2013"/>
      <c r="F126" s="1282"/>
      <c r="G126" s="549"/>
      <c r="H126" s="470"/>
      <c r="I126" s="634"/>
      <c r="J126" s="1451" t="s">
        <v>4246</v>
      </c>
      <c r="K126" s="1317"/>
      <c r="L126" s="1317"/>
      <c r="M126" s="1317"/>
      <c r="N126" s="886"/>
      <c r="O126" s="886"/>
      <c r="P126" s="886"/>
      <c r="Q126" s="1453"/>
      <c r="R126" s="3225"/>
      <c r="S126" s="3108">
        <v>1500000</v>
      </c>
      <c r="T126" s="3107" t="s">
        <v>4220</v>
      </c>
      <c r="U126" s="3107"/>
      <c r="V126" s="1453">
        <v>4</v>
      </c>
      <c r="W126" s="3225" t="s">
        <v>4222</v>
      </c>
      <c r="X126" s="542" t="s">
        <v>4221</v>
      </c>
      <c r="Y126" s="1452">
        <f t="shared" si="9"/>
        <v>6000</v>
      </c>
      <c r="Z126" s="3126">
        <f t="shared" si="11"/>
        <v>6000000</v>
      </c>
      <c r="AA126" s="1073">
        <f t="shared" si="5"/>
        <v>0</v>
      </c>
    </row>
    <row r="127" spans="1:29" s="880" customFormat="1" ht="20.100000000000001" customHeight="1">
      <c r="A127" s="1931"/>
      <c r="B127" s="630"/>
      <c r="C127" s="1934"/>
      <c r="D127" s="2013"/>
      <c r="E127" s="2013"/>
      <c r="F127" s="1282"/>
      <c r="G127" s="549"/>
      <c r="H127" s="470"/>
      <c r="I127" s="634"/>
      <c r="J127" s="1451" t="s">
        <v>4247</v>
      </c>
      <c r="K127" s="1317"/>
      <c r="L127" s="1317"/>
      <c r="M127" s="1317"/>
      <c r="N127" s="886"/>
      <c r="O127" s="886"/>
      <c r="P127" s="886"/>
      <c r="Q127" s="1453"/>
      <c r="R127" s="3225"/>
      <c r="S127" s="3108">
        <v>1500000</v>
      </c>
      <c r="T127" s="3107" t="s">
        <v>4220</v>
      </c>
      <c r="U127" s="3107"/>
      <c r="V127" s="1453">
        <v>1</v>
      </c>
      <c r="W127" s="3225" t="s">
        <v>4248</v>
      </c>
      <c r="X127" s="542" t="s">
        <v>4221</v>
      </c>
      <c r="Y127" s="1452">
        <f t="shared" si="9"/>
        <v>1500</v>
      </c>
      <c r="Z127" s="3126">
        <f t="shared" si="11"/>
        <v>1500000</v>
      </c>
      <c r="AA127" s="1073">
        <f t="shared" si="5"/>
        <v>0</v>
      </c>
      <c r="AB127" s="308"/>
      <c r="AC127" s="308"/>
    </row>
    <row r="128" spans="1:29" s="1924" customFormat="1" ht="20.100000000000001" customHeight="1">
      <c r="A128" s="1931"/>
      <c r="B128" s="630"/>
      <c r="C128" s="1934"/>
      <c r="D128" s="2013"/>
      <c r="E128" s="2013" t="s">
        <v>3468</v>
      </c>
      <c r="F128" s="824">
        <v>520</v>
      </c>
      <c r="G128" s="469">
        <v>520</v>
      </c>
      <c r="H128" s="470"/>
      <c r="I128" s="634"/>
      <c r="J128" s="1451" t="s">
        <v>4250</v>
      </c>
      <c r="K128" s="1317"/>
      <c r="L128" s="1317"/>
      <c r="M128" s="1317"/>
      <c r="N128" s="886"/>
      <c r="O128" s="886"/>
      <c r="P128" s="886"/>
      <c r="Q128" s="1453"/>
      <c r="R128" s="3225"/>
      <c r="S128" s="556">
        <v>65000</v>
      </c>
      <c r="T128" s="3241" t="s">
        <v>4251</v>
      </c>
      <c r="U128" s="3241"/>
      <c r="V128" s="3241">
        <v>8</v>
      </c>
      <c r="W128" s="3241" t="s">
        <v>4252</v>
      </c>
      <c r="X128" s="2030" t="s">
        <v>4249</v>
      </c>
      <c r="Y128" s="1452">
        <f t="shared" si="9"/>
        <v>520</v>
      </c>
      <c r="Z128" s="3144">
        <f>S128*V128</f>
        <v>520000</v>
      </c>
      <c r="AA128" s="1073">
        <f t="shared" si="5"/>
        <v>520000000</v>
      </c>
      <c r="AB128" s="308"/>
      <c r="AC128" s="308"/>
    </row>
    <row r="129" spans="1:30" s="1922" customFormat="1" ht="20.100000000000001" customHeight="1">
      <c r="A129" s="1931"/>
      <c r="B129" s="630"/>
      <c r="C129" s="1934"/>
      <c r="D129" s="2013"/>
      <c r="E129" s="2013" t="s">
        <v>3469</v>
      </c>
      <c r="F129" s="824">
        <v>1800</v>
      </c>
      <c r="G129" s="469">
        <v>1800</v>
      </c>
      <c r="H129" s="470"/>
      <c r="I129" s="634"/>
      <c r="J129" s="1312" t="s">
        <v>4253</v>
      </c>
      <c r="K129" s="1313"/>
      <c r="L129" s="1313"/>
      <c r="M129" s="1313"/>
      <c r="N129" s="889"/>
      <c r="O129" s="889"/>
      <c r="P129" s="1313"/>
      <c r="Q129" s="1314"/>
      <c r="R129" s="3107"/>
      <c r="S129" s="3108"/>
      <c r="T129" s="3107"/>
      <c r="U129" s="3107"/>
      <c r="V129" s="3107"/>
      <c r="W129" s="3107"/>
      <c r="X129" s="542"/>
      <c r="Y129" s="1452">
        <f t="shared" si="9"/>
        <v>1800</v>
      </c>
      <c r="Z129" s="3126">
        <f>SUM(Z130:Z131)</f>
        <v>1800000</v>
      </c>
      <c r="AA129" s="1073">
        <f t="shared" si="5"/>
        <v>1800000000</v>
      </c>
      <c r="AB129" s="308"/>
      <c r="AC129" s="308"/>
    </row>
    <row r="130" spans="1:30" s="1924" customFormat="1" ht="20.100000000000001" customHeight="1">
      <c r="A130" s="1931"/>
      <c r="B130" s="630"/>
      <c r="C130" s="1934"/>
      <c r="D130" s="2013"/>
      <c r="E130" s="2013"/>
      <c r="F130" s="1282"/>
      <c r="G130" s="549"/>
      <c r="H130" s="470"/>
      <c r="I130" s="634"/>
      <c r="J130" s="1451" t="s">
        <v>4254</v>
      </c>
      <c r="K130" s="1317"/>
      <c r="L130" s="1317"/>
      <c r="M130" s="1317"/>
      <c r="N130" s="886"/>
      <c r="O130" s="886"/>
      <c r="P130" s="886"/>
      <c r="Q130" s="1453"/>
      <c r="R130" s="3225"/>
      <c r="S130" s="3108">
        <v>300000</v>
      </c>
      <c r="T130" s="3107" t="s">
        <v>4220</v>
      </c>
      <c r="U130" s="3107"/>
      <c r="V130" s="1453">
        <v>1</v>
      </c>
      <c r="W130" s="3225" t="s">
        <v>4222</v>
      </c>
      <c r="X130" s="542" t="s">
        <v>4221</v>
      </c>
      <c r="Y130" s="1452">
        <f t="shared" si="9"/>
        <v>300</v>
      </c>
      <c r="Z130" s="3126">
        <f>S130*V130</f>
        <v>300000</v>
      </c>
      <c r="AA130" s="1073">
        <f t="shared" si="5"/>
        <v>0</v>
      </c>
      <c r="AB130" s="308"/>
      <c r="AC130" s="308"/>
    </row>
    <row r="131" spans="1:30" s="1924" customFormat="1" ht="20.100000000000001" customHeight="1">
      <c r="A131" s="1931"/>
      <c r="B131" s="630"/>
      <c r="C131" s="1934"/>
      <c r="D131" s="2013"/>
      <c r="E131" s="2013"/>
      <c r="F131" s="1282"/>
      <c r="G131" s="549"/>
      <c r="H131" s="470"/>
      <c r="I131" s="634"/>
      <c r="J131" s="1451" t="s">
        <v>4255</v>
      </c>
      <c r="K131" s="1317"/>
      <c r="L131" s="1317"/>
      <c r="M131" s="1317"/>
      <c r="N131" s="886"/>
      <c r="O131" s="886"/>
      <c r="P131" s="886"/>
      <c r="Q131" s="1453"/>
      <c r="R131" s="3225"/>
      <c r="S131" s="3108">
        <v>1500000</v>
      </c>
      <c r="T131" s="3107" t="s">
        <v>4220</v>
      </c>
      <c r="U131" s="3107"/>
      <c r="V131" s="1453">
        <v>1</v>
      </c>
      <c r="W131" s="3225" t="s">
        <v>4224</v>
      </c>
      <c r="X131" s="542" t="s">
        <v>4221</v>
      </c>
      <c r="Y131" s="1452">
        <f t="shared" si="9"/>
        <v>1500</v>
      </c>
      <c r="Z131" s="3126">
        <f>S131*V131</f>
        <v>1500000</v>
      </c>
      <c r="AA131" s="1073">
        <f t="shared" si="5"/>
        <v>0</v>
      </c>
      <c r="AB131" s="308"/>
      <c r="AC131" s="308"/>
    </row>
    <row r="132" spans="1:30" ht="23.45" customHeight="1">
      <c r="A132" s="1931"/>
      <c r="B132" s="630"/>
      <c r="C132" s="1934"/>
      <c r="D132" s="2013"/>
      <c r="E132" s="2013" t="s">
        <v>3470</v>
      </c>
      <c r="F132" s="1450">
        <v>1000</v>
      </c>
      <c r="G132" s="469">
        <v>1000</v>
      </c>
      <c r="H132" s="470"/>
      <c r="I132" s="634"/>
      <c r="J132" s="1451" t="s">
        <v>4256</v>
      </c>
      <c r="K132" s="1317"/>
      <c r="L132" s="1317"/>
      <c r="M132" s="1317"/>
      <c r="N132" s="886"/>
      <c r="O132" s="886"/>
      <c r="P132" s="886"/>
      <c r="Q132" s="890"/>
      <c r="R132" s="3225"/>
      <c r="S132" s="556">
        <v>5000</v>
      </c>
      <c r="T132" s="3241" t="s">
        <v>4251</v>
      </c>
      <c r="U132" s="3241" t="s">
        <v>4241</v>
      </c>
      <c r="V132" s="3241">
        <v>200</v>
      </c>
      <c r="W132" s="3241" t="s">
        <v>4257</v>
      </c>
      <c r="X132" s="2030" t="s">
        <v>4241</v>
      </c>
      <c r="Y132" s="1452">
        <f t="shared" si="9"/>
        <v>1000</v>
      </c>
      <c r="Z132" s="3144">
        <f>S132*V132</f>
        <v>1000000</v>
      </c>
      <c r="AA132" s="1073">
        <f t="shared" si="5"/>
        <v>1000000000</v>
      </c>
    </row>
    <row r="133" spans="1:30" ht="23.45" customHeight="1">
      <c r="A133" s="1931"/>
      <c r="B133" s="630"/>
      <c r="C133" s="1934"/>
      <c r="D133" s="2013"/>
      <c r="E133" s="2013" t="s">
        <v>3471</v>
      </c>
      <c r="F133" s="1450">
        <v>1000</v>
      </c>
      <c r="G133" s="469">
        <v>1000</v>
      </c>
      <c r="H133" s="470"/>
      <c r="I133" s="634"/>
      <c r="J133" s="1451" t="s">
        <v>4258</v>
      </c>
      <c r="K133" s="1317"/>
      <c r="L133" s="1317"/>
      <c r="M133" s="1317"/>
      <c r="N133" s="886"/>
      <c r="O133" s="886"/>
      <c r="P133" s="886"/>
      <c r="Q133" s="890"/>
      <c r="R133" s="3225"/>
      <c r="S133" s="556">
        <v>1000000</v>
      </c>
      <c r="T133" s="3241" t="s">
        <v>4220</v>
      </c>
      <c r="U133" s="3241"/>
      <c r="V133" s="3241">
        <v>1</v>
      </c>
      <c r="W133" s="3241" t="s">
        <v>4248</v>
      </c>
      <c r="X133" s="2030"/>
      <c r="Y133" s="1452">
        <f t="shared" si="9"/>
        <v>1000</v>
      </c>
      <c r="Z133" s="3144">
        <f>S133*V133</f>
        <v>1000000</v>
      </c>
      <c r="AA133" s="1073">
        <f t="shared" si="5"/>
        <v>1000000000</v>
      </c>
    </row>
    <row r="134" spans="1:30" ht="23.45" customHeight="1">
      <c r="A134" s="2002"/>
      <c r="B134" s="630"/>
      <c r="C134" s="2003"/>
      <c r="D134" s="493"/>
      <c r="E134" s="2013" t="s">
        <v>3472</v>
      </c>
      <c r="F134" s="824">
        <v>400</v>
      </c>
      <c r="G134" s="469">
        <v>400</v>
      </c>
      <c r="H134" s="470"/>
      <c r="I134" s="634"/>
      <c r="J134" s="1312" t="s">
        <v>4259</v>
      </c>
      <c r="K134" s="1313"/>
      <c r="L134" s="1313"/>
      <c r="M134" s="1313"/>
      <c r="N134" s="889"/>
      <c r="O134" s="889"/>
      <c r="P134" s="1313"/>
      <c r="Q134" s="1314" t="s">
        <v>4260</v>
      </c>
      <c r="R134" s="3107" t="s">
        <v>4237</v>
      </c>
      <c r="S134" s="3108">
        <v>10000</v>
      </c>
      <c r="T134" s="3107" t="s">
        <v>4220</v>
      </c>
      <c r="U134" s="3107"/>
      <c r="V134" s="3107">
        <v>8</v>
      </c>
      <c r="W134" s="3107" t="s">
        <v>4222</v>
      </c>
      <c r="X134" s="542" t="s">
        <v>4221</v>
      </c>
      <c r="Y134" s="1452">
        <f t="shared" si="9"/>
        <v>400</v>
      </c>
      <c r="Z134" s="3126">
        <f>Q134*S134*V134</f>
        <v>400000</v>
      </c>
      <c r="AA134" s="1073">
        <f t="shared" si="5"/>
        <v>400000000</v>
      </c>
    </row>
    <row r="135" spans="1:30" s="931" customFormat="1" ht="23.45" customHeight="1">
      <c r="A135" s="673"/>
      <c r="B135" s="674"/>
      <c r="C135" s="2094" t="s">
        <v>2970</v>
      </c>
      <c r="D135" s="2094"/>
      <c r="E135" s="2095"/>
      <c r="F135" s="2061">
        <f>+F136+F156+F192</f>
        <v>255000</v>
      </c>
      <c r="G135" s="2061">
        <f>+G136+G156+G192</f>
        <v>255000</v>
      </c>
      <c r="H135" s="933">
        <f>F135-G135</f>
        <v>0</v>
      </c>
      <c r="I135" s="734"/>
      <c r="J135" s="934"/>
      <c r="K135" s="1454"/>
      <c r="L135" s="1454"/>
      <c r="M135" s="1454"/>
      <c r="N135" s="935"/>
      <c r="O135" s="935"/>
      <c r="P135" s="935"/>
      <c r="Q135" s="1008"/>
      <c r="R135" s="1009"/>
      <c r="S135" s="1010"/>
      <c r="T135" s="1009"/>
      <c r="U135" s="1009"/>
      <c r="V135" s="1009"/>
      <c r="W135" s="1009"/>
      <c r="X135" s="1422"/>
      <c r="Y135" s="939"/>
      <c r="Z135" s="1207"/>
      <c r="AA135" s="1073">
        <f t="shared" si="5"/>
        <v>255000000000</v>
      </c>
      <c r="AB135" s="930"/>
      <c r="AC135" s="930"/>
    </row>
    <row r="136" spans="1:30" s="931" customFormat="1" ht="23.45" customHeight="1">
      <c r="A136" s="673"/>
      <c r="B136" s="674"/>
      <c r="C136" s="948"/>
      <c r="D136" s="2102" t="s">
        <v>596</v>
      </c>
      <c r="E136" s="2103"/>
      <c r="F136" s="1385">
        <f>SUM(F137:F155)</f>
        <v>85000</v>
      </c>
      <c r="G136" s="1385">
        <f>SUM(G137:G155)</f>
        <v>85000</v>
      </c>
      <c r="H136" s="933">
        <f t="shared" ref="H136" si="12">F136-G136</f>
        <v>0</v>
      </c>
      <c r="I136" s="734"/>
      <c r="J136" s="1031"/>
      <c r="K136" s="1032"/>
      <c r="L136" s="1032"/>
      <c r="M136" s="1032"/>
      <c r="N136" s="1032"/>
      <c r="O136" s="1032"/>
      <c r="P136" s="1032"/>
      <c r="Q136" s="937"/>
      <c r="R136" s="1033"/>
      <c r="S136" s="2112"/>
      <c r="T136" s="1033"/>
      <c r="U136" s="2112"/>
      <c r="V136" s="1033"/>
      <c r="W136" s="2112"/>
      <c r="X136" s="2112"/>
      <c r="Y136" s="939"/>
      <c r="Z136" s="736" t="e">
        <f>Z137+Z140+#REF!+Z141+Z142+Z145+Z148+Z154+#REF!+#REF!</f>
        <v>#REF!</v>
      </c>
      <c r="AA136" s="1073">
        <f t="shared" si="5"/>
        <v>85000000000</v>
      </c>
      <c r="AB136" s="930"/>
      <c r="AC136" s="930"/>
    </row>
    <row r="137" spans="1:30" s="709" customFormat="1" ht="23.45" customHeight="1">
      <c r="A137" s="673"/>
      <c r="B137" s="674"/>
      <c r="C137" s="948"/>
      <c r="D137" s="948"/>
      <c r="E137" s="675" t="s">
        <v>4639</v>
      </c>
      <c r="F137" s="941">
        <f>Y137</f>
        <v>3340</v>
      </c>
      <c r="G137" s="1261">
        <v>3340</v>
      </c>
      <c r="H137" s="1239"/>
      <c r="I137" s="734"/>
      <c r="J137" s="3174" t="s">
        <v>8</v>
      </c>
      <c r="K137" s="3172"/>
      <c r="L137" s="3172"/>
      <c r="M137" s="3172"/>
      <c r="N137" s="3171"/>
      <c r="O137" s="3171"/>
      <c r="P137" s="3171"/>
      <c r="Q137" s="992"/>
      <c r="R137" s="3200"/>
      <c r="S137" s="3200" t="s">
        <v>20</v>
      </c>
      <c r="T137" s="684" t="s">
        <v>20</v>
      </c>
      <c r="U137" s="684" t="s">
        <v>20</v>
      </c>
      <c r="V137" s="684" t="s">
        <v>20</v>
      </c>
      <c r="W137" s="684" t="s">
        <v>20</v>
      </c>
      <c r="X137" s="686" t="s">
        <v>20</v>
      </c>
      <c r="Y137" s="3175">
        <f t="shared" ref="Y137:Y155" si="13">+Z137/1000</f>
        <v>3340</v>
      </c>
      <c r="Z137" s="993">
        <f>SUM(Z138:Z139)</f>
        <v>3340000</v>
      </c>
      <c r="AA137" s="1073">
        <f t="shared" si="5"/>
        <v>3340000000</v>
      </c>
      <c r="AB137" s="915"/>
      <c r="AC137" s="915"/>
    </row>
    <row r="138" spans="1:30" s="709" customFormat="1" ht="23.45" customHeight="1">
      <c r="A138" s="673"/>
      <c r="B138" s="674"/>
      <c r="C138" s="948"/>
      <c r="D138" s="675"/>
      <c r="E138" s="675"/>
      <c r="F138" s="941"/>
      <c r="G138" s="1261"/>
      <c r="H138" s="1239"/>
      <c r="I138" s="734"/>
      <c r="J138" s="3174" t="s">
        <v>4621</v>
      </c>
      <c r="K138" s="3172"/>
      <c r="L138" s="3172"/>
      <c r="M138" s="3172"/>
      <c r="N138" s="3171"/>
      <c r="O138" s="3171"/>
      <c r="P138" s="3171"/>
      <c r="Q138" s="992" t="s">
        <v>587</v>
      </c>
      <c r="R138" s="3200" t="s">
        <v>142</v>
      </c>
      <c r="S138" s="3164">
        <v>2000000</v>
      </c>
      <c r="T138" s="3163" t="s">
        <v>0</v>
      </c>
      <c r="U138" s="3163"/>
      <c r="V138" s="3163">
        <v>1</v>
      </c>
      <c r="W138" s="3163" t="s">
        <v>2</v>
      </c>
      <c r="X138" s="3165" t="s">
        <v>1</v>
      </c>
      <c r="Y138" s="3175">
        <f t="shared" si="13"/>
        <v>2000</v>
      </c>
      <c r="Z138" s="3163">
        <f>Q138*S138*V138</f>
        <v>2000000</v>
      </c>
      <c r="AA138" s="1073">
        <f t="shared" si="5"/>
        <v>0</v>
      </c>
      <c r="AB138" s="915"/>
      <c r="AC138" s="915"/>
    </row>
    <row r="139" spans="1:30" s="709" customFormat="1" ht="23.45" customHeight="1">
      <c r="A139" s="673"/>
      <c r="B139" s="674"/>
      <c r="C139" s="948"/>
      <c r="D139" s="675"/>
      <c r="E139" s="675"/>
      <c r="F139" s="941"/>
      <c r="G139" s="1261"/>
      <c r="H139" s="1239"/>
      <c r="I139" s="734"/>
      <c r="J139" s="3174" t="s">
        <v>4622</v>
      </c>
      <c r="K139" s="3172"/>
      <c r="L139" s="3172"/>
      <c r="M139" s="3172"/>
      <c r="N139" s="3171"/>
      <c r="O139" s="3171"/>
      <c r="P139" s="3171"/>
      <c r="Q139" s="992" t="s">
        <v>587</v>
      </c>
      <c r="R139" s="3200" t="s">
        <v>142</v>
      </c>
      <c r="S139" s="3164">
        <v>1340000</v>
      </c>
      <c r="T139" s="3163" t="s">
        <v>0</v>
      </c>
      <c r="U139" s="3163"/>
      <c r="V139" s="3163">
        <v>1</v>
      </c>
      <c r="W139" s="3163" t="s">
        <v>2</v>
      </c>
      <c r="X139" s="3165" t="s">
        <v>1</v>
      </c>
      <c r="Y139" s="3175">
        <f t="shared" si="13"/>
        <v>1340</v>
      </c>
      <c r="Z139" s="3163">
        <f>Q139*S139*V139</f>
        <v>1340000</v>
      </c>
      <c r="AA139" s="1073">
        <f t="shared" si="5"/>
        <v>0</v>
      </c>
      <c r="AB139" s="915"/>
      <c r="AC139" s="915"/>
    </row>
    <row r="140" spans="1:30" s="931" customFormat="1" ht="23.45" customHeight="1">
      <c r="A140" s="673"/>
      <c r="B140" s="674"/>
      <c r="C140" s="948"/>
      <c r="D140" s="675"/>
      <c r="E140" s="675" t="s">
        <v>57</v>
      </c>
      <c r="F140" s="941">
        <f>Y140</f>
        <v>7500</v>
      </c>
      <c r="G140" s="1261">
        <v>7500</v>
      </c>
      <c r="H140" s="1239"/>
      <c r="I140" s="734"/>
      <c r="J140" s="3174" t="s">
        <v>4623</v>
      </c>
      <c r="K140" s="3172"/>
      <c r="L140" s="3172"/>
      <c r="M140" s="3172"/>
      <c r="N140" s="3171"/>
      <c r="O140" s="3171"/>
      <c r="P140" s="3171"/>
      <c r="Q140" s="1038">
        <v>500</v>
      </c>
      <c r="R140" s="3200" t="s">
        <v>4624</v>
      </c>
      <c r="S140" s="3164">
        <v>15000</v>
      </c>
      <c r="T140" s="3163" t="s">
        <v>4625</v>
      </c>
      <c r="U140" s="3163"/>
      <c r="V140" s="3163">
        <v>1</v>
      </c>
      <c r="W140" s="3163" t="s">
        <v>3</v>
      </c>
      <c r="X140" s="3165" t="s">
        <v>1</v>
      </c>
      <c r="Y140" s="1452">
        <f t="shared" si="13"/>
        <v>7500</v>
      </c>
      <c r="Z140" s="3163">
        <f>Q140*S140*V140</f>
        <v>7500000</v>
      </c>
      <c r="AA140" s="1073">
        <f t="shared" si="5"/>
        <v>7500000000</v>
      </c>
      <c r="AB140" s="930"/>
      <c r="AC140" s="930"/>
    </row>
    <row r="141" spans="1:30" s="709" customFormat="1" ht="23.45" customHeight="1">
      <c r="A141" s="673"/>
      <c r="B141" s="674"/>
      <c r="C141" s="948"/>
      <c r="D141" s="675"/>
      <c r="E141" s="675" t="s">
        <v>4640</v>
      </c>
      <c r="F141" s="941">
        <f>Y141</f>
        <v>2620</v>
      </c>
      <c r="G141" s="1261">
        <v>2620</v>
      </c>
      <c r="H141" s="1239"/>
      <c r="I141" s="734"/>
      <c r="J141" s="3174" t="s">
        <v>4626</v>
      </c>
      <c r="K141" s="3172"/>
      <c r="L141" s="3172"/>
      <c r="M141" s="3172"/>
      <c r="N141" s="3171"/>
      <c r="O141" s="3171"/>
      <c r="P141" s="3171"/>
      <c r="Q141" s="992"/>
      <c r="R141" s="3200"/>
      <c r="S141" s="3164">
        <v>262000</v>
      </c>
      <c r="T141" s="3163" t="s">
        <v>0</v>
      </c>
      <c r="U141" s="3163"/>
      <c r="V141" s="3163">
        <v>10</v>
      </c>
      <c r="W141" s="3163" t="s">
        <v>4627</v>
      </c>
      <c r="X141" s="3165" t="s">
        <v>1</v>
      </c>
      <c r="Y141" s="1452">
        <f t="shared" si="13"/>
        <v>2620</v>
      </c>
      <c r="Z141" s="3163">
        <f>S141*V141</f>
        <v>2620000</v>
      </c>
      <c r="AA141" s="1073">
        <f t="shared" si="5"/>
        <v>2620000000</v>
      </c>
      <c r="AB141" s="915"/>
      <c r="AC141" s="915"/>
    </row>
    <row r="142" spans="1:30" s="709" customFormat="1" ht="23.45" customHeight="1">
      <c r="A142" s="673"/>
      <c r="B142" s="674"/>
      <c r="C142" s="948"/>
      <c r="D142" s="675"/>
      <c r="E142" s="675" t="s">
        <v>82</v>
      </c>
      <c r="F142" s="941">
        <f>Y142</f>
        <v>10990</v>
      </c>
      <c r="G142" s="1261">
        <v>10990</v>
      </c>
      <c r="H142" s="1239"/>
      <c r="I142" s="734"/>
      <c r="J142" s="3174" t="s">
        <v>8</v>
      </c>
      <c r="K142" s="3172"/>
      <c r="L142" s="3172"/>
      <c r="M142" s="3172"/>
      <c r="N142" s="3171"/>
      <c r="O142" s="3171"/>
      <c r="P142" s="3171"/>
      <c r="Q142" s="992"/>
      <c r="R142" s="3200"/>
      <c r="S142" s="3200" t="s">
        <v>20</v>
      </c>
      <c r="T142" s="684" t="s">
        <v>20</v>
      </c>
      <c r="U142" s="684" t="s">
        <v>20</v>
      </c>
      <c r="V142" s="684" t="s">
        <v>20</v>
      </c>
      <c r="W142" s="684" t="s">
        <v>20</v>
      </c>
      <c r="X142" s="686" t="s">
        <v>20</v>
      </c>
      <c r="Y142" s="3175">
        <f>+Y143+Y144</f>
        <v>10990</v>
      </c>
      <c r="Z142" s="3163">
        <f>Z143+Z144+1</f>
        <v>10990001</v>
      </c>
      <c r="AA142" s="1073">
        <f t="shared" si="5"/>
        <v>10990000000</v>
      </c>
      <c r="AB142" s="915"/>
      <c r="AC142" s="915"/>
    </row>
    <row r="143" spans="1:30" s="709" customFormat="1" ht="23.45" customHeight="1">
      <c r="A143" s="673"/>
      <c r="B143" s="674"/>
      <c r="C143" s="948"/>
      <c r="D143" s="948"/>
      <c r="E143" s="675"/>
      <c r="F143" s="941"/>
      <c r="G143" s="1261"/>
      <c r="H143" s="1239"/>
      <c r="I143" s="734"/>
      <c r="J143" s="3174" t="s">
        <v>4628</v>
      </c>
      <c r="K143" s="3172"/>
      <c r="L143" s="3172"/>
      <c r="M143" s="3172"/>
      <c r="N143" s="3171"/>
      <c r="O143" s="3171"/>
      <c r="P143" s="3171"/>
      <c r="Q143" s="992"/>
      <c r="R143" s="3200"/>
      <c r="S143" s="3164">
        <v>499545.45454545453</v>
      </c>
      <c r="T143" s="3163" t="s">
        <v>0</v>
      </c>
      <c r="U143" s="3163"/>
      <c r="V143" s="3163">
        <v>11</v>
      </c>
      <c r="W143" s="3163" t="s">
        <v>2</v>
      </c>
      <c r="X143" s="3165" t="s">
        <v>1</v>
      </c>
      <c r="Y143" s="3175">
        <f t="shared" si="13"/>
        <v>5495</v>
      </c>
      <c r="Z143" s="3163">
        <f>S143*V143</f>
        <v>5495000</v>
      </c>
      <c r="AA143" s="1073">
        <f t="shared" si="5"/>
        <v>0</v>
      </c>
      <c r="AB143" s="915">
        <v>5495000</v>
      </c>
      <c r="AC143" s="915">
        <f>AB143/V143</f>
        <v>499545.45454545453</v>
      </c>
      <c r="AD143" s="3166">
        <f>AB143/11</f>
        <v>499545.45454545453</v>
      </c>
    </row>
    <row r="144" spans="1:30" s="709" customFormat="1" ht="23.45" customHeight="1">
      <c r="A144" s="673"/>
      <c r="B144" s="674"/>
      <c r="C144" s="948"/>
      <c r="D144" s="948"/>
      <c r="E144" s="675"/>
      <c r="F144" s="941"/>
      <c r="G144" s="1261"/>
      <c r="H144" s="1239"/>
      <c r="I144" s="734"/>
      <c r="J144" s="3174" t="s">
        <v>4629</v>
      </c>
      <c r="K144" s="3172"/>
      <c r="L144" s="3172"/>
      <c r="M144" s="3172"/>
      <c r="N144" s="3171"/>
      <c r="O144" s="3171"/>
      <c r="P144" s="3171"/>
      <c r="Q144" s="992"/>
      <c r="R144" s="3200"/>
      <c r="S144" s="3164">
        <v>499545.45454545453</v>
      </c>
      <c r="T144" s="3163" t="s">
        <v>0</v>
      </c>
      <c r="U144" s="3163"/>
      <c r="V144" s="3163">
        <v>11</v>
      </c>
      <c r="W144" s="3163" t="s">
        <v>2</v>
      </c>
      <c r="X144" s="3165" t="s">
        <v>1</v>
      </c>
      <c r="Y144" s="3175">
        <f t="shared" si="13"/>
        <v>5495</v>
      </c>
      <c r="Z144" s="3163">
        <f>S144*V144</f>
        <v>5495000</v>
      </c>
      <c r="AA144" s="1073">
        <f t="shared" si="5"/>
        <v>0</v>
      </c>
      <c r="AB144" s="915">
        <v>5495000</v>
      </c>
      <c r="AC144" s="3166">
        <f>AB144/V144</f>
        <v>499545.45454545453</v>
      </c>
      <c r="AD144" s="3166">
        <f>AB144/11</f>
        <v>499545.45454545453</v>
      </c>
    </row>
    <row r="145" spans="1:33" s="931" customFormat="1" ht="23.45" customHeight="1">
      <c r="A145" s="673"/>
      <c r="B145" s="674"/>
      <c r="C145" s="948"/>
      <c r="D145" s="675"/>
      <c r="E145" s="675" t="s">
        <v>58</v>
      </c>
      <c r="F145" s="941">
        <f>Y145</f>
        <v>1500</v>
      </c>
      <c r="G145" s="1261">
        <v>1500</v>
      </c>
      <c r="H145" s="1239"/>
      <c r="I145" s="734"/>
      <c r="J145" s="3174" t="s">
        <v>8</v>
      </c>
      <c r="K145" s="3172"/>
      <c r="L145" s="3172"/>
      <c r="M145" s="3172"/>
      <c r="N145" s="3171"/>
      <c r="O145" s="3171"/>
      <c r="P145" s="3171"/>
      <c r="Q145" s="992"/>
      <c r="R145" s="3200"/>
      <c r="S145" s="3200"/>
      <c r="T145" s="684" t="s">
        <v>20</v>
      </c>
      <c r="U145" s="684" t="s">
        <v>20</v>
      </c>
      <c r="V145" s="684" t="s">
        <v>20</v>
      </c>
      <c r="W145" s="684" t="s">
        <v>20</v>
      </c>
      <c r="X145" s="686" t="s">
        <v>20</v>
      </c>
      <c r="Y145" s="3175">
        <f t="shared" si="13"/>
        <v>1500</v>
      </c>
      <c r="Z145" s="993">
        <f>SUM(Z146:Z147)</f>
        <v>1500000</v>
      </c>
      <c r="AA145" s="1073">
        <f t="shared" si="5"/>
        <v>1500000000</v>
      </c>
      <c r="AB145" s="930"/>
      <c r="AC145" s="930"/>
    </row>
    <row r="146" spans="1:33" s="931" customFormat="1" ht="23.45" customHeight="1">
      <c r="A146" s="673"/>
      <c r="B146" s="674"/>
      <c r="C146" s="948"/>
      <c r="D146" s="948"/>
      <c r="E146" s="675"/>
      <c r="F146" s="941"/>
      <c r="G146" s="1261"/>
      <c r="H146" s="1239"/>
      <c r="I146" s="734"/>
      <c r="J146" s="3174" t="s">
        <v>4630</v>
      </c>
      <c r="K146" s="3172"/>
      <c r="L146" s="3172"/>
      <c r="M146" s="3172"/>
      <c r="N146" s="3171"/>
      <c r="O146" s="3171"/>
      <c r="P146" s="3171"/>
      <c r="Q146" s="3177"/>
      <c r="R146" s="3200"/>
      <c r="S146" s="3164">
        <v>50000</v>
      </c>
      <c r="T146" s="3163" t="s">
        <v>0</v>
      </c>
      <c r="U146" s="3163"/>
      <c r="V146" s="3163">
        <v>20</v>
      </c>
      <c r="W146" s="3163" t="s">
        <v>581</v>
      </c>
      <c r="X146" s="3165" t="s">
        <v>1</v>
      </c>
      <c r="Y146" s="3175">
        <f t="shared" si="13"/>
        <v>1000</v>
      </c>
      <c r="Z146" s="3163">
        <f>S146*V146</f>
        <v>1000000</v>
      </c>
      <c r="AA146" s="1073">
        <f t="shared" si="5"/>
        <v>0</v>
      </c>
      <c r="AB146" s="930"/>
      <c r="AC146" s="930"/>
    </row>
    <row r="147" spans="1:33" s="931" customFormat="1" ht="23.45" customHeight="1">
      <c r="A147" s="673"/>
      <c r="B147" s="674"/>
      <c r="C147" s="948"/>
      <c r="D147" s="948"/>
      <c r="E147" s="675"/>
      <c r="F147" s="941"/>
      <c r="G147" s="1261"/>
      <c r="H147" s="1239"/>
      <c r="I147" s="734"/>
      <c r="J147" s="3174" t="s">
        <v>4631</v>
      </c>
      <c r="K147" s="3172"/>
      <c r="L147" s="3172"/>
      <c r="M147" s="3172"/>
      <c r="N147" s="3171"/>
      <c r="O147" s="3171"/>
      <c r="P147" s="3171"/>
      <c r="Q147" s="946"/>
      <c r="R147" s="3163"/>
      <c r="S147" s="3164">
        <v>500000</v>
      </c>
      <c r="T147" s="3163" t="s">
        <v>0</v>
      </c>
      <c r="U147" s="3163"/>
      <c r="V147" s="3163">
        <v>1</v>
      </c>
      <c r="W147" s="3163" t="s">
        <v>4627</v>
      </c>
      <c r="X147" s="3165" t="s">
        <v>1</v>
      </c>
      <c r="Y147" s="3175">
        <f t="shared" si="13"/>
        <v>500</v>
      </c>
      <c r="Z147" s="3163">
        <f>S147*V147</f>
        <v>500000</v>
      </c>
      <c r="AA147" s="1073">
        <f t="shared" si="5"/>
        <v>0</v>
      </c>
      <c r="AB147" s="930"/>
      <c r="AC147" s="930"/>
    </row>
    <row r="148" spans="1:33" s="931" customFormat="1" ht="23.45" customHeight="1">
      <c r="A148" s="673"/>
      <c r="B148" s="674"/>
      <c r="C148" s="948"/>
      <c r="D148" s="675"/>
      <c r="E148" s="675" t="s">
        <v>71</v>
      </c>
      <c r="F148" s="941">
        <f>Y148</f>
        <v>58250</v>
      </c>
      <c r="G148" s="1261">
        <v>58250</v>
      </c>
      <c r="H148" s="1239"/>
      <c r="I148" s="734"/>
      <c r="J148" s="3174" t="s">
        <v>4632</v>
      </c>
      <c r="K148" s="3172"/>
      <c r="L148" s="3172"/>
      <c r="M148" s="3172"/>
      <c r="N148" s="3171"/>
      <c r="O148" s="3171"/>
      <c r="P148" s="3171"/>
      <c r="Q148" s="992"/>
      <c r="R148" s="3200"/>
      <c r="S148" s="3200" t="s">
        <v>20</v>
      </c>
      <c r="T148" s="684" t="s">
        <v>20</v>
      </c>
      <c r="U148" s="684" t="s">
        <v>20</v>
      </c>
      <c r="V148" s="684" t="s">
        <v>20</v>
      </c>
      <c r="W148" s="684" t="s">
        <v>20</v>
      </c>
      <c r="X148" s="686" t="s">
        <v>20</v>
      </c>
      <c r="Y148" s="3175">
        <f t="shared" si="13"/>
        <v>58250</v>
      </c>
      <c r="Z148" s="993">
        <f>SUM(Z149:Z153)</f>
        <v>58250000</v>
      </c>
      <c r="AA148" s="1073">
        <f t="shared" si="5"/>
        <v>58250000000</v>
      </c>
      <c r="AB148" s="930"/>
      <c r="AC148" s="930"/>
    </row>
    <row r="149" spans="1:33" s="931" customFormat="1" ht="23.45" customHeight="1">
      <c r="A149" s="673"/>
      <c r="B149" s="674"/>
      <c r="C149" s="948"/>
      <c r="D149" s="948"/>
      <c r="E149" s="675"/>
      <c r="F149" s="941"/>
      <c r="G149" s="1261"/>
      <c r="H149" s="1239"/>
      <c r="I149" s="734"/>
      <c r="J149" s="3174" t="s">
        <v>4633</v>
      </c>
      <c r="K149" s="3172"/>
      <c r="L149" s="3172"/>
      <c r="M149" s="3172"/>
      <c r="N149" s="3171"/>
      <c r="O149" s="3171"/>
      <c r="P149" s="3171"/>
      <c r="Q149" s="992"/>
      <c r="R149" s="3200"/>
      <c r="S149" s="3164">
        <v>1000000</v>
      </c>
      <c r="T149" s="3163" t="s">
        <v>0</v>
      </c>
      <c r="U149" s="3163"/>
      <c r="V149" s="3163">
        <v>3</v>
      </c>
      <c r="W149" s="3163" t="s">
        <v>4627</v>
      </c>
      <c r="X149" s="3165" t="s">
        <v>1</v>
      </c>
      <c r="Y149" s="3175">
        <f t="shared" si="13"/>
        <v>3000</v>
      </c>
      <c r="Z149" s="3163">
        <f t="shared" ref="Z149:Z153" si="14">S149*V149</f>
        <v>3000000</v>
      </c>
      <c r="AA149" s="1073">
        <f t="shared" si="5"/>
        <v>0</v>
      </c>
      <c r="AB149" s="930"/>
      <c r="AC149" s="930"/>
    </row>
    <row r="150" spans="1:33" s="931" customFormat="1" ht="23.45" customHeight="1">
      <c r="A150" s="673"/>
      <c r="B150" s="674"/>
      <c r="C150" s="948"/>
      <c r="D150" s="948"/>
      <c r="E150" s="675"/>
      <c r="F150" s="941"/>
      <c r="G150" s="1261"/>
      <c r="H150" s="1239"/>
      <c r="I150" s="734"/>
      <c r="J150" s="3174" t="s">
        <v>4634</v>
      </c>
      <c r="K150" s="3172"/>
      <c r="L150" s="3172"/>
      <c r="M150" s="3172"/>
      <c r="N150" s="3171"/>
      <c r="O150" s="3171"/>
      <c r="P150" s="3171"/>
      <c r="Q150" s="992"/>
      <c r="R150" s="3200"/>
      <c r="S150" s="3164">
        <v>23500000</v>
      </c>
      <c r="T150" s="3163" t="s">
        <v>0</v>
      </c>
      <c r="U150" s="3163"/>
      <c r="V150" s="3163">
        <v>1</v>
      </c>
      <c r="W150" s="3163" t="s">
        <v>3</v>
      </c>
      <c r="X150" s="3165" t="s">
        <v>1</v>
      </c>
      <c r="Y150" s="3175">
        <f t="shared" si="13"/>
        <v>23500</v>
      </c>
      <c r="Z150" s="3163">
        <f t="shared" si="14"/>
        <v>23500000</v>
      </c>
      <c r="AA150" s="1073">
        <f t="shared" si="5"/>
        <v>0</v>
      </c>
      <c r="AB150" s="930"/>
      <c r="AC150" s="930"/>
    </row>
    <row r="151" spans="1:33" s="931" customFormat="1" ht="23.45" customHeight="1">
      <c r="A151" s="673"/>
      <c r="B151" s="674"/>
      <c r="C151" s="948"/>
      <c r="D151" s="948"/>
      <c r="E151" s="675"/>
      <c r="F151" s="941"/>
      <c r="G151" s="1261"/>
      <c r="H151" s="1239"/>
      <c r="I151" s="734"/>
      <c r="J151" s="3174" t="s">
        <v>4635</v>
      </c>
      <c r="K151" s="3172"/>
      <c r="L151" s="3172"/>
      <c r="M151" s="3172"/>
      <c r="N151" s="3171"/>
      <c r="O151" s="3171"/>
      <c r="P151" s="3171"/>
      <c r="Q151" s="992"/>
      <c r="R151" s="3200"/>
      <c r="S151" s="3164">
        <v>50000</v>
      </c>
      <c r="T151" s="3163" t="s">
        <v>0</v>
      </c>
      <c r="U151" s="3163"/>
      <c r="V151" s="3163">
        <v>40</v>
      </c>
      <c r="W151" s="3163" t="s">
        <v>595</v>
      </c>
      <c r="X151" s="3165" t="s">
        <v>1</v>
      </c>
      <c r="Y151" s="3175">
        <f t="shared" si="13"/>
        <v>2000</v>
      </c>
      <c r="Z151" s="3163">
        <f t="shared" si="14"/>
        <v>2000000</v>
      </c>
      <c r="AA151" s="1073">
        <f t="shared" si="5"/>
        <v>0</v>
      </c>
      <c r="AB151" s="930"/>
      <c r="AC151" s="930"/>
    </row>
    <row r="152" spans="1:33" s="931" customFormat="1" ht="23.45" customHeight="1">
      <c r="A152" s="673"/>
      <c r="B152" s="674"/>
      <c r="C152" s="948"/>
      <c r="D152" s="948"/>
      <c r="E152" s="675"/>
      <c r="F152" s="941"/>
      <c r="G152" s="1261"/>
      <c r="H152" s="1239"/>
      <c r="I152" s="734"/>
      <c r="J152" s="3174" t="s">
        <v>4636</v>
      </c>
      <c r="K152" s="3172"/>
      <c r="L152" s="3172"/>
      <c r="M152" s="3172"/>
      <c r="N152" s="3171"/>
      <c r="O152" s="3171"/>
      <c r="P152" s="3171"/>
      <c r="Q152" s="992"/>
      <c r="R152" s="3200"/>
      <c r="S152" s="3164">
        <v>13750000</v>
      </c>
      <c r="T152" s="3163" t="s">
        <v>0</v>
      </c>
      <c r="U152" s="3163"/>
      <c r="V152" s="3163">
        <v>1</v>
      </c>
      <c r="W152" s="3163" t="s">
        <v>4627</v>
      </c>
      <c r="X152" s="3165" t="s">
        <v>1</v>
      </c>
      <c r="Y152" s="3175">
        <f t="shared" si="13"/>
        <v>13750</v>
      </c>
      <c r="Z152" s="3163">
        <f t="shared" si="14"/>
        <v>13750000</v>
      </c>
      <c r="AA152" s="1073">
        <f t="shared" si="5"/>
        <v>0</v>
      </c>
      <c r="AB152" s="930"/>
      <c r="AC152" s="930"/>
    </row>
    <row r="153" spans="1:33" s="931" customFormat="1" ht="23.45" customHeight="1">
      <c r="A153" s="673"/>
      <c r="B153" s="674"/>
      <c r="C153" s="948"/>
      <c r="D153" s="948"/>
      <c r="E153" s="675"/>
      <c r="F153" s="941"/>
      <c r="G153" s="1261"/>
      <c r="H153" s="1239"/>
      <c r="I153" s="734"/>
      <c r="J153" s="3174" t="s">
        <v>4637</v>
      </c>
      <c r="K153" s="3172"/>
      <c r="L153" s="3172"/>
      <c r="M153" s="3172"/>
      <c r="N153" s="3171"/>
      <c r="O153" s="3171"/>
      <c r="P153" s="3171"/>
      <c r="Q153" s="992"/>
      <c r="R153" s="3200"/>
      <c r="S153" s="3164">
        <v>4000000</v>
      </c>
      <c r="T153" s="3163" t="s">
        <v>0</v>
      </c>
      <c r="U153" s="3163"/>
      <c r="V153" s="3163">
        <v>4</v>
      </c>
      <c r="W153" s="3163" t="s">
        <v>4627</v>
      </c>
      <c r="X153" s="3165" t="s">
        <v>1</v>
      </c>
      <c r="Y153" s="3175">
        <f t="shared" si="13"/>
        <v>16000</v>
      </c>
      <c r="Z153" s="3163">
        <f t="shared" si="14"/>
        <v>16000000</v>
      </c>
      <c r="AA153" s="1073">
        <f t="shared" si="5"/>
        <v>0</v>
      </c>
      <c r="AB153" s="930"/>
      <c r="AC153" s="930"/>
    </row>
    <row r="154" spans="1:33" s="931" customFormat="1" ht="23.45" customHeight="1">
      <c r="A154" s="673"/>
      <c r="B154" s="674"/>
      <c r="C154" s="948"/>
      <c r="D154" s="948"/>
      <c r="E154" s="675" t="s">
        <v>4641</v>
      </c>
      <c r="F154" s="941">
        <f>Y154</f>
        <v>200</v>
      </c>
      <c r="G154" s="1261">
        <v>200</v>
      </c>
      <c r="H154" s="1239"/>
      <c r="I154" s="734"/>
      <c r="J154" s="3174" t="s">
        <v>580</v>
      </c>
      <c r="K154" s="3172"/>
      <c r="L154" s="3172"/>
      <c r="M154" s="3172"/>
      <c r="N154" s="3171"/>
      <c r="O154" s="3171"/>
      <c r="P154" s="3171"/>
      <c r="Q154" s="3177">
        <v>129</v>
      </c>
      <c r="R154" s="3200" t="s">
        <v>143</v>
      </c>
      <c r="S154" s="3164">
        <v>1550</v>
      </c>
      <c r="T154" s="3163" t="s">
        <v>4625</v>
      </c>
      <c r="U154" s="3163"/>
      <c r="V154" s="3163">
        <v>1</v>
      </c>
      <c r="W154" s="3163" t="s">
        <v>4627</v>
      </c>
      <c r="X154" s="3165" t="s">
        <v>4600</v>
      </c>
      <c r="Y154" s="3175">
        <f t="shared" si="13"/>
        <v>200</v>
      </c>
      <c r="Z154" s="3163">
        <f>Q154*S154*V154+50</f>
        <v>200000</v>
      </c>
      <c r="AA154" s="1073">
        <f t="shared" ref="AA154:AA216" si="15">F154*1000000</f>
        <v>200000000</v>
      </c>
      <c r="AB154" s="930"/>
      <c r="AC154" s="930"/>
    </row>
    <row r="155" spans="1:33" s="931" customFormat="1" ht="23.45" customHeight="1">
      <c r="A155" s="673"/>
      <c r="B155" s="674"/>
      <c r="C155" s="948"/>
      <c r="D155" s="948"/>
      <c r="E155" s="970" t="s">
        <v>61</v>
      </c>
      <c r="F155" s="941">
        <f>Y155</f>
        <v>600</v>
      </c>
      <c r="G155" s="1261">
        <v>600</v>
      </c>
      <c r="H155" s="1239"/>
      <c r="I155" s="734"/>
      <c r="J155" s="991" t="s">
        <v>4638</v>
      </c>
      <c r="K155" s="1411"/>
      <c r="L155" s="1411"/>
      <c r="M155" s="1411"/>
      <c r="N155" s="1415"/>
      <c r="O155" s="1415"/>
      <c r="P155" s="1415"/>
      <c r="Q155" s="1455">
        <v>6</v>
      </c>
      <c r="R155" s="2046" t="s">
        <v>142</v>
      </c>
      <c r="S155" s="979">
        <v>20000</v>
      </c>
      <c r="T155" s="978" t="s">
        <v>0</v>
      </c>
      <c r="U155" s="978"/>
      <c r="V155" s="978">
        <v>5</v>
      </c>
      <c r="W155" s="978" t="s">
        <v>3</v>
      </c>
      <c r="X155" s="1025" t="s">
        <v>1</v>
      </c>
      <c r="Y155" s="1029">
        <f t="shared" si="13"/>
        <v>600</v>
      </c>
      <c r="Z155" s="3163">
        <f>Q155*S155*V155</f>
        <v>600000</v>
      </c>
      <c r="AA155" s="1073">
        <f t="shared" si="15"/>
        <v>600000000</v>
      </c>
      <c r="AB155" s="930"/>
      <c r="AC155" s="930"/>
    </row>
    <row r="156" spans="1:33" s="931" customFormat="1" ht="23.45" customHeight="1">
      <c r="A156" s="673"/>
      <c r="B156" s="674"/>
      <c r="C156" s="948"/>
      <c r="D156" s="3955" t="s">
        <v>2972</v>
      </c>
      <c r="E156" s="3883"/>
      <c r="F156" s="2061">
        <f>SUM(F157:F191)</f>
        <v>160000</v>
      </c>
      <c r="G156" s="955">
        <f>SUM(G157:G191)</f>
        <v>160000</v>
      </c>
      <c r="H156" s="933">
        <f>SUM(H157:H191)</f>
        <v>0</v>
      </c>
      <c r="I156" s="734"/>
      <c r="J156" s="1031"/>
      <c r="K156" s="1032"/>
      <c r="L156" s="1032"/>
      <c r="M156" s="1032"/>
      <c r="N156" s="1032"/>
      <c r="O156" s="1032"/>
      <c r="P156" s="1032"/>
      <c r="Q156" s="937"/>
      <c r="R156" s="1033"/>
      <c r="S156" s="2112"/>
      <c r="T156" s="1033"/>
      <c r="U156" s="2112"/>
      <c r="V156" s="1033"/>
      <c r="W156" s="2112"/>
      <c r="X156" s="2112"/>
      <c r="Y156" s="939"/>
      <c r="Z156" s="736" t="e">
        <f>Z157+Z160+Z161+Z164+Z165+Z166+Z171+Z176+Z185+Z188+Z189+#REF!</f>
        <v>#REF!</v>
      </c>
      <c r="AA156" s="1073">
        <f t="shared" si="15"/>
        <v>160000000000</v>
      </c>
      <c r="AB156" s="930"/>
      <c r="AC156" s="930"/>
    </row>
    <row r="157" spans="1:33" s="709" customFormat="1" ht="23.45" customHeight="1">
      <c r="A157" s="673"/>
      <c r="B157" s="674"/>
      <c r="C157" s="948"/>
      <c r="D157" s="948"/>
      <c r="E157" s="675" t="s">
        <v>278</v>
      </c>
      <c r="F157" s="941">
        <f>Y157</f>
        <v>4630</v>
      </c>
      <c r="G157" s="1261">
        <v>4630</v>
      </c>
      <c r="H157" s="1239"/>
      <c r="I157" s="734"/>
      <c r="J157" s="3174" t="s">
        <v>224</v>
      </c>
      <c r="K157" s="3172"/>
      <c r="L157" s="3172"/>
      <c r="M157" s="3172"/>
      <c r="N157" s="3171"/>
      <c r="O157" s="3171"/>
      <c r="P157" s="3171"/>
      <c r="Q157" s="992"/>
      <c r="R157" s="3229"/>
      <c r="S157" s="3229" t="s">
        <v>265</v>
      </c>
      <c r="T157" s="684" t="s">
        <v>265</v>
      </c>
      <c r="U157" s="684" t="s">
        <v>265</v>
      </c>
      <c r="V157" s="684" t="s">
        <v>265</v>
      </c>
      <c r="W157" s="684" t="s">
        <v>265</v>
      </c>
      <c r="X157" s="686" t="s">
        <v>265</v>
      </c>
      <c r="Y157" s="3175">
        <f t="shared" ref="Y157:Y164" si="16">+Z157/1000</f>
        <v>4630</v>
      </c>
      <c r="Z157" s="993">
        <f>SUM(Z158:Z159)</f>
        <v>4630000</v>
      </c>
      <c r="AA157" s="1073">
        <f t="shared" si="15"/>
        <v>4630000000</v>
      </c>
      <c r="AB157" s="915"/>
      <c r="AC157" s="915"/>
    </row>
    <row r="158" spans="1:33" s="709" customFormat="1" ht="23.45" customHeight="1">
      <c r="A158" s="673"/>
      <c r="B158" s="674"/>
      <c r="C158" s="948"/>
      <c r="D158" s="675"/>
      <c r="E158" s="675"/>
      <c r="F158" s="941"/>
      <c r="G158" s="1261"/>
      <c r="H158" s="1239"/>
      <c r="I158" s="734"/>
      <c r="J158" s="3174" t="s">
        <v>2973</v>
      </c>
      <c r="K158" s="3172"/>
      <c r="L158" s="3172"/>
      <c r="M158" s="3172"/>
      <c r="N158" s="3171"/>
      <c r="O158" s="3177"/>
      <c r="P158" s="3229"/>
      <c r="Q158" s="3177">
        <v>1</v>
      </c>
      <c r="R158" s="3229" t="s">
        <v>267</v>
      </c>
      <c r="S158" s="3164">
        <v>70000</v>
      </c>
      <c r="T158" s="3163" t="s">
        <v>37</v>
      </c>
      <c r="U158" s="3163"/>
      <c r="V158" s="3163">
        <v>9</v>
      </c>
      <c r="W158" s="3163" t="s">
        <v>24</v>
      </c>
      <c r="X158" s="3165" t="s">
        <v>38</v>
      </c>
      <c r="Y158" s="3175">
        <f t="shared" si="16"/>
        <v>630</v>
      </c>
      <c r="Z158" s="3163">
        <f>S158*V158*Q158</f>
        <v>630000</v>
      </c>
      <c r="AA158" s="1073">
        <f t="shared" si="15"/>
        <v>0</v>
      </c>
      <c r="AB158" s="915"/>
      <c r="AC158" s="915"/>
    </row>
    <row r="159" spans="1:33" s="709" customFormat="1" ht="23.45" customHeight="1">
      <c r="A159" s="673"/>
      <c r="B159" s="674"/>
      <c r="C159" s="948"/>
      <c r="D159" s="675"/>
      <c r="E159" s="675"/>
      <c r="F159" s="941"/>
      <c r="G159" s="1261"/>
      <c r="H159" s="1239"/>
      <c r="I159" s="734"/>
      <c r="J159" s="3174" t="s">
        <v>2974</v>
      </c>
      <c r="K159" s="3172"/>
      <c r="L159" s="3172"/>
      <c r="M159" s="3172"/>
      <c r="N159" s="3171"/>
      <c r="O159" s="3177"/>
      <c r="P159" s="3229"/>
      <c r="Q159" s="3177">
        <v>1</v>
      </c>
      <c r="R159" s="3229" t="s">
        <v>267</v>
      </c>
      <c r="S159" s="3164">
        <v>2000000</v>
      </c>
      <c r="T159" s="3163" t="s">
        <v>37</v>
      </c>
      <c r="U159" s="3163"/>
      <c r="V159" s="3163">
        <v>2</v>
      </c>
      <c r="W159" s="3163" t="s">
        <v>228</v>
      </c>
      <c r="X159" s="3165" t="s">
        <v>38</v>
      </c>
      <c r="Y159" s="3175">
        <f t="shared" si="16"/>
        <v>4000</v>
      </c>
      <c r="Z159" s="3163">
        <f>S159*V159*Q159</f>
        <v>4000000</v>
      </c>
      <c r="AA159" s="1073">
        <f t="shared" si="15"/>
        <v>0</v>
      </c>
      <c r="AB159" s="915"/>
      <c r="AC159" s="915"/>
      <c r="AD159" s="915"/>
      <c r="AE159" s="915"/>
      <c r="AF159" s="683"/>
      <c r="AG159" s="683"/>
    </row>
    <row r="160" spans="1:33" s="709" customFormat="1" ht="23.45" customHeight="1">
      <c r="A160" s="673"/>
      <c r="B160" s="674"/>
      <c r="D160" s="675"/>
      <c r="E160" s="3170" t="s">
        <v>905</v>
      </c>
      <c r="F160" s="941">
        <f>Y160</f>
        <v>3000</v>
      </c>
      <c r="G160" s="1261">
        <v>3000</v>
      </c>
      <c r="H160" s="1239"/>
      <c r="I160" s="734"/>
      <c r="J160" s="3174" t="s">
        <v>583</v>
      </c>
      <c r="K160" s="3172"/>
      <c r="L160" s="3172"/>
      <c r="M160" s="3172"/>
      <c r="N160" s="3171"/>
      <c r="O160" s="3171"/>
      <c r="P160" s="3171"/>
      <c r="Q160" s="1038"/>
      <c r="R160" s="3229"/>
      <c r="S160" s="3164">
        <v>1500000</v>
      </c>
      <c r="T160" s="3163" t="s">
        <v>37</v>
      </c>
      <c r="U160" s="3163"/>
      <c r="V160" s="3163">
        <v>2</v>
      </c>
      <c r="W160" s="3163" t="s">
        <v>3</v>
      </c>
      <c r="X160" s="3165" t="s">
        <v>1</v>
      </c>
      <c r="Y160" s="3175">
        <f t="shared" si="16"/>
        <v>3000</v>
      </c>
      <c r="Z160" s="3163">
        <f>S160*V160</f>
        <v>3000000</v>
      </c>
      <c r="AA160" s="1073">
        <f t="shared" si="15"/>
        <v>3000000000</v>
      </c>
      <c r="AB160" s="915"/>
      <c r="AC160" s="915"/>
    </row>
    <row r="161" spans="1:29" s="709" customFormat="1" ht="23.45" customHeight="1">
      <c r="A161" s="673"/>
      <c r="B161" s="674"/>
      <c r="D161" s="675"/>
      <c r="E161" s="675" t="s">
        <v>229</v>
      </c>
      <c r="F161" s="941">
        <f>Y161</f>
        <v>10000</v>
      </c>
      <c r="G161" s="1261">
        <v>10000</v>
      </c>
      <c r="H161" s="1239"/>
      <c r="I161" s="734"/>
      <c r="J161" s="3174" t="s">
        <v>224</v>
      </c>
      <c r="K161" s="3172"/>
      <c r="L161" s="3172"/>
      <c r="M161" s="3172"/>
      <c r="N161" s="3171"/>
      <c r="O161" s="3171"/>
      <c r="P161" s="3171"/>
      <c r="Q161" s="992"/>
      <c r="R161" s="3229"/>
      <c r="S161" s="3229" t="s">
        <v>265</v>
      </c>
      <c r="T161" s="684" t="s">
        <v>265</v>
      </c>
      <c r="U161" s="684" t="s">
        <v>265</v>
      </c>
      <c r="V161" s="684" t="s">
        <v>265</v>
      </c>
      <c r="W161" s="684" t="s">
        <v>265</v>
      </c>
      <c r="X161" s="686" t="s">
        <v>265</v>
      </c>
      <c r="Y161" s="3175">
        <f t="shared" si="16"/>
        <v>10000</v>
      </c>
      <c r="Z161" s="993">
        <f>SUM(Z162:Z163)</f>
        <v>10000000</v>
      </c>
      <c r="AA161" s="1073">
        <f t="shared" si="15"/>
        <v>10000000000</v>
      </c>
      <c r="AB161" s="915"/>
      <c r="AC161" s="915"/>
    </row>
    <row r="162" spans="1:29" s="709" customFormat="1" ht="23.45" customHeight="1">
      <c r="A162" s="673"/>
      <c r="B162" s="674"/>
      <c r="D162" s="675"/>
      <c r="E162" s="675"/>
      <c r="F162" s="941"/>
      <c r="G162" s="1261"/>
      <c r="H162" s="1239"/>
      <c r="I162" s="734"/>
      <c r="J162" s="3174" t="s">
        <v>2975</v>
      </c>
      <c r="K162" s="3172"/>
      <c r="L162" s="3172"/>
      <c r="M162" s="3172"/>
      <c r="N162" s="3171"/>
      <c r="O162" s="3171"/>
      <c r="P162" s="3171"/>
      <c r="Q162" s="1038">
        <v>3000</v>
      </c>
      <c r="R162" s="3229" t="s">
        <v>266</v>
      </c>
      <c r="S162" s="3164">
        <v>2500</v>
      </c>
      <c r="T162" s="3163" t="s">
        <v>37</v>
      </c>
      <c r="U162" s="3163"/>
      <c r="V162" s="3163">
        <v>1</v>
      </c>
      <c r="W162" s="3163" t="s">
        <v>39</v>
      </c>
      <c r="X162" s="3165" t="s">
        <v>38</v>
      </c>
      <c r="Y162" s="3175">
        <f t="shared" si="16"/>
        <v>7500</v>
      </c>
      <c r="Z162" s="3163">
        <f>Q162*S162*V162</f>
        <v>7500000</v>
      </c>
      <c r="AA162" s="1073">
        <f t="shared" si="15"/>
        <v>0</v>
      </c>
      <c r="AB162" s="915"/>
      <c r="AC162" s="915"/>
    </row>
    <row r="163" spans="1:29" s="709" customFormat="1" ht="23.45" customHeight="1">
      <c r="A163" s="673"/>
      <c r="B163" s="674"/>
      <c r="D163" s="675"/>
      <c r="E163" s="675"/>
      <c r="F163" s="941"/>
      <c r="G163" s="1261"/>
      <c r="H163" s="1239"/>
      <c r="I163" s="734"/>
      <c r="J163" s="3174" t="s">
        <v>2976</v>
      </c>
      <c r="K163" s="3172"/>
      <c r="L163" s="3172"/>
      <c r="M163" s="3172"/>
      <c r="N163" s="3171"/>
      <c r="O163" s="3171"/>
      <c r="P163" s="3171"/>
      <c r="Q163" s="1038">
        <v>2500</v>
      </c>
      <c r="R163" s="3229" t="s">
        <v>266</v>
      </c>
      <c r="S163" s="3164">
        <v>1000</v>
      </c>
      <c r="T163" s="3163" t="s">
        <v>37</v>
      </c>
      <c r="U163" s="3163"/>
      <c r="V163" s="3163">
        <v>1</v>
      </c>
      <c r="W163" s="3163" t="s">
        <v>39</v>
      </c>
      <c r="X163" s="3165" t="s">
        <v>38</v>
      </c>
      <c r="Y163" s="3175">
        <f t="shared" si="16"/>
        <v>2500</v>
      </c>
      <c r="Z163" s="3163">
        <f>Q163*S163*V163</f>
        <v>2500000</v>
      </c>
      <c r="AA163" s="1073">
        <f t="shared" si="15"/>
        <v>0</v>
      </c>
      <c r="AB163" s="915"/>
      <c r="AC163" s="915"/>
    </row>
    <row r="164" spans="1:29" s="709" customFormat="1" ht="23.45" customHeight="1">
      <c r="A164" s="673"/>
      <c r="B164" s="674"/>
      <c r="D164" s="675"/>
      <c r="E164" s="675" t="s">
        <v>264</v>
      </c>
      <c r="F164" s="941">
        <f>Y164</f>
        <v>2000</v>
      </c>
      <c r="G164" s="1261">
        <v>2000</v>
      </c>
      <c r="H164" s="1239"/>
      <c r="I164" s="734"/>
      <c r="J164" s="3174" t="s">
        <v>2978</v>
      </c>
      <c r="K164" s="3172"/>
      <c r="L164" s="3172"/>
      <c r="M164" s="3172"/>
      <c r="N164" s="3171"/>
      <c r="O164" s="3171"/>
      <c r="P164" s="3171"/>
      <c r="Q164" s="1038"/>
      <c r="R164" s="3229"/>
      <c r="S164" s="3164">
        <v>200000</v>
      </c>
      <c r="T164" s="3163" t="s">
        <v>37</v>
      </c>
      <c r="U164" s="3163"/>
      <c r="V164" s="3163">
        <v>10</v>
      </c>
      <c r="W164" s="3163" t="s">
        <v>3</v>
      </c>
      <c r="X164" s="3165" t="s">
        <v>38</v>
      </c>
      <c r="Y164" s="3175">
        <f t="shared" si="16"/>
        <v>2000</v>
      </c>
      <c r="Z164" s="3163">
        <f>S164*V164</f>
        <v>2000000</v>
      </c>
      <c r="AA164" s="1073">
        <f t="shared" si="15"/>
        <v>2000000000</v>
      </c>
      <c r="AB164" s="915"/>
      <c r="AC164" s="915"/>
    </row>
    <row r="165" spans="1:29" s="709" customFormat="1" ht="23.45" customHeight="1">
      <c r="A165" s="673"/>
      <c r="B165" s="674"/>
      <c r="D165" s="675"/>
      <c r="E165" s="1456" t="s">
        <v>225</v>
      </c>
      <c r="F165" s="941">
        <f>Y165</f>
        <v>5300</v>
      </c>
      <c r="G165" s="1261">
        <v>5300</v>
      </c>
      <c r="H165" s="1239"/>
      <c r="I165" s="734"/>
      <c r="J165" s="3174" t="s">
        <v>8</v>
      </c>
      <c r="K165" s="3172"/>
      <c r="L165" s="3172"/>
      <c r="M165" s="3172"/>
      <c r="N165" s="3171"/>
      <c r="O165" s="3171"/>
      <c r="P165" s="3171"/>
      <c r="Q165" s="992"/>
      <c r="R165" s="3229"/>
      <c r="S165" s="3229" t="s">
        <v>20</v>
      </c>
      <c r="T165" s="684" t="s">
        <v>20</v>
      </c>
      <c r="U165" s="684" t="s">
        <v>20</v>
      </c>
      <c r="V165" s="684" t="s">
        <v>20</v>
      </c>
      <c r="W165" s="684" t="s">
        <v>20</v>
      </c>
      <c r="X165" s="686" t="s">
        <v>20</v>
      </c>
      <c r="Y165" s="3175">
        <f>SUM(Y166:Y169)</f>
        <v>5300</v>
      </c>
      <c r="Z165" s="993">
        <f>SUM(Z166:Z169)</f>
        <v>5300000</v>
      </c>
      <c r="AA165" s="1073">
        <f t="shared" si="15"/>
        <v>5300000000</v>
      </c>
      <c r="AB165" s="915"/>
      <c r="AC165" s="915"/>
    </row>
    <row r="166" spans="1:29" s="709" customFormat="1" ht="23.45" customHeight="1">
      <c r="A166" s="673"/>
      <c r="B166" s="674"/>
      <c r="C166" s="948"/>
      <c r="D166" s="675"/>
      <c r="E166" s="675"/>
      <c r="F166" s="941"/>
      <c r="G166" s="1261"/>
      <c r="H166" s="1239"/>
      <c r="I166" s="734"/>
      <c r="J166" s="3174" t="s">
        <v>2979</v>
      </c>
      <c r="K166" s="3172"/>
      <c r="L166" s="3172"/>
      <c r="M166" s="3172"/>
      <c r="N166" s="3171"/>
      <c r="O166" s="3171"/>
      <c r="P166" s="3171"/>
      <c r="Q166" s="992" t="s">
        <v>520</v>
      </c>
      <c r="R166" s="3229" t="s">
        <v>142</v>
      </c>
      <c r="S166" s="3164">
        <v>1500000</v>
      </c>
      <c r="T166" s="3163" t="s">
        <v>0</v>
      </c>
      <c r="U166" s="3163"/>
      <c r="V166" s="3163">
        <v>1</v>
      </c>
      <c r="W166" s="3163" t="s">
        <v>3</v>
      </c>
      <c r="X166" s="3165" t="s">
        <v>1</v>
      </c>
      <c r="Y166" s="3175">
        <f>+Z166/1000</f>
        <v>3000</v>
      </c>
      <c r="Z166" s="3163">
        <f>S166*Q166*V166</f>
        <v>3000000</v>
      </c>
      <c r="AA166" s="1073">
        <f t="shared" si="15"/>
        <v>0</v>
      </c>
      <c r="AB166" s="915"/>
      <c r="AC166" s="915"/>
    </row>
    <row r="167" spans="1:29" s="709" customFormat="1" ht="23.45" customHeight="1">
      <c r="A167" s="673"/>
      <c r="B167" s="674"/>
      <c r="C167" s="948"/>
      <c r="D167" s="675"/>
      <c r="E167" s="675"/>
      <c r="F167" s="941"/>
      <c r="G167" s="1261"/>
      <c r="H167" s="1239"/>
      <c r="I167" s="734"/>
      <c r="J167" s="3174" t="s">
        <v>2980</v>
      </c>
      <c r="K167" s="3172"/>
      <c r="L167" s="3172"/>
      <c r="M167" s="3172"/>
      <c r="N167" s="3171"/>
      <c r="O167" s="3171"/>
      <c r="P167" s="3171"/>
      <c r="Q167" s="3177">
        <v>2</v>
      </c>
      <c r="R167" s="3229" t="s">
        <v>142</v>
      </c>
      <c r="S167" s="3164">
        <v>150000</v>
      </c>
      <c r="T167" s="3163" t="s">
        <v>0</v>
      </c>
      <c r="U167" s="3163"/>
      <c r="V167" s="3163">
        <v>4</v>
      </c>
      <c r="W167" s="3163" t="s">
        <v>582</v>
      </c>
      <c r="X167" s="3165" t="s">
        <v>1</v>
      </c>
      <c r="Y167" s="3175">
        <f>+Z167/1000</f>
        <v>1200</v>
      </c>
      <c r="Z167" s="3163">
        <f>Q167*S167*V167</f>
        <v>1200000</v>
      </c>
      <c r="AA167" s="1073">
        <f t="shared" si="15"/>
        <v>0</v>
      </c>
      <c r="AB167" s="915"/>
      <c r="AC167" s="915"/>
    </row>
    <row r="168" spans="1:29" s="709" customFormat="1" ht="23.45" customHeight="1">
      <c r="A168" s="673"/>
      <c r="B168" s="674"/>
      <c r="C168" s="948"/>
      <c r="D168" s="948"/>
      <c r="E168" s="675"/>
      <c r="F168" s="941"/>
      <c r="G168" s="1261"/>
      <c r="H168" s="1239"/>
      <c r="I168" s="734"/>
      <c r="J168" s="3174" t="s">
        <v>2981</v>
      </c>
      <c r="K168" s="3172"/>
      <c r="L168" s="3172"/>
      <c r="M168" s="3172"/>
      <c r="N168" s="3171"/>
      <c r="O168" s="3171"/>
      <c r="P168" s="3171"/>
      <c r="Q168" s="3177">
        <v>2</v>
      </c>
      <c r="R168" s="3229" t="s">
        <v>142</v>
      </c>
      <c r="S168" s="3164">
        <v>80000</v>
      </c>
      <c r="T168" s="3163" t="s">
        <v>0</v>
      </c>
      <c r="U168" s="3163"/>
      <c r="V168" s="3163">
        <v>5</v>
      </c>
      <c r="W168" s="3163" t="s">
        <v>66</v>
      </c>
      <c r="X168" s="3165" t="s">
        <v>1</v>
      </c>
      <c r="Y168" s="3175">
        <f>+Z168/1000</f>
        <v>800</v>
      </c>
      <c r="Z168" s="3163">
        <f t="shared" ref="Z168:Z169" si="17">Q168*S168*V168</f>
        <v>800000</v>
      </c>
      <c r="AA168" s="1073">
        <f t="shared" si="15"/>
        <v>0</v>
      </c>
      <c r="AB168" s="915"/>
      <c r="AC168" s="915"/>
    </row>
    <row r="169" spans="1:29" s="709" customFormat="1" ht="23.45" customHeight="1">
      <c r="A169" s="673"/>
      <c r="B169" s="674"/>
      <c r="C169" s="948"/>
      <c r="D169" s="948"/>
      <c r="E169" s="675"/>
      <c r="F169" s="941"/>
      <c r="G169" s="1261"/>
      <c r="H169" s="1239"/>
      <c r="I169" s="734"/>
      <c r="J169" s="3174" t="s">
        <v>2982</v>
      </c>
      <c r="K169" s="3172"/>
      <c r="L169" s="3172"/>
      <c r="M169" s="3172"/>
      <c r="N169" s="3171"/>
      <c r="O169" s="3171"/>
      <c r="P169" s="3171"/>
      <c r="Q169" s="3177">
        <v>2</v>
      </c>
      <c r="R169" s="3229" t="s">
        <v>142</v>
      </c>
      <c r="S169" s="3164">
        <v>25000</v>
      </c>
      <c r="T169" s="3163" t="s">
        <v>0</v>
      </c>
      <c r="U169" s="3163"/>
      <c r="V169" s="3163">
        <v>6</v>
      </c>
      <c r="W169" s="3163" t="s">
        <v>24</v>
      </c>
      <c r="X169" s="3165" t="s">
        <v>1</v>
      </c>
      <c r="Y169" s="3175">
        <f>+Z169/1000</f>
        <v>300</v>
      </c>
      <c r="Z169" s="3163">
        <f t="shared" si="17"/>
        <v>300000</v>
      </c>
      <c r="AA169" s="1073">
        <f t="shared" si="15"/>
        <v>0</v>
      </c>
      <c r="AB169" s="915"/>
      <c r="AC169" s="915"/>
    </row>
    <row r="170" spans="1:29" s="709" customFormat="1" ht="19.5" customHeight="1">
      <c r="A170" s="673"/>
      <c r="B170" s="674"/>
      <c r="C170" s="948"/>
      <c r="D170" s="675"/>
      <c r="E170" s="675" t="s">
        <v>380</v>
      </c>
      <c r="F170" s="941">
        <f>Y170</f>
        <v>27170</v>
      </c>
      <c r="G170" s="1261">
        <v>27170</v>
      </c>
      <c r="H170" s="1239"/>
      <c r="I170" s="734"/>
      <c r="J170" s="3174" t="s">
        <v>224</v>
      </c>
      <c r="K170" s="3172"/>
      <c r="L170" s="3172"/>
      <c r="M170" s="3172"/>
      <c r="N170" s="3171"/>
      <c r="O170" s="3171"/>
      <c r="P170" s="3171"/>
      <c r="Q170" s="992"/>
      <c r="R170" s="3229"/>
      <c r="S170" s="3229" t="s">
        <v>265</v>
      </c>
      <c r="T170" s="684" t="s">
        <v>265</v>
      </c>
      <c r="U170" s="684" t="s">
        <v>265</v>
      </c>
      <c r="V170" s="684" t="s">
        <v>265</v>
      </c>
      <c r="W170" s="684" t="s">
        <v>265</v>
      </c>
      <c r="X170" s="686" t="s">
        <v>265</v>
      </c>
      <c r="Y170" s="3175">
        <f>SUM(Y171:Y174)</f>
        <v>27170</v>
      </c>
      <c r="Z170" s="993">
        <f>SUM(Z171:Z174)</f>
        <v>27170000</v>
      </c>
      <c r="AA170" s="1073">
        <f t="shared" si="15"/>
        <v>27170000000</v>
      </c>
      <c r="AB170" s="915"/>
      <c r="AC170" s="915"/>
    </row>
    <row r="171" spans="1:29" s="709" customFormat="1" ht="19.5" customHeight="1">
      <c r="A171" s="673"/>
      <c r="B171" s="674"/>
      <c r="C171" s="948"/>
      <c r="D171" s="948"/>
      <c r="E171" s="675"/>
      <c r="F171" s="941"/>
      <c r="G171" s="1261"/>
      <c r="H171" s="1239"/>
      <c r="I171" s="734"/>
      <c r="J171" s="3174" t="s">
        <v>3091</v>
      </c>
      <c r="K171" s="3172"/>
      <c r="L171" s="3172"/>
      <c r="M171" s="3172"/>
      <c r="N171" s="3171"/>
      <c r="O171" s="3177"/>
      <c r="P171" s="3229"/>
      <c r="Q171" s="3177"/>
      <c r="R171" s="3229"/>
      <c r="S171" s="3164">
        <v>3000000</v>
      </c>
      <c r="T171" s="3163" t="s">
        <v>37</v>
      </c>
      <c r="U171" s="3163"/>
      <c r="V171" s="3163">
        <v>1</v>
      </c>
      <c r="W171" s="3163" t="s">
        <v>878</v>
      </c>
      <c r="X171" s="3165" t="s">
        <v>38</v>
      </c>
      <c r="Y171" s="3175">
        <f t="shared" ref="Y171:Y191" si="18">+Z171/1000</f>
        <v>3000</v>
      </c>
      <c r="Z171" s="3163">
        <f>SUM(S171*V171)</f>
        <v>3000000</v>
      </c>
      <c r="AA171" s="1073">
        <f t="shared" si="15"/>
        <v>0</v>
      </c>
      <c r="AB171" s="915"/>
      <c r="AC171" s="915"/>
    </row>
    <row r="172" spans="1:29" s="709" customFormat="1" ht="19.5" customHeight="1">
      <c r="A172" s="673"/>
      <c r="B172" s="674"/>
      <c r="C172" s="948"/>
      <c r="D172" s="675"/>
      <c r="E172" s="675"/>
      <c r="F172" s="941"/>
      <c r="G172" s="1261"/>
      <c r="H172" s="1239"/>
      <c r="I172" s="734"/>
      <c r="J172" s="3174" t="s">
        <v>3092</v>
      </c>
      <c r="K172" s="3172"/>
      <c r="L172" s="3172"/>
      <c r="M172" s="3172"/>
      <c r="N172" s="3171"/>
      <c r="O172" s="3171"/>
      <c r="P172" s="3171"/>
      <c r="Q172" s="3177"/>
      <c r="R172" s="3229"/>
      <c r="S172" s="3164">
        <v>50000</v>
      </c>
      <c r="T172" s="3163" t="s">
        <v>37</v>
      </c>
      <c r="U172" s="3163"/>
      <c r="V172" s="3163">
        <v>91</v>
      </c>
      <c r="W172" s="3163" t="s">
        <v>581</v>
      </c>
      <c r="X172" s="3165" t="s">
        <v>38</v>
      </c>
      <c r="Y172" s="3175">
        <f t="shared" si="18"/>
        <v>4550</v>
      </c>
      <c r="Z172" s="3163">
        <f>S172*V172</f>
        <v>4550000</v>
      </c>
      <c r="AA172" s="1073">
        <f t="shared" si="15"/>
        <v>0</v>
      </c>
      <c r="AB172" s="915"/>
      <c r="AC172" s="915"/>
    </row>
    <row r="173" spans="1:29" s="931" customFormat="1" ht="19.5" customHeight="1">
      <c r="A173" s="673"/>
      <c r="B173" s="674"/>
      <c r="C173" s="948"/>
      <c r="D173" s="948"/>
      <c r="E173" s="675"/>
      <c r="F173" s="941"/>
      <c r="G173" s="1261"/>
      <c r="H173" s="1239"/>
      <c r="I173" s="734"/>
      <c r="J173" s="3174" t="s">
        <v>3093</v>
      </c>
      <c r="K173" s="3172"/>
      <c r="L173" s="3172"/>
      <c r="M173" s="3172"/>
      <c r="N173" s="3171"/>
      <c r="O173" s="3171"/>
      <c r="P173" s="3171"/>
      <c r="Q173" s="3177"/>
      <c r="R173" s="3229"/>
      <c r="S173" s="3164">
        <v>30000</v>
      </c>
      <c r="T173" s="3163" t="s">
        <v>0</v>
      </c>
      <c r="U173" s="3163"/>
      <c r="V173" s="3163">
        <v>54</v>
      </c>
      <c r="W173" s="3163" t="s">
        <v>581</v>
      </c>
      <c r="X173" s="3165" t="s">
        <v>1</v>
      </c>
      <c r="Y173" s="3175">
        <f t="shared" si="18"/>
        <v>1620</v>
      </c>
      <c r="Z173" s="3163">
        <f>S173*V173</f>
        <v>1620000</v>
      </c>
      <c r="AA173" s="1073">
        <f t="shared" si="15"/>
        <v>0</v>
      </c>
      <c r="AB173" s="930"/>
      <c r="AC173" s="930"/>
    </row>
    <row r="174" spans="1:29" s="931" customFormat="1" ht="19.5" customHeight="1">
      <c r="A174" s="673"/>
      <c r="B174" s="674"/>
      <c r="C174" s="948"/>
      <c r="D174" s="948"/>
      <c r="E174" s="675"/>
      <c r="F174" s="941"/>
      <c r="G174" s="1261"/>
      <c r="H174" s="1239"/>
      <c r="I174" s="734"/>
      <c r="J174" s="3174" t="s">
        <v>3094</v>
      </c>
      <c r="K174" s="3172"/>
      <c r="L174" s="3172"/>
      <c r="M174" s="3172"/>
      <c r="N174" s="3171"/>
      <c r="O174" s="3171"/>
      <c r="P174" s="3171"/>
      <c r="Q174" s="992"/>
      <c r="R174" s="3229"/>
      <c r="S174" s="3164">
        <v>3000000</v>
      </c>
      <c r="T174" s="3163" t="s">
        <v>37</v>
      </c>
      <c r="U174" s="3163"/>
      <c r="V174" s="3163">
        <v>6</v>
      </c>
      <c r="W174" s="3163" t="s">
        <v>75</v>
      </c>
      <c r="X174" s="3165" t="s">
        <v>38</v>
      </c>
      <c r="Y174" s="3175">
        <f t="shared" si="18"/>
        <v>18000</v>
      </c>
      <c r="Z174" s="3163">
        <f>S174*V174</f>
        <v>18000000</v>
      </c>
      <c r="AA174" s="1073">
        <f t="shared" si="15"/>
        <v>0</v>
      </c>
      <c r="AB174" s="930"/>
      <c r="AC174" s="930"/>
    </row>
    <row r="175" spans="1:29" s="709" customFormat="1" ht="19.5" customHeight="1">
      <c r="A175" s="673"/>
      <c r="B175" s="674"/>
      <c r="C175" s="948"/>
      <c r="D175" s="675"/>
      <c r="E175" s="675" t="s">
        <v>431</v>
      </c>
      <c r="F175" s="941">
        <f>Y175</f>
        <v>84000</v>
      </c>
      <c r="G175" s="1261">
        <v>84000</v>
      </c>
      <c r="H175" s="1239"/>
      <c r="I175" s="734"/>
      <c r="J175" s="3174" t="s">
        <v>224</v>
      </c>
      <c r="K175" s="3172"/>
      <c r="L175" s="3172"/>
      <c r="M175" s="3172"/>
      <c r="N175" s="3171"/>
      <c r="O175" s="3171"/>
      <c r="P175" s="3171"/>
      <c r="Q175" s="992"/>
      <c r="R175" s="3229"/>
      <c r="S175" s="3229" t="s">
        <v>265</v>
      </c>
      <c r="T175" s="684" t="s">
        <v>265</v>
      </c>
      <c r="U175" s="684" t="s">
        <v>265</v>
      </c>
      <c r="V175" s="684" t="s">
        <v>265</v>
      </c>
      <c r="W175" s="684" t="s">
        <v>265</v>
      </c>
      <c r="X175" s="3165"/>
      <c r="Y175" s="3175">
        <f t="shared" si="18"/>
        <v>84000</v>
      </c>
      <c r="Z175" s="993">
        <f>SUM(Z176:Z183)</f>
        <v>84000000</v>
      </c>
      <c r="AA175" s="1073">
        <f t="shared" si="15"/>
        <v>84000000000</v>
      </c>
      <c r="AB175" s="915"/>
      <c r="AC175" s="915"/>
    </row>
    <row r="176" spans="1:29" s="931" customFormat="1" ht="19.5" customHeight="1">
      <c r="A176" s="673"/>
      <c r="B176" s="674"/>
      <c r="C176" s="948"/>
      <c r="D176" s="675"/>
      <c r="E176" s="675"/>
      <c r="F176" s="941"/>
      <c r="G176" s="941"/>
      <c r="H176" s="1239"/>
      <c r="I176" s="734"/>
      <c r="J176" s="3174" t="s">
        <v>2971</v>
      </c>
      <c r="K176" s="3172"/>
      <c r="L176" s="3172"/>
      <c r="M176" s="3172"/>
      <c r="N176" s="3171"/>
      <c r="O176" s="3171"/>
      <c r="P176" s="3171"/>
      <c r="Q176" s="992"/>
      <c r="R176" s="3229"/>
      <c r="S176" s="3164">
        <v>2000000</v>
      </c>
      <c r="T176" s="3163" t="s">
        <v>37</v>
      </c>
      <c r="U176" s="3163"/>
      <c r="V176" s="3163">
        <v>1</v>
      </c>
      <c r="W176" s="3163" t="s">
        <v>39</v>
      </c>
      <c r="X176" s="3165" t="s">
        <v>38</v>
      </c>
      <c r="Y176" s="3175">
        <f t="shared" si="18"/>
        <v>2000</v>
      </c>
      <c r="Z176" s="3163">
        <f t="shared" ref="Z176:Z183" si="19">S176*V176</f>
        <v>2000000</v>
      </c>
      <c r="AA176" s="1073">
        <f t="shared" si="15"/>
        <v>0</v>
      </c>
      <c r="AB176" s="930"/>
      <c r="AC176" s="930"/>
    </row>
    <row r="177" spans="1:29" s="931" customFormat="1" ht="19.5" customHeight="1">
      <c r="A177" s="673"/>
      <c r="B177" s="674"/>
      <c r="C177" s="948"/>
      <c r="D177" s="948"/>
      <c r="E177" s="675"/>
      <c r="F177" s="941"/>
      <c r="G177" s="1261"/>
      <c r="H177" s="1239"/>
      <c r="I177" s="734"/>
      <c r="J177" s="3174" t="s">
        <v>3096</v>
      </c>
      <c r="K177" s="3172"/>
      <c r="L177" s="3172"/>
      <c r="M177" s="3172"/>
      <c r="N177" s="3171"/>
      <c r="O177" s="3171"/>
      <c r="P177" s="3171"/>
      <c r="Q177" s="992"/>
      <c r="R177" s="3229"/>
      <c r="S177" s="3164">
        <v>1500000</v>
      </c>
      <c r="T177" s="3163" t="s">
        <v>37</v>
      </c>
      <c r="U177" s="3163"/>
      <c r="V177" s="3163">
        <v>1</v>
      </c>
      <c r="W177" s="3163" t="s">
        <v>39</v>
      </c>
      <c r="X177" s="3165" t="s">
        <v>38</v>
      </c>
      <c r="Y177" s="3175">
        <f t="shared" si="18"/>
        <v>1500</v>
      </c>
      <c r="Z177" s="3163">
        <f t="shared" si="19"/>
        <v>1500000</v>
      </c>
      <c r="AA177" s="1073">
        <f t="shared" si="15"/>
        <v>0</v>
      </c>
      <c r="AB177" s="930"/>
      <c r="AC177" s="930"/>
    </row>
    <row r="178" spans="1:29" s="931" customFormat="1" ht="19.5" customHeight="1">
      <c r="A178" s="673"/>
      <c r="B178" s="674"/>
      <c r="C178" s="948"/>
      <c r="D178" s="948"/>
      <c r="E178" s="675"/>
      <c r="F178" s="941"/>
      <c r="G178" s="1261"/>
      <c r="H178" s="1239"/>
      <c r="I178" s="734"/>
      <c r="J178" s="3174" t="s">
        <v>3097</v>
      </c>
      <c r="K178" s="3172"/>
      <c r="L178" s="3172"/>
      <c r="M178" s="3172"/>
      <c r="N178" s="3171"/>
      <c r="O178" s="3171"/>
      <c r="P178" s="3171"/>
      <c r="Q178" s="992"/>
      <c r="R178" s="3229"/>
      <c r="S178" s="3164">
        <v>1500000</v>
      </c>
      <c r="T178" s="3163" t="s">
        <v>37</v>
      </c>
      <c r="U178" s="3163"/>
      <c r="V178" s="3163">
        <v>1</v>
      </c>
      <c r="W178" s="3163" t="s">
        <v>39</v>
      </c>
      <c r="X178" s="3165" t="s">
        <v>38</v>
      </c>
      <c r="Y178" s="3175">
        <f t="shared" si="18"/>
        <v>1500</v>
      </c>
      <c r="Z178" s="3163">
        <f t="shared" si="19"/>
        <v>1500000</v>
      </c>
      <c r="AA178" s="1073">
        <f t="shared" si="15"/>
        <v>0</v>
      </c>
      <c r="AB178" s="930"/>
      <c r="AC178" s="930"/>
    </row>
    <row r="179" spans="1:29" s="931" customFormat="1" ht="19.5" customHeight="1">
      <c r="A179" s="673"/>
      <c r="B179" s="674"/>
      <c r="C179" s="948"/>
      <c r="D179" s="948"/>
      <c r="E179" s="675"/>
      <c r="F179" s="941"/>
      <c r="G179" s="1261"/>
      <c r="H179" s="1239"/>
      <c r="I179" s="734"/>
      <c r="J179" s="3174" t="s">
        <v>3099</v>
      </c>
      <c r="K179" s="3172"/>
      <c r="L179" s="3172"/>
      <c r="M179" s="3172"/>
      <c r="N179" s="3171"/>
      <c r="O179" s="3171"/>
      <c r="P179" s="3171"/>
      <c r="Q179" s="992"/>
      <c r="R179" s="3229"/>
      <c r="S179" s="3164">
        <v>50000</v>
      </c>
      <c r="T179" s="3163" t="s">
        <v>37</v>
      </c>
      <c r="U179" s="3163"/>
      <c r="V179" s="3163">
        <v>70</v>
      </c>
      <c r="W179" s="3163" t="s">
        <v>908</v>
      </c>
      <c r="X179" s="3165" t="s">
        <v>38</v>
      </c>
      <c r="Y179" s="3175">
        <f t="shared" si="18"/>
        <v>3500</v>
      </c>
      <c r="Z179" s="3163">
        <f t="shared" si="19"/>
        <v>3500000</v>
      </c>
      <c r="AA179" s="1073">
        <f t="shared" si="15"/>
        <v>0</v>
      </c>
      <c r="AB179" s="930"/>
      <c r="AC179" s="930"/>
    </row>
    <row r="180" spans="1:29" s="709" customFormat="1" ht="19.5" customHeight="1">
      <c r="A180" s="673"/>
      <c r="B180" s="674"/>
      <c r="C180" s="948"/>
      <c r="D180" s="948"/>
      <c r="E180" s="675"/>
      <c r="F180" s="941"/>
      <c r="G180" s="1261"/>
      <c r="H180" s="1239"/>
      <c r="I180" s="734"/>
      <c r="J180" s="3174" t="s">
        <v>3100</v>
      </c>
      <c r="K180" s="3172"/>
      <c r="L180" s="3172"/>
      <c r="M180" s="3172"/>
      <c r="N180" s="3171"/>
      <c r="O180" s="3171"/>
      <c r="P180" s="3171"/>
      <c r="Q180" s="3177"/>
      <c r="R180" s="3229"/>
      <c r="S180" s="3164">
        <v>10600000</v>
      </c>
      <c r="T180" s="3163" t="s">
        <v>37</v>
      </c>
      <c r="U180" s="3163"/>
      <c r="V180" s="3163">
        <v>5</v>
      </c>
      <c r="W180" s="3163" t="s">
        <v>228</v>
      </c>
      <c r="X180" s="3165" t="s">
        <v>38</v>
      </c>
      <c r="Y180" s="3175">
        <f t="shared" si="18"/>
        <v>53000</v>
      </c>
      <c r="Z180" s="3163">
        <f t="shared" si="19"/>
        <v>53000000</v>
      </c>
      <c r="AA180" s="1073">
        <f t="shared" si="15"/>
        <v>0</v>
      </c>
      <c r="AB180" s="915"/>
      <c r="AC180" s="915"/>
    </row>
    <row r="181" spans="1:29" s="931" customFormat="1" ht="19.5" customHeight="1">
      <c r="A181" s="673"/>
      <c r="B181" s="674"/>
      <c r="C181" s="948"/>
      <c r="D181" s="948"/>
      <c r="E181" s="675"/>
      <c r="F181" s="941"/>
      <c r="G181" s="1261"/>
      <c r="H181" s="1239"/>
      <c r="I181" s="734"/>
      <c r="J181" s="3174" t="s">
        <v>3101</v>
      </c>
      <c r="K181" s="3172"/>
      <c r="L181" s="3172"/>
      <c r="M181" s="3172"/>
      <c r="N181" s="3171"/>
      <c r="O181" s="3171"/>
      <c r="P181" s="3171"/>
      <c r="Q181" s="992"/>
      <c r="R181" s="3229"/>
      <c r="S181" s="3164">
        <v>16500000</v>
      </c>
      <c r="T181" s="3163" t="s">
        <v>37</v>
      </c>
      <c r="U181" s="3163"/>
      <c r="V181" s="3163">
        <v>1</v>
      </c>
      <c r="W181" s="3163" t="s">
        <v>39</v>
      </c>
      <c r="X181" s="3165" t="s">
        <v>38</v>
      </c>
      <c r="Y181" s="3175">
        <f t="shared" si="18"/>
        <v>16500</v>
      </c>
      <c r="Z181" s="3163">
        <f t="shared" si="19"/>
        <v>16500000</v>
      </c>
      <c r="AA181" s="1073">
        <f t="shared" si="15"/>
        <v>0</v>
      </c>
      <c r="AB181" s="930"/>
      <c r="AC181" s="930"/>
    </row>
    <row r="182" spans="1:29" s="931" customFormat="1" ht="19.5" customHeight="1">
      <c r="A182" s="673"/>
      <c r="B182" s="674"/>
      <c r="C182" s="948"/>
      <c r="D182" s="948"/>
      <c r="E182" s="675"/>
      <c r="F182" s="941"/>
      <c r="G182" s="1261"/>
      <c r="H182" s="1239"/>
      <c r="I182" s="734"/>
      <c r="J182" s="3174" t="s">
        <v>3102</v>
      </c>
      <c r="K182" s="3172"/>
      <c r="L182" s="3172"/>
      <c r="M182" s="3172"/>
      <c r="N182" s="3171"/>
      <c r="O182" s="3171"/>
      <c r="P182" s="3171"/>
      <c r="Q182" s="992"/>
      <c r="R182" s="3229"/>
      <c r="S182" s="3164">
        <v>3000000</v>
      </c>
      <c r="T182" s="3163" t="s">
        <v>37</v>
      </c>
      <c r="U182" s="3163"/>
      <c r="V182" s="3163">
        <v>1</v>
      </c>
      <c r="W182" s="3163" t="s">
        <v>39</v>
      </c>
      <c r="X182" s="3165" t="s">
        <v>38</v>
      </c>
      <c r="Y182" s="3175">
        <f t="shared" si="18"/>
        <v>3000</v>
      </c>
      <c r="Z182" s="3163">
        <f t="shared" si="19"/>
        <v>3000000</v>
      </c>
      <c r="AA182" s="1073">
        <f t="shared" si="15"/>
        <v>0</v>
      </c>
      <c r="AB182" s="930"/>
      <c r="AC182" s="930"/>
    </row>
    <row r="183" spans="1:29" s="931" customFormat="1" ht="19.5" customHeight="1">
      <c r="A183" s="673"/>
      <c r="B183" s="674"/>
      <c r="C183" s="948"/>
      <c r="D183" s="948"/>
      <c r="E183" s="675"/>
      <c r="F183" s="941"/>
      <c r="G183" s="1261"/>
      <c r="H183" s="1239"/>
      <c r="I183" s="734"/>
      <c r="J183" s="3174" t="s">
        <v>3103</v>
      </c>
      <c r="K183" s="3172"/>
      <c r="L183" s="3172"/>
      <c r="M183" s="3172"/>
      <c r="N183" s="3171"/>
      <c r="O183" s="3171"/>
      <c r="P183" s="3171"/>
      <c r="Q183" s="992"/>
      <c r="R183" s="3229"/>
      <c r="S183" s="3164">
        <v>3000000</v>
      </c>
      <c r="T183" s="3163" t="s">
        <v>37</v>
      </c>
      <c r="U183" s="3163"/>
      <c r="V183" s="3163">
        <v>1</v>
      </c>
      <c r="W183" s="3163" t="s">
        <v>6</v>
      </c>
      <c r="X183" s="3165" t="s">
        <v>38</v>
      </c>
      <c r="Y183" s="3175">
        <f t="shared" si="18"/>
        <v>3000</v>
      </c>
      <c r="Z183" s="3163">
        <f t="shared" si="19"/>
        <v>3000000</v>
      </c>
      <c r="AA183" s="1073">
        <f t="shared" si="15"/>
        <v>0</v>
      </c>
      <c r="AB183" s="930"/>
      <c r="AC183" s="930"/>
    </row>
    <row r="184" spans="1:29" s="931" customFormat="1" ht="19.5" customHeight="1">
      <c r="A184" s="673"/>
      <c r="B184" s="674"/>
      <c r="C184" s="948"/>
      <c r="D184" s="948"/>
      <c r="E184" s="675" t="s">
        <v>262</v>
      </c>
      <c r="F184" s="941">
        <f>Y184</f>
        <v>18000</v>
      </c>
      <c r="G184" s="1261">
        <v>18000</v>
      </c>
      <c r="H184" s="1239"/>
      <c r="I184" s="734"/>
      <c r="J184" s="3174" t="s">
        <v>224</v>
      </c>
      <c r="K184" s="3172"/>
      <c r="L184" s="3172"/>
      <c r="M184" s="3172"/>
      <c r="N184" s="3171"/>
      <c r="O184" s="3177"/>
      <c r="P184" s="3229"/>
      <c r="Q184" s="3177"/>
      <c r="R184" s="3229"/>
      <c r="S184" s="3164"/>
      <c r="T184" s="3163"/>
      <c r="U184" s="3163"/>
      <c r="V184" s="3163"/>
      <c r="W184" s="3163"/>
      <c r="X184" s="3165"/>
      <c r="Y184" s="3175">
        <f t="shared" si="18"/>
        <v>18000</v>
      </c>
      <c r="Z184" s="3163">
        <f>SUM(Z185:Z186)</f>
        <v>18000000</v>
      </c>
      <c r="AA184" s="1073">
        <f t="shared" si="15"/>
        <v>18000000000</v>
      </c>
      <c r="AB184" s="930"/>
      <c r="AC184" s="930"/>
    </row>
    <row r="185" spans="1:29" s="709" customFormat="1" ht="19.5" customHeight="1">
      <c r="A185" s="673"/>
      <c r="B185" s="674"/>
      <c r="C185" s="948"/>
      <c r="D185" s="948"/>
      <c r="E185" s="675"/>
      <c r="F185" s="941"/>
      <c r="G185" s="1261"/>
      <c r="H185" s="1239"/>
      <c r="I185" s="734"/>
      <c r="J185" s="3174" t="s">
        <v>3104</v>
      </c>
      <c r="K185" s="3172"/>
      <c r="L185" s="3172"/>
      <c r="M185" s="3172"/>
      <c r="N185" s="3171"/>
      <c r="O185" s="3177"/>
      <c r="P185" s="3229"/>
      <c r="Q185" s="3177">
        <v>1</v>
      </c>
      <c r="R185" s="3229" t="s">
        <v>525</v>
      </c>
      <c r="S185" s="3164">
        <v>500000</v>
      </c>
      <c r="T185" s="3163" t="s">
        <v>37</v>
      </c>
      <c r="U185" s="3163"/>
      <c r="V185" s="3163">
        <v>1</v>
      </c>
      <c r="W185" s="3163" t="s">
        <v>39</v>
      </c>
      <c r="X185" s="3165" t="s">
        <v>38</v>
      </c>
      <c r="Y185" s="3175">
        <f t="shared" si="18"/>
        <v>500</v>
      </c>
      <c r="Z185" s="3163">
        <f>Q185*S185*V185</f>
        <v>500000</v>
      </c>
      <c r="AA185" s="1073">
        <f t="shared" si="15"/>
        <v>0</v>
      </c>
      <c r="AB185" s="915"/>
      <c r="AC185" s="915"/>
    </row>
    <row r="186" spans="1:29" s="709" customFormat="1" ht="19.5" customHeight="1">
      <c r="A186" s="673"/>
      <c r="B186" s="674"/>
      <c r="C186" s="948"/>
      <c r="D186" s="948"/>
      <c r="E186" s="675"/>
      <c r="F186" s="941"/>
      <c r="G186" s="1261"/>
      <c r="H186" s="1239"/>
      <c r="I186" s="734"/>
      <c r="J186" s="3174" t="s">
        <v>3105</v>
      </c>
      <c r="K186" s="3172"/>
      <c r="L186" s="3172"/>
      <c r="M186" s="3172"/>
      <c r="N186" s="3171"/>
      <c r="O186" s="3177"/>
      <c r="P186" s="3229"/>
      <c r="Q186" s="3177"/>
      <c r="R186" s="3229"/>
      <c r="S186" s="3164">
        <v>17500000</v>
      </c>
      <c r="T186" s="3163" t="s">
        <v>37</v>
      </c>
      <c r="U186" s="3163"/>
      <c r="V186" s="3163">
        <v>1</v>
      </c>
      <c r="W186" s="3163" t="s">
        <v>39</v>
      </c>
      <c r="X186" s="3165" t="s">
        <v>1</v>
      </c>
      <c r="Y186" s="3175">
        <f t="shared" si="18"/>
        <v>17500</v>
      </c>
      <c r="Z186" s="3163">
        <f>S186*V186</f>
        <v>17500000</v>
      </c>
      <c r="AA186" s="1073">
        <f t="shared" si="15"/>
        <v>0</v>
      </c>
      <c r="AB186" s="915"/>
      <c r="AC186" s="915"/>
    </row>
    <row r="187" spans="1:29" s="709" customFormat="1" ht="19.5" customHeight="1">
      <c r="A187" s="673"/>
      <c r="B187" s="674"/>
      <c r="C187" s="948"/>
      <c r="D187" s="948"/>
      <c r="E187" s="3170" t="s">
        <v>17</v>
      </c>
      <c r="F187" s="941">
        <f>Y187</f>
        <v>1550</v>
      </c>
      <c r="G187" s="1261">
        <v>1550</v>
      </c>
      <c r="H187" s="1239"/>
      <c r="I187" s="734" t="s">
        <v>378</v>
      </c>
      <c r="J187" s="3174" t="s">
        <v>580</v>
      </c>
      <c r="K187" s="3172"/>
      <c r="L187" s="3172"/>
      <c r="M187" s="3172"/>
      <c r="N187" s="3171"/>
      <c r="O187" s="3171"/>
      <c r="P187" s="3171"/>
      <c r="Q187" s="3177">
        <v>1000</v>
      </c>
      <c r="R187" s="3229" t="s">
        <v>143</v>
      </c>
      <c r="S187" s="3164">
        <v>1550</v>
      </c>
      <c r="T187" s="3163" t="s">
        <v>37</v>
      </c>
      <c r="U187" s="3163"/>
      <c r="V187" s="3163">
        <v>1</v>
      </c>
      <c r="W187" s="3163" t="s">
        <v>39</v>
      </c>
      <c r="X187" s="3165" t="s">
        <v>38</v>
      </c>
      <c r="Y187" s="3175">
        <f t="shared" si="18"/>
        <v>1550</v>
      </c>
      <c r="Z187" s="3163">
        <f>Q187*S187*V187</f>
        <v>1550000</v>
      </c>
      <c r="AA187" s="1073">
        <f t="shared" si="15"/>
        <v>1550000000</v>
      </c>
      <c r="AB187" s="915"/>
      <c r="AC187" s="915"/>
    </row>
    <row r="188" spans="1:29" s="931" customFormat="1" ht="19.5" customHeight="1">
      <c r="A188" s="673"/>
      <c r="B188" s="674"/>
      <c r="C188" s="948"/>
      <c r="D188" s="675"/>
      <c r="E188" s="675" t="s">
        <v>451</v>
      </c>
      <c r="F188" s="941">
        <f>Y188</f>
        <v>3350</v>
      </c>
      <c r="G188" s="1261">
        <v>3350</v>
      </c>
      <c r="H188" s="1239"/>
      <c r="I188" s="734"/>
      <c r="J188" s="3174" t="s">
        <v>224</v>
      </c>
      <c r="K188" s="3172"/>
      <c r="L188" s="3172"/>
      <c r="M188" s="3172"/>
      <c r="N188" s="3171"/>
      <c r="O188" s="3171"/>
      <c r="P188" s="3171"/>
      <c r="Q188" s="3177"/>
      <c r="R188" s="3229"/>
      <c r="S188" s="3164"/>
      <c r="T188" s="3163"/>
      <c r="U188" s="3163"/>
      <c r="V188" s="3163"/>
      <c r="W188" s="3163"/>
      <c r="X188" s="3165"/>
      <c r="Y188" s="3175">
        <f t="shared" si="18"/>
        <v>3350</v>
      </c>
      <c r="Z188" s="3163">
        <f>SUM(Z189:Z190)</f>
        <v>3350000</v>
      </c>
      <c r="AA188" s="1073">
        <f t="shared" si="15"/>
        <v>3350000000</v>
      </c>
      <c r="AB188" s="930"/>
      <c r="AC188" s="930"/>
    </row>
    <row r="189" spans="1:29" s="709" customFormat="1" ht="19.5" customHeight="1">
      <c r="A189" s="673"/>
      <c r="B189" s="674"/>
      <c r="C189" s="948"/>
      <c r="D189" s="675"/>
      <c r="E189" s="3170"/>
      <c r="F189" s="941"/>
      <c r="G189" s="1261"/>
      <c r="H189" s="1239"/>
      <c r="I189" s="734"/>
      <c r="J189" s="3174" t="s">
        <v>2995</v>
      </c>
      <c r="K189" s="3172"/>
      <c r="L189" s="3172"/>
      <c r="M189" s="3172"/>
      <c r="N189" s="3171"/>
      <c r="O189" s="3171"/>
      <c r="P189" s="3171"/>
      <c r="Q189" s="3177">
        <v>300</v>
      </c>
      <c r="R189" s="3229" t="s">
        <v>267</v>
      </c>
      <c r="S189" s="3164">
        <v>10000</v>
      </c>
      <c r="T189" s="3163" t="s">
        <v>37</v>
      </c>
      <c r="U189" s="3163"/>
      <c r="V189" s="3163">
        <v>1</v>
      </c>
      <c r="W189" s="3163" t="s">
        <v>39</v>
      </c>
      <c r="X189" s="3165" t="s">
        <v>38</v>
      </c>
      <c r="Y189" s="3175">
        <f t="shared" si="18"/>
        <v>3000</v>
      </c>
      <c r="Z189" s="3163">
        <f>S189*V189*Q189</f>
        <v>3000000</v>
      </c>
      <c r="AA189" s="1073">
        <f t="shared" si="15"/>
        <v>0</v>
      </c>
      <c r="AB189" s="915"/>
      <c r="AC189" s="915"/>
    </row>
    <row r="190" spans="1:29" s="709" customFormat="1" ht="19.5" customHeight="1">
      <c r="A190" s="673"/>
      <c r="B190" s="674"/>
      <c r="D190" s="675"/>
      <c r="E190" s="3170"/>
      <c r="F190" s="941"/>
      <c r="G190" s="1261"/>
      <c r="H190" s="1239"/>
      <c r="I190" s="734"/>
      <c r="J190" s="3174" t="s">
        <v>2997</v>
      </c>
      <c r="K190" s="3172"/>
      <c r="L190" s="3172"/>
      <c r="M190" s="3172"/>
      <c r="N190" s="3171"/>
      <c r="O190" s="3171"/>
      <c r="P190" s="3171"/>
      <c r="Q190" s="3177">
        <v>35</v>
      </c>
      <c r="R190" s="3229" t="s">
        <v>267</v>
      </c>
      <c r="S190" s="3164">
        <v>10000</v>
      </c>
      <c r="T190" s="3163" t="s">
        <v>37</v>
      </c>
      <c r="U190" s="3163"/>
      <c r="V190" s="3163">
        <v>1</v>
      </c>
      <c r="W190" s="3163" t="s">
        <v>39</v>
      </c>
      <c r="X190" s="3165" t="s">
        <v>38</v>
      </c>
      <c r="Y190" s="3175">
        <f t="shared" si="18"/>
        <v>350</v>
      </c>
      <c r="Z190" s="3163">
        <f>S190*V190*Q190</f>
        <v>350000</v>
      </c>
      <c r="AA190" s="1073">
        <f t="shared" si="15"/>
        <v>0</v>
      </c>
      <c r="AB190" s="915"/>
      <c r="AC190" s="915"/>
    </row>
    <row r="191" spans="1:29" s="709" customFormat="1" ht="19.5" customHeight="1">
      <c r="A191" s="673"/>
      <c r="B191" s="674"/>
      <c r="D191" s="675"/>
      <c r="E191" s="3238" t="s">
        <v>384</v>
      </c>
      <c r="F191" s="972">
        <f>Y191</f>
        <v>1000</v>
      </c>
      <c r="G191" s="1385">
        <v>1000</v>
      </c>
      <c r="H191" s="1208"/>
      <c r="I191" s="734"/>
      <c r="J191" s="991" t="s">
        <v>2999</v>
      </c>
      <c r="K191" s="1411"/>
      <c r="L191" s="1411"/>
      <c r="M191" s="1411"/>
      <c r="N191" s="1415"/>
      <c r="O191" s="1415"/>
      <c r="P191" s="1415"/>
      <c r="Q191" s="1455">
        <v>5</v>
      </c>
      <c r="R191" s="2046" t="s">
        <v>267</v>
      </c>
      <c r="S191" s="979">
        <v>10000</v>
      </c>
      <c r="T191" s="978" t="s">
        <v>37</v>
      </c>
      <c r="U191" s="978"/>
      <c r="V191" s="978">
        <v>20</v>
      </c>
      <c r="W191" s="978" t="s">
        <v>39</v>
      </c>
      <c r="X191" s="1025" t="s">
        <v>38</v>
      </c>
      <c r="Y191" s="1029">
        <f t="shared" si="18"/>
        <v>1000</v>
      </c>
      <c r="Z191" s="3163">
        <f>S191*V191*Q191</f>
        <v>1000000</v>
      </c>
      <c r="AA191" s="1073">
        <f t="shared" si="15"/>
        <v>1000000000</v>
      </c>
      <c r="AB191" s="915"/>
      <c r="AC191" s="915"/>
    </row>
    <row r="192" spans="1:29" s="880" customFormat="1" ht="19.5" customHeight="1">
      <c r="A192" s="1931"/>
      <c r="B192" s="630"/>
      <c r="C192" s="631"/>
      <c r="D192" s="3955" t="s">
        <v>3000</v>
      </c>
      <c r="E192" s="3883"/>
      <c r="F192" s="2061">
        <f>SUM(F193:F202)</f>
        <v>10000</v>
      </c>
      <c r="G192" s="955">
        <f>SUM(G193:G202)</f>
        <v>10000</v>
      </c>
      <c r="H192" s="933">
        <f>F192-G192</f>
        <v>0</v>
      </c>
      <c r="I192" s="734"/>
      <c r="J192" s="1031"/>
      <c r="K192" s="1032"/>
      <c r="L192" s="1032"/>
      <c r="M192" s="1032"/>
      <c r="N192" s="1032"/>
      <c r="O192" s="1032"/>
      <c r="P192" s="1032"/>
      <c r="Q192" s="937"/>
      <c r="R192" s="1033"/>
      <c r="S192" s="2112"/>
      <c r="T192" s="1033"/>
      <c r="U192" s="2112"/>
      <c r="V192" s="1033"/>
      <c r="W192" s="2112"/>
      <c r="X192" s="2112"/>
      <c r="Y192" s="939"/>
      <c r="Z192" s="736">
        <f>Z193+Z194+Z195+Z199+Z202</f>
        <v>10000000</v>
      </c>
      <c r="AA192" s="1073">
        <f t="shared" si="15"/>
        <v>10000000000</v>
      </c>
      <c r="AB192" s="308"/>
      <c r="AC192" s="308"/>
    </row>
    <row r="193" spans="1:33" s="880" customFormat="1" ht="19.5" customHeight="1">
      <c r="A193" s="1931"/>
      <c r="B193" s="630"/>
      <c r="C193" s="2013"/>
      <c r="D193" s="948"/>
      <c r="E193" s="675" t="s">
        <v>2783</v>
      </c>
      <c r="F193" s="941">
        <v>300</v>
      </c>
      <c r="G193" s="1261">
        <v>300</v>
      </c>
      <c r="H193" s="1239"/>
      <c r="I193" s="734"/>
      <c r="J193" s="1002" t="s">
        <v>2985</v>
      </c>
      <c r="K193" s="953" t="s">
        <v>3001</v>
      </c>
      <c r="L193" s="953"/>
      <c r="M193" s="953"/>
      <c r="N193" s="951"/>
      <c r="O193" s="951"/>
      <c r="P193" s="951"/>
      <c r="Q193" s="992" t="s">
        <v>3002</v>
      </c>
      <c r="R193" s="685" t="s">
        <v>3003</v>
      </c>
      <c r="S193" s="868">
        <v>50000</v>
      </c>
      <c r="T193" s="867" t="s">
        <v>2784</v>
      </c>
      <c r="U193" s="684" t="s">
        <v>2986</v>
      </c>
      <c r="V193" s="684" t="s">
        <v>2986</v>
      </c>
      <c r="W193" s="684" t="s">
        <v>2986</v>
      </c>
      <c r="X193" s="686" t="s">
        <v>3004</v>
      </c>
      <c r="Y193" s="1028">
        <v>300</v>
      </c>
      <c r="Z193" s="790">
        <v>300000</v>
      </c>
      <c r="AA193" s="1073">
        <f t="shared" si="15"/>
        <v>300000000</v>
      </c>
      <c r="AB193" s="308"/>
      <c r="AC193" s="308"/>
    </row>
    <row r="194" spans="1:33" s="880" customFormat="1" ht="19.5" customHeight="1">
      <c r="A194" s="1931"/>
      <c r="B194" s="630"/>
      <c r="C194" s="2013"/>
      <c r="D194" s="948"/>
      <c r="E194" s="675" t="s">
        <v>3005</v>
      </c>
      <c r="F194" s="941">
        <v>200</v>
      </c>
      <c r="G194" s="1261">
        <v>200</v>
      </c>
      <c r="H194" s="1239"/>
      <c r="I194" s="734"/>
      <c r="J194" s="1002" t="s">
        <v>3006</v>
      </c>
      <c r="K194" s="953"/>
      <c r="L194" s="953"/>
      <c r="M194" s="953"/>
      <c r="N194" s="951"/>
      <c r="O194" s="951"/>
      <c r="P194" s="951"/>
      <c r="Q194" s="1446">
        <v>2</v>
      </c>
      <c r="R194" s="685" t="s">
        <v>3007</v>
      </c>
      <c r="S194" s="868">
        <v>100000</v>
      </c>
      <c r="T194" s="867" t="s">
        <v>2784</v>
      </c>
      <c r="U194" s="867"/>
      <c r="V194" s="867"/>
      <c r="W194" s="867"/>
      <c r="X194" s="870" t="s">
        <v>2785</v>
      </c>
      <c r="Y194" s="1028">
        <v>200</v>
      </c>
      <c r="Z194" s="872">
        <v>200000</v>
      </c>
      <c r="AA194" s="1073">
        <f t="shared" si="15"/>
        <v>200000000</v>
      </c>
      <c r="AB194" s="308"/>
      <c r="AC194" s="308"/>
    </row>
    <row r="195" spans="1:33" s="880" customFormat="1" ht="19.5" customHeight="1">
      <c r="A195" s="1931"/>
      <c r="B195" s="630"/>
      <c r="C195" s="2013"/>
      <c r="D195" s="948"/>
      <c r="E195" s="1456" t="s">
        <v>2786</v>
      </c>
      <c r="F195" s="941">
        <v>7320</v>
      </c>
      <c r="G195" s="1261">
        <v>7320</v>
      </c>
      <c r="H195" s="1239"/>
      <c r="I195" s="734"/>
      <c r="J195" s="1002" t="s">
        <v>2985</v>
      </c>
      <c r="K195" s="953"/>
      <c r="L195" s="953"/>
      <c r="M195" s="953"/>
      <c r="N195" s="951"/>
      <c r="O195" s="951"/>
      <c r="P195" s="951"/>
      <c r="Q195" s="1446"/>
      <c r="R195" s="685"/>
      <c r="S195" s="868"/>
      <c r="T195" s="867"/>
      <c r="U195" s="867"/>
      <c r="V195" s="867"/>
      <c r="W195" s="867"/>
      <c r="X195" s="870"/>
      <c r="Y195" s="1028">
        <f t="shared" ref="Y195:Y197" si="20">+Z195/1000</f>
        <v>7320</v>
      </c>
      <c r="Z195" s="872">
        <v>7320000</v>
      </c>
      <c r="AA195" s="1073">
        <f t="shared" si="15"/>
        <v>7320000000</v>
      </c>
      <c r="AB195" s="308"/>
      <c r="AC195" s="308"/>
    </row>
    <row r="196" spans="1:33" ht="19.5" customHeight="1">
      <c r="A196" s="1931"/>
      <c r="B196" s="630"/>
      <c r="C196" s="2013"/>
      <c r="D196" s="948"/>
      <c r="E196" s="675"/>
      <c r="F196" s="941"/>
      <c r="G196" s="1261"/>
      <c r="H196" s="1239"/>
      <c r="I196" s="734"/>
      <c r="J196" s="1002" t="s">
        <v>3008</v>
      </c>
      <c r="K196" s="953"/>
      <c r="L196" s="953"/>
      <c r="M196" s="953"/>
      <c r="N196" s="951"/>
      <c r="O196" s="951"/>
      <c r="P196" s="951"/>
      <c r="Q196" s="1446">
        <v>3</v>
      </c>
      <c r="R196" s="685" t="s">
        <v>2996</v>
      </c>
      <c r="S196" s="868">
        <v>1000000</v>
      </c>
      <c r="T196" s="867" t="s">
        <v>2784</v>
      </c>
      <c r="U196" s="867"/>
      <c r="V196" s="867"/>
      <c r="W196" s="867"/>
      <c r="X196" s="870" t="s">
        <v>2785</v>
      </c>
      <c r="Y196" s="1028">
        <v>3000</v>
      </c>
      <c r="Z196" s="872">
        <v>3000000</v>
      </c>
      <c r="AA196" s="1073">
        <f t="shared" si="15"/>
        <v>0</v>
      </c>
    </row>
    <row r="197" spans="1:33" s="880" customFormat="1" ht="19.5" customHeight="1">
      <c r="A197" s="1931"/>
      <c r="B197" s="630"/>
      <c r="C197" s="2013"/>
      <c r="D197" s="948"/>
      <c r="E197" s="675"/>
      <c r="F197" s="941"/>
      <c r="G197" s="1261"/>
      <c r="H197" s="1239"/>
      <c r="I197" s="734"/>
      <c r="J197" s="1002" t="s">
        <v>3009</v>
      </c>
      <c r="K197" s="953"/>
      <c r="L197" s="953"/>
      <c r="M197" s="953"/>
      <c r="N197" s="951"/>
      <c r="O197" s="951"/>
      <c r="P197" s="951"/>
      <c r="Q197" s="1446">
        <v>6</v>
      </c>
      <c r="R197" s="685" t="s">
        <v>2996</v>
      </c>
      <c r="S197" s="868">
        <v>200000</v>
      </c>
      <c r="T197" s="867" t="s">
        <v>2784</v>
      </c>
      <c r="U197" s="867"/>
      <c r="V197" s="867">
        <v>3</v>
      </c>
      <c r="W197" s="867" t="s">
        <v>2983</v>
      </c>
      <c r="X197" s="870" t="s">
        <v>2785</v>
      </c>
      <c r="Y197" s="1028">
        <f t="shared" si="20"/>
        <v>3600</v>
      </c>
      <c r="Z197" s="872">
        <v>3600000</v>
      </c>
      <c r="AA197" s="1073">
        <f t="shared" si="15"/>
        <v>0</v>
      </c>
      <c r="AB197" s="308"/>
      <c r="AC197" s="308"/>
    </row>
    <row r="198" spans="1:33" s="880" customFormat="1" ht="19.5" customHeight="1">
      <c r="A198" s="1931"/>
      <c r="B198" s="630"/>
      <c r="C198" s="2013"/>
      <c r="D198" s="948"/>
      <c r="E198" s="675"/>
      <c r="F198" s="941"/>
      <c r="G198" s="1261"/>
      <c r="H198" s="1239"/>
      <c r="I198" s="734"/>
      <c r="J198" s="1002" t="s">
        <v>3010</v>
      </c>
      <c r="K198" s="953"/>
      <c r="L198" s="953"/>
      <c r="M198" s="953"/>
      <c r="N198" s="951"/>
      <c r="O198" s="951"/>
      <c r="P198" s="951"/>
      <c r="Q198" s="1446">
        <v>6</v>
      </c>
      <c r="R198" s="685" t="s">
        <v>2996</v>
      </c>
      <c r="S198" s="868">
        <v>40000</v>
      </c>
      <c r="T198" s="867" t="s">
        <v>2784</v>
      </c>
      <c r="U198" s="867"/>
      <c r="V198" s="867">
        <v>3</v>
      </c>
      <c r="W198" s="867" t="s">
        <v>2983</v>
      </c>
      <c r="X198" s="870" t="s">
        <v>2785</v>
      </c>
      <c r="Y198" s="1028">
        <v>720</v>
      </c>
      <c r="Z198" s="790">
        <v>720000</v>
      </c>
      <c r="AA198" s="1073">
        <f t="shared" si="15"/>
        <v>0</v>
      </c>
      <c r="AB198" s="308"/>
      <c r="AC198" s="308"/>
    </row>
    <row r="199" spans="1:33" s="880" customFormat="1" ht="19.5" customHeight="1">
      <c r="A199" s="1931"/>
      <c r="B199" s="630"/>
      <c r="C199" s="2013"/>
      <c r="D199" s="948"/>
      <c r="E199" s="675" t="s">
        <v>2984</v>
      </c>
      <c r="F199" s="941">
        <v>2000</v>
      </c>
      <c r="G199" s="1261">
        <v>2000</v>
      </c>
      <c r="H199" s="1239"/>
      <c r="I199" s="734"/>
      <c r="J199" s="1002" t="s">
        <v>2985</v>
      </c>
      <c r="K199" s="953"/>
      <c r="L199" s="953"/>
      <c r="M199" s="953"/>
      <c r="N199" s="951"/>
      <c r="O199" s="951"/>
      <c r="P199" s="951"/>
      <c r="Q199" s="992"/>
      <c r="R199" s="685"/>
      <c r="S199" s="868"/>
      <c r="T199" s="867"/>
      <c r="U199" s="684" t="s">
        <v>2986</v>
      </c>
      <c r="V199" s="684"/>
      <c r="W199" s="684"/>
      <c r="X199" s="686" t="s">
        <v>2986</v>
      </c>
      <c r="Y199" s="1028">
        <f t="shared" ref="Y199" si="21">+Z199/1000</f>
        <v>2000</v>
      </c>
      <c r="Z199" s="790">
        <f>SUM(Z200:Z201)</f>
        <v>2000000</v>
      </c>
      <c r="AA199" s="1073">
        <f t="shared" si="15"/>
        <v>2000000000</v>
      </c>
      <c r="AB199" s="308"/>
      <c r="AC199" s="308"/>
    </row>
    <row r="200" spans="1:33" s="931" customFormat="1" ht="19.5" customHeight="1">
      <c r="A200" s="1931"/>
      <c r="B200" s="630"/>
      <c r="C200" s="2013"/>
      <c r="D200" s="948"/>
      <c r="E200" s="948"/>
      <c r="F200" s="941"/>
      <c r="G200" s="1261"/>
      <c r="H200" s="1239"/>
      <c r="I200" s="734"/>
      <c r="J200" s="1002" t="s">
        <v>3011</v>
      </c>
      <c r="K200" s="953"/>
      <c r="L200" s="953"/>
      <c r="M200" s="953"/>
      <c r="N200" s="951"/>
      <c r="O200" s="951"/>
      <c r="P200" s="951"/>
      <c r="Q200" s="992" t="s">
        <v>3012</v>
      </c>
      <c r="R200" s="685" t="s">
        <v>2996</v>
      </c>
      <c r="S200" s="868">
        <v>300000</v>
      </c>
      <c r="T200" s="867" t="s">
        <v>2784</v>
      </c>
      <c r="U200" s="867"/>
      <c r="V200" s="867"/>
      <c r="W200" s="867"/>
      <c r="X200" s="870" t="s">
        <v>2785</v>
      </c>
      <c r="Y200" s="1028">
        <v>1500</v>
      </c>
      <c r="Z200" s="872">
        <v>1500000</v>
      </c>
      <c r="AA200" s="1073">
        <f t="shared" si="15"/>
        <v>0</v>
      </c>
      <c r="AB200" s="930"/>
      <c r="AC200" s="930"/>
    </row>
    <row r="201" spans="1:33" s="931" customFormat="1" ht="19.5" customHeight="1">
      <c r="A201" s="1931"/>
      <c r="B201" s="630"/>
      <c r="C201" s="2013"/>
      <c r="D201" s="948"/>
      <c r="E201" s="948"/>
      <c r="F201" s="941"/>
      <c r="G201" s="1261"/>
      <c r="H201" s="1239"/>
      <c r="I201" s="734"/>
      <c r="J201" s="1002" t="s">
        <v>3013</v>
      </c>
      <c r="K201" s="953"/>
      <c r="L201" s="953"/>
      <c r="M201" s="953"/>
      <c r="N201" s="951"/>
      <c r="O201" s="951"/>
      <c r="P201" s="951"/>
      <c r="Q201" s="992" t="s">
        <v>3014</v>
      </c>
      <c r="R201" s="685" t="s">
        <v>3015</v>
      </c>
      <c r="S201" s="868">
        <v>50000</v>
      </c>
      <c r="T201" s="867" t="s">
        <v>2784</v>
      </c>
      <c r="U201" s="867"/>
      <c r="V201" s="867"/>
      <c r="W201" s="867"/>
      <c r="X201" s="870" t="s">
        <v>2785</v>
      </c>
      <c r="Y201" s="1028">
        <v>500</v>
      </c>
      <c r="Z201" s="872">
        <v>500000</v>
      </c>
      <c r="AA201" s="1073">
        <f t="shared" si="15"/>
        <v>0</v>
      </c>
      <c r="AB201" s="915"/>
      <c r="AC201" s="915"/>
      <c r="AD201" s="915"/>
      <c r="AE201" s="915"/>
      <c r="AF201" s="683"/>
      <c r="AG201" s="683"/>
    </row>
    <row r="202" spans="1:33" s="709" customFormat="1" ht="19.5" customHeight="1">
      <c r="A202" s="1931"/>
      <c r="B202" s="630"/>
      <c r="C202" s="2013"/>
      <c r="D202" s="948"/>
      <c r="E202" s="948" t="s">
        <v>2998</v>
      </c>
      <c r="F202" s="972">
        <v>180</v>
      </c>
      <c r="G202" s="1385">
        <v>180</v>
      </c>
      <c r="H202" s="1239"/>
      <c r="I202" s="734"/>
      <c r="J202" s="991" t="s">
        <v>3016</v>
      </c>
      <c r="K202" s="1411" t="s">
        <v>3017</v>
      </c>
      <c r="L202" s="1411"/>
      <c r="M202" s="1411"/>
      <c r="N202" s="1415"/>
      <c r="O202" s="1415"/>
      <c r="P202" s="1415"/>
      <c r="Q202" s="1455">
        <v>6</v>
      </c>
      <c r="R202" s="2046" t="s">
        <v>2996</v>
      </c>
      <c r="S202" s="979">
        <v>10000</v>
      </c>
      <c r="T202" s="978" t="s">
        <v>2784</v>
      </c>
      <c r="U202" s="978"/>
      <c r="V202" s="978">
        <v>3</v>
      </c>
      <c r="W202" s="867" t="s">
        <v>2988</v>
      </c>
      <c r="X202" s="2604" t="s">
        <v>2785</v>
      </c>
      <c r="Y202" s="1029">
        <v>180</v>
      </c>
      <c r="Z202" s="867">
        <v>180000</v>
      </c>
      <c r="AA202" s="1073">
        <f t="shared" si="15"/>
        <v>180000000</v>
      </c>
      <c r="AB202" s="1181"/>
      <c r="AC202" s="1181"/>
      <c r="AD202" s="1181"/>
      <c r="AE202" s="1181"/>
      <c r="AF202" s="1439"/>
      <c r="AG202" s="1120"/>
    </row>
    <row r="203" spans="1:33" s="709" customFormat="1" ht="19.5" customHeight="1">
      <c r="A203" s="673"/>
      <c r="B203" s="674"/>
      <c r="C203" s="2004" t="s">
        <v>2780</v>
      </c>
      <c r="D203" s="2005"/>
      <c r="E203" s="2006"/>
      <c r="F203" s="1442">
        <f>F204+F221+F237</f>
        <v>101000</v>
      </c>
      <c r="G203" s="1442">
        <v>101000</v>
      </c>
      <c r="H203" s="933">
        <f>F203-G203</f>
        <v>0</v>
      </c>
      <c r="I203" s="734"/>
      <c r="J203" s="934"/>
      <c r="K203" s="1454"/>
      <c r="L203" s="1454"/>
      <c r="M203" s="1454"/>
      <c r="N203" s="935"/>
      <c r="O203" s="935"/>
      <c r="P203" s="935"/>
      <c r="Q203" s="1008"/>
      <c r="R203" s="978"/>
      <c r="S203" s="868"/>
      <c r="T203" s="867"/>
      <c r="U203" s="978"/>
      <c r="V203" s="978"/>
      <c r="W203" s="1009"/>
      <c r="X203" s="1422"/>
      <c r="Y203" s="939"/>
      <c r="Z203" s="1207"/>
      <c r="AA203" s="1073">
        <f t="shared" si="15"/>
        <v>101000000000</v>
      </c>
      <c r="AB203" s="1181"/>
      <c r="AC203" s="1181"/>
      <c r="AD203" s="1181"/>
      <c r="AE203" s="1181"/>
      <c r="AF203" s="1439"/>
      <c r="AG203" s="1120"/>
    </row>
    <row r="204" spans="1:33" s="709" customFormat="1" ht="19.5" customHeight="1">
      <c r="A204" s="673"/>
      <c r="B204" s="674"/>
      <c r="C204" s="948"/>
      <c r="D204" s="3955" t="s">
        <v>3018</v>
      </c>
      <c r="E204" s="3883"/>
      <c r="F204" s="932">
        <f>SUM(F205:F220)</f>
        <v>41000</v>
      </c>
      <c r="G204" s="955">
        <f>SUM(G205:G220)</f>
        <v>41000</v>
      </c>
      <c r="H204" s="933">
        <f>F204-G204</f>
        <v>0</v>
      </c>
      <c r="I204" s="734"/>
      <c r="J204" s="1031"/>
      <c r="K204" s="1032"/>
      <c r="L204" s="1032"/>
      <c r="M204" s="1032"/>
      <c r="N204" s="1032"/>
      <c r="O204" s="1032"/>
      <c r="P204" s="1032"/>
      <c r="Q204" s="937"/>
      <c r="R204" s="1033"/>
      <c r="S204" s="1010"/>
      <c r="T204" s="1009"/>
      <c r="U204" s="1973"/>
      <c r="V204" s="1033"/>
      <c r="W204" s="1973"/>
      <c r="X204" s="1973"/>
      <c r="Y204" s="939"/>
      <c r="Z204" s="993" t="e">
        <f>Z205+Z208+#REF!+Z209+Z211+Z219+Z220+Z210+#REF!</f>
        <v>#REF!</v>
      </c>
      <c r="AA204" s="1073">
        <f t="shared" si="15"/>
        <v>41000000000</v>
      </c>
      <c r="AB204" s="1181"/>
      <c r="AC204" s="1181"/>
      <c r="AD204" s="1181"/>
      <c r="AE204" s="1181"/>
      <c r="AF204" s="1439"/>
      <c r="AG204" s="1120"/>
    </row>
    <row r="205" spans="1:33" s="709" customFormat="1" ht="19.5" customHeight="1">
      <c r="A205" s="673"/>
      <c r="B205" s="674"/>
      <c r="C205" s="948"/>
      <c r="D205" s="917"/>
      <c r="E205" s="851" t="s">
        <v>278</v>
      </c>
      <c r="F205" s="941">
        <f>ROUNDUP(+Z205/1000,0)</f>
        <v>26000</v>
      </c>
      <c r="G205" s="1261">
        <v>26000</v>
      </c>
      <c r="H205" s="1239"/>
      <c r="I205" s="734"/>
      <c r="J205" s="3174" t="s">
        <v>4348</v>
      </c>
      <c r="K205" s="3172"/>
      <c r="L205" s="3172"/>
      <c r="M205" s="3172"/>
      <c r="N205" s="3171"/>
      <c r="O205" s="3171"/>
      <c r="P205" s="3171"/>
      <c r="Q205" s="3177"/>
      <c r="R205" s="3229"/>
      <c r="S205" s="3164"/>
      <c r="T205" s="3163"/>
      <c r="U205" s="3163"/>
      <c r="V205" s="3163"/>
      <c r="W205" s="3163"/>
      <c r="X205" s="3165"/>
      <c r="Y205" s="3175">
        <f>SUM(Y206:Y207)</f>
        <v>26000</v>
      </c>
      <c r="Z205" s="3163">
        <f>SUM(Z206:Z207)</f>
        <v>26000000</v>
      </c>
      <c r="AA205" s="1073">
        <f t="shared" si="15"/>
        <v>26000000000</v>
      </c>
      <c r="AB205" s="915"/>
      <c r="AC205" s="915"/>
    </row>
    <row r="206" spans="1:33" s="709" customFormat="1" ht="19.5" customHeight="1">
      <c r="A206" s="673"/>
      <c r="B206" s="674"/>
      <c r="C206" s="948"/>
      <c r="D206" s="917"/>
      <c r="E206" s="851"/>
      <c r="F206" s="941"/>
      <c r="G206" s="1261"/>
      <c r="H206" s="1239"/>
      <c r="I206" s="734"/>
      <c r="J206" s="3174" t="s">
        <v>4409</v>
      </c>
      <c r="K206" s="3172"/>
      <c r="L206" s="3172"/>
      <c r="M206" s="3172"/>
      <c r="N206" s="3171"/>
      <c r="O206" s="3171"/>
      <c r="P206" s="3171"/>
      <c r="Q206" s="992" t="s">
        <v>4410</v>
      </c>
      <c r="R206" s="3229" t="s">
        <v>4364</v>
      </c>
      <c r="S206" s="3164">
        <v>2000000</v>
      </c>
      <c r="T206" s="3163" t="s">
        <v>4361</v>
      </c>
      <c r="U206" s="3163"/>
      <c r="V206" s="3163">
        <v>12</v>
      </c>
      <c r="W206" s="3163" t="s">
        <v>4402</v>
      </c>
      <c r="X206" s="3165" t="s">
        <v>4371</v>
      </c>
      <c r="Y206" s="3175">
        <f>S206*V206/1000</f>
        <v>24000</v>
      </c>
      <c r="Z206" s="3163">
        <f>S206*V206*Q206</f>
        <v>24000000</v>
      </c>
      <c r="AA206" s="1073">
        <f t="shared" si="15"/>
        <v>0</v>
      </c>
      <c r="AB206" s="915"/>
      <c r="AC206" s="915"/>
    </row>
    <row r="207" spans="1:33" s="709" customFormat="1" ht="19.5" customHeight="1">
      <c r="A207" s="673"/>
      <c r="B207" s="674"/>
      <c r="C207" s="948"/>
      <c r="D207" s="917"/>
      <c r="E207" s="851"/>
      <c r="F207" s="941"/>
      <c r="G207" s="1261"/>
      <c r="H207" s="1239"/>
      <c r="I207" s="734"/>
      <c r="J207" s="3174" t="s">
        <v>4411</v>
      </c>
      <c r="K207" s="3172"/>
      <c r="L207" s="3172"/>
      <c r="M207" s="3172"/>
      <c r="N207" s="3171"/>
      <c r="O207" s="3171"/>
      <c r="P207" s="3171"/>
      <c r="Q207" s="992"/>
      <c r="R207" s="3229"/>
      <c r="S207" s="3164">
        <v>2000000</v>
      </c>
      <c r="T207" s="3163" t="s">
        <v>4361</v>
      </c>
      <c r="U207" s="3163"/>
      <c r="V207" s="3163">
        <v>1</v>
      </c>
      <c r="W207" s="3163" t="s">
        <v>4390</v>
      </c>
      <c r="X207" s="3165" t="s">
        <v>4371</v>
      </c>
      <c r="Y207" s="3175">
        <f>S207*V207/1000</f>
        <v>2000</v>
      </c>
      <c r="Z207" s="3163">
        <f>S207*V207</f>
        <v>2000000</v>
      </c>
      <c r="AA207" s="1073">
        <f t="shared" si="15"/>
        <v>0</v>
      </c>
      <c r="AB207" s="915"/>
      <c r="AC207" s="915"/>
    </row>
    <row r="208" spans="1:33" s="709" customFormat="1" ht="19.5" customHeight="1">
      <c r="A208" s="673"/>
      <c r="B208" s="674"/>
      <c r="C208" s="948"/>
      <c r="E208" s="675" t="s">
        <v>229</v>
      </c>
      <c r="F208" s="941">
        <f>ROUNDUP(+Z208/1000,0)</f>
        <v>1100</v>
      </c>
      <c r="G208" s="1261">
        <v>1100</v>
      </c>
      <c r="H208" s="1239"/>
      <c r="I208" s="734"/>
      <c r="J208" s="943" t="s">
        <v>4412</v>
      </c>
      <c r="K208" s="3172"/>
      <c r="L208" s="3172"/>
      <c r="M208" s="3172"/>
      <c r="N208" s="3171"/>
      <c r="O208" s="3171"/>
      <c r="P208" s="3171"/>
      <c r="Q208" s="3177">
        <v>500</v>
      </c>
      <c r="R208" s="3229" t="s">
        <v>4413</v>
      </c>
      <c r="S208" s="3164">
        <v>1100</v>
      </c>
      <c r="T208" s="3163" t="s">
        <v>4361</v>
      </c>
      <c r="U208" s="3163"/>
      <c r="V208" s="3163">
        <v>2</v>
      </c>
      <c r="W208" s="3163" t="s">
        <v>4414</v>
      </c>
      <c r="X208" s="3165" t="s">
        <v>4371</v>
      </c>
      <c r="Y208" s="3175">
        <f>+Z208/1000</f>
        <v>1100</v>
      </c>
      <c r="Z208" s="3163">
        <f>S208*V208*Q208</f>
        <v>1100000</v>
      </c>
      <c r="AA208" s="1073">
        <f t="shared" si="15"/>
        <v>1100000000</v>
      </c>
      <c r="AB208" s="915"/>
      <c r="AC208" s="915"/>
    </row>
    <row r="209" spans="1:29" s="709" customFormat="1" ht="19.5" customHeight="1">
      <c r="A209" s="673"/>
      <c r="B209" s="674"/>
      <c r="C209" s="948"/>
      <c r="E209" s="675" t="s">
        <v>264</v>
      </c>
      <c r="F209" s="941">
        <f>ROUNDUP(+Z209/1000,0)</f>
        <v>500</v>
      </c>
      <c r="G209" s="1261">
        <v>500</v>
      </c>
      <c r="H209" s="1239"/>
      <c r="I209" s="734"/>
      <c r="J209" s="3174" t="s">
        <v>4415</v>
      </c>
      <c r="K209" s="3172"/>
      <c r="L209" s="3172"/>
      <c r="M209" s="3172"/>
      <c r="N209" s="3171"/>
      <c r="O209" s="3171"/>
      <c r="P209" s="3171"/>
      <c r="Q209" s="3177">
        <v>1</v>
      </c>
      <c r="R209" s="3229" t="s">
        <v>4416</v>
      </c>
      <c r="S209" s="3164">
        <v>250000</v>
      </c>
      <c r="T209" s="3163" t="s">
        <v>4361</v>
      </c>
      <c r="U209" s="3163"/>
      <c r="V209" s="3163">
        <v>2</v>
      </c>
      <c r="W209" s="3163" t="s">
        <v>4381</v>
      </c>
      <c r="X209" s="3165" t="s">
        <v>4371</v>
      </c>
      <c r="Y209" s="3175">
        <f t="shared" ref="Y209:Y220" si="22">+Z209/1000</f>
        <v>500</v>
      </c>
      <c r="Z209" s="3163">
        <f>Q209*S209*V209</f>
        <v>500000</v>
      </c>
      <c r="AA209" s="1073">
        <f t="shared" si="15"/>
        <v>500000000</v>
      </c>
      <c r="AB209" s="915"/>
      <c r="AC209" s="915"/>
    </row>
    <row r="210" spans="1:29" s="709" customFormat="1" ht="19.5" customHeight="1">
      <c r="A210" s="673"/>
      <c r="B210" s="674"/>
      <c r="C210" s="948"/>
      <c r="E210" s="675" t="s">
        <v>225</v>
      </c>
      <c r="F210" s="941">
        <f>ROUNDUP(+Z210/1000,0)</f>
        <v>1000</v>
      </c>
      <c r="G210" s="1261">
        <v>1000</v>
      </c>
      <c r="H210" s="1239"/>
      <c r="I210" s="734"/>
      <c r="J210" s="3174" t="s">
        <v>4417</v>
      </c>
      <c r="K210" s="3172"/>
      <c r="L210" s="3172"/>
      <c r="M210" s="3172"/>
      <c r="N210" s="3171"/>
      <c r="O210" s="3171"/>
      <c r="P210" s="3171"/>
      <c r="Q210" s="992" t="s">
        <v>4418</v>
      </c>
      <c r="R210" s="3229" t="s">
        <v>4364</v>
      </c>
      <c r="S210" s="3164">
        <v>50000</v>
      </c>
      <c r="T210" s="3163" t="s">
        <v>4361</v>
      </c>
      <c r="U210" s="3163"/>
      <c r="V210" s="3163">
        <v>10</v>
      </c>
      <c r="W210" s="3163" t="s">
        <v>4365</v>
      </c>
      <c r="X210" s="3165" t="s">
        <v>4371</v>
      </c>
      <c r="Y210" s="3175">
        <f>+Z210/1000</f>
        <v>1000</v>
      </c>
      <c r="Z210" s="993">
        <f>Q210*S210*V210</f>
        <v>1000000</v>
      </c>
      <c r="AA210" s="1073">
        <f t="shared" si="15"/>
        <v>1000000000</v>
      </c>
      <c r="AB210" s="915"/>
      <c r="AC210" s="915"/>
    </row>
    <row r="211" spans="1:29" s="709" customFormat="1" ht="19.5" customHeight="1">
      <c r="A211" s="673"/>
      <c r="B211" s="674"/>
      <c r="C211" s="948"/>
      <c r="D211" s="675"/>
      <c r="E211" s="675" t="s">
        <v>255</v>
      </c>
      <c r="F211" s="941"/>
      <c r="G211" s="1261"/>
      <c r="H211" s="1239"/>
      <c r="I211" s="734"/>
      <c r="J211" s="943" t="s">
        <v>4419</v>
      </c>
      <c r="K211" s="3172"/>
      <c r="L211" s="3172"/>
      <c r="M211" s="3172"/>
      <c r="N211" s="3171"/>
      <c r="O211" s="3171"/>
      <c r="P211" s="3171"/>
      <c r="Q211" s="3177"/>
      <c r="R211" s="3229"/>
      <c r="S211" s="3164"/>
      <c r="T211" s="3163"/>
      <c r="U211" s="3163"/>
      <c r="V211" s="3163"/>
      <c r="W211" s="3163"/>
      <c r="X211" s="3165"/>
      <c r="Y211" s="3175"/>
      <c r="Z211" s="3163"/>
      <c r="AA211" s="1073">
        <f t="shared" si="15"/>
        <v>0</v>
      </c>
      <c r="AB211" s="915"/>
      <c r="AC211" s="915"/>
    </row>
    <row r="212" spans="1:29" s="709" customFormat="1" ht="19.5" customHeight="1">
      <c r="A212" s="673"/>
      <c r="B212" s="674"/>
      <c r="C212" s="948"/>
      <c r="D212" s="917"/>
      <c r="E212" s="675" t="s">
        <v>380</v>
      </c>
      <c r="F212" s="941">
        <f>ROUNDUP(+Z212/1000,0)</f>
        <v>8900</v>
      </c>
      <c r="G212" s="1261">
        <v>8900</v>
      </c>
      <c r="H212" s="1239"/>
      <c r="I212" s="734"/>
      <c r="J212" s="3174" t="s">
        <v>4420</v>
      </c>
      <c r="K212" s="3172"/>
      <c r="L212" s="3172"/>
      <c r="M212" s="3172"/>
      <c r="N212" s="3171"/>
      <c r="O212" s="3171"/>
      <c r="P212" s="3171"/>
      <c r="Q212" s="3177"/>
      <c r="R212" s="3229"/>
      <c r="S212" s="3164"/>
      <c r="T212" s="3163"/>
      <c r="U212" s="3163"/>
      <c r="V212" s="3163"/>
      <c r="W212" s="3163"/>
      <c r="X212" s="3165"/>
      <c r="Y212" s="3175">
        <f t="shared" si="22"/>
        <v>8900</v>
      </c>
      <c r="Z212" s="3163">
        <f>SUM(Z213:Z215)</f>
        <v>8900000</v>
      </c>
      <c r="AA212" s="1073">
        <f t="shared" si="15"/>
        <v>8900000000</v>
      </c>
      <c r="AB212" s="915"/>
      <c r="AC212" s="915"/>
    </row>
    <row r="213" spans="1:29" s="709" customFormat="1" ht="19.5" customHeight="1">
      <c r="A213" s="673"/>
      <c r="B213" s="674"/>
      <c r="C213" s="948"/>
      <c r="D213" s="917"/>
      <c r="E213" s="851"/>
      <c r="F213" s="941"/>
      <c r="G213" s="941"/>
      <c r="H213" s="1239"/>
      <c r="I213" s="734"/>
      <c r="J213" s="3174" t="s">
        <v>4421</v>
      </c>
      <c r="K213" s="3172"/>
      <c r="L213" s="3172"/>
      <c r="M213" s="3172"/>
      <c r="N213" s="3171"/>
      <c r="O213" s="3171"/>
      <c r="P213" s="3171"/>
      <c r="Q213" s="3177">
        <v>1</v>
      </c>
      <c r="R213" s="3229" t="s">
        <v>4364</v>
      </c>
      <c r="S213" s="3164">
        <v>100000</v>
      </c>
      <c r="T213" s="3163" t="s">
        <v>4361</v>
      </c>
      <c r="U213" s="3163"/>
      <c r="V213" s="3163">
        <v>40</v>
      </c>
      <c r="W213" s="3163" t="s">
        <v>4365</v>
      </c>
      <c r="X213" s="3165" t="s">
        <v>4371</v>
      </c>
      <c r="Y213" s="3175">
        <f t="shared" si="22"/>
        <v>4000</v>
      </c>
      <c r="Z213" s="3163">
        <f>S213*V213*Q213</f>
        <v>4000000</v>
      </c>
      <c r="AA213" s="1073">
        <f t="shared" si="15"/>
        <v>0</v>
      </c>
      <c r="AB213" s="915"/>
      <c r="AC213" s="915"/>
    </row>
    <row r="214" spans="1:29" s="3162" customFormat="1" ht="19.5" customHeight="1">
      <c r="A214" s="3159"/>
      <c r="B214" s="3160"/>
      <c r="C214" s="3170"/>
      <c r="D214" s="3167"/>
      <c r="E214" s="851"/>
      <c r="F214" s="941"/>
      <c r="G214" s="941"/>
      <c r="H214" s="1239"/>
      <c r="I214" s="734"/>
      <c r="J214" s="3174" t="s">
        <v>4422</v>
      </c>
      <c r="K214" s="3172"/>
      <c r="L214" s="3172"/>
      <c r="M214" s="3172"/>
      <c r="N214" s="3171"/>
      <c r="O214" s="3171"/>
      <c r="P214" s="3171"/>
      <c r="Q214" s="3177">
        <v>1</v>
      </c>
      <c r="R214" s="3229" t="s">
        <v>4364</v>
      </c>
      <c r="S214" s="3164">
        <v>70000</v>
      </c>
      <c r="T214" s="3163" t="s">
        <v>4361</v>
      </c>
      <c r="U214" s="3163"/>
      <c r="V214" s="3163">
        <v>40</v>
      </c>
      <c r="W214" s="3163" t="s">
        <v>4365</v>
      </c>
      <c r="X214" s="3165" t="s">
        <v>4371</v>
      </c>
      <c r="Y214" s="3175">
        <f t="shared" si="22"/>
        <v>2800</v>
      </c>
      <c r="Z214" s="3163">
        <f>S214*V214*Q214</f>
        <v>2800000</v>
      </c>
      <c r="AA214" s="1073">
        <f t="shared" si="15"/>
        <v>0</v>
      </c>
      <c r="AB214" s="3166"/>
      <c r="AC214" s="3166"/>
    </row>
    <row r="215" spans="1:29" s="3162" customFormat="1" ht="19.5" customHeight="1">
      <c r="A215" s="3159"/>
      <c r="B215" s="3160"/>
      <c r="C215" s="3170"/>
      <c r="D215" s="3167"/>
      <c r="E215" s="851"/>
      <c r="F215" s="941"/>
      <c r="G215" s="941"/>
      <c r="H215" s="1239"/>
      <c r="I215" s="734"/>
      <c r="J215" s="3174" t="s">
        <v>4423</v>
      </c>
      <c r="K215" s="3172"/>
      <c r="L215" s="3172"/>
      <c r="M215" s="3172"/>
      <c r="N215" s="3171"/>
      <c r="O215" s="3171"/>
      <c r="P215" s="3171"/>
      <c r="Q215" s="3177">
        <v>1</v>
      </c>
      <c r="R215" s="3229" t="s">
        <v>4364</v>
      </c>
      <c r="S215" s="3164">
        <v>2100000</v>
      </c>
      <c r="T215" s="3163" t="s">
        <v>4361</v>
      </c>
      <c r="U215" s="3163"/>
      <c r="V215" s="3163">
        <v>1</v>
      </c>
      <c r="W215" s="3163" t="s">
        <v>4365</v>
      </c>
      <c r="X215" s="3165" t="s">
        <v>4371</v>
      </c>
      <c r="Y215" s="3175">
        <f t="shared" si="22"/>
        <v>2100</v>
      </c>
      <c r="Z215" s="3163">
        <f>S215*V215*Q215</f>
        <v>2100000</v>
      </c>
      <c r="AA215" s="1073">
        <f t="shared" si="15"/>
        <v>0</v>
      </c>
      <c r="AB215" s="3166"/>
      <c r="AC215" s="3166"/>
    </row>
    <row r="216" spans="1:29" s="3162" customFormat="1" ht="19.5" customHeight="1">
      <c r="A216" s="3159"/>
      <c r="B216" s="3160"/>
      <c r="C216" s="3170"/>
      <c r="D216" s="3167"/>
      <c r="E216" s="675" t="s">
        <v>17</v>
      </c>
      <c r="F216" s="941">
        <f>ROUNDUP(+Z216/1000,0)</f>
        <v>800</v>
      </c>
      <c r="G216" s="1261">
        <v>800</v>
      </c>
      <c r="H216" s="1239"/>
      <c r="I216" s="734"/>
      <c r="J216" s="943" t="s">
        <v>4424</v>
      </c>
      <c r="K216" s="3172"/>
      <c r="L216" s="3172"/>
      <c r="M216" s="3172"/>
      <c r="N216" s="3171"/>
      <c r="O216" s="3171"/>
      <c r="P216" s="3171"/>
      <c r="Q216" s="3177">
        <v>400</v>
      </c>
      <c r="R216" s="3229" t="s">
        <v>4425</v>
      </c>
      <c r="S216" s="3164">
        <v>1000</v>
      </c>
      <c r="T216" s="3163" t="s">
        <v>4361</v>
      </c>
      <c r="U216" s="3163"/>
      <c r="V216" s="3163">
        <v>2</v>
      </c>
      <c r="W216" s="3163" t="s">
        <v>4365</v>
      </c>
      <c r="X216" s="3165" t="s">
        <v>4371</v>
      </c>
      <c r="Y216" s="3175">
        <f t="shared" si="22"/>
        <v>800</v>
      </c>
      <c r="Z216" s="3163">
        <f>S216*V216*Q216</f>
        <v>800000</v>
      </c>
      <c r="AA216" s="1073">
        <f t="shared" si="15"/>
        <v>800000000</v>
      </c>
      <c r="AB216" s="3166"/>
      <c r="AC216" s="3166"/>
    </row>
    <row r="217" spans="1:29" s="3162" customFormat="1" ht="21" customHeight="1">
      <c r="A217" s="3159"/>
      <c r="B217" s="3160"/>
      <c r="C217" s="3170"/>
      <c r="D217" s="3167"/>
      <c r="E217" s="851" t="s">
        <v>451</v>
      </c>
      <c r="F217" s="941">
        <f>ROUNDUP(+Z217/1000,0)</f>
        <v>2000</v>
      </c>
      <c r="G217" s="1261">
        <v>2000</v>
      </c>
      <c r="H217" s="1239"/>
      <c r="I217" s="734"/>
      <c r="J217" s="3174" t="s">
        <v>4348</v>
      </c>
      <c r="K217" s="3172"/>
      <c r="L217" s="3172"/>
      <c r="M217" s="3172"/>
      <c r="N217" s="3171"/>
      <c r="O217" s="3171"/>
      <c r="P217" s="3171"/>
      <c r="Q217" s="3177"/>
      <c r="R217" s="3229"/>
      <c r="S217" s="3164"/>
      <c r="T217" s="684"/>
      <c r="U217" s="684" t="s">
        <v>4389</v>
      </c>
      <c r="V217" s="684"/>
      <c r="W217" s="684"/>
      <c r="X217" s="686"/>
      <c r="Y217" s="3175">
        <f>SUM(Y218:Y219)</f>
        <v>2000</v>
      </c>
      <c r="Z217" s="993">
        <f>SUM(Z218:Z219)</f>
        <v>2000000</v>
      </c>
      <c r="AA217" s="1073">
        <f t="shared" ref="AA217:AA278" si="23">F217*1000000</f>
        <v>2000000000</v>
      </c>
      <c r="AB217" s="3166"/>
      <c r="AC217" s="3166"/>
    </row>
    <row r="218" spans="1:29" s="709" customFormat="1" ht="21" customHeight="1">
      <c r="A218" s="673"/>
      <c r="B218" s="674"/>
      <c r="C218" s="948"/>
      <c r="D218" s="917"/>
      <c r="E218" s="851"/>
      <c r="F218" s="941"/>
      <c r="G218" s="1261"/>
      <c r="H218" s="1239"/>
      <c r="I218" s="734"/>
      <c r="J218" s="3174" t="s">
        <v>4426</v>
      </c>
      <c r="K218" s="3172"/>
      <c r="L218" s="3172"/>
      <c r="M218" s="3172"/>
      <c r="N218" s="3171"/>
      <c r="O218" s="3171"/>
      <c r="P218" s="3171"/>
      <c r="Q218" s="3177">
        <v>1</v>
      </c>
      <c r="R218" s="3229" t="s">
        <v>4364</v>
      </c>
      <c r="S218" s="3164">
        <v>100000</v>
      </c>
      <c r="T218" s="3163" t="s">
        <v>4361</v>
      </c>
      <c r="U218" s="3163"/>
      <c r="V218" s="3163">
        <v>2</v>
      </c>
      <c r="W218" s="3163" t="s">
        <v>4365</v>
      </c>
      <c r="X218" s="3165" t="s">
        <v>4371</v>
      </c>
      <c r="Y218" s="3175">
        <f t="shared" ref="Y218:Y219" si="24">+Z218/1000</f>
        <v>200</v>
      </c>
      <c r="Z218" s="3163">
        <f>S218*V218*Q218</f>
        <v>200000</v>
      </c>
      <c r="AA218" s="1073">
        <f t="shared" si="23"/>
        <v>0</v>
      </c>
      <c r="AB218" s="915"/>
      <c r="AC218" s="915"/>
    </row>
    <row r="219" spans="1:29" s="709" customFormat="1" ht="21" customHeight="1">
      <c r="A219" s="673"/>
      <c r="B219" s="674"/>
      <c r="C219" s="948"/>
      <c r="E219" s="851"/>
      <c r="F219" s="941"/>
      <c r="G219" s="1261"/>
      <c r="H219" s="1239"/>
      <c r="I219" s="734"/>
      <c r="J219" s="3174" t="s">
        <v>4427</v>
      </c>
      <c r="K219" s="3172"/>
      <c r="L219" s="3172"/>
      <c r="M219" s="3172"/>
      <c r="N219" s="3171"/>
      <c r="O219" s="3171"/>
      <c r="P219" s="3171"/>
      <c r="Q219" s="3177">
        <v>600</v>
      </c>
      <c r="R219" s="3229" t="s">
        <v>4364</v>
      </c>
      <c r="S219" s="3164">
        <v>3000</v>
      </c>
      <c r="T219" s="3163" t="s">
        <v>4361</v>
      </c>
      <c r="U219" s="3163"/>
      <c r="V219" s="3163">
        <v>1</v>
      </c>
      <c r="W219" s="3163" t="s">
        <v>4365</v>
      </c>
      <c r="X219" s="3165" t="s">
        <v>4371</v>
      </c>
      <c r="Y219" s="3175">
        <f t="shared" si="24"/>
        <v>1800</v>
      </c>
      <c r="Z219" s="3163">
        <f>S219*V219*Q219</f>
        <v>1800000</v>
      </c>
      <c r="AA219" s="1073">
        <f t="shared" si="23"/>
        <v>0</v>
      </c>
      <c r="AB219" s="915"/>
      <c r="AC219" s="915"/>
    </row>
    <row r="220" spans="1:29" s="709" customFormat="1" ht="21" customHeight="1">
      <c r="A220" s="673"/>
      <c r="B220" s="674"/>
      <c r="C220" s="948"/>
      <c r="E220" s="675" t="s">
        <v>384</v>
      </c>
      <c r="F220" s="941">
        <f>ROUNDUP(+Z220/1000,0)</f>
        <v>700</v>
      </c>
      <c r="G220" s="1261">
        <v>700</v>
      </c>
      <c r="H220" s="1239"/>
      <c r="I220" s="734"/>
      <c r="J220" s="1001" t="s">
        <v>4428</v>
      </c>
      <c r="K220" s="1411"/>
      <c r="L220" s="1411"/>
      <c r="M220" s="1411"/>
      <c r="N220" s="1415"/>
      <c r="O220" s="1415"/>
      <c r="P220" s="1415"/>
      <c r="Q220" s="1455">
        <v>10</v>
      </c>
      <c r="R220" s="2046" t="s">
        <v>4364</v>
      </c>
      <c r="S220" s="979">
        <v>10000</v>
      </c>
      <c r="T220" s="978" t="s">
        <v>4361</v>
      </c>
      <c r="U220" s="978"/>
      <c r="V220" s="978">
        <v>7</v>
      </c>
      <c r="W220" s="978" t="s">
        <v>4365</v>
      </c>
      <c r="X220" s="1025" t="s">
        <v>4371</v>
      </c>
      <c r="Y220" s="1029">
        <f t="shared" si="22"/>
        <v>700</v>
      </c>
      <c r="Z220" s="978">
        <f>S220*V220*Q220</f>
        <v>700000</v>
      </c>
      <c r="AA220" s="1073">
        <f t="shared" si="23"/>
        <v>700000000</v>
      </c>
      <c r="AB220" s="915"/>
      <c r="AC220" s="915"/>
    </row>
    <row r="221" spans="1:29" s="709" customFormat="1" ht="21" customHeight="1">
      <c r="A221" s="673"/>
      <c r="B221" s="674"/>
      <c r="C221" s="948"/>
      <c r="D221" s="3955" t="s">
        <v>3027</v>
      </c>
      <c r="E221" s="4026"/>
      <c r="F221" s="3176">
        <f>SUM(F222:F236)</f>
        <v>45000</v>
      </c>
      <c r="G221" s="3173">
        <f>SUM(G222:G236)</f>
        <v>45000</v>
      </c>
      <c r="H221" s="3169">
        <f>F221-G221</f>
        <v>0</v>
      </c>
      <c r="I221" s="734"/>
      <c r="J221" s="3174"/>
      <c r="K221" s="3172"/>
      <c r="L221" s="3172"/>
      <c r="M221" s="3172"/>
      <c r="N221" s="3171"/>
      <c r="O221" s="3171"/>
      <c r="P221" s="3171"/>
      <c r="Q221" s="3177"/>
      <c r="R221" s="3161"/>
      <c r="S221" s="3164"/>
      <c r="T221" s="3163"/>
      <c r="U221" s="3163"/>
      <c r="V221" s="3163"/>
      <c r="W221" s="3163"/>
      <c r="X221" s="3165"/>
      <c r="Y221" s="3175"/>
      <c r="Z221" s="3163"/>
      <c r="AA221" s="1073">
        <f t="shared" si="23"/>
        <v>45000000000</v>
      </c>
      <c r="AB221" s="915"/>
      <c r="AC221" s="915"/>
    </row>
    <row r="222" spans="1:29" s="709" customFormat="1" ht="21" customHeight="1">
      <c r="A222" s="673"/>
      <c r="B222" s="674"/>
      <c r="C222" s="948"/>
      <c r="D222" s="917"/>
      <c r="E222" s="852" t="s">
        <v>3028</v>
      </c>
      <c r="F222" s="3173">
        <f>+Y222</f>
        <v>24000</v>
      </c>
      <c r="G222" s="3176">
        <v>24000</v>
      </c>
      <c r="H222" s="486"/>
      <c r="I222" s="3287"/>
      <c r="J222" s="1012" t="s">
        <v>224</v>
      </c>
      <c r="K222" s="1424"/>
      <c r="L222" s="1424"/>
      <c r="M222" s="1424"/>
      <c r="N222" s="960"/>
      <c r="O222" s="960"/>
      <c r="P222" s="960"/>
      <c r="Q222" s="1425"/>
      <c r="R222" s="1426"/>
      <c r="S222" s="1426" t="s">
        <v>265</v>
      </c>
      <c r="T222" s="1037" t="s">
        <v>265</v>
      </c>
      <c r="U222" s="1037" t="s">
        <v>265</v>
      </c>
      <c r="V222" s="1037" t="s">
        <v>265</v>
      </c>
      <c r="W222" s="1037" t="s">
        <v>265</v>
      </c>
      <c r="X222" s="2228" t="s">
        <v>265</v>
      </c>
      <c r="Y222" s="1036">
        <f>+Z222/1000</f>
        <v>24000</v>
      </c>
      <c r="Z222" s="3210">
        <f>SUM(Z223:Z225)</f>
        <v>24000000</v>
      </c>
      <c r="AA222" s="1073">
        <f t="shared" si="23"/>
        <v>24000000000</v>
      </c>
      <c r="AB222" s="915"/>
      <c r="AC222" s="915"/>
    </row>
    <row r="223" spans="1:29" s="709" customFormat="1" ht="21" customHeight="1">
      <c r="A223" s="673"/>
      <c r="B223" s="674"/>
      <c r="C223" s="948"/>
      <c r="D223" s="917"/>
      <c r="E223" s="851"/>
      <c r="F223" s="941"/>
      <c r="G223" s="1261"/>
      <c r="H223" s="1239"/>
      <c r="I223" s="734"/>
      <c r="J223" s="3174" t="s">
        <v>3020</v>
      </c>
      <c r="K223" s="3172"/>
      <c r="L223" s="3172"/>
      <c r="M223" s="3172"/>
      <c r="N223" s="3171"/>
      <c r="O223" s="3171"/>
      <c r="P223" s="3171"/>
      <c r="Q223" s="992" t="s">
        <v>577</v>
      </c>
      <c r="R223" s="3229" t="s">
        <v>267</v>
      </c>
      <c r="S223" s="3164">
        <v>2000000</v>
      </c>
      <c r="T223" s="3163" t="s">
        <v>37</v>
      </c>
      <c r="U223" s="3163"/>
      <c r="V223" s="3163">
        <v>10</v>
      </c>
      <c r="W223" s="3163" t="s">
        <v>228</v>
      </c>
      <c r="X223" s="3165" t="s">
        <v>38</v>
      </c>
      <c r="Y223" s="3175">
        <f>+Z223/1000</f>
        <v>20000</v>
      </c>
      <c r="Z223" s="3163">
        <f>S223*V223*Q223</f>
        <v>20000000</v>
      </c>
      <c r="AA223" s="1073">
        <f t="shared" si="23"/>
        <v>0</v>
      </c>
      <c r="AB223" s="915"/>
      <c r="AC223" s="915"/>
    </row>
    <row r="224" spans="1:29" s="709" customFormat="1" ht="21" customHeight="1">
      <c r="A224" s="673"/>
      <c r="B224" s="674"/>
      <c r="C224" s="948"/>
      <c r="D224" s="917"/>
      <c r="E224" s="851"/>
      <c r="F224" s="941"/>
      <c r="G224" s="1261"/>
      <c r="H224" s="1239"/>
      <c r="I224" s="734"/>
      <c r="J224" s="3174" t="s">
        <v>3021</v>
      </c>
      <c r="K224" s="3172"/>
      <c r="L224" s="3172"/>
      <c r="M224" s="3172"/>
      <c r="N224" s="3171"/>
      <c r="O224" s="3171"/>
      <c r="P224" s="3171"/>
      <c r="Q224" s="992" t="s">
        <v>378</v>
      </c>
      <c r="R224" s="3229" t="s">
        <v>378</v>
      </c>
      <c r="S224" s="3164">
        <v>2000000</v>
      </c>
      <c r="T224" s="3163" t="s">
        <v>37</v>
      </c>
      <c r="U224" s="3163"/>
      <c r="V224" s="3163">
        <v>0</v>
      </c>
      <c r="W224" s="3163" t="s">
        <v>878</v>
      </c>
      <c r="X224" s="3165" t="s">
        <v>38</v>
      </c>
      <c r="Y224" s="3175">
        <f>+S224*V224/1000</f>
        <v>0</v>
      </c>
      <c r="Z224" s="3163">
        <f>+S224*V224</f>
        <v>0</v>
      </c>
      <c r="AA224" s="1073">
        <f t="shared" si="23"/>
        <v>0</v>
      </c>
      <c r="AB224" s="915"/>
      <c r="AC224" s="915"/>
    </row>
    <row r="225" spans="1:29" s="709" customFormat="1" ht="21" customHeight="1">
      <c r="A225" s="673"/>
      <c r="B225" s="674"/>
      <c r="C225" s="948"/>
      <c r="D225" s="917"/>
      <c r="E225" s="851"/>
      <c r="F225" s="941"/>
      <c r="G225" s="941"/>
      <c r="H225" s="1239"/>
      <c r="I225" s="734"/>
      <c r="J225" s="3174" t="s">
        <v>4270</v>
      </c>
      <c r="K225" s="3172"/>
      <c r="L225" s="3172"/>
      <c r="M225" s="3172"/>
      <c r="N225" s="3171"/>
      <c r="O225" s="3171"/>
      <c r="P225" s="3171"/>
      <c r="Q225" s="992" t="s">
        <v>4268</v>
      </c>
      <c r="R225" s="3229" t="s">
        <v>4237</v>
      </c>
      <c r="S225" s="3164">
        <v>2000000</v>
      </c>
      <c r="T225" s="3163" t="s">
        <v>4220</v>
      </c>
      <c r="U225" s="3163"/>
      <c r="V225" s="3163">
        <v>2</v>
      </c>
      <c r="W225" s="3163" t="s">
        <v>4269</v>
      </c>
      <c r="X225" s="3165" t="s">
        <v>4221</v>
      </c>
      <c r="Y225" s="3175">
        <f t="shared" ref="Y225:Y236" si="25">+Z225/1000</f>
        <v>4000</v>
      </c>
      <c r="Z225" s="3163">
        <f>S225*V225*Q225</f>
        <v>4000000</v>
      </c>
      <c r="AA225" s="1073">
        <f t="shared" si="23"/>
        <v>0</v>
      </c>
      <c r="AB225" s="915"/>
      <c r="AC225" s="915"/>
    </row>
    <row r="226" spans="1:29" s="709" customFormat="1" ht="21" customHeight="1">
      <c r="A226" s="673"/>
      <c r="B226" s="674"/>
      <c r="C226" s="948"/>
      <c r="D226" s="917"/>
      <c r="E226" s="851" t="s">
        <v>3030</v>
      </c>
      <c r="F226" s="941">
        <f>ROUNDUP(+Z226/1000,0)</f>
        <v>3000</v>
      </c>
      <c r="G226" s="1261">
        <v>3000</v>
      </c>
      <c r="H226" s="1239"/>
      <c r="I226" s="734"/>
      <c r="J226" s="3174" t="s">
        <v>4271</v>
      </c>
      <c r="K226" s="3172"/>
      <c r="L226" s="3172"/>
      <c r="M226" s="3172"/>
      <c r="N226" s="3171"/>
      <c r="O226" s="3171"/>
      <c r="P226" s="3171"/>
      <c r="Q226" s="3177">
        <v>300</v>
      </c>
      <c r="R226" s="3229" t="s">
        <v>4272</v>
      </c>
      <c r="S226" s="3164">
        <v>10000</v>
      </c>
      <c r="T226" s="3163" t="s">
        <v>4220</v>
      </c>
      <c r="U226" s="3163"/>
      <c r="V226" s="3163">
        <v>1</v>
      </c>
      <c r="W226" s="3163" t="s">
        <v>4261</v>
      </c>
      <c r="X226" s="3165" t="s">
        <v>4221</v>
      </c>
      <c r="Y226" s="3175">
        <f t="shared" si="25"/>
        <v>3000</v>
      </c>
      <c r="Z226" s="3163">
        <f>S226*V226*Q226</f>
        <v>3000000</v>
      </c>
      <c r="AA226" s="1073">
        <f t="shared" si="23"/>
        <v>3000000000</v>
      </c>
      <c r="AB226" s="915"/>
      <c r="AC226" s="915"/>
    </row>
    <row r="227" spans="1:29" s="709" customFormat="1" ht="21" customHeight="1">
      <c r="A227" s="673"/>
      <c r="B227" s="674"/>
      <c r="C227" s="948"/>
      <c r="E227" s="675" t="s">
        <v>3033</v>
      </c>
      <c r="F227" s="941">
        <f>ROUNDUP(+Z227/1000,0)</f>
        <v>1500</v>
      </c>
      <c r="G227" s="1261">
        <v>1500</v>
      </c>
      <c r="H227" s="1239"/>
      <c r="I227" s="734"/>
      <c r="J227" s="3174" t="s">
        <v>4273</v>
      </c>
      <c r="K227" s="3172"/>
      <c r="L227" s="3172"/>
      <c r="M227" s="3172"/>
      <c r="N227" s="3171"/>
      <c r="O227" s="3171"/>
      <c r="P227" s="3171"/>
      <c r="Q227" s="3177"/>
      <c r="R227" s="3229"/>
      <c r="S227" s="3164">
        <v>300000</v>
      </c>
      <c r="T227" s="3163" t="s">
        <v>4220</v>
      </c>
      <c r="U227" s="3163"/>
      <c r="V227" s="3163">
        <v>5</v>
      </c>
      <c r="W227" s="3163" t="s">
        <v>4274</v>
      </c>
      <c r="X227" s="3165" t="s">
        <v>4221</v>
      </c>
      <c r="Y227" s="3175">
        <f t="shared" si="25"/>
        <v>1500</v>
      </c>
      <c r="Z227" s="3163">
        <f>S227*V227</f>
        <v>1500000</v>
      </c>
      <c r="AA227" s="1073">
        <f t="shared" si="23"/>
        <v>1500000000</v>
      </c>
      <c r="AB227" s="915"/>
      <c r="AC227" s="915"/>
    </row>
    <row r="228" spans="1:29" s="709" customFormat="1" ht="21" customHeight="1">
      <c r="A228" s="673"/>
      <c r="B228" s="674"/>
      <c r="C228" s="948"/>
      <c r="D228" s="1981"/>
      <c r="E228" s="675" t="s">
        <v>2694</v>
      </c>
      <c r="F228" s="941">
        <f>ROUNDUP(+Z228/1000,0)</f>
        <v>13570</v>
      </c>
      <c r="G228" s="1261">
        <v>13570</v>
      </c>
      <c r="H228" s="470"/>
      <c r="I228" s="734"/>
      <c r="J228" s="3174" t="s">
        <v>4223</v>
      </c>
      <c r="K228" s="3172"/>
      <c r="L228" s="3172"/>
      <c r="M228" s="3172"/>
      <c r="N228" s="3171"/>
      <c r="O228" s="3171"/>
      <c r="P228" s="3171"/>
      <c r="Q228" s="992"/>
      <c r="R228" s="3229"/>
      <c r="S228" s="3229"/>
      <c r="T228" s="684" t="s">
        <v>4241</v>
      </c>
      <c r="U228" s="684" t="s">
        <v>4241</v>
      </c>
      <c r="V228" s="684" t="s">
        <v>4241</v>
      </c>
      <c r="W228" s="684" t="s">
        <v>4241</v>
      </c>
      <c r="X228" s="686" t="s">
        <v>4241</v>
      </c>
      <c r="Y228" s="3175">
        <f t="shared" si="25"/>
        <v>13570</v>
      </c>
      <c r="Z228" s="993">
        <f>SUM(Z229:Z232)</f>
        <v>13570000</v>
      </c>
      <c r="AA228" s="1073">
        <f t="shared" si="23"/>
        <v>13570000000</v>
      </c>
      <c r="AB228" s="915"/>
      <c r="AC228" s="915"/>
    </row>
    <row r="229" spans="1:29" s="709" customFormat="1" ht="21" customHeight="1">
      <c r="A229" s="673"/>
      <c r="B229" s="674"/>
      <c r="C229" s="948"/>
      <c r="D229" s="1981"/>
      <c r="E229" s="675"/>
      <c r="F229" s="941"/>
      <c r="G229" s="1261"/>
      <c r="H229" s="1239"/>
      <c r="I229" s="734"/>
      <c r="J229" s="3174" t="s">
        <v>4275</v>
      </c>
      <c r="K229" s="3172"/>
      <c r="L229" s="3172"/>
      <c r="M229" s="3172"/>
      <c r="N229" s="3171"/>
      <c r="O229" s="3171"/>
      <c r="P229" s="3171"/>
      <c r="Q229" s="3177">
        <v>1</v>
      </c>
      <c r="R229" s="3229" t="s">
        <v>4237</v>
      </c>
      <c r="S229" s="3164">
        <v>100000</v>
      </c>
      <c r="T229" s="3163" t="s">
        <v>4220</v>
      </c>
      <c r="U229" s="3163"/>
      <c r="V229" s="3163">
        <v>51</v>
      </c>
      <c r="W229" s="3163" t="s">
        <v>4222</v>
      </c>
      <c r="X229" s="3165" t="s">
        <v>4221</v>
      </c>
      <c r="Y229" s="3175">
        <f t="shared" si="25"/>
        <v>5100</v>
      </c>
      <c r="Z229" s="3163">
        <f>S229*V229*Q229</f>
        <v>5100000</v>
      </c>
      <c r="AA229" s="1073">
        <f t="shared" si="23"/>
        <v>0</v>
      </c>
      <c r="AB229" s="915"/>
      <c r="AC229" s="915"/>
    </row>
    <row r="230" spans="1:29" s="709" customFormat="1" ht="21" customHeight="1">
      <c r="A230" s="673"/>
      <c r="B230" s="674"/>
      <c r="C230" s="948"/>
      <c r="D230" s="1981"/>
      <c r="E230" s="675"/>
      <c r="F230" s="941"/>
      <c r="G230" s="1261"/>
      <c r="H230" s="1239"/>
      <c r="I230" s="734"/>
      <c r="J230" s="3174" t="s">
        <v>4276</v>
      </c>
      <c r="K230" s="3172"/>
      <c r="L230" s="3172"/>
      <c r="M230" s="3172"/>
      <c r="N230" s="3171"/>
      <c r="O230" s="3171"/>
      <c r="P230" s="3171"/>
      <c r="Q230" s="3177">
        <v>1</v>
      </c>
      <c r="R230" s="3229" t="s">
        <v>4237</v>
      </c>
      <c r="S230" s="3164">
        <v>70000</v>
      </c>
      <c r="T230" s="3163" t="s">
        <v>4220</v>
      </c>
      <c r="U230" s="3163"/>
      <c r="V230" s="3163">
        <v>50</v>
      </c>
      <c r="W230" s="3163" t="s">
        <v>4222</v>
      </c>
      <c r="X230" s="3165" t="s">
        <v>4221</v>
      </c>
      <c r="Y230" s="3175">
        <f t="shared" si="25"/>
        <v>3500</v>
      </c>
      <c r="Z230" s="3163">
        <f>S230*V230*Q230</f>
        <v>3500000</v>
      </c>
      <c r="AA230" s="1073">
        <f t="shared" si="23"/>
        <v>0</v>
      </c>
      <c r="AB230" s="915"/>
      <c r="AC230" s="915"/>
    </row>
    <row r="231" spans="1:29" s="931" customFormat="1" ht="21" customHeight="1">
      <c r="A231" s="673"/>
      <c r="B231" s="674"/>
      <c r="C231" s="948"/>
      <c r="D231" s="917"/>
      <c r="E231" s="851"/>
      <c r="F231" s="941"/>
      <c r="G231" s="1261"/>
      <c r="H231" s="1239"/>
      <c r="I231" s="734"/>
      <c r="J231" s="3174" t="s">
        <v>4277</v>
      </c>
      <c r="K231" s="3172"/>
      <c r="L231" s="3172"/>
      <c r="M231" s="3172"/>
      <c r="N231" s="3171"/>
      <c r="O231" s="3171"/>
      <c r="P231" s="3171"/>
      <c r="Q231" s="3177">
        <v>20</v>
      </c>
      <c r="R231" s="3229" t="s">
        <v>4278</v>
      </c>
      <c r="S231" s="3164">
        <v>50000</v>
      </c>
      <c r="T231" s="3163" t="s">
        <v>4220</v>
      </c>
      <c r="U231" s="3163"/>
      <c r="V231" s="3163">
        <v>3</v>
      </c>
      <c r="W231" s="3163" t="s">
        <v>4222</v>
      </c>
      <c r="X231" s="3165" t="s">
        <v>4221</v>
      </c>
      <c r="Y231" s="3175">
        <f t="shared" si="25"/>
        <v>3000</v>
      </c>
      <c r="Z231" s="3163">
        <f>S231*V231*Q231</f>
        <v>3000000</v>
      </c>
      <c r="AA231" s="1073">
        <f t="shared" si="23"/>
        <v>0</v>
      </c>
      <c r="AB231" s="930"/>
      <c r="AC231" s="930"/>
    </row>
    <row r="232" spans="1:29" s="931" customFormat="1" ht="21" customHeight="1">
      <c r="A232" s="673"/>
      <c r="B232" s="674"/>
      <c r="C232" s="948"/>
      <c r="D232" s="709"/>
      <c r="E232" s="851"/>
      <c r="F232" s="941"/>
      <c r="G232" s="1261"/>
      <c r="H232" s="1239"/>
      <c r="I232" s="734"/>
      <c r="J232" s="3174" t="s">
        <v>4279</v>
      </c>
      <c r="K232" s="3172"/>
      <c r="L232" s="3172"/>
      <c r="M232" s="3172"/>
      <c r="N232" s="3171"/>
      <c r="O232" s="3171"/>
      <c r="P232" s="3171"/>
      <c r="Q232" s="3177">
        <v>1</v>
      </c>
      <c r="R232" s="3229" t="s">
        <v>4280</v>
      </c>
      <c r="S232" s="3164">
        <v>1970000</v>
      </c>
      <c r="T232" s="3163" t="s">
        <v>4220</v>
      </c>
      <c r="U232" s="3163"/>
      <c r="V232" s="3163">
        <v>1</v>
      </c>
      <c r="W232" s="3163" t="s">
        <v>4222</v>
      </c>
      <c r="X232" s="3165" t="s">
        <v>4221</v>
      </c>
      <c r="Y232" s="3175">
        <f t="shared" si="25"/>
        <v>1970</v>
      </c>
      <c r="Z232" s="3163">
        <f>S232*V232*Q232</f>
        <v>1970000</v>
      </c>
      <c r="AA232" s="1073">
        <f t="shared" si="23"/>
        <v>0</v>
      </c>
      <c r="AB232" s="930"/>
      <c r="AC232" s="930"/>
    </row>
    <row r="233" spans="1:29" s="709" customFormat="1" ht="21" customHeight="1">
      <c r="A233" s="673"/>
      <c r="B233" s="674"/>
      <c r="C233" s="948"/>
      <c r="D233" s="675"/>
      <c r="E233" s="851" t="s">
        <v>451</v>
      </c>
      <c r="F233" s="941">
        <f>ROUNDUP(+Z233/1000,0)</f>
        <v>2330</v>
      </c>
      <c r="G233" s="941">
        <v>2330</v>
      </c>
      <c r="H233" s="470"/>
      <c r="I233" s="734"/>
      <c r="J233" s="3174" t="s">
        <v>4223</v>
      </c>
      <c r="K233" s="3172"/>
      <c r="L233" s="3172"/>
      <c r="M233" s="3172"/>
      <c r="N233" s="3171"/>
      <c r="O233" s="3171"/>
      <c r="P233" s="3171"/>
      <c r="Q233" s="992"/>
      <c r="R233" s="3229"/>
      <c r="S233" s="3229" t="s">
        <v>4241</v>
      </c>
      <c r="T233" s="684" t="s">
        <v>4241</v>
      </c>
      <c r="U233" s="684" t="s">
        <v>4241</v>
      </c>
      <c r="V233" s="684" t="s">
        <v>4241</v>
      </c>
      <c r="W233" s="684" t="s">
        <v>4241</v>
      </c>
      <c r="X233" s="686" t="s">
        <v>4241</v>
      </c>
      <c r="Y233" s="3175">
        <f t="shared" si="25"/>
        <v>2330</v>
      </c>
      <c r="Z233" s="993">
        <f>SUM(Z234:Z235)</f>
        <v>2330000</v>
      </c>
      <c r="AA233" s="1073">
        <f t="shared" si="23"/>
        <v>2330000000</v>
      </c>
      <c r="AB233" s="915"/>
      <c r="AC233" s="915"/>
    </row>
    <row r="234" spans="1:29" s="3133" customFormat="1" ht="21" customHeight="1">
      <c r="A234" s="3132"/>
      <c r="B234" s="674"/>
      <c r="C234" s="948"/>
      <c r="E234" s="851"/>
      <c r="F234" s="941"/>
      <c r="G234" s="941"/>
      <c r="H234" s="1239"/>
      <c r="I234" s="734"/>
      <c r="J234" s="3174" t="s">
        <v>4281</v>
      </c>
      <c r="K234" s="3172"/>
      <c r="L234" s="3172"/>
      <c r="M234" s="3172"/>
      <c r="N234" s="3171"/>
      <c r="O234" s="3171"/>
      <c r="P234" s="3171"/>
      <c r="Q234" s="992" t="s">
        <v>4268</v>
      </c>
      <c r="R234" s="3229" t="s">
        <v>4280</v>
      </c>
      <c r="S234" s="3164">
        <v>41500</v>
      </c>
      <c r="T234" s="3163" t="s">
        <v>4220</v>
      </c>
      <c r="U234" s="3163"/>
      <c r="V234" s="3163">
        <v>20</v>
      </c>
      <c r="W234" s="3163" t="s">
        <v>4222</v>
      </c>
      <c r="X234" s="3165" t="s">
        <v>4221</v>
      </c>
      <c r="Y234" s="3175">
        <f t="shared" si="25"/>
        <v>830</v>
      </c>
      <c r="Z234" s="3163">
        <f>S234*V234*Q234</f>
        <v>830000</v>
      </c>
      <c r="AA234" s="1073">
        <f t="shared" si="23"/>
        <v>0</v>
      </c>
      <c r="AB234" s="915"/>
      <c r="AC234" s="915"/>
    </row>
    <row r="235" spans="1:29" s="709" customFormat="1" ht="21" customHeight="1">
      <c r="A235" s="673"/>
      <c r="B235" s="674"/>
      <c r="C235" s="948"/>
      <c r="E235" s="851"/>
      <c r="F235" s="941"/>
      <c r="G235" s="1261"/>
      <c r="H235" s="1239"/>
      <c r="I235" s="734"/>
      <c r="J235" s="3174" t="s">
        <v>4282</v>
      </c>
      <c r="K235" s="3172"/>
      <c r="L235" s="3172"/>
      <c r="M235" s="3172"/>
      <c r="N235" s="3171"/>
      <c r="O235" s="3171"/>
      <c r="P235" s="3171"/>
      <c r="Q235" s="992" t="s">
        <v>4283</v>
      </c>
      <c r="R235" s="3229" t="s">
        <v>4237</v>
      </c>
      <c r="S235" s="3164">
        <v>25000</v>
      </c>
      <c r="T235" s="3163" t="s">
        <v>4220</v>
      </c>
      <c r="U235" s="3163"/>
      <c r="V235" s="3163">
        <v>4</v>
      </c>
      <c r="W235" s="3163" t="s">
        <v>4222</v>
      </c>
      <c r="X235" s="3165" t="s">
        <v>4221</v>
      </c>
      <c r="Y235" s="3175">
        <f t="shared" si="25"/>
        <v>1500</v>
      </c>
      <c r="Z235" s="3163">
        <f>Q235*S235*V235</f>
        <v>1500000</v>
      </c>
      <c r="AA235" s="1073">
        <f t="shared" si="23"/>
        <v>0</v>
      </c>
      <c r="AB235" s="915"/>
      <c r="AC235" s="915"/>
    </row>
    <row r="236" spans="1:29" s="709" customFormat="1" ht="21" customHeight="1">
      <c r="A236" s="673"/>
      <c r="B236" s="674"/>
      <c r="C236" s="948"/>
      <c r="D236" s="1953"/>
      <c r="E236" s="970" t="s">
        <v>3025</v>
      </c>
      <c r="F236" s="972">
        <f>ROUNDUP(+Z236/1000,0)</f>
        <v>600</v>
      </c>
      <c r="G236" s="972">
        <v>600</v>
      </c>
      <c r="H236" s="495"/>
      <c r="I236" s="734"/>
      <c r="J236" s="991" t="s">
        <v>4284</v>
      </c>
      <c r="K236" s="1411"/>
      <c r="L236" s="1411"/>
      <c r="M236" s="1411"/>
      <c r="N236" s="1415"/>
      <c r="O236" s="1415"/>
      <c r="P236" s="1415"/>
      <c r="Q236" s="1455">
        <v>6</v>
      </c>
      <c r="R236" s="2046" t="s">
        <v>4285</v>
      </c>
      <c r="S236" s="979">
        <v>10000</v>
      </c>
      <c r="T236" s="978" t="s">
        <v>4286</v>
      </c>
      <c r="U236" s="978"/>
      <c r="V236" s="978">
        <v>10</v>
      </c>
      <c r="W236" s="978" t="s">
        <v>4287</v>
      </c>
      <c r="X236" s="1025" t="s">
        <v>4288</v>
      </c>
      <c r="Y236" s="1029">
        <f t="shared" si="25"/>
        <v>600</v>
      </c>
      <c r="Z236" s="3163">
        <f>S236*V236*Q236</f>
        <v>600000</v>
      </c>
      <c r="AA236" s="1073">
        <f t="shared" si="23"/>
        <v>600000000</v>
      </c>
      <c r="AB236" s="915"/>
      <c r="AC236" s="915"/>
    </row>
    <row r="237" spans="1:29" s="709" customFormat="1" ht="21" customHeight="1">
      <c r="A237" s="673"/>
      <c r="B237" s="674"/>
      <c r="C237" s="948"/>
      <c r="D237" s="4024" t="s">
        <v>3036</v>
      </c>
      <c r="E237" s="4025"/>
      <c r="F237" s="1385">
        <f>SUM(F238:F253)</f>
        <v>15000</v>
      </c>
      <c r="G237" s="955">
        <f>SUM(G238:G253)</f>
        <v>15000</v>
      </c>
      <c r="H237" s="1208">
        <f>F237-G237</f>
        <v>0</v>
      </c>
      <c r="I237" s="734"/>
      <c r="J237" s="985"/>
      <c r="K237" s="986"/>
      <c r="L237" s="986"/>
      <c r="M237" s="986"/>
      <c r="N237" s="986"/>
      <c r="O237" s="986"/>
      <c r="P237" s="986"/>
      <c r="Q237" s="987"/>
      <c r="R237" s="988"/>
      <c r="S237" s="2115"/>
      <c r="T237" s="988"/>
      <c r="U237" s="2115"/>
      <c r="V237" s="988"/>
      <c r="W237" s="2115"/>
      <c r="X237" s="2115"/>
      <c r="Y237" s="1029"/>
      <c r="Z237" s="940">
        <f>Z238+Z241+Z242+Z247+Z250+Z253</f>
        <v>15000000</v>
      </c>
      <c r="AA237" s="1073">
        <f t="shared" si="23"/>
        <v>15000000000</v>
      </c>
      <c r="AB237" s="915"/>
      <c r="AC237" s="915"/>
    </row>
    <row r="238" spans="1:29" s="709" customFormat="1" ht="21" customHeight="1">
      <c r="A238" s="673"/>
      <c r="B238" s="674"/>
      <c r="C238" s="675"/>
      <c r="D238" s="917"/>
      <c r="E238" s="851" t="s">
        <v>3030</v>
      </c>
      <c r="F238" s="941">
        <f>ROUNDUP(+Z238/1000,0)</f>
        <v>3000</v>
      </c>
      <c r="G238" s="1261">
        <v>3000</v>
      </c>
      <c r="H238" s="1239"/>
      <c r="I238" s="734"/>
      <c r="J238" s="1002" t="s">
        <v>2695</v>
      </c>
      <c r="K238" s="953"/>
      <c r="L238" s="953"/>
      <c r="M238" s="953"/>
      <c r="N238" s="951"/>
      <c r="O238" s="951"/>
      <c r="P238" s="951"/>
      <c r="Q238" s="992"/>
      <c r="R238" s="685"/>
      <c r="S238" s="685" t="s">
        <v>3023</v>
      </c>
      <c r="T238" s="684" t="s">
        <v>3023</v>
      </c>
      <c r="U238" s="684" t="s">
        <v>3023</v>
      </c>
      <c r="V238" s="684" t="s">
        <v>3023</v>
      </c>
      <c r="W238" s="684" t="s">
        <v>3023</v>
      </c>
      <c r="X238" s="686" t="s">
        <v>3023</v>
      </c>
      <c r="Y238" s="1028">
        <f>+Y239+Y240</f>
        <v>3000</v>
      </c>
      <c r="Z238" s="790">
        <f>SUM(Z239:Z240)</f>
        <v>3000000</v>
      </c>
      <c r="AA238" s="1073">
        <f t="shared" si="23"/>
        <v>3000000000</v>
      </c>
      <c r="AB238" s="915"/>
      <c r="AC238" s="915"/>
    </row>
    <row r="239" spans="1:29" s="709" customFormat="1" ht="21" customHeight="1">
      <c r="A239" s="673"/>
      <c r="B239" s="674"/>
      <c r="C239" s="675"/>
      <c r="D239" s="917"/>
      <c r="E239" s="851"/>
      <c r="F239" s="941"/>
      <c r="G239" s="1261"/>
      <c r="H239" s="1239"/>
      <c r="I239" s="734"/>
      <c r="J239" s="1002" t="s">
        <v>3037</v>
      </c>
      <c r="K239" s="953"/>
      <c r="L239" s="953"/>
      <c r="M239" s="953"/>
      <c r="N239" s="951"/>
      <c r="O239" s="951"/>
      <c r="P239" s="951"/>
      <c r="Q239" s="1446">
        <v>100</v>
      </c>
      <c r="R239" s="685" t="s">
        <v>3031</v>
      </c>
      <c r="S239" s="868">
        <v>15000</v>
      </c>
      <c r="T239" s="867" t="s">
        <v>2702</v>
      </c>
      <c r="U239" s="867"/>
      <c r="V239" s="867">
        <v>1</v>
      </c>
      <c r="W239" s="867" t="s">
        <v>3032</v>
      </c>
      <c r="X239" s="870" t="s">
        <v>2675</v>
      </c>
      <c r="Y239" s="1028">
        <f t="shared" ref="Y239:Y253" si="26">+Z239/1000</f>
        <v>1500</v>
      </c>
      <c r="Z239" s="872">
        <f>S239*V239*Q239</f>
        <v>1500000</v>
      </c>
      <c r="AA239" s="1073">
        <f t="shared" si="23"/>
        <v>0</v>
      </c>
      <c r="AB239" s="915"/>
      <c r="AC239" s="915"/>
    </row>
    <row r="240" spans="1:29" s="709" customFormat="1" ht="21" customHeight="1">
      <c r="A240" s="673"/>
      <c r="B240" s="674"/>
      <c r="C240" s="675"/>
      <c r="D240" s="917"/>
      <c r="E240" s="851"/>
      <c r="F240" s="941"/>
      <c r="G240" s="1261"/>
      <c r="H240" s="1239"/>
      <c r="I240" s="734"/>
      <c r="J240" s="1312" t="s">
        <v>3754</v>
      </c>
      <c r="K240" s="1317"/>
      <c r="L240" s="1317"/>
      <c r="M240" s="1317"/>
      <c r="N240" s="951"/>
      <c r="O240" s="951"/>
      <c r="P240" s="951"/>
      <c r="Q240" s="1446">
        <v>100</v>
      </c>
      <c r="R240" s="685" t="s">
        <v>3031</v>
      </c>
      <c r="S240" s="868">
        <v>15000</v>
      </c>
      <c r="T240" s="867" t="s">
        <v>2702</v>
      </c>
      <c r="U240" s="867"/>
      <c r="V240" s="867">
        <v>1</v>
      </c>
      <c r="W240" s="867" t="s">
        <v>3032</v>
      </c>
      <c r="X240" s="870" t="s">
        <v>2675</v>
      </c>
      <c r="Y240" s="1028">
        <f t="shared" si="26"/>
        <v>1500</v>
      </c>
      <c r="Z240" s="872">
        <f>S240*V240*Q240</f>
        <v>1500000</v>
      </c>
      <c r="AA240" s="1073">
        <f t="shared" si="23"/>
        <v>0</v>
      </c>
      <c r="AB240" s="915"/>
      <c r="AC240" s="915"/>
    </row>
    <row r="241" spans="1:29" s="709" customFormat="1" ht="21" customHeight="1">
      <c r="A241" s="673"/>
      <c r="B241" s="674"/>
      <c r="C241" s="675"/>
      <c r="E241" s="675" t="s">
        <v>3033</v>
      </c>
      <c r="F241" s="941">
        <f>ROUNDUP(+Z241/1000,0)</f>
        <v>600</v>
      </c>
      <c r="G241" s="1261">
        <v>600</v>
      </c>
      <c r="H241" s="1239"/>
      <c r="I241" s="734"/>
      <c r="J241" s="1002" t="s">
        <v>3034</v>
      </c>
      <c r="K241" s="953"/>
      <c r="L241" s="953"/>
      <c r="M241" s="953"/>
      <c r="N241" s="951"/>
      <c r="O241" s="951"/>
      <c r="P241" s="951"/>
      <c r="Q241" s="1446"/>
      <c r="R241" s="685"/>
      <c r="S241" s="868">
        <v>200000</v>
      </c>
      <c r="T241" s="867" t="s">
        <v>2702</v>
      </c>
      <c r="U241" s="867"/>
      <c r="V241" s="867">
        <v>3</v>
      </c>
      <c r="W241" s="867" t="s">
        <v>3035</v>
      </c>
      <c r="X241" s="870" t="s">
        <v>2675</v>
      </c>
      <c r="Y241" s="1028">
        <f t="shared" si="26"/>
        <v>600</v>
      </c>
      <c r="Z241" s="872">
        <f>S241*V241</f>
        <v>600000</v>
      </c>
      <c r="AA241" s="1073">
        <f t="shared" si="23"/>
        <v>600000000</v>
      </c>
      <c r="AB241" s="915"/>
      <c r="AC241" s="915"/>
    </row>
    <row r="242" spans="1:29" s="709" customFormat="1" ht="21" customHeight="1">
      <c r="A242" s="673"/>
      <c r="B242" s="674"/>
      <c r="C242" s="675"/>
      <c r="D242" s="917"/>
      <c r="E242" s="675" t="s">
        <v>2694</v>
      </c>
      <c r="F242" s="941">
        <f>ROUNDUP(+Z242/1000,0)</f>
        <v>7740</v>
      </c>
      <c r="G242" s="1261">
        <v>7740</v>
      </c>
      <c r="H242" s="1239"/>
      <c r="I242" s="734"/>
      <c r="J242" s="1002" t="s">
        <v>2695</v>
      </c>
      <c r="K242" s="953"/>
      <c r="L242" s="953"/>
      <c r="M242" s="953"/>
      <c r="N242" s="951"/>
      <c r="O242" s="951"/>
      <c r="P242" s="951"/>
      <c r="Q242" s="992"/>
      <c r="R242" s="685"/>
      <c r="S242" s="685"/>
      <c r="T242" s="684" t="s">
        <v>3023</v>
      </c>
      <c r="U242" s="684" t="s">
        <v>3023</v>
      </c>
      <c r="V242" s="684" t="s">
        <v>3023</v>
      </c>
      <c r="W242" s="684" t="s">
        <v>3023</v>
      </c>
      <c r="X242" s="686" t="s">
        <v>3023</v>
      </c>
      <c r="Y242" s="1028">
        <f t="shared" si="26"/>
        <v>7740</v>
      </c>
      <c r="Z242" s="790">
        <f>SUM(Z243:Z246)</f>
        <v>7740000</v>
      </c>
      <c r="AA242" s="1073">
        <f t="shared" si="23"/>
        <v>7740000000</v>
      </c>
      <c r="AB242" s="915"/>
      <c r="AC242" s="915"/>
    </row>
    <row r="243" spans="1:29" s="709" customFormat="1" ht="21" customHeight="1">
      <c r="A243" s="673"/>
      <c r="B243" s="674"/>
      <c r="C243" s="675"/>
      <c r="D243" s="917"/>
      <c r="E243" s="675"/>
      <c r="F243" s="941"/>
      <c r="G243" s="1261"/>
      <c r="H243" s="1239"/>
      <c r="I243" s="734"/>
      <c r="J243" s="1002" t="s">
        <v>3038</v>
      </c>
      <c r="K243" s="953"/>
      <c r="L243" s="953"/>
      <c r="M243" s="953"/>
      <c r="N243" s="951"/>
      <c r="O243" s="951"/>
      <c r="P243" s="951"/>
      <c r="Q243" s="1446">
        <v>3</v>
      </c>
      <c r="R243" s="685" t="s">
        <v>3022</v>
      </c>
      <c r="S243" s="868">
        <v>200000</v>
      </c>
      <c r="T243" s="867" t="s">
        <v>2702</v>
      </c>
      <c r="U243" s="867"/>
      <c r="V243" s="867">
        <v>1</v>
      </c>
      <c r="W243" s="867" t="s">
        <v>2703</v>
      </c>
      <c r="X243" s="870" t="s">
        <v>2675</v>
      </c>
      <c r="Y243" s="1028">
        <f t="shared" si="26"/>
        <v>600</v>
      </c>
      <c r="Z243" s="872">
        <f>S243*V243*Q243</f>
        <v>600000</v>
      </c>
      <c r="AA243" s="1073">
        <f t="shared" si="23"/>
        <v>0</v>
      </c>
      <c r="AB243" s="915"/>
      <c r="AC243" s="915"/>
    </row>
    <row r="244" spans="1:29" s="709" customFormat="1" ht="21" customHeight="1">
      <c r="A244" s="673"/>
      <c r="B244" s="674"/>
      <c r="C244" s="675"/>
      <c r="D244" s="917"/>
      <c r="E244" s="675"/>
      <c r="F244" s="941"/>
      <c r="G244" s="1261"/>
      <c r="H244" s="1239"/>
      <c r="I244" s="734"/>
      <c r="J244" s="1002" t="s">
        <v>3039</v>
      </c>
      <c r="K244" s="953"/>
      <c r="L244" s="953"/>
      <c r="M244" s="953"/>
      <c r="N244" s="951"/>
      <c r="O244" s="951"/>
      <c r="P244" s="951"/>
      <c r="Q244" s="1446">
        <v>1</v>
      </c>
      <c r="R244" s="685" t="s">
        <v>3022</v>
      </c>
      <c r="S244" s="868">
        <v>1000000</v>
      </c>
      <c r="T244" s="867" t="s">
        <v>2702</v>
      </c>
      <c r="U244" s="867"/>
      <c r="V244" s="867">
        <v>2</v>
      </c>
      <c r="W244" s="867" t="s">
        <v>2703</v>
      </c>
      <c r="X244" s="870" t="s">
        <v>2675</v>
      </c>
      <c r="Y244" s="1028">
        <f t="shared" si="26"/>
        <v>2000</v>
      </c>
      <c r="Z244" s="872">
        <f>S244*V244*Q244</f>
        <v>2000000</v>
      </c>
      <c r="AA244" s="1073">
        <f t="shared" si="23"/>
        <v>0</v>
      </c>
      <c r="AB244" s="915"/>
      <c r="AC244" s="915"/>
    </row>
    <row r="245" spans="1:29" s="709" customFormat="1" ht="21" customHeight="1">
      <c r="A245" s="673"/>
      <c r="B245" s="674"/>
      <c r="C245" s="675"/>
      <c r="D245" s="917"/>
      <c r="E245" s="851"/>
      <c r="F245" s="941"/>
      <c r="G245" s="1261"/>
      <c r="H245" s="1239"/>
      <c r="I245" s="734"/>
      <c r="J245" s="1002" t="s">
        <v>3040</v>
      </c>
      <c r="K245" s="953"/>
      <c r="L245" s="953"/>
      <c r="M245" s="953"/>
      <c r="N245" s="951"/>
      <c r="O245" s="951"/>
      <c r="P245" s="951"/>
      <c r="Q245" s="1446">
        <v>1</v>
      </c>
      <c r="R245" s="685" t="s">
        <v>3022</v>
      </c>
      <c r="S245" s="868">
        <v>1540000</v>
      </c>
      <c r="T245" s="867" t="s">
        <v>2702</v>
      </c>
      <c r="U245" s="867"/>
      <c r="V245" s="867">
        <v>1</v>
      </c>
      <c r="W245" s="867" t="s">
        <v>2703</v>
      </c>
      <c r="X245" s="870" t="s">
        <v>2675</v>
      </c>
      <c r="Y245" s="1028">
        <f t="shared" si="26"/>
        <v>1540</v>
      </c>
      <c r="Z245" s="872">
        <f>S245*V245*Q245</f>
        <v>1540000</v>
      </c>
      <c r="AA245" s="1073">
        <f t="shared" si="23"/>
        <v>0</v>
      </c>
      <c r="AB245" s="915"/>
      <c r="AC245" s="915"/>
    </row>
    <row r="246" spans="1:29" s="931" customFormat="1" ht="21" customHeight="1">
      <c r="A246" s="673"/>
      <c r="B246" s="674"/>
      <c r="C246" s="675"/>
      <c r="D246" s="917"/>
      <c r="E246" s="851"/>
      <c r="F246" s="941"/>
      <c r="G246" s="1261"/>
      <c r="H246" s="1239"/>
      <c r="I246" s="734"/>
      <c r="J246" s="1002" t="s">
        <v>3041</v>
      </c>
      <c r="K246" s="953"/>
      <c r="L246" s="953"/>
      <c r="M246" s="953"/>
      <c r="N246" s="951"/>
      <c r="O246" s="951"/>
      <c r="P246" s="951"/>
      <c r="Q246" s="1446">
        <v>1</v>
      </c>
      <c r="R246" s="685" t="s">
        <v>3022</v>
      </c>
      <c r="S246" s="868">
        <v>400000</v>
      </c>
      <c r="T246" s="867" t="s">
        <v>2702</v>
      </c>
      <c r="U246" s="867"/>
      <c r="V246" s="867">
        <v>9</v>
      </c>
      <c r="W246" s="867" t="s">
        <v>2703</v>
      </c>
      <c r="X246" s="870" t="s">
        <v>2675</v>
      </c>
      <c r="Y246" s="1028">
        <f t="shared" si="26"/>
        <v>3600</v>
      </c>
      <c r="Z246" s="872">
        <f>S246*V246*Q246</f>
        <v>3600000</v>
      </c>
      <c r="AA246" s="1073">
        <f t="shared" si="23"/>
        <v>0</v>
      </c>
      <c r="AB246" s="930"/>
      <c r="AC246" s="930"/>
    </row>
    <row r="247" spans="1:29" s="931" customFormat="1" ht="21" customHeight="1">
      <c r="A247" s="673"/>
      <c r="B247" s="674"/>
      <c r="C247" s="675"/>
      <c r="D247" s="948"/>
      <c r="E247" s="675" t="s">
        <v>2765</v>
      </c>
      <c r="F247" s="941">
        <f>ROUNDUP(+Z247/1000,0)</f>
        <v>1360</v>
      </c>
      <c r="G247" s="941">
        <v>1360</v>
      </c>
      <c r="H247" s="1239"/>
      <c r="I247" s="734"/>
      <c r="J247" s="1002" t="s">
        <v>3042</v>
      </c>
      <c r="K247" s="953"/>
      <c r="L247" s="953"/>
      <c r="M247" s="953"/>
      <c r="N247" s="951"/>
      <c r="O247" s="951"/>
      <c r="P247" s="951"/>
      <c r="Q247" s="1446"/>
      <c r="R247" s="685"/>
      <c r="S247" s="868"/>
      <c r="T247" s="867"/>
      <c r="U247" s="867"/>
      <c r="V247" s="867"/>
      <c r="W247" s="867"/>
      <c r="X247" s="870"/>
      <c r="Y247" s="1028">
        <v>1360</v>
      </c>
      <c r="Z247" s="790">
        <f>SUM(Z248:Z249)</f>
        <v>1360000</v>
      </c>
      <c r="AA247" s="1073">
        <f t="shared" si="23"/>
        <v>1360000000</v>
      </c>
      <c r="AB247" s="930"/>
      <c r="AC247" s="930"/>
    </row>
    <row r="248" spans="1:29" s="709" customFormat="1" ht="21" customHeight="1">
      <c r="A248" s="673"/>
      <c r="B248" s="674"/>
      <c r="C248" s="675"/>
      <c r="E248" s="675"/>
      <c r="F248" s="941"/>
      <c r="G248" s="941"/>
      <c r="H248" s="1239"/>
      <c r="I248" s="734"/>
      <c r="J248" s="1002" t="s">
        <v>3043</v>
      </c>
      <c r="K248" s="953"/>
      <c r="L248" s="953"/>
      <c r="M248" s="953"/>
      <c r="N248" s="951"/>
      <c r="O248" s="951"/>
      <c r="P248" s="951"/>
      <c r="Q248" s="1446">
        <v>1</v>
      </c>
      <c r="R248" s="685" t="s">
        <v>3044</v>
      </c>
      <c r="S248" s="868">
        <v>350000</v>
      </c>
      <c r="T248" s="867" t="s">
        <v>2702</v>
      </c>
      <c r="U248" s="867"/>
      <c r="V248" s="867">
        <v>2</v>
      </c>
      <c r="W248" s="867" t="s">
        <v>2703</v>
      </c>
      <c r="X248" s="870" t="s">
        <v>2675</v>
      </c>
      <c r="Y248" s="1028">
        <f t="shared" ref="Y248:Y249" si="27">+Z248/1000</f>
        <v>700</v>
      </c>
      <c r="Z248" s="872">
        <f>S248*V248*Q248</f>
        <v>700000</v>
      </c>
      <c r="AA248" s="1073">
        <f t="shared" si="23"/>
        <v>0</v>
      </c>
      <c r="AB248" s="915"/>
      <c r="AC248" s="915"/>
    </row>
    <row r="249" spans="1:29" s="709" customFormat="1" ht="21" customHeight="1">
      <c r="A249" s="791"/>
      <c r="B249" s="675"/>
      <c r="C249" s="675"/>
      <c r="E249" s="675"/>
      <c r="F249" s="941"/>
      <c r="G249" s="941"/>
      <c r="H249" s="1239"/>
      <c r="I249" s="734"/>
      <c r="J249" s="1002" t="s">
        <v>3045</v>
      </c>
      <c r="K249" s="953"/>
      <c r="L249" s="953"/>
      <c r="M249" s="953"/>
      <c r="N249" s="951"/>
      <c r="O249" s="951"/>
      <c r="P249" s="951"/>
      <c r="Q249" s="1446">
        <v>1</v>
      </c>
      <c r="R249" s="685" t="s">
        <v>3044</v>
      </c>
      <c r="S249" s="868">
        <v>330000</v>
      </c>
      <c r="T249" s="867" t="s">
        <v>2702</v>
      </c>
      <c r="U249" s="867"/>
      <c r="V249" s="867">
        <v>2</v>
      </c>
      <c r="W249" s="867" t="s">
        <v>2703</v>
      </c>
      <c r="X249" s="870" t="s">
        <v>2675</v>
      </c>
      <c r="Y249" s="1028">
        <f t="shared" si="27"/>
        <v>660</v>
      </c>
      <c r="Z249" s="872">
        <f>S249*V249*Q249</f>
        <v>660000</v>
      </c>
      <c r="AA249" s="1073">
        <f t="shared" si="23"/>
        <v>0</v>
      </c>
      <c r="AB249" s="915"/>
      <c r="AC249" s="915"/>
    </row>
    <row r="250" spans="1:29" s="709" customFormat="1" ht="21" customHeight="1">
      <c r="A250" s="791"/>
      <c r="B250" s="675"/>
      <c r="C250" s="675"/>
      <c r="E250" s="851" t="s">
        <v>2767</v>
      </c>
      <c r="F250" s="941">
        <f>ROUNDUP(+Z250/1000,0)</f>
        <v>1800</v>
      </c>
      <c r="G250" s="1261">
        <v>1800</v>
      </c>
      <c r="H250" s="1239"/>
      <c r="I250" s="734"/>
      <c r="J250" s="1002" t="s">
        <v>2695</v>
      </c>
      <c r="K250" s="953"/>
      <c r="L250" s="953"/>
      <c r="M250" s="953"/>
      <c r="N250" s="951"/>
      <c r="O250" s="951"/>
      <c r="P250" s="951"/>
      <c r="Q250" s="992"/>
      <c r="R250" s="685"/>
      <c r="S250" s="685" t="s">
        <v>3023</v>
      </c>
      <c r="T250" s="684" t="s">
        <v>3023</v>
      </c>
      <c r="U250" s="684" t="s">
        <v>3023</v>
      </c>
      <c r="V250" s="684" t="s">
        <v>3023</v>
      </c>
      <c r="W250" s="684" t="s">
        <v>3023</v>
      </c>
      <c r="X250" s="686" t="s">
        <v>3023</v>
      </c>
      <c r="Y250" s="1028">
        <f t="shared" si="26"/>
        <v>1800</v>
      </c>
      <c r="Z250" s="790">
        <f>SUM(Z251:Z252)</f>
        <v>1800000</v>
      </c>
      <c r="AA250" s="1073">
        <f t="shared" si="23"/>
        <v>1800000000</v>
      </c>
      <c r="AB250" s="915"/>
      <c r="AC250" s="915"/>
    </row>
    <row r="251" spans="1:29" s="1082" customFormat="1" ht="21" customHeight="1">
      <c r="A251" s="673"/>
      <c r="B251" s="674"/>
      <c r="C251" s="675"/>
      <c r="D251" s="948"/>
      <c r="E251" s="851"/>
      <c r="F251" s="941"/>
      <c r="G251" s="941"/>
      <c r="H251" s="1239"/>
      <c r="I251" s="734"/>
      <c r="J251" s="1002" t="s">
        <v>3046</v>
      </c>
      <c r="K251" s="953"/>
      <c r="L251" s="953"/>
      <c r="M251" s="953"/>
      <c r="N251" s="951"/>
      <c r="O251" s="951"/>
      <c r="P251" s="951"/>
      <c r="Q251" s="992" t="s">
        <v>3047</v>
      </c>
      <c r="R251" s="685" t="s">
        <v>3022</v>
      </c>
      <c r="S251" s="868">
        <v>5000</v>
      </c>
      <c r="T251" s="867" t="s">
        <v>2702</v>
      </c>
      <c r="U251" s="867"/>
      <c r="V251" s="867">
        <v>12</v>
      </c>
      <c r="W251" s="867" t="s">
        <v>2703</v>
      </c>
      <c r="X251" s="870" t="s">
        <v>2675</v>
      </c>
      <c r="Y251" s="1028">
        <f t="shared" si="26"/>
        <v>1200</v>
      </c>
      <c r="Z251" s="872">
        <f>S251*V251*Q251</f>
        <v>1200000</v>
      </c>
      <c r="AA251" s="1073">
        <f t="shared" si="23"/>
        <v>0</v>
      </c>
      <c r="AB251" s="1404"/>
      <c r="AC251" s="1404"/>
    </row>
    <row r="252" spans="1:29" s="931" customFormat="1" ht="21" customHeight="1">
      <c r="A252" s="673"/>
      <c r="B252" s="674"/>
      <c r="C252" s="675"/>
      <c r="D252" s="709"/>
      <c r="E252" s="851"/>
      <c r="F252" s="941"/>
      <c r="G252" s="1261"/>
      <c r="H252" s="1239"/>
      <c r="I252" s="734"/>
      <c r="J252" s="1002" t="s">
        <v>3048</v>
      </c>
      <c r="K252" s="953"/>
      <c r="L252" s="953"/>
      <c r="M252" s="953"/>
      <c r="N252" s="951"/>
      <c r="O252" s="951"/>
      <c r="P252" s="951"/>
      <c r="Q252" s="992" t="s">
        <v>3047</v>
      </c>
      <c r="R252" s="685" t="s">
        <v>3022</v>
      </c>
      <c r="S252" s="868">
        <v>5000</v>
      </c>
      <c r="T252" s="867" t="s">
        <v>2702</v>
      </c>
      <c r="U252" s="867"/>
      <c r="V252" s="867">
        <v>6</v>
      </c>
      <c r="W252" s="867" t="s">
        <v>2703</v>
      </c>
      <c r="X252" s="870" t="s">
        <v>2675</v>
      </c>
      <c r="Y252" s="1028">
        <f t="shared" si="26"/>
        <v>600</v>
      </c>
      <c r="Z252" s="872">
        <f>Q252*S252*V252</f>
        <v>600000</v>
      </c>
      <c r="AA252" s="1073">
        <f t="shared" si="23"/>
        <v>0</v>
      </c>
      <c r="AB252" s="930"/>
      <c r="AC252" s="930"/>
    </row>
    <row r="253" spans="1:29" ht="21" customHeight="1">
      <c r="A253" s="673"/>
      <c r="B253" s="674"/>
      <c r="C253" s="948"/>
      <c r="D253" s="709"/>
      <c r="E253" s="675" t="s">
        <v>3025</v>
      </c>
      <c r="F253" s="972">
        <f>ROUNDUP(+Z253/1000,0)</f>
        <v>500</v>
      </c>
      <c r="G253" s="972">
        <v>500</v>
      </c>
      <c r="H253" s="1208"/>
      <c r="I253" s="734"/>
      <c r="J253" s="991" t="s">
        <v>3026</v>
      </c>
      <c r="K253" s="2603"/>
      <c r="L253" s="2603"/>
      <c r="M253" s="2603"/>
      <c r="N253" s="2605"/>
      <c r="O253" s="2605"/>
      <c r="P253" s="2605"/>
      <c r="Q253" s="1455">
        <v>5</v>
      </c>
      <c r="R253" s="2046" t="s">
        <v>3022</v>
      </c>
      <c r="S253" s="979">
        <v>10000</v>
      </c>
      <c r="T253" s="978" t="s">
        <v>2702</v>
      </c>
      <c r="U253" s="978"/>
      <c r="V253" s="978">
        <v>10</v>
      </c>
      <c r="W253" s="978" t="s">
        <v>2703</v>
      </c>
      <c r="X253" s="1025" t="s">
        <v>2675</v>
      </c>
      <c r="Y253" s="1029">
        <f t="shared" si="26"/>
        <v>500</v>
      </c>
      <c r="Z253" s="872">
        <f>S253*V253*Q253</f>
        <v>500000</v>
      </c>
      <c r="AA253" s="1073">
        <f t="shared" si="23"/>
        <v>500000000</v>
      </c>
    </row>
    <row r="254" spans="1:29" s="1681" customFormat="1" ht="21" customHeight="1">
      <c r="A254" s="791"/>
      <c r="B254" s="675"/>
      <c r="C254" s="2004" t="s">
        <v>3049</v>
      </c>
      <c r="D254" s="2005"/>
      <c r="E254" s="2006"/>
      <c r="F254" s="1385">
        <f>+F255+F270</f>
        <v>80000</v>
      </c>
      <c r="G254" s="1385">
        <v>80000</v>
      </c>
      <c r="H254" s="1208">
        <f>F254-G254</f>
        <v>0</v>
      </c>
      <c r="I254" s="734"/>
      <c r="J254" s="1397"/>
      <c r="K254" s="1459"/>
      <c r="L254" s="1459"/>
      <c r="M254" s="1459"/>
      <c r="N254" s="1398"/>
      <c r="O254" s="1398"/>
      <c r="P254" s="1398"/>
      <c r="Q254" s="1460"/>
      <c r="R254" s="1461"/>
      <c r="S254" s="1462"/>
      <c r="T254" s="1461"/>
      <c r="U254" s="1461"/>
      <c r="V254" s="1461"/>
      <c r="W254" s="1461"/>
      <c r="X254" s="1463"/>
      <c r="Y254" s="1029"/>
      <c r="Z254" s="1207"/>
      <c r="AA254" s="1073">
        <f t="shared" si="23"/>
        <v>80000000000</v>
      </c>
      <c r="AB254" s="308"/>
      <c r="AC254" s="308"/>
    </row>
    <row r="255" spans="1:29" s="1681" customFormat="1" ht="21" customHeight="1">
      <c r="A255" s="791"/>
      <c r="B255" s="675"/>
      <c r="C255" s="948"/>
      <c r="D255" s="3955" t="s">
        <v>3050</v>
      </c>
      <c r="E255" s="3883"/>
      <c r="F255" s="932">
        <f>SUM(F256:F269)</f>
        <v>60000</v>
      </c>
      <c r="G255" s="955">
        <f>SUM(G256:G269)</f>
        <v>60000</v>
      </c>
      <c r="H255" s="933">
        <f>F255-G255</f>
        <v>0</v>
      </c>
      <c r="I255" s="734"/>
      <c r="J255" s="1031"/>
      <c r="K255" s="1032"/>
      <c r="L255" s="1032"/>
      <c r="M255" s="1032"/>
      <c r="N255" s="1032"/>
      <c r="O255" s="1032"/>
      <c r="P255" s="1032"/>
      <c r="Q255" s="937"/>
      <c r="R255" s="1033"/>
      <c r="S255" s="1973"/>
      <c r="T255" s="1033"/>
      <c r="U255" s="1973"/>
      <c r="V255" s="1033"/>
      <c r="W255" s="1973"/>
      <c r="X255" s="1973"/>
      <c r="Y255" s="939"/>
      <c r="Z255" s="736">
        <f>SUM(Z256, Z259, Z260, Z263, Z266, Z269)</f>
        <v>60000000</v>
      </c>
      <c r="AA255" s="1073">
        <f t="shared" si="23"/>
        <v>60000000000</v>
      </c>
      <c r="AB255" s="308"/>
      <c r="AC255" s="308"/>
    </row>
    <row r="256" spans="1:29" s="709" customFormat="1" ht="21" customHeight="1">
      <c r="A256" s="481"/>
      <c r="B256" s="468"/>
      <c r="C256" s="631"/>
      <c r="D256" s="1932"/>
      <c r="E256" s="1464" t="s">
        <v>3028</v>
      </c>
      <c r="F256" s="469">
        <f>+ROUNDUP(+Z256/1000,0)</f>
        <v>7520</v>
      </c>
      <c r="G256" s="469">
        <v>7520</v>
      </c>
      <c r="H256" s="470"/>
      <c r="I256" s="634"/>
      <c r="J256" s="1451" t="s">
        <v>2695</v>
      </c>
      <c r="K256" s="1465"/>
      <c r="L256" s="1465"/>
      <c r="M256" s="1465"/>
      <c r="N256" s="1465"/>
      <c r="O256" s="1465"/>
      <c r="P256" s="1465"/>
      <c r="Q256" s="890"/>
      <c r="R256" s="1466"/>
      <c r="S256" s="719"/>
      <c r="T256" s="1466"/>
      <c r="U256" s="719"/>
      <c r="V256" s="1466"/>
      <c r="W256" s="719"/>
      <c r="X256" s="719"/>
      <c r="Y256" s="1452">
        <f t="shared" ref="Y256:Y269" si="28">+Z256/1000</f>
        <v>7520</v>
      </c>
      <c r="Z256" s="482">
        <f>SUM(Z257:Z258)</f>
        <v>7520000</v>
      </c>
      <c r="AA256" s="1073">
        <f t="shared" si="23"/>
        <v>7520000000</v>
      </c>
      <c r="AB256" s="915"/>
      <c r="AC256" s="915"/>
    </row>
    <row r="257" spans="1:29" s="709" customFormat="1" ht="21" customHeight="1">
      <c r="A257" s="481"/>
      <c r="B257" s="468"/>
      <c r="C257" s="631"/>
      <c r="D257" s="1934"/>
      <c r="E257" s="468"/>
      <c r="F257" s="824"/>
      <c r="G257" s="469"/>
      <c r="H257" s="470"/>
      <c r="I257" s="634"/>
      <c r="J257" s="1312" t="s">
        <v>3051</v>
      </c>
      <c r="K257" s="1317"/>
      <c r="L257" s="1317"/>
      <c r="M257" s="1317"/>
      <c r="N257" s="886"/>
      <c r="O257" s="886"/>
      <c r="P257" s="886"/>
      <c r="Q257" s="1453">
        <v>3</v>
      </c>
      <c r="R257" s="1948" t="s">
        <v>3022</v>
      </c>
      <c r="S257" s="474">
        <v>73400</v>
      </c>
      <c r="T257" s="473" t="s">
        <v>2702</v>
      </c>
      <c r="U257" s="473"/>
      <c r="V257" s="473">
        <v>16</v>
      </c>
      <c r="W257" s="473" t="s">
        <v>3052</v>
      </c>
      <c r="X257" s="542" t="s">
        <v>2675</v>
      </c>
      <c r="Y257" s="1452">
        <f t="shared" si="28"/>
        <v>3520</v>
      </c>
      <c r="Z257" s="473">
        <f>Q257*S257*V257-3200</f>
        <v>3520000</v>
      </c>
      <c r="AA257" s="1073">
        <f t="shared" si="23"/>
        <v>0</v>
      </c>
      <c r="AB257" s="915"/>
      <c r="AC257" s="915"/>
    </row>
    <row r="258" spans="1:29" s="709" customFormat="1" ht="22.5" customHeight="1">
      <c r="A258" s="1931"/>
      <c r="B258" s="630"/>
      <c r="C258" s="631"/>
      <c r="D258" s="1934"/>
      <c r="E258" s="468"/>
      <c r="F258" s="824"/>
      <c r="G258" s="469"/>
      <c r="H258" s="470"/>
      <c r="I258" s="634"/>
      <c r="J258" s="1312" t="s">
        <v>3053</v>
      </c>
      <c r="K258" s="1317"/>
      <c r="L258" s="1317"/>
      <c r="M258" s="1317"/>
      <c r="N258" s="886"/>
      <c r="O258" s="886"/>
      <c r="P258" s="886"/>
      <c r="Q258" s="1453">
        <v>1</v>
      </c>
      <c r="R258" s="1948" t="s">
        <v>3022</v>
      </c>
      <c r="S258" s="474">
        <v>2000000</v>
      </c>
      <c r="T258" s="473" t="s">
        <v>2702</v>
      </c>
      <c r="U258" s="473"/>
      <c r="V258" s="473">
        <v>2</v>
      </c>
      <c r="W258" s="473" t="s">
        <v>3029</v>
      </c>
      <c r="X258" s="542" t="s">
        <v>2675</v>
      </c>
      <c r="Y258" s="1452">
        <f t="shared" si="28"/>
        <v>4000</v>
      </c>
      <c r="Z258" s="473">
        <f>S258*V258*Q258</f>
        <v>4000000</v>
      </c>
      <c r="AA258" s="1073">
        <f t="shared" si="23"/>
        <v>0</v>
      </c>
      <c r="AB258" s="915"/>
      <c r="AC258" s="915"/>
    </row>
    <row r="259" spans="1:29" s="709" customFormat="1" ht="22.5" customHeight="1">
      <c r="A259" s="673"/>
      <c r="B259" s="674"/>
      <c r="C259" s="948"/>
      <c r="E259" s="675" t="s">
        <v>3054</v>
      </c>
      <c r="F259" s="941">
        <f>+ROUNDUP(+Z259/1000,0)</f>
        <v>16180</v>
      </c>
      <c r="G259" s="1261">
        <v>16180</v>
      </c>
      <c r="H259" s="1239"/>
      <c r="I259" s="734"/>
      <c r="J259" s="943" t="s">
        <v>3055</v>
      </c>
      <c r="K259" s="953"/>
      <c r="L259" s="953"/>
      <c r="M259" s="953"/>
      <c r="N259" s="951"/>
      <c r="O259" s="951"/>
      <c r="P259" s="951"/>
      <c r="Q259" s="1446"/>
      <c r="R259" s="685"/>
      <c r="S259" s="868">
        <v>16180000</v>
      </c>
      <c r="T259" s="867" t="s">
        <v>2702</v>
      </c>
      <c r="U259" s="867"/>
      <c r="V259" s="867">
        <v>1</v>
      </c>
      <c r="W259" s="867" t="s">
        <v>3024</v>
      </c>
      <c r="X259" s="870" t="s">
        <v>2675</v>
      </c>
      <c r="Y259" s="1028">
        <f t="shared" si="28"/>
        <v>16180</v>
      </c>
      <c r="Z259" s="867">
        <f>S259*V259</f>
        <v>16180000</v>
      </c>
      <c r="AA259" s="1073">
        <f t="shared" si="23"/>
        <v>16180000000</v>
      </c>
      <c r="AB259" s="915"/>
      <c r="AC259" s="915"/>
    </row>
    <row r="260" spans="1:29" s="709" customFormat="1" ht="23.45" customHeight="1">
      <c r="A260" s="673"/>
      <c r="B260" s="674"/>
      <c r="C260" s="948"/>
      <c r="E260" s="675" t="s">
        <v>3033</v>
      </c>
      <c r="F260" s="941">
        <f>ROUNDUP(+Z260/1000,0)</f>
        <v>3000</v>
      </c>
      <c r="G260" s="1261">
        <v>3000</v>
      </c>
      <c r="H260" s="1239"/>
      <c r="I260" s="1172"/>
      <c r="J260" s="1002" t="s">
        <v>2695</v>
      </c>
      <c r="K260" s="953"/>
      <c r="L260" s="953"/>
      <c r="M260" s="953"/>
      <c r="N260" s="951"/>
      <c r="O260" s="951"/>
      <c r="P260" s="951"/>
      <c r="Q260" s="992"/>
      <c r="R260" s="685"/>
      <c r="S260" s="685" t="s">
        <v>3023</v>
      </c>
      <c r="T260" s="684" t="s">
        <v>3023</v>
      </c>
      <c r="U260" s="684" t="s">
        <v>3023</v>
      </c>
      <c r="V260" s="684" t="s">
        <v>3023</v>
      </c>
      <c r="W260" s="684" t="s">
        <v>3023</v>
      </c>
      <c r="X260" s="686" t="s">
        <v>3023</v>
      </c>
      <c r="Y260" s="1028">
        <f t="shared" si="28"/>
        <v>3000</v>
      </c>
      <c r="Z260" s="993">
        <f>SUM(Z261:Z262)</f>
        <v>3000000</v>
      </c>
      <c r="AA260" s="1073">
        <f t="shared" si="23"/>
        <v>3000000000</v>
      </c>
      <c r="AB260" s="915"/>
      <c r="AC260" s="915"/>
    </row>
    <row r="261" spans="1:29" s="709" customFormat="1" ht="23.45" customHeight="1">
      <c r="A261" s="673"/>
      <c r="B261" s="674"/>
      <c r="C261" s="948"/>
      <c r="D261" s="675"/>
      <c r="E261" s="675"/>
      <c r="F261" s="941"/>
      <c r="G261" s="1261"/>
      <c r="H261" s="1239"/>
      <c r="I261" s="1172"/>
      <c r="J261" s="1002" t="s">
        <v>3056</v>
      </c>
      <c r="K261" s="953"/>
      <c r="L261" s="953"/>
      <c r="M261" s="953"/>
      <c r="N261" s="951"/>
      <c r="O261" s="951"/>
      <c r="P261" s="951"/>
      <c r="Q261" s="1446"/>
      <c r="R261" s="685"/>
      <c r="S261" s="868">
        <v>500000</v>
      </c>
      <c r="T261" s="867" t="s">
        <v>2702</v>
      </c>
      <c r="U261" s="867"/>
      <c r="V261" s="867">
        <v>3</v>
      </c>
      <c r="W261" s="867" t="s">
        <v>2703</v>
      </c>
      <c r="X261" s="870" t="s">
        <v>2675</v>
      </c>
      <c r="Y261" s="1028">
        <f t="shared" si="28"/>
        <v>1500</v>
      </c>
      <c r="Z261" s="867">
        <f>S261*V261</f>
        <v>1500000</v>
      </c>
      <c r="AA261" s="1073">
        <f t="shared" si="23"/>
        <v>0</v>
      </c>
      <c r="AB261" s="915"/>
      <c r="AC261" s="915"/>
    </row>
    <row r="262" spans="1:29" s="709" customFormat="1" ht="23.45" customHeight="1">
      <c r="A262" s="673"/>
      <c r="B262" s="674"/>
      <c r="C262" s="948"/>
      <c r="D262" s="675"/>
      <c r="E262" s="675"/>
      <c r="F262" s="941"/>
      <c r="G262" s="1261"/>
      <c r="H262" s="1239"/>
      <c r="I262" s="734"/>
      <c r="J262" s="1002" t="s">
        <v>3057</v>
      </c>
      <c r="K262" s="953"/>
      <c r="L262" s="953"/>
      <c r="M262" s="953"/>
      <c r="N262" s="951"/>
      <c r="O262" s="951"/>
      <c r="P262" s="951"/>
      <c r="Q262" s="1446"/>
      <c r="R262" s="685"/>
      <c r="S262" s="868">
        <v>500000</v>
      </c>
      <c r="T262" s="867" t="s">
        <v>2702</v>
      </c>
      <c r="U262" s="867"/>
      <c r="V262" s="867">
        <v>3</v>
      </c>
      <c r="W262" s="867" t="s">
        <v>2703</v>
      </c>
      <c r="X262" s="870" t="s">
        <v>2675</v>
      </c>
      <c r="Y262" s="1028">
        <f t="shared" si="28"/>
        <v>1500</v>
      </c>
      <c r="Z262" s="867">
        <f>S262*V262</f>
        <v>1500000</v>
      </c>
      <c r="AA262" s="1073">
        <f t="shared" si="23"/>
        <v>0</v>
      </c>
      <c r="AB262" s="915"/>
      <c r="AC262" s="915"/>
    </row>
    <row r="263" spans="1:29" s="709" customFormat="1" ht="23.45" customHeight="1">
      <c r="A263" s="673"/>
      <c r="B263" s="674"/>
      <c r="C263" s="948"/>
      <c r="D263" s="948"/>
      <c r="E263" s="675" t="s">
        <v>3058</v>
      </c>
      <c r="F263" s="941">
        <f>ROUNDUP(+Z263/1000,0)</f>
        <v>14000</v>
      </c>
      <c r="G263" s="1261">
        <v>14000</v>
      </c>
      <c r="H263" s="1239"/>
      <c r="I263" s="734"/>
      <c r="J263" s="1002" t="s">
        <v>2695</v>
      </c>
      <c r="K263" s="953"/>
      <c r="L263" s="953"/>
      <c r="M263" s="953"/>
      <c r="N263" s="951"/>
      <c r="O263" s="951"/>
      <c r="P263" s="951"/>
      <c r="Q263" s="992"/>
      <c r="R263" s="685"/>
      <c r="S263" s="685" t="s">
        <v>3023</v>
      </c>
      <c r="T263" s="684" t="s">
        <v>3023</v>
      </c>
      <c r="U263" s="684" t="s">
        <v>3023</v>
      </c>
      <c r="V263" s="684" t="s">
        <v>3023</v>
      </c>
      <c r="W263" s="684" t="s">
        <v>3023</v>
      </c>
      <c r="X263" s="686" t="s">
        <v>3023</v>
      </c>
      <c r="Y263" s="1028">
        <f t="shared" si="28"/>
        <v>14000</v>
      </c>
      <c r="Z263" s="993">
        <f>SUM(Z264:Z265)</f>
        <v>14000000</v>
      </c>
      <c r="AA263" s="1073">
        <f t="shared" si="23"/>
        <v>14000000000</v>
      </c>
      <c r="AB263" s="915"/>
      <c r="AC263" s="915"/>
    </row>
    <row r="264" spans="1:29" s="709" customFormat="1" ht="23.45" customHeight="1">
      <c r="A264" s="673"/>
      <c r="B264" s="674"/>
      <c r="C264" s="948"/>
      <c r="D264" s="948"/>
      <c r="E264" s="675"/>
      <c r="F264" s="941"/>
      <c r="G264" s="1261"/>
      <c r="H264" s="1239"/>
      <c r="I264" s="734"/>
      <c r="J264" s="1002" t="s">
        <v>3059</v>
      </c>
      <c r="K264" s="953"/>
      <c r="L264" s="953"/>
      <c r="M264" s="953"/>
      <c r="N264" s="951"/>
      <c r="O264" s="951"/>
      <c r="P264" s="951"/>
      <c r="Q264" s="992"/>
      <c r="R264" s="685"/>
      <c r="S264" s="868">
        <v>1000000</v>
      </c>
      <c r="T264" s="867" t="s">
        <v>2702</v>
      </c>
      <c r="U264" s="867"/>
      <c r="V264" s="867">
        <v>10</v>
      </c>
      <c r="W264" s="867" t="s">
        <v>2703</v>
      </c>
      <c r="X264" s="870" t="s">
        <v>2675</v>
      </c>
      <c r="Y264" s="1028">
        <f t="shared" si="28"/>
        <v>10000</v>
      </c>
      <c r="Z264" s="867">
        <f>S264*V264</f>
        <v>10000000</v>
      </c>
      <c r="AA264" s="1073">
        <f t="shared" si="23"/>
        <v>0</v>
      </c>
      <c r="AB264" s="915"/>
      <c r="AC264" s="915"/>
    </row>
    <row r="265" spans="1:29" s="709" customFormat="1" ht="23.45" customHeight="1">
      <c r="A265" s="673"/>
      <c r="B265" s="674"/>
      <c r="C265" s="948"/>
      <c r="E265" s="675"/>
      <c r="F265" s="941"/>
      <c r="G265" s="1261"/>
      <c r="H265" s="1239"/>
      <c r="I265" s="734"/>
      <c r="J265" s="1002" t="s">
        <v>3060</v>
      </c>
      <c r="K265" s="953"/>
      <c r="L265" s="953"/>
      <c r="M265" s="953"/>
      <c r="N265" s="951"/>
      <c r="O265" s="951"/>
      <c r="P265" s="951"/>
      <c r="Q265" s="1446"/>
      <c r="R265" s="685"/>
      <c r="S265" s="868">
        <v>4000000</v>
      </c>
      <c r="T265" s="867" t="s">
        <v>2702</v>
      </c>
      <c r="U265" s="867"/>
      <c r="V265" s="867">
        <v>1</v>
      </c>
      <c r="W265" s="867" t="s">
        <v>3061</v>
      </c>
      <c r="X265" s="870" t="s">
        <v>2675</v>
      </c>
      <c r="Y265" s="1028">
        <f t="shared" si="28"/>
        <v>4000</v>
      </c>
      <c r="Z265" s="867">
        <f>S265*V265</f>
        <v>4000000</v>
      </c>
      <c r="AA265" s="1073">
        <f t="shared" si="23"/>
        <v>0</v>
      </c>
      <c r="AB265" s="915"/>
      <c r="AC265" s="915"/>
    </row>
    <row r="266" spans="1:29" s="709" customFormat="1" ht="23.45" customHeight="1">
      <c r="A266" s="673"/>
      <c r="B266" s="674"/>
      <c r="C266" s="948"/>
      <c r="D266" s="917"/>
      <c r="E266" s="851" t="s">
        <v>2700</v>
      </c>
      <c r="F266" s="941">
        <f>+ROUNDUP(+Z266/1000,0)</f>
        <v>19000</v>
      </c>
      <c r="G266" s="1261">
        <v>19000</v>
      </c>
      <c r="H266" s="1239"/>
      <c r="I266" s="734"/>
      <c r="J266" s="1002" t="s">
        <v>2695</v>
      </c>
      <c r="K266" s="953"/>
      <c r="L266" s="953"/>
      <c r="M266" s="953"/>
      <c r="N266" s="951"/>
      <c r="O266" s="951"/>
      <c r="P266" s="951"/>
      <c r="Q266" s="992"/>
      <c r="R266" s="685"/>
      <c r="S266" s="685" t="s">
        <v>3023</v>
      </c>
      <c r="T266" s="684" t="s">
        <v>3023</v>
      </c>
      <c r="U266" s="684" t="s">
        <v>3023</v>
      </c>
      <c r="V266" s="684" t="s">
        <v>3023</v>
      </c>
      <c r="W266" s="684" t="s">
        <v>3023</v>
      </c>
      <c r="X266" s="686" t="s">
        <v>3023</v>
      </c>
      <c r="Y266" s="1028">
        <f t="shared" si="28"/>
        <v>19000</v>
      </c>
      <c r="Z266" s="993">
        <f>SUM(Z267:Z268)</f>
        <v>19000000</v>
      </c>
      <c r="AA266" s="1073">
        <f t="shared" si="23"/>
        <v>19000000000</v>
      </c>
      <c r="AB266" s="915"/>
      <c r="AC266" s="915"/>
    </row>
    <row r="267" spans="1:29" s="931" customFormat="1" ht="23.45" customHeight="1">
      <c r="A267" s="673"/>
      <c r="B267" s="674"/>
      <c r="C267" s="948"/>
      <c r="D267" s="917"/>
      <c r="E267" s="851"/>
      <c r="F267" s="941"/>
      <c r="G267" s="941"/>
      <c r="H267" s="949"/>
      <c r="I267" s="734"/>
      <c r="J267" s="1002" t="s">
        <v>3062</v>
      </c>
      <c r="K267" s="953"/>
      <c r="L267" s="953"/>
      <c r="M267" s="953"/>
      <c r="N267" s="951"/>
      <c r="O267" s="951"/>
      <c r="P267" s="951"/>
      <c r="Q267" s="992"/>
      <c r="R267" s="685"/>
      <c r="S267" s="868">
        <v>5000000</v>
      </c>
      <c r="T267" s="867" t="s">
        <v>2702</v>
      </c>
      <c r="U267" s="867"/>
      <c r="V267" s="867">
        <v>2</v>
      </c>
      <c r="W267" s="867" t="s">
        <v>2703</v>
      </c>
      <c r="X267" s="870" t="s">
        <v>2675</v>
      </c>
      <c r="Y267" s="1028">
        <f t="shared" si="28"/>
        <v>10000</v>
      </c>
      <c r="Z267" s="867">
        <f>S267*V267</f>
        <v>10000000</v>
      </c>
      <c r="AA267" s="1073">
        <f t="shared" si="23"/>
        <v>0</v>
      </c>
      <c r="AB267" s="930"/>
      <c r="AC267" s="930"/>
    </row>
    <row r="268" spans="1:29" s="709" customFormat="1" ht="23.45" customHeight="1">
      <c r="A268" s="673"/>
      <c r="B268" s="674"/>
      <c r="C268" s="948"/>
      <c r="D268" s="917"/>
      <c r="E268" s="851"/>
      <c r="F268" s="941"/>
      <c r="G268" s="941"/>
      <c r="H268" s="949"/>
      <c r="I268" s="734"/>
      <c r="J268" s="1002" t="s">
        <v>3063</v>
      </c>
      <c r="K268" s="953"/>
      <c r="L268" s="953"/>
      <c r="M268" s="953"/>
      <c r="N268" s="951"/>
      <c r="O268" s="951"/>
      <c r="P268" s="951"/>
      <c r="Q268" s="992"/>
      <c r="R268" s="685"/>
      <c r="S268" s="868">
        <v>3000000</v>
      </c>
      <c r="T268" s="867" t="s">
        <v>2702</v>
      </c>
      <c r="U268" s="867"/>
      <c r="V268" s="867">
        <v>3</v>
      </c>
      <c r="W268" s="867" t="s">
        <v>2703</v>
      </c>
      <c r="X268" s="870" t="s">
        <v>2675</v>
      </c>
      <c r="Y268" s="1028">
        <f t="shared" si="28"/>
        <v>9000</v>
      </c>
      <c r="Z268" s="867">
        <f>S268*V268</f>
        <v>9000000</v>
      </c>
      <c r="AA268" s="1073">
        <f t="shared" si="23"/>
        <v>0</v>
      </c>
      <c r="AB268" s="915"/>
      <c r="AC268" s="915"/>
    </row>
    <row r="269" spans="1:29" s="709" customFormat="1" ht="23.45" customHeight="1">
      <c r="A269" s="673"/>
      <c r="B269" s="674"/>
      <c r="C269" s="948"/>
      <c r="D269" s="917"/>
      <c r="E269" s="851" t="s">
        <v>3025</v>
      </c>
      <c r="F269" s="941">
        <f>ROUNDUP(+Z269/1000,0)</f>
        <v>300</v>
      </c>
      <c r="G269" s="941">
        <v>300</v>
      </c>
      <c r="H269" s="949"/>
      <c r="I269" s="734"/>
      <c r="J269" s="943" t="s">
        <v>3064</v>
      </c>
      <c r="K269" s="953"/>
      <c r="L269" s="953"/>
      <c r="M269" s="953"/>
      <c r="N269" s="951"/>
      <c r="O269" s="951"/>
      <c r="P269" s="951"/>
      <c r="Q269" s="1446">
        <v>5</v>
      </c>
      <c r="R269" s="685" t="s">
        <v>3022</v>
      </c>
      <c r="S269" s="868">
        <v>10000</v>
      </c>
      <c r="T269" s="867" t="s">
        <v>2702</v>
      </c>
      <c r="U269" s="867"/>
      <c r="V269" s="867">
        <v>6</v>
      </c>
      <c r="W269" s="867" t="s">
        <v>2703</v>
      </c>
      <c r="X269" s="870" t="s">
        <v>2675</v>
      </c>
      <c r="Y269" s="1028">
        <f t="shared" si="28"/>
        <v>300</v>
      </c>
      <c r="Z269" s="867">
        <f>Q269*S269*V269</f>
        <v>300000</v>
      </c>
      <c r="AA269" s="1073">
        <f t="shared" si="23"/>
        <v>300000000</v>
      </c>
      <c r="AB269" s="915"/>
      <c r="AC269" s="915"/>
    </row>
    <row r="270" spans="1:29" s="709" customFormat="1" ht="23.45" customHeight="1">
      <c r="A270" s="673"/>
      <c r="B270" s="674"/>
      <c r="C270" s="948"/>
      <c r="D270" s="3955" t="s">
        <v>3065</v>
      </c>
      <c r="E270" s="3883"/>
      <c r="F270" s="2061">
        <f>SUM(F271:F280)</f>
        <v>20000</v>
      </c>
      <c r="G270" s="3168">
        <f>SUM(G271:G280)</f>
        <v>20000</v>
      </c>
      <c r="H270" s="933">
        <f>SUM(H271:H280)</f>
        <v>0</v>
      </c>
      <c r="I270" s="734"/>
      <c r="J270" s="1031"/>
      <c r="K270" s="1032"/>
      <c r="L270" s="1032"/>
      <c r="M270" s="1032"/>
      <c r="N270" s="1032"/>
      <c r="O270" s="1032"/>
      <c r="P270" s="1032"/>
      <c r="Q270" s="937"/>
      <c r="R270" s="1443"/>
      <c r="S270" s="2112"/>
      <c r="T270" s="1443"/>
      <c r="U270" s="2112"/>
      <c r="V270" s="1443"/>
      <c r="W270" s="2112"/>
      <c r="X270" s="2112"/>
      <c r="Y270" s="939"/>
      <c r="Z270" s="1677" t="e">
        <f>Z271+#REF!+Z272+#REF!+Z273+Z279+Z280</f>
        <v>#REF!</v>
      </c>
      <c r="AA270" s="1073">
        <f t="shared" si="23"/>
        <v>20000000000</v>
      </c>
      <c r="AB270" s="915"/>
      <c r="AC270" s="915"/>
    </row>
    <row r="271" spans="1:29" s="709" customFormat="1" ht="23.45" customHeight="1">
      <c r="A271" s="673"/>
      <c r="B271" s="674"/>
      <c r="C271" s="948"/>
      <c r="E271" s="675" t="s">
        <v>4405</v>
      </c>
      <c r="F271" s="941">
        <f>ROUNDUP(+Z271/1000,0)</f>
        <v>650</v>
      </c>
      <c r="G271" s="1261">
        <v>650</v>
      </c>
      <c r="H271" s="1239"/>
      <c r="I271" s="734"/>
      <c r="J271" s="3174" t="s">
        <v>4391</v>
      </c>
      <c r="K271" s="3172"/>
      <c r="L271" s="3172"/>
      <c r="M271" s="3172"/>
      <c r="N271" s="3171"/>
      <c r="O271" s="3171"/>
      <c r="P271" s="3171"/>
      <c r="Q271" s="946" t="s">
        <v>587</v>
      </c>
      <c r="R271" s="3163" t="s">
        <v>4364</v>
      </c>
      <c r="S271" s="3164">
        <v>65000</v>
      </c>
      <c r="T271" s="3163" t="s">
        <v>4361</v>
      </c>
      <c r="U271" s="3163"/>
      <c r="V271" s="3163">
        <v>10</v>
      </c>
      <c r="W271" s="3163" t="s">
        <v>4392</v>
      </c>
      <c r="X271" s="3165" t="s">
        <v>4371</v>
      </c>
      <c r="Y271" s="3175">
        <f t="shared" ref="Y271:Y280" si="29">+Z271/1000</f>
        <v>650</v>
      </c>
      <c r="Z271" s="3163">
        <f>Q271*S271*V271</f>
        <v>650000</v>
      </c>
      <c r="AA271" s="1073">
        <f t="shared" si="23"/>
        <v>650000000</v>
      </c>
      <c r="AB271" s="915"/>
      <c r="AC271" s="915"/>
    </row>
    <row r="272" spans="1:29" s="931" customFormat="1" ht="23.45" customHeight="1">
      <c r="A272" s="673"/>
      <c r="B272" s="674"/>
      <c r="C272" s="948"/>
      <c r="D272" s="692"/>
      <c r="E272" s="675" t="s">
        <v>4406</v>
      </c>
      <c r="F272" s="941">
        <f>ROUNDUP(+Z272/1000,0)</f>
        <v>1500</v>
      </c>
      <c r="G272" s="1261">
        <v>1500</v>
      </c>
      <c r="H272" s="1239"/>
      <c r="I272" s="734"/>
      <c r="J272" s="943" t="s">
        <v>4393</v>
      </c>
      <c r="K272" s="3172"/>
      <c r="L272" s="3172"/>
      <c r="M272" s="3172"/>
      <c r="N272" s="3171"/>
      <c r="O272" s="3171"/>
      <c r="P272" s="3171"/>
      <c r="Q272" s="3177"/>
      <c r="R272" s="3229"/>
      <c r="S272" s="3164">
        <v>500000</v>
      </c>
      <c r="T272" s="3163" t="s">
        <v>4361</v>
      </c>
      <c r="U272" s="3163"/>
      <c r="V272" s="3163">
        <v>3</v>
      </c>
      <c r="W272" s="3163" t="s">
        <v>4353</v>
      </c>
      <c r="X272" s="3165" t="s">
        <v>4371</v>
      </c>
      <c r="Y272" s="3175">
        <f t="shared" si="29"/>
        <v>1500</v>
      </c>
      <c r="Z272" s="3163">
        <f>S272*V272</f>
        <v>1500000</v>
      </c>
      <c r="AA272" s="1073">
        <f t="shared" si="23"/>
        <v>1500000000</v>
      </c>
      <c r="AB272" s="930"/>
      <c r="AC272" s="930"/>
    </row>
    <row r="273" spans="1:29" s="931" customFormat="1" ht="23.45" customHeight="1">
      <c r="A273" s="673"/>
      <c r="B273" s="674"/>
      <c r="C273" s="948"/>
      <c r="D273" s="675"/>
      <c r="E273" s="675" t="s">
        <v>4407</v>
      </c>
      <c r="F273" s="1414">
        <f>ROUNDUP(Z273/1000,0)</f>
        <v>12500</v>
      </c>
      <c r="G273" s="1261">
        <v>12500</v>
      </c>
      <c r="H273" s="1239"/>
      <c r="I273" s="734"/>
      <c r="J273" s="3174" t="s">
        <v>4348</v>
      </c>
      <c r="K273" s="3172"/>
      <c r="L273" s="3172"/>
      <c r="M273" s="3172"/>
      <c r="N273" s="3171"/>
      <c r="O273" s="3171"/>
      <c r="P273" s="3171"/>
      <c r="Q273" s="992"/>
      <c r="R273" s="3229"/>
      <c r="S273" s="3229" t="s">
        <v>4389</v>
      </c>
      <c r="T273" s="684" t="s">
        <v>4389</v>
      </c>
      <c r="U273" s="684" t="s">
        <v>4389</v>
      </c>
      <c r="V273" s="684" t="s">
        <v>4389</v>
      </c>
      <c r="W273" s="684" t="s">
        <v>4389</v>
      </c>
      <c r="X273" s="686" t="s">
        <v>4389</v>
      </c>
      <c r="Y273" s="3175">
        <f t="shared" si="29"/>
        <v>12500</v>
      </c>
      <c r="Z273" s="993">
        <f>SUM(Z274:Z278)</f>
        <v>12500000</v>
      </c>
      <c r="AA273" s="1073">
        <f t="shared" si="23"/>
        <v>12500000000</v>
      </c>
      <c r="AB273" s="930"/>
      <c r="AC273" s="930"/>
    </row>
    <row r="274" spans="1:29" s="931" customFormat="1" ht="23.45" customHeight="1">
      <c r="A274" s="791"/>
      <c r="B274" s="675"/>
      <c r="C274" s="948"/>
      <c r="D274" s="709"/>
      <c r="E274" s="675"/>
      <c r="F274" s="1444"/>
      <c r="G274" s="1445"/>
      <c r="H274" s="1239"/>
      <c r="I274" s="734"/>
      <c r="J274" s="3174" t="s">
        <v>4394</v>
      </c>
      <c r="K274" s="3172"/>
      <c r="L274" s="3172"/>
      <c r="M274" s="3172"/>
      <c r="N274" s="3171"/>
      <c r="O274" s="3171"/>
      <c r="P274" s="3171"/>
      <c r="Q274" s="3177"/>
      <c r="R274" s="3229"/>
      <c r="S274" s="3164">
        <v>10000</v>
      </c>
      <c r="T274" s="3163" t="s">
        <v>4361</v>
      </c>
      <c r="U274" s="3163"/>
      <c r="V274" s="3177">
        <v>300</v>
      </c>
      <c r="W274" s="3229" t="s">
        <v>4395</v>
      </c>
      <c r="X274" s="3165" t="s">
        <v>4371</v>
      </c>
      <c r="Y274" s="3175">
        <f t="shared" si="29"/>
        <v>3000</v>
      </c>
      <c r="Z274" s="3163">
        <f t="shared" ref="Z274:Z279" si="30">S274*V274</f>
        <v>3000000</v>
      </c>
      <c r="AA274" s="1073">
        <f t="shared" si="23"/>
        <v>0</v>
      </c>
      <c r="AB274" s="930"/>
      <c r="AC274" s="930"/>
    </row>
    <row r="275" spans="1:29" s="709" customFormat="1" ht="23.45" customHeight="1">
      <c r="A275" s="791"/>
      <c r="B275" s="675"/>
      <c r="C275" s="948"/>
      <c r="E275" s="675"/>
      <c r="F275" s="1444"/>
      <c r="G275" s="1445"/>
      <c r="H275" s="1239"/>
      <c r="I275" s="734"/>
      <c r="J275" s="3174" t="s">
        <v>4396</v>
      </c>
      <c r="K275" s="3172"/>
      <c r="L275" s="3172"/>
      <c r="M275" s="3172"/>
      <c r="N275" s="3171"/>
      <c r="O275" s="3171"/>
      <c r="P275" s="3171"/>
      <c r="Q275" s="3177"/>
      <c r="R275" s="3229"/>
      <c r="S275" s="3164">
        <v>800000</v>
      </c>
      <c r="T275" s="3163" t="s">
        <v>4361</v>
      </c>
      <c r="U275" s="3163"/>
      <c r="V275" s="3177">
        <v>5</v>
      </c>
      <c r="W275" s="3229" t="s">
        <v>4397</v>
      </c>
      <c r="X275" s="3165" t="s">
        <v>4371</v>
      </c>
      <c r="Y275" s="3175">
        <f t="shared" si="29"/>
        <v>4000</v>
      </c>
      <c r="Z275" s="3163">
        <f t="shared" si="30"/>
        <v>4000000</v>
      </c>
      <c r="AA275" s="1073">
        <f t="shared" si="23"/>
        <v>0</v>
      </c>
      <c r="AB275" s="915"/>
      <c r="AC275" s="915"/>
    </row>
    <row r="276" spans="1:29" s="709" customFormat="1" ht="23.45" customHeight="1">
      <c r="A276" s="791"/>
      <c r="B276" s="675"/>
      <c r="C276" s="948"/>
      <c r="E276" s="675"/>
      <c r="F276" s="1444"/>
      <c r="G276" s="1445"/>
      <c r="H276" s="1239"/>
      <c r="I276" s="734"/>
      <c r="J276" s="3174" t="s">
        <v>4398</v>
      </c>
      <c r="K276" s="3172"/>
      <c r="L276" s="3172"/>
      <c r="M276" s="3172"/>
      <c r="N276" s="3171"/>
      <c r="O276" s="3171"/>
      <c r="P276" s="3171"/>
      <c r="Q276" s="3177"/>
      <c r="R276" s="3229"/>
      <c r="S276" s="3164">
        <v>50000</v>
      </c>
      <c r="T276" s="3163" t="s">
        <v>4361</v>
      </c>
      <c r="U276" s="3163"/>
      <c r="V276" s="3177">
        <v>60</v>
      </c>
      <c r="W276" s="3229" t="s">
        <v>4399</v>
      </c>
      <c r="X276" s="3165" t="s">
        <v>4371</v>
      </c>
      <c r="Y276" s="3175">
        <f t="shared" si="29"/>
        <v>3000</v>
      </c>
      <c r="Z276" s="3163">
        <f t="shared" si="30"/>
        <v>3000000</v>
      </c>
      <c r="AA276" s="1073">
        <f t="shared" si="23"/>
        <v>0</v>
      </c>
      <c r="AB276" s="915"/>
      <c r="AC276" s="915"/>
    </row>
    <row r="277" spans="1:29" s="709" customFormat="1" ht="23.45" customHeight="1">
      <c r="A277" s="791"/>
      <c r="B277" s="675"/>
      <c r="C277" s="948"/>
      <c r="E277" s="675"/>
      <c r="F277" s="1444"/>
      <c r="G277" s="1445"/>
      <c r="H277" s="1239"/>
      <c r="I277" s="734"/>
      <c r="J277" s="3174" t="s">
        <v>4400</v>
      </c>
      <c r="K277" s="3172"/>
      <c r="L277" s="3172"/>
      <c r="M277" s="3172"/>
      <c r="N277" s="3171"/>
      <c r="O277" s="3171"/>
      <c r="P277" s="3171"/>
      <c r="Q277" s="3177"/>
      <c r="R277" s="3229"/>
      <c r="S277" s="3164">
        <v>30000</v>
      </c>
      <c r="T277" s="3163" t="s">
        <v>4361</v>
      </c>
      <c r="U277" s="3163"/>
      <c r="V277" s="3177">
        <v>10</v>
      </c>
      <c r="W277" s="3229" t="s">
        <v>4399</v>
      </c>
      <c r="X277" s="3165" t="s">
        <v>4371</v>
      </c>
      <c r="Y277" s="3175">
        <f t="shared" si="29"/>
        <v>300</v>
      </c>
      <c r="Z277" s="3163">
        <f t="shared" si="30"/>
        <v>300000</v>
      </c>
      <c r="AA277" s="1073">
        <f t="shared" si="23"/>
        <v>0</v>
      </c>
      <c r="AB277" s="915"/>
      <c r="AC277" s="915"/>
    </row>
    <row r="278" spans="1:29" s="1183" customFormat="1" ht="23.45" customHeight="1">
      <c r="A278" s="673"/>
      <c r="B278" s="674"/>
      <c r="C278" s="948"/>
      <c r="D278" s="709"/>
      <c r="E278" s="675"/>
      <c r="F278" s="1444"/>
      <c r="G278" s="1445"/>
      <c r="H278" s="1239"/>
      <c r="I278" s="734"/>
      <c r="J278" s="3174" t="s">
        <v>4401</v>
      </c>
      <c r="K278" s="3172"/>
      <c r="L278" s="3172"/>
      <c r="M278" s="3172"/>
      <c r="N278" s="3171"/>
      <c r="O278" s="3171"/>
      <c r="P278" s="3171"/>
      <c r="Q278" s="3177"/>
      <c r="R278" s="3229"/>
      <c r="S278" s="3164">
        <v>2200000</v>
      </c>
      <c r="T278" s="3163" t="s">
        <v>4361</v>
      </c>
      <c r="U278" s="3163"/>
      <c r="V278" s="3177">
        <v>1</v>
      </c>
      <c r="W278" s="3229" t="s">
        <v>4402</v>
      </c>
      <c r="X278" s="3165" t="s">
        <v>4371</v>
      </c>
      <c r="Y278" s="3175">
        <f t="shared" si="29"/>
        <v>2200</v>
      </c>
      <c r="Z278" s="3163">
        <f t="shared" si="30"/>
        <v>2200000</v>
      </c>
      <c r="AA278" s="1073">
        <f t="shared" si="23"/>
        <v>0</v>
      </c>
      <c r="AB278" s="1181"/>
      <c r="AC278" s="1181"/>
    </row>
    <row r="279" spans="1:29" s="931" customFormat="1" ht="23.45" customHeight="1">
      <c r="A279" s="673"/>
      <c r="B279" s="674"/>
      <c r="C279" s="709"/>
      <c r="D279" s="692"/>
      <c r="E279" s="675" t="s">
        <v>4408</v>
      </c>
      <c r="F279" s="941">
        <f>ROUNDUP(+Z279/1000,0)</f>
        <v>5000</v>
      </c>
      <c r="G279" s="1261">
        <v>5000</v>
      </c>
      <c r="H279" s="1239"/>
      <c r="I279" s="734"/>
      <c r="J279" s="943" t="s">
        <v>4403</v>
      </c>
      <c r="K279" s="3172"/>
      <c r="L279" s="3172"/>
      <c r="M279" s="3172"/>
      <c r="N279" s="3171"/>
      <c r="O279" s="3171"/>
      <c r="P279" s="3171"/>
      <c r="Q279" s="3177"/>
      <c r="R279" s="3229"/>
      <c r="S279" s="3164">
        <v>5000000</v>
      </c>
      <c r="T279" s="3163" t="s">
        <v>4361</v>
      </c>
      <c r="U279" s="3163"/>
      <c r="V279" s="3163">
        <v>1</v>
      </c>
      <c r="W279" s="3163" t="s">
        <v>4353</v>
      </c>
      <c r="X279" s="3165" t="s">
        <v>4371</v>
      </c>
      <c r="Y279" s="3175">
        <f t="shared" si="29"/>
        <v>5000</v>
      </c>
      <c r="Z279" s="3163">
        <f t="shared" si="30"/>
        <v>5000000</v>
      </c>
      <c r="AA279" s="1073">
        <f t="shared" ref="AA279:AA342" si="31">F279*1000000</f>
        <v>5000000000</v>
      </c>
      <c r="AB279" s="930"/>
      <c r="AC279" s="930"/>
    </row>
    <row r="280" spans="1:29" s="931" customFormat="1" ht="23.45" customHeight="1">
      <c r="A280" s="673"/>
      <c r="B280" s="674"/>
      <c r="C280" s="709"/>
      <c r="D280" s="675"/>
      <c r="E280" s="675" t="s">
        <v>4370</v>
      </c>
      <c r="F280" s="941">
        <f>ROUNDUP(+Z280/1000,0)</f>
        <v>350</v>
      </c>
      <c r="G280" s="1261">
        <v>350</v>
      </c>
      <c r="H280" s="1239"/>
      <c r="I280" s="734"/>
      <c r="J280" s="943" t="s">
        <v>4404</v>
      </c>
      <c r="K280" s="3172"/>
      <c r="L280" s="3172"/>
      <c r="M280" s="3172"/>
      <c r="N280" s="3171"/>
      <c r="O280" s="3171"/>
      <c r="P280" s="3171"/>
      <c r="Q280" s="1467">
        <v>5</v>
      </c>
      <c r="R280" s="3163" t="s">
        <v>4364</v>
      </c>
      <c r="S280" s="3164">
        <v>10000</v>
      </c>
      <c r="T280" s="3163" t="s">
        <v>4361</v>
      </c>
      <c r="U280" s="3163"/>
      <c r="V280" s="3163">
        <v>7</v>
      </c>
      <c r="W280" s="3163" t="s">
        <v>4365</v>
      </c>
      <c r="X280" s="3165" t="s">
        <v>4371</v>
      </c>
      <c r="Y280" s="3175">
        <f t="shared" si="29"/>
        <v>350</v>
      </c>
      <c r="Z280" s="3163">
        <f>Q280*S280*V280</f>
        <v>350000</v>
      </c>
      <c r="AA280" s="1073">
        <f t="shared" si="31"/>
        <v>350000000</v>
      </c>
      <c r="AB280" s="930"/>
      <c r="AC280" s="930"/>
    </row>
    <row r="281" spans="1:29" s="931" customFormat="1" ht="23.45" customHeight="1">
      <c r="A281" s="1468"/>
      <c r="B281" s="1469"/>
      <c r="C281" s="3991" t="s">
        <v>3066</v>
      </c>
      <c r="D281" s="3991"/>
      <c r="E281" s="3979"/>
      <c r="F281" s="955">
        <f>+F282+F299+F317+F329</f>
        <v>175818.03</v>
      </c>
      <c r="G281" s="955">
        <f>G282+G299+G317+G329</f>
        <v>152000</v>
      </c>
      <c r="H281" s="933">
        <f>F281-G281</f>
        <v>23818.03</v>
      </c>
      <c r="I281" s="1172"/>
      <c r="J281" s="1470"/>
      <c r="K281" s="1471"/>
      <c r="L281" s="1471"/>
      <c r="M281" s="1471"/>
      <c r="N281" s="1472"/>
      <c r="O281" s="1472"/>
      <c r="P281" s="1472"/>
      <c r="Q281" s="1473"/>
      <c r="R281" s="1474"/>
      <c r="S281" s="1475"/>
      <c r="T281" s="1476"/>
      <c r="U281" s="1476"/>
      <c r="V281" s="1476"/>
      <c r="W281" s="1476"/>
      <c r="X281" s="1477"/>
      <c r="Y281" s="1478"/>
      <c r="Z281" s="1207"/>
      <c r="AA281" s="1073">
        <f t="shared" si="31"/>
        <v>175818030000</v>
      </c>
      <c r="AB281" s="930"/>
      <c r="AC281" s="930"/>
    </row>
    <row r="282" spans="1:29" s="931" customFormat="1" ht="23.45" customHeight="1">
      <c r="A282" s="673"/>
      <c r="B282" s="674"/>
      <c r="C282" s="948"/>
      <c r="D282" s="3955" t="s">
        <v>3067</v>
      </c>
      <c r="E282" s="3883"/>
      <c r="F282" s="932">
        <f>SUM(F283:F298)</f>
        <v>40000</v>
      </c>
      <c r="G282" s="955">
        <f>SUM(G283:G298)</f>
        <v>40000</v>
      </c>
      <c r="H282" s="933">
        <f>F282-G282</f>
        <v>0</v>
      </c>
      <c r="I282" s="734"/>
      <c r="J282" s="1031"/>
      <c r="K282" s="1032"/>
      <c r="L282" s="1032"/>
      <c r="M282" s="1032"/>
      <c r="N282" s="1032"/>
      <c r="O282" s="1032"/>
      <c r="P282" s="1032"/>
      <c r="Q282" s="937"/>
      <c r="R282" s="1443"/>
      <c r="S282" s="1973"/>
      <c r="T282" s="1443"/>
      <c r="U282" s="1973"/>
      <c r="V282" s="1443"/>
      <c r="W282" s="1973"/>
      <c r="X282" s="1973"/>
      <c r="Y282" s="939"/>
      <c r="Z282" s="1677">
        <f>Z283+Z286+Z289+Z292+Z293+Z296+Z297+Z298</f>
        <v>40000000</v>
      </c>
      <c r="AA282" s="1073">
        <f t="shared" si="31"/>
        <v>40000000000</v>
      </c>
      <c r="AB282" s="930"/>
      <c r="AC282" s="930"/>
    </row>
    <row r="283" spans="1:29" s="931" customFormat="1" ht="23.45" customHeight="1">
      <c r="A283" s="673"/>
      <c r="B283" s="674"/>
      <c r="C283" s="948"/>
      <c r="D283" s="1981"/>
      <c r="E283" s="851" t="s">
        <v>81</v>
      </c>
      <c r="F283" s="941">
        <f>ROUNDUP(+Z283/1000,0)</f>
        <v>26000</v>
      </c>
      <c r="G283" s="941">
        <v>26000</v>
      </c>
      <c r="H283" s="1239"/>
      <c r="I283" s="734"/>
      <c r="J283" s="1002" t="s">
        <v>2695</v>
      </c>
      <c r="K283" s="953"/>
      <c r="L283" s="953"/>
      <c r="M283" s="953"/>
      <c r="N283" s="951"/>
      <c r="O283" s="951"/>
      <c r="P283" s="951"/>
      <c r="Q283" s="992"/>
      <c r="R283" s="685"/>
      <c r="S283" s="685" t="s">
        <v>20</v>
      </c>
      <c r="T283" s="684" t="s">
        <v>20</v>
      </c>
      <c r="U283" s="684" t="s">
        <v>20</v>
      </c>
      <c r="V283" s="684" t="s">
        <v>20</v>
      </c>
      <c r="W283" s="684" t="s">
        <v>20</v>
      </c>
      <c r="X283" s="686" t="s">
        <v>20</v>
      </c>
      <c r="Y283" s="1028">
        <f t="shared" ref="Y283:Y288" si="32">+Z283/1000</f>
        <v>26000</v>
      </c>
      <c r="Z283" s="993">
        <f>SUM(Z284:Z285)</f>
        <v>26000000</v>
      </c>
      <c r="AA283" s="1073">
        <f t="shared" si="31"/>
        <v>26000000000</v>
      </c>
      <c r="AB283" s="930"/>
      <c r="AC283" s="930"/>
    </row>
    <row r="284" spans="1:29" s="931" customFormat="1" ht="23.45" customHeight="1">
      <c r="A284" s="673"/>
      <c r="B284" s="674"/>
      <c r="C284" s="948"/>
      <c r="D284" s="1981"/>
      <c r="E284" s="851"/>
      <c r="F284" s="941"/>
      <c r="G284" s="941"/>
      <c r="H284" s="1239"/>
      <c r="I284" s="734"/>
      <c r="J284" s="1002" t="s">
        <v>3068</v>
      </c>
      <c r="K284" s="953"/>
      <c r="L284" s="953"/>
      <c r="M284" s="953"/>
      <c r="N284" s="951"/>
      <c r="O284" s="951"/>
      <c r="P284" s="951"/>
      <c r="Q284" s="946" t="s">
        <v>587</v>
      </c>
      <c r="R284" s="867" t="s">
        <v>142</v>
      </c>
      <c r="S284" s="868">
        <v>2000000</v>
      </c>
      <c r="T284" s="867" t="s">
        <v>0</v>
      </c>
      <c r="U284" s="867"/>
      <c r="V284" s="867">
        <v>12</v>
      </c>
      <c r="W284" s="867" t="s">
        <v>2</v>
      </c>
      <c r="X284" s="870" t="s">
        <v>1</v>
      </c>
      <c r="Y284" s="1028">
        <f t="shared" si="32"/>
        <v>24000</v>
      </c>
      <c r="Z284" s="867">
        <f>Q284*S284*V284</f>
        <v>24000000</v>
      </c>
      <c r="AA284" s="1073">
        <f t="shared" si="31"/>
        <v>0</v>
      </c>
      <c r="AB284" s="930"/>
      <c r="AC284" s="930"/>
    </row>
    <row r="285" spans="1:29" s="931" customFormat="1" ht="23.45" customHeight="1">
      <c r="A285" s="673"/>
      <c r="B285" s="674"/>
      <c r="C285" s="948"/>
      <c r="D285" s="1981"/>
      <c r="E285" s="851"/>
      <c r="F285" s="941"/>
      <c r="G285" s="941"/>
      <c r="H285" s="1239"/>
      <c r="I285" s="734"/>
      <c r="J285" s="1002" t="s">
        <v>3069</v>
      </c>
      <c r="K285" s="953"/>
      <c r="L285" s="953"/>
      <c r="M285" s="953"/>
      <c r="N285" s="951"/>
      <c r="O285" s="951"/>
      <c r="P285" s="951"/>
      <c r="Q285" s="946" t="s">
        <v>587</v>
      </c>
      <c r="R285" s="867" t="s">
        <v>142</v>
      </c>
      <c r="S285" s="868">
        <v>2000000</v>
      </c>
      <c r="T285" s="867" t="s">
        <v>0</v>
      </c>
      <c r="U285" s="867"/>
      <c r="V285" s="867">
        <v>1</v>
      </c>
      <c r="W285" s="867" t="s">
        <v>2</v>
      </c>
      <c r="X285" s="870" t="s">
        <v>1</v>
      </c>
      <c r="Y285" s="1028">
        <f t="shared" si="32"/>
        <v>2000</v>
      </c>
      <c r="Z285" s="867">
        <f>Q285*S285*V285</f>
        <v>2000000</v>
      </c>
      <c r="AA285" s="1073">
        <f t="shared" si="31"/>
        <v>0</v>
      </c>
      <c r="AB285" s="930"/>
      <c r="AC285" s="930"/>
    </row>
    <row r="286" spans="1:29" s="931" customFormat="1" ht="23.45" customHeight="1">
      <c r="A286" s="673"/>
      <c r="B286" s="674"/>
      <c r="C286" s="948"/>
      <c r="D286" s="1981"/>
      <c r="E286" s="851" t="s">
        <v>80</v>
      </c>
      <c r="F286" s="941">
        <f>ROUNDUP(+Z286/1000,0)</f>
        <v>600</v>
      </c>
      <c r="G286" s="941">
        <v>600</v>
      </c>
      <c r="H286" s="1239"/>
      <c r="I286" s="734"/>
      <c r="J286" s="1002" t="s">
        <v>2695</v>
      </c>
      <c r="K286" s="953"/>
      <c r="L286" s="953"/>
      <c r="M286" s="953"/>
      <c r="N286" s="951"/>
      <c r="O286" s="951"/>
      <c r="P286" s="951"/>
      <c r="Q286" s="992"/>
      <c r="R286" s="685"/>
      <c r="S286" s="685" t="s">
        <v>20</v>
      </c>
      <c r="T286" s="684" t="s">
        <v>20</v>
      </c>
      <c r="U286" s="684" t="s">
        <v>20</v>
      </c>
      <c r="V286" s="684" t="s">
        <v>20</v>
      </c>
      <c r="W286" s="684" t="s">
        <v>20</v>
      </c>
      <c r="X286" s="686" t="s">
        <v>20</v>
      </c>
      <c r="Y286" s="1028">
        <f t="shared" si="32"/>
        <v>600</v>
      </c>
      <c r="Z286" s="993">
        <f>SUM(Z287:Z288)</f>
        <v>600000</v>
      </c>
      <c r="AA286" s="1073">
        <f t="shared" si="31"/>
        <v>600000000</v>
      </c>
      <c r="AB286" s="930"/>
      <c r="AC286" s="930"/>
    </row>
    <row r="287" spans="1:29" s="709" customFormat="1" ht="23.45" customHeight="1">
      <c r="A287" s="673"/>
      <c r="B287" s="674"/>
      <c r="C287" s="948"/>
      <c r="D287" s="1981"/>
      <c r="E287" s="851"/>
      <c r="F287" s="941"/>
      <c r="G287" s="941"/>
      <c r="H287" s="1239"/>
      <c r="I287" s="734"/>
      <c r="J287" s="1002" t="s">
        <v>3070</v>
      </c>
      <c r="K287" s="953"/>
      <c r="L287" s="953"/>
      <c r="M287" s="953"/>
      <c r="N287" s="951"/>
      <c r="O287" s="951"/>
      <c r="P287" s="951"/>
      <c r="Q287" s="946"/>
      <c r="R287" s="867"/>
      <c r="S287" s="868">
        <v>100000</v>
      </c>
      <c r="T287" s="867" t="s">
        <v>0</v>
      </c>
      <c r="U287" s="867"/>
      <c r="V287" s="867">
        <v>1</v>
      </c>
      <c r="W287" s="867" t="s">
        <v>6</v>
      </c>
      <c r="X287" s="870" t="s">
        <v>1</v>
      </c>
      <c r="Y287" s="1028">
        <f t="shared" si="32"/>
        <v>100</v>
      </c>
      <c r="Z287" s="867">
        <f>S287*V287</f>
        <v>100000</v>
      </c>
      <c r="AA287" s="1073">
        <f t="shared" si="31"/>
        <v>0</v>
      </c>
      <c r="AB287" s="915"/>
      <c r="AC287" s="915"/>
    </row>
    <row r="288" spans="1:29" s="709" customFormat="1" ht="23.45" customHeight="1">
      <c r="A288" s="673"/>
      <c r="B288" s="674"/>
      <c r="C288" s="948"/>
      <c r="D288" s="1981"/>
      <c r="E288" s="851"/>
      <c r="F288" s="941"/>
      <c r="G288" s="941"/>
      <c r="H288" s="1239"/>
      <c r="I288" s="734"/>
      <c r="J288" s="1002" t="s">
        <v>3071</v>
      </c>
      <c r="K288" s="953"/>
      <c r="L288" s="953"/>
      <c r="M288" s="953"/>
      <c r="N288" s="951"/>
      <c r="O288" s="951"/>
      <c r="P288" s="951"/>
      <c r="Q288" s="946"/>
      <c r="R288" s="867"/>
      <c r="S288" s="868">
        <v>500000</v>
      </c>
      <c r="T288" s="867" t="s">
        <v>0</v>
      </c>
      <c r="U288" s="867"/>
      <c r="V288" s="867">
        <v>1</v>
      </c>
      <c r="W288" s="867" t="s">
        <v>64</v>
      </c>
      <c r="X288" s="870" t="s">
        <v>1</v>
      </c>
      <c r="Y288" s="1028">
        <f t="shared" si="32"/>
        <v>500</v>
      </c>
      <c r="Z288" s="867">
        <f>S288*V288</f>
        <v>500000</v>
      </c>
      <c r="AA288" s="1073">
        <f t="shared" si="31"/>
        <v>0</v>
      </c>
      <c r="AB288" s="915"/>
      <c r="AC288" s="915"/>
    </row>
    <row r="289" spans="1:29" s="709" customFormat="1" ht="23.45" customHeight="1">
      <c r="A289" s="673"/>
      <c r="B289" s="674"/>
      <c r="C289" s="948"/>
      <c r="D289" s="1981"/>
      <c r="E289" s="851" t="s">
        <v>120</v>
      </c>
      <c r="F289" s="941">
        <f>ROUNDUP(+Z289/1000,0)</f>
        <v>4000</v>
      </c>
      <c r="G289" s="941">
        <v>4000</v>
      </c>
      <c r="H289" s="1239"/>
      <c r="I289" s="734"/>
      <c r="J289" s="943" t="s">
        <v>2695</v>
      </c>
      <c r="K289" s="944"/>
      <c r="L289" s="944"/>
      <c r="M289" s="944"/>
      <c r="N289" s="945"/>
      <c r="O289" s="945"/>
      <c r="P289" s="944"/>
      <c r="Q289" s="946"/>
      <c r="R289" s="867"/>
      <c r="S289" s="867"/>
      <c r="T289" s="867"/>
      <c r="U289" s="867"/>
      <c r="V289" s="867"/>
      <c r="W289" s="867"/>
      <c r="X289" s="870"/>
      <c r="Y289" s="1028">
        <v>4000</v>
      </c>
      <c r="Z289" s="867">
        <v>4000000</v>
      </c>
      <c r="AA289" s="1073">
        <f t="shared" si="31"/>
        <v>4000000000</v>
      </c>
      <c r="AB289" s="915"/>
      <c r="AC289" s="915"/>
    </row>
    <row r="290" spans="1:29" s="931" customFormat="1" ht="23.45" customHeight="1">
      <c r="A290" s="673"/>
      <c r="B290" s="674"/>
      <c r="C290" s="948"/>
      <c r="D290" s="917"/>
      <c r="E290" s="851"/>
      <c r="F290" s="941"/>
      <c r="G290" s="941"/>
      <c r="H290" s="1239"/>
      <c r="I290" s="734"/>
      <c r="J290" s="943" t="s">
        <v>3072</v>
      </c>
      <c r="K290" s="944"/>
      <c r="L290" s="944"/>
      <c r="M290" s="944"/>
      <c r="N290" s="945"/>
      <c r="O290" s="945"/>
      <c r="P290" s="944"/>
      <c r="Q290" s="1467"/>
      <c r="R290" s="867"/>
      <c r="S290" s="868">
        <v>100000</v>
      </c>
      <c r="T290" s="867" t="s">
        <v>0</v>
      </c>
      <c r="U290" s="867"/>
      <c r="V290" s="867">
        <v>10</v>
      </c>
      <c r="W290" s="867" t="s">
        <v>144</v>
      </c>
      <c r="X290" s="870" t="s">
        <v>1</v>
      </c>
      <c r="Y290" s="1028">
        <f t="shared" ref="Y290:Y298" si="33">+Z290/1000</f>
        <v>1000</v>
      </c>
      <c r="Z290" s="867">
        <f>S290*V290</f>
        <v>1000000</v>
      </c>
      <c r="AA290" s="1073">
        <f t="shared" si="31"/>
        <v>0</v>
      </c>
      <c r="AB290" s="930"/>
      <c r="AC290" s="930"/>
    </row>
    <row r="291" spans="1:29" s="931" customFormat="1" ht="23.45" customHeight="1">
      <c r="A291" s="673"/>
      <c r="B291" s="674"/>
      <c r="C291" s="948"/>
      <c r="D291" s="1981"/>
      <c r="E291" s="851"/>
      <c r="F291" s="941"/>
      <c r="G291" s="941"/>
      <c r="H291" s="949"/>
      <c r="I291" s="734"/>
      <c r="J291" s="943" t="s">
        <v>3073</v>
      </c>
      <c r="K291" s="944"/>
      <c r="L291" s="944"/>
      <c r="M291" s="944"/>
      <c r="N291" s="945"/>
      <c r="O291" s="945"/>
      <c r="P291" s="944"/>
      <c r="Q291" s="1467"/>
      <c r="R291" s="867"/>
      <c r="S291" s="868">
        <v>50000</v>
      </c>
      <c r="T291" s="867" t="s">
        <v>0</v>
      </c>
      <c r="U291" s="867"/>
      <c r="V291" s="867">
        <v>60</v>
      </c>
      <c r="W291" s="867" t="s">
        <v>122</v>
      </c>
      <c r="X291" s="870" t="s">
        <v>1</v>
      </c>
      <c r="Y291" s="1028">
        <f t="shared" si="33"/>
        <v>3000</v>
      </c>
      <c r="Z291" s="867">
        <f>S291*V291</f>
        <v>3000000</v>
      </c>
      <c r="AA291" s="1073">
        <f t="shared" si="31"/>
        <v>0</v>
      </c>
      <c r="AB291" s="930"/>
      <c r="AC291" s="930"/>
    </row>
    <row r="292" spans="1:29" s="931" customFormat="1" ht="23.45" customHeight="1">
      <c r="A292" s="673"/>
      <c r="B292" s="674"/>
      <c r="C292" s="948"/>
      <c r="D292" s="948"/>
      <c r="E292" s="675" t="s">
        <v>2694</v>
      </c>
      <c r="F292" s="941">
        <f>SUM(Y292)</f>
        <v>2100</v>
      </c>
      <c r="G292" s="1261">
        <v>2100</v>
      </c>
      <c r="H292" s="1239"/>
      <c r="I292" s="734"/>
      <c r="J292" s="1002" t="s">
        <v>3074</v>
      </c>
      <c r="K292" s="953"/>
      <c r="L292" s="953"/>
      <c r="M292" s="953"/>
      <c r="N292" s="951"/>
      <c r="O292" s="951"/>
      <c r="P292" s="951"/>
      <c r="Q292" s="992"/>
      <c r="R292" s="685"/>
      <c r="S292" s="868">
        <v>2100000</v>
      </c>
      <c r="T292" s="867" t="s">
        <v>2702</v>
      </c>
      <c r="U292" s="867"/>
      <c r="V292" s="867">
        <v>1</v>
      </c>
      <c r="W292" s="867" t="s">
        <v>2703</v>
      </c>
      <c r="X292" s="870" t="s">
        <v>2675</v>
      </c>
      <c r="Y292" s="1028">
        <f t="shared" si="33"/>
        <v>2100</v>
      </c>
      <c r="Z292" s="867">
        <f>S292*V292</f>
        <v>2100000</v>
      </c>
      <c r="AA292" s="1073">
        <f t="shared" si="31"/>
        <v>2100000000</v>
      </c>
      <c r="AB292" s="930"/>
      <c r="AC292" s="930"/>
    </row>
    <row r="293" spans="1:29" s="709" customFormat="1" ht="23.45" customHeight="1">
      <c r="A293" s="673"/>
      <c r="B293" s="674"/>
      <c r="C293" s="948"/>
      <c r="D293" s="1981"/>
      <c r="E293" s="851" t="s">
        <v>71</v>
      </c>
      <c r="F293" s="941">
        <f>ROUNDUP(+Z293/1000,0)</f>
        <v>2000</v>
      </c>
      <c r="G293" s="941">
        <v>2000</v>
      </c>
      <c r="H293" s="1239"/>
      <c r="I293" s="734"/>
      <c r="J293" s="1002" t="s">
        <v>2695</v>
      </c>
      <c r="K293" s="953"/>
      <c r="L293" s="953"/>
      <c r="M293" s="953"/>
      <c r="N293" s="951"/>
      <c r="O293" s="951"/>
      <c r="P293" s="951"/>
      <c r="Q293" s="992"/>
      <c r="R293" s="685"/>
      <c r="S293" s="685" t="s">
        <v>20</v>
      </c>
      <c r="T293" s="684" t="s">
        <v>20</v>
      </c>
      <c r="U293" s="684" t="s">
        <v>20</v>
      </c>
      <c r="V293" s="684" t="s">
        <v>20</v>
      </c>
      <c r="W293" s="684" t="s">
        <v>20</v>
      </c>
      <c r="X293" s="686" t="s">
        <v>20</v>
      </c>
      <c r="Y293" s="1028">
        <f t="shared" si="33"/>
        <v>2000</v>
      </c>
      <c r="Z293" s="993">
        <f>SUM(Z294:Z295)</f>
        <v>2000000</v>
      </c>
      <c r="AA293" s="1073">
        <f t="shared" si="31"/>
        <v>2000000000</v>
      </c>
      <c r="AB293" s="915"/>
      <c r="AC293" s="915"/>
    </row>
    <row r="294" spans="1:29" s="931" customFormat="1" ht="23.45" customHeight="1">
      <c r="A294" s="673"/>
      <c r="B294" s="674"/>
      <c r="C294" s="948"/>
      <c r="D294" s="1981"/>
      <c r="E294" s="851"/>
      <c r="F294" s="941"/>
      <c r="G294" s="941"/>
      <c r="H294" s="949"/>
      <c r="I294" s="734"/>
      <c r="J294" s="1002" t="s">
        <v>3075</v>
      </c>
      <c r="K294" s="953"/>
      <c r="L294" s="953"/>
      <c r="M294" s="953"/>
      <c r="N294" s="951"/>
      <c r="O294" s="1446"/>
      <c r="P294" s="685"/>
      <c r="Q294" s="1446"/>
      <c r="R294" s="685"/>
      <c r="S294" s="868">
        <v>560000</v>
      </c>
      <c r="T294" s="867" t="s">
        <v>0</v>
      </c>
      <c r="U294" s="867"/>
      <c r="V294" s="867">
        <v>1</v>
      </c>
      <c r="W294" s="867" t="s">
        <v>6</v>
      </c>
      <c r="X294" s="870" t="s">
        <v>1</v>
      </c>
      <c r="Y294" s="1028">
        <f t="shared" si="33"/>
        <v>560</v>
      </c>
      <c r="Z294" s="867">
        <f>S294*V294</f>
        <v>560000</v>
      </c>
      <c r="AA294" s="1073">
        <f t="shared" si="31"/>
        <v>0</v>
      </c>
      <c r="AB294" s="930"/>
      <c r="AC294" s="930"/>
    </row>
    <row r="295" spans="1:29" s="931" customFormat="1" ht="23.45" customHeight="1">
      <c r="A295" s="673"/>
      <c r="B295" s="674"/>
      <c r="C295" s="948"/>
      <c r="D295" s="1981"/>
      <c r="E295" s="851"/>
      <c r="F295" s="941"/>
      <c r="G295" s="941"/>
      <c r="H295" s="949"/>
      <c r="I295" s="734"/>
      <c r="J295" s="1002" t="s">
        <v>3076</v>
      </c>
      <c r="K295" s="953"/>
      <c r="L295" s="953"/>
      <c r="M295" s="953"/>
      <c r="N295" s="951"/>
      <c r="O295" s="1446"/>
      <c r="P295" s="685"/>
      <c r="Q295" s="1446"/>
      <c r="R295" s="685"/>
      <c r="S295" s="868">
        <v>120000</v>
      </c>
      <c r="T295" s="867" t="s">
        <v>0</v>
      </c>
      <c r="U295" s="867"/>
      <c r="V295" s="867">
        <v>12</v>
      </c>
      <c r="W295" s="867" t="s">
        <v>3029</v>
      </c>
      <c r="X295" s="870" t="s">
        <v>1</v>
      </c>
      <c r="Y295" s="1028">
        <f t="shared" si="33"/>
        <v>1440</v>
      </c>
      <c r="Z295" s="867">
        <f>S295*V295</f>
        <v>1440000</v>
      </c>
      <c r="AA295" s="1073">
        <f t="shared" si="31"/>
        <v>0</v>
      </c>
      <c r="AB295" s="930"/>
      <c r="AC295" s="930"/>
    </row>
    <row r="296" spans="1:29" s="931" customFormat="1" ht="23.45" customHeight="1">
      <c r="A296" s="673"/>
      <c r="B296" s="674"/>
      <c r="C296" s="948"/>
      <c r="D296" s="709"/>
      <c r="E296" s="851" t="s">
        <v>70</v>
      </c>
      <c r="F296" s="941">
        <f>ROUNDUP(+Z296/1000,0)</f>
        <v>4500</v>
      </c>
      <c r="G296" s="941">
        <v>4500</v>
      </c>
      <c r="H296" s="1239"/>
      <c r="I296" s="734"/>
      <c r="J296" s="943" t="s">
        <v>3077</v>
      </c>
      <c r="K296" s="953"/>
      <c r="L296" s="953"/>
      <c r="M296" s="953"/>
      <c r="N296" s="951"/>
      <c r="O296" s="951"/>
      <c r="P296" s="951"/>
      <c r="Q296" s="1446"/>
      <c r="R296" s="685"/>
      <c r="S296" s="868">
        <v>375000</v>
      </c>
      <c r="T296" s="867" t="s">
        <v>0</v>
      </c>
      <c r="U296" s="867"/>
      <c r="V296" s="867">
        <v>12</v>
      </c>
      <c r="W296" s="867" t="s">
        <v>2</v>
      </c>
      <c r="X296" s="870" t="s">
        <v>1</v>
      </c>
      <c r="Y296" s="1028">
        <f t="shared" si="33"/>
        <v>4500</v>
      </c>
      <c r="Z296" s="867">
        <f>S296*V296</f>
        <v>4500000</v>
      </c>
      <c r="AA296" s="1073">
        <f t="shared" si="31"/>
        <v>4500000000</v>
      </c>
      <c r="AB296" s="930"/>
      <c r="AC296" s="930"/>
    </row>
    <row r="297" spans="1:29" s="709" customFormat="1" ht="23.45" customHeight="1">
      <c r="A297" s="673"/>
      <c r="B297" s="674"/>
      <c r="C297" s="948"/>
      <c r="D297" s="1981"/>
      <c r="E297" s="851" t="s">
        <v>60</v>
      </c>
      <c r="F297" s="941">
        <f>ROUNDUP(+Z297/1000,0)</f>
        <v>200</v>
      </c>
      <c r="G297" s="941">
        <v>200</v>
      </c>
      <c r="H297" s="1239"/>
      <c r="I297" s="734"/>
      <c r="J297" s="943" t="s">
        <v>3078</v>
      </c>
      <c r="K297" s="953"/>
      <c r="L297" s="953"/>
      <c r="M297" s="953"/>
      <c r="N297" s="951"/>
      <c r="O297" s="951"/>
      <c r="P297" s="951"/>
      <c r="Q297" s="1446"/>
      <c r="R297" s="685"/>
      <c r="S297" s="868">
        <v>10000</v>
      </c>
      <c r="T297" s="867" t="s">
        <v>0</v>
      </c>
      <c r="U297" s="867"/>
      <c r="V297" s="867">
        <v>20</v>
      </c>
      <c r="W297" s="867" t="s">
        <v>3</v>
      </c>
      <c r="X297" s="870" t="s">
        <v>1</v>
      </c>
      <c r="Y297" s="1028">
        <f t="shared" si="33"/>
        <v>200</v>
      </c>
      <c r="Z297" s="867">
        <f>S297*V297</f>
        <v>200000</v>
      </c>
      <c r="AA297" s="1073">
        <f t="shared" si="31"/>
        <v>200000000</v>
      </c>
      <c r="AB297" s="915"/>
      <c r="AC297" s="915"/>
    </row>
    <row r="298" spans="1:29" s="709" customFormat="1" ht="23.45" customHeight="1">
      <c r="A298" s="673"/>
      <c r="B298" s="674"/>
      <c r="C298" s="948"/>
      <c r="D298" s="1981"/>
      <c r="E298" s="851" t="s">
        <v>62</v>
      </c>
      <c r="F298" s="941">
        <f>ROUNDUP(+Z298/1000,0)</f>
        <v>600</v>
      </c>
      <c r="G298" s="941">
        <v>600</v>
      </c>
      <c r="H298" s="1239"/>
      <c r="I298" s="734"/>
      <c r="J298" s="943" t="s">
        <v>3079</v>
      </c>
      <c r="K298" s="953"/>
      <c r="L298" s="953"/>
      <c r="M298" s="953"/>
      <c r="N298" s="951"/>
      <c r="O298" s="951"/>
      <c r="P298" s="951"/>
      <c r="Q298" s="1446">
        <v>5</v>
      </c>
      <c r="R298" s="685" t="s">
        <v>142</v>
      </c>
      <c r="S298" s="868">
        <v>10000</v>
      </c>
      <c r="T298" s="867" t="s">
        <v>0</v>
      </c>
      <c r="U298" s="867"/>
      <c r="V298" s="867">
        <v>12</v>
      </c>
      <c r="W298" s="867" t="s">
        <v>3</v>
      </c>
      <c r="X298" s="870" t="s">
        <v>1</v>
      </c>
      <c r="Y298" s="1028">
        <f t="shared" si="33"/>
        <v>600</v>
      </c>
      <c r="Z298" s="867">
        <f>Q298*S298*V298</f>
        <v>600000</v>
      </c>
      <c r="AA298" s="1073">
        <f t="shared" si="31"/>
        <v>600000000</v>
      </c>
      <c r="AB298" s="915"/>
      <c r="AC298" s="915"/>
    </row>
    <row r="299" spans="1:29" s="709" customFormat="1" ht="21" customHeight="1">
      <c r="A299" s="673"/>
      <c r="B299" s="674"/>
      <c r="C299" s="948"/>
      <c r="D299" s="3955" t="s">
        <v>3080</v>
      </c>
      <c r="E299" s="3883"/>
      <c r="F299" s="1479">
        <f>SUM(F300:F316)</f>
        <v>70000</v>
      </c>
      <c r="G299" s="955">
        <f>SUM(G300:G316)</f>
        <v>70000</v>
      </c>
      <c r="H299" s="933">
        <f>F299-G299</f>
        <v>0</v>
      </c>
      <c r="I299" s="734"/>
      <c r="J299" s="1031"/>
      <c r="K299" s="1032"/>
      <c r="L299" s="1032"/>
      <c r="M299" s="1032"/>
      <c r="N299" s="1032"/>
      <c r="O299" s="1032"/>
      <c r="P299" s="1032"/>
      <c r="Q299" s="937"/>
      <c r="R299" s="1033"/>
      <c r="S299" s="1973"/>
      <c r="T299" s="1033"/>
      <c r="U299" s="1973"/>
      <c r="V299" s="1033"/>
      <c r="W299" s="1973"/>
      <c r="X299" s="1973"/>
      <c r="Y299" s="939"/>
      <c r="Z299" s="736" t="e">
        <f>Z300+Z304+Z308+Z311+Z312+#REF!+Z313+Z314+Z315+Z316</f>
        <v>#REF!</v>
      </c>
      <c r="AA299" s="1073">
        <f t="shared" si="31"/>
        <v>70000000000</v>
      </c>
      <c r="AB299" s="915"/>
      <c r="AC299" s="915"/>
    </row>
    <row r="300" spans="1:29" s="709" customFormat="1" ht="21" customHeight="1">
      <c r="A300" s="673"/>
      <c r="B300" s="674"/>
      <c r="C300" s="948"/>
      <c r="E300" s="675" t="s">
        <v>4106</v>
      </c>
      <c r="F300" s="941">
        <f>+Y300</f>
        <v>34500</v>
      </c>
      <c r="G300" s="1261">
        <v>34500</v>
      </c>
      <c r="H300" s="3169"/>
      <c r="I300" s="734"/>
      <c r="J300" s="943" t="s">
        <v>4102</v>
      </c>
      <c r="K300" s="3172"/>
      <c r="L300" s="3172"/>
      <c r="M300" s="3172"/>
      <c r="N300" s="3171"/>
      <c r="O300" s="3171"/>
      <c r="P300" s="3171"/>
      <c r="Q300" s="3177"/>
      <c r="R300" s="3229"/>
      <c r="S300" s="3164"/>
      <c r="T300" s="3163"/>
      <c r="U300" s="3163"/>
      <c r="V300" s="3163"/>
      <c r="W300" s="3163"/>
      <c r="X300" s="3165"/>
      <c r="Y300" s="3175">
        <f>+Y301+Y302+Y303</f>
        <v>34500</v>
      </c>
      <c r="Z300" s="3163">
        <f>SUM(Z301:Z303)</f>
        <v>34500000</v>
      </c>
      <c r="AA300" s="1073">
        <f t="shared" si="31"/>
        <v>34500000000</v>
      </c>
      <c r="AB300" s="915"/>
      <c r="AC300" s="915"/>
    </row>
    <row r="301" spans="1:29" s="709" customFormat="1" ht="21" customHeight="1">
      <c r="A301" s="673"/>
      <c r="B301" s="674"/>
      <c r="C301" s="948"/>
      <c r="E301" s="675"/>
      <c r="F301" s="941"/>
      <c r="G301" s="1261"/>
      <c r="H301" s="1239"/>
      <c r="I301" s="734"/>
      <c r="J301" s="943" t="s">
        <v>4107</v>
      </c>
      <c r="K301" s="3172"/>
      <c r="L301" s="3172"/>
      <c r="M301" s="3172"/>
      <c r="N301" s="3171"/>
      <c r="O301" s="3171"/>
      <c r="P301" s="3171"/>
      <c r="Q301" s="3177">
        <v>1</v>
      </c>
      <c r="R301" s="3229" t="s">
        <v>4104</v>
      </c>
      <c r="S301" s="3164">
        <v>2000000</v>
      </c>
      <c r="T301" s="3163" t="s">
        <v>4073</v>
      </c>
      <c r="U301" s="3163"/>
      <c r="V301" s="3163">
        <v>12</v>
      </c>
      <c r="W301" s="3163" t="s">
        <v>4108</v>
      </c>
      <c r="X301" s="3165" t="s">
        <v>4087</v>
      </c>
      <c r="Y301" s="3175">
        <f>+Z301/1000</f>
        <v>24000</v>
      </c>
      <c r="Z301" s="3163">
        <f>Q301*S301*V301</f>
        <v>24000000</v>
      </c>
      <c r="AA301" s="1073">
        <f t="shared" si="31"/>
        <v>0</v>
      </c>
      <c r="AB301" s="915"/>
      <c r="AC301" s="915"/>
    </row>
    <row r="302" spans="1:29" s="709" customFormat="1" ht="21" customHeight="1">
      <c r="A302" s="673"/>
      <c r="B302" s="674"/>
      <c r="C302" s="948"/>
      <c r="E302" s="675"/>
      <c r="F302" s="941"/>
      <c r="G302" s="1261"/>
      <c r="H302" s="1239"/>
      <c r="I302" s="734"/>
      <c r="J302" s="943" t="s">
        <v>4109</v>
      </c>
      <c r="K302" s="3172"/>
      <c r="L302" s="3172"/>
      <c r="M302" s="3172"/>
      <c r="N302" s="3171"/>
      <c r="O302" s="3171"/>
      <c r="P302" s="3171"/>
      <c r="Q302" s="3177" t="s">
        <v>4088</v>
      </c>
      <c r="R302" s="3229" t="s">
        <v>4088</v>
      </c>
      <c r="S302" s="3164">
        <v>2000000</v>
      </c>
      <c r="T302" s="3163" t="s">
        <v>4073</v>
      </c>
      <c r="U302" s="3163"/>
      <c r="V302" s="3163">
        <v>1</v>
      </c>
      <c r="W302" s="3163" t="s">
        <v>4110</v>
      </c>
      <c r="X302" s="3165" t="s">
        <v>4087</v>
      </c>
      <c r="Y302" s="3175">
        <f>+S302*V302/1000</f>
        <v>2000</v>
      </c>
      <c r="Z302" s="3163">
        <f>S302*V302</f>
        <v>2000000</v>
      </c>
      <c r="AA302" s="1073">
        <f t="shared" si="31"/>
        <v>0</v>
      </c>
      <c r="AB302" s="915"/>
      <c r="AC302" s="915"/>
    </row>
    <row r="303" spans="1:29" s="709" customFormat="1" ht="21" customHeight="1">
      <c r="A303" s="673"/>
      <c r="B303" s="674"/>
      <c r="C303" s="948"/>
      <c r="E303" s="675"/>
      <c r="F303" s="941"/>
      <c r="G303" s="1261"/>
      <c r="H303" s="1239"/>
      <c r="I303" s="734"/>
      <c r="J303" s="943" t="s">
        <v>4111</v>
      </c>
      <c r="K303" s="3172"/>
      <c r="L303" s="3172"/>
      <c r="M303" s="3172"/>
      <c r="N303" s="3171"/>
      <c r="O303" s="3171"/>
      <c r="P303" s="3171"/>
      <c r="Q303" s="3177">
        <v>1</v>
      </c>
      <c r="R303" s="3229" t="s">
        <v>4104</v>
      </c>
      <c r="S303" s="3164">
        <v>2125000</v>
      </c>
      <c r="T303" s="3163" t="s">
        <v>4073</v>
      </c>
      <c r="U303" s="3163"/>
      <c r="V303" s="3163">
        <v>4</v>
      </c>
      <c r="W303" s="3163" t="s">
        <v>4108</v>
      </c>
      <c r="X303" s="3165" t="s">
        <v>4087</v>
      </c>
      <c r="Y303" s="3175">
        <f t="shared" ref="Y303:Y316" si="34">+Z303/1000</f>
        <v>8500</v>
      </c>
      <c r="Z303" s="3163">
        <f>Q303*S303*V303</f>
        <v>8500000</v>
      </c>
      <c r="AA303" s="1073">
        <f t="shared" si="31"/>
        <v>0</v>
      </c>
      <c r="AB303" s="915"/>
      <c r="AC303" s="915"/>
    </row>
    <row r="304" spans="1:29" s="709" customFormat="1" ht="21" customHeight="1">
      <c r="A304" s="673"/>
      <c r="B304" s="674"/>
      <c r="C304" s="948"/>
      <c r="D304" s="675"/>
      <c r="E304" s="675" t="s">
        <v>4112</v>
      </c>
      <c r="F304" s="941">
        <f>ROUNDUP(Z304/1000,0)</f>
        <v>21450</v>
      </c>
      <c r="G304" s="1261">
        <v>21450</v>
      </c>
      <c r="H304" s="1239"/>
      <c r="I304" s="734"/>
      <c r="J304" s="3174" t="s">
        <v>4102</v>
      </c>
      <c r="K304" s="3172"/>
      <c r="L304" s="3172"/>
      <c r="M304" s="3172"/>
      <c r="N304" s="3171"/>
      <c r="O304" s="3171"/>
      <c r="P304" s="3171"/>
      <c r="Q304" s="992"/>
      <c r="R304" s="3229"/>
      <c r="S304" s="3229" t="s">
        <v>4113</v>
      </c>
      <c r="T304" s="684" t="s">
        <v>4113</v>
      </c>
      <c r="U304" s="684" t="s">
        <v>4113</v>
      </c>
      <c r="V304" s="684" t="s">
        <v>4113</v>
      </c>
      <c r="W304" s="684" t="s">
        <v>4113</v>
      </c>
      <c r="X304" s="686" t="s">
        <v>4113</v>
      </c>
      <c r="Y304" s="3175">
        <f t="shared" si="34"/>
        <v>21450</v>
      </c>
      <c r="Z304" s="993">
        <f>SUM(Z305:Z307)</f>
        <v>21450000</v>
      </c>
      <c r="AA304" s="1073">
        <f t="shared" si="31"/>
        <v>21450000000</v>
      </c>
      <c r="AB304" s="915"/>
      <c r="AC304" s="915"/>
    </row>
    <row r="305" spans="1:29" s="709" customFormat="1" ht="21" customHeight="1">
      <c r="A305" s="673"/>
      <c r="B305" s="674"/>
      <c r="C305" s="948"/>
      <c r="D305" s="948"/>
      <c r="E305" s="675"/>
      <c r="F305" s="941"/>
      <c r="G305" s="1261"/>
      <c r="H305" s="1239"/>
      <c r="I305" s="734"/>
      <c r="J305" s="3174" t="s">
        <v>4114</v>
      </c>
      <c r="K305" s="3172"/>
      <c r="L305" s="3172"/>
      <c r="M305" s="3172"/>
      <c r="N305" s="3171"/>
      <c r="O305" s="3171"/>
      <c r="P305" s="3171"/>
      <c r="Q305" s="3177"/>
      <c r="R305" s="3229"/>
      <c r="S305" s="3164">
        <v>2050000</v>
      </c>
      <c r="T305" s="3163" t="s">
        <v>4073</v>
      </c>
      <c r="U305" s="3163"/>
      <c r="V305" s="3163">
        <v>5</v>
      </c>
      <c r="W305" s="3163" t="s">
        <v>4090</v>
      </c>
      <c r="X305" s="3165" t="s">
        <v>4087</v>
      </c>
      <c r="Y305" s="3175">
        <f t="shared" si="34"/>
        <v>10250</v>
      </c>
      <c r="Z305" s="3163">
        <f>S305*V305</f>
        <v>10250000</v>
      </c>
      <c r="AA305" s="1073">
        <f t="shared" si="31"/>
        <v>0</v>
      </c>
      <c r="AB305" s="915"/>
      <c r="AC305" s="915"/>
    </row>
    <row r="306" spans="1:29" s="709" customFormat="1" ht="21" customHeight="1">
      <c r="A306" s="673"/>
      <c r="B306" s="674"/>
      <c r="C306" s="948"/>
      <c r="D306" s="948"/>
      <c r="E306" s="675"/>
      <c r="F306" s="941"/>
      <c r="G306" s="1261"/>
      <c r="H306" s="1239"/>
      <c r="I306" s="734"/>
      <c r="J306" s="3174" t="s">
        <v>4115</v>
      </c>
      <c r="K306" s="3172"/>
      <c r="L306" s="3172"/>
      <c r="M306" s="3172"/>
      <c r="N306" s="3171"/>
      <c r="O306" s="3171"/>
      <c r="P306" s="3171"/>
      <c r="Q306" s="3177"/>
      <c r="R306" s="3229"/>
      <c r="S306" s="3164">
        <v>1400000</v>
      </c>
      <c r="T306" s="3163" t="s">
        <v>4073</v>
      </c>
      <c r="U306" s="3163"/>
      <c r="V306" s="3163">
        <v>5</v>
      </c>
      <c r="W306" s="3163" t="s">
        <v>4116</v>
      </c>
      <c r="X306" s="3165" t="s">
        <v>4087</v>
      </c>
      <c r="Y306" s="3175">
        <f t="shared" si="34"/>
        <v>7000</v>
      </c>
      <c r="Z306" s="3163">
        <f>S306*V306</f>
        <v>7000000</v>
      </c>
      <c r="AA306" s="1073">
        <f t="shared" si="31"/>
        <v>0</v>
      </c>
      <c r="AB306" s="915"/>
      <c r="AC306" s="915"/>
    </row>
    <row r="307" spans="1:29" s="709" customFormat="1" ht="21" customHeight="1">
      <c r="A307" s="673"/>
      <c r="B307" s="674"/>
      <c r="C307" s="948"/>
      <c r="D307" s="948"/>
      <c r="E307" s="675"/>
      <c r="F307" s="941"/>
      <c r="G307" s="1261"/>
      <c r="H307" s="1239"/>
      <c r="I307" s="734"/>
      <c r="J307" s="3174" t="s">
        <v>4117</v>
      </c>
      <c r="K307" s="3172"/>
      <c r="L307" s="3172"/>
      <c r="M307" s="3172"/>
      <c r="N307" s="3171"/>
      <c r="O307" s="3171"/>
      <c r="P307" s="3171"/>
      <c r="Q307" s="3177"/>
      <c r="R307" s="3229"/>
      <c r="S307" s="3164">
        <v>600000</v>
      </c>
      <c r="T307" s="3163" t="s">
        <v>4073</v>
      </c>
      <c r="U307" s="3163"/>
      <c r="V307" s="3163">
        <v>7</v>
      </c>
      <c r="W307" s="3163" t="s">
        <v>4116</v>
      </c>
      <c r="X307" s="3165" t="s">
        <v>4087</v>
      </c>
      <c r="Y307" s="3175">
        <f t="shared" si="34"/>
        <v>4200</v>
      </c>
      <c r="Z307" s="3163">
        <f>S307*V307</f>
        <v>4200000</v>
      </c>
      <c r="AA307" s="1073">
        <f t="shared" si="31"/>
        <v>0</v>
      </c>
      <c r="AB307" s="915"/>
      <c r="AC307" s="915"/>
    </row>
    <row r="308" spans="1:29" s="709" customFormat="1" ht="21" customHeight="1">
      <c r="A308" s="673"/>
      <c r="B308" s="674"/>
      <c r="C308" s="948"/>
      <c r="D308" s="948"/>
      <c r="E308" s="675" t="s">
        <v>4091</v>
      </c>
      <c r="F308" s="941">
        <f>ROUNDUP(+Z308/1000,0)</f>
        <v>7500</v>
      </c>
      <c r="G308" s="1261">
        <v>7500</v>
      </c>
      <c r="H308" s="1239"/>
      <c r="I308" s="734"/>
      <c r="J308" s="3174" t="s">
        <v>4102</v>
      </c>
      <c r="K308" s="3172"/>
      <c r="L308" s="3172"/>
      <c r="M308" s="3172"/>
      <c r="N308" s="3171"/>
      <c r="O308" s="3171"/>
      <c r="P308" s="3171"/>
      <c r="Q308" s="1038"/>
      <c r="R308" s="3229"/>
      <c r="S308" s="3164"/>
      <c r="T308" s="3163"/>
      <c r="U308" s="3163"/>
      <c r="V308" s="3163"/>
      <c r="W308" s="3163"/>
      <c r="X308" s="3165"/>
      <c r="Y308" s="3175">
        <f t="shared" si="34"/>
        <v>7500</v>
      </c>
      <c r="Z308" s="3163">
        <f>SUM(Z309:Z310)</f>
        <v>7500000</v>
      </c>
      <c r="AA308" s="1073">
        <f t="shared" si="31"/>
        <v>7500000000</v>
      </c>
      <c r="AB308" s="915"/>
      <c r="AC308" s="915"/>
    </row>
    <row r="309" spans="1:29" s="3113" customFormat="1" ht="21" customHeight="1">
      <c r="A309" s="3114"/>
      <c r="B309" s="674"/>
      <c r="C309" s="948"/>
      <c r="E309" s="675"/>
      <c r="F309" s="941"/>
      <c r="G309" s="1261"/>
      <c r="H309" s="1239"/>
      <c r="I309" s="734"/>
      <c r="J309" s="3174" t="s">
        <v>4118</v>
      </c>
      <c r="K309" s="3172"/>
      <c r="L309" s="3172"/>
      <c r="M309" s="3172"/>
      <c r="N309" s="3171"/>
      <c r="O309" s="3171"/>
      <c r="P309" s="3171"/>
      <c r="Q309" s="1038">
        <v>10000</v>
      </c>
      <c r="R309" s="3229" t="s">
        <v>4119</v>
      </c>
      <c r="S309" s="3164">
        <v>300</v>
      </c>
      <c r="T309" s="3163" t="s">
        <v>4073</v>
      </c>
      <c r="U309" s="3163"/>
      <c r="V309" s="3163">
        <v>2</v>
      </c>
      <c r="W309" s="3163" t="s">
        <v>4090</v>
      </c>
      <c r="X309" s="3165" t="s">
        <v>4087</v>
      </c>
      <c r="Y309" s="3175">
        <f t="shared" si="34"/>
        <v>6000</v>
      </c>
      <c r="Z309" s="3163">
        <f>Q309*S309*V309</f>
        <v>6000000</v>
      </c>
      <c r="AA309" s="1073">
        <f t="shared" si="31"/>
        <v>0</v>
      </c>
      <c r="AB309" s="915"/>
      <c r="AC309" s="915"/>
    </row>
    <row r="310" spans="1:29" s="709" customFormat="1" ht="21" customHeight="1">
      <c r="A310" s="673"/>
      <c r="B310" s="674"/>
      <c r="C310" s="948"/>
      <c r="E310" s="675"/>
      <c r="F310" s="941"/>
      <c r="G310" s="1261"/>
      <c r="H310" s="1239"/>
      <c r="I310" s="734"/>
      <c r="J310" s="3174" t="s">
        <v>4120</v>
      </c>
      <c r="K310" s="3172"/>
      <c r="L310" s="3172"/>
      <c r="M310" s="3172"/>
      <c r="N310" s="3171"/>
      <c r="O310" s="3171"/>
      <c r="P310" s="3171"/>
      <c r="Q310" s="1038">
        <v>10000</v>
      </c>
      <c r="R310" s="3229" t="s">
        <v>4119</v>
      </c>
      <c r="S310" s="3164">
        <v>50</v>
      </c>
      <c r="T310" s="3163" t="s">
        <v>4073</v>
      </c>
      <c r="U310" s="3163"/>
      <c r="V310" s="3163">
        <v>3</v>
      </c>
      <c r="W310" s="3163" t="s">
        <v>4090</v>
      </c>
      <c r="X310" s="3165" t="s">
        <v>4087</v>
      </c>
      <c r="Y310" s="3175">
        <f t="shared" si="34"/>
        <v>1500</v>
      </c>
      <c r="Z310" s="3163">
        <f>Q310*S310*V310</f>
        <v>1500000</v>
      </c>
      <c r="AA310" s="1073">
        <f t="shared" si="31"/>
        <v>0</v>
      </c>
      <c r="AB310" s="915"/>
      <c r="AC310" s="915"/>
    </row>
    <row r="311" spans="1:29" s="709" customFormat="1" ht="21" customHeight="1">
      <c r="A311" s="673"/>
      <c r="B311" s="674"/>
      <c r="C311" s="948"/>
      <c r="E311" s="675" t="s">
        <v>4075</v>
      </c>
      <c r="F311" s="941">
        <f t="shared" ref="F311:F316" si="35">ROUNDUP(+Z311/1000,0)</f>
        <v>900</v>
      </c>
      <c r="G311" s="1261">
        <v>900</v>
      </c>
      <c r="H311" s="1239"/>
      <c r="I311" s="734"/>
      <c r="J311" s="943" t="s">
        <v>4121</v>
      </c>
      <c r="K311" s="3172"/>
      <c r="L311" s="3172"/>
      <c r="M311" s="3172"/>
      <c r="N311" s="3171"/>
      <c r="O311" s="3171"/>
      <c r="P311" s="3171"/>
      <c r="Q311" s="3177"/>
      <c r="R311" s="3229"/>
      <c r="S311" s="3164">
        <v>90000</v>
      </c>
      <c r="T311" s="3163" t="s">
        <v>4073</v>
      </c>
      <c r="U311" s="3163"/>
      <c r="V311" s="3163">
        <v>10</v>
      </c>
      <c r="W311" s="3163" t="s">
        <v>4090</v>
      </c>
      <c r="X311" s="3165" t="s">
        <v>4087</v>
      </c>
      <c r="Y311" s="3175">
        <f t="shared" si="34"/>
        <v>900</v>
      </c>
      <c r="Z311" s="3163">
        <f>S311*V311</f>
        <v>900000</v>
      </c>
      <c r="AA311" s="1073">
        <f t="shared" si="31"/>
        <v>900000000</v>
      </c>
      <c r="AB311" s="915"/>
      <c r="AC311" s="915"/>
    </row>
    <row r="312" spans="1:29" s="709" customFormat="1" ht="21" customHeight="1">
      <c r="A312" s="673"/>
      <c r="B312" s="674"/>
      <c r="C312" s="948"/>
      <c r="E312" s="675" t="s">
        <v>4076</v>
      </c>
      <c r="F312" s="941">
        <f t="shared" si="35"/>
        <v>750</v>
      </c>
      <c r="G312" s="1261">
        <v>750</v>
      </c>
      <c r="H312" s="1239"/>
      <c r="I312" s="734"/>
      <c r="J312" s="943" t="s">
        <v>4122</v>
      </c>
      <c r="K312" s="3172"/>
      <c r="L312" s="3172"/>
      <c r="M312" s="3172"/>
      <c r="N312" s="3171"/>
      <c r="O312" s="3171"/>
      <c r="P312" s="3171"/>
      <c r="Q312" s="3177">
        <v>3</v>
      </c>
      <c r="R312" s="3229" t="s">
        <v>4104</v>
      </c>
      <c r="S312" s="3164">
        <v>25000</v>
      </c>
      <c r="T312" s="3163" t="s">
        <v>4073</v>
      </c>
      <c r="U312" s="3163"/>
      <c r="V312" s="3163">
        <v>10</v>
      </c>
      <c r="W312" s="3163" t="s">
        <v>4090</v>
      </c>
      <c r="X312" s="3165" t="s">
        <v>4087</v>
      </c>
      <c r="Y312" s="3175">
        <f t="shared" si="34"/>
        <v>750</v>
      </c>
      <c r="Z312" s="3163">
        <f>Q312*S312*V312</f>
        <v>750000</v>
      </c>
      <c r="AA312" s="1073">
        <f t="shared" si="31"/>
        <v>750000000</v>
      </c>
      <c r="AB312" s="915"/>
      <c r="AC312" s="915"/>
    </row>
    <row r="313" spans="1:29" s="709" customFormat="1" ht="21" customHeight="1">
      <c r="A313" s="673"/>
      <c r="B313" s="674"/>
      <c r="C313" s="948"/>
      <c r="E313" s="851" t="s">
        <v>4123</v>
      </c>
      <c r="F313" s="941">
        <f t="shared" si="35"/>
        <v>1550</v>
      </c>
      <c r="G313" s="941">
        <v>1550</v>
      </c>
      <c r="H313" s="1239"/>
      <c r="I313" s="734"/>
      <c r="J313" s="3174" t="s">
        <v>4124</v>
      </c>
      <c r="K313" s="3172"/>
      <c r="L313" s="3172"/>
      <c r="M313" s="3172"/>
      <c r="N313" s="3171"/>
      <c r="O313" s="3171"/>
      <c r="P313" s="3171"/>
      <c r="Q313" s="946" t="s">
        <v>4125</v>
      </c>
      <c r="R313" s="3163" t="s">
        <v>4126</v>
      </c>
      <c r="S313" s="3164">
        <v>387500</v>
      </c>
      <c r="T313" s="3163" t="s">
        <v>4073</v>
      </c>
      <c r="U313" s="3163"/>
      <c r="V313" s="3163">
        <v>4</v>
      </c>
      <c r="W313" s="3163" t="s">
        <v>4090</v>
      </c>
      <c r="X313" s="3165" t="s">
        <v>4087</v>
      </c>
      <c r="Y313" s="3175">
        <f t="shared" si="34"/>
        <v>1550</v>
      </c>
      <c r="Z313" s="3163">
        <f>Q313*S313*V313</f>
        <v>1550000</v>
      </c>
      <c r="AA313" s="1073">
        <f t="shared" si="31"/>
        <v>1550000000</v>
      </c>
      <c r="AB313" s="915"/>
      <c r="AC313" s="915"/>
    </row>
    <row r="314" spans="1:29" s="709" customFormat="1" ht="21" customHeight="1">
      <c r="A314" s="673"/>
      <c r="B314" s="674"/>
      <c r="C314" s="948"/>
      <c r="D314" s="1981"/>
      <c r="E314" s="851" t="s">
        <v>4089</v>
      </c>
      <c r="F314" s="941">
        <f t="shared" si="35"/>
        <v>500</v>
      </c>
      <c r="G314" s="941">
        <v>500</v>
      </c>
      <c r="H314" s="1239"/>
      <c r="I314" s="734"/>
      <c r="J314" s="3174" t="s">
        <v>4127</v>
      </c>
      <c r="K314" s="3172"/>
      <c r="L314" s="3172"/>
      <c r="M314" s="3172"/>
      <c r="N314" s="3171"/>
      <c r="O314" s="3171"/>
      <c r="P314" s="3171"/>
      <c r="Q314" s="3209">
        <v>500</v>
      </c>
      <c r="R314" s="3163" t="s">
        <v>4128</v>
      </c>
      <c r="S314" s="3164">
        <v>200</v>
      </c>
      <c r="T314" s="3163" t="s">
        <v>4073</v>
      </c>
      <c r="U314" s="3163"/>
      <c r="V314" s="3163">
        <v>5</v>
      </c>
      <c r="W314" s="3163" t="s">
        <v>4090</v>
      </c>
      <c r="X314" s="3165" t="s">
        <v>4087</v>
      </c>
      <c r="Y314" s="3175">
        <f t="shared" si="34"/>
        <v>500</v>
      </c>
      <c r="Z314" s="3163">
        <f>Q314*S314*V314</f>
        <v>500000</v>
      </c>
      <c r="AA314" s="1073">
        <f t="shared" si="31"/>
        <v>500000000</v>
      </c>
      <c r="AB314" s="915"/>
      <c r="AC314" s="915"/>
    </row>
    <row r="315" spans="1:29" s="931" customFormat="1" ht="21" customHeight="1">
      <c r="A315" s="673"/>
      <c r="B315" s="674"/>
      <c r="C315" s="948"/>
      <c r="D315" s="1981"/>
      <c r="E315" s="851" t="s">
        <v>4129</v>
      </c>
      <c r="F315" s="941">
        <f t="shared" si="35"/>
        <v>2500</v>
      </c>
      <c r="G315" s="941">
        <v>2500</v>
      </c>
      <c r="H315" s="1239"/>
      <c r="I315" s="734"/>
      <c r="J315" s="3174" t="s">
        <v>4130</v>
      </c>
      <c r="K315" s="3172"/>
      <c r="L315" s="3172"/>
      <c r="M315" s="3172"/>
      <c r="N315" s="3171"/>
      <c r="O315" s="3171"/>
      <c r="P315" s="3171"/>
      <c r="Q315" s="1467">
        <v>50</v>
      </c>
      <c r="R315" s="3163" t="s">
        <v>4104</v>
      </c>
      <c r="S315" s="3164">
        <v>10000</v>
      </c>
      <c r="T315" s="3163" t="s">
        <v>4073</v>
      </c>
      <c r="U315" s="3163"/>
      <c r="V315" s="3163">
        <v>5</v>
      </c>
      <c r="W315" s="3163" t="s">
        <v>4090</v>
      </c>
      <c r="X315" s="3165" t="s">
        <v>4087</v>
      </c>
      <c r="Y315" s="3175">
        <f t="shared" si="34"/>
        <v>2500</v>
      </c>
      <c r="Z315" s="3163">
        <f>Q315*S315*V315</f>
        <v>2500000</v>
      </c>
      <c r="AA315" s="1073">
        <f t="shared" si="31"/>
        <v>2500000000</v>
      </c>
      <c r="AB315" s="930"/>
      <c r="AC315" s="930"/>
    </row>
    <row r="316" spans="1:29" s="931" customFormat="1" ht="21" customHeight="1">
      <c r="A316" s="3114"/>
      <c r="B316" s="674"/>
      <c r="C316" s="948"/>
      <c r="D316" s="3116"/>
      <c r="E316" s="675" t="s">
        <v>4131</v>
      </c>
      <c r="F316" s="972">
        <f t="shared" si="35"/>
        <v>350</v>
      </c>
      <c r="G316" s="972">
        <v>350</v>
      </c>
      <c r="H316" s="1208"/>
      <c r="I316" s="734"/>
      <c r="J316" s="991" t="s">
        <v>4132</v>
      </c>
      <c r="K316" s="1411"/>
      <c r="L316" s="1411"/>
      <c r="M316" s="1411"/>
      <c r="N316" s="1415"/>
      <c r="O316" s="1415"/>
      <c r="P316" s="1415"/>
      <c r="Q316" s="3288">
        <v>7</v>
      </c>
      <c r="R316" s="978" t="s">
        <v>4104</v>
      </c>
      <c r="S316" s="979">
        <v>10000</v>
      </c>
      <c r="T316" s="978" t="s">
        <v>4073</v>
      </c>
      <c r="U316" s="978"/>
      <c r="V316" s="978">
        <v>5</v>
      </c>
      <c r="W316" s="978" t="s">
        <v>4090</v>
      </c>
      <c r="X316" s="1025" t="s">
        <v>4087</v>
      </c>
      <c r="Y316" s="1029">
        <f t="shared" si="34"/>
        <v>350</v>
      </c>
      <c r="Z316" s="3163">
        <f>Q316*S316*V316</f>
        <v>350000</v>
      </c>
      <c r="AA316" s="1073">
        <f t="shared" si="31"/>
        <v>350000000</v>
      </c>
      <c r="AB316" s="930"/>
      <c r="AC316" s="930"/>
    </row>
    <row r="317" spans="1:29" s="931" customFormat="1" ht="21" customHeight="1">
      <c r="A317" s="673"/>
      <c r="B317" s="674"/>
      <c r="C317" s="948"/>
      <c r="D317" s="3955" t="s">
        <v>3083</v>
      </c>
      <c r="E317" s="3883"/>
      <c r="F317" s="1385">
        <f>SUM(F318:F328)</f>
        <v>42000</v>
      </c>
      <c r="G317" s="955">
        <f>SUM(G318:G328)</f>
        <v>42000</v>
      </c>
      <c r="H317" s="1208">
        <f>F317-G317</f>
        <v>0</v>
      </c>
      <c r="I317" s="734"/>
      <c r="J317" s="985"/>
      <c r="K317" s="986"/>
      <c r="L317" s="986"/>
      <c r="M317" s="986"/>
      <c r="N317" s="986"/>
      <c r="O317" s="986"/>
      <c r="P317" s="986"/>
      <c r="Q317" s="987"/>
      <c r="R317" s="988"/>
      <c r="S317" s="1976"/>
      <c r="T317" s="988"/>
      <c r="U317" s="1976"/>
      <c r="V317" s="988"/>
      <c r="W317" s="1976"/>
      <c r="X317" s="1976"/>
      <c r="Y317" s="1029"/>
      <c r="Z317" s="736">
        <f>Z318+Z321+Z322+Z323+Z326+Z327+Z328</f>
        <v>42000000</v>
      </c>
      <c r="AA317" s="1073">
        <f t="shared" si="31"/>
        <v>42000000000</v>
      </c>
      <c r="AB317" s="930"/>
      <c r="AC317" s="930"/>
    </row>
    <row r="318" spans="1:29" s="931" customFormat="1" ht="21" customHeight="1">
      <c r="A318" s="673"/>
      <c r="B318" s="674"/>
      <c r="C318" s="948"/>
      <c r="D318" s="1981"/>
      <c r="E318" s="851" t="s">
        <v>81</v>
      </c>
      <c r="F318" s="941">
        <f>+Y318</f>
        <v>26000</v>
      </c>
      <c r="G318" s="1261">
        <v>26000</v>
      </c>
      <c r="H318" s="1239">
        <f>F318-G318</f>
        <v>0</v>
      </c>
      <c r="I318" s="734"/>
      <c r="J318" s="3174" t="s">
        <v>2691</v>
      </c>
      <c r="K318" s="3172"/>
      <c r="L318" s="3172"/>
      <c r="M318" s="3172"/>
      <c r="N318" s="3171"/>
      <c r="O318" s="3171"/>
      <c r="P318" s="3171"/>
      <c r="Q318" s="992"/>
      <c r="R318" s="3524"/>
      <c r="S318" s="3524" t="s">
        <v>20</v>
      </c>
      <c r="T318" s="684" t="s">
        <v>20</v>
      </c>
      <c r="U318" s="684" t="s">
        <v>20</v>
      </c>
      <c r="V318" s="684" t="s">
        <v>20</v>
      </c>
      <c r="W318" s="684" t="s">
        <v>20</v>
      </c>
      <c r="X318" s="686" t="s">
        <v>20</v>
      </c>
      <c r="Y318" s="3175">
        <f>+Y319+Y320</f>
        <v>26000</v>
      </c>
      <c r="Z318" s="992">
        <f>SUM(Z319,Z320)</f>
        <v>26000000</v>
      </c>
      <c r="AA318" s="1073">
        <f t="shared" si="31"/>
        <v>26000000000</v>
      </c>
      <c r="AB318" s="930"/>
      <c r="AC318" s="930"/>
    </row>
    <row r="319" spans="1:29" s="931" customFormat="1" ht="21" customHeight="1">
      <c r="A319" s="673"/>
      <c r="B319" s="674"/>
      <c r="C319" s="948"/>
      <c r="D319" s="1981"/>
      <c r="E319" s="851"/>
      <c r="F319" s="941"/>
      <c r="G319" s="1261"/>
      <c r="H319" s="1239"/>
      <c r="I319" s="734"/>
      <c r="J319" s="3174" t="s">
        <v>3084</v>
      </c>
      <c r="K319" s="3172"/>
      <c r="L319" s="3172"/>
      <c r="M319" s="3172"/>
      <c r="N319" s="3171"/>
      <c r="O319" s="3171"/>
      <c r="P319" s="3171"/>
      <c r="Q319" s="992" t="s">
        <v>587</v>
      </c>
      <c r="R319" s="3524" t="s">
        <v>142</v>
      </c>
      <c r="S319" s="3164">
        <v>2000000</v>
      </c>
      <c r="T319" s="3163" t="s">
        <v>0</v>
      </c>
      <c r="U319" s="3163"/>
      <c r="V319" s="3163">
        <v>12</v>
      </c>
      <c r="W319" s="3163" t="s">
        <v>2</v>
      </c>
      <c r="X319" s="3165" t="s">
        <v>1</v>
      </c>
      <c r="Y319" s="3175">
        <f>+Q319*S319*V319/1000</f>
        <v>24000</v>
      </c>
      <c r="Z319" s="1678">
        <f>Q319*S319*V319</f>
        <v>24000000</v>
      </c>
      <c r="AA319" s="1073">
        <f t="shared" si="31"/>
        <v>0</v>
      </c>
      <c r="AB319" s="930"/>
      <c r="AC319" s="930"/>
    </row>
    <row r="320" spans="1:29" s="709" customFormat="1" ht="21" customHeight="1">
      <c r="A320" s="673"/>
      <c r="B320" s="674"/>
      <c r="C320" s="948"/>
      <c r="D320" s="1981"/>
      <c r="E320" s="851"/>
      <c r="F320" s="941"/>
      <c r="G320" s="1261"/>
      <c r="H320" s="1239"/>
      <c r="I320" s="734"/>
      <c r="J320" s="3174" t="s">
        <v>3085</v>
      </c>
      <c r="K320" s="3172"/>
      <c r="L320" s="3172"/>
      <c r="M320" s="3172"/>
      <c r="N320" s="3171"/>
      <c r="O320" s="3171"/>
      <c r="P320" s="3171"/>
      <c r="Q320" s="992" t="s">
        <v>3086</v>
      </c>
      <c r="R320" s="3524" t="s">
        <v>2969</v>
      </c>
      <c r="S320" s="3164">
        <v>2000000</v>
      </c>
      <c r="T320" s="3163" t="s">
        <v>0</v>
      </c>
      <c r="U320" s="3163"/>
      <c r="V320" s="992" t="s">
        <v>587</v>
      </c>
      <c r="W320" s="3524" t="s">
        <v>3087</v>
      </c>
      <c r="X320" s="3165" t="s">
        <v>1</v>
      </c>
      <c r="Y320" s="3175">
        <f>+Q320*S320*V320/1000</f>
        <v>2000</v>
      </c>
      <c r="Z320" s="992">
        <f>Q320*S320*V320</f>
        <v>2000000</v>
      </c>
      <c r="AA320" s="1073">
        <f t="shared" si="31"/>
        <v>0</v>
      </c>
      <c r="AB320" s="915"/>
      <c r="AC320" s="915"/>
    </row>
    <row r="321" spans="1:33" s="709" customFormat="1" ht="21" customHeight="1">
      <c r="A321" s="673"/>
      <c r="B321" s="674"/>
      <c r="C321" s="948"/>
      <c r="D321" s="1981"/>
      <c r="E321" s="1379" t="s">
        <v>57</v>
      </c>
      <c r="F321" s="941">
        <f>+Y321</f>
        <v>600</v>
      </c>
      <c r="G321" s="941">
        <v>600</v>
      </c>
      <c r="H321" s="1239">
        <f t="shared" ref="H321:H322" si="36">F321-G321</f>
        <v>0</v>
      </c>
      <c r="I321" s="734"/>
      <c r="J321" s="943" t="s">
        <v>590</v>
      </c>
      <c r="K321" s="944"/>
      <c r="L321" s="944"/>
      <c r="M321" s="944"/>
      <c r="N321" s="945"/>
      <c r="O321" s="944"/>
      <c r="P321" s="944"/>
      <c r="Q321" s="946" t="s">
        <v>3088</v>
      </c>
      <c r="R321" s="3163" t="s">
        <v>122</v>
      </c>
      <c r="S321" s="3164">
        <v>10000</v>
      </c>
      <c r="T321" s="3163" t="s">
        <v>0</v>
      </c>
      <c r="U321" s="3163"/>
      <c r="V321" s="3163">
        <v>1</v>
      </c>
      <c r="W321" s="3163" t="s">
        <v>3</v>
      </c>
      <c r="X321" s="3165" t="s">
        <v>2689</v>
      </c>
      <c r="Y321" s="3175">
        <f>+Q321*S321*V321/1000</f>
        <v>600</v>
      </c>
      <c r="Z321" s="992">
        <f>Q321*S321*V321</f>
        <v>600000</v>
      </c>
      <c r="AA321" s="1073">
        <f t="shared" si="31"/>
        <v>600000000</v>
      </c>
      <c r="AB321" s="915"/>
      <c r="AC321" s="915"/>
    </row>
    <row r="322" spans="1:33" s="709" customFormat="1" ht="21" customHeight="1">
      <c r="A322" s="673"/>
      <c r="B322" s="674"/>
      <c r="D322" s="674"/>
      <c r="E322" s="851" t="s">
        <v>80</v>
      </c>
      <c r="F322" s="941">
        <f>+Y322</f>
        <v>300</v>
      </c>
      <c r="G322" s="941">
        <v>300</v>
      </c>
      <c r="H322" s="1239">
        <f t="shared" si="36"/>
        <v>0</v>
      </c>
      <c r="I322" s="734"/>
      <c r="J322" s="943" t="s">
        <v>589</v>
      </c>
      <c r="K322" s="944"/>
      <c r="L322" s="944"/>
      <c r="M322" s="944"/>
      <c r="N322" s="945"/>
      <c r="O322" s="944"/>
      <c r="P322" s="944"/>
      <c r="Q322" s="946" t="s">
        <v>584</v>
      </c>
      <c r="R322" s="3163" t="s">
        <v>25</v>
      </c>
      <c r="S322" s="3164">
        <v>10000</v>
      </c>
      <c r="T322" s="3163" t="s">
        <v>0</v>
      </c>
      <c r="U322" s="3163"/>
      <c r="V322" s="3163">
        <v>3</v>
      </c>
      <c r="W322" s="3163" t="s">
        <v>3</v>
      </c>
      <c r="X322" s="3165" t="s">
        <v>2689</v>
      </c>
      <c r="Y322" s="3175">
        <f>+Q322*S322*V322/1000</f>
        <v>300</v>
      </c>
      <c r="Z322" s="992">
        <f>Q322*S322*V322</f>
        <v>300000</v>
      </c>
      <c r="AA322" s="1073">
        <f t="shared" si="31"/>
        <v>300000000</v>
      </c>
      <c r="AB322" s="915"/>
      <c r="AC322" s="915"/>
    </row>
    <row r="323" spans="1:33" s="931" customFormat="1" ht="21" customHeight="1">
      <c r="A323" s="673"/>
      <c r="B323" s="674"/>
      <c r="C323" s="948"/>
      <c r="D323" s="675"/>
      <c r="E323" s="675" t="s">
        <v>58</v>
      </c>
      <c r="F323" s="941">
        <f>+Y323</f>
        <v>10000</v>
      </c>
      <c r="G323" s="1261">
        <v>12200</v>
      </c>
      <c r="H323" s="1239">
        <f>F323-G323</f>
        <v>-2200</v>
      </c>
      <c r="I323" s="734"/>
      <c r="J323" s="3174" t="s">
        <v>8</v>
      </c>
      <c r="K323" s="3172"/>
      <c r="L323" s="3172"/>
      <c r="M323" s="3172"/>
      <c r="N323" s="3171"/>
      <c r="O323" s="3171"/>
      <c r="P323" s="3171"/>
      <c r="Q323" s="992"/>
      <c r="R323" s="3524"/>
      <c r="S323" s="3524" t="s">
        <v>20</v>
      </c>
      <c r="T323" s="684" t="s">
        <v>20</v>
      </c>
      <c r="U323" s="684" t="s">
        <v>20</v>
      </c>
      <c r="V323" s="684" t="s">
        <v>20</v>
      </c>
      <c r="W323" s="684" t="s">
        <v>20</v>
      </c>
      <c r="X323" s="686" t="s">
        <v>20</v>
      </c>
      <c r="Y323" s="3175">
        <f>SUM(Y324:Y325)</f>
        <v>10000</v>
      </c>
      <c r="Z323" s="993">
        <f>SUM(Z324,Z325)</f>
        <v>10000000</v>
      </c>
      <c r="AA323" s="3491">
        <f t="shared" si="31"/>
        <v>10000000000</v>
      </c>
      <c r="AB323" s="930"/>
      <c r="AC323" s="930"/>
    </row>
    <row r="324" spans="1:33" s="931" customFormat="1" ht="21" customHeight="1">
      <c r="A324" s="673"/>
      <c r="B324" s="674"/>
      <c r="C324" s="948"/>
      <c r="D324" s="948"/>
      <c r="E324" s="675"/>
      <c r="F324" s="941"/>
      <c r="G324" s="1261"/>
      <c r="H324" s="1239"/>
      <c r="I324" s="734"/>
      <c r="J324" s="3174" t="s">
        <v>5620</v>
      </c>
      <c r="K324" s="3172"/>
      <c r="L324" s="3172"/>
      <c r="M324" s="3172"/>
      <c r="N324" s="3171"/>
      <c r="O324" s="3171"/>
      <c r="P324" s="3171"/>
      <c r="Q324" s="3177">
        <v>25</v>
      </c>
      <c r="R324" s="3524" t="s">
        <v>142</v>
      </c>
      <c r="S324" s="3164">
        <v>10000</v>
      </c>
      <c r="T324" s="3163" t="s">
        <v>0</v>
      </c>
      <c r="U324" s="3163"/>
      <c r="V324" s="3163">
        <v>36</v>
      </c>
      <c r="W324" s="3163" t="s">
        <v>3</v>
      </c>
      <c r="X324" s="3165" t="s">
        <v>1</v>
      </c>
      <c r="Y324" s="3175">
        <f>+Q324*S324*V324/1000</f>
        <v>9000</v>
      </c>
      <c r="Z324" s="3163">
        <f>Q324*S324*V324</f>
        <v>9000000</v>
      </c>
      <c r="AA324" s="3491">
        <f t="shared" si="31"/>
        <v>0</v>
      </c>
      <c r="AB324" s="930"/>
      <c r="AC324" s="930"/>
    </row>
    <row r="325" spans="1:33" s="931" customFormat="1" ht="21" customHeight="1">
      <c r="A325" s="673"/>
      <c r="B325" s="674"/>
      <c r="C325" s="948"/>
      <c r="D325" s="948"/>
      <c r="E325" s="675"/>
      <c r="F325" s="941"/>
      <c r="G325" s="1261"/>
      <c r="H325" s="1239"/>
      <c r="I325" s="734"/>
      <c r="J325" s="3174" t="s">
        <v>5621</v>
      </c>
      <c r="K325" s="3172"/>
      <c r="L325" s="3172"/>
      <c r="M325" s="3172"/>
      <c r="N325" s="3171"/>
      <c r="O325" s="3171"/>
      <c r="P325" s="3171"/>
      <c r="Q325" s="3177">
        <v>1</v>
      </c>
      <c r="R325" s="3524" t="s">
        <v>142</v>
      </c>
      <c r="S325" s="3164">
        <v>200000</v>
      </c>
      <c r="T325" s="3163" t="s">
        <v>0</v>
      </c>
      <c r="U325" s="3163"/>
      <c r="V325" s="3163">
        <v>5</v>
      </c>
      <c r="W325" s="3163" t="s">
        <v>3</v>
      </c>
      <c r="X325" s="3165" t="s">
        <v>1</v>
      </c>
      <c r="Y325" s="3175">
        <f>+Q325*S325*V325/1000</f>
        <v>1000</v>
      </c>
      <c r="Z325" s="3163">
        <f>Q325*S325*V325</f>
        <v>1000000</v>
      </c>
      <c r="AA325" s="3491">
        <f t="shared" si="31"/>
        <v>0</v>
      </c>
      <c r="AB325" s="930"/>
      <c r="AC325" s="930"/>
    </row>
    <row r="326" spans="1:33" s="931" customFormat="1" ht="21" customHeight="1">
      <c r="A326" s="673"/>
      <c r="B326" s="674"/>
      <c r="C326" s="709"/>
      <c r="D326" s="674"/>
      <c r="E326" s="851" t="s">
        <v>70</v>
      </c>
      <c r="F326" s="941">
        <f>+Y326</f>
        <v>900</v>
      </c>
      <c r="G326" s="941">
        <v>700</v>
      </c>
      <c r="H326" s="1239">
        <f t="shared" ref="H326:H327" si="37">F326-G326</f>
        <v>200</v>
      </c>
      <c r="I326" s="734"/>
      <c r="J326" s="943" t="s">
        <v>588</v>
      </c>
      <c r="K326" s="944"/>
      <c r="L326" s="944"/>
      <c r="M326" s="944"/>
      <c r="N326" s="945"/>
      <c r="O326" s="944"/>
      <c r="P326" s="944"/>
      <c r="Q326" s="946" t="s">
        <v>587</v>
      </c>
      <c r="R326" s="3163" t="s">
        <v>30</v>
      </c>
      <c r="S326" s="3164">
        <v>450000</v>
      </c>
      <c r="T326" s="3163" t="s">
        <v>0</v>
      </c>
      <c r="U326" s="3163"/>
      <c r="V326" s="3163">
        <v>2</v>
      </c>
      <c r="W326" s="3163" t="s">
        <v>3</v>
      </c>
      <c r="X326" s="3165" t="s">
        <v>1</v>
      </c>
      <c r="Y326" s="3175">
        <f>+Q326*S326*V326/1000</f>
        <v>900</v>
      </c>
      <c r="Z326" s="3163">
        <f>Q326*S326*V326</f>
        <v>900000</v>
      </c>
      <c r="AA326" s="3491">
        <f t="shared" si="31"/>
        <v>900000000</v>
      </c>
      <c r="AB326" s="930"/>
      <c r="AC326" s="930"/>
    </row>
    <row r="327" spans="1:33" s="1093" customFormat="1" ht="21" customHeight="1">
      <c r="A327" s="673"/>
      <c r="B327" s="674"/>
      <c r="C327" s="709"/>
      <c r="D327" s="674"/>
      <c r="E327" s="1379" t="s">
        <v>62</v>
      </c>
      <c r="F327" s="941">
        <f>+Y327</f>
        <v>3800</v>
      </c>
      <c r="G327" s="941">
        <v>1800</v>
      </c>
      <c r="H327" s="1239">
        <f t="shared" si="37"/>
        <v>2000</v>
      </c>
      <c r="I327" s="734"/>
      <c r="J327" s="943" t="s">
        <v>586</v>
      </c>
      <c r="K327" s="944"/>
      <c r="L327" s="944"/>
      <c r="M327" s="944"/>
      <c r="N327" s="945"/>
      <c r="O327" s="944"/>
      <c r="P327" s="944"/>
      <c r="Q327" s="946" t="s">
        <v>5619</v>
      </c>
      <c r="R327" s="3163" t="s">
        <v>25</v>
      </c>
      <c r="S327" s="3164">
        <v>10000</v>
      </c>
      <c r="T327" s="3163" t="s">
        <v>0</v>
      </c>
      <c r="U327" s="3163"/>
      <c r="V327" s="3163">
        <v>10</v>
      </c>
      <c r="W327" s="3163" t="s">
        <v>3</v>
      </c>
      <c r="X327" s="3165" t="s">
        <v>1</v>
      </c>
      <c r="Y327" s="3175">
        <f>+Q327*S327*V327/1000</f>
        <v>3800</v>
      </c>
      <c r="Z327" s="3163">
        <f>Q327*S327*V327</f>
        <v>3800000</v>
      </c>
      <c r="AA327" s="3491">
        <f t="shared" si="31"/>
        <v>3800000000</v>
      </c>
      <c r="AB327" s="1111"/>
      <c r="AC327" s="1111"/>
    </row>
    <row r="328" spans="1:33" s="931" customFormat="1" ht="21" customHeight="1">
      <c r="A328" s="673"/>
      <c r="B328" s="674"/>
      <c r="C328" s="948"/>
      <c r="D328" s="674"/>
      <c r="E328" s="851" t="s">
        <v>61</v>
      </c>
      <c r="F328" s="941">
        <f>+Y328</f>
        <v>400</v>
      </c>
      <c r="G328" s="941">
        <v>400</v>
      </c>
      <c r="H328" s="1239">
        <f>F328-G328</f>
        <v>0</v>
      </c>
      <c r="I328" s="734"/>
      <c r="J328" s="943" t="s">
        <v>585</v>
      </c>
      <c r="K328" s="944"/>
      <c r="L328" s="944"/>
      <c r="M328" s="944"/>
      <c r="N328" s="945"/>
      <c r="O328" s="944"/>
      <c r="P328" s="944"/>
      <c r="Q328" s="946" t="s">
        <v>584</v>
      </c>
      <c r="R328" s="3163" t="s">
        <v>25</v>
      </c>
      <c r="S328" s="3164">
        <v>5000</v>
      </c>
      <c r="T328" s="3163" t="s">
        <v>0</v>
      </c>
      <c r="U328" s="3163"/>
      <c r="V328" s="3163">
        <v>8</v>
      </c>
      <c r="W328" s="3163" t="s">
        <v>3</v>
      </c>
      <c r="X328" s="3165" t="s">
        <v>1</v>
      </c>
      <c r="Y328" s="3175">
        <f>+Q328*S328*V328/1000</f>
        <v>400</v>
      </c>
      <c r="Z328" s="3163">
        <f>Q328*S328*V328</f>
        <v>400000</v>
      </c>
      <c r="AA328" s="1073">
        <f t="shared" si="31"/>
        <v>400000000</v>
      </c>
      <c r="AB328" s="930"/>
      <c r="AC328" s="930"/>
    </row>
    <row r="329" spans="1:33" s="931" customFormat="1" ht="21" customHeight="1">
      <c r="A329" s="3644"/>
      <c r="B329" s="3160"/>
      <c r="C329" s="3170"/>
      <c r="D329" s="3955" t="s">
        <v>6085</v>
      </c>
      <c r="E329" s="3883"/>
      <c r="F329" s="3168">
        <f>SUM(F330:F331)</f>
        <v>23818.03</v>
      </c>
      <c r="G329" s="3168">
        <f>SUM(G330:G331)</f>
        <v>0</v>
      </c>
      <c r="H329" s="933">
        <f t="shared" ref="H329:H335" si="38">F329-G329</f>
        <v>23818.03</v>
      </c>
      <c r="I329" s="3287"/>
      <c r="J329" s="1031"/>
      <c r="K329" s="1032"/>
      <c r="L329" s="1032"/>
      <c r="M329" s="1032"/>
      <c r="N329" s="1032"/>
      <c r="O329" s="1032"/>
      <c r="P329" s="1032"/>
      <c r="Q329" s="937"/>
      <c r="R329" s="1033"/>
      <c r="S329" s="2112"/>
      <c r="T329" s="1033"/>
      <c r="U329" s="2112"/>
      <c r="V329" s="1033"/>
      <c r="W329" s="2112"/>
      <c r="X329" s="2112"/>
      <c r="Y329" s="939"/>
      <c r="Z329" s="3163"/>
      <c r="AA329" s="1073"/>
      <c r="AB329" s="930"/>
      <c r="AC329" s="930"/>
    </row>
    <row r="330" spans="1:33" s="931" customFormat="1" ht="21" customHeight="1">
      <c r="A330" s="3644"/>
      <c r="B330" s="3160"/>
      <c r="C330" s="3170"/>
      <c r="D330" s="994"/>
      <c r="E330" s="968" t="s">
        <v>6086</v>
      </c>
      <c r="F330" s="941">
        <f>Y330</f>
        <v>12818</v>
      </c>
      <c r="G330" s="941">
        <v>0</v>
      </c>
      <c r="H330" s="1239">
        <f t="shared" si="38"/>
        <v>12818</v>
      </c>
      <c r="I330" s="734"/>
      <c r="J330" s="943" t="s">
        <v>6087</v>
      </c>
      <c r="K330" s="944"/>
      <c r="L330" s="944"/>
      <c r="M330" s="944"/>
      <c r="N330" s="945"/>
      <c r="O330" s="944"/>
      <c r="P330" s="944"/>
      <c r="Q330" s="946" t="s">
        <v>6088</v>
      </c>
      <c r="R330" s="3163" t="s">
        <v>25</v>
      </c>
      <c r="S330" s="3164">
        <v>128180</v>
      </c>
      <c r="T330" s="3163" t="s">
        <v>0</v>
      </c>
      <c r="U330" s="3163"/>
      <c r="V330" s="3163">
        <v>1</v>
      </c>
      <c r="W330" s="3163" t="s">
        <v>3</v>
      </c>
      <c r="X330" s="3165" t="s">
        <v>1</v>
      </c>
      <c r="Y330" s="3175">
        <f>+Q330*S330*V330/1000</f>
        <v>12818</v>
      </c>
      <c r="Z330" s="3163">
        <f>Q330*S330*V330</f>
        <v>12818000</v>
      </c>
      <c r="AA330" s="1073"/>
      <c r="AB330" s="930"/>
      <c r="AC330" s="930"/>
    </row>
    <row r="331" spans="1:33" s="931" customFormat="1" ht="21" customHeight="1">
      <c r="A331" s="3644"/>
      <c r="B331" s="3160"/>
      <c r="C331" s="3170"/>
      <c r="D331" s="3160"/>
      <c r="E331" s="968" t="s">
        <v>5951</v>
      </c>
      <c r="F331" s="941">
        <f>Y331</f>
        <v>11000.03</v>
      </c>
      <c r="G331" s="941">
        <v>0</v>
      </c>
      <c r="H331" s="1239">
        <f t="shared" si="38"/>
        <v>11000.03</v>
      </c>
      <c r="I331" s="734"/>
      <c r="J331" s="943" t="s">
        <v>6089</v>
      </c>
      <c r="K331" s="944"/>
      <c r="L331" s="944"/>
      <c r="M331" s="944"/>
      <c r="N331" s="945"/>
      <c r="O331" s="944"/>
      <c r="P331" s="944"/>
      <c r="Q331" s="946" t="s">
        <v>6090</v>
      </c>
      <c r="R331" s="3163" t="s">
        <v>6091</v>
      </c>
      <c r="S331" s="3164">
        <v>11000030</v>
      </c>
      <c r="T331" s="3163" t="s">
        <v>0</v>
      </c>
      <c r="U331" s="3163"/>
      <c r="V331" s="3163">
        <v>1</v>
      </c>
      <c r="W331" s="3163" t="s">
        <v>3</v>
      </c>
      <c r="X331" s="3165" t="s">
        <v>1</v>
      </c>
      <c r="Y331" s="3175">
        <f>+Q331*S331*V331/1000</f>
        <v>11000.03</v>
      </c>
      <c r="Z331" s="3163">
        <f>Q331*S331*V331</f>
        <v>11000030</v>
      </c>
      <c r="AA331" s="1073"/>
      <c r="AB331" s="930"/>
      <c r="AC331" s="930"/>
    </row>
    <row r="332" spans="1:33" s="709" customFormat="1" ht="21" customHeight="1">
      <c r="A332" s="673"/>
      <c r="B332" s="674"/>
      <c r="C332" s="1958" t="s">
        <v>2839</v>
      </c>
      <c r="D332" s="1957"/>
      <c r="E332" s="1958"/>
      <c r="F332" s="932">
        <f>+F333+F334+F370</f>
        <v>385000</v>
      </c>
      <c r="G332" s="932">
        <f>+G333+G334+G370</f>
        <v>385000</v>
      </c>
      <c r="H332" s="933">
        <f t="shared" si="38"/>
        <v>0</v>
      </c>
      <c r="I332" s="734"/>
      <c r="J332" s="934"/>
      <c r="K332" s="1454"/>
      <c r="L332" s="1454"/>
      <c r="M332" s="1454"/>
      <c r="N332" s="935"/>
      <c r="O332" s="935"/>
      <c r="P332" s="935"/>
      <c r="Q332" s="1008"/>
      <c r="R332" s="1009"/>
      <c r="S332" s="1010"/>
      <c r="T332" s="1009"/>
      <c r="U332" s="1009"/>
      <c r="V332" s="1009"/>
      <c r="W332" s="1009"/>
      <c r="X332" s="1422"/>
      <c r="Y332" s="939"/>
      <c r="Z332" s="1207"/>
      <c r="AA332" s="1073">
        <f t="shared" si="31"/>
        <v>385000000000</v>
      </c>
      <c r="AB332" s="915"/>
      <c r="AC332" s="915"/>
    </row>
    <row r="333" spans="1:33" s="709" customFormat="1" ht="21" customHeight="1">
      <c r="A333" s="673"/>
      <c r="B333" s="674"/>
      <c r="C333" s="1200"/>
      <c r="D333" s="3955" t="s">
        <v>3089</v>
      </c>
      <c r="E333" s="3883"/>
      <c r="F333" s="932">
        <v>0</v>
      </c>
      <c r="G333" s="932">
        <v>0</v>
      </c>
      <c r="H333" s="933">
        <f t="shared" si="38"/>
        <v>0</v>
      </c>
      <c r="I333" s="734"/>
      <c r="J333" s="1031"/>
      <c r="K333" s="1032"/>
      <c r="L333" s="1032"/>
      <c r="M333" s="1032"/>
      <c r="N333" s="1032"/>
      <c r="O333" s="1032"/>
      <c r="P333" s="1032"/>
      <c r="Q333" s="937"/>
      <c r="R333" s="1033"/>
      <c r="S333" s="1973"/>
      <c r="T333" s="1033"/>
      <c r="U333" s="1973"/>
      <c r="V333" s="1033"/>
      <c r="W333" s="1973"/>
      <c r="X333" s="1973"/>
      <c r="Y333" s="939"/>
      <c r="Z333" s="736"/>
      <c r="AA333" s="1073">
        <f t="shared" si="31"/>
        <v>0</v>
      </c>
      <c r="AB333" s="915"/>
      <c r="AC333" s="915"/>
    </row>
    <row r="334" spans="1:33" s="709" customFormat="1" ht="21" customHeight="1">
      <c r="A334" s="673"/>
      <c r="B334" s="674"/>
      <c r="C334" s="948"/>
      <c r="D334" s="4024" t="s">
        <v>3090</v>
      </c>
      <c r="E334" s="4025"/>
      <c r="F334" s="1385">
        <f>SUM(F335:F369)</f>
        <v>185000</v>
      </c>
      <c r="G334" s="955">
        <f>SUM(G335:G369)</f>
        <v>185000</v>
      </c>
      <c r="H334" s="1208">
        <f t="shared" si="38"/>
        <v>0</v>
      </c>
      <c r="I334" s="734"/>
      <c r="J334" s="985"/>
      <c r="K334" s="986"/>
      <c r="L334" s="986"/>
      <c r="M334" s="986"/>
      <c r="N334" s="986"/>
      <c r="O334" s="986"/>
      <c r="P334" s="986"/>
      <c r="Q334" s="987"/>
      <c r="R334" s="988"/>
      <c r="S334" s="1976"/>
      <c r="T334" s="988"/>
      <c r="U334" s="1976"/>
      <c r="V334" s="988"/>
      <c r="W334" s="1976"/>
      <c r="X334" s="1976"/>
      <c r="Y334" s="1029"/>
      <c r="Z334" s="736">
        <f>SUM(Z335,Z339,Z342,Z343,Z344,Z348,Z353,Z362,Z365,Z366,Z369)</f>
        <v>70950000</v>
      </c>
      <c r="AA334" s="1073">
        <f t="shared" si="31"/>
        <v>185000000000</v>
      </c>
      <c r="AB334" s="915"/>
      <c r="AC334" s="915"/>
      <c r="AD334" s="915"/>
      <c r="AE334" s="915"/>
      <c r="AF334" s="683"/>
      <c r="AG334" s="683"/>
    </row>
    <row r="335" spans="1:33" s="709" customFormat="1" ht="21" customHeight="1">
      <c r="A335" s="673"/>
      <c r="B335" s="674"/>
      <c r="C335" s="948"/>
      <c r="D335" s="948"/>
      <c r="E335" s="675" t="s">
        <v>65</v>
      </c>
      <c r="F335" s="864">
        <f>+Y335</f>
        <v>8800</v>
      </c>
      <c r="G335" s="1261">
        <v>30800</v>
      </c>
      <c r="H335" s="3169">
        <f t="shared" si="38"/>
        <v>-22000</v>
      </c>
      <c r="I335" s="734"/>
      <c r="J335" s="3174" t="s">
        <v>224</v>
      </c>
      <c r="K335" s="3172"/>
      <c r="L335" s="3172"/>
      <c r="M335" s="3172"/>
      <c r="N335" s="3171"/>
      <c r="O335" s="3171"/>
      <c r="P335" s="3171"/>
      <c r="Q335" s="992"/>
      <c r="R335" s="3524"/>
      <c r="S335" s="3524" t="s">
        <v>265</v>
      </c>
      <c r="T335" s="684" t="s">
        <v>265</v>
      </c>
      <c r="U335" s="684" t="s">
        <v>265</v>
      </c>
      <c r="V335" s="684" t="s">
        <v>265</v>
      </c>
      <c r="W335" s="684" t="s">
        <v>265</v>
      </c>
      <c r="X335" s="686" t="s">
        <v>265</v>
      </c>
      <c r="Y335" s="3175">
        <f>+Y336+Y337</f>
        <v>8800</v>
      </c>
      <c r="Z335" s="993">
        <f>SUM(Z336:Z337)</f>
        <v>8800000</v>
      </c>
      <c r="AA335" s="3376">
        <f t="shared" si="31"/>
        <v>8800000000</v>
      </c>
      <c r="AB335" s="1181"/>
      <c r="AC335" s="1181"/>
      <c r="AD335" s="1181"/>
      <c r="AE335" s="1181"/>
      <c r="AF335" s="1439"/>
      <c r="AG335" s="1120"/>
    </row>
    <row r="336" spans="1:33" s="709" customFormat="1" ht="21" customHeight="1">
      <c r="A336" s="673"/>
      <c r="B336" s="674"/>
      <c r="D336" s="675"/>
      <c r="E336" s="675"/>
      <c r="F336" s="941"/>
      <c r="G336" s="1261"/>
      <c r="H336" s="1239"/>
      <c r="I336" s="734"/>
      <c r="J336" s="3174" t="s">
        <v>2973</v>
      </c>
      <c r="K336" s="3172"/>
      <c r="L336" s="3172"/>
      <c r="M336" s="3172"/>
      <c r="N336" s="3171"/>
      <c r="O336" s="3177"/>
      <c r="P336" s="3524"/>
      <c r="Q336" s="3177">
        <v>4</v>
      </c>
      <c r="R336" s="3524" t="s">
        <v>267</v>
      </c>
      <c r="S336" s="3164">
        <v>70000</v>
      </c>
      <c r="T336" s="3163" t="s">
        <v>4</v>
      </c>
      <c r="U336" s="3163"/>
      <c r="V336" s="3163">
        <v>10</v>
      </c>
      <c r="W336" s="3163" t="s">
        <v>24</v>
      </c>
      <c r="X336" s="3165" t="s">
        <v>5</v>
      </c>
      <c r="Y336" s="3175">
        <f>+Z336/1000</f>
        <v>2800</v>
      </c>
      <c r="Z336" s="3163">
        <f>S336*V336*Q336</f>
        <v>2800000</v>
      </c>
      <c r="AA336" s="3376">
        <f t="shared" si="31"/>
        <v>0</v>
      </c>
      <c r="AB336" s="915"/>
      <c r="AC336" s="915"/>
    </row>
    <row r="337" spans="1:29" s="709" customFormat="1" ht="21" customHeight="1">
      <c r="A337" s="673"/>
      <c r="B337" s="674"/>
      <c r="D337" s="675"/>
      <c r="E337" s="675"/>
      <c r="F337" s="941"/>
      <c r="G337" s="1261"/>
      <c r="H337" s="1239"/>
      <c r="I337" s="734"/>
      <c r="J337" s="3174" t="s">
        <v>2974</v>
      </c>
      <c r="K337" s="3172"/>
      <c r="L337" s="3172"/>
      <c r="M337" s="3172"/>
      <c r="N337" s="3171"/>
      <c r="O337" s="3177"/>
      <c r="P337" s="3524"/>
      <c r="Q337" s="3177">
        <v>1</v>
      </c>
      <c r="R337" s="3524" t="s">
        <v>267</v>
      </c>
      <c r="S337" s="3164">
        <v>2000000</v>
      </c>
      <c r="T337" s="3163" t="s">
        <v>4</v>
      </c>
      <c r="U337" s="3163"/>
      <c r="V337" s="3163">
        <v>3</v>
      </c>
      <c r="W337" s="3163" t="s">
        <v>55</v>
      </c>
      <c r="X337" s="3165" t="s">
        <v>5</v>
      </c>
      <c r="Y337" s="3175">
        <f>+Z337/1000</f>
        <v>6000</v>
      </c>
      <c r="Z337" s="3163">
        <f>S337*V337*Q337</f>
        <v>6000000</v>
      </c>
      <c r="AA337" s="3376">
        <f t="shared" si="31"/>
        <v>0</v>
      </c>
      <c r="AB337" s="915"/>
      <c r="AC337" s="915"/>
    </row>
    <row r="338" spans="1:29" s="709" customFormat="1" ht="21" customHeight="1">
      <c r="A338" s="673"/>
      <c r="B338" s="674"/>
      <c r="D338" s="675"/>
      <c r="E338" s="675" t="s">
        <v>229</v>
      </c>
      <c r="F338" s="864">
        <f>+Y338</f>
        <v>19500</v>
      </c>
      <c r="G338" s="1261">
        <v>9300</v>
      </c>
      <c r="H338" s="1239">
        <f>F338-G338</f>
        <v>10200</v>
      </c>
      <c r="I338" s="734"/>
      <c r="J338" s="3174" t="s">
        <v>224</v>
      </c>
      <c r="K338" s="3172"/>
      <c r="L338" s="3172"/>
      <c r="M338" s="3172"/>
      <c r="N338" s="3171"/>
      <c r="O338" s="3171"/>
      <c r="P338" s="3171"/>
      <c r="Q338" s="992"/>
      <c r="R338" s="3524"/>
      <c r="S338" s="3524" t="s">
        <v>265</v>
      </c>
      <c r="T338" s="684" t="s">
        <v>265</v>
      </c>
      <c r="U338" s="684" t="s">
        <v>265</v>
      </c>
      <c r="V338" s="684" t="s">
        <v>265</v>
      </c>
      <c r="W338" s="684" t="s">
        <v>265</v>
      </c>
      <c r="X338" s="686" t="s">
        <v>265</v>
      </c>
      <c r="Y338" s="3175">
        <f t="shared" ref="Y338:Y342" si="39">+Z338/1000</f>
        <v>19500</v>
      </c>
      <c r="Z338" s="993">
        <f>SUM(Z339:Z340)</f>
        <v>19500000</v>
      </c>
      <c r="AA338" s="3376">
        <f t="shared" si="31"/>
        <v>19500000000</v>
      </c>
      <c r="AB338" s="915"/>
      <c r="AC338" s="915"/>
    </row>
    <row r="339" spans="1:29" s="709" customFormat="1" ht="21" customHeight="1">
      <c r="A339" s="673"/>
      <c r="B339" s="674"/>
      <c r="D339" s="675"/>
      <c r="E339" s="675"/>
      <c r="F339" s="941"/>
      <c r="G339" s="1261"/>
      <c r="H339" s="1239"/>
      <c r="I339" s="734"/>
      <c r="J339" s="3174" t="s">
        <v>2975</v>
      </c>
      <c r="K339" s="3172"/>
      <c r="L339" s="3172"/>
      <c r="M339" s="3172"/>
      <c r="N339" s="3171"/>
      <c r="O339" s="3171"/>
      <c r="P339" s="3171"/>
      <c r="Q339" s="1038">
        <v>1000</v>
      </c>
      <c r="R339" s="3524" t="s">
        <v>266</v>
      </c>
      <c r="S339" s="3164">
        <v>14500</v>
      </c>
      <c r="T339" s="3163" t="s">
        <v>4</v>
      </c>
      <c r="U339" s="3163"/>
      <c r="V339" s="3163">
        <v>1</v>
      </c>
      <c r="W339" s="3163" t="s">
        <v>39</v>
      </c>
      <c r="X339" s="3165" t="s">
        <v>5</v>
      </c>
      <c r="Y339" s="3175">
        <f t="shared" si="39"/>
        <v>14500</v>
      </c>
      <c r="Z339" s="3163">
        <f>Q339*S339*V339</f>
        <v>14500000</v>
      </c>
      <c r="AA339" s="3376">
        <f t="shared" si="31"/>
        <v>0</v>
      </c>
      <c r="AB339" s="915"/>
      <c r="AC339" s="915"/>
    </row>
    <row r="340" spans="1:29" s="709" customFormat="1" ht="21" customHeight="1">
      <c r="A340" s="673"/>
      <c r="B340" s="674"/>
      <c r="D340" s="675"/>
      <c r="E340" s="675"/>
      <c r="F340" s="941"/>
      <c r="G340" s="1261"/>
      <c r="H340" s="1239"/>
      <c r="I340" s="734"/>
      <c r="J340" s="3174" t="s">
        <v>2976</v>
      </c>
      <c r="K340" s="3172"/>
      <c r="L340" s="3172"/>
      <c r="M340" s="3172"/>
      <c r="N340" s="3171"/>
      <c r="O340" s="3171"/>
      <c r="P340" s="3171"/>
      <c r="Q340" s="1038">
        <v>5000</v>
      </c>
      <c r="R340" s="3524" t="s">
        <v>266</v>
      </c>
      <c r="S340" s="3164">
        <v>1000</v>
      </c>
      <c r="T340" s="3163" t="s">
        <v>4</v>
      </c>
      <c r="U340" s="3163"/>
      <c r="V340" s="3163">
        <v>1</v>
      </c>
      <c r="W340" s="3163" t="s">
        <v>39</v>
      </c>
      <c r="X340" s="3165" t="s">
        <v>5</v>
      </c>
      <c r="Y340" s="3175">
        <f t="shared" si="39"/>
        <v>5000</v>
      </c>
      <c r="Z340" s="3163">
        <f>Q340*S340*V340</f>
        <v>5000000</v>
      </c>
      <c r="AA340" s="3376">
        <f t="shared" si="31"/>
        <v>0</v>
      </c>
      <c r="AB340" s="915"/>
      <c r="AC340" s="915"/>
    </row>
    <row r="341" spans="1:29" s="709" customFormat="1" ht="22.5" customHeight="1">
      <c r="A341" s="673"/>
      <c r="B341" s="674"/>
      <c r="D341" s="675"/>
      <c r="E341" s="3170" t="s">
        <v>445</v>
      </c>
      <c r="F341" s="864">
        <f>+Y341</f>
        <v>500</v>
      </c>
      <c r="G341" s="1261">
        <v>500</v>
      </c>
      <c r="H341" s="1239"/>
      <c r="I341" s="734"/>
      <c r="J341" s="3174" t="s">
        <v>2977</v>
      </c>
      <c r="K341" s="3172"/>
      <c r="L341" s="3172"/>
      <c r="M341" s="3172"/>
      <c r="N341" s="3171"/>
      <c r="O341" s="3171"/>
      <c r="P341" s="3171"/>
      <c r="Q341" s="992"/>
      <c r="R341" s="3524"/>
      <c r="S341" s="3164">
        <v>500000</v>
      </c>
      <c r="T341" s="3163" t="s">
        <v>4</v>
      </c>
      <c r="U341" s="3163"/>
      <c r="V341" s="3163">
        <v>1</v>
      </c>
      <c r="W341" s="3163" t="s">
        <v>39</v>
      </c>
      <c r="X341" s="3165" t="s">
        <v>5</v>
      </c>
      <c r="Y341" s="3175">
        <f t="shared" si="39"/>
        <v>500</v>
      </c>
      <c r="Z341" s="3163">
        <f>S341*V341</f>
        <v>500000</v>
      </c>
      <c r="AA341" s="3376">
        <f t="shared" si="31"/>
        <v>500000000</v>
      </c>
      <c r="AB341" s="915"/>
      <c r="AC341" s="915"/>
    </row>
    <row r="342" spans="1:29" s="709" customFormat="1" ht="21" customHeight="1">
      <c r="A342" s="673"/>
      <c r="B342" s="674"/>
      <c r="D342" s="675"/>
      <c r="E342" s="675" t="s">
        <v>264</v>
      </c>
      <c r="F342" s="864">
        <f>+Y342</f>
        <v>1500</v>
      </c>
      <c r="G342" s="1261">
        <v>1500</v>
      </c>
      <c r="H342" s="1239"/>
      <c r="I342" s="734"/>
      <c r="J342" s="3174" t="s">
        <v>2978</v>
      </c>
      <c r="K342" s="3172"/>
      <c r="L342" s="3172"/>
      <c r="M342" s="3172"/>
      <c r="N342" s="3171"/>
      <c r="O342" s="3171"/>
      <c r="P342" s="3171"/>
      <c r="Q342" s="1038"/>
      <c r="R342" s="3524"/>
      <c r="S342" s="3164">
        <v>150000</v>
      </c>
      <c r="T342" s="3163" t="s">
        <v>4</v>
      </c>
      <c r="U342" s="3163"/>
      <c r="V342" s="3163">
        <v>10</v>
      </c>
      <c r="W342" s="3163" t="s">
        <v>3</v>
      </c>
      <c r="X342" s="3165" t="s">
        <v>5</v>
      </c>
      <c r="Y342" s="3175">
        <f t="shared" si="39"/>
        <v>1500</v>
      </c>
      <c r="Z342" s="3163">
        <f>S342*V342</f>
        <v>1500000</v>
      </c>
      <c r="AA342" s="3376">
        <f t="shared" si="31"/>
        <v>1500000000</v>
      </c>
      <c r="AB342" s="915"/>
      <c r="AC342" s="915"/>
    </row>
    <row r="343" spans="1:29" s="709" customFormat="1" ht="21" customHeight="1">
      <c r="A343" s="673"/>
      <c r="B343" s="674"/>
      <c r="D343" s="675"/>
      <c r="E343" s="1456" t="s">
        <v>225</v>
      </c>
      <c r="F343" s="864">
        <f>+Y343</f>
        <v>7050</v>
      </c>
      <c r="G343" s="1261">
        <v>7050</v>
      </c>
      <c r="H343" s="1239"/>
      <c r="I343" s="734"/>
      <c r="J343" s="3174" t="s">
        <v>8</v>
      </c>
      <c r="K343" s="3172"/>
      <c r="L343" s="3172"/>
      <c r="M343" s="3172"/>
      <c r="N343" s="3171"/>
      <c r="O343" s="3171"/>
      <c r="P343" s="3171"/>
      <c r="Q343" s="992"/>
      <c r="R343" s="3524"/>
      <c r="S343" s="3524" t="s">
        <v>20</v>
      </c>
      <c r="T343" s="684" t="s">
        <v>20</v>
      </c>
      <c r="U343" s="684" t="s">
        <v>20</v>
      </c>
      <c r="V343" s="684" t="s">
        <v>20</v>
      </c>
      <c r="W343" s="684" t="s">
        <v>20</v>
      </c>
      <c r="X343" s="686" t="s">
        <v>20</v>
      </c>
      <c r="Y343" s="3175">
        <f>SUM(Y344:Y346)</f>
        <v>7050</v>
      </c>
      <c r="Z343" s="993">
        <f>SUM(Z344:Z346)</f>
        <v>7050000</v>
      </c>
      <c r="AA343" s="3376">
        <f t="shared" ref="AA343:AA369" si="40">F343*1000000</f>
        <v>7050000000</v>
      </c>
      <c r="AB343" s="915"/>
      <c r="AC343" s="915"/>
    </row>
    <row r="344" spans="1:29" s="709" customFormat="1" ht="21" customHeight="1">
      <c r="A344" s="673"/>
      <c r="B344" s="674"/>
      <c r="C344" s="948"/>
      <c r="D344" s="675"/>
      <c r="E344" s="675"/>
      <c r="F344" s="941"/>
      <c r="G344" s="1261"/>
      <c r="H344" s="1239"/>
      <c r="I344" s="734"/>
      <c r="J344" s="3174" t="s">
        <v>2979</v>
      </c>
      <c r="K344" s="3172"/>
      <c r="L344" s="3172"/>
      <c r="M344" s="3172"/>
      <c r="N344" s="3171"/>
      <c r="O344" s="3171"/>
      <c r="P344" s="3171"/>
      <c r="Q344" s="992" t="s">
        <v>524</v>
      </c>
      <c r="R344" s="3524" t="s">
        <v>142</v>
      </c>
      <c r="S344" s="3164">
        <v>1500000</v>
      </c>
      <c r="T344" s="3163" t="s">
        <v>0</v>
      </c>
      <c r="U344" s="3163"/>
      <c r="V344" s="3163">
        <v>1</v>
      </c>
      <c r="W344" s="3163" t="s">
        <v>3</v>
      </c>
      <c r="X344" s="3165" t="s">
        <v>1</v>
      </c>
      <c r="Y344" s="3175">
        <f>+Z344/1000</f>
        <v>4500</v>
      </c>
      <c r="Z344" s="3163">
        <f>S344*Q344*V344</f>
        <v>4500000</v>
      </c>
      <c r="AA344" s="3376">
        <f t="shared" si="40"/>
        <v>0</v>
      </c>
      <c r="AB344" s="915"/>
      <c r="AC344" s="915"/>
    </row>
    <row r="345" spans="1:29" s="709" customFormat="1" ht="21" customHeight="1">
      <c r="A345" s="673"/>
      <c r="B345" s="674"/>
      <c r="C345" s="948"/>
      <c r="D345" s="675"/>
      <c r="E345" s="675"/>
      <c r="F345" s="941"/>
      <c r="G345" s="1261"/>
      <c r="H345" s="1239"/>
      <c r="I345" s="734"/>
      <c r="J345" s="3174" t="s">
        <v>2980</v>
      </c>
      <c r="K345" s="3172"/>
      <c r="L345" s="3172"/>
      <c r="M345" s="3172"/>
      <c r="N345" s="3171"/>
      <c r="O345" s="3171"/>
      <c r="P345" s="3171"/>
      <c r="Q345" s="3177">
        <v>3</v>
      </c>
      <c r="R345" s="3524" t="s">
        <v>142</v>
      </c>
      <c r="S345" s="3164">
        <v>150000</v>
      </c>
      <c r="T345" s="3163" t="s">
        <v>0</v>
      </c>
      <c r="U345" s="3163"/>
      <c r="V345" s="3163">
        <v>4</v>
      </c>
      <c r="W345" s="3163" t="s">
        <v>582</v>
      </c>
      <c r="X345" s="3165" t="s">
        <v>1</v>
      </c>
      <c r="Y345" s="3175">
        <f>+Z345/1000</f>
        <v>1800</v>
      </c>
      <c r="Z345" s="3163">
        <f>Q345*S345*V345</f>
        <v>1800000</v>
      </c>
      <c r="AA345" s="3376">
        <f t="shared" si="40"/>
        <v>0</v>
      </c>
      <c r="AB345" s="915"/>
      <c r="AC345" s="915"/>
    </row>
    <row r="346" spans="1:29" s="709" customFormat="1" ht="21" customHeight="1">
      <c r="A346" s="673"/>
      <c r="B346" s="674"/>
      <c r="C346" s="948"/>
      <c r="D346" s="948"/>
      <c r="E346" s="675"/>
      <c r="F346" s="941"/>
      <c r="G346" s="1261"/>
      <c r="H346" s="1239"/>
      <c r="I346" s="734"/>
      <c r="J346" s="3174" t="s">
        <v>2981</v>
      </c>
      <c r="K346" s="3172"/>
      <c r="L346" s="3172"/>
      <c r="M346" s="3172"/>
      <c r="N346" s="3171"/>
      <c r="O346" s="3171"/>
      <c r="P346" s="3171"/>
      <c r="Q346" s="3177">
        <v>3</v>
      </c>
      <c r="R346" s="3524" t="s">
        <v>142</v>
      </c>
      <c r="S346" s="3164">
        <v>50000</v>
      </c>
      <c r="T346" s="3163" t="s">
        <v>0</v>
      </c>
      <c r="U346" s="3163"/>
      <c r="V346" s="3163">
        <v>5</v>
      </c>
      <c r="W346" s="3163" t="s">
        <v>66</v>
      </c>
      <c r="X346" s="3165" t="s">
        <v>1</v>
      </c>
      <c r="Y346" s="3175">
        <f>+Z346/1000</f>
        <v>750</v>
      </c>
      <c r="Z346" s="3163">
        <f>Q346*S346*V346</f>
        <v>750000</v>
      </c>
      <c r="AA346" s="3376">
        <f t="shared" si="40"/>
        <v>0</v>
      </c>
      <c r="AB346" s="915"/>
      <c r="AC346" s="915"/>
    </row>
    <row r="347" spans="1:29" s="931" customFormat="1" ht="21" customHeight="1">
      <c r="A347" s="673"/>
      <c r="B347" s="674"/>
      <c r="C347" s="948"/>
      <c r="D347" s="948"/>
      <c r="E347" s="675" t="s">
        <v>15</v>
      </c>
      <c r="F347" s="864">
        <f>+Y347</f>
        <v>15800</v>
      </c>
      <c r="G347" s="1261">
        <v>15800</v>
      </c>
      <c r="H347" s="1239"/>
      <c r="I347" s="734"/>
      <c r="J347" s="3174" t="s">
        <v>224</v>
      </c>
      <c r="K347" s="3172"/>
      <c r="L347" s="3172"/>
      <c r="M347" s="3172"/>
      <c r="N347" s="3171"/>
      <c r="O347" s="3171"/>
      <c r="P347" s="3171"/>
      <c r="Q347" s="992"/>
      <c r="R347" s="3524"/>
      <c r="S347" s="3524" t="s">
        <v>265</v>
      </c>
      <c r="T347" s="684" t="s">
        <v>265</v>
      </c>
      <c r="U347" s="684" t="s">
        <v>265</v>
      </c>
      <c r="V347" s="684" t="s">
        <v>265</v>
      </c>
      <c r="W347" s="684" t="s">
        <v>265</v>
      </c>
      <c r="X347" s="686" t="s">
        <v>265</v>
      </c>
      <c r="Y347" s="3175">
        <f>SUM(Y348:Y351)</f>
        <v>15800</v>
      </c>
      <c r="Z347" s="993">
        <f>SUM(Z348:Z351)</f>
        <v>15800000</v>
      </c>
      <c r="AA347" s="3376">
        <f t="shared" si="40"/>
        <v>15800000000</v>
      </c>
      <c r="AB347" s="930"/>
      <c r="AC347" s="930"/>
    </row>
    <row r="348" spans="1:29" s="931" customFormat="1" ht="21" customHeight="1">
      <c r="A348" s="673"/>
      <c r="B348" s="674"/>
      <c r="C348" s="948"/>
      <c r="D348" s="948"/>
      <c r="E348" s="675"/>
      <c r="F348" s="941"/>
      <c r="G348" s="1261"/>
      <c r="H348" s="1239"/>
      <c r="I348" s="734"/>
      <c r="J348" s="3174" t="s">
        <v>3091</v>
      </c>
      <c r="K348" s="3172"/>
      <c r="L348" s="3172"/>
      <c r="M348" s="3172"/>
      <c r="N348" s="3171"/>
      <c r="O348" s="3177"/>
      <c r="P348" s="3524"/>
      <c r="Q348" s="3177"/>
      <c r="R348" s="3524"/>
      <c r="S348" s="3164">
        <v>2000000</v>
      </c>
      <c r="T348" s="3163" t="s">
        <v>4</v>
      </c>
      <c r="U348" s="3163"/>
      <c r="V348" s="3163">
        <v>2</v>
      </c>
      <c r="W348" s="3163" t="s">
        <v>878</v>
      </c>
      <c r="X348" s="3165" t="s">
        <v>5</v>
      </c>
      <c r="Y348" s="3175">
        <f t="shared" ref="Y348:Y369" si="41">+Z348/1000</f>
        <v>4000</v>
      </c>
      <c r="Z348" s="3163">
        <f>SUM(S348*V348)</f>
        <v>4000000</v>
      </c>
      <c r="AA348" s="3376">
        <f t="shared" si="40"/>
        <v>0</v>
      </c>
      <c r="AB348" s="930"/>
      <c r="AC348" s="930"/>
    </row>
    <row r="349" spans="1:29" s="709" customFormat="1" ht="21" customHeight="1">
      <c r="A349" s="673"/>
      <c r="B349" s="674"/>
      <c r="C349" s="948"/>
      <c r="D349" s="675"/>
      <c r="E349" s="675"/>
      <c r="F349" s="941"/>
      <c r="G349" s="1261"/>
      <c r="H349" s="1239"/>
      <c r="I349" s="734"/>
      <c r="J349" s="3174" t="s">
        <v>3092</v>
      </c>
      <c r="K349" s="3172"/>
      <c r="L349" s="3172"/>
      <c r="M349" s="3172"/>
      <c r="N349" s="3171"/>
      <c r="O349" s="3171"/>
      <c r="P349" s="3171"/>
      <c r="Q349" s="3177"/>
      <c r="R349" s="3524"/>
      <c r="S349" s="3164">
        <v>50000</v>
      </c>
      <c r="T349" s="3163" t="s">
        <v>4</v>
      </c>
      <c r="U349" s="3163"/>
      <c r="V349" s="3163">
        <v>24</v>
      </c>
      <c r="W349" s="3163" t="s">
        <v>581</v>
      </c>
      <c r="X349" s="3165" t="s">
        <v>5</v>
      </c>
      <c r="Y349" s="3175">
        <f t="shared" si="41"/>
        <v>1200</v>
      </c>
      <c r="Z349" s="3163">
        <f>S349*V349</f>
        <v>1200000</v>
      </c>
      <c r="AA349" s="3376">
        <f t="shared" si="40"/>
        <v>0</v>
      </c>
      <c r="AB349" s="915"/>
      <c r="AC349" s="915"/>
    </row>
    <row r="350" spans="1:29" ht="21" customHeight="1">
      <c r="A350" s="673"/>
      <c r="B350" s="674"/>
      <c r="C350" s="948"/>
      <c r="D350" s="948"/>
      <c r="E350" s="675"/>
      <c r="F350" s="941"/>
      <c r="G350" s="1261"/>
      <c r="H350" s="1239"/>
      <c r="I350" s="734"/>
      <c r="J350" s="3174" t="s">
        <v>3093</v>
      </c>
      <c r="K350" s="3172"/>
      <c r="L350" s="3172"/>
      <c r="M350" s="3172"/>
      <c r="N350" s="3171"/>
      <c r="O350" s="3171"/>
      <c r="P350" s="3171"/>
      <c r="Q350" s="3177"/>
      <c r="R350" s="3524"/>
      <c r="S350" s="3164">
        <v>30000</v>
      </c>
      <c r="T350" s="3163" t="s">
        <v>0</v>
      </c>
      <c r="U350" s="3163"/>
      <c r="V350" s="3163">
        <v>20</v>
      </c>
      <c r="W350" s="3163" t="s">
        <v>581</v>
      </c>
      <c r="X350" s="3165" t="s">
        <v>1</v>
      </c>
      <c r="Y350" s="3175">
        <f t="shared" si="41"/>
        <v>600</v>
      </c>
      <c r="Z350" s="3163">
        <f>S350*V350</f>
        <v>600000</v>
      </c>
      <c r="AA350" s="3376">
        <f t="shared" si="40"/>
        <v>0</v>
      </c>
    </row>
    <row r="351" spans="1:29" ht="21" customHeight="1">
      <c r="A351" s="673"/>
      <c r="B351" s="674"/>
      <c r="C351" s="948"/>
      <c r="D351" s="948"/>
      <c r="E351" s="675"/>
      <c r="F351" s="941"/>
      <c r="G351" s="1261"/>
      <c r="H351" s="1239"/>
      <c r="I351" s="734"/>
      <c r="J351" s="3174" t="s">
        <v>3094</v>
      </c>
      <c r="K351" s="3172"/>
      <c r="L351" s="3172"/>
      <c r="M351" s="3172"/>
      <c r="N351" s="3171"/>
      <c r="O351" s="3171"/>
      <c r="P351" s="3171"/>
      <c r="Q351" s="992"/>
      <c r="R351" s="3524"/>
      <c r="S351" s="3164">
        <v>10000000</v>
      </c>
      <c r="T351" s="3163" t="s">
        <v>4</v>
      </c>
      <c r="U351" s="3163"/>
      <c r="V351" s="3163">
        <v>1</v>
      </c>
      <c r="W351" s="3163" t="s">
        <v>75</v>
      </c>
      <c r="X351" s="3165" t="s">
        <v>5</v>
      </c>
      <c r="Y351" s="3175">
        <f t="shared" si="41"/>
        <v>10000</v>
      </c>
      <c r="Z351" s="3163">
        <f>S351*V351</f>
        <v>10000000</v>
      </c>
      <c r="AA351" s="3376">
        <f t="shared" si="40"/>
        <v>0</v>
      </c>
    </row>
    <row r="352" spans="1:29" ht="21" customHeight="1">
      <c r="A352" s="673"/>
      <c r="B352" s="674"/>
      <c r="C352" s="948"/>
      <c r="D352" s="675"/>
      <c r="E352" s="675" t="s">
        <v>16</v>
      </c>
      <c r="F352" s="864">
        <f>+Y352</f>
        <v>114500</v>
      </c>
      <c r="G352" s="941">
        <v>114500</v>
      </c>
      <c r="H352" s="1239"/>
      <c r="I352" s="734"/>
      <c r="J352" s="3174" t="s">
        <v>224</v>
      </c>
      <c r="K352" s="3172"/>
      <c r="L352" s="3172"/>
      <c r="M352" s="3172"/>
      <c r="N352" s="3171"/>
      <c r="O352" s="3171"/>
      <c r="P352" s="3171"/>
      <c r="Q352" s="992"/>
      <c r="R352" s="3524"/>
      <c r="S352" s="3524" t="s">
        <v>265</v>
      </c>
      <c r="T352" s="684" t="s">
        <v>265</v>
      </c>
      <c r="U352" s="684" t="s">
        <v>265</v>
      </c>
      <c r="V352" s="684" t="s">
        <v>265</v>
      </c>
      <c r="W352" s="684" t="s">
        <v>265</v>
      </c>
      <c r="X352" s="3165"/>
      <c r="Y352" s="3175">
        <f t="shared" si="41"/>
        <v>114500</v>
      </c>
      <c r="Z352" s="993">
        <f>SUM(Z353:Z360)</f>
        <v>114500000</v>
      </c>
      <c r="AA352" s="3376">
        <f t="shared" si="40"/>
        <v>114500000000</v>
      </c>
    </row>
    <row r="353" spans="1:29" ht="21" customHeight="1">
      <c r="A353" s="1931"/>
      <c r="B353" s="630"/>
      <c r="C353" s="631"/>
      <c r="D353" s="468"/>
      <c r="E353" s="675"/>
      <c r="F353" s="941"/>
      <c r="G353" s="1261"/>
      <c r="H353" s="1239"/>
      <c r="I353" s="734"/>
      <c r="J353" s="3174" t="s">
        <v>3095</v>
      </c>
      <c r="K353" s="3172"/>
      <c r="L353" s="3172"/>
      <c r="M353" s="3172"/>
      <c r="N353" s="3171"/>
      <c r="O353" s="3171"/>
      <c r="P353" s="3171"/>
      <c r="Q353" s="992"/>
      <c r="R353" s="3524"/>
      <c r="S353" s="3164">
        <v>20000000</v>
      </c>
      <c r="T353" s="3163" t="s">
        <v>4</v>
      </c>
      <c r="U353" s="3163"/>
      <c r="V353" s="3163">
        <v>1</v>
      </c>
      <c r="W353" s="3163" t="s">
        <v>39</v>
      </c>
      <c r="X353" s="3165" t="s">
        <v>5</v>
      </c>
      <c r="Y353" s="3175">
        <f t="shared" si="41"/>
        <v>20000</v>
      </c>
      <c r="Z353" s="3163">
        <f t="shared" ref="Z353:Z360" si="42">S353*V353</f>
        <v>20000000</v>
      </c>
      <c r="AA353" s="3376">
        <f t="shared" si="40"/>
        <v>0</v>
      </c>
    </row>
    <row r="354" spans="1:29" s="880" customFormat="1" ht="21" customHeight="1">
      <c r="A354" s="1931"/>
      <c r="B354" s="630"/>
      <c r="C354" s="631"/>
      <c r="D354" s="631"/>
      <c r="E354" s="675"/>
      <c r="F354" s="941"/>
      <c r="G354" s="1261"/>
      <c r="H354" s="1239"/>
      <c r="I354" s="734"/>
      <c r="J354" s="3174" t="s">
        <v>3096</v>
      </c>
      <c r="K354" s="3172"/>
      <c r="L354" s="3172"/>
      <c r="M354" s="3172"/>
      <c r="N354" s="3171"/>
      <c r="O354" s="3171"/>
      <c r="P354" s="3171"/>
      <c r="Q354" s="992"/>
      <c r="R354" s="3524"/>
      <c r="S354" s="3164">
        <v>5000000</v>
      </c>
      <c r="T354" s="3163" t="s">
        <v>4</v>
      </c>
      <c r="U354" s="3163"/>
      <c r="V354" s="3163">
        <v>1</v>
      </c>
      <c r="W354" s="3163" t="s">
        <v>39</v>
      </c>
      <c r="X354" s="3165" t="s">
        <v>5</v>
      </c>
      <c r="Y354" s="3175">
        <f t="shared" si="41"/>
        <v>5000</v>
      </c>
      <c r="Z354" s="3163">
        <f t="shared" si="42"/>
        <v>5000000</v>
      </c>
      <c r="AA354" s="3376">
        <f t="shared" si="40"/>
        <v>0</v>
      </c>
      <c r="AB354" s="308"/>
      <c r="AC354" s="308"/>
    </row>
    <row r="355" spans="1:29" ht="21" customHeight="1">
      <c r="A355" s="1931"/>
      <c r="B355" s="630"/>
      <c r="C355" s="631"/>
      <c r="D355" s="631"/>
      <c r="E355" s="675"/>
      <c r="F355" s="941"/>
      <c r="G355" s="1261"/>
      <c r="H355" s="1239"/>
      <c r="I355" s="734"/>
      <c r="J355" s="3174" t="s">
        <v>3097</v>
      </c>
      <c r="K355" s="3172"/>
      <c r="L355" s="3172"/>
      <c r="M355" s="3172"/>
      <c r="N355" s="3171"/>
      <c r="O355" s="3171"/>
      <c r="P355" s="3171"/>
      <c r="Q355" s="992"/>
      <c r="R355" s="3524"/>
      <c r="S355" s="3164">
        <v>1500000</v>
      </c>
      <c r="T355" s="3163" t="s">
        <v>4</v>
      </c>
      <c r="U355" s="3163"/>
      <c r="V355" s="3163">
        <v>1</v>
      </c>
      <c r="W355" s="3163" t="s">
        <v>3098</v>
      </c>
      <c r="X355" s="3165" t="s">
        <v>5</v>
      </c>
      <c r="Y355" s="3175">
        <f t="shared" si="41"/>
        <v>1500</v>
      </c>
      <c r="Z355" s="3163">
        <f t="shared" si="42"/>
        <v>1500000</v>
      </c>
      <c r="AA355" s="3376">
        <f t="shared" si="40"/>
        <v>0</v>
      </c>
    </row>
    <row r="356" spans="1:29" ht="21" customHeight="1">
      <c r="A356" s="1931"/>
      <c r="B356" s="630"/>
      <c r="C356" s="631"/>
      <c r="D356" s="631"/>
      <c r="E356" s="675"/>
      <c r="F356" s="941"/>
      <c r="G356" s="1261"/>
      <c r="H356" s="1239"/>
      <c r="I356" s="734"/>
      <c r="J356" s="3174" t="s">
        <v>3099</v>
      </c>
      <c r="K356" s="3172"/>
      <c r="L356" s="3172"/>
      <c r="M356" s="3172"/>
      <c r="N356" s="3171"/>
      <c r="O356" s="3171"/>
      <c r="P356" s="3171"/>
      <c r="Q356" s="992"/>
      <c r="R356" s="3524"/>
      <c r="S356" s="3164">
        <v>50000</v>
      </c>
      <c r="T356" s="3163" t="s">
        <v>4</v>
      </c>
      <c r="U356" s="3163"/>
      <c r="V356" s="3163">
        <v>70</v>
      </c>
      <c r="W356" s="3163" t="s">
        <v>908</v>
      </c>
      <c r="X356" s="3165" t="s">
        <v>5</v>
      </c>
      <c r="Y356" s="3175">
        <f t="shared" si="41"/>
        <v>3500</v>
      </c>
      <c r="Z356" s="3163">
        <f t="shared" si="42"/>
        <v>3500000</v>
      </c>
      <c r="AA356" s="3376">
        <f t="shared" si="40"/>
        <v>0</v>
      </c>
    </row>
    <row r="357" spans="1:29" ht="21" customHeight="1">
      <c r="A357" s="1931"/>
      <c r="B357" s="630"/>
      <c r="C357" s="631"/>
      <c r="D357" s="631"/>
      <c r="E357" s="675"/>
      <c r="F357" s="941"/>
      <c r="G357" s="1261"/>
      <c r="H357" s="1239"/>
      <c r="I357" s="734"/>
      <c r="J357" s="3174" t="s">
        <v>3100</v>
      </c>
      <c r="K357" s="3172"/>
      <c r="L357" s="3172"/>
      <c r="M357" s="3172"/>
      <c r="N357" s="3171"/>
      <c r="O357" s="3171"/>
      <c r="P357" s="3171"/>
      <c r="Q357" s="3177"/>
      <c r="R357" s="3524"/>
      <c r="S357" s="3164">
        <v>12375000</v>
      </c>
      <c r="T357" s="3163" t="s">
        <v>4</v>
      </c>
      <c r="U357" s="3163"/>
      <c r="V357" s="3163">
        <v>4</v>
      </c>
      <c r="W357" s="3163" t="s">
        <v>55</v>
      </c>
      <c r="X357" s="3165" t="s">
        <v>5</v>
      </c>
      <c r="Y357" s="3175">
        <f t="shared" si="41"/>
        <v>49500</v>
      </c>
      <c r="Z357" s="3163">
        <f t="shared" si="42"/>
        <v>49500000</v>
      </c>
      <c r="AA357" s="3376">
        <f t="shared" si="40"/>
        <v>0</v>
      </c>
    </row>
    <row r="358" spans="1:29" ht="21" customHeight="1">
      <c r="A358" s="1931"/>
      <c r="B358" s="630"/>
      <c r="C358" s="631"/>
      <c r="D358" s="631"/>
      <c r="E358" s="675"/>
      <c r="F358" s="941"/>
      <c r="G358" s="1261"/>
      <c r="H358" s="1239"/>
      <c r="I358" s="734"/>
      <c r="J358" s="3174" t="s">
        <v>3101</v>
      </c>
      <c r="K358" s="3172"/>
      <c r="L358" s="3172"/>
      <c r="M358" s="3172"/>
      <c r="N358" s="3171"/>
      <c r="O358" s="3171"/>
      <c r="P358" s="3171"/>
      <c r="Q358" s="992"/>
      <c r="R358" s="3524"/>
      <c r="S358" s="3164">
        <v>20000000</v>
      </c>
      <c r="T358" s="3163" t="s">
        <v>4</v>
      </c>
      <c r="U358" s="3163"/>
      <c r="V358" s="3163">
        <v>1</v>
      </c>
      <c r="W358" s="3163" t="s">
        <v>39</v>
      </c>
      <c r="X358" s="3165" t="s">
        <v>5</v>
      </c>
      <c r="Y358" s="3175">
        <f t="shared" si="41"/>
        <v>20000</v>
      </c>
      <c r="Z358" s="3163">
        <f t="shared" si="42"/>
        <v>20000000</v>
      </c>
      <c r="AA358" s="3376">
        <f t="shared" si="40"/>
        <v>0</v>
      </c>
    </row>
    <row r="359" spans="1:29" s="709" customFormat="1" ht="21" customHeight="1">
      <c r="A359" s="1931"/>
      <c r="B359" s="630"/>
      <c r="C359" s="631"/>
      <c r="D359" s="631"/>
      <c r="E359" s="675"/>
      <c r="F359" s="941"/>
      <c r="G359" s="1261"/>
      <c r="H359" s="1239"/>
      <c r="I359" s="734"/>
      <c r="J359" s="3174" t="s">
        <v>3102</v>
      </c>
      <c r="K359" s="3172"/>
      <c r="L359" s="3172"/>
      <c r="M359" s="3172"/>
      <c r="N359" s="3171"/>
      <c r="O359" s="3171"/>
      <c r="P359" s="3171"/>
      <c r="Q359" s="992"/>
      <c r="R359" s="3524"/>
      <c r="S359" s="3164">
        <v>5000000</v>
      </c>
      <c r="T359" s="3163" t="s">
        <v>4</v>
      </c>
      <c r="U359" s="3163"/>
      <c r="V359" s="3163">
        <v>1</v>
      </c>
      <c r="W359" s="3163" t="s">
        <v>39</v>
      </c>
      <c r="X359" s="3165" t="s">
        <v>5</v>
      </c>
      <c r="Y359" s="3175">
        <f t="shared" si="41"/>
        <v>5000</v>
      </c>
      <c r="Z359" s="3163">
        <f t="shared" si="42"/>
        <v>5000000</v>
      </c>
      <c r="AA359" s="3376">
        <f t="shared" si="40"/>
        <v>0</v>
      </c>
      <c r="AB359" s="915"/>
      <c r="AC359" s="915"/>
    </row>
    <row r="360" spans="1:29" s="709" customFormat="1" ht="21" customHeight="1">
      <c r="A360" s="1931"/>
      <c r="B360" s="630"/>
      <c r="C360" s="631"/>
      <c r="D360" s="631"/>
      <c r="E360" s="675"/>
      <c r="F360" s="941"/>
      <c r="G360" s="1261"/>
      <c r="H360" s="1239"/>
      <c r="I360" s="734"/>
      <c r="J360" s="3174" t="s">
        <v>3103</v>
      </c>
      <c r="K360" s="3172"/>
      <c r="L360" s="3172"/>
      <c r="M360" s="3172"/>
      <c r="N360" s="3171"/>
      <c r="O360" s="3171"/>
      <c r="P360" s="3171"/>
      <c r="Q360" s="992"/>
      <c r="R360" s="3524"/>
      <c r="S360" s="3164">
        <v>10000000</v>
      </c>
      <c r="T360" s="3163" t="s">
        <v>4</v>
      </c>
      <c r="U360" s="3163"/>
      <c r="V360" s="3163">
        <v>1</v>
      </c>
      <c r="W360" s="3163" t="s">
        <v>6</v>
      </c>
      <c r="X360" s="3165" t="s">
        <v>5</v>
      </c>
      <c r="Y360" s="3175">
        <f t="shared" si="41"/>
        <v>10000</v>
      </c>
      <c r="Z360" s="3163">
        <f t="shared" si="42"/>
        <v>10000000</v>
      </c>
      <c r="AA360" s="3376">
        <f t="shared" si="40"/>
        <v>0</v>
      </c>
      <c r="AB360" s="915"/>
      <c r="AC360" s="915"/>
    </row>
    <row r="361" spans="1:29" s="709" customFormat="1" ht="21" customHeight="1">
      <c r="A361" s="1931"/>
      <c r="B361" s="630"/>
      <c r="C361" s="631"/>
      <c r="D361" s="631"/>
      <c r="E361" s="675" t="s">
        <v>262</v>
      </c>
      <c r="F361" s="864">
        <f>+Y361</f>
        <v>6750</v>
      </c>
      <c r="G361" s="1261">
        <v>2750</v>
      </c>
      <c r="H361" s="1239">
        <f>F361-G361</f>
        <v>4000</v>
      </c>
      <c r="I361" s="734"/>
      <c r="J361" s="3174" t="s">
        <v>224</v>
      </c>
      <c r="K361" s="3172"/>
      <c r="L361" s="3172"/>
      <c r="M361" s="3172"/>
      <c r="N361" s="3171"/>
      <c r="O361" s="3177"/>
      <c r="P361" s="3524"/>
      <c r="Q361" s="3177"/>
      <c r="R361" s="3524"/>
      <c r="S361" s="3164"/>
      <c r="T361" s="3163"/>
      <c r="U361" s="3163"/>
      <c r="V361" s="3163"/>
      <c r="W361" s="3163"/>
      <c r="X361" s="3165"/>
      <c r="Y361" s="3175">
        <f t="shared" si="41"/>
        <v>6750</v>
      </c>
      <c r="Z361" s="3163">
        <f>SUM(Z362:Z363)</f>
        <v>6750000</v>
      </c>
      <c r="AA361" s="3376">
        <f t="shared" si="40"/>
        <v>6750000000</v>
      </c>
      <c r="AB361" s="915"/>
      <c r="AC361" s="915"/>
    </row>
    <row r="362" spans="1:29" s="931" customFormat="1" ht="21" customHeight="1">
      <c r="A362" s="673"/>
      <c r="B362" s="674"/>
      <c r="C362" s="948"/>
      <c r="D362" s="948"/>
      <c r="E362" s="675"/>
      <c r="F362" s="941"/>
      <c r="G362" s="1261"/>
      <c r="H362" s="1239"/>
      <c r="I362" s="734"/>
      <c r="J362" s="3174" t="s">
        <v>3104</v>
      </c>
      <c r="K362" s="3172"/>
      <c r="L362" s="3172"/>
      <c r="M362" s="3172"/>
      <c r="N362" s="3171"/>
      <c r="O362" s="3177"/>
      <c r="P362" s="3524"/>
      <c r="Q362" s="3177">
        <v>1</v>
      </c>
      <c r="R362" s="3524" t="s">
        <v>19</v>
      </c>
      <c r="S362" s="3164">
        <v>500000</v>
      </c>
      <c r="T362" s="3163" t="s">
        <v>4</v>
      </c>
      <c r="U362" s="3163"/>
      <c r="V362" s="3163">
        <v>2</v>
      </c>
      <c r="W362" s="3163" t="s">
        <v>39</v>
      </c>
      <c r="X362" s="3165" t="s">
        <v>5</v>
      </c>
      <c r="Y362" s="3175">
        <f t="shared" si="41"/>
        <v>1000</v>
      </c>
      <c r="Z362" s="3163">
        <f>Q362*S362*V362</f>
        <v>1000000</v>
      </c>
      <c r="AA362" s="3376">
        <f t="shared" si="40"/>
        <v>0</v>
      </c>
      <c r="AB362" s="930"/>
      <c r="AC362" s="930"/>
    </row>
    <row r="363" spans="1:29" s="709" customFormat="1" ht="21" customHeight="1">
      <c r="A363" s="673"/>
      <c r="B363" s="674"/>
      <c r="C363" s="948"/>
      <c r="D363" s="948"/>
      <c r="E363" s="675"/>
      <c r="F363" s="941"/>
      <c r="G363" s="1261"/>
      <c r="H363" s="1239"/>
      <c r="I363" s="734"/>
      <c r="J363" s="3174" t="s">
        <v>3105</v>
      </c>
      <c r="K363" s="3172"/>
      <c r="L363" s="3172"/>
      <c r="M363" s="3172"/>
      <c r="N363" s="3171"/>
      <c r="O363" s="3177"/>
      <c r="P363" s="3524"/>
      <c r="Q363" s="3177"/>
      <c r="R363" s="3524"/>
      <c r="S363" s="3164">
        <v>1150000</v>
      </c>
      <c r="T363" s="3163" t="s">
        <v>4</v>
      </c>
      <c r="U363" s="3163"/>
      <c r="V363" s="3163">
        <v>5</v>
      </c>
      <c r="W363" s="3163" t="s">
        <v>39</v>
      </c>
      <c r="X363" s="3165" t="s">
        <v>1</v>
      </c>
      <c r="Y363" s="3175">
        <f t="shared" si="41"/>
        <v>5750</v>
      </c>
      <c r="Z363" s="3163">
        <f>S363*V363</f>
        <v>5750000</v>
      </c>
      <c r="AA363" s="3376">
        <f t="shared" si="40"/>
        <v>0</v>
      </c>
      <c r="AB363" s="915"/>
      <c r="AC363" s="915"/>
    </row>
    <row r="364" spans="1:29" s="709" customFormat="1" ht="21" customHeight="1">
      <c r="A364" s="673"/>
      <c r="B364" s="674"/>
      <c r="C364" s="948"/>
      <c r="D364" s="948"/>
      <c r="E364" s="3170" t="s">
        <v>17</v>
      </c>
      <c r="F364" s="864">
        <f>+Y364</f>
        <v>1000</v>
      </c>
      <c r="G364" s="1261">
        <v>1000</v>
      </c>
      <c r="H364" s="1239"/>
      <c r="I364" s="734" t="s">
        <v>48</v>
      </c>
      <c r="J364" s="3174" t="s">
        <v>580</v>
      </c>
      <c r="K364" s="3172"/>
      <c r="L364" s="3172"/>
      <c r="M364" s="3172"/>
      <c r="N364" s="3171"/>
      <c r="O364" s="3171"/>
      <c r="P364" s="3171"/>
      <c r="Q364" s="3177">
        <v>1000</v>
      </c>
      <c r="R364" s="3524" t="s">
        <v>143</v>
      </c>
      <c r="S364" s="3164">
        <v>1000</v>
      </c>
      <c r="T364" s="3163" t="s">
        <v>4</v>
      </c>
      <c r="U364" s="3163"/>
      <c r="V364" s="3163">
        <v>1</v>
      </c>
      <c r="W364" s="3163" t="s">
        <v>39</v>
      </c>
      <c r="X364" s="3165" t="s">
        <v>5</v>
      </c>
      <c r="Y364" s="3175">
        <f t="shared" si="41"/>
        <v>1000</v>
      </c>
      <c r="Z364" s="3163">
        <f>Q364*S364*V364</f>
        <v>1000000</v>
      </c>
      <c r="AA364" s="3376">
        <f t="shared" si="40"/>
        <v>1000000000</v>
      </c>
      <c r="AB364" s="915"/>
      <c r="AC364" s="915"/>
    </row>
    <row r="365" spans="1:29" s="709" customFormat="1" ht="21" customHeight="1">
      <c r="A365" s="673"/>
      <c r="B365" s="674"/>
      <c r="C365" s="948"/>
      <c r="D365" s="675"/>
      <c r="E365" s="3170" t="s">
        <v>905</v>
      </c>
      <c r="F365" s="864">
        <f>+Y365</f>
        <v>4000</v>
      </c>
      <c r="G365" s="1261">
        <v>0</v>
      </c>
      <c r="H365" s="1239">
        <f>F365-G365</f>
        <v>4000</v>
      </c>
      <c r="I365" s="734"/>
      <c r="J365" s="3174" t="s">
        <v>580</v>
      </c>
      <c r="K365" s="3172" t="s">
        <v>5203</v>
      </c>
      <c r="L365" s="3172"/>
      <c r="M365" s="3172"/>
      <c r="N365" s="3171"/>
      <c r="O365" s="3171"/>
      <c r="P365" s="3171"/>
      <c r="Q365" s="3177">
        <v>2</v>
      </c>
      <c r="R365" s="3524" t="s">
        <v>143</v>
      </c>
      <c r="S365" s="3164">
        <v>2000000</v>
      </c>
      <c r="T365" s="3163" t="s">
        <v>4</v>
      </c>
      <c r="U365" s="3163"/>
      <c r="V365" s="3163">
        <v>1</v>
      </c>
      <c r="W365" s="3163" t="s">
        <v>39</v>
      </c>
      <c r="X365" s="3165" t="s">
        <v>5</v>
      </c>
      <c r="Y365" s="3175">
        <f t="shared" si="41"/>
        <v>4000</v>
      </c>
      <c r="Z365" s="3163">
        <f>Q365*S365*V365</f>
        <v>4000000</v>
      </c>
      <c r="AA365" s="3376">
        <f t="shared" si="40"/>
        <v>4000000000</v>
      </c>
      <c r="AB365" s="915"/>
      <c r="AC365" s="915"/>
    </row>
    <row r="366" spans="1:29" s="709" customFormat="1" ht="21" customHeight="1">
      <c r="A366" s="673"/>
      <c r="B366" s="674"/>
      <c r="C366" s="948"/>
      <c r="D366" s="675"/>
      <c r="E366" s="675" t="s">
        <v>73</v>
      </c>
      <c r="F366" s="864">
        <f>+Y366</f>
        <v>4300</v>
      </c>
      <c r="G366" s="1261">
        <v>1300</v>
      </c>
      <c r="H366" s="1239">
        <f>F366-G366</f>
        <v>3000</v>
      </c>
      <c r="I366" s="734"/>
      <c r="J366" s="3174" t="s">
        <v>224</v>
      </c>
      <c r="K366" s="3172"/>
      <c r="L366" s="3172"/>
      <c r="M366" s="3172"/>
      <c r="N366" s="3171"/>
      <c r="O366" s="3171"/>
      <c r="P366" s="3171"/>
      <c r="Q366" s="3177"/>
      <c r="R366" s="3524"/>
      <c r="S366" s="3164"/>
      <c r="T366" s="3163"/>
      <c r="U366" s="3163"/>
      <c r="V366" s="3163"/>
      <c r="W366" s="3163"/>
      <c r="X366" s="3165"/>
      <c r="Y366" s="3175">
        <f t="shared" si="41"/>
        <v>4300</v>
      </c>
      <c r="Z366" s="3163">
        <f>SUM(Z367:Z368)</f>
        <v>4300000</v>
      </c>
      <c r="AA366" s="3376">
        <f t="shared" si="40"/>
        <v>4300000000</v>
      </c>
      <c r="AB366" s="915"/>
      <c r="AC366" s="915"/>
    </row>
    <row r="367" spans="1:29" s="931" customFormat="1" ht="21" customHeight="1">
      <c r="A367" s="673"/>
      <c r="B367" s="674"/>
      <c r="C367" s="709"/>
      <c r="D367" s="675"/>
      <c r="E367" s="3170"/>
      <c r="F367" s="941"/>
      <c r="G367" s="1261"/>
      <c r="H367" s="1239"/>
      <c r="I367" s="734"/>
      <c r="J367" s="3174" t="s">
        <v>2995</v>
      </c>
      <c r="K367" s="3172"/>
      <c r="L367" s="3172"/>
      <c r="M367" s="3172"/>
      <c r="N367" s="3171"/>
      <c r="O367" s="3171"/>
      <c r="P367" s="3171"/>
      <c r="Q367" s="3177">
        <v>330</v>
      </c>
      <c r="R367" s="3524" t="s">
        <v>267</v>
      </c>
      <c r="S367" s="3164">
        <v>10000</v>
      </c>
      <c r="T367" s="3163" t="s">
        <v>4</v>
      </c>
      <c r="U367" s="3163"/>
      <c r="V367" s="3163">
        <v>1</v>
      </c>
      <c r="W367" s="3163" t="s">
        <v>39</v>
      </c>
      <c r="X367" s="3165" t="s">
        <v>5</v>
      </c>
      <c r="Y367" s="3175">
        <f t="shared" si="41"/>
        <v>3300</v>
      </c>
      <c r="Z367" s="3163">
        <f>S367*V367*Q367</f>
        <v>3300000</v>
      </c>
      <c r="AA367" s="3376">
        <f t="shared" si="40"/>
        <v>0</v>
      </c>
      <c r="AB367" s="930"/>
      <c r="AC367" s="930"/>
    </row>
    <row r="368" spans="1:29" s="880" customFormat="1" ht="21" customHeight="1">
      <c r="A368" s="673"/>
      <c r="B368" s="674"/>
      <c r="C368" s="709"/>
      <c r="D368" s="675"/>
      <c r="E368" s="3170"/>
      <c r="F368" s="941"/>
      <c r="G368" s="1261"/>
      <c r="H368" s="1239"/>
      <c r="I368" s="734"/>
      <c r="J368" s="3174" t="s">
        <v>2997</v>
      </c>
      <c r="K368" s="3172"/>
      <c r="L368" s="3172"/>
      <c r="M368" s="3172"/>
      <c r="N368" s="3171"/>
      <c r="O368" s="3171"/>
      <c r="P368" s="3171"/>
      <c r="Q368" s="3177">
        <v>50</v>
      </c>
      <c r="R368" s="3524" t="s">
        <v>267</v>
      </c>
      <c r="S368" s="3164">
        <v>10000</v>
      </c>
      <c r="T368" s="3163" t="s">
        <v>4</v>
      </c>
      <c r="U368" s="3163"/>
      <c r="V368" s="3163">
        <v>2</v>
      </c>
      <c r="W368" s="3163" t="s">
        <v>39</v>
      </c>
      <c r="X368" s="3165" t="s">
        <v>5</v>
      </c>
      <c r="Y368" s="3175">
        <f t="shared" si="41"/>
        <v>1000</v>
      </c>
      <c r="Z368" s="3163">
        <f>S368*V368*Q368</f>
        <v>1000000</v>
      </c>
      <c r="AA368" s="3376">
        <f t="shared" si="40"/>
        <v>0</v>
      </c>
      <c r="AB368" s="308"/>
      <c r="AC368" s="308"/>
    </row>
    <row r="369" spans="1:33" s="880" customFormat="1" ht="21" customHeight="1">
      <c r="A369" s="673"/>
      <c r="B369" s="674"/>
      <c r="C369" s="709"/>
      <c r="D369" s="970"/>
      <c r="E369" s="3528" t="s">
        <v>14</v>
      </c>
      <c r="F369" s="864">
        <f>+Y369</f>
        <v>1300</v>
      </c>
      <c r="G369" s="1385">
        <v>500</v>
      </c>
      <c r="H369" s="1208">
        <f>F369-G369</f>
        <v>800</v>
      </c>
      <c r="I369" s="734"/>
      <c r="J369" s="991" t="s">
        <v>2999</v>
      </c>
      <c r="K369" s="1411"/>
      <c r="L369" s="1411"/>
      <c r="M369" s="1411"/>
      <c r="N369" s="1415"/>
      <c r="O369" s="1415"/>
      <c r="P369" s="1415"/>
      <c r="Q369" s="1455">
        <v>5</v>
      </c>
      <c r="R369" s="2046" t="s">
        <v>267</v>
      </c>
      <c r="S369" s="979">
        <v>10000</v>
      </c>
      <c r="T369" s="978" t="s">
        <v>4</v>
      </c>
      <c r="U369" s="978"/>
      <c r="V369" s="978">
        <v>26</v>
      </c>
      <c r="W369" s="978" t="s">
        <v>39</v>
      </c>
      <c r="X369" s="1025" t="s">
        <v>5</v>
      </c>
      <c r="Y369" s="1029">
        <f t="shared" si="41"/>
        <v>1300</v>
      </c>
      <c r="Z369" s="3163">
        <f>S369*V369*Q369</f>
        <v>1300000</v>
      </c>
      <c r="AA369" s="3376">
        <f t="shared" si="40"/>
        <v>1300000000</v>
      </c>
      <c r="AB369" s="308"/>
      <c r="AC369" s="308"/>
    </row>
    <row r="370" spans="1:33" s="880" customFormat="1" ht="21" customHeight="1">
      <c r="A370" s="673"/>
      <c r="B370" s="674"/>
      <c r="C370" s="709"/>
      <c r="D370" s="4024" t="s">
        <v>3106</v>
      </c>
      <c r="E370" s="4025"/>
      <c r="F370" s="3168">
        <f>SUM(F371:F402)</f>
        <v>200000</v>
      </c>
      <c r="G370" s="955">
        <f>SUM(G371:G402)</f>
        <v>200000</v>
      </c>
      <c r="H370" s="1208">
        <f>F370-G370</f>
        <v>0</v>
      </c>
      <c r="I370" s="734"/>
      <c r="J370" s="985"/>
      <c r="K370" s="986"/>
      <c r="L370" s="986"/>
      <c r="M370" s="986"/>
      <c r="N370" s="986"/>
      <c r="O370" s="986"/>
      <c r="P370" s="986"/>
      <c r="Q370" s="987"/>
      <c r="R370" s="988"/>
      <c r="S370" s="2115"/>
      <c r="T370" s="988"/>
      <c r="U370" s="2115"/>
      <c r="V370" s="988"/>
      <c r="W370" s="2115"/>
      <c r="X370" s="2115"/>
      <c r="Y370" s="1029"/>
      <c r="Z370" s="736">
        <f>Z371+Z375+Z376+Z377+Z378+Z379+Z380+Z385+Z395+Z398+Z399+Z402</f>
        <v>180200000</v>
      </c>
      <c r="AA370" s="1073">
        <f t="shared" ref="AA370:AA413" si="43">F370*1000000</f>
        <v>200000000000</v>
      </c>
      <c r="AB370" s="308"/>
      <c r="AC370" s="308"/>
      <c r="AD370" s="308"/>
      <c r="AE370" s="308"/>
      <c r="AF370" s="479"/>
      <c r="AG370" s="479"/>
    </row>
    <row r="371" spans="1:33" s="880" customFormat="1" ht="21" customHeight="1">
      <c r="A371" s="1931"/>
      <c r="B371" s="630"/>
      <c r="C371" s="630"/>
      <c r="D371" s="631"/>
      <c r="E371" s="2013" t="s">
        <v>2793</v>
      </c>
      <c r="F371" s="590">
        <f>+Y371</f>
        <v>25650</v>
      </c>
      <c r="G371" s="469">
        <v>24350</v>
      </c>
      <c r="H371" s="1239">
        <f>F371-G371</f>
        <v>1300</v>
      </c>
      <c r="I371" s="634"/>
      <c r="J371" s="1451" t="s">
        <v>224</v>
      </c>
      <c r="K371" s="1317"/>
      <c r="L371" s="1317"/>
      <c r="M371" s="1317"/>
      <c r="N371" s="886"/>
      <c r="O371" s="886"/>
      <c r="P371" s="886"/>
      <c r="Q371" s="890"/>
      <c r="R371" s="3516"/>
      <c r="S371" s="3516" t="s">
        <v>265</v>
      </c>
      <c r="T371" s="3531" t="s">
        <v>265</v>
      </c>
      <c r="U371" s="3531" t="s">
        <v>265</v>
      </c>
      <c r="V371" s="3531" t="s">
        <v>265</v>
      </c>
      <c r="W371" s="3531" t="s">
        <v>265</v>
      </c>
      <c r="X371" s="2030" t="s">
        <v>265</v>
      </c>
      <c r="Y371" s="1452">
        <f>SUM(Y372:Y374)</f>
        <v>25650</v>
      </c>
      <c r="Z371" s="1390">
        <f>SUM(Z372:Z374)</f>
        <v>5850000</v>
      </c>
      <c r="AA371" s="1073"/>
      <c r="AB371" s="308"/>
      <c r="AC371" s="308"/>
    </row>
    <row r="372" spans="1:33" s="880" customFormat="1" ht="21" customHeight="1">
      <c r="A372" s="1931"/>
      <c r="B372" s="630"/>
      <c r="C372" s="1934"/>
      <c r="D372" s="2013"/>
      <c r="E372" s="2013"/>
      <c r="F372" s="824"/>
      <c r="G372" s="469"/>
      <c r="H372" s="470"/>
      <c r="I372" s="634"/>
      <c r="J372" s="1451" t="s">
        <v>2973</v>
      </c>
      <c r="K372" s="1317"/>
      <c r="L372" s="1317"/>
      <c r="M372" s="1317"/>
      <c r="N372" s="886"/>
      <c r="O372" s="1453"/>
      <c r="P372" s="3516"/>
      <c r="Q372" s="1453">
        <v>2</v>
      </c>
      <c r="R372" s="3516" t="s">
        <v>267</v>
      </c>
      <c r="S372" s="3108">
        <v>75000</v>
      </c>
      <c r="T372" s="3107" t="s">
        <v>4</v>
      </c>
      <c r="U372" s="3107"/>
      <c r="V372" s="3107">
        <v>11</v>
      </c>
      <c r="W372" s="3107" t="s">
        <v>24</v>
      </c>
      <c r="X372" s="542" t="s">
        <v>5</v>
      </c>
      <c r="Y372" s="1452">
        <f t="shared" ref="Y372:Y378" si="44">+Z372/1000</f>
        <v>1650</v>
      </c>
      <c r="Z372" s="3107">
        <f>S372*V372*Q372</f>
        <v>1650000</v>
      </c>
      <c r="AA372" s="1073"/>
      <c r="AB372" s="308"/>
      <c r="AC372" s="308"/>
    </row>
    <row r="373" spans="1:33" s="880" customFormat="1" ht="21" customHeight="1">
      <c r="A373" s="1931"/>
      <c r="B373" s="630"/>
      <c r="C373" s="1934"/>
      <c r="D373" s="2013"/>
      <c r="E373" s="2013"/>
      <c r="F373" s="824"/>
      <c r="G373" s="469"/>
      <c r="H373" s="470"/>
      <c r="I373" s="634"/>
      <c r="J373" s="1451" t="s">
        <v>4342</v>
      </c>
      <c r="K373" s="1317"/>
      <c r="L373" s="1317"/>
      <c r="M373" s="1317"/>
      <c r="N373" s="886"/>
      <c r="O373" s="1453"/>
      <c r="P373" s="3516"/>
      <c r="Q373" s="1453">
        <v>1</v>
      </c>
      <c r="R373" s="3516" t="s">
        <v>267</v>
      </c>
      <c r="S373" s="3108">
        <v>2200000</v>
      </c>
      <c r="T373" s="3107" t="s">
        <v>4</v>
      </c>
      <c r="U373" s="3107"/>
      <c r="V373" s="3107">
        <v>9</v>
      </c>
      <c r="W373" s="3107" t="s">
        <v>230</v>
      </c>
      <c r="X373" s="542">
        <f>Y373</f>
        <v>19800</v>
      </c>
      <c r="Y373" s="1452">
        <v>19800</v>
      </c>
      <c r="Z373" s="3107"/>
      <c r="AA373" s="1073"/>
      <c r="AB373" s="308"/>
      <c r="AC373" s="308"/>
    </row>
    <row r="374" spans="1:33" s="880" customFormat="1" ht="21" customHeight="1">
      <c r="A374" s="1931"/>
      <c r="B374" s="630"/>
      <c r="C374" s="1934"/>
      <c r="D374" s="2013"/>
      <c r="E374" s="2013"/>
      <c r="F374" s="824"/>
      <c r="G374" s="469"/>
      <c r="H374" s="470"/>
      <c r="I374" s="634"/>
      <c r="J374" s="1451" t="s">
        <v>4343</v>
      </c>
      <c r="K374" s="1317"/>
      <c r="L374" s="1317"/>
      <c r="M374" s="1317"/>
      <c r="N374" s="886"/>
      <c r="O374" s="1453"/>
      <c r="P374" s="3516"/>
      <c r="Q374" s="1453">
        <v>1</v>
      </c>
      <c r="R374" s="3516" t="s">
        <v>267</v>
      </c>
      <c r="S374" s="3108">
        <v>2100000</v>
      </c>
      <c r="T374" s="3107" t="s">
        <v>4</v>
      </c>
      <c r="U374" s="3107"/>
      <c r="V374" s="3107">
        <v>2</v>
      </c>
      <c r="W374" s="3107" t="s">
        <v>55</v>
      </c>
      <c r="X374" s="542" t="s">
        <v>5</v>
      </c>
      <c r="Y374" s="1452">
        <f t="shared" si="44"/>
        <v>4200</v>
      </c>
      <c r="Z374" s="3107">
        <f>S374*V374*Q374</f>
        <v>4200000</v>
      </c>
      <c r="AA374" s="1073"/>
      <c r="AB374" s="308"/>
      <c r="AC374" s="308"/>
    </row>
    <row r="375" spans="1:33" s="880" customFormat="1" ht="21" customHeight="1">
      <c r="A375" s="1931"/>
      <c r="B375" s="630"/>
      <c r="C375" s="1934"/>
      <c r="D375" s="2013"/>
      <c r="E375" s="631" t="s">
        <v>2968</v>
      </c>
      <c r="F375" s="590">
        <f t="shared" ref="F375:F380" si="45">+Y375</f>
        <v>1600</v>
      </c>
      <c r="G375" s="469">
        <v>1600</v>
      </c>
      <c r="H375" s="1239"/>
      <c r="I375" s="634"/>
      <c r="J375" s="1451" t="s">
        <v>583</v>
      </c>
      <c r="K375" s="1317"/>
      <c r="L375" s="1317"/>
      <c r="M375" s="1317"/>
      <c r="N375" s="886"/>
      <c r="O375" s="886"/>
      <c r="P375" s="886"/>
      <c r="Q375" s="556"/>
      <c r="R375" s="3516"/>
      <c r="S375" s="3108">
        <v>1600000</v>
      </c>
      <c r="T375" s="3107" t="s">
        <v>4</v>
      </c>
      <c r="U375" s="3107"/>
      <c r="V375" s="3107">
        <v>1</v>
      </c>
      <c r="W375" s="3107" t="s">
        <v>3</v>
      </c>
      <c r="X375" s="542" t="s">
        <v>1</v>
      </c>
      <c r="Y375" s="1452">
        <f t="shared" si="44"/>
        <v>1600</v>
      </c>
      <c r="Z375" s="3107">
        <f>S375*V375</f>
        <v>1600000</v>
      </c>
      <c r="AA375" s="1073"/>
      <c r="AB375" s="308"/>
      <c r="AC375" s="308"/>
    </row>
    <row r="376" spans="1:33" s="880" customFormat="1" ht="21" customHeight="1">
      <c r="A376" s="1931"/>
      <c r="B376" s="630"/>
      <c r="C376" s="1934"/>
      <c r="D376" s="2013"/>
      <c r="E376" s="2013" t="s">
        <v>2794</v>
      </c>
      <c r="F376" s="590">
        <f t="shared" si="45"/>
        <v>10000</v>
      </c>
      <c r="G376" s="469">
        <v>10000</v>
      </c>
      <c r="H376" s="470"/>
      <c r="I376" s="634"/>
      <c r="J376" s="1451" t="s">
        <v>5709</v>
      </c>
      <c r="K376" s="1317"/>
      <c r="L376" s="1317"/>
      <c r="M376" s="1317"/>
      <c r="N376" s="886"/>
      <c r="O376" s="886"/>
      <c r="P376" s="886"/>
      <c r="Q376" s="556">
        <v>1000</v>
      </c>
      <c r="R376" s="3516" t="s">
        <v>266</v>
      </c>
      <c r="S376" s="3108">
        <v>10000</v>
      </c>
      <c r="T376" s="3107" t="s">
        <v>4</v>
      </c>
      <c r="U376" s="3107"/>
      <c r="V376" s="3107">
        <v>1</v>
      </c>
      <c r="W376" s="3107" t="s">
        <v>39</v>
      </c>
      <c r="X376" s="542" t="s">
        <v>5</v>
      </c>
      <c r="Y376" s="1452">
        <f t="shared" ref="Y376" si="46">+Z376/1000</f>
        <v>10000</v>
      </c>
      <c r="Z376" s="3107">
        <f>Q376*S376*V376</f>
        <v>10000000</v>
      </c>
      <c r="AA376" s="1073"/>
      <c r="AB376" s="308"/>
      <c r="AC376" s="308"/>
    </row>
    <row r="377" spans="1:33" s="880" customFormat="1" ht="21" customHeight="1">
      <c r="A377" s="1931"/>
      <c r="B377" s="630"/>
      <c r="C377" s="1934"/>
      <c r="D377" s="2013"/>
      <c r="E377" s="631" t="s">
        <v>2800</v>
      </c>
      <c r="F377" s="590">
        <f t="shared" si="45"/>
        <v>500</v>
      </c>
      <c r="G377" s="469">
        <v>500</v>
      </c>
      <c r="H377" s="1239"/>
      <c r="I377" s="634"/>
      <c r="J377" s="1451" t="s">
        <v>2977</v>
      </c>
      <c r="K377" s="1317"/>
      <c r="L377" s="1317"/>
      <c r="M377" s="1317"/>
      <c r="N377" s="886"/>
      <c r="O377" s="886"/>
      <c r="P377" s="886"/>
      <c r="Q377" s="890"/>
      <c r="R377" s="3516"/>
      <c r="S377" s="3108">
        <v>500000</v>
      </c>
      <c r="T377" s="3107" t="s">
        <v>4</v>
      </c>
      <c r="U377" s="3107"/>
      <c r="V377" s="3107">
        <v>1</v>
      </c>
      <c r="W377" s="3107" t="s">
        <v>39</v>
      </c>
      <c r="X377" s="542" t="s">
        <v>5</v>
      </c>
      <c r="Y377" s="1452">
        <f t="shared" si="44"/>
        <v>500</v>
      </c>
      <c r="Z377" s="3107">
        <f>S377*V377</f>
        <v>500000</v>
      </c>
      <c r="AA377" s="1073"/>
      <c r="AB377" s="308"/>
      <c r="AC377" s="308"/>
    </row>
    <row r="378" spans="1:33" s="880" customFormat="1" ht="21" customHeight="1">
      <c r="A378" s="1931"/>
      <c r="B378" s="630"/>
      <c r="C378" s="1934"/>
      <c r="D378" s="2013"/>
      <c r="E378" s="2013" t="s">
        <v>2795</v>
      </c>
      <c r="F378" s="590">
        <f t="shared" si="45"/>
        <v>6250</v>
      </c>
      <c r="G378" s="469">
        <v>6250</v>
      </c>
      <c r="H378" s="1239"/>
      <c r="I378" s="634"/>
      <c r="J378" s="1451" t="s">
        <v>2978</v>
      </c>
      <c r="K378" s="1317"/>
      <c r="L378" s="1317"/>
      <c r="M378" s="1317"/>
      <c r="N378" s="886"/>
      <c r="O378" s="886"/>
      <c r="P378" s="886"/>
      <c r="Q378" s="556"/>
      <c r="R378" s="3516"/>
      <c r="S378" s="3108">
        <v>625000</v>
      </c>
      <c r="T378" s="3107" t="s">
        <v>4</v>
      </c>
      <c r="U378" s="3107"/>
      <c r="V378" s="3107">
        <v>10</v>
      </c>
      <c r="W378" s="3107" t="s">
        <v>3</v>
      </c>
      <c r="X378" s="542" t="s">
        <v>5</v>
      </c>
      <c r="Y378" s="1452">
        <f t="shared" si="44"/>
        <v>6250</v>
      </c>
      <c r="Z378" s="3107">
        <f>S378*V378</f>
        <v>6250000</v>
      </c>
      <c r="AA378" s="1073"/>
      <c r="AB378" s="308"/>
      <c r="AC378" s="308"/>
    </row>
    <row r="379" spans="1:33" s="880" customFormat="1" ht="21" customHeight="1">
      <c r="A379" s="1931"/>
      <c r="B379" s="630"/>
      <c r="C379" s="631"/>
      <c r="D379" s="2013"/>
      <c r="E379" s="1457" t="s">
        <v>2796</v>
      </c>
      <c r="F379" s="590">
        <f t="shared" si="45"/>
        <v>1000</v>
      </c>
      <c r="G379" s="469">
        <v>500</v>
      </c>
      <c r="H379" s="1239">
        <f>F379-G379</f>
        <v>500</v>
      </c>
      <c r="I379" s="634"/>
      <c r="J379" s="1451" t="s">
        <v>5708</v>
      </c>
      <c r="K379" s="1317"/>
      <c r="L379" s="1317"/>
      <c r="M379" s="1317"/>
      <c r="N379" s="886"/>
      <c r="O379" s="886"/>
      <c r="P379" s="886"/>
      <c r="Q379" s="1453">
        <v>4</v>
      </c>
      <c r="R379" s="3516" t="s">
        <v>142</v>
      </c>
      <c r="S379" s="3108">
        <v>25000</v>
      </c>
      <c r="T379" s="3107" t="s">
        <v>0</v>
      </c>
      <c r="U379" s="3107"/>
      <c r="V379" s="3107">
        <v>10</v>
      </c>
      <c r="W379" s="3107" t="s">
        <v>24</v>
      </c>
      <c r="X379" s="542" t="s">
        <v>1</v>
      </c>
      <c r="Y379" s="1452">
        <f>+Z379/1000</f>
        <v>1000</v>
      </c>
      <c r="Z379" s="3107">
        <f>Q379*S379*V379</f>
        <v>1000000</v>
      </c>
      <c r="AA379" s="1073"/>
      <c r="AB379" s="308"/>
      <c r="AC379" s="308"/>
    </row>
    <row r="380" spans="1:33" s="880" customFormat="1" ht="21" customHeight="1">
      <c r="A380" s="1931"/>
      <c r="B380" s="630"/>
      <c r="C380" s="631"/>
      <c r="D380" s="631"/>
      <c r="E380" s="2013" t="s">
        <v>2790</v>
      </c>
      <c r="F380" s="590">
        <f t="shared" si="45"/>
        <v>37100</v>
      </c>
      <c r="G380" s="469">
        <v>36300</v>
      </c>
      <c r="H380" s="1239">
        <f>F380-G380</f>
        <v>800</v>
      </c>
      <c r="I380" s="634"/>
      <c r="J380" s="1451" t="s">
        <v>224</v>
      </c>
      <c r="K380" s="1317"/>
      <c r="L380" s="1317"/>
      <c r="M380" s="1317"/>
      <c r="N380" s="886"/>
      <c r="O380" s="886"/>
      <c r="P380" s="886"/>
      <c r="Q380" s="890"/>
      <c r="R380" s="3516"/>
      <c r="S380" s="3516" t="s">
        <v>265</v>
      </c>
      <c r="T380" s="3531" t="s">
        <v>265</v>
      </c>
      <c r="U380" s="3531" t="s">
        <v>265</v>
      </c>
      <c r="V380" s="3531" t="s">
        <v>265</v>
      </c>
      <c r="W380" s="3531" t="s">
        <v>265</v>
      </c>
      <c r="X380" s="2030" t="s">
        <v>265</v>
      </c>
      <c r="Y380" s="1452">
        <f>SUM(Y381:Y384)</f>
        <v>37100</v>
      </c>
      <c r="Z380" s="1390">
        <f>SUM(Z381:Z384)</f>
        <v>37100000</v>
      </c>
      <c r="AA380" s="1073"/>
      <c r="AB380" s="308"/>
      <c r="AC380" s="308"/>
    </row>
    <row r="381" spans="1:33" s="880" customFormat="1" ht="21" customHeight="1">
      <c r="A381" s="1931"/>
      <c r="B381" s="630"/>
      <c r="C381" s="631"/>
      <c r="D381" s="2013"/>
      <c r="E381" s="2013"/>
      <c r="F381" s="824"/>
      <c r="G381" s="469"/>
      <c r="H381" s="470"/>
      <c r="I381" s="634"/>
      <c r="J381" s="1451" t="s">
        <v>4344</v>
      </c>
      <c r="K381" s="1317"/>
      <c r="L381" s="1317"/>
      <c r="M381" s="1317"/>
      <c r="N381" s="886"/>
      <c r="O381" s="1453"/>
      <c r="P381" s="3516"/>
      <c r="Q381" s="1453"/>
      <c r="R381" s="3516"/>
      <c r="S381" s="3108">
        <v>1500000</v>
      </c>
      <c r="T381" s="3107" t="s">
        <v>4</v>
      </c>
      <c r="U381" s="3107"/>
      <c r="V381" s="3107">
        <v>2</v>
      </c>
      <c r="W381" s="3107" t="s">
        <v>878</v>
      </c>
      <c r="X381" s="542" t="s">
        <v>5</v>
      </c>
      <c r="Y381" s="1452">
        <f t="shared" ref="Y381:Y402" si="47">+Z381/1000</f>
        <v>3000</v>
      </c>
      <c r="Z381" s="3107">
        <f>SUM(S381*V381)</f>
        <v>3000000</v>
      </c>
      <c r="AA381" s="1073"/>
      <c r="AB381" s="308"/>
      <c r="AC381" s="308"/>
    </row>
    <row r="382" spans="1:33" ht="21" customHeight="1">
      <c r="A382" s="1931"/>
      <c r="B382" s="630"/>
      <c r="C382" s="631"/>
      <c r="D382" s="631"/>
      <c r="E382" s="2013"/>
      <c r="F382" s="824"/>
      <c r="G382" s="469"/>
      <c r="H382" s="470"/>
      <c r="I382" s="634"/>
      <c r="J382" s="1451" t="s">
        <v>3092</v>
      </c>
      <c r="K382" s="1317"/>
      <c r="L382" s="1317"/>
      <c r="M382" s="1317"/>
      <c r="N382" s="886"/>
      <c r="O382" s="886"/>
      <c r="P382" s="886"/>
      <c r="Q382" s="1453"/>
      <c r="R382" s="3516"/>
      <c r="S382" s="3108">
        <v>50000</v>
      </c>
      <c r="T382" s="3107" t="s">
        <v>4</v>
      </c>
      <c r="U382" s="3107"/>
      <c r="V382" s="3107">
        <v>41</v>
      </c>
      <c r="W382" s="3107" t="s">
        <v>581</v>
      </c>
      <c r="X382" s="542" t="s">
        <v>5</v>
      </c>
      <c r="Y382" s="1452">
        <f t="shared" si="47"/>
        <v>2050</v>
      </c>
      <c r="Z382" s="3107">
        <f>S382*V382</f>
        <v>2050000</v>
      </c>
      <c r="AA382" s="1073"/>
    </row>
    <row r="383" spans="1:33" ht="21" customHeight="1">
      <c r="A383" s="1931"/>
      <c r="B383" s="630"/>
      <c r="C383" s="631"/>
      <c r="D383" s="631"/>
      <c r="E383" s="2013"/>
      <c r="F383" s="824"/>
      <c r="G383" s="469"/>
      <c r="H383" s="470"/>
      <c r="I383" s="634"/>
      <c r="J383" s="1451" t="s">
        <v>3093</v>
      </c>
      <c r="K383" s="1317"/>
      <c r="L383" s="1317"/>
      <c r="M383" s="1317"/>
      <c r="N383" s="886"/>
      <c r="O383" s="886"/>
      <c r="P383" s="886"/>
      <c r="Q383" s="1453"/>
      <c r="R383" s="3516"/>
      <c r="S383" s="3108">
        <v>30000</v>
      </c>
      <c r="T383" s="3107" t="s">
        <v>0</v>
      </c>
      <c r="U383" s="3107"/>
      <c r="V383" s="3107">
        <v>50</v>
      </c>
      <c r="W383" s="3107" t="s">
        <v>581</v>
      </c>
      <c r="X383" s="542" t="s">
        <v>1</v>
      </c>
      <c r="Y383" s="1452">
        <f t="shared" si="47"/>
        <v>1500</v>
      </c>
      <c r="Z383" s="3107">
        <f>S383*V383</f>
        <v>1500000</v>
      </c>
      <c r="AA383" s="1073"/>
    </row>
    <row r="384" spans="1:33" s="880" customFormat="1" ht="21" customHeight="1">
      <c r="A384" s="1931"/>
      <c r="B384" s="630"/>
      <c r="C384" s="631"/>
      <c r="D384" s="2013"/>
      <c r="E384" s="2013"/>
      <c r="F384" s="824"/>
      <c r="G384" s="469"/>
      <c r="H384" s="470"/>
      <c r="I384" s="634"/>
      <c r="J384" s="1451" t="s">
        <v>4345</v>
      </c>
      <c r="K384" s="1317"/>
      <c r="L384" s="1317"/>
      <c r="M384" s="1317"/>
      <c r="N384" s="886"/>
      <c r="O384" s="886"/>
      <c r="P384" s="886"/>
      <c r="Q384" s="890"/>
      <c r="R384" s="3516"/>
      <c r="S384" s="3108">
        <v>2350000</v>
      </c>
      <c r="T384" s="3107" t="s">
        <v>4</v>
      </c>
      <c r="U384" s="3107"/>
      <c r="V384" s="3107">
        <v>13</v>
      </c>
      <c r="W384" s="3107" t="s">
        <v>75</v>
      </c>
      <c r="X384" s="542" t="s">
        <v>5</v>
      </c>
      <c r="Y384" s="1452">
        <f t="shared" si="47"/>
        <v>30550</v>
      </c>
      <c r="Z384" s="3107">
        <f>S384*V384</f>
        <v>30550000</v>
      </c>
      <c r="AA384" s="1073"/>
      <c r="AB384" s="308"/>
      <c r="AC384" s="308"/>
    </row>
    <row r="385" spans="1:29" s="931" customFormat="1" ht="21.95" customHeight="1">
      <c r="A385" s="1931"/>
      <c r="B385" s="630"/>
      <c r="C385" s="631"/>
      <c r="D385" s="675"/>
      <c r="E385" s="675" t="s">
        <v>2791</v>
      </c>
      <c r="F385" s="590">
        <f>+Y385</f>
        <v>106300</v>
      </c>
      <c r="G385" s="941">
        <v>108300</v>
      </c>
      <c r="H385" s="1239">
        <f>F385-G385</f>
        <v>-2000</v>
      </c>
      <c r="I385" s="734"/>
      <c r="J385" s="3174" t="s">
        <v>224</v>
      </c>
      <c r="K385" s="3172"/>
      <c r="L385" s="3172"/>
      <c r="M385" s="3172"/>
      <c r="N385" s="3171"/>
      <c r="O385" s="3171"/>
      <c r="P385" s="3171"/>
      <c r="Q385" s="992"/>
      <c r="R385" s="3524"/>
      <c r="S385" s="3524" t="s">
        <v>265</v>
      </c>
      <c r="T385" s="684" t="s">
        <v>265</v>
      </c>
      <c r="U385" s="684" t="s">
        <v>265</v>
      </c>
      <c r="V385" s="684" t="s">
        <v>265</v>
      </c>
      <c r="W385" s="684" t="s">
        <v>265</v>
      </c>
      <c r="X385" s="3165"/>
      <c r="Y385" s="3175">
        <f t="shared" si="47"/>
        <v>106300</v>
      </c>
      <c r="Z385" s="993">
        <f>SUM(Z386:Z394)</f>
        <v>106300000</v>
      </c>
      <c r="AA385" s="1073"/>
      <c r="AB385" s="930"/>
      <c r="AC385" s="930"/>
    </row>
    <row r="386" spans="1:29" s="931" customFormat="1" ht="21.95" customHeight="1">
      <c r="A386" s="1931"/>
      <c r="B386" s="630"/>
      <c r="C386" s="631"/>
      <c r="D386" s="948"/>
      <c r="E386" s="675"/>
      <c r="F386" s="941"/>
      <c r="G386" s="1261"/>
      <c r="H386" s="1239"/>
      <c r="I386" s="734"/>
      <c r="J386" s="3174" t="s">
        <v>3095</v>
      </c>
      <c r="K386" s="3172"/>
      <c r="L386" s="3172"/>
      <c r="M386" s="3172"/>
      <c r="N386" s="3171"/>
      <c r="O386" s="3171"/>
      <c r="P386" s="3171"/>
      <c r="Q386" s="992"/>
      <c r="R386" s="3524"/>
      <c r="S386" s="3164">
        <v>5000000</v>
      </c>
      <c r="T386" s="3163" t="s">
        <v>4</v>
      </c>
      <c r="U386" s="3163"/>
      <c r="V386" s="3163">
        <v>4</v>
      </c>
      <c r="W386" s="3163" t="s">
        <v>39</v>
      </c>
      <c r="X386" s="3165" t="s">
        <v>5</v>
      </c>
      <c r="Y386" s="3175">
        <f t="shared" si="47"/>
        <v>20000</v>
      </c>
      <c r="Z386" s="3163">
        <f t="shared" ref="Z386:Z394" si="48">S386*V386</f>
        <v>20000000</v>
      </c>
      <c r="AA386" s="1073"/>
      <c r="AB386" s="930"/>
      <c r="AC386" s="930"/>
    </row>
    <row r="387" spans="1:29" s="931" customFormat="1" ht="21.95" customHeight="1">
      <c r="A387" s="1931"/>
      <c r="B387" s="630"/>
      <c r="C387" s="631"/>
      <c r="D387" s="948"/>
      <c r="E387" s="675"/>
      <c r="F387" s="941"/>
      <c r="G387" s="1261"/>
      <c r="H387" s="1239"/>
      <c r="I387" s="734"/>
      <c r="J387" s="3174" t="s">
        <v>3096</v>
      </c>
      <c r="K387" s="3172"/>
      <c r="L387" s="3172"/>
      <c r="M387" s="3172"/>
      <c r="N387" s="3171"/>
      <c r="O387" s="3171"/>
      <c r="P387" s="3171"/>
      <c r="Q387" s="992"/>
      <c r="R387" s="3524"/>
      <c r="S387" s="3164">
        <v>4000000</v>
      </c>
      <c r="T387" s="3163" t="s">
        <v>4</v>
      </c>
      <c r="U387" s="3163"/>
      <c r="V387" s="3163">
        <v>1</v>
      </c>
      <c r="W387" s="3163" t="s">
        <v>39</v>
      </c>
      <c r="X387" s="3165" t="s">
        <v>5</v>
      </c>
      <c r="Y387" s="3175">
        <f t="shared" si="47"/>
        <v>4000</v>
      </c>
      <c r="Z387" s="3163">
        <f t="shared" si="48"/>
        <v>4000000</v>
      </c>
      <c r="AA387" s="1073"/>
      <c r="AB387" s="930"/>
      <c r="AC387" s="930"/>
    </row>
    <row r="388" spans="1:29" s="931" customFormat="1" ht="21.95" customHeight="1">
      <c r="A388" s="673"/>
      <c r="B388" s="674"/>
      <c r="C388" s="948"/>
      <c r="D388" s="948"/>
      <c r="E388" s="675"/>
      <c r="F388" s="941"/>
      <c r="G388" s="1261"/>
      <c r="H388" s="1239"/>
      <c r="I388" s="734"/>
      <c r="J388" s="3174" t="s">
        <v>3097</v>
      </c>
      <c r="K388" s="3172"/>
      <c r="L388" s="3172"/>
      <c r="M388" s="3172"/>
      <c r="N388" s="3171"/>
      <c r="O388" s="3171"/>
      <c r="P388" s="3171"/>
      <c r="Q388" s="992"/>
      <c r="R388" s="3524"/>
      <c r="S388" s="3164">
        <v>1000000</v>
      </c>
      <c r="T388" s="3163" t="s">
        <v>4</v>
      </c>
      <c r="U388" s="3163"/>
      <c r="V388" s="3163">
        <v>1</v>
      </c>
      <c r="W388" s="3163" t="s">
        <v>3098</v>
      </c>
      <c r="X388" s="3165" t="s">
        <v>5</v>
      </c>
      <c r="Y388" s="3175">
        <f t="shared" si="47"/>
        <v>1000</v>
      </c>
      <c r="Z388" s="3163">
        <f t="shared" si="48"/>
        <v>1000000</v>
      </c>
      <c r="AA388" s="1073"/>
      <c r="AB388" s="930"/>
      <c r="AC388" s="930"/>
    </row>
    <row r="389" spans="1:29" s="709" customFormat="1" ht="21.95" customHeight="1">
      <c r="A389" s="673"/>
      <c r="B389" s="674"/>
      <c r="C389" s="948"/>
      <c r="D389" s="948"/>
      <c r="E389" s="675"/>
      <c r="F389" s="941"/>
      <c r="G389" s="1261"/>
      <c r="H389" s="1239"/>
      <c r="I389" s="734"/>
      <c r="J389" s="3174" t="s">
        <v>3099</v>
      </c>
      <c r="K389" s="3172"/>
      <c r="L389" s="3172"/>
      <c r="M389" s="3172"/>
      <c r="N389" s="3171"/>
      <c r="O389" s="3171"/>
      <c r="P389" s="3171"/>
      <c r="Q389" s="992"/>
      <c r="R389" s="3524"/>
      <c r="S389" s="3164">
        <v>50000</v>
      </c>
      <c r="T389" s="3163" t="s">
        <v>4</v>
      </c>
      <c r="U389" s="3163"/>
      <c r="V389" s="3163">
        <v>70</v>
      </c>
      <c r="W389" s="3163" t="s">
        <v>908</v>
      </c>
      <c r="X389" s="3165" t="s">
        <v>5</v>
      </c>
      <c r="Y389" s="3175">
        <f t="shared" si="47"/>
        <v>3500</v>
      </c>
      <c r="Z389" s="3163">
        <f t="shared" si="48"/>
        <v>3500000</v>
      </c>
      <c r="AA389" s="1073"/>
      <c r="AB389" s="915"/>
      <c r="AC389" s="915"/>
    </row>
    <row r="390" spans="1:29" s="931" customFormat="1" ht="21.95" customHeight="1">
      <c r="A390" s="673"/>
      <c r="B390" s="674"/>
      <c r="C390" s="948"/>
      <c r="D390" s="948"/>
      <c r="E390" s="675"/>
      <c r="F390" s="941"/>
      <c r="G390" s="1261"/>
      <c r="H390" s="1239"/>
      <c r="I390" s="734"/>
      <c r="J390" s="3174" t="s">
        <v>3100</v>
      </c>
      <c r="K390" s="3172"/>
      <c r="L390" s="3172"/>
      <c r="M390" s="3172"/>
      <c r="N390" s="3171"/>
      <c r="O390" s="3171"/>
      <c r="P390" s="3171"/>
      <c r="Q390" s="3177"/>
      <c r="R390" s="3524"/>
      <c r="S390" s="3164">
        <v>11000000</v>
      </c>
      <c r="T390" s="3163" t="s">
        <v>4</v>
      </c>
      <c r="U390" s="3163"/>
      <c r="V390" s="3163">
        <v>4</v>
      </c>
      <c r="W390" s="3163" t="s">
        <v>55</v>
      </c>
      <c r="X390" s="3165" t="s">
        <v>5</v>
      </c>
      <c r="Y390" s="3175">
        <f t="shared" si="47"/>
        <v>44000</v>
      </c>
      <c r="Z390" s="3163">
        <f t="shared" si="48"/>
        <v>44000000</v>
      </c>
      <c r="AA390" s="1073"/>
      <c r="AB390" s="930"/>
      <c r="AC390" s="930"/>
    </row>
    <row r="391" spans="1:29" s="931" customFormat="1" ht="21.95" customHeight="1">
      <c r="A391" s="673"/>
      <c r="B391" s="674"/>
      <c r="C391" s="948"/>
      <c r="D391" s="948"/>
      <c r="E391" s="675"/>
      <c r="F391" s="941"/>
      <c r="G391" s="1261"/>
      <c r="H391" s="1239"/>
      <c r="I391" s="734"/>
      <c r="J391" s="3174" t="s">
        <v>3101</v>
      </c>
      <c r="K391" s="3172"/>
      <c r="L391" s="3172"/>
      <c r="M391" s="3172"/>
      <c r="N391" s="3171"/>
      <c r="O391" s="3171"/>
      <c r="P391" s="3171"/>
      <c r="Q391" s="992"/>
      <c r="R391" s="3524"/>
      <c r="S391" s="3164">
        <v>17000000</v>
      </c>
      <c r="T391" s="3163" t="s">
        <v>4</v>
      </c>
      <c r="U391" s="3163"/>
      <c r="V391" s="3163">
        <v>1</v>
      </c>
      <c r="W391" s="3163" t="s">
        <v>39</v>
      </c>
      <c r="X391" s="3165" t="s">
        <v>5</v>
      </c>
      <c r="Y391" s="3175">
        <f t="shared" si="47"/>
        <v>17000</v>
      </c>
      <c r="Z391" s="3163">
        <f t="shared" si="48"/>
        <v>17000000</v>
      </c>
      <c r="AA391" s="1073"/>
      <c r="AB391" s="930"/>
      <c r="AC391" s="930"/>
    </row>
    <row r="392" spans="1:29" s="931" customFormat="1" ht="21.95" customHeight="1">
      <c r="A392" s="673"/>
      <c r="B392" s="674"/>
      <c r="C392" s="948"/>
      <c r="D392" s="948"/>
      <c r="E392" s="675"/>
      <c r="F392" s="941"/>
      <c r="G392" s="1261"/>
      <c r="H392" s="1239"/>
      <c r="I392" s="734"/>
      <c r="J392" s="3174" t="s">
        <v>3102</v>
      </c>
      <c r="K392" s="3172"/>
      <c r="L392" s="3172"/>
      <c r="M392" s="3172"/>
      <c r="N392" s="3171"/>
      <c r="O392" s="3171"/>
      <c r="P392" s="3171"/>
      <c r="Q392" s="992"/>
      <c r="R392" s="3524"/>
      <c r="S392" s="3164">
        <v>2300000</v>
      </c>
      <c r="T392" s="3163" t="s">
        <v>4</v>
      </c>
      <c r="U392" s="3163"/>
      <c r="V392" s="3163">
        <v>1</v>
      </c>
      <c r="W392" s="3163" t="s">
        <v>39</v>
      </c>
      <c r="X392" s="3165" t="s">
        <v>5</v>
      </c>
      <c r="Y392" s="3175">
        <f t="shared" si="47"/>
        <v>2300</v>
      </c>
      <c r="Z392" s="3163">
        <f t="shared" si="48"/>
        <v>2300000</v>
      </c>
      <c r="AA392" s="1073"/>
      <c r="AB392" s="930"/>
      <c r="AC392" s="930"/>
    </row>
    <row r="393" spans="1:29" s="931" customFormat="1" ht="21.95" customHeight="1">
      <c r="A393" s="673"/>
      <c r="B393" s="674"/>
      <c r="C393" s="948"/>
      <c r="D393" s="948"/>
      <c r="E393" s="675"/>
      <c r="F393" s="941"/>
      <c r="G393" s="1261"/>
      <c r="H393" s="1239"/>
      <c r="I393" s="734"/>
      <c r="J393" s="3174" t="s">
        <v>5706</v>
      </c>
      <c r="K393" s="3172"/>
      <c r="L393" s="3172"/>
      <c r="M393" s="3172"/>
      <c r="N393" s="3171"/>
      <c r="O393" s="3171"/>
      <c r="P393" s="3171"/>
      <c r="Q393" s="992"/>
      <c r="R393" s="3524"/>
      <c r="S393" s="3164">
        <v>3000000</v>
      </c>
      <c r="T393" s="3163" t="s">
        <v>4</v>
      </c>
      <c r="U393" s="3163"/>
      <c r="V393" s="3163">
        <v>3</v>
      </c>
      <c r="W393" s="3163" t="s">
        <v>51</v>
      </c>
      <c r="X393" s="3165"/>
      <c r="Y393" s="3175">
        <f t="shared" si="47"/>
        <v>9000</v>
      </c>
      <c r="Z393" s="3163">
        <f t="shared" si="48"/>
        <v>9000000</v>
      </c>
      <c r="AA393" s="1073"/>
      <c r="AB393" s="930"/>
      <c r="AC393" s="930"/>
    </row>
    <row r="394" spans="1:29" s="709" customFormat="1" ht="21.95" customHeight="1">
      <c r="A394" s="673"/>
      <c r="B394" s="674"/>
      <c r="C394" s="948"/>
      <c r="D394" s="948"/>
      <c r="E394" s="675"/>
      <c r="F394" s="941"/>
      <c r="G394" s="1261"/>
      <c r="H394" s="1239"/>
      <c r="I394" s="734"/>
      <c r="J394" s="3174" t="s">
        <v>5707</v>
      </c>
      <c r="K394" s="3172"/>
      <c r="L394" s="3172"/>
      <c r="M394" s="3172"/>
      <c r="N394" s="3171"/>
      <c r="O394" s="3171"/>
      <c r="P394" s="3171"/>
      <c r="Q394" s="992"/>
      <c r="R394" s="3524"/>
      <c r="S394" s="3164">
        <v>5500000</v>
      </c>
      <c r="T394" s="3163" t="s">
        <v>4</v>
      </c>
      <c r="U394" s="3163"/>
      <c r="V394" s="3163">
        <v>1</v>
      </c>
      <c r="W394" s="3163" t="s">
        <v>6</v>
      </c>
      <c r="X394" s="3165" t="s">
        <v>5</v>
      </c>
      <c r="Y394" s="3175">
        <f t="shared" si="47"/>
        <v>5500</v>
      </c>
      <c r="Z394" s="3163">
        <f t="shared" si="48"/>
        <v>5500000</v>
      </c>
      <c r="AA394" s="1073"/>
      <c r="AB394" s="915"/>
      <c r="AC394" s="915"/>
    </row>
    <row r="395" spans="1:29" s="709" customFormat="1" ht="21.95" customHeight="1">
      <c r="A395" s="673"/>
      <c r="B395" s="674"/>
      <c r="C395" s="948"/>
      <c r="D395" s="948"/>
      <c r="E395" s="675" t="s">
        <v>2819</v>
      </c>
      <c r="F395" s="590">
        <f>+Y395</f>
        <v>3970</v>
      </c>
      <c r="G395" s="1261">
        <v>3500</v>
      </c>
      <c r="H395" s="470">
        <f>F395-G395</f>
        <v>470</v>
      </c>
      <c r="I395" s="734"/>
      <c r="J395" s="3174" t="s">
        <v>224</v>
      </c>
      <c r="K395" s="3172"/>
      <c r="L395" s="3172"/>
      <c r="M395" s="3172"/>
      <c r="N395" s="3171"/>
      <c r="O395" s="3177"/>
      <c r="P395" s="3524"/>
      <c r="Q395" s="3177"/>
      <c r="R395" s="3524"/>
      <c r="S395" s="3164"/>
      <c r="T395" s="3163"/>
      <c r="U395" s="3163"/>
      <c r="V395" s="3163"/>
      <c r="W395" s="3163"/>
      <c r="X395" s="3165"/>
      <c r="Y395" s="3175">
        <f t="shared" si="47"/>
        <v>3970</v>
      </c>
      <c r="Z395" s="3163">
        <f>SUM(Z396:Z397)</f>
        <v>3970000</v>
      </c>
      <c r="AA395" s="1073"/>
      <c r="AB395" s="915"/>
      <c r="AC395" s="915"/>
    </row>
    <row r="396" spans="1:29" s="709" customFormat="1" ht="21.95" customHeight="1">
      <c r="A396" s="673"/>
      <c r="B396" s="674"/>
      <c r="C396" s="948"/>
      <c r="D396" s="948"/>
      <c r="E396" s="675"/>
      <c r="F396" s="941"/>
      <c r="G396" s="1261"/>
      <c r="H396" s="1239"/>
      <c r="I396" s="734"/>
      <c r="J396" s="3174" t="s">
        <v>3104</v>
      </c>
      <c r="K396" s="3172"/>
      <c r="L396" s="3172"/>
      <c r="M396" s="3172"/>
      <c r="N396" s="3171"/>
      <c r="O396" s="3177"/>
      <c r="P396" s="3524"/>
      <c r="Q396" s="3177">
        <v>1</v>
      </c>
      <c r="R396" s="3524" t="s">
        <v>19</v>
      </c>
      <c r="S396" s="3164">
        <v>500000</v>
      </c>
      <c r="T396" s="3163" t="s">
        <v>4</v>
      </c>
      <c r="U396" s="3163"/>
      <c r="V396" s="3163">
        <v>1</v>
      </c>
      <c r="W396" s="3163" t="s">
        <v>39</v>
      </c>
      <c r="X396" s="3165" t="s">
        <v>5</v>
      </c>
      <c r="Y396" s="3175">
        <f t="shared" si="47"/>
        <v>500</v>
      </c>
      <c r="Z396" s="3163">
        <f>Q396*S396*V396</f>
        <v>500000</v>
      </c>
      <c r="AA396" s="1073"/>
      <c r="AB396" s="915"/>
      <c r="AC396" s="915"/>
    </row>
    <row r="397" spans="1:29" s="931" customFormat="1" ht="21.95" customHeight="1">
      <c r="A397" s="673"/>
      <c r="B397" s="674"/>
      <c r="C397" s="948"/>
      <c r="D397" s="948"/>
      <c r="E397" s="675"/>
      <c r="F397" s="941"/>
      <c r="G397" s="1261"/>
      <c r="H397" s="1239"/>
      <c r="I397" s="734" t="s">
        <v>2774</v>
      </c>
      <c r="J397" s="3174" t="s">
        <v>3105</v>
      </c>
      <c r="K397" s="3172"/>
      <c r="L397" s="3172"/>
      <c r="M397" s="3172"/>
      <c r="N397" s="3171"/>
      <c r="O397" s="3177"/>
      <c r="P397" s="3524"/>
      <c r="Q397" s="3177"/>
      <c r="R397" s="3524"/>
      <c r="S397" s="3164">
        <v>3470000</v>
      </c>
      <c r="T397" s="3163" t="s">
        <v>4</v>
      </c>
      <c r="U397" s="3163"/>
      <c r="V397" s="3163">
        <v>1</v>
      </c>
      <c r="W397" s="3163" t="s">
        <v>39</v>
      </c>
      <c r="X397" s="3165" t="s">
        <v>1</v>
      </c>
      <c r="Y397" s="3175">
        <f t="shared" si="47"/>
        <v>3470</v>
      </c>
      <c r="Z397" s="3163">
        <f>S397*V397</f>
        <v>3470000</v>
      </c>
      <c r="AA397" s="1073"/>
      <c r="AB397" s="930"/>
      <c r="AC397" s="930"/>
    </row>
    <row r="398" spans="1:29" s="709" customFormat="1" ht="21.95" customHeight="1">
      <c r="A398" s="673"/>
      <c r="B398" s="674"/>
      <c r="C398" s="948"/>
      <c r="D398" s="675"/>
      <c r="E398" s="3170" t="s">
        <v>2852</v>
      </c>
      <c r="F398" s="590">
        <f>+Y398</f>
        <v>1300</v>
      </c>
      <c r="G398" s="1261">
        <v>1000</v>
      </c>
      <c r="H398" s="1239">
        <f>F398-G398</f>
        <v>300</v>
      </c>
      <c r="I398" s="734"/>
      <c r="J398" s="3174" t="s">
        <v>580</v>
      </c>
      <c r="K398" s="3172"/>
      <c r="L398" s="3172"/>
      <c r="M398" s="3172"/>
      <c r="N398" s="3171"/>
      <c r="O398" s="3171"/>
      <c r="P398" s="3171"/>
      <c r="Q398" s="3177">
        <v>1000</v>
      </c>
      <c r="R398" s="3524" t="s">
        <v>143</v>
      </c>
      <c r="S398" s="3164">
        <v>1300</v>
      </c>
      <c r="T398" s="3163" t="s">
        <v>4</v>
      </c>
      <c r="U398" s="3163"/>
      <c r="V398" s="3163">
        <v>1</v>
      </c>
      <c r="W398" s="3163" t="s">
        <v>39</v>
      </c>
      <c r="X398" s="3165" t="s">
        <v>5</v>
      </c>
      <c r="Y398" s="3175">
        <f t="shared" si="47"/>
        <v>1300</v>
      </c>
      <c r="Z398" s="3163">
        <f>Q398*S398*V398</f>
        <v>1300000</v>
      </c>
      <c r="AA398" s="1073"/>
      <c r="AB398" s="915"/>
      <c r="AC398" s="915"/>
    </row>
    <row r="399" spans="1:29" s="709" customFormat="1" ht="21.95" customHeight="1">
      <c r="A399" s="673"/>
      <c r="B399" s="674"/>
      <c r="C399" s="948"/>
      <c r="D399" s="675"/>
      <c r="E399" s="675" t="s">
        <v>2849</v>
      </c>
      <c r="F399" s="590">
        <f>+Y399</f>
        <v>4500</v>
      </c>
      <c r="G399" s="1261">
        <v>5500</v>
      </c>
      <c r="H399" s="1239">
        <f>F399-G399</f>
        <v>-1000</v>
      </c>
      <c r="I399" s="734"/>
      <c r="J399" s="3174" t="s">
        <v>224</v>
      </c>
      <c r="K399" s="3172"/>
      <c r="L399" s="3172"/>
      <c r="M399" s="3172"/>
      <c r="N399" s="3171"/>
      <c r="O399" s="3171"/>
      <c r="P399" s="3171"/>
      <c r="Q399" s="3177"/>
      <c r="R399" s="3524"/>
      <c r="S399" s="3164"/>
      <c r="T399" s="3163"/>
      <c r="U399" s="3163"/>
      <c r="V399" s="3163"/>
      <c r="W399" s="3163"/>
      <c r="X399" s="3165"/>
      <c r="Y399" s="3175">
        <f>+Z399/1000</f>
        <v>4500</v>
      </c>
      <c r="Z399" s="3163">
        <f>SUM(Z400:Z401)</f>
        <v>4500000</v>
      </c>
      <c r="AA399" s="1073"/>
      <c r="AB399" s="915"/>
      <c r="AC399" s="915"/>
    </row>
    <row r="400" spans="1:29" s="709" customFormat="1" ht="21.95" customHeight="1">
      <c r="A400" s="673"/>
      <c r="B400" s="674"/>
      <c r="C400" s="948"/>
      <c r="D400" s="675"/>
      <c r="E400" s="3170"/>
      <c r="F400" s="941"/>
      <c r="G400" s="1261"/>
      <c r="H400" s="1239"/>
      <c r="I400" s="734"/>
      <c r="J400" s="3174" t="s">
        <v>4346</v>
      </c>
      <c r="K400" s="3172"/>
      <c r="L400" s="3172"/>
      <c r="M400" s="3172"/>
      <c r="N400" s="3171"/>
      <c r="O400" s="3171"/>
      <c r="P400" s="3171"/>
      <c r="Q400" s="3177">
        <v>175</v>
      </c>
      <c r="R400" s="3524" t="s">
        <v>267</v>
      </c>
      <c r="S400" s="3164">
        <v>20000</v>
      </c>
      <c r="T400" s="3163" t="s">
        <v>4</v>
      </c>
      <c r="U400" s="3163"/>
      <c r="V400" s="3163">
        <v>1</v>
      </c>
      <c r="W400" s="3163" t="s">
        <v>39</v>
      </c>
      <c r="X400" s="3165" t="s">
        <v>5</v>
      </c>
      <c r="Y400" s="3175">
        <f t="shared" si="47"/>
        <v>3500</v>
      </c>
      <c r="Z400" s="3163">
        <f>S400*V400*Q400</f>
        <v>3500000</v>
      </c>
      <c r="AA400" s="1073"/>
      <c r="AB400" s="915"/>
      <c r="AC400" s="915"/>
    </row>
    <row r="401" spans="1:29" s="709" customFormat="1" ht="21.95" customHeight="1">
      <c r="A401" s="673"/>
      <c r="B401" s="674"/>
      <c r="C401" s="948"/>
      <c r="D401" s="675"/>
      <c r="E401" s="3170"/>
      <c r="F401" s="941"/>
      <c r="G401" s="1261"/>
      <c r="H401" s="1239"/>
      <c r="I401" s="734"/>
      <c r="J401" s="3174" t="s">
        <v>4347</v>
      </c>
      <c r="K401" s="3172"/>
      <c r="L401" s="3172"/>
      <c r="M401" s="3172"/>
      <c r="N401" s="3171"/>
      <c r="O401" s="3171"/>
      <c r="P401" s="3171"/>
      <c r="Q401" s="3177"/>
      <c r="R401" s="3524"/>
      <c r="S401" s="3164">
        <v>1000000</v>
      </c>
      <c r="T401" s="3163" t="s">
        <v>4</v>
      </c>
      <c r="U401" s="3163"/>
      <c r="V401" s="3163">
        <v>1</v>
      </c>
      <c r="W401" s="3163" t="s">
        <v>39</v>
      </c>
      <c r="X401" s="3165" t="s">
        <v>5</v>
      </c>
      <c r="Y401" s="3175">
        <v>1000</v>
      </c>
      <c r="Z401" s="3163">
        <f t="shared" ref="Z401" si="49">S401*V401</f>
        <v>1000000</v>
      </c>
      <c r="AA401" s="1073"/>
      <c r="AB401" s="915"/>
      <c r="AC401" s="915"/>
    </row>
    <row r="402" spans="1:29" ht="21.95" customHeight="1">
      <c r="A402" s="673"/>
      <c r="B402" s="674"/>
      <c r="C402" s="709"/>
      <c r="D402" s="675"/>
      <c r="E402" s="3170" t="s">
        <v>2797</v>
      </c>
      <c r="F402" s="590">
        <f>+Y402</f>
        <v>1830</v>
      </c>
      <c r="G402" s="1261">
        <v>2200</v>
      </c>
      <c r="H402" s="1239">
        <f>F402-G402</f>
        <v>-370</v>
      </c>
      <c r="I402" s="734"/>
      <c r="J402" s="3174" t="s">
        <v>2999</v>
      </c>
      <c r="K402" s="3172"/>
      <c r="L402" s="3172"/>
      <c r="M402" s="3172"/>
      <c r="N402" s="3171"/>
      <c r="O402" s="3171"/>
      <c r="P402" s="3171"/>
      <c r="Q402" s="3177">
        <v>10</v>
      </c>
      <c r="R402" s="3524" t="s">
        <v>267</v>
      </c>
      <c r="S402" s="3164">
        <v>18300</v>
      </c>
      <c r="T402" s="3163" t="s">
        <v>4</v>
      </c>
      <c r="U402" s="3163"/>
      <c r="V402" s="3163">
        <v>10</v>
      </c>
      <c r="W402" s="3163" t="s">
        <v>39</v>
      </c>
      <c r="X402" s="3165" t="s">
        <v>5</v>
      </c>
      <c r="Y402" s="3175">
        <f t="shared" si="47"/>
        <v>1830</v>
      </c>
      <c r="Z402" s="3163">
        <f>S402*V402*Q402</f>
        <v>1830000</v>
      </c>
      <c r="AA402" s="1073"/>
    </row>
    <row r="403" spans="1:29" ht="21.95" customHeight="1">
      <c r="A403" s="1931"/>
      <c r="B403" s="630"/>
      <c r="C403" s="4000" t="s">
        <v>3482</v>
      </c>
      <c r="D403" s="4022"/>
      <c r="E403" s="4023"/>
      <c r="F403" s="2061">
        <f>SUM(F404)</f>
        <v>40000</v>
      </c>
      <c r="G403" s="2049">
        <f>G404</f>
        <v>40000</v>
      </c>
      <c r="H403" s="2021">
        <f>F403-G403</f>
        <v>0</v>
      </c>
      <c r="I403" s="2014"/>
      <c r="J403" s="2025"/>
      <c r="K403" s="2024"/>
      <c r="L403" s="2024"/>
      <c r="M403" s="2024"/>
      <c r="N403" s="2024"/>
      <c r="O403" s="2024"/>
      <c r="P403" s="2036"/>
      <c r="Q403" s="2026"/>
      <c r="R403" s="2027"/>
      <c r="S403" s="2026"/>
      <c r="T403" s="2026"/>
      <c r="U403" s="2036"/>
      <c r="V403" s="2026"/>
      <c r="W403" s="2026"/>
      <c r="X403" s="2028"/>
      <c r="Y403" s="2064"/>
      <c r="Z403" s="2016">
        <f>Z404</f>
        <v>67700000</v>
      </c>
      <c r="AA403" s="1073">
        <f t="shared" si="43"/>
        <v>40000000000</v>
      </c>
    </row>
    <row r="404" spans="1:29" ht="21.95" customHeight="1">
      <c r="A404" s="1931"/>
      <c r="B404" s="630"/>
      <c r="C404" s="2013"/>
      <c r="D404" s="3823" t="s">
        <v>3483</v>
      </c>
      <c r="E404" s="3824"/>
      <c r="F404" s="2052">
        <f>SUM(F405:F413)</f>
        <v>40000</v>
      </c>
      <c r="G404" s="2052">
        <f>SUM(G405:G413)</f>
        <v>40000</v>
      </c>
      <c r="H404" s="2021">
        <f>F404-G404</f>
        <v>0</v>
      </c>
      <c r="I404" s="2014"/>
      <c r="J404" s="2017"/>
      <c r="K404" s="2065"/>
      <c r="L404" s="2065"/>
      <c r="M404" s="2065"/>
      <c r="N404" s="2065"/>
      <c r="O404" s="2065"/>
      <c r="P404" s="2018"/>
      <c r="Q404" s="2065"/>
      <c r="R404" s="2019"/>
      <c r="S404" s="2018"/>
      <c r="T404" s="2065"/>
      <c r="U404" s="2065"/>
      <c r="V404" s="2018"/>
      <c r="W404" s="2065"/>
      <c r="X404" s="2053"/>
      <c r="Y404" s="2054"/>
      <c r="Z404" s="2016">
        <f>SUM(Z405:Z413)</f>
        <v>67700000</v>
      </c>
      <c r="AA404" s="1073">
        <f t="shared" si="43"/>
        <v>40000000000</v>
      </c>
    </row>
    <row r="405" spans="1:29" ht="21.95" customHeight="1">
      <c r="A405" s="1931"/>
      <c r="B405" s="630"/>
      <c r="C405" s="2013"/>
      <c r="D405" s="2038"/>
      <c r="E405" s="677" t="s">
        <v>388</v>
      </c>
      <c r="F405" s="2031">
        <f>+Y405</f>
        <v>27700</v>
      </c>
      <c r="G405" s="2029">
        <v>23500</v>
      </c>
      <c r="H405" s="486">
        <f>F405-G405</f>
        <v>4200</v>
      </c>
      <c r="I405" s="2014"/>
      <c r="J405" s="791" t="s">
        <v>5316</v>
      </c>
      <c r="K405" s="3525"/>
      <c r="L405" s="3525"/>
      <c r="M405" s="3525"/>
      <c r="N405" s="3525"/>
      <c r="O405" s="3525"/>
      <c r="P405" s="736"/>
      <c r="Q405" s="3525"/>
      <c r="R405" s="683"/>
      <c r="S405" s="736"/>
      <c r="T405" s="3525"/>
      <c r="U405" s="3525"/>
      <c r="V405" s="736"/>
      <c r="W405" s="3525"/>
      <c r="X405" s="3552"/>
      <c r="Y405" s="687">
        <f t="shared" ref="Y405:Y413" si="50">+Z405/1000</f>
        <v>27700</v>
      </c>
      <c r="Z405" s="736">
        <f>SUM(Z406:Z407)</f>
        <v>27700000</v>
      </c>
      <c r="AA405" s="3376">
        <f t="shared" si="43"/>
        <v>27700000000</v>
      </c>
    </row>
    <row r="406" spans="1:29" s="2051" customFormat="1" ht="21.95" customHeight="1">
      <c r="A406" s="2067"/>
      <c r="B406" s="2035"/>
      <c r="C406" s="2013"/>
      <c r="D406" s="2020"/>
      <c r="E406" s="677"/>
      <c r="F406" s="2031"/>
      <c r="G406" s="2029"/>
      <c r="H406" s="2037"/>
      <c r="I406" s="2014"/>
      <c r="J406" s="681" t="s">
        <v>5317</v>
      </c>
      <c r="K406" s="3515"/>
      <c r="L406" s="3515"/>
      <c r="M406" s="3515"/>
      <c r="N406" s="3515"/>
      <c r="O406" s="3515"/>
      <c r="P406" s="683"/>
      <c r="Q406" s="684">
        <v>1</v>
      </c>
      <c r="R406" s="3524" t="s">
        <v>25</v>
      </c>
      <c r="S406" s="684">
        <v>2000000</v>
      </c>
      <c r="T406" s="684" t="s">
        <v>0</v>
      </c>
      <c r="U406" s="683"/>
      <c r="V406" s="684">
        <v>10</v>
      </c>
      <c r="W406" s="684" t="s">
        <v>29</v>
      </c>
      <c r="X406" s="686" t="s">
        <v>1</v>
      </c>
      <c r="Y406" s="687">
        <f t="shared" si="50"/>
        <v>20000</v>
      </c>
      <c r="Z406" s="736">
        <f>Q406*S406*V406</f>
        <v>20000000</v>
      </c>
      <c r="AA406" s="3376">
        <f t="shared" si="43"/>
        <v>0</v>
      </c>
      <c r="AB406" s="2033"/>
      <c r="AC406" s="2033"/>
    </row>
    <row r="407" spans="1:29" s="2051" customFormat="1" ht="21.95" customHeight="1">
      <c r="A407" s="2067"/>
      <c r="B407" s="2035"/>
      <c r="C407" s="2013"/>
      <c r="D407" s="2020"/>
      <c r="E407" s="677"/>
      <c r="F407" s="2031"/>
      <c r="G407" s="2029"/>
      <c r="H407" s="2037"/>
      <c r="I407" s="2014"/>
      <c r="J407" s="681" t="s">
        <v>5318</v>
      </c>
      <c r="K407" s="3515"/>
      <c r="L407" s="3515"/>
      <c r="M407" s="3515"/>
      <c r="N407" s="3515"/>
      <c r="O407" s="3515"/>
      <c r="P407" s="683"/>
      <c r="Q407" s="684">
        <v>2</v>
      </c>
      <c r="R407" s="3524" t="s">
        <v>25</v>
      </c>
      <c r="S407" s="684">
        <v>550000</v>
      </c>
      <c r="T407" s="684" t="s">
        <v>0</v>
      </c>
      <c r="U407" s="683"/>
      <c r="V407" s="684">
        <v>7</v>
      </c>
      <c r="W407" s="684" t="s">
        <v>29</v>
      </c>
      <c r="X407" s="686" t="s">
        <v>1</v>
      </c>
      <c r="Y407" s="687">
        <f t="shared" si="50"/>
        <v>7700</v>
      </c>
      <c r="Z407" s="736">
        <f>Q407*S407*V407</f>
        <v>7700000</v>
      </c>
      <c r="AA407" s="3376">
        <f t="shared" si="43"/>
        <v>0</v>
      </c>
      <c r="AB407" s="2033"/>
      <c r="AC407" s="2033"/>
    </row>
    <row r="408" spans="1:29" s="2051" customFormat="1" ht="21.95" customHeight="1">
      <c r="A408" s="3183"/>
      <c r="B408" s="2035"/>
      <c r="C408" s="2050"/>
      <c r="D408" s="2034"/>
      <c r="E408" s="677" t="s">
        <v>4642</v>
      </c>
      <c r="F408" s="2031">
        <f>+Y408</f>
        <v>0</v>
      </c>
      <c r="G408" s="2029">
        <v>500</v>
      </c>
      <c r="H408" s="470">
        <f t="shared" ref="H408:H413" si="51">F408-G408</f>
        <v>-500</v>
      </c>
      <c r="I408" s="2014"/>
      <c r="J408" s="791" t="s">
        <v>6126</v>
      </c>
      <c r="K408" s="3699"/>
      <c r="L408" s="3699"/>
      <c r="M408" s="3515"/>
      <c r="N408" s="3515"/>
      <c r="O408" s="3515"/>
      <c r="P408" s="683"/>
      <c r="Q408" s="684"/>
      <c r="R408" s="3524"/>
      <c r="S408" s="684"/>
      <c r="T408" s="684"/>
      <c r="U408" s="683"/>
      <c r="V408" s="684"/>
      <c r="W408" s="3524"/>
      <c r="X408" s="686"/>
      <c r="Y408" s="687"/>
      <c r="Z408" s="736"/>
      <c r="AA408" s="3376"/>
      <c r="AB408" s="2033"/>
      <c r="AC408" s="2033"/>
    </row>
    <row r="409" spans="1:29" s="2051" customFormat="1" ht="21.95" customHeight="1">
      <c r="A409" s="3183"/>
      <c r="B409" s="2035"/>
      <c r="C409" s="2050"/>
      <c r="D409" s="2034"/>
      <c r="E409" s="677" t="s">
        <v>4643</v>
      </c>
      <c r="F409" s="2031">
        <f>+Y409</f>
        <v>2000</v>
      </c>
      <c r="G409" s="2029">
        <v>1000</v>
      </c>
      <c r="H409" s="470">
        <f t="shared" si="51"/>
        <v>1000</v>
      </c>
      <c r="I409" s="2014"/>
      <c r="J409" s="681" t="s">
        <v>366</v>
      </c>
      <c r="K409" s="3515"/>
      <c r="L409" s="3515"/>
      <c r="M409" s="3515"/>
      <c r="N409" s="3515"/>
      <c r="O409" s="3515"/>
      <c r="P409" s="683"/>
      <c r="Q409" s="684"/>
      <c r="R409" s="3524"/>
      <c r="S409" s="684">
        <v>200000</v>
      </c>
      <c r="T409" s="684" t="s">
        <v>0</v>
      </c>
      <c r="U409" s="683"/>
      <c r="V409" s="684">
        <v>10</v>
      </c>
      <c r="W409" s="3524" t="s">
        <v>3</v>
      </c>
      <c r="X409" s="686" t="s">
        <v>1</v>
      </c>
      <c r="Y409" s="687">
        <f>+Z409/1000</f>
        <v>2000</v>
      </c>
      <c r="Z409" s="736">
        <f>S409*V409</f>
        <v>2000000</v>
      </c>
      <c r="AA409" s="3376">
        <f t="shared" si="43"/>
        <v>2000000000</v>
      </c>
      <c r="AB409" s="2033"/>
      <c r="AC409" s="2033"/>
    </row>
    <row r="410" spans="1:29" ht="21.95" customHeight="1">
      <c r="A410" s="1931"/>
      <c r="B410" s="630"/>
      <c r="C410" s="2050"/>
      <c r="D410" s="2034"/>
      <c r="E410" s="677" t="s">
        <v>906</v>
      </c>
      <c r="F410" s="2031">
        <f>+Y410</f>
        <v>8800</v>
      </c>
      <c r="G410" s="2029">
        <v>13000</v>
      </c>
      <c r="H410" s="470">
        <f t="shared" si="51"/>
        <v>-4200</v>
      </c>
      <c r="I410" s="2014"/>
      <c r="J410" s="681" t="s">
        <v>5319</v>
      </c>
      <c r="K410" s="3515"/>
      <c r="L410" s="3515"/>
      <c r="M410" s="3515"/>
      <c r="N410" s="3515"/>
      <c r="O410" s="3515"/>
      <c r="P410" s="683"/>
      <c r="Q410" s="684"/>
      <c r="R410" s="3524"/>
      <c r="S410" s="684">
        <v>880000</v>
      </c>
      <c r="T410" s="684" t="s">
        <v>0</v>
      </c>
      <c r="U410" s="683"/>
      <c r="V410" s="684">
        <v>10</v>
      </c>
      <c r="W410" s="684" t="s">
        <v>5320</v>
      </c>
      <c r="X410" s="686" t="s">
        <v>5296</v>
      </c>
      <c r="Y410" s="687">
        <f>+Z410/1000</f>
        <v>8800</v>
      </c>
      <c r="Z410" s="736">
        <f>S410*V410</f>
        <v>8800000</v>
      </c>
      <c r="AA410" s="3376">
        <f t="shared" si="43"/>
        <v>8800000000</v>
      </c>
    </row>
    <row r="411" spans="1:29" ht="21.95" customHeight="1">
      <c r="A411" s="1931"/>
      <c r="B411" s="630"/>
      <c r="C411" s="2013"/>
      <c r="D411" s="2020"/>
      <c r="E411" s="2023" t="s">
        <v>3484</v>
      </c>
      <c r="F411" s="2031">
        <f t="shared" ref="F411:F413" si="52">+Y411</f>
        <v>500</v>
      </c>
      <c r="G411" s="2029">
        <v>1000</v>
      </c>
      <c r="H411" s="470">
        <f t="shared" si="51"/>
        <v>-500</v>
      </c>
      <c r="I411" s="2014"/>
      <c r="J411" s="681" t="s">
        <v>5321</v>
      </c>
      <c r="K411" s="3515"/>
      <c r="L411" s="3515"/>
      <c r="M411" s="3515"/>
      <c r="N411" s="3515"/>
      <c r="O411" s="3515"/>
      <c r="P411" s="683"/>
      <c r="Q411" s="684"/>
      <c r="R411" s="3524"/>
      <c r="S411" s="684">
        <v>100000</v>
      </c>
      <c r="T411" s="684" t="s">
        <v>0</v>
      </c>
      <c r="U411" s="683"/>
      <c r="V411" s="684">
        <v>5</v>
      </c>
      <c r="W411" s="684" t="s">
        <v>5295</v>
      </c>
      <c r="X411" s="686" t="s">
        <v>1</v>
      </c>
      <c r="Y411" s="687">
        <f t="shared" si="50"/>
        <v>500</v>
      </c>
      <c r="Z411" s="736">
        <f>S411*V411</f>
        <v>500000</v>
      </c>
      <c r="AA411" s="3376">
        <f t="shared" si="43"/>
        <v>500000000</v>
      </c>
    </row>
    <row r="412" spans="1:29" ht="21.95" customHeight="1">
      <c r="A412" s="1931"/>
      <c r="B412" s="630"/>
      <c r="C412" s="2013"/>
      <c r="D412" s="2020"/>
      <c r="E412" s="2023" t="s">
        <v>3485</v>
      </c>
      <c r="F412" s="2031">
        <f t="shared" si="52"/>
        <v>0</v>
      </c>
      <c r="G412" s="2029">
        <v>500</v>
      </c>
      <c r="H412" s="470">
        <f t="shared" si="51"/>
        <v>-500</v>
      </c>
      <c r="I412" s="2014"/>
      <c r="J412" s="791" t="s">
        <v>6126</v>
      </c>
      <c r="K412" s="3699"/>
      <c r="L412" s="3699"/>
      <c r="M412" s="3515"/>
      <c r="N412" s="3515"/>
      <c r="O412" s="3515"/>
      <c r="P412" s="683"/>
      <c r="Q412" s="684"/>
      <c r="R412" s="3524"/>
      <c r="S412" s="684"/>
      <c r="T412" s="684"/>
      <c r="U412" s="683"/>
      <c r="V412" s="684"/>
      <c r="W412" s="3524"/>
      <c r="X412" s="686"/>
      <c r="Y412" s="687"/>
      <c r="Z412" s="736"/>
      <c r="AA412" s="3376"/>
    </row>
    <row r="413" spans="1:29" ht="21.95" customHeight="1" thickBot="1">
      <c r="A413" s="1931"/>
      <c r="B413" s="630"/>
      <c r="C413" s="2022"/>
      <c r="D413" s="2063"/>
      <c r="E413" s="2055" t="s">
        <v>3486</v>
      </c>
      <c r="F413" s="775">
        <f t="shared" si="52"/>
        <v>1000</v>
      </c>
      <c r="G413" s="776">
        <v>500</v>
      </c>
      <c r="H413" s="495">
        <f t="shared" si="51"/>
        <v>500</v>
      </c>
      <c r="I413" s="2014"/>
      <c r="J413" s="1268" t="s">
        <v>5322</v>
      </c>
      <c r="K413" s="1269"/>
      <c r="L413" s="1269"/>
      <c r="M413" s="1269"/>
      <c r="N413" s="1269"/>
      <c r="O413" s="1269"/>
      <c r="P413" s="1271"/>
      <c r="Q413" s="1049"/>
      <c r="R413" s="1047"/>
      <c r="S413" s="1049">
        <v>100000</v>
      </c>
      <c r="T413" s="1049" t="s">
        <v>0</v>
      </c>
      <c r="U413" s="1271"/>
      <c r="V413" s="1049">
        <v>10</v>
      </c>
      <c r="W413" s="1047" t="s">
        <v>3</v>
      </c>
      <c r="X413" s="1272" t="s">
        <v>1</v>
      </c>
      <c r="Y413" s="1273">
        <f t="shared" si="50"/>
        <v>1000</v>
      </c>
      <c r="Z413" s="736">
        <f>S413*V413</f>
        <v>1000000</v>
      </c>
      <c r="AA413" s="3376">
        <f t="shared" si="43"/>
        <v>1000000000</v>
      </c>
    </row>
    <row r="414" spans="1:29" ht="22.5" customHeight="1">
      <c r="J414" s="3010"/>
      <c r="K414" s="3002"/>
      <c r="L414" s="3002"/>
      <c r="M414" s="3002"/>
      <c r="N414" s="3002"/>
      <c r="O414" s="3002"/>
      <c r="P414" s="3138"/>
      <c r="Q414" s="3010"/>
      <c r="R414" s="3137"/>
      <c r="S414" s="3010"/>
      <c r="T414" s="3010"/>
      <c r="U414" s="3138"/>
      <c r="V414" s="3010"/>
      <c r="W414" s="3137"/>
      <c r="X414" s="3011"/>
      <c r="Y414" s="3194"/>
      <c r="Z414" s="3193"/>
    </row>
    <row r="415" spans="1:29" ht="22.5" customHeight="1"/>
    <row r="416" spans="1:29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1" customHeight="1"/>
  </sheetData>
  <autoFilter ref="A4:AG401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2">
    <mergeCell ref="D89:E89"/>
    <mergeCell ref="D156:E156"/>
    <mergeCell ref="C87:E87"/>
    <mergeCell ref="A5:E5"/>
    <mergeCell ref="C7:E7"/>
    <mergeCell ref="D8:E8"/>
    <mergeCell ref="D20:E20"/>
    <mergeCell ref="D83:E83"/>
    <mergeCell ref="A1:Y1"/>
    <mergeCell ref="A3:E3"/>
    <mergeCell ref="F3:F4"/>
    <mergeCell ref="G3:G4"/>
    <mergeCell ref="H3:H4"/>
    <mergeCell ref="J3:Y4"/>
    <mergeCell ref="D192:E192"/>
    <mergeCell ref="D103:E103"/>
    <mergeCell ref="D111:E111"/>
    <mergeCell ref="D299:E299"/>
    <mergeCell ref="D317:E317"/>
    <mergeCell ref="C281:E281"/>
    <mergeCell ref="D282:E282"/>
    <mergeCell ref="D204:E204"/>
    <mergeCell ref="D221:E221"/>
    <mergeCell ref="D237:E237"/>
    <mergeCell ref="D255:E255"/>
    <mergeCell ref="D270:E270"/>
    <mergeCell ref="D329:E329"/>
    <mergeCell ref="C403:E403"/>
    <mergeCell ref="D404:E404"/>
    <mergeCell ref="D333:E333"/>
    <mergeCell ref="D334:E334"/>
    <mergeCell ref="D370:E370"/>
  </mergeCells>
  <phoneticPr fontId="15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4" firstPageNumber="58" fitToHeight="100" orientation="landscape" useFirstPageNumber="1" r:id="rId1"/>
  <headerFooter scaleWithDoc="0" alignWithMargins="0"/>
  <rowBreaks count="8" manualBreakCount="8">
    <brk id="49" max="24" man="1"/>
    <brk id="95" max="24" man="1"/>
    <brk id="134" max="24" man="1"/>
    <brk id="183" max="24" man="1"/>
    <brk id="236" max="24" man="1"/>
    <brk id="280" max="24" man="1"/>
    <brk id="331" max="24" man="1"/>
    <brk id="379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93"/>
  <sheetViews>
    <sheetView view="pageBreakPreview" zoomScale="70" zoomScaleSheetLayoutView="70" workbookViewId="0">
      <pane ySplit="4" topLeftCell="A263" activePane="bottomLeft" state="frozen"/>
      <selection activeCell="F663" sqref="F663:G663"/>
      <selection pane="bottomLeft" activeCell="H305" sqref="H305"/>
    </sheetView>
  </sheetViews>
  <sheetFormatPr defaultRowHeight="14.25"/>
  <cols>
    <col min="1" max="4" width="6.77734375" style="491" customWidth="1"/>
    <col min="5" max="5" width="16.5546875" style="491" customWidth="1"/>
    <col min="6" max="8" width="13.77734375" style="1389" customWidth="1"/>
    <col min="9" max="9" width="1.6640625" style="479" customWidth="1"/>
    <col min="10" max="10" width="2.88671875" style="491" customWidth="1"/>
    <col min="11" max="11" width="1.88671875" style="491" customWidth="1"/>
    <col min="12" max="12" width="9.109375" style="491" customWidth="1"/>
    <col min="13" max="13" width="8.6640625" style="491" customWidth="1"/>
    <col min="14" max="14" width="9.6640625" style="491" customWidth="1"/>
    <col min="15" max="15" width="7.77734375" style="491" customWidth="1"/>
    <col min="16" max="16" width="7.6640625" style="491" customWidth="1"/>
    <col min="17" max="17" width="7.5546875" style="491" customWidth="1"/>
    <col min="18" max="18" width="6.77734375" style="491" customWidth="1"/>
    <col min="19" max="19" width="14.77734375" style="491" customWidth="1"/>
    <col min="20" max="21" width="6.77734375" style="491" customWidth="1"/>
    <col min="22" max="22" width="8.77734375" style="491" customWidth="1"/>
    <col min="23" max="23" width="6.77734375" style="491" customWidth="1"/>
    <col min="24" max="24" width="4" style="491" customWidth="1"/>
    <col min="25" max="25" width="14.77734375" style="491" customWidth="1"/>
    <col min="26" max="26" width="18.77734375" style="1280" bestFit="1" customWidth="1"/>
    <col min="27" max="27" width="21.33203125" style="565" bestFit="1" customWidth="1"/>
    <col min="28" max="28" width="24.6640625" style="565" customWidth="1"/>
    <col min="29" max="29" width="22.44140625" style="491" customWidth="1"/>
    <col min="30" max="30" width="12.6640625" style="491" bestFit="1" customWidth="1"/>
    <col min="31" max="16384" width="8.88671875" style="491"/>
  </cols>
  <sheetData>
    <row r="1" spans="1:30" ht="26.25" customHeight="1">
      <c r="A1" s="3805" t="s">
        <v>6117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</row>
    <row r="2" spans="1:30" ht="15" thickBot="1">
      <c r="A2" s="886"/>
      <c r="B2" s="886"/>
      <c r="C2" s="886"/>
      <c r="D2" s="886" t="s">
        <v>378</v>
      </c>
      <c r="E2" s="886"/>
      <c r="F2" s="1281"/>
      <c r="G2" s="1282"/>
      <c r="H2" s="1282" t="s">
        <v>194</v>
      </c>
      <c r="I2" s="1934"/>
      <c r="J2" s="886" t="s">
        <v>378</v>
      </c>
      <c r="K2" s="886"/>
      <c r="L2" s="1283" t="s">
        <v>378</v>
      </c>
      <c r="M2" s="886"/>
      <c r="N2" s="886"/>
      <c r="O2" s="476"/>
      <c r="P2" s="308"/>
      <c r="Q2" s="1932"/>
      <c r="R2" s="1934"/>
      <c r="S2" s="1934"/>
      <c r="T2" s="1934"/>
      <c r="U2" s="1934"/>
      <c r="V2" s="1934"/>
      <c r="W2" s="1934"/>
      <c r="X2" s="1934"/>
      <c r="Y2" s="556" t="s">
        <v>194</v>
      </c>
    </row>
    <row r="3" spans="1:30" ht="20.25" customHeight="1">
      <c r="A3" s="3806" t="s">
        <v>218</v>
      </c>
      <c r="B3" s="3807"/>
      <c r="C3" s="3807"/>
      <c r="D3" s="3807"/>
      <c r="E3" s="3808"/>
      <c r="F3" s="3809" t="s">
        <v>174</v>
      </c>
      <c r="G3" s="3811" t="s">
        <v>1077</v>
      </c>
      <c r="H3" s="4028" t="s">
        <v>11</v>
      </c>
      <c r="I3" s="634"/>
      <c r="J3" s="4030" t="s">
        <v>220</v>
      </c>
      <c r="K3" s="3816"/>
      <c r="L3" s="3816"/>
      <c r="M3" s="3816"/>
      <c r="N3" s="3816"/>
      <c r="O3" s="3816"/>
      <c r="P3" s="3816"/>
      <c r="Q3" s="3816"/>
      <c r="R3" s="3816"/>
      <c r="S3" s="3816"/>
      <c r="T3" s="3816"/>
      <c r="U3" s="3816"/>
      <c r="V3" s="3816"/>
      <c r="W3" s="3816"/>
      <c r="X3" s="3816"/>
      <c r="Y3" s="3817"/>
      <c r="Z3" s="744"/>
    </row>
    <row r="4" spans="1:30" ht="20.25" customHeight="1" thickBot="1">
      <c r="A4" s="892" t="s">
        <v>252</v>
      </c>
      <c r="B4" s="893" t="s">
        <v>234</v>
      </c>
      <c r="C4" s="894" t="s">
        <v>221</v>
      </c>
      <c r="D4" s="894" t="s">
        <v>235</v>
      </c>
      <c r="E4" s="894" t="s">
        <v>49</v>
      </c>
      <c r="F4" s="3810"/>
      <c r="G4" s="3812"/>
      <c r="H4" s="4029"/>
      <c r="I4" s="895"/>
      <c r="J4" s="3818"/>
      <c r="K4" s="3819"/>
      <c r="L4" s="3819"/>
      <c r="M4" s="3819"/>
      <c r="N4" s="3819"/>
      <c r="O4" s="3819"/>
      <c r="P4" s="3819"/>
      <c r="Q4" s="3819"/>
      <c r="R4" s="3819"/>
      <c r="S4" s="3819"/>
      <c r="T4" s="3819"/>
      <c r="U4" s="3819"/>
      <c r="V4" s="3819"/>
      <c r="W4" s="3819"/>
      <c r="X4" s="3819"/>
      <c r="Y4" s="3820"/>
      <c r="Z4" s="744"/>
    </row>
    <row r="5" spans="1:30" ht="23.25" customHeight="1" thickBot="1">
      <c r="A5" s="3827" t="s">
        <v>6022</v>
      </c>
      <c r="B5" s="3828"/>
      <c r="C5" s="3828"/>
      <c r="D5" s="3828"/>
      <c r="E5" s="3829"/>
      <c r="F5" s="1284"/>
      <c r="G5" s="1935"/>
      <c r="H5" s="1962"/>
      <c r="I5" s="895"/>
      <c r="J5" s="1937"/>
      <c r="K5" s="1938"/>
      <c r="L5" s="1938"/>
      <c r="M5" s="1938"/>
      <c r="N5" s="1938"/>
      <c r="O5" s="1938"/>
      <c r="P5" s="1938"/>
      <c r="Q5" s="1938"/>
      <c r="R5" s="1938"/>
      <c r="S5" s="1938"/>
      <c r="T5" s="1938"/>
      <c r="U5" s="1938"/>
      <c r="V5" s="1938"/>
      <c r="W5" s="1938"/>
      <c r="X5" s="1938"/>
      <c r="Y5" s="1939"/>
      <c r="Z5" s="744"/>
    </row>
    <row r="6" spans="1:30" s="479" customFormat="1" ht="23.25" customHeight="1" thickBot="1">
      <c r="A6" s="1285"/>
      <c r="B6" s="1286" t="s">
        <v>611</v>
      </c>
      <c r="C6" s="1287"/>
      <c r="D6" s="1287"/>
      <c r="E6" s="1288"/>
      <c r="F6" s="1289">
        <f>+F7+F93</f>
        <v>2557950</v>
      </c>
      <c r="G6" s="1289">
        <f>+G7+G93</f>
        <v>2509950</v>
      </c>
      <c r="H6" s="1290">
        <f>+H7+H93</f>
        <v>48000.000000000116</v>
      </c>
      <c r="I6" s="471"/>
      <c r="J6" s="520"/>
      <c r="K6" s="1933"/>
      <c r="L6" s="1933"/>
      <c r="M6" s="1933"/>
      <c r="N6" s="1933"/>
      <c r="O6" s="1291"/>
      <c r="P6" s="1292"/>
      <c r="Q6" s="1293"/>
      <c r="R6" s="1292"/>
      <c r="S6" s="1291"/>
      <c r="T6" s="1933"/>
      <c r="U6" s="1291"/>
      <c r="V6" s="1933"/>
      <c r="W6" s="1933"/>
      <c r="X6" s="1291"/>
      <c r="Y6" s="522"/>
      <c r="Z6" s="1619">
        <f>F7*1000</f>
        <v>1672450000</v>
      </c>
      <c r="AA6" s="565"/>
      <c r="AB6" s="2033"/>
    </row>
    <row r="7" spans="1:30" s="1305" customFormat="1" ht="20.45" customHeight="1">
      <c r="A7" s="1295"/>
      <c r="B7" s="1296"/>
      <c r="C7" s="3908" t="s">
        <v>201</v>
      </c>
      <c r="D7" s="3909"/>
      <c r="E7" s="3910"/>
      <c r="F7" s="1297">
        <f>+F8+F20+F86</f>
        <v>1672450</v>
      </c>
      <c r="G7" s="1297">
        <f>+G8+G20+G86</f>
        <v>1629450</v>
      </c>
      <c r="H7" s="1298">
        <f>F7-G7</f>
        <v>43000</v>
      </c>
      <c r="I7" s="1299"/>
      <c r="J7" s="1300"/>
      <c r="K7" s="1301"/>
      <c r="L7" s="1301"/>
      <c r="M7" s="1301"/>
      <c r="N7" s="1301"/>
      <c r="O7" s="1302"/>
      <c r="P7" s="1940"/>
      <c r="Q7" s="1303"/>
      <c r="R7" s="1940"/>
      <c r="S7" s="1302"/>
      <c r="T7" s="1301"/>
      <c r="U7" s="1302"/>
      <c r="V7" s="1301"/>
      <c r="W7" s="1301"/>
      <c r="X7" s="1302"/>
      <c r="Y7" s="1304"/>
      <c r="Z7" s="1619"/>
      <c r="AA7" s="2033"/>
      <c r="AB7" s="2033"/>
    </row>
    <row r="8" spans="1:30" s="763" customFormat="1" ht="20.45" customHeight="1">
      <c r="A8" s="636"/>
      <c r="B8" s="467"/>
      <c r="C8" s="468"/>
      <c r="D8" s="3911" t="s">
        <v>278</v>
      </c>
      <c r="E8" s="3912"/>
      <c r="F8" s="512">
        <f>+F9+F16+F17</f>
        <v>931450</v>
      </c>
      <c r="G8" s="512">
        <f>+G9+G16+G17</f>
        <v>888450</v>
      </c>
      <c r="H8" s="513">
        <f>F8-G8</f>
        <v>43000</v>
      </c>
      <c r="I8" s="634"/>
      <c r="J8" s="1306"/>
      <c r="K8" s="1307"/>
      <c r="L8" s="1307"/>
      <c r="M8" s="1307"/>
      <c r="N8" s="1307"/>
      <c r="O8" s="1307"/>
      <c r="P8" s="1308"/>
      <c r="Q8" s="1309"/>
      <c r="R8" s="1941"/>
      <c r="S8" s="1310"/>
      <c r="T8" s="1963"/>
      <c r="U8" s="1310"/>
      <c r="V8" s="1963"/>
      <c r="W8" s="1963"/>
      <c r="X8" s="1310"/>
      <c r="Y8" s="1311"/>
      <c r="Z8" s="308"/>
      <c r="AA8" s="2033"/>
      <c r="AB8" s="2033"/>
      <c r="AC8" s="669"/>
    </row>
    <row r="9" spans="1:30" s="763" customFormat="1" ht="20.45" customHeight="1">
      <c r="A9" s="636"/>
      <c r="B9" s="467"/>
      <c r="C9" s="468"/>
      <c r="D9" s="468"/>
      <c r="E9" s="624" t="s">
        <v>602</v>
      </c>
      <c r="F9" s="824">
        <f>+Y9</f>
        <v>755650</v>
      </c>
      <c r="G9" s="824">
        <v>720525</v>
      </c>
      <c r="H9" s="486">
        <f>F9-G9</f>
        <v>35125</v>
      </c>
      <c r="I9" s="634"/>
      <c r="J9" s="1312" t="s">
        <v>224</v>
      </c>
      <c r="K9" s="1313"/>
      <c r="L9" s="1313"/>
      <c r="M9" s="1313"/>
      <c r="N9" s="889"/>
      <c r="O9" s="889"/>
      <c r="P9" s="1313"/>
      <c r="Q9" s="1314"/>
      <c r="R9" s="473"/>
      <c r="S9" s="473"/>
      <c r="T9" s="473"/>
      <c r="U9" s="473"/>
      <c r="V9" s="473"/>
      <c r="W9" s="473"/>
      <c r="X9" s="473"/>
      <c r="Y9" s="554">
        <f>+INT(Z9/1000)</f>
        <v>755650</v>
      </c>
      <c r="Z9" s="308">
        <f>+Z10+Z12+Z14</f>
        <v>755650000</v>
      </c>
      <c r="AA9" s="2033"/>
      <c r="AB9" s="2033"/>
      <c r="AC9" s="669"/>
    </row>
    <row r="10" spans="1:30" s="763" customFormat="1" ht="20.45" customHeight="1">
      <c r="A10" s="1931"/>
      <c r="B10" s="630"/>
      <c r="C10" s="631"/>
      <c r="D10" s="468"/>
      <c r="E10" s="624"/>
      <c r="F10" s="824"/>
      <c r="G10" s="824"/>
      <c r="H10" s="551"/>
      <c r="I10" s="634"/>
      <c r="J10" s="1312" t="s">
        <v>269</v>
      </c>
      <c r="K10" s="1315"/>
      <c r="L10" s="886"/>
      <c r="M10" s="886"/>
      <c r="N10" s="889"/>
      <c r="O10" s="889"/>
      <c r="P10" s="1313"/>
      <c r="Q10" s="1314" t="s">
        <v>265</v>
      </c>
      <c r="R10" s="473" t="s">
        <v>378</v>
      </c>
      <c r="S10" s="1316"/>
      <c r="T10" s="473"/>
      <c r="U10" s="473"/>
      <c r="V10" s="473"/>
      <c r="W10" s="473"/>
      <c r="X10" s="473"/>
      <c r="Y10" s="554">
        <f t="shared" ref="Y10:Y15" si="0">+INT(Z10/1000)</f>
        <v>662400</v>
      </c>
      <c r="Z10" s="308">
        <f>SUM(Z11:Z11)</f>
        <v>662400000</v>
      </c>
      <c r="AA10" s="2033"/>
      <c r="AB10" s="2033"/>
      <c r="AC10" s="669"/>
    </row>
    <row r="11" spans="1:30" s="763" customFormat="1" ht="20.45" customHeight="1">
      <c r="A11" s="1931"/>
      <c r="B11" s="630"/>
      <c r="C11" s="631"/>
      <c r="D11" s="468"/>
      <c r="E11" s="624"/>
      <c r="F11" s="824"/>
      <c r="G11" s="824"/>
      <c r="H11" s="551"/>
      <c r="I11" s="634"/>
      <c r="J11" s="1312"/>
      <c r="K11" s="1317" t="s">
        <v>1785</v>
      </c>
      <c r="L11" s="886"/>
      <c r="M11" s="886"/>
      <c r="N11" s="1318"/>
      <c r="O11" s="1313"/>
      <c r="P11" s="1313"/>
      <c r="Q11" s="1314" t="s">
        <v>907</v>
      </c>
      <c r="R11" s="473" t="s">
        <v>227</v>
      </c>
      <c r="S11" s="474">
        <v>4600000</v>
      </c>
      <c r="T11" s="473" t="s">
        <v>37</v>
      </c>
      <c r="U11" s="473"/>
      <c r="V11" s="473">
        <v>12</v>
      </c>
      <c r="W11" s="473" t="s">
        <v>228</v>
      </c>
      <c r="X11" s="473" t="s">
        <v>38</v>
      </c>
      <c r="Y11" s="554">
        <f t="shared" si="0"/>
        <v>662400</v>
      </c>
      <c r="Z11" s="308">
        <f>S11*Q11*V11</f>
        <v>662400000</v>
      </c>
      <c r="AA11" s="2033"/>
      <c r="AB11" s="2033"/>
      <c r="AC11" s="669"/>
      <c r="AD11" s="3689"/>
    </row>
    <row r="12" spans="1:30" s="763" customFormat="1" ht="20.45" customHeight="1">
      <c r="A12" s="1931"/>
      <c r="B12" s="630"/>
      <c r="C12" s="631"/>
      <c r="D12" s="468"/>
      <c r="E12" s="624"/>
      <c r="F12" s="824"/>
      <c r="G12" s="824"/>
      <c r="H12" s="551"/>
      <c r="I12" s="634"/>
      <c r="J12" s="1312" t="s">
        <v>749</v>
      </c>
      <c r="K12" s="1315"/>
      <c r="L12" s="886"/>
      <c r="M12" s="886"/>
      <c r="N12" s="1318"/>
      <c r="O12" s="1313"/>
      <c r="P12" s="1313"/>
      <c r="Q12" s="1314"/>
      <c r="R12" s="1946"/>
      <c r="S12" s="473"/>
      <c r="T12" s="1946"/>
      <c r="U12" s="473"/>
      <c r="V12" s="473"/>
      <c r="W12" s="473"/>
      <c r="X12" s="473"/>
      <c r="Y12" s="554">
        <f t="shared" si="0"/>
        <v>65600</v>
      </c>
      <c r="Z12" s="308">
        <f>SUM(Z13:Z13)</f>
        <v>65600000</v>
      </c>
      <c r="AA12" s="2033"/>
      <c r="AB12" s="2033"/>
      <c r="AC12" s="669"/>
    </row>
    <row r="13" spans="1:30" s="763" customFormat="1" ht="20.45" customHeight="1">
      <c r="A13" s="1931"/>
      <c r="B13" s="630"/>
      <c r="C13" s="631"/>
      <c r="D13" s="468"/>
      <c r="E13" s="624"/>
      <c r="F13" s="824"/>
      <c r="G13" s="824"/>
      <c r="H13" s="551"/>
      <c r="I13" s="634"/>
      <c r="J13" s="1312"/>
      <c r="K13" s="1317" t="s">
        <v>1785</v>
      </c>
      <c r="L13" s="886"/>
      <c r="M13" s="886"/>
      <c r="N13" s="1318"/>
      <c r="O13" s="1313"/>
      <c r="P13" s="1313"/>
      <c r="Q13" s="1314" t="s">
        <v>907</v>
      </c>
      <c r="R13" s="473" t="s">
        <v>227</v>
      </c>
      <c r="S13" s="474">
        <v>455555.55555555556</v>
      </c>
      <c r="T13" s="473" t="s">
        <v>37</v>
      </c>
      <c r="U13" s="473"/>
      <c r="V13" s="473">
        <v>12</v>
      </c>
      <c r="W13" s="473" t="s">
        <v>228</v>
      </c>
      <c r="X13" s="473" t="s">
        <v>38</v>
      </c>
      <c r="Y13" s="554">
        <f t="shared" si="0"/>
        <v>65600</v>
      </c>
      <c r="Z13" s="308">
        <f>ROUNDUP(S13*Q13*V13,-3)</f>
        <v>65600000</v>
      </c>
      <c r="AA13" s="2033"/>
      <c r="AB13" s="2033"/>
      <c r="AC13" s="669"/>
    </row>
    <row r="14" spans="1:30" s="763" customFormat="1" ht="20.45" customHeight="1">
      <c r="A14" s="1931"/>
      <c r="B14" s="630"/>
      <c r="C14" s="631"/>
      <c r="D14" s="468"/>
      <c r="E14" s="624"/>
      <c r="F14" s="824"/>
      <c r="G14" s="824"/>
      <c r="H14" s="551"/>
      <c r="I14" s="634"/>
      <c r="J14" s="1312" t="s">
        <v>270</v>
      </c>
      <c r="K14" s="1315"/>
      <c r="L14" s="886"/>
      <c r="M14" s="886"/>
      <c r="N14" s="1318"/>
      <c r="O14" s="1313"/>
      <c r="P14" s="1313"/>
      <c r="Q14" s="1314"/>
      <c r="R14" s="1946"/>
      <c r="S14" s="473"/>
      <c r="T14" s="1946"/>
      <c r="U14" s="473"/>
      <c r="V14" s="473"/>
      <c r="W14" s="473"/>
      <c r="X14" s="473"/>
      <c r="Y14" s="554">
        <f t="shared" si="0"/>
        <v>27650</v>
      </c>
      <c r="Z14" s="308">
        <f>SUM(Z15:Z15)</f>
        <v>27650000</v>
      </c>
      <c r="AA14" s="2033"/>
      <c r="AB14" s="2033"/>
      <c r="AC14" s="669"/>
    </row>
    <row r="15" spans="1:30" s="763" customFormat="1" ht="20.45" customHeight="1">
      <c r="A15" s="1931"/>
      <c r="B15" s="630"/>
      <c r="C15" s="631"/>
      <c r="D15" s="468"/>
      <c r="E15" s="624"/>
      <c r="F15" s="824"/>
      <c r="G15" s="824"/>
      <c r="H15" s="551"/>
      <c r="I15" s="634"/>
      <c r="J15" s="1312"/>
      <c r="K15" s="1317" t="s">
        <v>1785</v>
      </c>
      <c r="L15" s="886"/>
      <c r="M15" s="886"/>
      <c r="N15" s="1318"/>
      <c r="O15" s="1313"/>
      <c r="P15" s="1313"/>
      <c r="Q15" s="1314" t="s">
        <v>907</v>
      </c>
      <c r="R15" s="473" t="s">
        <v>227</v>
      </c>
      <c r="S15" s="474">
        <v>2304166.6666666665</v>
      </c>
      <c r="T15" s="473" t="s">
        <v>37</v>
      </c>
      <c r="U15" s="473"/>
      <c r="V15" s="473">
        <v>1</v>
      </c>
      <c r="W15" s="473" t="s">
        <v>226</v>
      </c>
      <c r="X15" s="473" t="s">
        <v>38</v>
      </c>
      <c r="Y15" s="554">
        <f t="shared" si="0"/>
        <v>27650</v>
      </c>
      <c r="Z15" s="308">
        <f>ROUNDUP(S15*Q15*V15,-3)</f>
        <v>27650000</v>
      </c>
      <c r="AA15" s="2033"/>
      <c r="AB15" s="2033"/>
      <c r="AC15" s="669"/>
    </row>
    <row r="16" spans="1:30" s="763" customFormat="1" ht="20.45" customHeight="1">
      <c r="A16" s="1931"/>
      <c r="B16" s="630"/>
      <c r="C16" s="631"/>
      <c r="D16" s="468"/>
      <c r="E16" s="1319" t="s">
        <v>601</v>
      </c>
      <c r="F16" s="598">
        <f>Y16</f>
        <v>91000</v>
      </c>
      <c r="G16" s="842">
        <v>86625</v>
      </c>
      <c r="H16" s="1320">
        <f>F16-G16</f>
        <v>4375</v>
      </c>
      <c r="I16" s="634"/>
      <c r="J16" s="1696" t="s">
        <v>1668</v>
      </c>
      <c r="K16" s="1322"/>
      <c r="L16" s="1323"/>
      <c r="M16" s="1323"/>
      <c r="N16" s="1324"/>
      <c r="O16" s="1324"/>
      <c r="P16" s="1322"/>
      <c r="Q16" s="1325"/>
      <c r="R16" s="1326"/>
      <c r="S16" s="608">
        <f>+Z11+Z13</f>
        <v>728000000</v>
      </c>
      <c r="T16" s="1326" t="s">
        <v>600</v>
      </c>
      <c r="U16" s="1327">
        <v>12</v>
      </c>
      <c r="V16" s="1326" t="s">
        <v>599</v>
      </c>
      <c r="W16" s="1328">
        <v>1.5</v>
      </c>
      <c r="X16" s="1326" t="s">
        <v>38</v>
      </c>
      <c r="Y16" s="748">
        <f t="shared" ref="Y16:Y19" si="1">+Z16/1000</f>
        <v>91000</v>
      </c>
      <c r="Z16" s="308">
        <f>+(S16/U16*W16)</f>
        <v>91000000</v>
      </c>
      <c r="AA16" s="2033"/>
      <c r="AB16" s="2033"/>
      <c r="AC16" s="669"/>
    </row>
    <row r="17" spans="1:29" s="763" customFormat="1" ht="20.45" customHeight="1">
      <c r="A17" s="1931"/>
      <c r="B17" s="630"/>
      <c r="C17" s="631"/>
      <c r="D17" s="468"/>
      <c r="E17" s="1319" t="s">
        <v>718</v>
      </c>
      <c r="F17" s="842">
        <f>Y17</f>
        <v>84800</v>
      </c>
      <c r="G17" s="842">
        <v>81300</v>
      </c>
      <c r="H17" s="1320">
        <f>F17-G17</f>
        <v>3500</v>
      </c>
      <c r="I17" s="634"/>
      <c r="J17" s="1312" t="s">
        <v>224</v>
      </c>
      <c r="K17" s="1322"/>
      <c r="L17" s="1322"/>
      <c r="M17" s="1322"/>
      <c r="N17" s="1324"/>
      <c r="O17" s="1324"/>
      <c r="P17" s="1322"/>
      <c r="Q17" s="1325"/>
      <c r="R17" s="1326"/>
      <c r="S17" s="1326"/>
      <c r="T17" s="1326"/>
      <c r="U17" s="1326"/>
      <c r="V17" s="1326"/>
      <c r="W17" s="1326"/>
      <c r="X17" s="1326"/>
      <c r="Y17" s="748">
        <f t="shared" si="1"/>
        <v>84800</v>
      </c>
      <c r="Z17" s="308">
        <f>SUM(Z18:Z19)</f>
        <v>84800000</v>
      </c>
      <c r="AA17" s="2033"/>
      <c r="AB17" s="2033"/>
      <c r="AC17" s="669"/>
    </row>
    <row r="18" spans="1:29" ht="20.45" customHeight="1">
      <c r="A18" s="472"/>
      <c r="B18" s="624"/>
      <c r="C18" s="564"/>
      <c r="D18" s="468"/>
      <c r="E18" s="624"/>
      <c r="F18" s="824"/>
      <c r="G18" s="824"/>
      <c r="H18" s="551"/>
      <c r="I18" s="634"/>
      <c r="J18" s="1312" t="s">
        <v>835</v>
      </c>
      <c r="K18" s="1313"/>
      <c r="L18" s="1313"/>
      <c r="M18" s="1313"/>
      <c r="N18" s="889"/>
      <c r="O18" s="1313"/>
      <c r="P18" s="1313"/>
      <c r="Q18" s="1314"/>
      <c r="R18" s="473"/>
      <c r="S18" s="474">
        <f>+S16</f>
        <v>728000000</v>
      </c>
      <c r="T18" s="473" t="s">
        <v>37</v>
      </c>
      <c r="U18" s="473"/>
      <c r="V18" s="1330">
        <v>0.1</v>
      </c>
      <c r="W18" s="473"/>
      <c r="X18" s="473" t="s">
        <v>38</v>
      </c>
      <c r="Y18" s="554">
        <f t="shared" si="1"/>
        <v>72800</v>
      </c>
      <c r="Z18" s="308">
        <f>ROUNDUP(S18*V18,-3)</f>
        <v>72800000</v>
      </c>
      <c r="AA18" s="2033"/>
      <c r="AB18" s="2033"/>
      <c r="AC18" s="669"/>
    </row>
    <row r="19" spans="1:29" s="763" customFormat="1" ht="20.45" customHeight="1">
      <c r="A19" s="1931"/>
      <c r="B19" s="630"/>
      <c r="C19" s="631"/>
      <c r="D19" s="493"/>
      <c r="E19" s="1331"/>
      <c r="F19" s="823"/>
      <c r="G19" s="823"/>
      <c r="H19" s="1332"/>
      <c r="I19" s="634"/>
      <c r="J19" s="1333" t="s">
        <v>367</v>
      </c>
      <c r="K19" s="1334"/>
      <c r="L19" s="1334"/>
      <c r="M19" s="1334"/>
      <c r="N19" s="1335"/>
      <c r="O19" s="1335"/>
      <c r="P19" s="1334"/>
      <c r="Q19" s="1336"/>
      <c r="R19" s="510"/>
      <c r="S19" s="617">
        <v>1000000</v>
      </c>
      <c r="T19" s="510" t="s">
        <v>37</v>
      </c>
      <c r="U19" s="510"/>
      <c r="V19" s="1337">
        <v>12</v>
      </c>
      <c r="W19" s="510" t="s">
        <v>259</v>
      </c>
      <c r="X19" s="510" t="s">
        <v>38</v>
      </c>
      <c r="Y19" s="756">
        <f t="shared" si="1"/>
        <v>12000</v>
      </c>
      <c r="Z19" s="308">
        <f>ROUNDUP(S19*V19,-3)</f>
        <v>12000000</v>
      </c>
      <c r="AA19" s="2033"/>
      <c r="AB19" s="2033"/>
      <c r="AC19" s="669"/>
    </row>
    <row r="20" spans="1:29" ht="20.45" customHeight="1">
      <c r="A20" s="1931"/>
      <c r="B20" s="630"/>
      <c r="C20" s="468"/>
      <c r="D20" s="3834" t="s">
        <v>486</v>
      </c>
      <c r="E20" s="3913"/>
      <c r="F20" s="598">
        <f>SUM(F21:F85)</f>
        <v>718000</v>
      </c>
      <c r="G20" s="598">
        <f>SUM(G21:G85)</f>
        <v>718000</v>
      </c>
      <c r="H20" s="513">
        <f>F20-G20</f>
        <v>0</v>
      </c>
      <c r="I20" s="471"/>
      <c r="J20" s="1338"/>
      <c r="K20" s="727"/>
      <c r="L20" s="727"/>
      <c r="M20" s="727"/>
      <c r="N20" s="727"/>
      <c r="O20" s="727"/>
      <c r="P20" s="1339"/>
      <c r="Q20" s="727"/>
      <c r="R20" s="1339"/>
      <c r="S20" s="727"/>
      <c r="T20" s="1339"/>
      <c r="U20" s="727"/>
      <c r="V20" s="1339"/>
      <c r="W20" s="727"/>
      <c r="X20" s="727"/>
      <c r="Y20" s="771"/>
      <c r="Z20" s="308">
        <f t="shared" ref="Z20:Z83" si="2">ROUNDUP(S20*V20,-3)</f>
        <v>0</v>
      </c>
      <c r="AA20" s="2033"/>
      <c r="AB20" s="2033"/>
      <c r="AC20" s="669"/>
    </row>
    <row r="21" spans="1:29" ht="20.45" customHeight="1">
      <c r="A21" s="1931"/>
      <c r="B21" s="630"/>
      <c r="C21" s="468"/>
      <c r="D21" s="468"/>
      <c r="E21" s="1944" t="s">
        <v>396</v>
      </c>
      <c r="F21" s="1253">
        <f>Y21</f>
        <v>4000</v>
      </c>
      <c r="G21" s="1253">
        <v>4000</v>
      </c>
      <c r="H21" s="529"/>
      <c r="I21" s="1341"/>
      <c r="J21" s="1348" t="s">
        <v>1748</v>
      </c>
      <c r="K21" s="621"/>
      <c r="L21" s="621"/>
      <c r="M21" s="621"/>
      <c r="N21" s="545"/>
      <c r="O21" s="621"/>
      <c r="P21" s="621"/>
      <c r="Q21" s="1349"/>
      <c r="R21" s="621"/>
      <c r="S21" s="545">
        <v>250000</v>
      </c>
      <c r="T21" s="621" t="s">
        <v>37</v>
      </c>
      <c r="U21" s="621"/>
      <c r="V21" s="1726">
        <v>16</v>
      </c>
      <c r="W21" s="621" t="s">
        <v>259</v>
      </c>
      <c r="X21" s="621" t="s">
        <v>38</v>
      </c>
      <c r="Y21" s="517">
        <f>SUM(S21*V21)/1000</f>
        <v>4000</v>
      </c>
      <c r="Z21" s="308">
        <f t="shared" si="2"/>
        <v>4000000</v>
      </c>
      <c r="AA21" s="2033"/>
      <c r="AB21" s="2033"/>
      <c r="AC21" s="669"/>
    </row>
    <row r="22" spans="1:29" ht="20.45" customHeight="1">
      <c r="A22" s="1931"/>
      <c r="B22" s="630"/>
      <c r="C22" s="468"/>
      <c r="D22" s="630"/>
      <c r="E22" s="1251" t="s">
        <v>352</v>
      </c>
      <c r="F22" s="598">
        <f>SUM(Y22)</f>
        <v>1200</v>
      </c>
      <c r="G22" s="598">
        <v>1200</v>
      </c>
      <c r="H22" s="627"/>
      <c r="I22" s="471"/>
      <c r="J22" s="1348" t="s">
        <v>1749</v>
      </c>
      <c r="K22" s="621"/>
      <c r="L22" s="621"/>
      <c r="M22" s="621"/>
      <c r="N22" s="545"/>
      <c r="O22" s="621"/>
      <c r="P22" s="621"/>
      <c r="Q22" s="1349"/>
      <c r="R22" s="621"/>
      <c r="S22" s="545">
        <v>100000</v>
      </c>
      <c r="T22" s="621" t="s">
        <v>37</v>
      </c>
      <c r="U22" s="621"/>
      <c r="V22" s="621">
        <v>12</v>
      </c>
      <c r="W22" s="621" t="s">
        <v>259</v>
      </c>
      <c r="X22" s="621" t="s">
        <v>38</v>
      </c>
      <c r="Y22" s="517">
        <f>SUM(S22*V22)/1000</f>
        <v>1200</v>
      </c>
      <c r="Z22" s="308">
        <f t="shared" si="2"/>
        <v>1200000</v>
      </c>
      <c r="AA22" s="2033"/>
      <c r="AB22" s="2033"/>
      <c r="AC22" s="669"/>
    </row>
    <row r="23" spans="1:29" ht="20.45" customHeight="1">
      <c r="A23" s="1931"/>
      <c r="B23" s="630"/>
      <c r="C23" s="468"/>
      <c r="D23" s="630"/>
      <c r="E23" s="1319" t="s">
        <v>445</v>
      </c>
      <c r="F23" s="842">
        <f>SUM(Y23)</f>
        <v>1320</v>
      </c>
      <c r="G23" s="842">
        <v>1320</v>
      </c>
      <c r="H23" s="1320"/>
      <c r="I23" s="471"/>
      <c r="J23" s="1312" t="s">
        <v>224</v>
      </c>
      <c r="K23" s="1326"/>
      <c r="L23" s="1326"/>
      <c r="M23" s="1326"/>
      <c r="N23" s="608"/>
      <c r="O23" s="1326"/>
      <c r="P23" s="1326"/>
      <c r="Q23" s="1344"/>
      <c r="R23" s="1326"/>
      <c r="S23" s="608"/>
      <c r="T23" s="1326"/>
      <c r="U23" s="1326"/>
      <c r="V23" s="1326"/>
      <c r="W23" s="1326"/>
      <c r="X23" s="1326"/>
      <c r="Y23" s="490">
        <f>SUM(Y24:Y26)</f>
        <v>1320</v>
      </c>
      <c r="Z23" s="308">
        <f t="shared" si="2"/>
        <v>0</v>
      </c>
      <c r="AA23" s="2033"/>
      <c r="AB23" s="2033"/>
      <c r="AC23" s="669"/>
    </row>
    <row r="24" spans="1:29" ht="20.45" customHeight="1">
      <c r="A24" s="1931"/>
      <c r="B24" s="630"/>
      <c r="C24" s="468"/>
      <c r="D24" s="630"/>
      <c r="E24" s="624"/>
      <c r="F24" s="824"/>
      <c r="G24" s="824"/>
      <c r="H24" s="551"/>
      <c r="I24" s="471"/>
      <c r="J24" s="472" t="s">
        <v>604</v>
      </c>
      <c r="K24" s="473"/>
      <c r="L24" s="473"/>
      <c r="M24" s="473"/>
      <c r="N24" s="474"/>
      <c r="O24" s="473"/>
      <c r="P24" s="473"/>
      <c r="Q24" s="475"/>
      <c r="R24" s="473"/>
      <c r="S24" s="474">
        <v>900000</v>
      </c>
      <c r="T24" s="473" t="s">
        <v>37</v>
      </c>
      <c r="U24" s="479"/>
      <c r="V24" s="473">
        <v>1</v>
      </c>
      <c r="W24" s="473" t="s">
        <v>39</v>
      </c>
      <c r="X24" s="473" t="s">
        <v>38</v>
      </c>
      <c r="Y24" s="483">
        <f>SUM(S24*V24)/1000</f>
        <v>900</v>
      </c>
      <c r="Z24" s="308">
        <f t="shared" si="2"/>
        <v>900000</v>
      </c>
      <c r="AA24" s="2033"/>
      <c r="AB24" s="2033"/>
      <c r="AC24" s="669"/>
    </row>
    <row r="25" spans="1:29" ht="20.45" customHeight="1">
      <c r="A25" s="1931"/>
      <c r="B25" s="630"/>
      <c r="C25" s="468"/>
      <c r="D25" s="630"/>
      <c r="E25" s="624"/>
      <c r="F25" s="824"/>
      <c r="G25" s="824"/>
      <c r="H25" s="551"/>
      <c r="I25" s="471"/>
      <c r="J25" s="472" t="s">
        <v>612</v>
      </c>
      <c r="K25" s="473"/>
      <c r="L25" s="473"/>
      <c r="M25" s="473"/>
      <c r="N25" s="474"/>
      <c r="O25" s="473"/>
      <c r="P25" s="473"/>
      <c r="Q25" s="475"/>
      <c r="R25" s="473"/>
      <c r="S25" s="474">
        <v>300000</v>
      </c>
      <c r="T25" s="473" t="s">
        <v>37</v>
      </c>
      <c r="U25" s="479"/>
      <c r="V25" s="473">
        <v>1</v>
      </c>
      <c r="W25" s="473" t="s">
        <v>39</v>
      </c>
      <c r="X25" s="473" t="s">
        <v>38</v>
      </c>
      <c r="Y25" s="483">
        <f>SUM(S25*V25)/1000</f>
        <v>300</v>
      </c>
      <c r="Z25" s="308">
        <f t="shared" si="2"/>
        <v>300000</v>
      </c>
      <c r="AA25" s="2033"/>
      <c r="AB25" s="2033"/>
      <c r="AC25" s="669"/>
    </row>
    <row r="26" spans="1:29" ht="20.45" customHeight="1">
      <c r="A26" s="1931"/>
      <c r="B26" s="630"/>
      <c r="C26" s="468"/>
      <c r="D26" s="630"/>
      <c r="E26" s="1331"/>
      <c r="F26" s="823"/>
      <c r="G26" s="823"/>
      <c r="H26" s="1332"/>
      <c r="I26" s="471"/>
      <c r="J26" s="1342" t="s">
        <v>613</v>
      </c>
      <c r="K26" s="510"/>
      <c r="L26" s="510"/>
      <c r="M26" s="510"/>
      <c r="N26" s="617"/>
      <c r="O26" s="510"/>
      <c r="P26" s="510"/>
      <c r="Q26" s="507">
        <v>3</v>
      </c>
      <c r="R26" s="510" t="s">
        <v>227</v>
      </c>
      <c r="S26" s="617">
        <v>40000</v>
      </c>
      <c r="T26" s="510" t="s">
        <v>37</v>
      </c>
      <c r="U26" s="499"/>
      <c r="V26" s="510">
        <v>1</v>
      </c>
      <c r="W26" s="510" t="s">
        <v>39</v>
      </c>
      <c r="X26" s="510" t="s">
        <v>38</v>
      </c>
      <c r="Y26" s="478">
        <f>SUM(Q26*S26*V26)/1000</f>
        <v>120</v>
      </c>
      <c r="Z26" s="308">
        <f t="shared" si="2"/>
        <v>40000</v>
      </c>
      <c r="AA26" s="2033"/>
      <c r="AB26" s="2033"/>
      <c r="AC26" s="669"/>
    </row>
    <row r="27" spans="1:29" ht="20.45" customHeight="1">
      <c r="A27" s="1931"/>
      <c r="B27" s="630"/>
      <c r="C27" s="468"/>
      <c r="D27" s="630"/>
      <c r="E27" s="624" t="s">
        <v>496</v>
      </c>
      <c r="F27" s="824">
        <f>SUM(Y27)</f>
        <v>6000</v>
      </c>
      <c r="G27" s="824">
        <v>6000</v>
      </c>
      <c r="H27" s="551"/>
      <c r="I27" s="471"/>
      <c r="J27" s="1312" t="s">
        <v>224</v>
      </c>
      <c r="K27" s="1326"/>
      <c r="L27" s="1326"/>
      <c r="M27" s="1326"/>
      <c r="N27" s="608"/>
      <c r="O27" s="1326"/>
      <c r="P27" s="1326"/>
      <c r="Q27" s="1344"/>
      <c r="R27" s="1326"/>
      <c r="S27" s="608"/>
      <c r="T27" s="1326"/>
      <c r="U27" s="1326"/>
      <c r="V27" s="1326"/>
      <c r="W27" s="1326"/>
      <c r="X27" s="1326"/>
      <c r="Y27" s="490">
        <f>SUM(Y28:Y29)</f>
        <v>6000</v>
      </c>
      <c r="Z27" s="308">
        <f t="shared" si="2"/>
        <v>0</v>
      </c>
      <c r="AA27" s="2033"/>
      <c r="AB27" s="2033"/>
      <c r="AC27" s="669"/>
    </row>
    <row r="28" spans="1:29" ht="20.45" customHeight="1">
      <c r="A28" s="1931"/>
      <c r="B28" s="630"/>
      <c r="C28" s="468"/>
      <c r="D28" s="630"/>
      <c r="E28" s="624"/>
      <c r="F28" s="824"/>
      <c r="G28" s="824"/>
      <c r="H28" s="551"/>
      <c r="I28" s="471"/>
      <c r="J28" s="472" t="s">
        <v>497</v>
      </c>
      <c r="K28" s="473"/>
      <c r="L28" s="473"/>
      <c r="M28" s="473"/>
      <c r="N28" s="474"/>
      <c r="O28" s="473"/>
      <c r="P28" s="473"/>
      <c r="Q28" s="475">
        <v>1</v>
      </c>
      <c r="R28" s="473" t="s">
        <v>614</v>
      </c>
      <c r="S28" s="474">
        <v>100000</v>
      </c>
      <c r="T28" s="473" t="s">
        <v>37</v>
      </c>
      <c r="U28" s="473"/>
      <c r="V28" s="473">
        <v>12</v>
      </c>
      <c r="W28" s="473" t="s">
        <v>228</v>
      </c>
      <c r="X28" s="473" t="s">
        <v>38</v>
      </c>
      <c r="Y28" s="483">
        <f>SUM(Q28*S28*V28)/1000</f>
        <v>1200</v>
      </c>
      <c r="Z28" s="308">
        <f t="shared" si="2"/>
        <v>1200000</v>
      </c>
      <c r="AA28" s="2033"/>
      <c r="AB28" s="2033"/>
      <c r="AC28" s="669"/>
    </row>
    <row r="29" spans="1:29" ht="20.45" customHeight="1">
      <c r="A29" s="1931"/>
      <c r="B29" s="630"/>
      <c r="C29" s="468"/>
      <c r="D29" s="630"/>
      <c r="E29" s="1331"/>
      <c r="F29" s="823"/>
      <c r="G29" s="823"/>
      <c r="H29" s="1332"/>
      <c r="I29" s="471"/>
      <c r="J29" s="1342" t="s">
        <v>1076</v>
      </c>
      <c r="K29" s="510"/>
      <c r="L29" s="510"/>
      <c r="M29" s="510"/>
      <c r="N29" s="617"/>
      <c r="O29" s="510"/>
      <c r="P29" s="510"/>
      <c r="Q29" s="507">
        <v>2</v>
      </c>
      <c r="R29" s="510" t="s">
        <v>614</v>
      </c>
      <c r="S29" s="617">
        <v>200000</v>
      </c>
      <c r="T29" s="510" t="s">
        <v>37</v>
      </c>
      <c r="U29" s="510"/>
      <c r="V29" s="510">
        <v>12</v>
      </c>
      <c r="W29" s="510" t="s">
        <v>228</v>
      </c>
      <c r="X29" s="510" t="s">
        <v>38</v>
      </c>
      <c r="Y29" s="483">
        <f>SUM(Q29*S29*V29)/1000</f>
        <v>4800</v>
      </c>
      <c r="Z29" s="308">
        <f t="shared" si="2"/>
        <v>2400000</v>
      </c>
      <c r="AA29" s="2033"/>
      <c r="AB29" s="2033"/>
      <c r="AC29" s="669"/>
    </row>
    <row r="30" spans="1:29" ht="20.45" customHeight="1">
      <c r="A30" s="1931"/>
      <c r="B30" s="630"/>
      <c r="C30" s="468"/>
      <c r="D30" s="630"/>
      <c r="E30" s="1319" t="s">
        <v>18</v>
      </c>
      <c r="F30" s="842">
        <f>SUM(Y30)</f>
        <v>2000</v>
      </c>
      <c r="G30" s="842">
        <v>2000</v>
      </c>
      <c r="H30" s="1320"/>
      <c r="I30" s="471"/>
      <c r="J30" s="1312" t="s">
        <v>224</v>
      </c>
      <c r="K30" s="1326"/>
      <c r="L30" s="1326"/>
      <c r="M30" s="1326"/>
      <c r="N30" s="608"/>
      <c r="O30" s="608"/>
      <c r="P30" s="1326"/>
      <c r="Q30" s="1344"/>
      <c r="R30" s="1326"/>
      <c r="S30" s="1326"/>
      <c r="T30" s="1326"/>
      <c r="U30" s="1326"/>
      <c r="V30" s="1326"/>
      <c r="W30" s="1326"/>
      <c r="X30" s="1326"/>
      <c r="Y30" s="490">
        <f>SUM(Y31:Y33)</f>
        <v>2000</v>
      </c>
      <c r="Z30" s="308">
        <f t="shared" si="2"/>
        <v>0</v>
      </c>
      <c r="AA30" s="2033"/>
      <c r="AB30" s="2033"/>
      <c r="AC30" s="669"/>
    </row>
    <row r="31" spans="1:29" ht="20.45" customHeight="1">
      <c r="A31" s="1931"/>
      <c r="B31" s="630"/>
      <c r="C31" s="468"/>
      <c r="D31" s="630"/>
      <c r="E31" s="624"/>
      <c r="F31" s="824"/>
      <c r="G31" s="824"/>
      <c r="H31" s="551"/>
      <c r="I31" s="471"/>
      <c r="J31" s="472" t="s">
        <v>615</v>
      </c>
      <c r="K31" s="473"/>
      <c r="L31" s="473"/>
      <c r="M31" s="473"/>
      <c r="N31" s="474"/>
      <c r="O31" s="473"/>
      <c r="P31" s="473"/>
      <c r="Q31" s="475"/>
      <c r="R31" s="473"/>
      <c r="S31" s="474">
        <v>300000</v>
      </c>
      <c r="T31" s="473" t="s">
        <v>37</v>
      </c>
      <c r="U31" s="473"/>
      <c r="V31" s="473">
        <v>1</v>
      </c>
      <c r="W31" s="473" t="s">
        <v>39</v>
      </c>
      <c r="X31" s="473" t="s">
        <v>38</v>
      </c>
      <c r="Y31" s="483">
        <f>SUM(S31*V31)/1000</f>
        <v>300</v>
      </c>
      <c r="Z31" s="308">
        <f t="shared" si="2"/>
        <v>300000</v>
      </c>
      <c r="AA31" s="2033"/>
      <c r="AB31" s="2033"/>
      <c r="AC31" s="669"/>
    </row>
    <row r="32" spans="1:29" ht="20.45" customHeight="1">
      <c r="A32" s="1931"/>
      <c r="B32" s="630"/>
      <c r="C32" s="468"/>
      <c r="D32" s="630"/>
      <c r="E32" s="624"/>
      <c r="F32" s="824"/>
      <c r="G32" s="824"/>
      <c r="H32" s="551"/>
      <c r="I32" s="471"/>
      <c r="J32" s="472" t="s">
        <v>616</v>
      </c>
      <c r="K32" s="473"/>
      <c r="L32" s="473"/>
      <c r="M32" s="473"/>
      <c r="N32" s="474"/>
      <c r="O32" s="473"/>
      <c r="P32" s="473"/>
      <c r="Q32" s="475"/>
      <c r="R32" s="473"/>
      <c r="S32" s="474">
        <v>1300000</v>
      </c>
      <c r="T32" s="473" t="s">
        <v>37</v>
      </c>
      <c r="U32" s="473"/>
      <c r="V32" s="473">
        <v>1</v>
      </c>
      <c r="W32" s="473" t="s">
        <v>39</v>
      </c>
      <c r="X32" s="473" t="s">
        <v>38</v>
      </c>
      <c r="Y32" s="483">
        <f>SUM(S32*V32)/1000</f>
        <v>1300</v>
      </c>
      <c r="Z32" s="308">
        <f t="shared" si="2"/>
        <v>1300000</v>
      </c>
      <c r="AA32" s="2033"/>
      <c r="AB32" s="2033"/>
      <c r="AC32" s="669"/>
    </row>
    <row r="33" spans="1:29" ht="20.45" customHeight="1">
      <c r="A33" s="1931"/>
      <c r="B33" s="630"/>
      <c r="C33" s="468"/>
      <c r="D33" s="630"/>
      <c r="E33" s="624"/>
      <c r="F33" s="824"/>
      <c r="G33" s="824"/>
      <c r="H33" s="551"/>
      <c r="I33" s="471"/>
      <c r="J33" s="472" t="s">
        <v>617</v>
      </c>
      <c r="K33" s="473"/>
      <c r="L33" s="473"/>
      <c r="M33" s="473"/>
      <c r="N33" s="474"/>
      <c r="O33" s="473"/>
      <c r="P33" s="473"/>
      <c r="Q33" s="475"/>
      <c r="R33" s="473"/>
      <c r="S33" s="474">
        <v>400000</v>
      </c>
      <c r="T33" s="473" t="s">
        <v>37</v>
      </c>
      <c r="U33" s="473"/>
      <c r="V33" s="473">
        <v>1</v>
      </c>
      <c r="W33" s="473" t="s">
        <v>39</v>
      </c>
      <c r="X33" s="473" t="s">
        <v>38</v>
      </c>
      <c r="Y33" s="483">
        <f>SUM(S33*V33)/1000</f>
        <v>400</v>
      </c>
      <c r="Z33" s="308">
        <f t="shared" si="2"/>
        <v>400000</v>
      </c>
      <c r="AA33" s="2033"/>
      <c r="AB33" s="2033"/>
      <c r="AC33" s="669"/>
    </row>
    <row r="34" spans="1:29" ht="20.45" customHeight="1">
      <c r="A34" s="1931"/>
      <c r="B34" s="630"/>
      <c r="C34" s="468"/>
      <c r="D34" s="630"/>
      <c r="E34" s="1319" t="s">
        <v>264</v>
      </c>
      <c r="F34" s="842">
        <f>+Y34</f>
        <v>27700</v>
      </c>
      <c r="G34" s="842">
        <v>27700</v>
      </c>
      <c r="H34" s="1320"/>
      <c r="I34" s="471"/>
      <c r="J34" s="1321" t="s">
        <v>224</v>
      </c>
      <c r="K34" s="1326"/>
      <c r="L34" s="1326"/>
      <c r="M34" s="1326"/>
      <c r="N34" s="608"/>
      <c r="O34" s="608"/>
      <c r="P34" s="1326"/>
      <c r="Q34" s="1344"/>
      <c r="R34" s="1326"/>
      <c r="S34" s="1326"/>
      <c r="T34" s="1326"/>
      <c r="U34" s="1326"/>
      <c r="V34" s="1326"/>
      <c r="W34" s="1326"/>
      <c r="X34" s="1326"/>
      <c r="Y34" s="490">
        <f>SUM(Y35:Y43)</f>
        <v>27700</v>
      </c>
      <c r="Z34" s="308">
        <f t="shared" si="2"/>
        <v>0</v>
      </c>
      <c r="AA34" s="2033"/>
      <c r="AB34" s="2033"/>
      <c r="AC34" s="669"/>
    </row>
    <row r="35" spans="1:29" ht="20.45" customHeight="1">
      <c r="A35" s="1931"/>
      <c r="B35" s="630"/>
      <c r="C35" s="468"/>
      <c r="D35" s="630"/>
      <c r="E35" s="624"/>
      <c r="F35" s="824"/>
      <c r="G35" s="824"/>
      <c r="H35" s="551"/>
      <c r="I35" s="471"/>
      <c r="J35" s="472" t="s">
        <v>563</v>
      </c>
      <c r="K35" s="473"/>
      <c r="L35" s="473"/>
      <c r="M35" s="473"/>
      <c r="N35" s="474"/>
      <c r="O35" s="473"/>
      <c r="P35" s="473"/>
      <c r="Q35" s="475">
        <v>6</v>
      </c>
      <c r="R35" s="473" t="s">
        <v>605</v>
      </c>
      <c r="S35" s="474">
        <v>25000</v>
      </c>
      <c r="T35" s="473" t="s">
        <v>37</v>
      </c>
      <c r="U35" s="473"/>
      <c r="V35" s="473">
        <v>12</v>
      </c>
      <c r="W35" s="473" t="s">
        <v>228</v>
      </c>
      <c r="X35" s="473" t="s">
        <v>38</v>
      </c>
      <c r="Y35" s="483">
        <f>SUM(Q35*S35*V35)/1000</f>
        <v>1800</v>
      </c>
      <c r="Z35" s="308">
        <f t="shared" si="2"/>
        <v>300000</v>
      </c>
      <c r="AA35" s="2033"/>
      <c r="AB35" s="2033"/>
      <c r="AC35" s="669"/>
    </row>
    <row r="36" spans="1:29" s="479" customFormat="1" ht="20.45" customHeight="1">
      <c r="A36" s="1931"/>
      <c r="B36" s="630"/>
      <c r="C36" s="468"/>
      <c r="D36" s="630"/>
      <c r="E36" s="624"/>
      <c r="F36" s="824"/>
      <c r="G36" s="824"/>
      <c r="H36" s="551"/>
      <c r="I36" s="471"/>
      <c r="J36" s="1945" t="s">
        <v>618</v>
      </c>
      <c r="K36" s="1946"/>
      <c r="L36" s="1946"/>
      <c r="M36" s="1946"/>
      <c r="N36" s="672"/>
      <c r="O36" s="473"/>
      <c r="P36" s="473"/>
      <c r="Q36" s="473">
        <v>2</v>
      </c>
      <c r="R36" s="473" t="s">
        <v>619</v>
      </c>
      <c r="S36" s="474">
        <v>25000</v>
      </c>
      <c r="T36" s="473" t="s">
        <v>37</v>
      </c>
      <c r="U36" s="473"/>
      <c r="V36" s="473">
        <v>4</v>
      </c>
      <c r="W36" s="473" t="s">
        <v>233</v>
      </c>
      <c r="X36" s="473" t="s">
        <v>38</v>
      </c>
      <c r="Y36" s="483">
        <f t="shared" ref="Y36:Y41" si="3">SUM(Q36*S36*V36)/1000</f>
        <v>200</v>
      </c>
      <c r="Z36" s="308">
        <f t="shared" si="2"/>
        <v>100000</v>
      </c>
      <c r="AA36" s="2033"/>
      <c r="AB36" s="2033"/>
      <c r="AC36" s="669"/>
    </row>
    <row r="37" spans="1:29" s="479" customFormat="1" ht="20.45" customHeight="1">
      <c r="A37" s="1931"/>
      <c r="B37" s="630"/>
      <c r="C37" s="468"/>
      <c r="D37" s="630"/>
      <c r="E37" s="624"/>
      <c r="F37" s="824"/>
      <c r="G37" s="824"/>
      <c r="H37" s="551"/>
      <c r="I37" s="471"/>
      <c r="J37" s="1945" t="s">
        <v>507</v>
      </c>
      <c r="K37" s="1946"/>
      <c r="L37" s="1946"/>
      <c r="M37" s="1946"/>
      <c r="N37" s="672"/>
      <c r="O37" s="473"/>
      <c r="P37" s="473"/>
      <c r="Q37" s="473">
        <v>50</v>
      </c>
      <c r="R37" s="473" t="s">
        <v>508</v>
      </c>
      <c r="S37" s="474">
        <v>6000</v>
      </c>
      <c r="T37" s="473" t="s">
        <v>37</v>
      </c>
      <c r="U37" s="473"/>
      <c r="V37" s="473">
        <v>12</v>
      </c>
      <c r="W37" s="473" t="s">
        <v>228</v>
      </c>
      <c r="X37" s="473" t="s">
        <v>38</v>
      </c>
      <c r="Y37" s="483">
        <f t="shared" si="3"/>
        <v>3600</v>
      </c>
      <c r="Z37" s="308">
        <f t="shared" si="2"/>
        <v>72000</v>
      </c>
      <c r="AA37" s="2033"/>
      <c r="AB37" s="2033"/>
      <c r="AC37" s="669"/>
    </row>
    <row r="38" spans="1:29" s="479" customFormat="1" ht="20.45" customHeight="1">
      <c r="A38" s="1931"/>
      <c r="B38" s="630"/>
      <c r="C38" s="468"/>
      <c r="D38" s="630"/>
      <c r="E38" s="624"/>
      <c r="F38" s="824"/>
      <c r="G38" s="824"/>
      <c r="H38" s="551"/>
      <c r="I38" s="471"/>
      <c r="J38" s="1945" t="s">
        <v>620</v>
      </c>
      <c r="K38" s="1946"/>
      <c r="L38" s="1946"/>
      <c r="M38" s="1946"/>
      <c r="N38" s="672"/>
      <c r="O38" s="473"/>
      <c r="P38" s="473"/>
      <c r="Q38" s="473">
        <v>2</v>
      </c>
      <c r="R38" s="473" t="s">
        <v>510</v>
      </c>
      <c r="S38" s="474">
        <v>150000</v>
      </c>
      <c r="T38" s="473" t="s">
        <v>37</v>
      </c>
      <c r="U38" s="473"/>
      <c r="V38" s="473">
        <v>3</v>
      </c>
      <c r="W38" s="473" t="s">
        <v>39</v>
      </c>
      <c r="X38" s="473" t="s">
        <v>38</v>
      </c>
      <c r="Y38" s="483">
        <f t="shared" si="3"/>
        <v>900</v>
      </c>
      <c r="Z38" s="308">
        <f t="shared" si="2"/>
        <v>450000</v>
      </c>
      <c r="AA38" s="2033"/>
      <c r="AB38" s="2033"/>
      <c r="AC38" s="669"/>
    </row>
    <row r="39" spans="1:29" s="479" customFormat="1" ht="20.45" customHeight="1">
      <c r="A39" s="1931"/>
      <c r="B39" s="630"/>
      <c r="C39" s="468"/>
      <c r="D39" s="630"/>
      <c r="E39" s="624"/>
      <c r="F39" s="824"/>
      <c r="G39" s="824"/>
      <c r="H39" s="551"/>
      <c r="I39" s="471"/>
      <c r="J39" s="1945" t="s">
        <v>621</v>
      </c>
      <c r="K39" s="1946"/>
      <c r="L39" s="1946"/>
      <c r="M39" s="1946"/>
      <c r="N39" s="672"/>
      <c r="O39" s="473"/>
      <c r="P39" s="473"/>
      <c r="Q39" s="473">
        <v>3</v>
      </c>
      <c r="R39" s="473" t="s">
        <v>510</v>
      </c>
      <c r="S39" s="474">
        <v>200000</v>
      </c>
      <c r="T39" s="473" t="s">
        <v>37</v>
      </c>
      <c r="U39" s="473"/>
      <c r="V39" s="473">
        <v>4</v>
      </c>
      <c r="W39" s="473" t="s">
        <v>39</v>
      </c>
      <c r="X39" s="473" t="s">
        <v>38</v>
      </c>
      <c r="Y39" s="483">
        <f t="shared" si="3"/>
        <v>2400</v>
      </c>
      <c r="Z39" s="308">
        <f t="shared" si="2"/>
        <v>800000</v>
      </c>
      <c r="AA39" s="2033"/>
      <c r="AB39" s="2033"/>
      <c r="AC39" s="669"/>
    </row>
    <row r="40" spans="1:29" s="479" customFormat="1" ht="20.45" customHeight="1">
      <c r="A40" s="1931"/>
      <c r="B40" s="630"/>
      <c r="C40" s="468"/>
      <c r="D40" s="630"/>
      <c r="E40" s="624"/>
      <c r="F40" s="824"/>
      <c r="G40" s="824"/>
      <c r="H40" s="551"/>
      <c r="I40" s="471"/>
      <c r="J40" s="472" t="s">
        <v>622</v>
      </c>
      <c r="K40" s="473"/>
      <c r="L40" s="473"/>
      <c r="M40" s="473"/>
      <c r="N40" s="474"/>
      <c r="O40" s="473"/>
      <c r="P40" s="473"/>
      <c r="Q40" s="475">
        <v>3</v>
      </c>
      <c r="R40" s="473" t="s">
        <v>510</v>
      </c>
      <c r="S40" s="474">
        <v>200000</v>
      </c>
      <c r="T40" s="473" t="s">
        <v>37</v>
      </c>
      <c r="U40" s="473"/>
      <c r="V40" s="473">
        <v>4</v>
      </c>
      <c r="W40" s="473" t="s">
        <v>39</v>
      </c>
      <c r="X40" s="473" t="s">
        <v>38</v>
      </c>
      <c r="Y40" s="483">
        <f t="shared" si="3"/>
        <v>2400</v>
      </c>
      <c r="Z40" s="308">
        <f t="shared" si="2"/>
        <v>800000</v>
      </c>
      <c r="AA40" s="2033"/>
      <c r="AB40" s="2033"/>
      <c r="AC40" s="669"/>
    </row>
    <row r="41" spans="1:29" s="479" customFormat="1" ht="20.45" customHeight="1">
      <c r="A41" s="1931"/>
      <c r="B41" s="630"/>
      <c r="C41" s="468"/>
      <c r="D41" s="630"/>
      <c r="E41" s="624"/>
      <c r="F41" s="824"/>
      <c r="G41" s="824"/>
      <c r="H41" s="551"/>
      <c r="I41" s="471"/>
      <c r="J41" s="1945" t="s">
        <v>623</v>
      </c>
      <c r="K41" s="1946"/>
      <c r="L41" s="1946"/>
      <c r="M41" s="1946"/>
      <c r="N41" s="672"/>
      <c r="O41" s="473"/>
      <c r="P41" s="473"/>
      <c r="Q41" s="473">
        <v>4</v>
      </c>
      <c r="R41" s="473" t="s">
        <v>510</v>
      </c>
      <c r="S41" s="474">
        <v>100000</v>
      </c>
      <c r="T41" s="473" t="s">
        <v>37</v>
      </c>
      <c r="U41" s="473"/>
      <c r="V41" s="473">
        <v>2</v>
      </c>
      <c r="W41" s="473" t="s">
        <v>39</v>
      </c>
      <c r="X41" s="473" t="s">
        <v>38</v>
      </c>
      <c r="Y41" s="483">
        <f t="shared" si="3"/>
        <v>800</v>
      </c>
      <c r="Z41" s="308">
        <f t="shared" si="2"/>
        <v>200000</v>
      </c>
      <c r="AA41" s="2033"/>
      <c r="AB41" s="2033"/>
      <c r="AC41" s="669"/>
    </row>
    <row r="42" spans="1:29" ht="20.45" customHeight="1">
      <c r="A42" s="1931"/>
      <c r="B42" s="630"/>
      <c r="C42" s="468"/>
      <c r="D42" s="630"/>
      <c r="E42" s="624"/>
      <c r="F42" s="824"/>
      <c r="G42" s="824"/>
      <c r="H42" s="551"/>
      <c r="I42" s="471"/>
      <c r="J42" s="472" t="s">
        <v>624</v>
      </c>
      <c r="K42" s="473"/>
      <c r="L42" s="473"/>
      <c r="M42" s="473"/>
      <c r="N42" s="474"/>
      <c r="O42" s="473"/>
      <c r="P42" s="473"/>
      <c r="Q42" s="473" t="s">
        <v>265</v>
      </c>
      <c r="R42" s="473" t="s">
        <v>378</v>
      </c>
      <c r="S42" s="474">
        <v>200000</v>
      </c>
      <c r="T42" s="473" t="s">
        <v>37</v>
      </c>
      <c r="U42" s="473"/>
      <c r="V42" s="473">
        <v>6</v>
      </c>
      <c r="W42" s="473" t="s">
        <v>39</v>
      </c>
      <c r="X42" s="473" t="s">
        <v>38</v>
      </c>
      <c r="Y42" s="483">
        <f>SUM(S42*V42)/1000</f>
        <v>1200</v>
      </c>
      <c r="Z42" s="308">
        <f t="shared" si="2"/>
        <v>1200000</v>
      </c>
      <c r="AA42" s="2033"/>
      <c r="AB42" s="2033"/>
      <c r="AC42" s="669"/>
    </row>
    <row r="43" spans="1:29" s="479" customFormat="1" ht="20.45" customHeight="1">
      <c r="A43" s="1931"/>
      <c r="B43" s="630"/>
      <c r="C43" s="468"/>
      <c r="D43" s="630"/>
      <c r="E43" s="624"/>
      <c r="F43" s="824"/>
      <c r="G43" s="824"/>
      <c r="H43" s="551"/>
      <c r="I43" s="471"/>
      <c r="J43" s="1342" t="s">
        <v>625</v>
      </c>
      <c r="K43" s="473"/>
      <c r="L43" s="473"/>
      <c r="M43" s="473"/>
      <c r="N43" s="474"/>
      <c r="O43" s="473"/>
      <c r="P43" s="473"/>
      <c r="Q43" s="473" t="s">
        <v>265</v>
      </c>
      <c r="R43" s="473" t="s">
        <v>378</v>
      </c>
      <c r="S43" s="474">
        <v>1200000</v>
      </c>
      <c r="T43" s="473" t="s">
        <v>37</v>
      </c>
      <c r="U43" s="473"/>
      <c r="V43" s="473">
        <v>12</v>
      </c>
      <c r="W43" s="473" t="s">
        <v>228</v>
      </c>
      <c r="X43" s="473" t="s">
        <v>38</v>
      </c>
      <c r="Y43" s="483">
        <f>SUM(S43*V43)/1000</f>
        <v>14400</v>
      </c>
      <c r="Z43" s="308">
        <f t="shared" si="2"/>
        <v>14400000</v>
      </c>
      <c r="AA43" s="2033"/>
      <c r="AB43" s="2033"/>
      <c r="AC43" s="669"/>
    </row>
    <row r="44" spans="1:29" s="479" customFormat="1" ht="20.45" customHeight="1">
      <c r="A44" s="1931"/>
      <c r="B44" s="630"/>
      <c r="C44" s="468"/>
      <c r="D44" s="630"/>
      <c r="E44" s="1319" t="s">
        <v>511</v>
      </c>
      <c r="F44" s="842">
        <f>SUM(Y44)</f>
        <v>54558</v>
      </c>
      <c r="G44" s="842">
        <v>54558</v>
      </c>
      <c r="H44" s="1320"/>
      <c r="I44" s="471"/>
      <c r="J44" s="1312" t="s">
        <v>224</v>
      </c>
      <c r="K44" s="1326"/>
      <c r="L44" s="1326"/>
      <c r="M44" s="1326"/>
      <c r="N44" s="608"/>
      <c r="O44" s="608"/>
      <c r="P44" s="1326"/>
      <c r="Q44" s="1344"/>
      <c r="R44" s="1326"/>
      <c r="S44" s="1326"/>
      <c r="T44" s="1326"/>
      <c r="U44" s="1326"/>
      <c r="V44" s="1326"/>
      <c r="W44" s="1326"/>
      <c r="X44" s="1326"/>
      <c r="Y44" s="490">
        <f>SUM(Y45:Y46)</f>
        <v>54558</v>
      </c>
      <c r="Z44" s="308">
        <f t="shared" si="2"/>
        <v>0</v>
      </c>
      <c r="AA44" s="2033"/>
      <c r="AB44" s="2033"/>
      <c r="AC44" s="669"/>
    </row>
    <row r="45" spans="1:29" ht="21.95" customHeight="1">
      <c r="A45" s="1931"/>
      <c r="B45" s="630"/>
      <c r="C45" s="468"/>
      <c r="D45" s="630"/>
      <c r="E45" s="624"/>
      <c r="F45" s="824"/>
      <c r="G45" s="824"/>
      <c r="H45" s="551"/>
      <c r="I45" s="471"/>
      <c r="J45" s="472" t="s">
        <v>512</v>
      </c>
      <c r="K45" s="473"/>
      <c r="L45" s="473"/>
      <c r="M45" s="473"/>
      <c r="N45" s="474"/>
      <c r="O45" s="473"/>
      <c r="P45" s="473"/>
      <c r="Q45" s="475"/>
      <c r="R45" s="473"/>
      <c r="S45" s="474">
        <v>4396500</v>
      </c>
      <c r="T45" s="473" t="s">
        <v>37</v>
      </c>
      <c r="U45" s="473"/>
      <c r="V45" s="473">
        <v>12</v>
      </c>
      <c r="W45" s="473" t="s">
        <v>228</v>
      </c>
      <c r="X45" s="473" t="s">
        <v>38</v>
      </c>
      <c r="Y45" s="483">
        <f>SUM(S45*V45)/1000</f>
        <v>52758</v>
      </c>
      <c r="Z45" s="308">
        <f t="shared" si="2"/>
        <v>52758000</v>
      </c>
      <c r="AA45" s="2033"/>
      <c r="AB45" s="2033"/>
      <c r="AC45" s="669"/>
    </row>
    <row r="46" spans="1:29" s="479" customFormat="1" ht="21.95" customHeight="1">
      <c r="A46" s="1931"/>
      <c r="B46" s="630"/>
      <c r="C46" s="468"/>
      <c r="D46" s="630"/>
      <c r="E46" s="624"/>
      <c r="F46" s="824"/>
      <c r="G46" s="824"/>
      <c r="H46" s="551"/>
      <c r="I46" s="471"/>
      <c r="J46" s="472" t="s">
        <v>626</v>
      </c>
      <c r="K46" s="473"/>
      <c r="L46" s="473"/>
      <c r="M46" s="473"/>
      <c r="N46" s="474"/>
      <c r="O46" s="474"/>
      <c r="P46" s="473"/>
      <c r="Q46" s="475"/>
      <c r="R46" s="473"/>
      <c r="S46" s="474">
        <v>150000</v>
      </c>
      <c r="T46" s="473" t="s">
        <v>37</v>
      </c>
      <c r="U46" s="473"/>
      <c r="V46" s="473">
        <v>12</v>
      </c>
      <c r="W46" s="473" t="s">
        <v>228</v>
      </c>
      <c r="X46" s="473" t="s">
        <v>38</v>
      </c>
      <c r="Y46" s="483">
        <f>SUM(S46*V46)/1000</f>
        <v>1800</v>
      </c>
      <c r="Z46" s="308">
        <f t="shared" si="2"/>
        <v>1800000</v>
      </c>
      <c r="AA46" s="2033"/>
      <c r="AB46" s="2033"/>
      <c r="AC46" s="669"/>
    </row>
    <row r="47" spans="1:29" ht="19.5" customHeight="1">
      <c r="A47" s="1931"/>
      <c r="B47" s="630"/>
      <c r="C47" s="468"/>
      <c r="D47" s="630"/>
      <c r="E47" s="1319" t="s">
        <v>515</v>
      </c>
      <c r="F47" s="842">
        <f>SUM(Y47)</f>
        <v>9741.9999999999927</v>
      </c>
      <c r="G47" s="842">
        <v>9741.9999999999927</v>
      </c>
      <c r="H47" s="1320"/>
      <c r="I47" s="471"/>
      <c r="J47" s="1321" t="s">
        <v>224</v>
      </c>
      <c r="K47" s="1326"/>
      <c r="L47" s="1326"/>
      <c r="M47" s="1326"/>
      <c r="N47" s="608"/>
      <c r="O47" s="608"/>
      <c r="P47" s="1326"/>
      <c r="Q47" s="1344"/>
      <c r="R47" s="1326"/>
      <c r="S47" s="1326"/>
      <c r="T47" s="1326"/>
      <c r="U47" s="1326"/>
      <c r="V47" s="1326"/>
      <c r="W47" s="1326"/>
      <c r="X47" s="1326"/>
      <c r="Y47" s="490">
        <f>SUM(Y48:Y49)</f>
        <v>9741.9999999999927</v>
      </c>
      <c r="Z47" s="308">
        <f t="shared" si="2"/>
        <v>0</v>
      </c>
      <c r="AA47" s="2033"/>
      <c r="AB47" s="2033"/>
      <c r="AC47" s="669"/>
    </row>
    <row r="48" spans="1:29" ht="19.5" customHeight="1">
      <c r="A48" s="1931"/>
      <c r="B48" s="630"/>
      <c r="C48" s="468"/>
      <c r="D48" s="630"/>
      <c r="E48" s="624"/>
      <c r="F48" s="824"/>
      <c r="G48" s="824"/>
      <c r="H48" s="551"/>
      <c r="I48" s="471"/>
      <c r="J48" s="472" t="s">
        <v>516</v>
      </c>
      <c r="K48" s="473"/>
      <c r="L48" s="473"/>
      <c r="M48" s="473"/>
      <c r="N48" s="474"/>
      <c r="O48" s="474"/>
      <c r="P48" s="473"/>
      <c r="Q48" s="475"/>
      <c r="R48" s="473"/>
      <c r="S48" s="473">
        <v>691666.66666666605</v>
      </c>
      <c r="T48" s="473" t="s">
        <v>37</v>
      </c>
      <c r="U48" s="473"/>
      <c r="V48" s="473">
        <v>12</v>
      </c>
      <c r="W48" s="473" t="s">
        <v>228</v>
      </c>
      <c r="X48" s="473" t="s">
        <v>489</v>
      </c>
      <c r="Y48" s="483">
        <f>SUM(S48*V48)/1000</f>
        <v>8299.9999999999927</v>
      </c>
      <c r="Z48" s="308">
        <f t="shared" si="2"/>
        <v>8300000</v>
      </c>
      <c r="AA48" s="2033"/>
      <c r="AB48" s="2033"/>
      <c r="AC48" s="669"/>
    </row>
    <row r="49" spans="1:29" ht="19.5" customHeight="1">
      <c r="A49" s="1931"/>
      <c r="B49" s="630"/>
      <c r="C49" s="468"/>
      <c r="D49" s="630"/>
      <c r="E49" s="1331"/>
      <c r="F49" s="823"/>
      <c r="G49" s="823"/>
      <c r="H49" s="1332"/>
      <c r="I49" s="471"/>
      <c r="J49" s="614" t="s">
        <v>1790</v>
      </c>
      <c r="K49" s="1929"/>
      <c r="L49" s="1929"/>
      <c r="M49" s="1929"/>
      <c r="N49" s="1929"/>
      <c r="O49" s="1929"/>
      <c r="P49" s="1929"/>
      <c r="Q49" s="618"/>
      <c r="R49" s="616"/>
      <c r="S49" s="618">
        <v>1442000000</v>
      </c>
      <c r="T49" s="618" t="s">
        <v>37</v>
      </c>
      <c r="U49" s="499"/>
      <c r="V49" s="1345">
        <v>1E-3</v>
      </c>
      <c r="W49" s="618"/>
      <c r="X49" s="618" t="s">
        <v>38</v>
      </c>
      <c r="Y49" s="478">
        <f>SUM(S49*V49)/1000</f>
        <v>1442</v>
      </c>
      <c r="Z49" s="308">
        <f t="shared" si="2"/>
        <v>1442000</v>
      </c>
      <c r="AA49" s="2033"/>
      <c r="AB49" s="2033"/>
      <c r="AC49" s="669"/>
    </row>
    <row r="50" spans="1:29" ht="19.5" customHeight="1">
      <c r="A50" s="1931"/>
      <c r="B50" s="630"/>
      <c r="C50" s="468"/>
      <c r="D50" s="630"/>
      <c r="E50" s="1319" t="s">
        <v>225</v>
      </c>
      <c r="F50" s="842">
        <f>SUM(Y50)</f>
        <v>43560</v>
      </c>
      <c r="G50" s="842">
        <v>43560</v>
      </c>
      <c r="H50" s="1320"/>
      <c r="I50" s="471"/>
      <c r="J50" s="1312" t="s">
        <v>224</v>
      </c>
      <c r="K50" s="473"/>
      <c r="L50" s="473"/>
      <c r="M50" s="473"/>
      <c r="N50" s="474"/>
      <c r="O50" s="473"/>
      <c r="P50" s="473"/>
      <c r="Q50" s="475"/>
      <c r="R50" s="473"/>
      <c r="S50" s="474"/>
      <c r="T50" s="473"/>
      <c r="U50" s="473"/>
      <c r="V50" s="473"/>
      <c r="W50" s="473"/>
      <c r="X50" s="473"/>
      <c r="Y50" s="483">
        <f>SUM(Y51:Y52)</f>
        <v>43560</v>
      </c>
      <c r="Z50" s="308">
        <f t="shared" si="2"/>
        <v>0</v>
      </c>
      <c r="AA50" s="2033"/>
      <c r="AB50" s="2033"/>
      <c r="AC50" s="669"/>
    </row>
    <row r="51" spans="1:29" ht="19.5" customHeight="1">
      <c r="A51" s="1931"/>
      <c r="B51" s="630"/>
      <c r="C51" s="468"/>
      <c r="D51" s="630"/>
      <c r="E51" s="624"/>
      <c r="F51" s="824"/>
      <c r="G51" s="824"/>
      <c r="H51" s="551"/>
      <c r="I51" s="471"/>
      <c r="J51" s="472" t="s">
        <v>268</v>
      </c>
      <c r="K51" s="473"/>
      <c r="L51" s="473"/>
      <c r="M51" s="473"/>
      <c r="N51" s="474"/>
      <c r="O51" s="473">
        <v>4</v>
      </c>
      <c r="P51" s="473" t="s">
        <v>232</v>
      </c>
      <c r="Q51" s="475">
        <v>11</v>
      </c>
      <c r="R51" s="473" t="s">
        <v>227</v>
      </c>
      <c r="S51" s="474">
        <v>20000</v>
      </c>
      <c r="T51" s="473" t="s">
        <v>37</v>
      </c>
      <c r="U51" s="473"/>
      <c r="V51" s="473">
        <v>12</v>
      </c>
      <c r="W51" s="473" t="s">
        <v>228</v>
      </c>
      <c r="X51" s="473" t="s">
        <v>38</v>
      </c>
      <c r="Y51" s="483">
        <f>+V51*S51*Q51*O51/1000</f>
        <v>10560</v>
      </c>
      <c r="Z51" s="308">
        <f t="shared" si="2"/>
        <v>240000</v>
      </c>
      <c r="AA51" s="2033"/>
      <c r="AB51" s="2033"/>
      <c r="AC51" s="669"/>
    </row>
    <row r="52" spans="1:29" ht="19.5" customHeight="1">
      <c r="A52" s="1931"/>
      <c r="B52" s="630"/>
      <c r="C52" s="468"/>
      <c r="D52" s="630"/>
      <c r="E52" s="624"/>
      <c r="F52" s="824"/>
      <c r="G52" s="824"/>
      <c r="H52" s="551"/>
      <c r="I52" s="471"/>
      <c r="J52" s="472" t="s">
        <v>1126</v>
      </c>
      <c r="K52" s="473"/>
      <c r="L52" s="473"/>
      <c r="M52" s="473"/>
      <c r="N52" s="474"/>
      <c r="O52" s="473"/>
      <c r="P52" s="473"/>
      <c r="Q52" s="475">
        <v>11</v>
      </c>
      <c r="R52" s="473" t="s">
        <v>227</v>
      </c>
      <c r="S52" s="474">
        <v>250000</v>
      </c>
      <c r="T52" s="473" t="s">
        <v>37</v>
      </c>
      <c r="U52" s="473"/>
      <c r="V52" s="473">
        <v>12</v>
      </c>
      <c r="W52" s="473" t="s">
        <v>228</v>
      </c>
      <c r="X52" s="473" t="s">
        <v>38</v>
      </c>
      <c r="Y52" s="483">
        <f>+V52*Q52*S52/1000</f>
        <v>33000</v>
      </c>
      <c r="Z52" s="308">
        <f t="shared" si="2"/>
        <v>3000000</v>
      </c>
      <c r="AA52" s="2033"/>
      <c r="AB52" s="2033"/>
      <c r="AC52" s="669"/>
    </row>
    <row r="53" spans="1:29" ht="19.5" customHeight="1">
      <c r="A53" s="1931"/>
      <c r="B53" s="630"/>
      <c r="C53" s="468"/>
      <c r="D53" s="630"/>
      <c r="E53" s="1319" t="s">
        <v>379</v>
      </c>
      <c r="F53" s="842">
        <f>SUM(Y53)</f>
        <v>46200</v>
      </c>
      <c r="G53" s="842">
        <v>46200</v>
      </c>
      <c r="H53" s="1320"/>
      <c r="I53" s="471"/>
      <c r="J53" s="1321" t="s">
        <v>224</v>
      </c>
      <c r="K53" s="1326"/>
      <c r="L53" s="1326"/>
      <c r="M53" s="1326"/>
      <c r="N53" s="608"/>
      <c r="O53" s="1326"/>
      <c r="P53" s="1326"/>
      <c r="Q53" s="1344"/>
      <c r="R53" s="1326"/>
      <c r="S53" s="608"/>
      <c r="T53" s="1326"/>
      <c r="U53" s="1326"/>
      <c r="V53" s="1326"/>
      <c r="W53" s="1326"/>
      <c r="X53" s="1326"/>
      <c r="Y53" s="490">
        <f>SUM(Y54:Y58)</f>
        <v>46200</v>
      </c>
      <c r="Z53" s="308">
        <f t="shared" si="2"/>
        <v>0</v>
      </c>
      <c r="AA53" s="2033"/>
      <c r="AB53" s="2033"/>
      <c r="AC53" s="669"/>
    </row>
    <row r="54" spans="1:29" ht="19.5" customHeight="1">
      <c r="A54" s="1931"/>
      <c r="B54" s="630"/>
      <c r="C54" s="468"/>
      <c r="D54" s="630"/>
      <c r="E54" s="624"/>
      <c r="F54" s="824"/>
      <c r="G54" s="824"/>
      <c r="H54" s="551"/>
      <c r="I54" s="471"/>
      <c r="J54" s="472" t="s">
        <v>627</v>
      </c>
      <c r="K54" s="473"/>
      <c r="L54" s="473"/>
      <c r="M54" s="473"/>
      <c r="N54" s="474"/>
      <c r="O54" s="473"/>
      <c r="P54" s="473"/>
      <c r="Q54" s="475"/>
      <c r="R54" s="473"/>
      <c r="S54" s="474">
        <v>1200000</v>
      </c>
      <c r="T54" s="473" t="s">
        <v>37</v>
      </c>
      <c r="U54" s="473"/>
      <c r="V54" s="473">
        <v>12</v>
      </c>
      <c r="W54" s="473" t="s">
        <v>228</v>
      </c>
      <c r="X54" s="473" t="s">
        <v>38</v>
      </c>
      <c r="Y54" s="483">
        <f>SUM(S54*V54)/1000</f>
        <v>14400</v>
      </c>
      <c r="Z54" s="308">
        <f t="shared" si="2"/>
        <v>14400000</v>
      </c>
      <c r="AA54" s="2033"/>
      <c r="AB54" s="2033"/>
      <c r="AC54" s="669"/>
    </row>
    <row r="55" spans="1:29" ht="19.5" customHeight="1">
      <c r="A55" s="1931"/>
      <c r="B55" s="630"/>
      <c r="C55" s="468"/>
      <c r="D55" s="630"/>
      <c r="E55" s="624"/>
      <c r="F55" s="824"/>
      <c r="G55" s="824"/>
      <c r="H55" s="551"/>
      <c r="I55" s="471"/>
      <c r="J55" s="472" t="s">
        <v>628</v>
      </c>
      <c r="K55" s="473"/>
      <c r="L55" s="473"/>
      <c r="M55" s="473"/>
      <c r="N55" s="474"/>
      <c r="O55" s="473"/>
      <c r="P55" s="473"/>
      <c r="Q55" s="475"/>
      <c r="R55" s="473"/>
      <c r="S55" s="474">
        <v>300000</v>
      </c>
      <c r="T55" s="473" t="s">
        <v>37</v>
      </c>
      <c r="U55" s="473"/>
      <c r="V55" s="473">
        <v>12</v>
      </c>
      <c r="W55" s="473" t="s">
        <v>228</v>
      </c>
      <c r="X55" s="473" t="s">
        <v>38</v>
      </c>
      <c r="Y55" s="483">
        <f>SUM(S55*V55)/1000</f>
        <v>3600</v>
      </c>
      <c r="Z55" s="308">
        <f t="shared" si="2"/>
        <v>3600000</v>
      </c>
      <c r="AA55" s="2033"/>
      <c r="AB55" s="2033"/>
      <c r="AC55" s="669"/>
    </row>
    <row r="56" spans="1:29" ht="19.5" customHeight="1">
      <c r="A56" s="1931"/>
      <c r="B56" s="630"/>
      <c r="C56" s="468"/>
      <c r="D56" s="630"/>
      <c r="E56" s="624"/>
      <c r="F56" s="824"/>
      <c r="G56" s="824"/>
      <c r="H56" s="551"/>
      <c r="I56" s="471"/>
      <c r="J56" s="472" t="s">
        <v>629</v>
      </c>
      <c r="K56" s="473"/>
      <c r="L56" s="473"/>
      <c r="M56" s="473"/>
      <c r="N56" s="474"/>
      <c r="O56" s="473"/>
      <c r="P56" s="473"/>
      <c r="Q56" s="475"/>
      <c r="R56" s="473"/>
      <c r="S56" s="474">
        <v>800000</v>
      </c>
      <c r="T56" s="473" t="s">
        <v>529</v>
      </c>
      <c r="U56" s="473"/>
      <c r="V56" s="473">
        <v>6</v>
      </c>
      <c r="W56" s="473" t="s">
        <v>610</v>
      </c>
      <c r="X56" s="473" t="s">
        <v>489</v>
      </c>
      <c r="Y56" s="483">
        <f>SUM(S56*V56)/1000</f>
        <v>4800</v>
      </c>
      <c r="Z56" s="308">
        <f t="shared" si="2"/>
        <v>4800000</v>
      </c>
      <c r="AA56" s="2033"/>
      <c r="AB56" s="2033"/>
      <c r="AC56" s="669"/>
    </row>
    <row r="57" spans="1:29" ht="19.5" customHeight="1">
      <c r="A57" s="1931"/>
      <c r="B57" s="630"/>
      <c r="C57" s="468"/>
      <c r="D57" s="630"/>
      <c r="E57" s="624"/>
      <c r="F57" s="824"/>
      <c r="G57" s="824"/>
      <c r="H57" s="551"/>
      <c r="I57" s="471"/>
      <c r="J57" s="472" t="s">
        <v>630</v>
      </c>
      <c r="K57" s="473"/>
      <c r="L57" s="473"/>
      <c r="M57" s="473"/>
      <c r="N57" s="474"/>
      <c r="O57" s="473"/>
      <c r="P57" s="473"/>
      <c r="Q57" s="475"/>
      <c r="R57" s="473"/>
      <c r="S57" s="474">
        <v>15000000</v>
      </c>
      <c r="T57" s="473" t="s">
        <v>529</v>
      </c>
      <c r="U57" s="473"/>
      <c r="V57" s="473">
        <v>1</v>
      </c>
      <c r="W57" s="473" t="s">
        <v>579</v>
      </c>
      <c r="X57" s="473" t="s">
        <v>489</v>
      </c>
      <c r="Y57" s="483">
        <f>SUM(S57*V57)/1000</f>
        <v>15000</v>
      </c>
      <c r="Z57" s="308">
        <f t="shared" si="2"/>
        <v>15000000</v>
      </c>
      <c r="AA57" s="2033"/>
      <c r="AB57" s="2033"/>
      <c r="AC57" s="669"/>
    </row>
    <row r="58" spans="1:29" ht="19.5" customHeight="1">
      <c r="A58" s="1931"/>
      <c r="B58" s="630"/>
      <c r="C58" s="468"/>
      <c r="D58" s="630"/>
      <c r="E58" s="624"/>
      <c r="F58" s="824"/>
      <c r="G58" s="824"/>
      <c r="H58" s="551"/>
      <c r="I58" s="471"/>
      <c r="J58" s="472" t="s">
        <v>632</v>
      </c>
      <c r="K58" s="473"/>
      <c r="L58" s="473"/>
      <c r="M58" s="473"/>
      <c r="N58" s="474"/>
      <c r="O58" s="473"/>
      <c r="P58" s="473"/>
      <c r="Q58" s="475"/>
      <c r="R58" s="473"/>
      <c r="S58" s="474">
        <v>700000</v>
      </c>
      <c r="T58" s="473" t="s">
        <v>529</v>
      </c>
      <c r="U58" s="473"/>
      <c r="V58" s="473">
        <v>12</v>
      </c>
      <c r="W58" s="473" t="s">
        <v>231</v>
      </c>
      <c r="X58" s="473" t="s">
        <v>489</v>
      </c>
      <c r="Y58" s="483">
        <f>SUM(S58*V58)/1000</f>
        <v>8400</v>
      </c>
      <c r="Z58" s="308">
        <f t="shared" si="2"/>
        <v>8400000</v>
      </c>
      <c r="AA58" s="2033"/>
      <c r="AB58" s="2033"/>
      <c r="AC58" s="669"/>
    </row>
    <row r="59" spans="1:29" ht="19.5" customHeight="1">
      <c r="A59" s="1931"/>
      <c r="B59" s="630"/>
      <c r="C59" s="468"/>
      <c r="D59" s="630"/>
      <c r="E59" s="1319" t="s">
        <v>255</v>
      </c>
      <c r="F59" s="842">
        <f>SUM(Y59)</f>
        <v>1200</v>
      </c>
      <c r="G59" s="842">
        <v>1200</v>
      </c>
      <c r="H59" s="1320"/>
      <c r="I59" s="471"/>
      <c r="J59" s="1321" t="s">
        <v>224</v>
      </c>
      <c r="K59" s="1326"/>
      <c r="L59" s="1326"/>
      <c r="M59" s="1326"/>
      <c r="N59" s="608"/>
      <c r="O59" s="1326"/>
      <c r="P59" s="1326"/>
      <c r="Q59" s="1344"/>
      <c r="R59" s="1326"/>
      <c r="S59" s="608"/>
      <c r="T59" s="1326"/>
      <c r="U59" s="1326"/>
      <c r="V59" s="1326"/>
      <c r="W59" s="1326"/>
      <c r="X59" s="1326"/>
      <c r="Y59" s="490">
        <f>SUM(Y60:Y61)</f>
        <v>1200</v>
      </c>
      <c r="Z59" s="308">
        <f t="shared" si="2"/>
        <v>0</v>
      </c>
      <c r="AA59" s="2033"/>
      <c r="AB59" s="2033"/>
      <c r="AC59" s="669"/>
    </row>
    <row r="60" spans="1:29" s="479" customFormat="1" ht="19.5" customHeight="1">
      <c r="A60" s="1931"/>
      <c r="B60" s="630"/>
      <c r="C60" s="468"/>
      <c r="D60" s="630"/>
      <c r="E60" s="624"/>
      <c r="F60" s="824"/>
      <c r="G60" s="824"/>
      <c r="H60" s="551"/>
      <c r="I60" s="471"/>
      <c r="J60" s="472" t="s">
        <v>565</v>
      </c>
      <c r="K60" s="473"/>
      <c r="L60" s="473"/>
      <c r="M60" s="473"/>
      <c r="N60" s="474"/>
      <c r="O60" s="473"/>
      <c r="P60" s="473"/>
      <c r="Q60" s="475">
        <v>5</v>
      </c>
      <c r="R60" s="473" t="s">
        <v>266</v>
      </c>
      <c r="S60" s="474">
        <v>17600</v>
      </c>
      <c r="T60" s="473" t="s">
        <v>37</v>
      </c>
      <c r="U60" s="473"/>
      <c r="V60" s="473">
        <v>12</v>
      </c>
      <c r="W60" s="473" t="s">
        <v>228</v>
      </c>
      <c r="X60" s="473" t="s">
        <v>38</v>
      </c>
      <c r="Y60" s="483">
        <f>SUM(Q60*S60*V60)/1000</f>
        <v>1056</v>
      </c>
      <c r="Z60" s="308">
        <f t="shared" si="2"/>
        <v>212000</v>
      </c>
      <c r="AA60" s="2033"/>
      <c r="AB60" s="2033"/>
      <c r="AC60" s="669"/>
    </row>
    <row r="61" spans="1:29" ht="19.5" customHeight="1">
      <c r="A61" s="1931"/>
      <c r="B61" s="630"/>
      <c r="C61" s="468"/>
      <c r="D61" s="630"/>
      <c r="E61" s="1331"/>
      <c r="F61" s="823"/>
      <c r="G61" s="823"/>
      <c r="H61" s="1332"/>
      <c r="I61" s="471"/>
      <c r="J61" s="1342" t="s">
        <v>633</v>
      </c>
      <c r="K61" s="510"/>
      <c r="L61" s="510"/>
      <c r="M61" s="510"/>
      <c r="N61" s="617"/>
      <c r="O61" s="510"/>
      <c r="P61" s="510"/>
      <c r="Q61" s="507"/>
      <c r="R61" s="510"/>
      <c r="S61" s="617">
        <v>12000</v>
      </c>
      <c r="T61" s="510" t="s">
        <v>37</v>
      </c>
      <c r="U61" s="510"/>
      <c r="V61" s="510">
        <v>12</v>
      </c>
      <c r="W61" s="510" t="s">
        <v>634</v>
      </c>
      <c r="X61" s="510" t="s">
        <v>38</v>
      </c>
      <c r="Y61" s="478">
        <f>+V61*S61/1000</f>
        <v>144</v>
      </c>
      <c r="Z61" s="308">
        <f t="shared" si="2"/>
        <v>144000</v>
      </c>
      <c r="AA61" s="2033"/>
      <c r="AB61" s="2033"/>
      <c r="AC61" s="669"/>
    </row>
    <row r="62" spans="1:29" ht="19.5" customHeight="1">
      <c r="A62" s="1931"/>
      <c r="B62" s="630"/>
      <c r="C62" s="468"/>
      <c r="D62" s="630"/>
      <c r="E62" s="624" t="s">
        <v>380</v>
      </c>
      <c r="F62" s="824">
        <f>SUM(Y62)</f>
        <v>7200</v>
      </c>
      <c r="G62" s="824">
        <v>7200</v>
      </c>
      <c r="H62" s="551"/>
      <c r="I62" s="471"/>
      <c r="J62" s="1312" t="s">
        <v>224</v>
      </c>
      <c r="K62" s="473"/>
      <c r="L62" s="473"/>
      <c r="M62" s="473"/>
      <c r="N62" s="474"/>
      <c r="O62" s="474"/>
      <c r="P62" s="473"/>
      <c r="Q62" s="475"/>
      <c r="R62" s="473"/>
      <c r="S62" s="473"/>
      <c r="T62" s="473"/>
      <c r="U62" s="473"/>
      <c r="V62" s="473"/>
      <c r="W62" s="473"/>
      <c r="X62" s="473"/>
      <c r="Y62" s="483">
        <f>SUM(Y63:Y65)</f>
        <v>7200</v>
      </c>
      <c r="Z62" s="308">
        <f t="shared" si="2"/>
        <v>0</v>
      </c>
      <c r="AA62" s="2033"/>
      <c r="AB62" s="2033"/>
      <c r="AC62" s="669"/>
    </row>
    <row r="63" spans="1:29" s="479" customFormat="1" ht="19.5" customHeight="1">
      <c r="A63" s="1931"/>
      <c r="B63" s="630"/>
      <c r="C63" s="468"/>
      <c r="D63" s="630"/>
      <c r="E63" s="624"/>
      <c r="F63" s="824"/>
      <c r="G63" s="824"/>
      <c r="H63" s="551"/>
      <c r="I63" s="471"/>
      <c r="J63" s="472" t="s">
        <v>608</v>
      </c>
      <c r="K63" s="473"/>
      <c r="L63" s="473"/>
      <c r="M63" s="473"/>
      <c r="N63" s="474"/>
      <c r="O63" s="473"/>
      <c r="P63" s="473"/>
      <c r="Q63" s="475">
        <v>50</v>
      </c>
      <c r="R63" s="473" t="s">
        <v>534</v>
      </c>
      <c r="S63" s="474">
        <v>1000</v>
      </c>
      <c r="T63" s="473" t="s">
        <v>37</v>
      </c>
      <c r="U63" s="473"/>
      <c r="V63" s="473">
        <v>12</v>
      </c>
      <c r="W63" s="473" t="s">
        <v>228</v>
      </c>
      <c r="X63" s="473" t="s">
        <v>38</v>
      </c>
      <c r="Y63" s="483">
        <f>SUM(Q63*S63*V63)/1000</f>
        <v>600</v>
      </c>
      <c r="Z63" s="308">
        <f t="shared" si="2"/>
        <v>12000</v>
      </c>
      <c r="AA63" s="2033"/>
      <c r="AB63" s="2033"/>
      <c r="AC63" s="669"/>
    </row>
    <row r="64" spans="1:29" ht="19.5" customHeight="1">
      <c r="A64" s="1931"/>
      <c r="B64" s="630"/>
      <c r="C64" s="468"/>
      <c r="D64" s="630"/>
      <c r="E64" s="624"/>
      <c r="F64" s="824"/>
      <c r="G64" s="824"/>
      <c r="H64" s="551"/>
      <c r="I64" s="471"/>
      <c r="J64" s="472" t="s">
        <v>635</v>
      </c>
      <c r="K64" s="473"/>
      <c r="L64" s="473"/>
      <c r="M64" s="473"/>
      <c r="N64" s="474"/>
      <c r="O64" s="473"/>
      <c r="P64" s="473"/>
      <c r="Q64" s="475">
        <v>6</v>
      </c>
      <c r="R64" s="473" t="s">
        <v>227</v>
      </c>
      <c r="S64" s="474">
        <v>200000</v>
      </c>
      <c r="T64" s="473" t="s">
        <v>37</v>
      </c>
      <c r="U64" s="473"/>
      <c r="V64" s="473">
        <v>2</v>
      </c>
      <c r="W64" s="473" t="s">
        <v>39</v>
      </c>
      <c r="X64" s="473" t="s">
        <v>38</v>
      </c>
      <c r="Y64" s="483">
        <f>SUM(Q64*S64*V64)/1000</f>
        <v>2400</v>
      </c>
      <c r="Z64" s="308">
        <f t="shared" si="2"/>
        <v>400000</v>
      </c>
      <c r="AA64" s="2033"/>
      <c r="AB64" s="2033"/>
      <c r="AC64" s="669"/>
    </row>
    <row r="65" spans="1:30" ht="19.5" customHeight="1">
      <c r="A65" s="1931"/>
      <c r="B65" s="630"/>
      <c r="C65" s="468"/>
      <c r="D65" s="630"/>
      <c r="E65" s="624"/>
      <c r="F65" s="824"/>
      <c r="G65" s="824"/>
      <c r="H65" s="551"/>
      <c r="I65" s="471"/>
      <c r="J65" s="472" t="s">
        <v>636</v>
      </c>
      <c r="K65" s="473"/>
      <c r="L65" s="473"/>
      <c r="M65" s="473"/>
      <c r="N65" s="474"/>
      <c r="O65" s="473"/>
      <c r="P65" s="473"/>
      <c r="Q65" s="475"/>
      <c r="R65" s="473"/>
      <c r="S65" s="474">
        <v>350000</v>
      </c>
      <c r="T65" s="473" t="s">
        <v>37</v>
      </c>
      <c r="U65" s="473"/>
      <c r="V65" s="473">
        <v>12</v>
      </c>
      <c r="W65" s="473" t="s">
        <v>228</v>
      </c>
      <c r="X65" s="473" t="s">
        <v>38</v>
      </c>
      <c r="Y65" s="483">
        <f>SUM(S65*V65)/1000</f>
        <v>4200</v>
      </c>
      <c r="Z65" s="308">
        <f t="shared" si="2"/>
        <v>4200000</v>
      </c>
      <c r="AA65" s="2033"/>
      <c r="AB65" s="2033"/>
      <c r="AC65" s="669"/>
    </row>
    <row r="66" spans="1:30" ht="19.5" customHeight="1">
      <c r="A66" s="1931"/>
      <c r="B66" s="630"/>
      <c r="C66" s="468"/>
      <c r="D66" s="630"/>
      <c r="E66" s="1319" t="s">
        <v>431</v>
      </c>
      <c r="F66" s="842">
        <f>SUM(Y66)</f>
        <v>445200</v>
      </c>
      <c r="G66" s="842">
        <v>445200</v>
      </c>
      <c r="H66" s="1320"/>
      <c r="I66" s="471"/>
      <c r="J66" s="1321" t="s">
        <v>224</v>
      </c>
      <c r="K66" s="1326"/>
      <c r="L66" s="1326"/>
      <c r="M66" s="1326"/>
      <c r="N66" s="608"/>
      <c r="O66" s="608"/>
      <c r="P66" s="1326"/>
      <c r="Q66" s="1344"/>
      <c r="R66" s="1326"/>
      <c r="S66" s="1326"/>
      <c r="T66" s="1326"/>
      <c r="U66" s="1326"/>
      <c r="V66" s="1326"/>
      <c r="W66" s="1326"/>
      <c r="X66" s="1326"/>
      <c r="Y66" s="490">
        <f>SUM(Y67:Y71)</f>
        <v>445200</v>
      </c>
      <c r="Z66" s="308">
        <f t="shared" si="2"/>
        <v>0</v>
      </c>
      <c r="AA66" s="2033"/>
      <c r="AB66" s="2033"/>
      <c r="AC66" s="669"/>
    </row>
    <row r="67" spans="1:30" ht="19.5" customHeight="1">
      <c r="A67" s="1931"/>
      <c r="B67" s="630"/>
      <c r="C67" s="468"/>
      <c r="D67" s="630"/>
      <c r="E67" s="624"/>
      <c r="F67" s="824"/>
      <c r="G67" s="824"/>
      <c r="H67" s="551"/>
      <c r="I67" s="471"/>
      <c r="J67" s="472" t="s">
        <v>637</v>
      </c>
      <c r="K67" s="473"/>
      <c r="L67" s="473"/>
      <c r="M67" s="473"/>
      <c r="N67" s="474"/>
      <c r="O67" s="473"/>
      <c r="P67" s="473"/>
      <c r="Q67" s="475"/>
      <c r="R67" s="473"/>
      <c r="S67" s="474">
        <f>425000000</f>
        <v>425000000</v>
      </c>
      <c r="T67" s="473" t="s">
        <v>37</v>
      </c>
      <c r="U67" s="479"/>
      <c r="V67" s="473">
        <v>1</v>
      </c>
      <c r="W67" s="473" t="s">
        <v>226</v>
      </c>
      <c r="X67" s="473" t="s">
        <v>38</v>
      </c>
      <c r="Y67" s="483">
        <f>SUM(S67*V67)/1000</f>
        <v>425000</v>
      </c>
      <c r="Z67" s="308">
        <f t="shared" si="2"/>
        <v>425000000</v>
      </c>
      <c r="AA67" s="2033"/>
      <c r="AB67" s="2033"/>
      <c r="AC67" s="669"/>
      <c r="AD67" s="509"/>
    </row>
    <row r="68" spans="1:30" ht="19.5" customHeight="1">
      <c r="A68" s="1931"/>
      <c r="B68" s="630"/>
      <c r="C68" s="468"/>
      <c r="D68" s="630"/>
      <c r="E68" s="624"/>
      <c r="F68" s="824"/>
      <c r="G68" s="824"/>
      <c r="H68" s="551"/>
      <c r="I68" s="471"/>
      <c r="J68" s="472" t="s">
        <v>638</v>
      </c>
      <c r="K68" s="473"/>
      <c r="L68" s="473"/>
      <c r="M68" s="473"/>
      <c r="N68" s="474"/>
      <c r="O68" s="473"/>
      <c r="P68" s="473"/>
      <c r="Q68" s="475"/>
      <c r="R68" s="473"/>
      <c r="S68" s="474">
        <v>500000</v>
      </c>
      <c r="T68" s="473" t="s">
        <v>37</v>
      </c>
      <c r="U68" s="479"/>
      <c r="V68" s="473">
        <v>12</v>
      </c>
      <c r="W68" s="473" t="s">
        <v>228</v>
      </c>
      <c r="X68" s="473" t="s">
        <v>38</v>
      </c>
      <c r="Y68" s="483">
        <f>SUM(S68*V68)/1000</f>
        <v>6000</v>
      </c>
      <c r="Z68" s="308">
        <f t="shared" si="2"/>
        <v>6000000</v>
      </c>
      <c r="AA68" s="2033"/>
      <c r="AB68" s="2033"/>
      <c r="AC68" s="669"/>
    </row>
    <row r="69" spans="1:30" ht="19.5" customHeight="1">
      <c r="A69" s="1931"/>
      <c r="B69" s="630"/>
      <c r="C69" s="468"/>
      <c r="D69" s="630"/>
      <c r="E69" s="624"/>
      <c r="F69" s="824"/>
      <c r="G69" s="824"/>
      <c r="H69" s="551"/>
      <c r="I69" s="471"/>
      <c r="J69" s="472" t="s">
        <v>639</v>
      </c>
      <c r="K69" s="473"/>
      <c r="L69" s="473"/>
      <c r="M69" s="473"/>
      <c r="N69" s="474"/>
      <c r="O69" s="473"/>
      <c r="P69" s="473"/>
      <c r="Q69" s="475"/>
      <c r="R69" s="473"/>
      <c r="S69" s="474">
        <v>40000</v>
      </c>
      <c r="T69" s="473" t="s">
        <v>37</v>
      </c>
      <c r="U69" s="479"/>
      <c r="V69" s="473">
        <v>12</v>
      </c>
      <c r="W69" s="473" t="s">
        <v>228</v>
      </c>
      <c r="X69" s="473" t="s">
        <v>38</v>
      </c>
      <c r="Y69" s="483">
        <f>SUM(S69*V69)/1000</f>
        <v>480</v>
      </c>
      <c r="Z69" s="308">
        <f t="shared" si="2"/>
        <v>480000</v>
      </c>
      <c r="AA69" s="2033"/>
      <c r="AB69" s="2033"/>
      <c r="AC69" s="669"/>
    </row>
    <row r="70" spans="1:30" ht="19.5" customHeight="1">
      <c r="A70" s="1931"/>
      <c r="B70" s="630"/>
      <c r="C70" s="468"/>
      <c r="D70" s="630"/>
      <c r="E70" s="624"/>
      <c r="F70" s="824"/>
      <c r="G70" s="824"/>
      <c r="H70" s="551"/>
      <c r="I70" s="471"/>
      <c r="J70" s="472" t="s">
        <v>640</v>
      </c>
      <c r="K70" s="473"/>
      <c r="L70" s="473"/>
      <c r="M70" s="473"/>
      <c r="N70" s="474"/>
      <c r="O70" s="473"/>
      <c r="P70" s="473"/>
      <c r="Q70" s="475"/>
      <c r="R70" s="473"/>
      <c r="S70" s="474">
        <v>10000000</v>
      </c>
      <c r="T70" s="473" t="s">
        <v>37</v>
      </c>
      <c r="U70" s="479"/>
      <c r="V70" s="473">
        <v>1</v>
      </c>
      <c r="W70" s="473" t="s">
        <v>226</v>
      </c>
      <c r="X70" s="473" t="s">
        <v>38</v>
      </c>
      <c r="Y70" s="483">
        <f>SUM(S70*V70)/1000</f>
        <v>10000</v>
      </c>
      <c r="Z70" s="308">
        <f t="shared" si="2"/>
        <v>10000000</v>
      </c>
      <c r="AA70" s="2033"/>
      <c r="AB70" s="2033"/>
      <c r="AC70" s="669"/>
    </row>
    <row r="71" spans="1:30" ht="19.5" customHeight="1">
      <c r="A71" s="1931"/>
      <c r="B71" s="630"/>
      <c r="C71" s="468"/>
      <c r="D71" s="630"/>
      <c r="E71" s="624"/>
      <c r="F71" s="824"/>
      <c r="G71" s="824"/>
      <c r="H71" s="551"/>
      <c r="I71" s="471"/>
      <c r="J71" s="472" t="s">
        <v>641</v>
      </c>
      <c r="K71" s="473"/>
      <c r="L71" s="473"/>
      <c r="M71" s="473"/>
      <c r="N71" s="474"/>
      <c r="O71" s="473"/>
      <c r="P71" s="473"/>
      <c r="Q71" s="475"/>
      <c r="R71" s="473"/>
      <c r="S71" s="474">
        <f>3000000+720000</f>
        <v>3720000</v>
      </c>
      <c r="T71" s="473" t="s">
        <v>0</v>
      </c>
      <c r="U71" s="479"/>
      <c r="V71" s="473">
        <v>1</v>
      </c>
      <c r="W71" s="473" t="s">
        <v>3</v>
      </c>
      <c r="X71" s="473" t="s">
        <v>1</v>
      </c>
      <c r="Y71" s="483">
        <f>SUM(S71*V71)/1000</f>
        <v>3720</v>
      </c>
      <c r="Z71" s="308">
        <f t="shared" si="2"/>
        <v>3720000</v>
      </c>
      <c r="AA71" s="2033"/>
      <c r="AB71" s="2033"/>
      <c r="AC71" s="669"/>
    </row>
    <row r="72" spans="1:30" s="479" customFormat="1" ht="19.5" customHeight="1">
      <c r="A72" s="1931"/>
      <c r="B72" s="630"/>
      <c r="C72" s="468"/>
      <c r="D72" s="630"/>
      <c r="E72" s="1319" t="s">
        <v>258</v>
      </c>
      <c r="F72" s="842">
        <f>SUM(Y72)</f>
        <v>36080</v>
      </c>
      <c r="G72" s="842">
        <v>36080</v>
      </c>
      <c r="H72" s="1320"/>
      <c r="I72" s="471"/>
      <c r="J72" s="1321" t="s">
        <v>224</v>
      </c>
      <c r="K72" s="1326"/>
      <c r="L72" s="1326"/>
      <c r="M72" s="1326"/>
      <c r="N72" s="608"/>
      <c r="O72" s="608"/>
      <c r="P72" s="1326"/>
      <c r="Q72" s="1344"/>
      <c r="R72" s="1326"/>
      <c r="S72" s="1326"/>
      <c r="T72" s="1326"/>
      <c r="U72" s="1326"/>
      <c r="V72" s="1326"/>
      <c r="W72" s="1326"/>
      <c r="X72" s="1326"/>
      <c r="Y72" s="490">
        <f>SUM(Y73:Y77)</f>
        <v>36080</v>
      </c>
      <c r="Z72" s="308">
        <f t="shared" si="2"/>
        <v>0</v>
      </c>
      <c r="AA72" s="2033"/>
      <c r="AB72" s="2033"/>
      <c r="AC72" s="669"/>
    </row>
    <row r="73" spans="1:30" s="479" customFormat="1" ht="19.5" customHeight="1">
      <c r="A73" s="1931"/>
      <c r="B73" s="630"/>
      <c r="C73" s="468"/>
      <c r="D73" s="630"/>
      <c r="E73" s="624"/>
      <c r="F73" s="824"/>
      <c r="G73" s="824"/>
      <c r="H73" s="551"/>
      <c r="I73" s="471"/>
      <c r="J73" s="472" t="s">
        <v>642</v>
      </c>
      <c r="K73" s="473"/>
      <c r="L73" s="473"/>
      <c r="M73" s="473"/>
      <c r="N73" s="474"/>
      <c r="O73" s="474"/>
      <c r="P73" s="473"/>
      <c r="Q73" s="475">
        <v>2</v>
      </c>
      <c r="R73" s="473" t="s">
        <v>510</v>
      </c>
      <c r="S73" s="474">
        <v>20000</v>
      </c>
      <c r="T73" s="473" t="s">
        <v>37</v>
      </c>
      <c r="U73" s="473"/>
      <c r="V73" s="473">
        <v>12</v>
      </c>
      <c r="W73" s="473" t="s">
        <v>228</v>
      </c>
      <c r="X73" s="473" t="s">
        <v>38</v>
      </c>
      <c r="Y73" s="483">
        <f>SUM(Q73*S73*V73)/1000</f>
        <v>480</v>
      </c>
      <c r="Z73" s="308">
        <f>ROUNDUP(Q73*S73*V73,-3)</f>
        <v>480000</v>
      </c>
      <c r="AA73" s="2033"/>
      <c r="AB73" s="2033"/>
      <c r="AC73" s="669"/>
    </row>
    <row r="74" spans="1:30" s="635" customFormat="1" ht="19.5" customHeight="1">
      <c r="A74" s="1931"/>
      <c r="B74" s="630"/>
      <c r="C74" s="468"/>
      <c r="D74" s="630"/>
      <c r="E74" s="624"/>
      <c r="F74" s="824"/>
      <c r="G74" s="824"/>
      <c r="H74" s="551"/>
      <c r="I74" s="1346"/>
      <c r="J74" s="472" t="s">
        <v>643</v>
      </c>
      <c r="K74" s="473"/>
      <c r="L74" s="473"/>
      <c r="M74" s="473"/>
      <c r="N74" s="474"/>
      <c r="O74" s="474"/>
      <c r="P74" s="473"/>
      <c r="Q74" s="475">
        <v>2</v>
      </c>
      <c r="R74" s="473" t="s">
        <v>510</v>
      </c>
      <c r="S74" s="474">
        <v>250000</v>
      </c>
      <c r="T74" s="473" t="s">
        <v>37</v>
      </c>
      <c r="U74" s="473"/>
      <c r="V74" s="473">
        <v>12</v>
      </c>
      <c r="W74" s="473" t="s">
        <v>228</v>
      </c>
      <c r="X74" s="473" t="s">
        <v>38</v>
      </c>
      <c r="Y74" s="483">
        <f>SUM(Q74*S74*V74)/1000</f>
        <v>6000</v>
      </c>
      <c r="Z74" s="308">
        <f t="shared" ref="Z74:Z76" si="4">ROUNDUP(Q74*S74*V74,-3)</f>
        <v>6000000</v>
      </c>
      <c r="AA74" s="2033"/>
      <c r="AB74" s="2033"/>
      <c r="AC74" s="669"/>
    </row>
    <row r="75" spans="1:30" s="635" customFormat="1" ht="19.5" customHeight="1">
      <c r="A75" s="1931"/>
      <c r="B75" s="630"/>
      <c r="C75" s="468"/>
      <c r="D75" s="630"/>
      <c r="E75" s="624"/>
      <c r="F75" s="824"/>
      <c r="G75" s="824"/>
      <c r="H75" s="551"/>
      <c r="I75" s="1346"/>
      <c r="J75" s="472" t="s">
        <v>569</v>
      </c>
      <c r="K75" s="473"/>
      <c r="L75" s="473"/>
      <c r="M75" s="473"/>
      <c r="N75" s="474"/>
      <c r="O75" s="474"/>
      <c r="P75" s="473"/>
      <c r="Q75" s="475">
        <v>1</v>
      </c>
      <c r="R75" s="473" t="s">
        <v>510</v>
      </c>
      <c r="S75" s="474">
        <v>800000</v>
      </c>
      <c r="T75" s="473" t="s">
        <v>37</v>
      </c>
      <c r="U75" s="473"/>
      <c r="V75" s="473">
        <v>12</v>
      </c>
      <c r="W75" s="473" t="s">
        <v>228</v>
      </c>
      <c r="X75" s="473" t="s">
        <v>38</v>
      </c>
      <c r="Y75" s="483">
        <f>SUM(Q75*S75*V75)/1000</f>
        <v>9600</v>
      </c>
      <c r="Z75" s="308">
        <f t="shared" si="4"/>
        <v>9600000</v>
      </c>
      <c r="AA75" s="2033"/>
      <c r="AB75" s="2033"/>
      <c r="AC75" s="669"/>
    </row>
    <row r="76" spans="1:30" s="635" customFormat="1" ht="19.5" customHeight="1">
      <c r="A76" s="1931"/>
      <c r="B76" s="630"/>
      <c r="C76" s="468"/>
      <c r="D76" s="630"/>
      <c r="E76" s="624"/>
      <c r="F76" s="824"/>
      <c r="G76" s="824"/>
      <c r="H76" s="551"/>
      <c r="I76" s="1346"/>
      <c r="J76" s="472" t="s">
        <v>1128</v>
      </c>
      <c r="K76" s="473"/>
      <c r="L76" s="473"/>
      <c r="M76" s="473"/>
      <c r="N76" s="474"/>
      <c r="O76" s="474"/>
      <c r="P76" s="473"/>
      <c r="Q76" s="475">
        <v>2</v>
      </c>
      <c r="R76" s="473" t="s">
        <v>1129</v>
      </c>
      <c r="S76" s="474">
        <v>500000</v>
      </c>
      <c r="T76" s="473" t="s">
        <v>37</v>
      </c>
      <c r="U76" s="473"/>
      <c r="V76" s="473">
        <v>10</v>
      </c>
      <c r="W76" s="473" t="s">
        <v>228</v>
      </c>
      <c r="X76" s="473" t="s">
        <v>38</v>
      </c>
      <c r="Y76" s="483">
        <f>SUM(Q76*S76*V76)/1000</f>
        <v>10000</v>
      </c>
      <c r="Z76" s="308">
        <f t="shared" si="4"/>
        <v>10000000</v>
      </c>
      <c r="AA76" s="2033"/>
      <c r="AB76" s="2033"/>
      <c r="AC76" s="669"/>
    </row>
    <row r="77" spans="1:30" s="479" customFormat="1" ht="19.5" customHeight="1">
      <c r="A77" s="1931"/>
      <c r="B77" s="630"/>
      <c r="C77" s="468"/>
      <c r="D77" s="630"/>
      <c r="E77" s="624"/>
      <c r="F77" s="824"/>
      <c r="G77" s="824"/>
      <c r="H77" s="551"/>
      <c r="I77" s="471"/>
      <c r="J77" s="472" t="s">
        <v>1130</v>
      </c>
      <c r="K77" s="473"/>
      <c r="L77" s="473"/>
      <c r="M77" s="473"/>
      <c r="N77" s="474"/>
      <c r="O77" s="474"/>
      <c r="P77" s="473"/>
      <c r="Q77" s="475">
        <v>2</v>
      </c>
      <c r="R77" s="473" t="s">
        <v>1129</v>
      </c>
      <c r="S77" s="474">
        <v>5000000</v>
      </c>
      <c r="T77" s="473" t="s">
        <v>37</v>
      </c>
      <c r="U77" s="473"/>
      <c r="V77" s="473">
        <v>1</v>
      </c>
      <c r="W77" s="473" t="s">
        <v>39</v>
      </c>
      <c r="X77" s="473" t="s">
        <v>38</v>
      </c>
      <c r="Y77" s="483">
        <f>SUM(Q77*S77*V77)/1000</f>
        <v>10000</v>
      </c>
      <c r="Z77" s="308">
        <f>ROUNDUP(Q77*S77*V77,-3)</f>
        <v>10000000</v>
      </c>
      <c r="AA77" s="2033"/>
      <c r="AB77" s="2033"/>
      <c r="AC77" s="669"/>
    </row>
    <row r="78" spans="1:30" s="479" customFormat="1" ht="19.5" customHeight="1">
      <c r="A78" s="1931"/>
      <c r="B78" s="630"/>
      <c r="C78" s="468"/>
      <c r="D78" s="630"/>
      <c r="E78" s="1319" t="s">
        <v>549</v>
      </c>
      <c r="F78" s="842">
        <f>SUM(Y78)</f>
        <v>13999.999999999993</v>
      </c>
      <c r="G78" s="842">
        <v>13999.999999999993</v>
      </c>
      <c r="H78" s="1320"/>
      <c r="I78" s="471"/>
      <c r="J78" s="1321" t="s">
        <v>224</v>
      </c>
      <c r="K78" s="1326"/>
      <c r="L78" s="1326"/>
      <c r="M78" s="1326"/>
      <c r="N78" s="608"/>
      <c r="O78" s="608"/>
      <c r="P78" s="1326"/>
      <c r="Q78" s="1344"/>
      <c r="R78" s="1326"/>
      <c r="S78" s="1326"/>
      <c r="T78" s="1326"/>
      <c r="U78" s="1326"/>
      <c r="V78" s="1326"/>
      <c r="W78" s="1326"/>
      <c r="X78" s="1326"/>
      <c r="Y78" s="490">
        <f>+Y79+Y80</f>
        <v>13999.999999999993</v>
      </c>
      <c r="Z78" s="308">
        <f t="shared" si="2"/>
        <v>0</v>
      </c>
      <c r="AA78" s="2033"/>
      <c r="AB78" s="2033"/>
      <c r="AC78" s="669"/>
    </row>
    <row r="79" spans="1:30" s="479" customFormat="1" ht="19.5" customHeight="1">
      <c r="A79" s="1931"/>
      <c r="B79" s="630"/>
      <c r="C79" s="468"/>
      <c r="D79" s="630"/>
      <c r="E79" s="624"/>
      <c r="F79" s="824"/>
      <c r="G79" s="824"/>
      <c r="H79" s="551"/>
      <c r="I79" s="471"/>
      <c r="J79" s="472" t="s">
        <v>550</v>
      </c>
      <c r="K79" s="473"/>
      <c r="L79" s="473"/>
      <c r="M79" s="473"/>
      <c r="N79" s="474"/>
      <c r="O79" s="473"/>
      <c r="P79" s="473"/>
      <c r="Q79" s="475">
        <v>1</v>
      </c>
      <c r="R79" s="473" t="s">
        <v>227</v>
      </c>
      <c r="S79" s="474">
        <v>591666.66666666605</v>
      </c>
      <c r="T79" s="473" t="s">
        <v>37</v>
      </c>
      <c r="U79" s="473"/>
      <c r="V79" s="473">
        <v>12</v>
      </c>
      <c r="W79" s="473" t="s">
        <v>228</v>
      </c>
      <c r="X79" s="473" t="s">
        <v>38</v>
      </c>
      <c r="Y79" s="483">
        <f>SUM(Q79*S79*V79)/1000</f>
        <v>7099.9999999999927</v>
      </c>
      <c r="Z79" s="308">
        <f t="shared" si="2"/>
        <v>7100000</v>
      </c>
      <c r="AA79" s="2033"/>
      <c r="AB79" s="2033"/>
      <c r="AC79" s="669"/>
    </row>
    <row r="80" spans="1:30" s="479" customFormat="1" ht="19.5" customHeight="1">
      <c r="A80" s="1931"/>
      <c r="B80" s="630"/>
      <c r="C80" s="468"/>
      <c r="D80" s="630"/>
      <c r="E80" s="1331"/>
      <c r="F80" s="823"/>
      <c r="G80" s="823"/>
      <c r="H80" s="1332"/>
      <c r="I80" s="471"/>
      <c r="J80" s="472" t="s">
        <v>1074</v>
      </c>
      <c r="K80" s="510"/>
      <c r="L80" s="510"/>
      <c r="M80" s="510"/>
      <c r="N80" s="617"/>
      <c r="O80" s="510"/>
      <c r="P80" s="510"/>
      <c r="Q80" s="507">
        <v>2</v>
      </c>
      <c r="R80" s="510" t="s">
        <v>227</v>
      </c>
      <c r="S80" s="617">
        <v>287500</v>
      </c>
      <c r="T80" s="510" t="s">
        <v>37</v>
      </c>
      <c r="U80" s="510"/>
      <c r="V80" s="510">
        <v>12</v>
      </c>
      <c r="W80" s="510" t="s">
        <v>2</v>
      </c>
      <c r="X80" s="510" t="s">
        <v>38</v>
      </c>
      <c r="Y80" s="478">
        <f>SUM(Q80*S80*V80)/1000</f>
        <v>6900</v>
      </c>
      <c r="Z80" s="308">
        <f t="shared" si="2"/>
        <v>3450000</v>
      </c>
      <c r="AA80" s="2033"/>
      <c r="AB80" s="2033"/>
      <c r="AC80" s="669"/>
    </row>
    <row r="81" spans="1:29" s="479" customFormat="1" ht="19.5" customHeight="1">
      <c r="A81" s="1931"/>
      <c r="B81" s="630"/>
      <c r="C81" s="468"/>
      <c r="D81" s="630"/>
      <c r="E81" s="1319" t="s">
        <v>17</v>
      </c>
      <c r="F81" s="842">
        <f>SUM(Y81)</f>
        <v>17040</v>
      </c>
      <c r="G81" s="842">
        <v>17040</v>
      </c>
      <c r="H81" s="1320"/>
      <c r="I81" s="471"/>
      <c r="J81" s="1321" t="s">
        <v>224</v>
      </c>
      <c r="K81" s="1326"/>
      <c r="L81" s="1326"/>
      <c r="M81" s="1326"/>
      <c r="N81" s="608"/>
      <c r="O81" s="1326"/>
      <c r="P81" s="1326"/>
      <c r="Q81" s="1344"/>
      <c r="R81" s="1326"/>
      <c r="S81" s="608"/>
      <c r="T81" s="1326"/>
      <c r="U81" s="1326"/>
      <c r="V81" s="1326"/>
      <c r="W81" s="1326"/>
      <c r="X81" s="1326"/>
      <c r="Y81" s="490">
        <f>SUM(Y82:Y84)</f>
        <v>17040</v>
      </c>
      <c r="Z81" s="308">
        <f t="shared" si="2"/>
        <v>0</v>
      </c>
      <c r="AA81" s="2033"/>
      <c r="AB81" s="2033"/>
      <c r="AC81" s="669"/>
    </row>
    <row r="82" spans="1:29" s="479" customFormat="1" ht="19.5" customHeight="1">
      <c r="A82" s="1931"/>
      <c r="B82" s="630"/>
      <c r="C82" s="468"/>
      <c r="D82" s="630"/>
      <c r="E82" s="1347"/>
      <c r="F82" s="824"/>
      <c r="G82" s="824"/>
      <c r="H82" s="551"/>
      <c r="I82" s="471"/>
      <c r="J82" s="472" t="s">
        <v>552</v>
      </c>
      <c r="K82" s="473"/>
      <c r="L82" s="473"/>
      <c r="M82" s="473"/>
      <c r="N82" s="474"/>
      <c r="O82" s="473"/>
      <c r="P82" s="473"/>
      <c r="Q82" s="475"/>
      <c r="R82" s="473"/>
      <c r="S82" s="474">
        <v>80000</v>
      </c>
      <c r="T82" s="473" t="s">
        <v>37</v>
      </c>
      <c r="U82" s="473"/>
      <c r="V82" s="473">
        <v>12</v>
      </c>
      <c r="W82" s="473" t="s">
        <v>228</v>
      </c>
      <c r="X82" s="473" t="s">
        <v>38</v>
      </c>
      <c r="Y82" s="483">
        <f>SUM(S82*V82)/1000</f>
        <v>960</v>
      </c>
      <c r="Z82" s="308">
        <f t="shared" si="2"/>
        <v>960000</v>
      </c>
      <c r="AA82" s="2033"/>
      <c r="AB82" s="2033"/>
      <c r="AC82" s="669"/>
    </row>
    <row r="83" spans="1:29" s="479" customFormat="1" ht="19.5" customHeight="1">
      <c r="A83" s="1931"/>
      <c r="B83" s="630"/>
      <c r="C83" s="468"/>
      <c r="D83" s="630"/>
      <c r="E83" s="624"/>
      <c r="F83" s="824"/>
      <c r="G83" s="824"/>
      <c r="H83" s="551"/>
      <c r="I83" s="471"/>
      <c r="J83" s="472" t="s">
        <v>1755</v>
      </c>
      <c r="K83" s="473"/>
      <c r="L83" s="473"/>
      <c r="M83" s="473"/>
      <c r="N83" s="474"/>
      <c r="O83" s="473"/>
      <c r="P83" s="473"/>
      <c r="Q83" s="475" t="s">
        <v>265</v>
      </c>
      <c r="R83" s="473" t="s">
        <v>378</v>
      </c>
      <c r="S83" s="474">
        <v>1300000</v>
      </c>
      <c r="T83" s="473" t="s">
        <v>37</v>
      </c>
      <c r="U83" s="473"/>
      <c r="V83" s="473">
        <v>12</v>
      </c>
      <c r="W83" s="473" t="s">
        <v>228</v>
      </c>
      <c r="X83" s="473" t="s">
        <v>38</v>
      </c>
      <c r="Y83" s="483">
        <f>SUM(S83*V83)/1000</f>
        <v>15600</v>
      </c>
      <c r="Z83" s="308">
        <f t="shared" si="2"/>
        <v>15600000</v>
      </c>
      <c r="AA83" s="2033"/>
      <c r="AB83" s="2033"/>
      <c r="AC83" s="669"/>
    </row>
    <row r="84" spans="1:29" s="479" customFormat="1" ht="19.5" customHeight="1">
      <c r="A84" s="1931"/>
      <c r="B84" s="630"/>
      <c r="C84" s="468"/>
      <c r="D84" s="630"/>
      <c r="E84" s="624"/>
      <c r="F84" s="824"/>
      <c r="G84" s="824"/>
      <c r="H84" s="551"/>
      <c r="I84" s="471"/>
      <c r="J84" s="472" t="s">
        <v>689</v>
      </c>
      <c r="K84" s="473"/>
      <c r="L84" s="473"/>
      <c r="M84" s="473"/>
      <c r="N84" s="474"/>
      <c r="O84" s="473"/>
      <c r="P84" s="473"/>
      <c r="Q84" s="475">
        <v>1</v>
      </c>
      <c r="R84" s="473" t="s">
        <v>525</v>
      </c>
      <c r="S84" s="474">
        <v>40000</v>
      </c>
      <c r="T84" s="473" t="s">
        <v>37</v>
      </c>
      <c r="U84" s="473"/>
      <c r="V84" s="473">
        <v>12</v>
      </c>
      <c r="W84" s="473" t="s">
        <v>228</v>
      </c>
      <c r="X84" s="473" t="s">
        <v>38</v>
      </c>
      <c r="Y84" s="483">
        <f>SUM(Q84*S84*V84)/1000</f>
        <v>480</v>
      </c>
      <c r="Z84" s="308">
        <f t="shared" ref="Z84:Z92" si="5">ROUNDUP(S84*V84,-3)</f>
        <v>480000</v>
      </c>
      <c r="AA84" s="2033"/>
      <c r="AB84" s="2033"/>
      <c r="AC84" s="669"/>
    </row>
    <row r="85" spans="1:29" s="479" customFormat="1" ht="19.5" customHeight="1">
      <c r="A85" s="1931"/>
      <c r="B85" s="630"/>
      <c r="C85" s="468"/>
      <c r="D85" s="630"/>
      <c r="E85" s="1251" t="s">
        <v>242</v>
      </c>
      <c r="F85" s="598">
        <f>Y85</f>
        <v>1000</v>
      </c>
      <c r="G85" s="598">
        <v>1000</v>
      </c>
      <c r="H85" s="627"/>
      <c r="I85" s="471"/>
      <c r="J85" s="1348" t="s">
        <v>1725</v>
      </c>
      <c r="K85" s="621"/>
      <c r="L85" s="621"/>
      <c r="M85" s="621"/>
      <c r="N85" s="545"/>
      <c r="O85" s="545"/>
      <c r="P85" s="621"/>
      <c r="Q85" s="1349"/>
      <c r="R85" s="621"/>
      <c r="S85" s="545">
        <v>200000</v>
      </c>
      <c r="T85" s="621" t="s">
        <v>37</v>
      </c>
      <c r="U85" s="621"/>
      <c r="V85" s="621">
        <v>5</v>
      </c>
      <c r="W85" s="621" t="s">
        <v>39</v>
      </c>
      <c r="X85" s="621" t="s">
        <v>38</v>
      </c>
      <c r="Y85" s="517">
        <f>SUM(S85*V85)/1000</f>
        <v>1000</v>
      </c>
      <c r="Z85" s="308">
        <f t="shared" si="5"/>
        <v>1000000</v>
      </c>
      <c r="AA85" s="2033"/>
      <c r="AB85" s="2033"/>
      <c r="AC85" s="669"/>
    </row>
    <row r="86" spans="1:29" s="479" customFormat="1" ht="19.5" customHeight="1">
      <c r="A86" s="1931"/>
      <c r="B86" s="630"/>
      <c r="C86" s="468"/>
      <c r="D86" s="3834" t="s">
        <v>567</v>
      </c>
      <c r="E86" s="3916"/>
      <c r="F86" s="494">
        <f>SUM(F87:F87)</f>
        <v>23000</v>
      </c>
      <c r="G86" s="494">
        <v>23000</v>
      </c>
      <c r="H86" s="513">
        <f>F86-G86</f>
        <v>0</v>
      </c>
      <c r="I86" s="471"/>
      <c r="J86" s="1338"/>
      <c r="K86" s="727"/>
      <c r="L86" s="727"/>
      <c r="M86" s="727"/>
      <c r="N86" s="727"/>
      <c r="O86" s="727"/>
      <c r="P86" s="1339"/>
      <c r="Q86" s="727"/>
      <c r="R86" s="1339"/>
      <c r="S86" s="727"/>
      <c r="T86" s="1339"/>
      <c r="U86" s="727"/>
      <c r="V86" s="1339"/>
      <c r="W86" s="727"/>
      <c r="X86" s="727"/>
      <c r="Y86" s="771"/>
      <c r="Z86" s="308">
        <f t="shared" si="5"/>
        <v>0</v>
      </c>
      <c r="AA86" s="2033"/>
      <c r="AB86" s="2033"/>
      <c r="AC86" s="669"/>
    </row>
    <row r="87" spans="1:29" s="479" customFormat="1" ht="19.5" customHeight="1">
      <c r="A87" s="1931"/>
      <c r="B87" s="630"/>
      <c r="C87" s="716"/>
      <c r="D87" s="1350"/>
      <c r="E87" s="484" t="s">
        <v>557</v>
      </c>
      <c r="F87" s="842">
        <f>Y87</f>
        <v>23000</v>
      </c>
      <c r="G87" s="485">
        <v>23000</v>
      </c>
      <c r="H87" s="486"/>
      <c r="I87" s="471"/>
      <c r="J87" s="1964" t="s">
        <v>224</v>
      </c>
      <c r="K87" s="1946"/>
      <c r="L87" s="1946"/>
      <c r="M87" s="1946"/>
      <c r="N87" s="1934"/>
      <c r="O87" s="1934"/>
      <c r="P87" s="1934"/>
      <c r="Q87" s="475"/>
      <c r="R87" s="473"/>
      <c r="S87" s="474"/>
      <c r="T87" s="473"/>
      <c r="U87" s="473"/>
      <c r="V87" s="475"/>
      <c r="W87" s="473"/>
      <c r="X87" s="473"/>
      <c r="Y87" s="483">
        <f>SUM(Y88:Y92)</f>
        <v>23000</v>
      </c>
      <c r="Z87" s="308">
        <f t="shared" si="5"/>
        <v>0</v>
      </c>
      <c r="AA87" s="2033"/>
      <c r="AB87" s="2033"/>
      <c r="AC87" s="669"/>
    </row>
    <row r="88" spans="1:29" s="479" customFormat="1" ht="19.5" customHeight="1">
      <c r="A88" s="636"/>
      <c r="B88" s="630"/>
      <c r="C88" s="716"/>
      <c r="D88" s="716"/>
      <c r="E88" s="468"/>
      <c r="F88" s="824"/>
      <c r="G88" s="469"/>
      <c r="H88" s="470"/>
      <c r="I88" s="471"/>
      <c r="J88" s="1964" t="s">
        <v>1756</v>
      </c>
      <c r="K88" s="1946"/>
      <c r="L88" s="1946"/>
      <c r="M88" s="1946"/>
      <c r="N88" s="1934"/>
      <c r="O88" s="1934"/>
      <c r="P88" s="1934"/>
      <c r="Q88" s="475"/>
      <c r="R88" s="473"/>
      <c r="S88" s="474">
        <v>4500000</v>
      </c>
      <c r="T88" s="473" t="s">
        <v>0</v>
      </c>
      <c r="U88" s="473"/>
      <c r="V88" s="475">
        <v>1</v>
      </c>
      <c r="W88" s="473" t="s">
        <v>226</v>
      </c>
      <c r="X88" s="473" t="s">
        <v>1</v>
      </c>
      <c r="Y88" s="483">
        <f>SUM(S88*V88)/1000</f>
        <v>4500</v>
      </c>
      <c r="Z88" s="308">
        <f t="shared" si="5"/>
        <v>4500000</v>
      </c>
      <c r="AA88" s="2033"/>
      <c r="AB88" s="2033"/>
      <c r="AC88" s="669"/>
    </row>
    <row r="89" spans="1:29" s="479" customFormat="1" ht="19.5" customHeight="1">
      <c r="A89" s="636"/>
      <c r="B89" s="630"/>
      <c r="C89" s="716"/>
      <c r="D89" s="716"/>
      <c r="E89" s="468"/>
      <c r="F89" s="824"/>
      <c r="G89" s="469"/>
      <c r="H89" s="470"/>
      <c r="I89" s="471"/>
      <c r="J89" s="1964" t="s">
        <v>1757</v>
      </c>
      <c r="K89" s="1946"/>
      <c r="L89" s="1946"/>
      <c r="M89" s="1946"/>
      <c r="N89" s="1934"/>
      <c r="O89" s="1934"/>
      <c r="P89" s="1934"/>
      <c r="Q89" s="475"/>
      <c r="R89" s="473"/>
      <c r="S89" s="474">
        <v>1200000</v>
      </c>
      <c r="T89" s="473" t="s">
        <v>0</v>
      </c>
      <c r="U89" s="473"/>
      <c r="V89" s="475">
        <v>10</v>
      </c>
      <c r="W89" s="473" t="s">
        <v>50</v>
      </c>
      <c r="X89" s="473" t="s">
        <v>1</v>
      </c>
      <c r="Y89" s="483">
        <f>SUM(S89*V89)/1000</f>
        <v>12000</v>
      </c>
      <c r="Z89" s="308">
        <f t="shared" si="5"/>
        <v>12000000</v>
      </c>
      <c r="AA89" s="2033"/>
      <c r="AB89" s="2033"/>
      <c r="AC89" s="669"/>
    </row>
    <row r="90" spans="1:29" s="479" customFormat="1" ht="19.5" customHeight="1">
      <c r="A90" s="636"/>
      <c r="B90" s="630"/>
      <c r="C90" s="716"/>
      <c r="D90" s="716"/>
      <c r="E90" s="468"/>
      <c r="F90" s="824"/>
      <c r="G90" s="469"/>
      <c r="H90" s="470"/>
      <c r="I90" s="471"/>
      <c r="J90" s="1964" t="s">
        <v>1758</v>
      </c>
      <c r="K90" s="1946"/>
      <c r="L90" s="1946"/>
      <c r="M90" s="1946"/>
      <c r="N90" s="1934"/>
      <c r="O90" s="1934"/>
      <c r="P90" s="1934"/>
      <c r="Q90" s="475"/>
      <c r="R90" s="473"/>
      <c r="S90" s="474">
        <v>5000000</v>
      </c>
      <c r="T90" s="473" t="s">
        <v>0</v>
      </c>
      <c r="U90" s="473"/>
      <c r="V90" s="475">
        <v>1</v>
      </c>
      <c r="W90" s="473" t="s">
        <v>226</v>
      </c>
      <c r="X90" s="473" t="s">
        <v>1</v>
      </c>
      <c r="Y90" s="483">
        <f>SUM(S90*V90)/1000</f>
        <v>5000</v>
      </c>
      <c r="Z90" s="308">
        <f t="shared" si="5"/>
        <v>5000000</v>
      </c>
      <c r="AA90" s="2033"/>
      <c r="AB90" s="2033"/>
      <c r="AC90" s="669"/>
    </row>
    <row r="91" spans="1:29" s="479" customFormat="1" ht="19.5" customHeight="1">
      <c r="A91" s="636"/>
      <c r="B91" s="630"/>
      <c r="C91" s="716"/>
      <c r="D91" s="716"/>
      <c r="E91" s="468"/>
      <c r="F91" s="824"/>
      <c r="G91" s="469"/>
      <c r="H91" s="470"/>
      <c r="I91" s="471"/>
      <c r="J91" s="1964" t="s">
        <v>1759</v>
      </c>
      <c r="K91" s="1946"/>
      <c r="L91" s="1946"/>
      <c r="M91" s="1946"/>
      <c r="N91" s="1934"/>
      <c r="O91" s="1934"/>
      <c r="P91" s="1934"/>
      <c r="Q91" s="475"/>
      <c r="R91" s="473"/>
      <c r="S91" s="474">
        <v>1000000</v>
      </c>
      <c r="T91" s="473" t="s">
        <v>0</v>
      </c>
      <c r="U91" s="473"/>
      <c r="V91" s="475">
        <v>1</v>
      </c>
      <c r="W91" s="473" t="s">
        <v>226</v>
      </c>
      <c r="X91" s="473" t="s">
        <v>1</v>
      </c>
      <c r="Y91" s="483">
        <f>SUM(S91*V91)/1000</f>
        <v>1000</v>
      </c>
      <c r="Z91" s="308">
        <f t="shared" si="5"/>
        <v>1000000</v>
      </c>
      <c r="AA91" s="2033"/>
      <c r="AB91" s="2033"/>
      <c r="AC91" s="669"/>
    </row>
    <row r="92" spans="1:29" s="479" customFormat="1" ht="19.5" customHeight="1" thickBot="1">
      <c r="A92" s="636"/>
      <c r="B92" s="630"/>
      <c r="C92" s="716"/>
      <c r="D92" s="716"/>
      <c r="E92" s="468"/>
      <c r="F92" s="824"/>
      <c r="G92" s="469"/>
      <c r="H92" s="470"/>
      <c r="I92" s="471"/>
      <c r="J92" s="1964" t="s">
        <v>1760</v>
      </c>
      <c r="K92" s="1946"/>
      <c r="L92" s="1946"/>
      <c r="M92" s="1946"/>
      <c r="N92" s="1934"/>
      <c r="O92" s="1934"/>
      <c r="P92" s="1934"/>
      <c r="Q92" s="475"/>
      <c r="R92" s="473"/>
      <c r="S92" s="474">
        <v>100000</v>
      </c>
      <c r="T92" s="473" t="s">
        <v>0</v>
      </c>
      <c r="U92" s="473"/>
      <c r="V92" s="475">
        <v>5</v>
      </c>
      <c r="W92" s="473" t="s">
        <v>644</v>
      </c>
      <c r="X92" s="473" t="s">
        <v>1</v>
      </c>
      <c r="Y92" s="483">
        <f>SUM(S92*V92)/1000</f>
        <v>500</v>
      </c>
      <c r="Z92" s="308">
        <f t="shared" si="5"/>
        <v>500000</v>
      </c>
      <c r="AA92" s="2033"/>
      <c r="AB92" s="2033"/>
      <c r="AC92" s="669"/>
    </row>
    <row r="93" spans="1:29" s="1357" customFormat="1" ht="21" customHeight="1" thickBot="1">
      <c r="A93" s="636"/>
      <c r="B93" s="630"/>
      <c r="C93" s="3914" t="s">
        <v>355</v>
      </c>
      <c r="D93" s="3900"/>
      <c r="E93" s="3901"/>
      <c r="F93" s="822">
        <f>+F94+F125+F158+F202+F221+F238+F269+F283+F291</f>
        <v>885500</v>
      </c>
      <c r="G93" s="822">
        <f>+G94+G125+G158+G202+G221+G238+G269+G283+G291</f>
        <v>880499.99999999988</v>
      </c>
      <c r="H93" s="1351">
        <f>SUM(F93-G93)</f>
        <v>5000.0000000001164</v>
      </c>
      <c r="I93" s="471"/>
      <c r="J93" s="1352"/>
      <c r="K93" s="570"/>
      <c r="L93" s="570"/>
      <c r="M93" s="570"/>
      <c r="N93" s="1353"/>
      <c r="O93" s="570"/>
      <c r="P93" s="570"/>
      <c r="Q93" s="1354"/>
      <c r="R93" s="570"/>
      <c r="S93" s="1353"/>
      <c r="T93" s="570"/>
      <c r="U93" s="570"/>
      <c r="V93" s="570"/>
      <c r="W93" s="570"/>
      <c r="X93" s="570"/>
      <c r="Y93" s="1355"/>
      <c r="Z93" s="308">
        <f>F93*1000</f>
        <v>885500000</v>
      </c>
      <c r="AA93" s="2033"/>
      <c r="AB93" s="2033"/>
      <c r="AC93" s="669"/>
    </row>
    <row r="94" spans="1:29" s="479" customFormat="1" ht="21" customHeight="1">
      <c r="A94" s="636"/>
      <c r="B94" s="630"/>
      <c r="C94" s="1358" t="s">
        <v>645</v>
      </c>
      <c r="D94" s="1927"/>
      <c r="E94" s="1928"/>
      <c r="F94" s="494">
        <f>+F95+F98+F110+F124</f>
        <v>65000</v>
      </c>
      <c r="G94" s="494">
        <v>60000</v>
      </c>
      <c r="H94" s="495">
        <f>F94-G94</f>
        <v>5000</v>
      </c>
      <c r="I94" s="471"/>
      <c r="J94" s="496"/>
      <c r="K94" s="1359"/>
      <c r="L94" s="1359"/>
      <c r="M94" s="1359"/>
      <c r="N94" s="1359"/>
      <c r="O94" s="1359"/>
      <c r="P94" s="1359"/>
      <c r="Q94" s="1360"/>
      <c r="R94" s="1359"/>
      <c r="S94" s="1359"/>
      <c r="T94" s="1359"/>
      <c r="U94" s="1359"/>
      <c r="V94" s="1359"/>
      <c r="W94" s="1359"/>
      <c r="X94" s="1652"/>
      <c r="Y94" s="1361"/>
      <c r="Z94" s="308">
        <f t="shared" ref="Z94:Z136" si="6">ROUNDUP(S94*V94,-3)</f>
        <v>0</v>
      </c>
      <c r="AA94" s="2033"/>
      <c r="AB94" s="2033"/>
      <c r="AC94" s="669"/>
    </row>
    <row r="95" spans="1:29" s="479" customFormat="1" ht="21" customHeight="1">
      <c r="A95" s="636"/>
      <c r="B95" s="630"/>
      <c r="C95" s="624"/>
      <c r="D95" s="3823" t="s">
        <v>250</v>
      </c>
      <c r="E95" s="4031"/>
      <c r="F95" s="613">
        <f>SUM(F96:F97)</f>
        <v>30000</v>
      </c>
      <c r="G95" s="512">
        <f>SUM(G96:G97)</f>
        <v>25000</v>
      </c>
      <c r="H95" s="513">
        <f>F95-G95</f>
        <v>5000</v>
      </c>
      <c r="I95" s="471"/>
      <c r="J95" s="614"/>
      <c r="K95" s="1929"/>
      <c r="L95" s="1929"/>
      <c r="M95" s="1929"/>
      <c r="N95" s="1652"/>
      <c r="O95" s="1652"/>
      <c r="P95" s="1652"/>
      <c r="Q95" s="618"/>
      <c r="R95" s="616"/>
      <c r="S95" s="618"/>
      <c r="T95" s="618"/>
      <c r="U95" s="499"/>
      <c r="V95" s="618"/>
      <c r="W95" s="618"/>
      <c r="X95" s="618"/>
      <c r="Y95" s="478"/>
      <c r="Z95" s="308">
        <f t="shared" si="6"/>
        <v>0</v>
      </c>
      <c r="AA95" s="2033"/>
      <c r="AB95" s="2033"/>
      <c r="AC95" s="669"/>
    </row>
    <row r="96" spans="1:29" s="479" customFormat="1" ht="21" customHeight="1">
      <c r="A96" s="636"/>
      <c r="B96" s="630"/>
      <c r="C96" s="548"/>
      <c r="D96" s="2020"/>
      <c r="E96" s="2023" t="s">
        <v>229</v>
      </c>
      <c r="F96" s="469">
        <f>Y96</f>
        <v>25000</v>
      </c>
      <c r="G96" s="2029">
        <v>20000</v>
      </c>
      <c r="H96" s="470">
        <f>F96-G96</f>
        <v>5000</v>
      </c>
      <c r="I96" s="2014"/>
      <c r="J96" s="3530" t="s">
        <v>5459</v>
      </c>
      <c r="K96" s="3119"/>
      <c r="L96" s="3527"/>
      <c r="M96" s="3527"/>
      <c r="N96" s="2075"/>
      <c r="O96" s="2075"/>
      <c r="P96" s="2075"/>
      <c r="Q96" s="3531">
        <v>2</v>
      </c>
      <c r="R96" s="3516" t="s">
        <v>5460</v>
      </c>
      <c r="S96" s="3531">
        <v>12500</v>
      </c>
      <c r="T96" s="3531" t="s">
        <v>5407</v>
      </c>
      <c r="U96" s="3119"/>
      <c r="V96" s="3531">
        <v>1000</v>
      </c>
      <c r="W96" s="3531" t="s">
        <v>5408</v>
      </c>
      <c r="X96" s="3531" t="s">
        <v>5409</v>
      </c>
      <c r="Y96" s="3110">
        <f>SUM(Q96*S96*V96)/1000</f>
        <v>25000</v>
      </c>
      <c r="Z96" s="308"/>
      <c r="AA96" s="2033"/>
      <c r="AB96" s="2033"/>
      <c r="AC96" s="669"/>
    </row>
    <row r="97" spans="1:29" s="479" customFormat="1" ht="21" customHeight="1">
      <c r="A97" s="1931"/>
      <c r="B97" s="630"/>
      <c r="C97" s="548"/>
      <c r="D97" s="2020"/>
      <c r="E97" s="2023" t="s">
        <v>245</v>
      </c>
      <c r="F97" s="469">
        <f>Y97</f>
        <v>5000</v>
      </c>
      <c r="G97" s="2029">
        <v>5000</v>
      </c>
      <c r="H97" s="2037"/>
      <c r="I97" s="2014"/>
      <c r="J97" s="3530" t="s">
        <v>5461</v>
      </c>
      <c r="K97" s="3527"/>
      <c r="L97" s="3527"/>
      <c r="M97" s="3527"/>
      <c r="N97" s="2075"/>
      <c r="O97" s="2075"/>
      <c r="P97" s="2075"/>
      <c r="Q97" s="3531">
        <v>1</v>
      </c>
      <c r="R97" s="3516" t="s">
        <v>5460</v>
      </c>
      <c r="S97" s="3531">
        <v>10000</v>
      </c>
      <c r="T97" s="3531" t="s">
        <v>5407</v>
      </c>
      <c r="U97" s="3119"/>
      <c r="V97" s="3531">
        <v>500</v>
      </c>
      <c r="W97" s="3531" t="s">
        <v>5462</v>
      </c>
      <c r="X97" s="3531" t="s">
        <v>5409</v>
      </c>
      <c r="Y97" s="3110">
        <f>+V97*S97*Q97/1000</f>
        <v>5000</v>
      </c>
      <c r="Z97" s="308"/>
      <c r="AA97" s="2033"/>
      <c r="AB97" s="2033"/>
      <c r="AC97" s="669"/>
    </row>
    <row r="98" spans="1:29" s="479" customFormat="1" ht="21" customHeight="1">
      <c r="A98" s="1931"/>
      <c r="B98" s="630"/>
      <c r="C98" s="624"/>
      <c r="D98" s="3906" t="s">
        <v>251</v>
      </c>
      <c r="E98" s="4032"/>
      <c r="F98" s="664">
        <f>SUM(F99:F109)</f>
        <v>15000</v>
      </c>
      <c r="G98" s="3158">
        <f>SUM(G99:G109)</f>
        <v>20000</v>
      </c>
      <c r="H98" s="2021">
        <f>F98-G98</f>
        <v>-5000</v>
      </c>
      <c r="I98" s="2014"/>
      <c r="J98" s="2025"/>
      <c r="K98" s="3513"/>
      <c r="L98" s="3513"/>
      <c r="M98" s="3513"/>
      <c r="N98" s="3529"/>
      <c r="O98" s="3529"/>
      <c r="P98" s="3529"/>
      <c r="Q98" s="2026"/>
      <c r="R98" s="2027"/>
      <c r="S98" s="2026"/>
      <c r="T98" s="2026"/>
      <c r="U98" s="2036"/>
      <c r="V98" s="2026"/>
      <c r="W98" s="2026"/>
      <c r="X98" s="2026"/>
      <c r="Y98" s="517"/>
      <c r="Z98" s="308">
        <f t="shared" si="6"/>
        <v>0</v>
      </c>
      <c r="AA98" s="2033"/>
      <c r="AB98" s="2033"/>
      <c r="AC98" s="669"/>
    </row>
    <row r="99" spans="1:29" s="479" customFormat="1" ht="21" customHeight="1">
      <c r="A99" s="1931"/>
      <c r="B99" s="630"/>
      <c r="C99" s="548"/>
      <c r="D99" s="2020"/>
      <c r="E99" s="2023" t="s">
        <v>647</v>
      </c>
      <c r="F99" s="469">
        <f>Y99</f>
        <v>1000</v>
      </c>
      <c r="G99" s="2029">
        <v>5000</v>
      </c>
      <c r="H99" s="470">
        <f>F99-G99</f>
        <v>-4000</v>
      </c>
      <c r="I99" s="2014"/>
      <c r="J99" s="3530" t="s">
        <v>5463</v>
      </c>
      <c r="K99" s="3527"/>
      <c r="L99" s="3527"/>
      <c r="M99" s="3527"/>
      <c r="N99" s="2075"/>
      <c r="O99" s="2075"/>
      <c r="P99" s="2075"/>
      <c r="Q99" s="3531">
        <v>500</v>
      </c>
      <c r="R99" s="3516" t="s">
        <v>5464</v>
      </c>
      <c r="S99" s="3531">
        <v>2000</v>
      </c>
      <c r="T99" s="3531" t="s">
        <v>5407</v>
      </c>
      <c r="U99" s="3119"/>
      <c r="V99" s="3531">
        <v>1</v>
      </c>
      <c r="W99" s="3531" t="s">
        <v>5413</v>
      </c>
      <c r="X99" s="3531" t="s">
        <v>5409</v>
      </c>
      <c r="Y99" s="3110">
        <f>+V99*S99*Q99/1000</f>
        <v>1000</v>
      </c>
      <c r="Z99" s="308"/>
      <c r="AA99" s="2033"/>
      <c r="AB99" s="2033"/>
      <c r="AC99" s="669"/>
    </row>
    <row r="100" spans="1:29" s="479" customFormat="1" ht="21" customHeight="1">
      <c r="A100" s="1931"/>
      <c r="B100" s="630"/>
      <c r="C100" s="548"/>
      <c r="D100" s="2020"/>
      <c r="E100" s="2023" t="s">
        <v>648</v>
      </c>
      <c r="F100" s="469">
        <f t="shared" ref="F100:F101" si="7">Y100</f>
        <v>0</v>
      </c>
      <c r="G100" s="2029">
        <v>400</v>
      </c>
      <c r="H100" s="470">
        <f>F100-G100</f>
        <v>-400</v>
      </c>
      <c r="I100" s="2014"/>
      <c r="J100" s="3530" t="s">
        <v>5739</v>
      </c>
      <c r="K100" s="3527"/>
      <c r="L100" s="3527"/>
      <c r="M100" s="3527"/>
      <c r="N100" s="2075"/>
      <c r="O100" s="2075"/>
      <c r="P100" s="2075"/>
      <c r="Q100" s="3531"/>
      <c r="R100" s="3516"/>
      <c r="S100" s="3531"/>
      <c r="T100" s="3531"/>
      <c r="U100" s="3119"/>
      <c r="V100" s="3531"/>
      <c r="W100" s="3531"/>
      <c r="X100" s="3531"/>
      <c r="Y100" s="3110"/>
      <c r="Z100" s="308"/>
      <c r="AA100" s="2033"/>
      <c r="AB100" s="2033"/>
      <c r="AC100" s="669"/>
    </row>
    <row r="101" spans="1:29" s="479" customFormat="1" ht="21" customHeight="1">
      <c r="A101" s="1931"/>
      <c r="B101" s="630"/>
      <c r="C101" s="548"/>
      <c r="D101" s="2020"/>
      <c r="E101" s="2023" t="s">
        <v>245</v>
      </c>
      <c r="F101" s="469">
        <f t="shared" si="7"/>
        <v>9000</v>
      </c>
      <c r="G101" s="2029">
        <v>11000</v>
      </c>
      <c r="H101" s="470">
        <f t="shared" ref="H101:H108" si="8">F101-G101</f>
        <v>-2000</v>
      </c>
      <c r="I101" s="2014"/>
      <c r="J101" s="3530" t="s">
        <v>5466</v>
      </c>
      <c r="K101" s="3527"/>
      <c r="L101" s="3527"/>
      <c r="M101" s="3527"/>
      <c r="N101" s="2075"/>
      <c r="O101" s="2075"/>
      <c r="P101" s="2075"/>
      <c r="Q101" s="3531"/>
      <c r="R101" s="3516"/>
      <c r="S101" s="3531"/>
      <c r="T101" s="3531"/>
      <c r="U101" s="3119"/>
      <c r="V101" s="3531"/>
      <c r="W101" s="3531"/>
      <c r="X101" s="3531"/>
      <c r="Y101" s="3110">
        <f>SUM(Y102:Y105)</f>
        <v>9000</v>
      </c>
      <c r="Z101" s="308"/>
      <c r="AA101" s="2033"/>
      <c r="AB101" s="2033"/>
      <c r="AC101" s="669"/>
    </row>
    <row r="102" spans="1:29" s="479" customFormat="1" ht="21" customHeight="1">
      <c r="A102" s="1931"/>
      <c r="B102" s="630"/>
      <c r="C102" s="548"/>
      <c r="D102" s="2020"/>
      <c r="E102" s="2023"/>
      <c r="F102" s="469"/>
      <c r="G102" s="2029"/>
      <c r="H102" s="470"/>
      <c r="I102" s="2014"/>
      <c r="J102" s="3530" t="s">
        <v>5467</v>
      </c>
      <c r="K102" s="3527"/>
      <c r="L102" s="3527"/>
      <c r="M102" s="3527"/>
      <c r="N102" s="2075"/>
      <c r="O102" s="2075"/>
      <c r="P102" s="2075"/>
      <c r="Q102" s="3531">
        <v>14</v>
      </c>
      <c r="R102" s="3516" t="s">
        <v>5429</v>
      </c>
      <c r="S102" s="3531">
        <v>200000</v>
      </c>
      <c r="T102" s="3531" t="s">
        <v>5407</v>
      </c>
      <c r="U102" s="3119"/>
      <c r="V102" s="3531">
        <v>1</v>
      </c>
      <c r="W102" s="3531" t="s">
        <v>5468</v>
      </c>
      <c r="X102" s="3531" t="s">
        <v>5409</v>
      </c>
      <c r="Y102" s="3110">
        <f>+V102*S102*Q102/1000</f>
        <v>2800</v>
      </c>
      <c r="Z102" s="308"/>
      <c r="AA102" s="2033"/>
      <c r="AB102" s="2033"/>
      <c r="AC102" s="669"/>
    </row>
    <row r="103" spans="1:29" s="479" customFormat="1" ht="21" customHeight="1">
      <c r="A103" s="1931"/>
      <c r="B103" s="630"/>
      <c r="C103" s="548"/>
      <c r="D103" s="2020"/>
      <c r="E103" s="2023"/>
      <c r="F103" s="469"/>
      <c r="G103" s="2029"/>
      <c r="H103" s="470"/>
      <c r="I103" s="2014"/>
      <c r="J103" s="3530" t="s">
        <v>5469</v>
      </c>
      <c r="K103" s="3527"/>
      <c r="L103" s="3527"/>
      <c r="M103" s="3527"/>
      <c r="N103" s="2075"/>
      <c r="O103" s="2075"/>
      <c r="P103" s="2075"/>
      <c r="Q103" s="3531">
        <v>4</v>
      </c>
      <c r="R103" s="3516" t="s">
        <v>5429</v>
      </c>
      <c r="S103" s="3531">
        <v>200000</v>
      </c>
      <c r="T103" s="3531" t="s">
        <v>5407</v>
      </c>
      <c r="U103" s="3119"/>
      <c r="V103" s="3531">
        <v>1</v>
      </c>
      <c r="W103" s="3531" t="s">
        <v>5413</v>
      </c>
      <c r="X103" s="3531" t="s">
        <v>5409</v>
      </c>
      <c r="Y103" s="3110">
        <f>+V103*S103*Q103/1000</f>
        <v>800</v>
      </c>
      <c r="Z103" s="308"/>
      <c r="AA103" s="2033"/>
      <c r="AB103" s="2033"/>
      <c r="AC103" s="669"/>
    </row>
    <row r="104" spans="1:29" s="479" customFormat="1" ht="21" customHeight="1">
      <c r="A104" s="1931"/>
      <c r="B104" s="630"/>
      <c r="C104" s="548"/>
      <c r="D104" s="2020"/>
      <c r="E104" s="2023"/>
      <c r="F104" s="469"/>
      <c r="G104" s="2029"/>
      <c r="H104" s="470"/>
      <c r="I104" s="2014"/>
      <c r="J104" s="3530" t="s">
        <v>5470</v>
      </c>
      <c r="K104" s="3527"/>
      <c r="L104" s="3527"/>
      <c r="M104" s="3527"/>
      <c r="N104" s="2075"/>
      <c r="O104" s="2075"/>
      <c r="P104" s="2075"/>
      <c r="Q104" s="3531">
        <v>2</v>
      </c>
      <c r="R104" s="3516" t="s">
        <v>5429</v>
      </c>
      <c r="S104" s="3531">
        <v>300000</v>
      </c>
      <c r="T104" s="3531" t="s">
        <v>5407</v>
      </c>
      <c r="U104" s="3119"/>
      <c r="V104" s="3531">
        <v>1</v>
      </c>
      <c r="W104" s="3531" t="s">
        <v>5413</v>
      </c>
      <c r="X104" s="3531" t="s">
        <v>5409</v>
      </c>
      <c r="Y104" s="3110">
        <f>+V104*S104*Q104/1000</f>
        <v>600</v>
      </c>
      <c r="Z104" s="308"/>
      <c r="AA104" s="2033"/>
      <c r="AB104" s="2033"/>
      <c r="AC104" s="669"/>
    </row>
    <row r="105" spans="1:29" s="479" customFormat="1" ht="21" customHeight="1">
      <c r="A105" s="1931"/>
      <c r="B105" s="630"/>
      <c r="C105" s="548"/>
      <c r="D105" s="2020"/>
      <c r="E105" s="2023"/>
      <c r="F105" s="469"/>
      <c r="G105" s="2029"/>
      <c r="H105" s="470"/>
      <c r="I105" s="2014"/>
      <c r="J105" s="3530" t="s">
        <v>5471</v>
      </c>
      <c r="K105" s="3527"/>
      <c r="L105" s="3527"/>
      <c r="M105" s="3527"/>
      <c r="N105" s="2075"/>
      <c r="O105" s="2075"/>
      <c r="P105" s="2075"/>
      <c r="Q105" s="3531">
        <v>12</v>
      </c>
      <c r="R105" s="3516" t="s">
        <v>5429</v>
      </c>
      <c r="S105" s="3531">
        <v>200000</v>
      </c>
      <c r="T105" s="3531" t="s">
        <v>5407</v>
      </c>
      <c r="U105" s="3119"/>
      <c r="V105" s="3531">
        <v>2</v>
      </c>
      <c r="W105" s="3531" t="s">
        <v>5413</v>
      </c>
      <c r="X105" s="3531" t="s">
        <v>5409</v>
      </c>
      <c r="Y105" s="3110">
        <f>+V105*S105*Q105/1000</f>
        <v>4800</v>
      </c>
      <c r="Z105" s="308"/>
      <c r="AA105" s="2033"/>
      <c r="AB105" s="2033"/>
      <c r="AC105" s="669"/>
    </row>
    <row r="106" spans="1:29" s="479" customFormat="1" ht="21" customHeight="1">
      <c r="A106" s="1931"/>
      <c r="B106" s="630"/>
      <c r="C106" s="548"/>
      <c r="D106" s="2020"/>
      <c r="E106" s="2023" t="s">
        <v>258</v>
      </c>
      <c r="F106" s="469">
        <f t="shared" ref="F106:F109" si="9">Y106</f>
        <v>0</v>
      </c>
      <c r="G106" s="2029">
        <v>800</v>
      </c>
      <c r="H106" s="470">
        <f t="shared" si="8"/>
        <v>-800</v>
      </c>
      <c r="I106" s="2014"/>
      <c r="J106" s="3530" t="s">
        <v>5465</v>
      </c>
      <c r="K106" s="3527"/>
      <c r="L106" s="3527"/>
      <c r="M106" s="3527"/>
      <c r="N106" s="2075"/>
      <c r="O106" s="2075"/>
      <c r="P106" s="2075"/>
      <c r="Q106" s="3531"/>
      <c r="R106" s="3516"/>
      <c r="S106" s="3531"/>
      <c r="T106" s="3531"/>
      <c r="U106" s="3119"/>
      <c r="V106" s="3531"/>
      <c r="W106" s="3531"/>
      <c r="X106" s="3531"/>
      <c r="Y106" s="3110">
        <v>0</v>
      </c>
      <c r="Z106" s="308"/>
      <c r="AA106" s="2033"/>
      <c r="AB106" s="2033"/>
      <c r="AC106" s="669"/>
    </row>
    <row r="107" spans="1:29" s="479" customFormat="1" ht="21" customHeight="1">
      <c r="A107" s="1931"/>
      <c r="B107" s="630"/>
      <c r="C107" s="548"/>
      <c r="D107" s="2020"/>
      <c r="E107" s="2023" t="s">
        <v>649</v>
      </c>
      <c r="F107" s="469">
        <f t="shared" si="9"/>
        <v>200</v>
      </c>
      <c r="G107" s="2029">
        <v>400</v>
      </c>
      <c r="H107" s="470">
        <f t="shared" si="8"/>
        <v>-200</v>
      </c>
      <c r="I107" s="2014"/>
      <c r="J107" s="3530" t="s">
        <v>5472</v>
      </c>
      <c r="K107" s="3527"/>
      <c r="L107" s="3527"/>
      <c r="M107" s="3527"/>
      <c r="N107" s="2075"/>
      <c r="O107" s="2075"/>
      <c r="P107" s="2075"/>
      <c r="Q107" s="3531">
        <v>500</v>
      </c>
      <c r="R107" s="3516" t="s">
        <v>5464</v>
      </c>
      <c r="S107" s="3531">
        <v>400</v>
      </c>
      <c r="T107" s="3531" t="s">
        <v>5407</v>
      </c>
      <c r="U107" s="3119"/>
      <c r="V107" s="3531">
        <v>1</v>
      </c>
      <c r="W107" s="3531" t="s">
        <v>5413</v>
      </c>
      <c r="X107" s="3531" t="s">
        <v>5409</v>
      </c>
      <c r="Y107" s="3110">
        <f>+V107*S107*Q107/1000</f>
        <v>200</v>
      </c>
      <c r="Z107" s="308"/>
      <c r="AA107" s="2033"/>
      <c r="AB107" s="2033"/>
      <c r="AC107" s="669"/>
    </row>
    <row r="108" spans="1:29" s="479" customFormat="1" ht="21" customHeight="1">
      <c r="A108" s="1931"/>
      <c r="B108" s="630"/>
      <c r="C108" s="548"/>
      <c r="D108" s="2020"/>
      <c r="E108" s="2023" t="s">
        <v>394</v>
      </c>
      <c r="F108" s="469">
        <f t="shared" si="9"/>
        <v>4600</v>
      </c>
      <c r="G108" s="2029">
        <v>2200</v>
      </c>
      <c r="H108" s="470">
        <f t="shared" si="8"/>
        <v>2400</v>
      </c>
      <c r="I108" s="2014"/>
      <c r="J108" s="3530" t="s">
        <v>5473</v>
      </c>
      <c r="K108" s="3527"/>
      <c r="L108" s="3527"/>
      <c r="M108" s="3527"/>
      <c r="N108" s="2075"/>
      <c r="O108" s="2075"/>
      <c r="P108" s="2075"/>
      <c r="Q108" s="3531">
        <v>200</v>
      </c>
      <c r="R108" s="3516" t="s">
        <v>5429</v>
      </c>
      <c r="S108" s="3531">
        <v>11500</v>
      </c>
      <c r="T108" s="3531" t="s">
        <v>5407</v>
      </c>
      <c r="U108" s="3119"/>
      <c r="V108" s="3531">
        <v>2</v>
      </c>
      <c r="W108" s="3531" t="s">
        <v>5468</v>
      </c>
      <c r="X108" s="3531" t="s">
        <v>5409</v>
      </c>
      <c r="Y108" s="3110">
        <f>+V108*S108*Q108/1000</f>
        <v>4600</v>
      </c>
      <c r="Z108" s="308"/>
      <c r="AA108" s="2033"/>
      <c r="AB108" s="2033"/>
      <c r="AC108" s="669"/>
    </row>
    <row r="109" spans="1:29" s="479" customFormat="1" ht="21" customHeight="1">
      <c r="A109" s="1931"/>
      <c r="B109" s="630"/>
      <c r="C109" s="548"/>
      <c r="D109" s="2020"/>
      <c r="E109" s="532" t="s">
        <v>14</v>
      </c>
      <c r="F109" s="469">
        <f t="shared" si="9"/>
        <v>200</v>
      </c>
      <c r="G109" s="2029">
        <v>200</v>
      </c>
      <c r="H109" s="470"/>
      <c r="I109" s="2014"/>
      <c r="J109" s="3530" t="s">
        <v>5474</v>
      </c>
      <c r="K109" s="3527"/>
      <c r="L109" s="3527"/>
      <c r="M109" s="3527"/>
      <c r="N109" s="2075"/>
      <c r="O109" s="2075"/>
      <c r="P109" s="2075"/>
      <c r="Q109" s="3531">
        <v>5</v>
      </c>
      <c r="R109" s="3516" t="s">
        <v>5429</v>
      </c>
      <c r="S109" s="3531">
        <v>10000</v>
      </c>
      <c r="T109" s="3531" t="s">
        <v>5407</v>
      </c>
      <c r="U109" s="3119"/>
      <c r="V109" s="3531">
        <v>4</v>
      </c>
      <c r="W109" s="3531" t="s">
        <v>5468</v>
      </c>
      <c r="X109" s="3531" t="s">
        <v>5409</v>
      </c>
      <c r="Y109" s="3110">
        <f>+V109*S109*Q109/1000</f>
        <v>200</v>
      </c>
      <c r="Z109" s="308"/>
      <c r="AA109" s="2033"/>
      <c r="AB109" s="2033"/>
      <c r="AC109" s="669"/>
    </row>
    <row r="110" spans="1:29" s="479" customFormat="1" ht="21" customHeight="1">
      <c r="A110" s="1931"/>
      <c r="B110" s="630"/>
      <c r="C110" s="624"/>
      <c r="D110" s="3837" t="s">
        <v>650</v>
      </c>
      <c r="E110" s="4033"/>
      <c r="F110" s="664">
        <f>SUM(F111:F123)</f>
        <v>20000</v>
      </c>
      <c r="G110" s="664">
        <f>SUM(G111:G123)</f>
        <v>20000</v>
      </c>
      <c r="H110" s="2021">
        <f>F110-G110</f>
        <v>0</v>
      </c>
      <c r="I110" s="2014"/>
      <c r="J110" s="2025"/>
      <c r="K110" s="3513"/>
      <c r="L110" s="3513"/>
      <c r="M110" s="3513"/>
      <c r="N110" s="3529"/>
      <c r="O110" s="3529"/>
      <c r="P110" s="3529"/>
      <c r="Q110" s="2026"/>
      <c r="R110" s="2027"/>
      <c r="S110" s="2026"/>
      <c r="T110" s="2026"/>
      <c r="U110" s="2036"/>
      <c r="V110" s="2026"/>
      <c r="W110" s="2026"/>
      <c r="X110" s="2026"/>
      <c r="Y110" s="517"/>
      <c r="Z110" s="308">
        <f t="shared" si="6"/>
        <v>0</v>
      </c>
      <c r="AA110" s="2033"/>
      <c r="AB110" s="2033"/>
      <c r="AC110" s="669"/>
    </row>
    <row r="111" spans="1:29" s="479" customFormat="1" ht="21" customHeight="1">
      <c r="A111" s="1931"/>
      <c r="B111" s="630"/>
      <c r="C111" s="548"/>
      <c r="D111" s="506"/>
      <c r="E111" s="2132" t="s">
        <v>5208</v>
      </c>
      <c r="F111" s="469">
        <f>Y111</f>
        <v>0</v>
      </c>
      <c r="G111" s="3565">
        <v>4000</v>
      </c>
      <c r="H111" s="470">
        <f t="shared" ref="H111:H114" si="10">F111-G111</f>
        <v>-4000</v>
      </c>
      <c r="I111" s="2060"/>
      <c r="J111" s="3530" t="s">
        <v>5548</v>
      </c>
      <c r="K111" s="3527"/>
      <c r="L111" s="3527"/>
      <c r="M111" s="3527"/>
      <c r="N111" s="2075"/>
      <c r="O111" s="2075"/>
      <c r="P111" s="2075"/>
      <c r="Q111" s="3531"/>
      <c r="R111" s="3516"/>
      <c r="S111" s="3531"/>
      <c r="T111" s="3531"/>
      <c r="U111" s="3119"/>
      <c r="V111" s="3531"/>
      <c r="W111" s="3531"/>
      <c r="X111" s="3531"/>
      <c r="Y111" s="3110"/>
      <c r="Z111" s="3166"/>
      <c r="AA111" s="2033"/>
      <c r="AB111" s="2033"/>
      <c r="AC111" s="669"/>
    </row>
    <row r="112" spans="1:29" s="3119" customFormat="1" ht="21" customHeight="1">
      <c r="A112" s="3440"/>
      <c r="B112" s="2035"/>
      <c r="C112" s="548"/>
      <c r="D112" s="2020"/>
      <c r="E112" s="677" t="s">
        <v>5547</v>
      </c>
      <c r="F112" s="469">
        <f>Y112</f>
        <v>0</v>
      </c>
      <c r="G112" s="679">
        <v>200</v>
      </c>
      <c r="H112" s="470">
        <f t="shared" si="10"/>
        <v>-200</v>
      </c>
      <c r="I112" s="2060"/>
      <c r="J112" s="681" t="s">
        <v>5548</v>
      </c>
      <c r="K112" s="3515"/>
      <c r="L112" s="3515"/>
      <c r="M112" s="3515"/>
      <c r="N112" s="3525"/>
      <c r="O112" s="3525"/>
      <c r="P112" s="3525"/>
      <c r="Q112" s="684"/>
      <c r="R112" s="3524"/>
      <c r="S112" s="684"/>
      <c r="T112" s="684"/>
      <c r="U112" s="683"/>
      <c r="V112" s="684"/>
      <c r="W112" s="684"/>
      <c r="X112" s="684"/>
      <c r="Y112" s="871"/>
      <c r="Z112" s="3166"/>
      <c r="AA112" s="2033"/>
      <c r="AB112" s="2033"/>
      <c r="AC112" s="669"/>
    </row>
    <row r="113" spans="1:29" ht="21" customHeight="1">
      <c r="A113" s="1931"/>
      <c r="B113" s="630"/>
      <c r="C113" s="548"/>
      <c r="D113" s="2020"/>
      <c r="E113" s="677" t="s">
        <v>648</v>
      </c>
      <c r="F113" s="469">
        <f>Y113</f>
        <v>73</v>
      </c>
      <c r="G113" s="679">
        <v>400</v>
      </c>
      <c r="H113" s="470">
        <f t="shared" si="10"/>
        <v>-327</v>
      </c>
      <c r="I113" s="2060"/>
      <c r="J113" s="681" t="s">
        <v>5218</v>
      </c>
      <c r="K113" s="3515"/>
      <c r="L113" s="3515"/>
      <c r="M113" s="3515"/>
      <c r="N113" s="3525"/>
      <c r="O113" s="3525"/>
      <c r="P113" s="3525"/>
      <c r="Q113" s="684"/>
      <c r="R113" s="3524"/>
      <c r="S113" s="684">
        <v>73000</v>
      </c>
      <c r="T113" s="684" t="s">
        <v>5135</v>
      </c>
      <c r="U113" s="683"/>
      <c r="V113" s="684">
        <v>1</v>
      </c>
      <c r="W113" s="684" t="s">
        <v>5206</v>
      </c>
      <c r="X113" s="684" t="s">
        <v>5100</v>
      </c>
      <c r="Y113" s="871">
        <f>+V113*S113/1000</f>
        <v>73</v>
      </c>
      <c r="Z113" s="3166">
        <f t="shared" ref="Z113" si="11">ROUNDUP(S113*V113,-3)</f>
        <v>73000</v>
      </c>
      <c r="AA113" s="2033"/>
      <c r="AB113" s="2033"/>
      <c r="AC113" s="669"/>
    </row>
    <row r="114" spans="1:29" s="479" customFormat="1" ht="21" customHeight="1">
      <c r="A114" s="1931"/>
      <c r="B114" s="630"/>
      <c r="C114" s="548"/>
      <c r="D114" s="2020"/>
      <c r="E114" s="677" t="s">
        <v>5209</v>
      </c>
      <c r="F114" s="469">
        <f>Y114</f>
        <v>3300</v>
      </c>
      <c r="G114" s="679">
        <v>4000</v>
      </c>
      <c r="H114" s="470">
        <f t="shared" si="10"/>
        <v>-700</v>
      </c>
      <c r="I114" s="2060"/>
      <c r="J114" s="681" t="s">
        <v>5213</v>
      </c>
      <c r="K114" s="3515"/>
      <c r="L114" s="3515"/>
      <c r="M114" s="3515"/>
      <c r="N114" s="3525"/>
      <c r="O114" s="3525"/>
      <c r="P114" s="3525"/>
      <c r="Q114" s="684"/>
      <c r="R114" s="3524"/>
      <c r="S114" s="684"/>
      <c r="T114" s="684"/>
      <c r="U114" s="683"/>
      <c r="V114" s="684"/>
      <c r="W114" s="684"/>
      <c r="X114" s="684"/>
      <c r="Y114" s="871">
        <f>SUM(Y115:Y116)</f>
        <v>3300</v>
      </c>
      <c r="Z114" s="3166">
        <f t="shared" si="6"/>
        <v>0</v>
      </c>
      <c r="AA114" s="2033"/>
      <c r="AB114" s="2033"/>
      <c r="AC114" s="669"/>
    </row>
    <row r="115" spans="1:29" s="479" customFormat="1" ht="21" customHeight="1">
      <c r="A115" s="1931"/>
      <c r="B115" s="630"/>
      <c r="C115" s="548"/>
      <c r="D115" s="2020"/>
      <c r="E115" s="677"/>
      <c r="F115" s="1261"/>
      <c r="G115" s="679"/>
      <c r="H115" s="680"/>
      <c r="I115" s="2060"/>
      <c r="J115" s="681" t="s">
        <v>5219</v>
      </c>
      <c r="K115" s="3515"/>
      <c r="L115" s="3515"/>
      <c r="M115" s="3515"/>
      <c r="N115" s="3525"/>
      <c r="O115" s="3525"/>
      <c r="P115" s="3525"/>
      <c r="Q115" s="684"/>
      <c r="R115" s="3524"/>
      <c r="S115" s="684">
        <v>300000</v>
      </c>
      <c r="T115" s="684" t="s">
        <v>5135</v>
      </c>
      <c r="U115" s="683"/>
      <c r="V115" s="684">
        <v>1</v>
      </c>
      <c r="W115" s="684" t="s">
        <v>5206</v>
      </c>
      <c r="X115" s="684" t="s">
        <v>5100</v>
      </c>
      <c r="Y115" s="871">
        <f>+V115*S115/1000</f>
        <v>300</v>
      </c>
      <c r="Z115" s="3166">
        <f t="shared" si="6"/>
        <v>300000</v>
      </c>
      <c r="AA115" s="2033"/>
      <c r="AB115" s="2033"/>
      <c r="AC115" s="669"/>
    </row>
    <row r="116" spans="1:29" s="479" customFormat="1" ht="21" customHeight="1">
      <c r="A116" s="1931"/>
      <c r="B116" s="630"/>
      <c r="C116" s="548"/>
      <c r="D116" s="2020"/>
      <c r="E116" s="677"/>
      <c r="F116" s="1261"/>
      <c r="G116" s="679"/>
      <c r="H116" s="680"/>
      <c r="I116" s="2060"/>
      <c r="J116" s="681" t="s">
        <v>5220</v>
      </c>
      <c r="K116" s="3515"/>
      <c r="L116" s="3515"/>
      <c r="M116" s="3515"/>
      <c r="N116" s="3525"/>
      <c r="O116" s="3525"/>
      <c r="P116" s="3525"/>
      <c r="Q116" s="684">
        <v>10</v>
      </c>
      <c r="R116" s="3524" t="s">
        <v>5098</v>
      </c>
      <c r="S116" s="3164">
        <v>100000</v>
      </c>
      <c r="T116" s="3163" t="s">
        <v>5135</v>
      </c>
      <c r="U116" s="3163"/>
      <c r="V116" s="3163">
        <v>3</v>
      </c>
      <c r="W116" s="3163" t="s">
        <v>5214</v>
      </c>
      <c r="X116" s="3163" t="s">
        <v>5100</v>
      </c>
      <c r="Y116" s="871">
        <f>+V116*S116*Q116/1000</f>
        <v>3000</v>
      </c>
      <c r="Z116" s="3166">
        <f t="shared" si="6"/>
        <v>300000</v>
      </c>
      <c r="AA116" s="2033"/>
      <c r="AB116" s="2033"/>
      <c r="AC116" s="669"/>
    </row>
    <row r="117" spans="1:29" s="479" customFormat="1" ht="21" customHeight="1">
      <c r="A117" s="1931"/>
      <c r="B117" s="630"/>
      <c r="C117" s="548"/>
      <c r="D117" s="2020"/>
      <c r="E117" s="677" t="s">
        <v>5210</v>
      </c>
      <c r="F117" s="469">
        <f>Y117</f>
        <v>5499.5</v>
      </c>
      <c r="G117" s="679">
        <v>5500</v>
      </c>
      <c r="H117" s="470"/>
      <c r="I117" s="2060"/>
      <c r="J117" s="681" t="s">
        <v>5215</v>
      </c>
      <c r="K117" s="3515"/>
      <c r="L117" s="3515"/>
      <c r="M117" s="3515"/>
      <c r="N117" s="3525"/>
      <c r="O117" s="3525"/>
      <c r="P117" s="3525"/>
      <c r="Q117" s="684"/>
      <c r="R117" s="3524"/>
      <c r="S117" s="684">
        <v>5499500</v>
      </c>
      <c r="T117" s="684" t="s">
        <v>5135</v>
      </c>
      <c r="U117" s="683"/>
      <c r="V117" s="684">
        <v>1</v>
      </c>
      <c r="W117" s="684" t="s">
        <v>5172</v>
      </c>
      <c r="X117" s="684" t="s">
        <v>5100</v>
      </c>
      <c r="Y117" s="871">
        <f>Z117/1000</f>
        <v>5499.5</v>
      </c>
      <c r="Z117" s="3166">
        <f>S117*V117</f>
        <v>5499500</v>
      </c>
      <c r="AA117" s="2033"/>
      <c r="AB117" s="2033"/>
      <c r="AC117" s="669"/>
    </row>
    <row r="118" spans="1:29" s="479" customFormat="1" ht="21" customHeight="1">
      <c r="A118" s="1931"/>
      <c r="B118" s="630"/>
      <c r="C118" s="548"/>
      <c r="D118" s="2020"/>
      <c r="E118" s="677" t="s">
        <v>5211</v>
      </c>
      <c r="F118" s="469">
        <f>Y118</f>
        <v>330</v>
      </c>
      <c r="G118" s="679">
        <v>2000</v>
      </c>
      <c r="H118" s="470">
        <f t="shared" ref="H118:H119" si="12">F118-G118</f>
        <v>-1670</v>
      </c>
      <c r="I118" s="2060"/>
      <c r="J118" s="681" t="s">
        <v>5216</v>
      </c>
      <c r="K118" s="3515"/>
      <c r="L118" s="3515"/>
      <c r="M118" s="3515"/>
      <c r="N118" s="3525"/>
      <c r="O118" s="3525"/>
      <c r="P118" s="3525"/>
      <c r="Q118" s="684"/>
      <c r="R118" s="3524"/>
      <c r="S118" s="684">
        <v>330000</v>
      </c>
      <c r="T118" s="684" t="s">
        <v>5135</v>
      </c>
      <c r="U118" s="683"/>
      <c r="V118" s="684">
        <v>1</v>
      </c>
      <c r="W118" s="684" t="s">
        <v>5172</v>
      </c>
      <c r="X118" s="684" t="s">
        <v>5100</v>
      </c>
      <c r="Y118" s="871">
        <f>+V118*S118/1000</f>
        <v>330</v>
      </c>
      <c r="Z118" s="3166">
        <f t="shared" si="6"/>
        <v>330000</v>
      </c>
      <c r="AA118" s="2033"/>
      <c r="AB118" s="2033"/>
      <c r="AC118" s="669"/>
    </row>
    <row r="119" spans="1:29" ht="21" customHeight="1">
      <c r="A119" s="1931"/>
      <c r="B119" s="630"/>
      <c r="C119" s="548"/>
      <c r="D119" s="2020"/>
      <c r="E119" s="677" t="s">
        <v>5212</v>
      </c>
      <c r="F119" s="469">
        <f>Y119</f>
        <v>10397.5</v>
      </c>
      <c r="G119" s="679">
        <v>3500</v>
      </c>
      <c r="H119" s="470">
        <f t="shared" si="12"/>
        <v>6897.5</v>
      </c>
      <c r="I119" s="2060"/>
      <c r="J119" s="681" t="s">
        <v>5213</v>
      </c>
      <c r="K119" s="3515"/>
      <c r="L119" s="3515"/>
      <c r="M119" s="3515"/>
      <c r="N119" s="3525"/>
      <c r="O119" s="3525"/>
      <c r="P119" s="3525"/>
      <c r="Q119" s="684"/>
      <c r="R119" s="3524"/>
      <c r="S119" s="684"/>
      <c r="T119" s="684"/>
      <c r="U119" s="683"/>
      <c r="V119" s="684"/>
      <c r="W119" s="684"/>
      <c r="X119" s="684"/>
      <c r="Y119" s="871">
        <f>SUM(Y120:Y122)</f>
        <v>10397.5</v>
      </c>
      <c r="Z119" s="3166">
        <f>SUM(Z120:Z122)</f>
        <v>10397500</v>
      </c>
      <c r="AA119" s="2033"/>
      <c r="AB119" s="2033"/>
      <c r="AC119" s="669"/>
    </row>
    <row r="120" spans="1:29" s="479" customFormat="1" ht="21" customHeight="1">
      <c r="A120" s="1931"/>
      <c r="B120" s="630"/>
      <c r="C120" s="548"/>
      <c r="D120" s="2020"/>
      <c r="E120" s="677"/>
      <c r="F120" s="1261"/>
      <c r="G120" s="679"/>
      <c r="H120" s="680"/>
      <c r="I120" s="2060"/>
      <c r="J120" s="681" t="s">
        <v>5221</v>
      </c>
      <c r="K120" s="3515"/>
      <c r="L120" s="3515"/>
      <c r="M120" s="3515"/>
      <c r="N120" s="3525"/>
      <c r="O120" s="3525"/>
      <c r="P120" s="3525"/>
      <c r="Q120" s="684"/>
      <c r="R120" s="3524"/>
      <c r="S120" s="684">
        <v>1898500</v>
      </c>
      <c r="T120" s="684" t="s">
        <v>5135</v>
      </c>
      <c r="U120" s="683"/>
      <c r="V120" s="684">
        <v>2</v>
      </c>
      <c r="W120" s="684" t="s">
        <v>5172</v>
      </c>
      <c r="X120" s="684" t="s">
        <v>5100</v>
      </c>
      <c r="Y120" s="871">
        <f>Z120/1000</f>
        <v>3797</v>
      </c>
      <c r="Z120" s="3166">
        <f>S120*V120</f>
        <v>3797000</v>
      </c>
      <c r="AA120" s="2033"/>
      <c r="AB120" s="2033"/>
      <c r="AC120" s="669"/>
    </row>
    <row r="121" spans="1:29" s="479" customFormat="1" ht="21" customHeight="1">
      <c r="A121" s="1931"/>
      <c r="B121" s="630"/>
      <c r="C121" s="548"/>
      <c r="D121" s="2020"/>
      <c r="E121" s="677"/>
      <c r="F121" s="1261"/>
      <c r="G121" s="679"/>
      <c r="H121" s="470"/>
      <c r="I121" s="2060"/>
      <c r="J121" s="681" t="s">
        <v>5222</v>
      </c>
      <c r="K121" s="3515"/>
      <c r="L121" s="3515"/>
      <c r="M121" s="3515"/>
      <c r="N121" s="3525"/>
      <c r="O121" s="3525"/>
      <c r="P121" s="3525"/>
      <c r="Q121" s="684"/>
      <c r="R121" s="3524"/>
      <c r="S121" s="684">
        <v>3400500</v>
      </c>
      <c r="T121" s="684" t="s">
        <v>5135</v>
      </c>
      <c r="U121" s="683"/>
      <c r="V121" s="684">
        <v>1</v>
      </c>
      <c r="W121" s="684" t="s">
        <v>5172</v>
      </c>
      <c r="X121" s="684" t="s">
        <v>5100</v>
      </c>
      <c r="Y121" s="871">
        <f>Z121/1000</f>
        <v>3400.5</v>
      </c>
      <c r="Z121" s="3166">
        <f>S121*V121</f>
        <v>3400500</v>
      </c>
      <c r="AA121" s="2033"/>
      <c r="AB121" s="2033"/>
      <c r="AC121" s="669"/>
    </row>
    <row r="122" spans="1:29" s="479" customFormat="1" ht="21" customHeight="1">
      <c r="A122" s="1931"/>
      <c r="B122" s="630"/>
      <c r="C122" s="548"/>
      <c r="D122" s="2020"/>
      <c r="E122" s="677"/>
      <c r="F122" s="1261"/>
      <c r="G122" s="679"/>
      <c r="H122" s="470"/>
      <c r="I122" s="2060"/>
      <c r="J122" s="681" t="s">
        <v>5223</v>
      </c>
      <c r="K122" s="3515"/>
      <c r="L122" s="3515"/>
      <c r="M122" s="3515"/>
      <c r="N122" s="3525"/>
      <c r="O122" s="3525"/>
      <c r="P122" s="3525"/>
      <c r="Q122" s="684"/>
      <c r="R122" s="3524"/>
      <c r="S122" s="684">
        <v>3200000</v>
      </c>
      <c r="T122" s="684" t="s">
        <v>5135</v>
      </c>
      <c r="U122" s="683"/>
      <c r="V122" s="684">
        <v>1</v>
      </c>
      <c r="W122" s="684" t="s">
        <v>5172</v>
      </c>
      <c r="X122" s="684" t="s">
        <v>5100</v>
      </c>
      <c r="Y122" s="871">
        <f>Z122/1000</f>
        <v>3200</v>
      </c>
      <c r="Z122" s="3166">
        <f>S122*V122</f>
        <v>3200000</v>
      </c>
      <c r="AA122" s="2033"/>
      <c r="AB122" s="2033"/>
      <c r="AC122" s="669"/>
    </row>
    <row r="123" spans="1:29" s="479" customFormat="1" ht="21" customHeight="1">
      <c r="A123" s="1931"/>
      <c r="B123" s="630"/>
      <c r="C123" s="548"/>
      <c r="D123" s="2020"/>
      <c r="E123" s="677" t="s">
        <v>5178</v>
      </c>
      <c r="F123" s="469">
        <f>Y123</f>
        <v>400</v>
      </c>
      <c r="G123" s="679">
        <v>400</v>
      </c>
      <c r="H123" s="470"/>
      <c r="I123" s="2060"/>
      <c r="J123" s="681" t="s">
        <v>5217</v>
      </c>
      <c r="K123" s="3515"/>
      <c r="L123" s="3515"/>
      <c r="M123" s="3515"/>
      <c r="N123" s="3525"/>
      <c r="O123" s="3525"/>
      <c r="P123" s="3525"/>
      <c r="Q123" s="684">
        <v>10</v>
      </c>
      <c r="R123" s="3524" t="s">
        <v>5098</v>
      </c>
      <c r="S123" s="684">
        <v>10000</v>
      </c>
      <c r="T123" s="684" t="s">
        <v>5135</v>
      </c>
      <c r="U123" s="683"/>
      <c r="V123" s="684">
        <v>4</v>
      </c>
      <c r="W123" s="684" t="s">
        <v>5172</v>
      </c>
      <c r="X123" s="684" t="s">
        <v>5100</v>
      </c>
      <c r="Y123" s="871">
        <f>+V123*S123*Q123/1000</f>
        <v>400</v>
      </c>
      <c r="Z123" s="3166">
        <f t="shared" si="6"/>
        <v>40000</v>
      </c>
      <c r="AA123" s="2033"/>
      <c r="AB123" s="2033"/>
      <c r="AC123" s="669"/>
    </row>
    <row r="124" spans="1:29" s="479" customFormat="1" ht="21" customHeight="1">
      <c r="A124" s="1931"/>
      <c r="B124" s="630"/>
      <c r="C124" s="548"/>
      <c r="D124" s="3837" t="s">
        <v>986</v>
      </c>
      <c r="E124" s="3838"/>
      <c r="F124" s="603">
        <v>0</v>
      </c>
      <c r="G124" s="603">
        <v>0</v>
      </c>
      <c r="H124" s="486">
        <f>F124-G124</f>
        <v>0</v>
      </c>
      <c r="I124" s="2014"/>
      <c r="J124" s="604"/>
      <c r="K124" s="605"/>
      <c r="L124" s="605"/>
      <c r="M124" s="605"/>
      <c r="N124" s="2074"/>
      <c r="O124" s="2074"/>
      <c r="P124" s="2074"/>
      <c r="Q124" s="609"/>
      <c r="R124" s="607"/>
      <c r="S124" s="609"/>
      <c r="T124" s="609"/>
      <c r="U124" s="3423"/>
      <c r="V124" s="609"/>
      <c r="W124" s="609"/>
      <c r="X124" s="609"/>
      <c r="Y124" s="490"/>
      <c r="Z124" s="308">
        <f t="shared" si="6"/>
        <v>0</v>
      </c>
      <c r="AA124" s="2033"/>
      <c r="AB124" s="2033"/>
      <c r="AC124" s="669"/>
    </row>
    <row r="125" spans="1:29" s="479" customFormat="1" ht="21" customHeight="1">
      <c r="A125" s="1931"/>
      <c r="B125" s="630"/>
      <c r="C125" s="3834" t="s">
        <v>654</v>
      </c>
      <c r="D125" s="3917"/>
      <c r="E125" s="3913"/>
      <c r="F125" s="512">
        <f>+F126+F136</f>
        <v>275500</v>
      </c>
      <c r="G125" s="512">
        <f>G126+G136</f>
        <v>275500</v>
      </c>
      <c r="H125" s="2021">
        <f>F125-G125</f>
        <v>0</v>
      </c>
      <c r="I125" s="3424"/>
      <c r="J125" s="665"/>
      <c r="K125" s="1310"/>
      <c r="L125" s="1310"/>
      <c r="M125" s="1310"/>
      <c r="N125" s="1310"/>
      <c r="O125" s="1310"/>
      <c r="P125" s="1310"/>
      <c r="Q125" s="1374"/>
      <c r="R125" s="1310"/>
      <c r="S125" s="1310"/>
      <c r="T125" s="1310"/>
      <c r="U125" s="1310"/>
      <c r="V125" s="1310"/>
      <c r="W125" s="1310"/>
      <c r="X125" s="3529"/>
      <c r="Y125" s="1375"/>
      <c r="Z125" s="308">
        <f t="shared" si="6"/>
        <v>0</v>
      </c>
      <c r="AA125" s="2033"/>
      <c r="AB125" s="2033"/>
      <c r="AC125" s="669"/>
    </row>
    <row r="126" spans="1:29" s="479" customFormat="1" ht="21" customHeight="1">
      <c r="A126" s="1931"/>
      <c r="B126" s="630"/>
      <c r="C126" s="548"/>
      <c r="D126" s="3837" t="s">
        <v>655</v>
      </c>
      <c r="E126" s="3838"/>
      <c r="F126" s="664">
        <f>SUM(F127:F135)</f>
        <v>70000</v>
      </c>
      <c r="G126" s="598">
        <f>SUM(G127:G135)</f>
        <v>70000</v>
      </c>
      <c r="H126" s="513">
        <f>F126-G126</f>
        <v>0</v>
      </c>
      <c r="I126" s="471"/>
      <c r="J126" s="665"/>
      <c r="K126" s="1963"/>
      <c r="L126" s="1963"/>
      <c r="M126" s="1963"/>
      <c r="N126" s="1963"/>
      <c r="O126" s="1963"/>
      <c r="P126" s="645"/>
      <c r="Q126" s="1963"/>
      <c r="R126" s="651"/>
      <c r="S126" s="645"/>
      <c r="T126" s="1963"/>
      <c r="U126" s="1963"/>
      <c r="V126" s="645"/>
      <c r="W126" s="1963"/>
      <c r="X126" s="1363"/>
      <c r="Y126" s="667"/>
      <c r="Z126" s="308">
        <f t="shared" si="6"/>
        <v>0</v>
      </c>
      <c r="AA126" s="2033"/>
      <c r="AB126" s="2033"/>
      <c r="AC126" s="669"/>
    </row>
    <row r="127" spans="1:29" s="479" customFormat="1" ht="21" customHeight="1">
      <c r="A127" s="1931"/>
      <c r="B127" s="630"/>
      <c r="C127" s="548"/>
      <c r="D127" s="505"/>
      <c r="E127" s="535" t="s">
        <v>571</v>
      </c>
      <c r="F127" s="469">
        <f>Y127</f>
        <v>50260</v>
      </c>
      <c r="G127" s="550">
        <v>50260</v>
      </c>
      <c r="H127" s="1362"/>
      <c r="I127" s="471"/>
      <c r="J127" s="1964" t="s">
        <v>375</v>
      </c>
      <c r="K127" s="1946"/>
      <c r="L127" s="1946"/>
      <c r="M127" s="1946"/>
      <c r="N127" s="1934"/>
      <c r="O127" s="1934"/>
      <c r="P127" s="1934"/>
      <c r="Q127" s="1965" t="s">
        <v>378</v>
      </c>
      <c r="R127" s="1948"/>
      <c r="S127" s="1965"/>
      <c r="T127" s="1965"/>
      <c r="V127" s="1965"/>
      <c r="W127" s="1965"/>
      <c r="X127" s="1965"/>
      <c r="Y127" s="483">
        <f>SUM(Y128:Y129)</f>
        <v>50260</v>
      </c>
      <c r="Z127" s="308">
        <f t="shared" si="6"/>
        <v>0</v>
      </c>
      <c r="AA127" s="2033"/>
      <c r="AB127" s="2033"/>
      <c r="AC127" s="669"/>
    </row>
    <row r="128" spans="1:29" s="479" customFormat="1" ht="21" customHeight="1">
      <c r="A128" s="1931"/>
      <c r="B128" s="630"/>
      <c r="C128" s="548"/>
      <c r="D128" s="505"/>
      <c r="E128" s="535"/>
      <c r="F128" s="469"/>
      <c r="G128" s="550"/>
      <c r="H128" s="1362"/>
      <c r="I128" s="471"/>
      <c r="J128" s="1964" t="s">
        <v>1761</v>
      </c>
      <c r="K128" s="1946"/>
      <c r="L128" s="1946"/>
      <c r="M128" s="1946"/>
      <c r="N128" s="1934"/>
      <c r="O128" s="1934"/>
      <c r="P128" s="1934"/>
      <c r="Q128" s="1965" t="s">
        <v>378</v>
      </c>
      <c r="R128" s="1948"/>
      <c r="S128" s="1965">
        <v>25760000</v>
      </c>
      <c r="T128" s="1965" t="s">
        <v>37</v>
      </c>
      <c r="V128" s="1965">
        <v>1</v>
      </c>
      <c r="W128" s="1965" t="s">
        <v>579</v>
      </c>
      <c r="X128" s="1965" t="s">
        <v>38</v>
      </c>
      <c r="Y128" s="483">
        <f>SUM(S128*V128)/1000</f>
        <v>25760</v>
      </c>
      <c r="Z128" s="308">
        <f t="shared" si="6"/>
        <v>25760000</v>
      </c>
      <c r="AA128" s="2033"/>
      <c r="AB128" s="2033"/>
      <c r="AC128" s="669"/>
    </row>
    <row r="129" spans="1:29" s="479" customFormat="1" ht="21" customHeight="1">
      <c r="A129" s="1931"/>
      <c r="B129" s="630"/>
      <c r="C129" s="548"/>
      <c r="D129" s="505"/>
      <c r="E129" s="535"/>
      <c r="F129" s="469"/>
      <c r="G129" s="550"/>
      <c r="H129" s="1362"/>
      <c r="I129" s="471"/>
      <c r="J129" s="1964" t="s">
        <v>1762</v>
      </c>
      <c r="K129" s="1946"/>
      <c r="L129" s="1946"/>
      <c r="M129" s="1946"/>
      <c r="N129" s="1934"/>
      <c r="O129" s="1934"/>
      <c r="P129" s="1934"/>
      <c r="Q129" s="1965" t="s">
        <v>378</v>
      </c>
      <c r="R129" s="1948"/>
      <c r="S129" s="1965">
        <v>24500000</v>
      </c>
      <c r="T129" s="1965" t="s">
        <v>37</v>
      </c>
      <c r="V129" s="1965">
        <v>1</v>
      </c>
      <c r="W129" s="1965" t="s">
        <v>579</v>
      </c>
      <c r="X129" s="1965" t="s">
        <v>38</v>
      </c>
      <c r="Y129" s="483">
        <f>SUM(S129*V129)/1000</f>
        <v>24500</v>
      </c>
      <c r="Z129" s="308">
        <f t="shared" si="6"/>
        <v>24500000</v>
      </c>
      <c r="AA129" s="2033"/>
      <c r="AB129" s="2033"/>
      <c r="AC129" s="669"/>
    </row>
    <row r="130" spans="1:29" s="479" customFormat="1" ht="21" customHeight="1">
      <c r="A130" s="1931"/>
      <c r="B130" s="630"/>
      <c r="C130" s="548"/>
      <c r="D130" s="505"/>
      <c r="E130" s="532" t="s">
        <v>245</v>
      </c>
      <c r="F130" s="469">
        <f>Y130</f>
        <v>1000</v>
      </c>
      <c r="G130" s="550">
        <v>1000</v>
      </c>
      <c r="H130" s="1362"/>
      <c r="I130" s="471"/>
      <c r="J130" s="1964" t="s">
        <v>1726</v>
      </c>
      <c r="K130" s="1946"/>
      <c r="L130" s="1946"/>
      <c r="M130" s="1946"/>
      <c r="N130" s="1934"/>
      <c r="O130" s="1934"/>
      <c r="P130" s="1934"/>
      <c r="Q130" s="1965">
        <v>2</v>
      </c>
      <c r="R130" s="1948" t="s">
        <v>227</v>
      </c>
      <c r="S130" s="1965">
        <v>250000</v>
      </c>
      <c r="T130" s="1965" t="s">
        <v>37</v>
      </c>
      <c r="V130" s="1965">
        <v>2</v>
      </c>
      <c r="W130" s="1965" t="s">
        <v>39</v>
      </c>
      <c r="X130" s="1965" t="s">
        <v>38</v>
      </c>
      <c r="Y130" s="483">
        <f>+V130*S130*Q130/1000</f>
        <v>1000</v>
      </c>
      <c r="Z130" s="308">
        <f t="shared" si="6"/>
        <v>500000</v>
      </c>
      <c r="AA130" s="2033"/>
      <c r="AB130" s="2033"/>
      <c r="AC130" s="669"/>
    </row>
    <row r="131" spans="1:29" s="479" customFormat="1" ht="21" customHeight="1">
      <c r="A131" s="1931"/>
      <c r="B131" s="630"/>
      <c r="C131" s="548"/>
      <c r="D131" s="505"/>
      <c r="E131" s="532" t="s">
        <v>262</v>
      </c>
      <c r="F131" s="469">
        <f>Y131</f>
        <v>4000</v>
      </c>
      <c r="G131" s="550">
        <v>4000</v>
      </c>
      <c r="H131" s="1362"/>
      <c r="I131" s="471"/>
      <c r="J131" s="1964" t="s">
        <v>1727</v>
      </c>
      <c r="K131" s="1946"/>
      <c r="L131" s="1946"/>
      <c r="M131" s="1946"/>
      <c r="N131" s="1934"/>
      <c r="O131" s="1934"/>
      <c r="P131" s="1934"/>
      <c r="Q131" s="1965"/>
      <c r="R131" s="1948"/>
      <c r="S131" s="1965">
        <v>2000000</v>
      </c>
      <c r="T131" s="1965" t="s">
        <v>37</v>
      </c>
      <c r="V131" s="1965">
        <v>2</v>
      </c>
      <c r="W131" s="1965" t="s">
        <v>656</v>
      </c>
      <c r="X131" s="1965" t="s">
        <v>38</v>
      </c>
      <c r="Y131" s="483">
        <f>SUM(S131*V131)/1000</f>
        <v>4000</v>
      </c>
      <c r="Z131" s="308">
        <f t="shared" si="6"/>
        <v>4000000</v>
      </c>
      <c r="AA131" s="2033"/>
      <c r="AB131" s="2033"/>
      <c r="AC131" s="669"/>
    </row>
    <row r="132" spans="1:29" s="479" customFormat="1" ht="21" customHeight="1">
      <c r="A132" s="1931"/>
      <c r="B132" s="630"/>
      <c r="C132" s="548"/>
      <c r="D132" s="505"/>
      <c r="E132" s="532" t="s">
        <v>278</v>
      </c>
      <c r="F132" s="469">
        <f>Y132</f>
        <v>14240</v>
      </c>
      <c r="G132" s="550">
        <v>14240</v>
      </c>
      <c r="H132" s="1362"/>
      <c r="I132" s="471"/>
      <c r="J132" s="1964" t="s">
        <v>224</v>
      </c>
      <c r="K132" s="1946"/>
      <c r="L132" s="1946"/>
      <c r="M132" s="1946"/>
      <c r="N132" s="1934"/>
      <c r="O132" s="1934"/>
      <c r="P132" s="1934"/>
      <c r="Q132" s="1965"/>
      <c r="R132" s="1948"/>
      <c r="S132" s="1965"/>
      <c r="T132" s="1965"/>
      <c r="V132" s="1965"/>
      <c r="W132" s="1965"/>
      <c r="X132" s="1965"/>
      <c r="Y132" s="483">
        <v>14240</v>
      </c>
      <c r="Z132" s="308">
        <v>14240000</v>
      </c>
      <c r="AA132" s="2033"/>
      <c r="AB132" s="2033"/>
      <c r="AC132" s="669"/>
    </row>
    <row r="133" spans="1:29" s="479" customFormat="1" ht="21" customHeight="1">
      <c r="A133" s="1931"/>
      <c r="B133" s="630"/>
      <c r="C133" s="548"/>
      <c r="D133" s="505"/>
      <c r="E133" s="532"/>
      <c r="F133" s="469"/>
      <c r="G133" s="550"/>
      <c r="H133" s="1362"/>
      <c r="I133" s="471"/>
      <c r="J133" s="1964" t="s">
        <v>1729</v>
      </c>
      <c r="K133" s="1946"/>
      <c r="L133" s="1946"/>
      <c r="M133" s="1946"/>
      <c r="N133" s="1934"/>
      <c r="O133" s="1934"/>
      <c r="P133" s="1934"/>
      <c r="Q133" s="1965">
        <v>1</v>
      </c>
      <c r="R133" s="1948" t="s">
        <v>227</v>
      </c>
      <c r="S133" s="1965">
        <v>1850000</v>
      </c>
      <c r="T133" s="1965" t="s">
        <v>37</v>
      </c>
      <c r="V133" s="1965">
        <v>7</v>
      </c>
      <c r="W133" s="1965" t="s">
        <v>230</v>
      </c>
      <c r="X133" s="1965" t="s">
        <v>38</v>
      </c>
      <c r="Y133" s="483">
        <v>12950</v>
      </c>
      <c r="Z133" s="308">
        <f t="shared" si="6"/>
        <v>12950000</v>
      </c>
      <c r="AA133" s="2033"/>
      <c r="AB133" s="2033"/>
      <c r="AC133" s="669"/>
    </row>
    <row r="134" spans="1:29" s="479" customFormat="1" ht="21" customHeight="1">
      <c r="A134" s="1931"/>
      <c r="B134" s="630"/>
      <c r="C134" s="548"/>
      <c r="D134" s="505"/>
      <c r="E134" s="532"/>
      <c r="F134" s="469"/>
      <c r="G134" s="550"/>
      <c r="H134" s="1362"/>
      <c r="I134" s="471"/>
      <c r="J134" s="1964" t="s">
        <v>1730</v>
      </c>
      <c r="K134" s="1946"/>
      <c r="L134" s="1946"/>
      <c r="M134" s="1946"/>
      <c r="N134" s="1934"/>
      <c r="O134" s="1934"/>
      <c r="P134" s="1934"/>
      <c r="Q134" s="1965"/>
      <c r="R134" s="1948"/>
      <c r="S134" s="1965">
        <v>12950000</v>
      </c>
      <c r="T134" s="1965" t="s">
        <v>37</v>
      </c>
      <c r="V134" s="1965">
        <v>13.2</v>
      </c>
      <c r="W134" s="1965" t="s">
        <v>575</v>
      </c>
      <c r="X134" s="1965" t="s">
        <v>38</v>
      </c>
      <c r="Y134" s="483">
        <v>1290</v>
      </c>
      <c r="Z134" s="308">
        <v>1290000</v>
      </c>
      <c r="AA134" s="2033"/>
      <c r="AB134" s="2033"/>
      <c r="AC134" s="669"/>
    </row>
    <row r="135" spans="1:29" s="479" customFormat="1" ht="21" customHeight="1">
      <c r="A135" s="1931"/>
      <c r="B135" s="630"/>
      <c r="C135" s="548"/>
      <c r="D135" s="505"/>
      <c r="E135" s="535" t="s">
        <v>242</v>
      </c>
      <c r="F135" s="469">
        <f>Y135</f>
        <v>500</v>
      </c>
      <c r="G135" s="550">
        <v>500</v>
      </c>
      <c r="H135" s="1362"/>
      <c r="I135" s="471"/>
      <c r="J135" s="1964" t="s">
        <v>1728</v>
      </c>
      <c r="K135" s="1946"/>
      <c r="L135" s="1946"/>
      <c r="M135" s="1946"/>
      <c r="N135" s="1934"/>
      <c r="O135" s="1934"/>
      <c r="P135" s="1934"/>
      <c r="Q135" s="1965"/>
      <c r="R135" s="1948"/>
      <c r="S135" s="1965">
        <v>250000</v>
      </c>
      <c r="T135" s="1965" t="s">
        <v>37</v>
      </c>
      <c r="V135" s="1965">
        <v>2</v>
      </c>
      <c r="W135" s="1965" t="s">
        <v>233</v>
      </c>
      <c r="X135" s="1965" t="s">
        <v>38</v>
      </c>
      <c r="Y135" s="483">
        <f>SUM(S135*V135)/1000</f>
        <v>500</v>
      </c>
      <c r="Z135" s="308">
        <f t="shared" si="6"/>
        <v>500000</v>
      </c>
      <c r="AA135" s="2033"/>
      <c r="AB135" s="2033"/>
      <c r="AC135" s="669"/>
    </row>
    <row r="136" spans="1:29" s="479" customFormat="1" ht="23.25" customHeight="1">
      <c r="A136" s="1931"/>
      <c r="B136" s="630"/>
      <c r="C136" s="548"/>
      <c r="D136" s="3837" t="s">
        <v>658</v>
      </c>
      <c r="E136" s="3838"/>
      <c r="F136" s="664">
        <f>SUM(F137:F157)</f>
        <v>205500</v>
      </c>
      <c r="G136" s="598">
        <f>SUM(G137:G157)</f>
        <v>205500</v>
      </c>
      <c r="H136" s="513">
        <f>SUM(H138:H157)</f>
        <v>0</v>
      </c>
      <c r="I136" s="471"/>
      <c r="J136" s="665"/>
      <c r="K136" s="1963"/>
      <c r="L136" s="1963"/>
      <c r="M136" s="1963"/>
      <c r="N136" s="1963"/>
      <c r="O136" s="1963"/>
      <c r="P136" s="645"/>
      <c r="Q136" s="1963"/>
      <c r="R136" s="651"/>
      <c r="S136" s="645"/>
      <c r="T136" s="1963"/>
      <c r="U136" s="1963"/>
      <c r="V136" s="645"/>
      <c r="W136" s="1963"/>
      <c r="X136" s="1363"/>
      <c r="Y136" s="667"/>
      <c r="Z136" s="308">
        <f t="shared" si="6"/>
        <v>0</v>
      </c>
      <c r="AA136" s="2033"/>
      <c r="AB136" s="2033"/>
      <c r="AC136" s="669"/>
    </row>
    <row r="137" spans="1:29" s="3119" customFormat="1" ht="23.25" customHeight="1">
      <c r="A137" s="3440"/>
      <c r="B137" s="2035"/>
      <c r="C137" s="548"/>
      <c r="D137" s="2295"/>
      <c r="E137" s="2023" t="s">
        <v>65</v>
      </c>
      <c r="F137" s="469">
        <f>+Y137</f>
        <v>8400</v>
      </c>
      <c r="G137" s="2029">
        <v>8400</v>
      </c>
      <c r="H137" s="470"/>
      <c r="I137" s="2014"/>
      <c r="J137" s="3530" t="s">
        <v>5358</v>
      </c>
      <c r="K137" s="3527"/>
      <c r="L137" s="3527"/>
      <c r="M137" s="3527"/>
      <c r="N137" s="2075"/>
      <c r="O137" s="2075"/>
      <c r="P137" s="2075"/>
      <c r="Q137" s="3531">
        <v>1</v>
      </c>
      <c r="R137" s="3516" t="s">
        <v>36</v>
      </c>
      <c r="S137" s="3531">
        <v>2100000</v>
      </c>
      <c r="T137" s="3531" t="s">
        <v>391</v>
      </c>
      <c r="V137" s="3531">
        <v>4</v>
      </c>
      <c r="W137" s="3531" t="s">
        <v>230</v>
      </c>
      <c r="X137" s="3531" t="s">
        <v>5</v>
      </c>
      <c r="Y137" s="3563">
        <f t="shared" ref="Y137" si="13">SUM(S137*V137)/1000</f>
        <v>8400</v>
      </c>
      <c r="Z137" s="308"/>
      <c r="AA137" s="2033"/>
      <c r="AB137" s="2033"/>
      <c r="AC137" s="669"/>
    </row>
    <row r="138" spans="1:29" s="479" customFormat="1" ht="23.25" customHeight="1">
      <c r="A138" s="1931"/>
      <c r="B138" s="630"/>
      <c r="C138" s="548"/>
      <c r="D138" s="505"/>
      <c r="E138" s="2023" t="s">
        <v>647</v>
      </c>
      <c r="F138" s="469">
        <f>+Y138</f>
        <v>16370</v>
      </c>
      <c r="G138" s="2029">
        <v>28000</v>
      </c>
      <c r="H138" s="470">
        <f>F138-G138</f>
        <v>-11630</v>
      </c>
      <c r="I138" s="2014"/>
      <c r="J138" s="3530" t="s">
        <v>5334</v>
      </c>
      <c r="K138" s="3527"/>
      <c r="L138" s="3527"/>
      <c r="M138" s="3527"/>
      <c r="N138" s="2075"/>
      <c r="O138" s="2075"/>
      <c r="P138" s="2075"/>
      <c r="Q138" s="3531">
        <v>500</v>
      </c>
      <c r="R138" s="3516" t="s">
        <v>5335</v>
      </c>
      <c r="S138" s="3531">
        <v>16370</v>
      </c>
      <c r="T138" s="3531" t="s">
        <v>5336</v>
      </c>
      <c r="U138" s="3119"/>
      <c r="V138" s="3531">
        <v>2</v>
      </c>
      <c r="W138" s="3531" t="s">
        <v>5337</v>
      </c>
      <c r="X138" s="3531" t="s">
        <v>5338</v>
      </c>
      <c r="Y138" s="3563">
        <f>V138*S138*Q138/1000</f>
        <v>16370</v>
      </c>
      <c r="Z138" s="308"/>
      <c r="AA138" s="2033"/>
      <c r="AB138" s="2033"/>
      <c r="AC138" s="669"/>
    </row>
    <row r="139" spans="1:29" s="479" customFormat="1" ht="23.25" customHeight="1">
      <c r="A139" s="1931"/>
      <c r="B139" s="630"/>
      <c r="C139" s="548"/>
      <c r="D139" s="505"/>
      <c r="E139" s="2023" t="s">
        <v>659</v>
      </c>
      <c r="F139" s="469">
        <f>+Y139</f>
        <v>1670</v>
      </c>
      <c r="G139" s="2029">
        <v>6000</v>
      </c>
      <c r="H139" s="470">
        <f t="shared" ref="H139:H157" si="14">F139-G139</f>
        <v>-4330</v>
      </c>
      <c r="I139" s="2014"/>
      <c r="J139" s="3530" t="s">
        <v>5339</v>
      </c>
      <c r="K139" s="3527"/>
      <c r="L139" s="3527"/>
      <c r="M139" s="3527"/>
      <c r="N139" s="2075"/>
      <c r="O139" s="2075"/>
      <c r="P139" s="2075"/>
      <c r="Q139" s="3531"/>
      <c r="R139" s="3516"/>
      <c r="S139" s="556">
        <v>835000</v>
      </c>
      <c r="T139" s="3531" t="s">
        <v>5336</v>
      </c>
      <c r="U139" s="3531" t="s">
        <v>5340</v>
      </c>
      <c r="V139" s="3531">
        <v>2</v>
      </c>
      <c r="W139" s="3531" t="s">
        <v>5341</v>
      </c>
      <c r="X139" s="3531" t="s">
        <v>5338</v>
      </c>
      <c r="Y139" s="3563">
        <f>SUM(S139*V139)/1000</f>
        <v>1670</v>
      </c>
      <c r="Z139" s="308"/>
      <c r="AA139" s="2033"/>
      <c r="AB139" s="2033"/>
      <c r="AC139" s="669"/>
    </row>
    <row r="140" spans="1:29" s="479" customFormat="1" ht="23.25" customHeight="1">
      <c r="A140" s="1931"/>
      <c r="B140" s="630"/>
      <c r="C140" s="548"/>
      <c r="D140" s="505"/>
      <c r="E140" s="2023" t="s">
        <v>648</v>
      </c>
      <c r="F140" s="469">
        <f>+Y140</f>
        <v>0</v>
      </c>
      <c r="G140" s="2029">
        <v>400</v>
      </c>
      <c r="H140" s="470">
        <f t="shared" si="14"/>
        <v>-400</v>
      </c>
      <c r="I140" s="2014"/>
      <c r="J140" s="3530" t="s">
        <v>5205</v>
      </c>
      <c r="K140" s="3527"/>
      <c r="L140" s="3527"/>
      <c r="M140" s="3527"/>
      <c r="N140" s="2075"/>
      <c r="O140" s="2075"/>
      <c r="P140" s="2075"/>
      <c r="Q140" s="3531"/>
      <c r="R140" s="3516"/>
      <c r="S140" s="556"/>
      <c r="T140" s="3531"/>
      <c r="U140" s="3531"/>
      <c r="V140" s="3531"/>
      <c r="W140" s="3531"/>
      <c r="X140" s="3531"/>
      <c r="Y140" s="3563"/>
      <c r="Z140" s="308"/>
      <c r="AA140" s="2033"/>
      <c r="AB140" s="2033"/>
      <c r="AC140" s="669"/>
    </row>
    <row r="141" spans="1:29" s="479" customFormat="1" ht="23.25" customHeight="1">
      <c r="A141" s="1931"/>
      <c r="B141" s="630"/>
      <c r="C141" s="548"/>
      <c r="D141" s="505"/>
      <c r="E141" s="2023" t="s">
        <v>245</v>
      </c>
      <c r="F141" s="469">
        <f>+Y141</f>
        <v>4595</v>
      </c>
      <c r="G141" s="2029">
        <v>6000</v>
      </c>
      <c r="H141" s="470">
        <f t="shared" si="14"/>
        <v>-1405</v>
      </c>
      <c r="I141" s="2014"/>
      <c r="J141" s="3530" t="s">
        <v>5342</v>
      </c>
      <c r="K141" s="3527"/>
      <c r="L141" s="3527"/>
      <c r="M141" s="3527"/>
      <c r="N141" s="2075"/>
      <c r="O141" s="2075"/>
      <c r="P141" s="2075"/>
      <c r="Q141" s="3531" t="s">
        <v>5343</v>
      </c>
      <c r="R141" s="3516" t="s">
        <v>5343</v>
      </c>
      <c r="S141" s="3531"/>
      <c r="T141" s="3531"/>
      <c r="U141" s="3119"/>
      <c r="V141" s="3531"/>
      <c r="W141" s="3531"/>
      <c r="X141" s="3531"/>
      <c r="Y141" s="3563">
        <f>SUM(Y142:Y144)</f>
        <v>4595</v>
      </c>
      <c r="Z141" s="308"/>
      <c r="AA141" s="2033"/>
      <c r="AB141" s="2033"/>
      <c r="AC141" s="669"/>
    </row>
    <row r="142" spans="1:29" s="479" customFormat="1" ht="23.25" customHeight="1">
      <c r="A142" s="1931"/>
      <c r="B142" s="630"/>
      <c r="C142" s="548"/>
      <c r="D142" s="505"/>
      <c r="E142" s="2023"/>
      <c r="F142" s="469"/>
      <c r="G142" s="2029"/>
      <c r="H142" s="470"/>
      <c r="I142" s="2014"/>
      <c r="J142" s="3530" t="s">
        <v>5344</v>
      </c>
      <c r="K142" s="3527"/>
      <c r="L142" s="3527"/>
      <c r="M142" s="3527"/>
      <c r="N142" s="2075"/>
      <c r="O142" s="2075"/>
      <c r="P142" s="2075"/>
      <c r="Q142" s="3531">
        <v>7</v>
      </c>
      <c r="R142" s="3516" t="s">
        <v>5345</v>
      </c>
      <c r="S142" s="3531">
        <v>5000</v>
      </c>
      <c r="T142" s="3531" t="s">
        <v>5336</v>
      </c>
      <c r="U142" s="3119"/>
      <c r="V142" s="3531">
        <v>115</v>
      </c>
      <c r="W142" s="3531" t="s">
        <v>5346</v>
      </c>
      <c r="X142" s="3531" t="s">
        <v>5338</v>
      </c>
      <c r="Y142" s="3563">
        <f>Z142/1000</f>
        <v>4025</v>
      </c>
      <c r="Z142" s="308">
        <f>Q142*S142*V142</f>
        <v>4025000</v>
      </c>
      <c r="AA142" s="2033"/>
      <c r="AB142" s="2033"/>
      <c r="AC142" s="669"/>
    </row>
    <row r="143" spans="1:29" s="479" customFormat="1" ht="23.25" customHeight="1">
      <c r="A143" s="1931"/>
      <c r="B143" s="630"/>
      <c r="C143" s="548"/>
      <c r="D143" s="505"/>
      <c r="E143" s="2023"/>
      <c r="F143" s="469"/>
      <c r="G143" s="2029"/>
      <c r="H143" s="470"/>
      <c r="I143" s="2014"/>
      <c r="J143" s="3530" t="s">
        <v>5347</v>
      </c>
      <c r="K143" s="3527"/>
      <c r="L143" s="3527"/>
      <c r="M143" s="3527"/>
      <c r="N143" s="2075"/>
      <c r="O143" s="2075"/>
      <c r="P143" s="2075"/>
      <c r="Q143" s="3531">
        <v>3</v>
      </c>
      <c r="R143" s="3516" t="s">
        <v>5345</v>
      </c>
      <c r="S143" s="3531">
        <v>150000</v>
      </c>
      <c r="T143" s="3531" t="s">
        <v>5336</v>
      </c>
      <c r="U143" s="3119"/>
      <c r="V143" s="3531">
        <v>1</v>
      </c>
      <c r="W143" s="3531" t="s">
        <v>5337</v>
      </c>
      <c r="X143" s="3531" t="s">
        <v>5338</v>
      </c>
      <c r="Y143" s="3563">
        <f>Z143/1000</f>
        <v>450</v>
      </c>
      <c r="Z143" s="308">
        <f>Q143*S143*V143</f>
        <v>450000</v>
      </c>
      <c r="AA143" s="2033"/>
      <c r="AB143" s="2033"/>
      <c r="AC143" s="669"/>
    </row>
    <row r="144" spans="1:29" s="479" customFormat="1" ht="23.25" customHeight="1">
      <c r="A144" s="1931"/>
      <c r="B144" s="630"/>
      <c r="C144" s="548"/>
      <c r="D144" s="505"/>
      <c r="E144" s="2023"/>
      <c r="F144" s="469"/>
      <c r="G144" s="2029"/>
      <c r="H144" s="470"/>
      <c r="I144" s="2014"/>
      <c r="J144" s="3530" t="s">
        <v>5348</v>
      </c>
      <c r="K144" s="3119"/>
      <c r="L144" s="3527"/>
      <c r="M144" s="3527"/>
      <c r="N144" s="2075"/>
      <c r="O144" s="2075"/>
      <c r="P144" s="2075"/>
      <c r="Q144" s="3531">
        <v>12</v>
      </c>
      <c r="R144" s="3516" t="s">
        <v>5349</v>
      </c>
      <c r="S144" s="3531">
        <v>10000</v>
      </c>
      <c r="T144" s="3531" t="s">
        <v>5336</v>
      </c>
      <c r="U144" s="3119"/>
      <c r="V144" s="3531">
        <v>1</v>
      </c>
      <c r="W144" s="3531" t="s">
        <v>5337</v>
      </c>
      <c r="X144" s="3531" t="s">
        <v>5338</v>
      </c>
      <c r="Y144" s="3563">
        <f>Z144/1000</f>
        <v>120</v>
      </c>
      <c r="Z144" s="308">
        <f>Q144*S144*V144</f>
        <v>120000</v>
      </c>
      <c r="AA144" s="2033"/>
      <c r="AB144" s="2033"/>
      <c r="AC144" s="669"/>
    </row>
    <row r="145" spans="1:29" s="479" customFormat="1" ht="23.25" customHeight="1">
      <c r="A145" s="1931"/>
      <c r="B145" s="630"/>
      <c r="C145" s="548"/>
      <c r="D145" s="505"/>
      <c r="E145" s="2023" t="s">
        <v>246</v>
      </c>
      <c r="F145" s="469">
        <f>+Y145</f>
        <v>153941</v>
      </c>
      <c r="G145" s="2029">
        <v>145500</v>
      </c>
      <c r="H145" s="470">
        <f t="shared" si="14"/>
        <v>8441</v>
      </c>
      <c r="I145" s="2014"/>
      <c r="J145" s="3530" t="s">
        <v>5342</v>
      </c>
      <c r="K145" s="3527"/>
      <c r="L145" s="3527"/>
      <c r="M145" s="3527"/>
      <c r="N145" s="2075"/>
      <c r="O145" s="2075"/>
      <c r="P145" s="2075"/>
      <c r="Q145" s="3531" t="s">
        <v>5343</v>
      </c>
      <c r="R145" s="3516" t="s">
        <v>5343</v>
      </c>
      <c r="S145" s="3531"/>
      <c r="T145" s="3531"/>
      <c r="U145" s="3119"/>
      <c r="V145" s="3531"/>
      <c r="W145" s="3531"/>
      <c r="X145" s="3531"/>
      <c r="Y145" s="3563">
        <f>SUM(Y146:Y153)</f>
        <v>153941</v>
      </c>
      <c r="Z145" s="308"/>
      <c r="AA145" s="2033"/>
      <c r="AB145" s="2033"/>
      <c r="AC145" s="669"/>
    </row>
    <row r="146" spans="1:29" s="479" customFormat="1" ht="23.25" customHeight="1">
      <c r="A146" s="1931"/>
      <c r="B146" s="630"/>
      <c r="C146" s="548"/>
      <c r="D146" s="505"/>
      <c r="E146" s="2023"/>
      <c r="F146" s="469"/>
      <c r="G146" s="2029"/>
      <c r="H146" s="470"/>
      <c r="I146" s="2014"/>
      <c r="J146" s="3530" t="s">
        <v>5350</v>
      </c>
      <c r="K146" s="3527"/>
      <c r="L146" s="3527"/>
      <c r="M146" s="3527"/>
      <c r="N146" s="2075"/>
      <c r="O146" s="2075"/>
      <c r="P146" s="2075"/>
      <c r="Q146" s="3531"/>
      <c r="R146" s="3516"/>
      <c r="S146" s="3531">
        <v>25000000</v>
      </c>
      <c r="T146" s="3531" t="s">
        <v>5336</v>
      </c>
      <c r="U146" s="3119"/>
      <c r="V146" s="3531">
        <v>2</v>
      </c>
      <c r="W146" s="3531" t="s">
        <v>5341</v>
      </c>
      <c r="X146" s="3531" t="s">
        <v>5338</v>
      </c>
      <c r="Y146" s="3563">
        <f t="shared" ref="Y146:Y155" si="15">SUM(S146*V146)/1000</f>
        <v>50000</v>
      </c>
      <c r="Z146" s="308"/>
      <c r="AA146" s="2033"/>
      <c r="AB146" s="2033"/>
      <c r="AC146" s="669"/>
    </row>
    <row r="147" spans="1:29" s="479" customFormat="1" ht="23.25" customHeight="1">
      <c r="A147" s="1931"/>
      <c r="B147" s="630"/>
      <c r="C147" s="548"/>
      <c r="D147" s="505"/>
      <c r="E147" s="2023"/>
      <c r="F147" s="469"/>
      <c r="G147" s="2029"/>
      <c r="H147" s="470"/>
      <c r="I147" s="2014"/>
      <c r="J147" s="3530" t="s">
        <v>5351</v>
      </c>
      <c r="K147" s="3527"/>
      <c r="L147" s="3527"/>
      <c r="M147" s="3527"/>
      <c r="N147" s="2075"/>
      <c r="O147" s="2075"/>
      <c r="P147" s="2075"/>
      <c r="Q147" s="3531"/>
      <c r="R147" s="3516"/>
      <c r="S147" s="3531">
        <v>16250000</v>
      </c>
      <c r="T147" s="3531" t="s">
        <v>5336</v>
      </c>
      <c r="U147" s="3119"/>
      <c r="V147" s="3531">
        <v>2</v>
      </c>
      <c r="W147" s="3531" t="s">
        <v>5341</v>
      </c>
      <c r="X147" s="3531" t="s">
        <v>5338</v>
      </c>
      <c r="Y147" s="3563">
        <f t="shared" si="15"/>
        <v>32500</v>
      </c>
      <c r="Z147" s="308"/>
      <c r="AA147" s="2033"/>
      <c r="AB147" s="2033"/>
      <c r="AC147" s="669"/>
    </row>
    <row r="148" spans="1:29" s="479" customFormat="1" ht="23.25" customHeight="1">
      <c r="A148" s="1931"/>
      <c r="B148" s="630"/>
      <c r="C148" s="548"/>
      <c r="D148" s="505"/>
      <c r="E148" s="2023"/>
      <c r="F148" s="469"/>
      <c r="G148" s="2029"/>
      <c r="H148" s="470"/>
      <c r="I148" s="2014"/>
      <c r="J148" s="3530" t="s">
        <v>5352</v>
      </c>
      <c r="K148" s="3527"/>
      <c r="L148" s="3527"/>
      <c r="M148" s="3527"/>
      <c r="N148" s="2075"/>
      <c r="O148" s="2075"/>
      <c r="P148" s="2075"/>
      <c r="Q148" s="3531"/>
      <c r="R148" s="3516"/>
      <c r="S148" s="3531">
        <v>5470000</v>
      </c>
      <c r="T148" s="3531" t="s">
        <v>5336</v>
      </c>
      <c r="U148" s="3119"/>
      <c r="V148" s="3531">
        <v>2</v>
      </c>
      <c r="W148" s="3531" t="s">
        <v>5341</v>
      </c>
      <c r="X148" s="3531" t="s">
        <v>5338</v>
      </c>
      <c r="Y148" s="3563">
        <f t="shared" si="15"/>
        <v>10940</v>
      </c>
      <c r="Z148" s="308"/>
      <c r="AA148" s="2033"/>
      <c r="AB148" s="2033"/>
      <c r="AC148" s="669"/>
    </row>
    <row r="149" spans="1:29" s="479" customFormat="1" ht="23.25" customHeight="1">
      <c r="A149" s="1931"/>
      <c r="B149" s="630"/>
      <c r="C149" s="548"/>
      <c r="D149" s="505"/>
      <c r="E149" s="2023"/>
      <c r="F149" s="469"/>
      <c r="G149" s="2029"/>
      <c r="H149" s="470"/>
      <c r="I149" s="2014"/>
      <c r="J149" s="3530" t="s">
        <v>5353</v>
      </c>
      <c r="K149" s="3527"/>
      <c r="L149" s="3527"/>
      <c r="M149" s="3527"/>
      <c r="N149" s="2075"/>
      <c r="O149" s="2075"/>
      <c r="P149" s="2075"/>
      <c r="Q149" s="3531"/>
      <c r="R149" s="3516"/>
      <c r="S149" s="3531">
        <v>10000000</v>
      </c>
      <c r="T149" s="3531" t="s">
        <v>5336</v>
      </c>
      <c r="U149" s="3119"/>
      <c r="V149" s="3531">
        <v>2</v>
      </c>
      <c r="W149" s="3531" t="s">
        <v>5341</v>
      </c>
      <c r="X149" s="3531" t="s">
        <v>5338</v>
      </c>
      <c r="Y149" s="3563">
        <f t="shared" si="15"/>
        <v>20000</v>
      </c>
      <c r="Z149" s="308"/>
      <c r="AA149" s="2033"/>
      <c r="AB149" s="2033"/>
      <c r="AC149" s="669"/>
    </row>
    <row r="150" spans="1:29" s="479" customFormat="1" ht="23.25" customHeight="1">
      <c r="A150" s="1931"/>
      <c r="B150" s="630"/>
      <c r="C150" s="548"/>
      <c r="D150" s="505"/>
      <c r="E150" s="2023"/>
      <c r="F150" s="469"/>
      <c r="G150" s="2029"/>
      <c r="H150" s="470"/>
      <c r="I150" s="2014"/>
      <c r="J150" s="3530" t="s">
        <v>5354</v>
      </c>
      <c r="K150" s="3527"/>
      <c r="L150" s="3527"/>
      <c r="M150" s="3527"/>
      <c r="N150" s="2075"/>
      <c r="O150" s="2075"/>
      <c r="P150" s="2075"/>
      <c r="Q150" s="3531"/>
      <c r="R150" s="3516"/>
      <c r="S150" s="3531">
        <v>4000000</v>
      </c>
      <c r="T150" s="3531" t="s">
        <v>5336</v>
      </c>
      <c r="U150" s="3119"/>
      <c r="V150" s="3531">
        <v>2</v>
      </c>
      <c r="W150" s="3531" t="s">
        <v>5341</v>
      </c>
      <c r="X150" s="3531" t="s">
        <v>5338</v>
      </c>
      <c r="Y150" s="3563">
        <f t="shared" si="15"/>
        <v>8000</v>
      </c>
      <c r="Z150" s="308"/>
      <c r="AA150" s="2033"/>
      <c r="AB150" s="2033"/>
      <c r="AC150" s="669"/>
    </row>
    <row r="151" spans="1:29" s="479" customFormat="1" ht="23.25" customHeight="1">
      <c r="A151" s="1931"/>
      <c r="B151" s="630"/>
      <c r="C151" s="548"/>
      <c r="D151" s="505"/>
      <c r="E151" s="2023"/>
      <c r="F151" s="469"/>
      <c r="G151" s="2029"/>
      <c r="H151" s="470"/>
      <c r="I151" s="2014"/>
      <c r="J151" s="3530" t="s">
        <v>5355</v>
      </c>
      <c r="K151" s="3527"/>
      <c r="L151" s="3527"/>
      <c r="M151" s="3527"/>
      <c r="N151" s="2075"/>
      <c r="O151" s="2075"/>
      <c r="P151" s="2075"/>
      <c r="Q151" s="3531"/>
      <c r="R151" s="3516"/>
      <c r="S151" s="3531">
        <v>14501000</v>
      </c>
      <c r="T151" s="3531" t="s">
        <v>5336</v>
      </c>
      <c r="U151" s="3119"/>
      <c r="V151" s="3531">
        <v>1</v>
      </c>
      <c r="W151" s="3531" t="s">
        <v>5337</v>
      </c>
      <c r="X151" s="3531" t="s">
        <v>5338</v>
      </c>
      <c r="Y151" s="3563">
        <f t="shared" si="15"/>
        <v>14501</v>
      </c>
      <c r="Z151" s="308"/>
      <c r="AA151" s="2033"/>
      <c r="AB151" s="2033"/>
      <c r="AC151" s="669"/>
    </row>
    <row r="152" spans="1:29" s="479" customFormat="1" ht="23.25" customHeight="1">
      <c r="A152" s="1931"/>
      <c r="B152" s="630"/>
      <c r="C152" s="548"/>
      <c r="D152" s="505"/>
      <c r="E152" s="2023"/>
      <c r="F152" s="469"/>
      <c r="G152" s="2029"/>
      <c r="H152" s="470"/>
      <c r="I152" s="2014"/>
      <c r="J152" s="3530" t="s">
        <v>5356</v>
      </c>
      <c r="K152" s="3527"/>
      <c r="L152" s="3527"/>
      <c r="M152" s="3527"/>
      <c r="N152" s="2075"/>
      <c r="O152" s="2075"/>
      <c r="P152" s="2075"/>
      <c r="Q152" s="3531"/>
      <c r="R152" s="3516"/>
      <c r="S152" s="3531">
        <v>5000000</v>
      </c>
      <c r="T152" s="3531" t="s">
        <v>5336</v>
      </c>
      <c r="U152" s="3119"/>
      <c r="V152" s="3531">
        <v>2</v>
      </c>
      <c r="W152" s="3531" t="s">
        <v>5341</v>
      </c>
      <c r="X152" s="3531" t="s">
        <v>5338</v>
      </c>
      <c r="Y152" s="3563">
        <f t="shared" si="15"/>
        <v>10000</v>
      </c>
      <c r="Z152" s="308"/>
      <c r="AA152" s="2033"/>
      <c r="AB152" s="2033"/>
      <c r="AC152" s="669"/>
    </row>
    <row r="153" spans="1:29" s="479" customFormat="1" ht="23.25" customHeight="1">
      <c r="A153" s="1931"/>
      <c r="B153" s="630"/>
      <c r="C153" s="548"/>
      <c r="D153" s="505"/>
      <c r="E153" s="2023"/>
      <c r="F153" s="469"/>
      <c r="G153" s="2029"/>
      <c r="H153" s="470"/>
      <c r="I153" s="2014"/>
      <c r="J153" s="3530" t="s">
        <v>5357</v>
      </c>
      <c r="K153" s="3527"/>
      <c r="L153" s="3527"/>
      <c r="M153" s="3527"/>
      <c r="N153" s="2075"/>
      <c r="O153" s="2075"/>
      <c r="P153" s="2075"/>
      <c r="Q153" s="3531"/>
      <c r="R153" s="3516"/>
      <c r="S153" s="3531">
        <v>4000000</v>
      </c>
      <c r="T153" s="3531" t="s">
        <v>5336</v>
      </c>
      <c r="U153" s="3119"/>
      <c r="V153" s="3531">
        <v>2</v>
      </c>
      <c r="W153" s="3531" t="s">
        <v>5341</v>
      </c>
      <c r="X153" s="3531" t="s">
        <v>5338</v>
      </c>
      <c r="Y153" s="3563">
        <f t="shared" si="15"/>
        <v>8000</v>
      </c>
      <c r="Z153" s="308"/>
      <c r="AA153" s="2033"/>
      <c r="AB153" s="2033"/>
      <c r="AC153" s="669"/>
    </row>
    <row r="154" spans="1:29" ht="23.25" customHeight="1">
      <c r="A154" s="1931"/>
      <c r="B154" s="630"/>
      <c r="C154" s="548"/>
      <c r="D154" s="505"/>
      <c r="E154" s="2023" t="s">
        <v>258</v>
      </c>
      <c r="F154" s="469">
        <f>+Y154</f>
        <v>14350</v>
      </c>
      <c r="G154" s="2029">
        <v>7000</v>
      </c>
      <c r="H154" s="470">
        <f t="shared" si="14"/>
        <v>7350</v>
      </c>
      <c r="I154" s="2014"/>
      <c r="J154" s="3530" t="s">
        <v>5359</v>
      </c>
      <c r="K154" s="3527"/>
      <c r="L154" s="3527"/>
      <c r="M154" s="3527"/>
      <c r="N154" s="2075"/>
      <c r="O154" s="2075"/>
      <c r="P154" s="2075"/>
      <c r="Q154" s="3531"/>
      <c r="R154" s="3516"/>
      <c r="S154" s="3531">
        <v>3587500</v>
      </c>
      <c r="T154" s="3531" t="s">
        <v>5360</v>
      </c>
      <c r="U154" s="3119"/>
      <c r="V154" s="3531">
        <v>4</v>
      </c>
      <c r="W154" s="3531" t="s">
        <v>5361</v>
      </c>
      <c r="X154" s="3531" t="s">
        <v>5362</v>
      </c>
      <c r="Y154" s="3563">
        <f t="shared" si="15"/>
        <v>14350</v>
      </c>
      <c r="Z154" s="308"/>
      <c r="AA154" s="2033"/>
      <c r="AB154" s="2033"/>
      <c r="AC154" s="669"/>
    </row>
    <row r="155" spans="1:29" ht="23.25" customHeight="1">
      <c r="A155" s="3389"/>
      <c r="B155" s="2035"/>
      <c r="C155" s="548"/>
      <c r="D155" s="2020"/>
      <c r="E155" s="2023" t="s">
        <v>649</v>
      </c>
      <c r="F155" s="469">
        <f>+Y155</f>
        <v>1600</v>
      </c>
      <c r="G155" s="2029">
        <v>1600</v>
      </c>
      <c r="H155" s="470"/>
      <c r="I155" s="2014"/>
      <c r="J155" s="3530" t="s">
        <v>5363</v>
      </c>
      <c r="K155" s="3527"/>
      <c r="L155" s="3527"/>
      <c r="M155" s="3527"/>
      <c r="N155" s="2075"/>
      <c r="O155" s="2075"/>
      <c r="P155" s="2075"/>
      <c r="Q155" s="3531"/>
      <c r="R155" s="3516"/>
      <c r="S155" s="556">
        <v>800000</v>
      </c>
      <c r="T155" s="3531" t="s">
        <v>5360</v>
      </c>
      <c r="U155" s="3531"/>
      <c r="V155" s="3531">
        <v>2</v>
      </c>
      <c r="W155" s="3531" t="s">
        <v>5364</v>
      </c>
      <c r="X155" s="3531" t="s">
        <v>5362</v>
      </c>
      <c r="Y155" s="3563">
        <f t="shared" si="15"/>
        <v>1600</v>
      </c>
      <c r="Z155" s="308"/>
      <c r="AA155" s="2033"/>
      <c r="AB155" s="2033"/>
      <c r="AC155" s="669"/>
    </row>
    <row r="156" spans="1:29" ht="23.25" customHeight="1">
      <c r="A156" s="3389"/>
      <c r="B156" s="2035"/>
      <c r="C156" s="548"/>
      <c r="D156" s="2020"/>
      <c r="E156" s="2023" t="s">
        <v>394</v>
      </c>
      <c r="F156" s="469">
        <f>+Y156</f>
        <v>4294</v>
      </c>
      <c r="G156" s="2029">
        <v>2200</v>
      </c>
      <c r="H156" s="470">
        <f t="shared" si="14"/>
        <v>2094</v>
      </c>
      <c r="I156" s="2014"/>
      <c r="J156" s="3530" t="s">
        <v>5365</v>
      </c>
      <c r="K156" s="3527"/>
      <c r="L156" s="3527"/>
      <c r="M156" s="3527"/>
      <c r="N156" s="2075"/>
      <c r="O156" s="2075"/>
      <c r="P156" s="2075"/>
      <c r="Q156" s="3531"/>
      <c r="R156" s="3516"/>
      <c r="S156" s="556">
        <v>2147000</v>
      </c>
      <c r="T156" s="3531" t="s">
        <v>5360</v>
      </c>
      <c r="U156" s="3531" t="s">
        <v>5366</v>
      </c>
      <c r="V156" s="3531">
        <v>2</v>
      </c>
      <c r="W156" s="3531" t="s">
        <v>5361</v>
      </c>
      <c r="X156" s="3531" t="s">
        <v>5362</v>
      </c>
      <c r="Y156" s="3563">
        <f>SUM(S156*V156)/1000</f>
        <v>4294</v>
      </c>
      <c r="Z156" s="308"/>
      <c r="AA156" s="2033"/>
      <c r="AB156" s="2033"/>
      <c r="AC156" s="669"/>
    </row>
    <row r="157" spans="1:29" ht="23.25" customHeight="1">
      <c r="A157" s="3389"/>
      <c r="B157" s="2035"/>
      <c r="C157" s="548"/>
      <c r="D157" s="2020"/>
      <c r="E157" s="1370" t="s">
        <v>242</v>
      </c>
      <c r="F157" s="469">
        <f>+Y157</f>
        <v>280</v>
      </c>
      <c r="G157" s="613">
        <v>400</v>
      </c>
      <c r="H157" s="470">
        <f t="shared" si="14"/>
        <v>-120</v>
      </c>
      <c r="I157" s="2014"/>
      <c r="J157" s="2960" t="s">
        <v>5367</v>
      </c>
      <c r="K157" s="3517"/>
      <c r="L157" s="3517"/>
      <c r="M157" s="3517"/>
      <c r="N157" s="2065"/>
      <c r="O157" s="2065"/>
      <c r="P157" s="2065"/>
      <c r="Q157" s="618"/>
      <c r="R157" s="616"/>
      <c r="S157" s="615">
        <v>140000</v>
      </c>
      <c r="T157" s="618" t="s">
        <v>5368</v>
      </c>
      <c r="U157" s="618"/>
      <c r="V157" s="618">
        <v>2</v>
      </c>
      <c r="W157" s="618" t="s">
        <v>5369</v>
      </c>
      <c r="X157" s="618" t="s">
        <v>5370</v>
      </c>
      <c r="Y157" s="3564">
        <f>SUM(S157*V157)/1000</f>
        <v>280</v>
      </c>
      <c r="Z157" s="308"/>
      <c r="AA157" s="2033"/>
      <c r="AB157" s="2033"/>
      <c r="AC157" s="669"/>
    </row>
    <row r="158" spans="1:29" s="479" customFormat="1" ht="23.25" customHeight="1">
      <c r="A158" s="1931"/>
      <c r="B158" s="630"/>
      <c r="C158" s="3825" t="s">
        <v>2487</v>
      </c>
      <c r="D158" s="3924"/>
      <c r="E158" s="3826"/>
      <c r="F158" s="664">
        <f>F159+F190</f>
        <v>165000</v>
      </c>
      <c r="G158" s="664">
        <f>G159+G190</f>
        <v>165000</v>
      </c>
      <c r="H158" s="513">
        <f>F158-G158</f>
        <v>0</v>
      </c>
      <c r="I158" s="471"/>
      <c r="J158" s="665"/>
      <c r="K158" s="1963"/>
      <c r="L158" s="1963"/>
      <c r="M158" s="1963"/>
      <c r="N158" s="1963"/>
      <c r="O158" s="1963"/>
      <c r="P158" s="645"/>
      <c r="Q158" s="1963"/>
      <c r="R158" s="651"/>
      <c r="S158" s="645"/>
      <c r="T158" s="1963"/>
      <c r="U158" s="1963"/>
      <c r="V158" s="645"/>
      <c r="W158" s="1963"/>
      <c r="X158" s="1963"/>
      <c r="Y158" s="1365"/>
      <c r="Z158" s="308">
        <f t="shared" ref="Z158:Z206" si="16">ROUNDUP(S158*V158,-3)</f>
        <v>0</v>
      </c>
      <c r="AA158" s="2033"/>
      <c r="AB158" s="2033"/>
      <c r="AC158" s="669"/>
    </row>
    <row r="159" spans="1:29" s="479" customFormat="1" ht="23.25" customHeight="1">
      <c r="A159" s="1931"/>
      <c r="B159" s="630"/>
      <c r="C159" s="745"/>
      <c r="D159" s="3825" t="s">
        <v>665</v>
      </c>
      <c r="E159" s="3826"/>
      <c r="F159" s="664">
        <f>SUM(F160:F189)</f>
        <v>120000</v>
      </c>
      <c r="G159" s="598">
        <f>SUM(G160:G189)</f>
        <v>120000</v>
      </c>
      <c r="H159" s="513">
        <f>F159-G159</f>
        <v>0</v>
      </c>
      <c r="I159" s="471"/>
      <c r="J159" s="665"/>
      <c r="K159" s="1963"/>
      <c r="L159" s="1963"/>
      <c r="M159" s="1963"/>
      <c r="N159" s="1963"/>
      <c r="O159" s="1963"/>
      <c r="P159" s="645"/>
      <c r="Q159" s="1963"/>
      <c r="R159" s="651"/>
      <c r="S159" s="645"/>
      <c r="T159" s="1963"/>
      <c r="U159" s="1963"/>
      <c r="V159" s="645"/>
      <c r="W159" s="1963"/>
      <c r="X159" s="1363"/>
      <c r="Y159" s="667"/>
      <c r="Z159" s="308">
        <f t="shared" si="16"/>
        <v>0</v>
      </c>
      <c r="AA159" s="2033"/>
      <c r="AB159" s="2033"/>
      <c r="AC159" s="669"/>
    </row>
    <row r="160" spans="1:29" s="479" customFormat="1" ht="23.25" customHeight="1">
      <c r="A160" s="1931"/>
      <c r="B160" s="630"/>
      <c r="C160" s="548"/>
      <c r="D160" s="505"/>
      <c r="E160" s="535" t="s">
        <v>278</v>
      </c>
      <c r="F160" s="469">
        <f>+Y160</f>
        <v>23036</v>
      </c>
      <c r="G160" s="550">
        <v>23036</v>
      </c>
      <c r="H160" s="655"/>
      <c r="I160" s="471"/>
      <c r="J160" s="1947" t="s">
        <v>224</v>
      </c>
      <c r="K160" s="1366"/>
      <c r="L160" s="1366"/>
      <c r="M160" s="1946"/>
      <c r="N160" s="1934"/>
      <c r="O160" s="1934"/>
      <c r="P160" s="1934"/>
      <c r="Q160" s="1965"/>
      <c r="R160" s="1948"/>
      <c r="S160" s="1965"/>
      <c r="T160" s="1965"/>
      <c r="V160" s="1965"/>
      <c r="W160" s="1965"/>
      <c r="X160" s="1965"/>
      <c r="Y160" s="483">
        <f>SUM(Y161:Y162)</f>
        <v>23036</v>
      </c>
      <c r="Z160" s="308">
        <f t="shared" si="16"/>
        <v>0</v>
      </c>
      <c r="AA160" s="2033"/>
      <c r="AB160" s="2033"/>
      <c r="AC160" s="669"/>
    </row>
    <row r="161" spans="1:30" s="479" customFormat="1" ht="23.25" customHeight="1">
      <c r="A161" s="1931"/>
      <c r="B161" s="630"/>
      <c r="C161" s="548"/>
      <c r="D161" s="505"/>
      <c r="E161" s="535"/>
      <c r="F161" s="469"/>
      <c r="G161" s="550"/>
      <c r="H161" s="655"/>
      <c r="I161" s="471"/>
      <c r="J161" s="1964" t="s">
        <v>1763</v>
      </c>
      <c r="K161" s="1965"/>
      <c r="L161" s="1965"/>
      <c r="M161" s="1965"/>
      <c r="N161" s="1965"/>
      <c r="O161" s="1934"/>
      <c r="P161" s="1934"/>
      <c r="Q161" s="1965">
        <v>1</v>
      </c>
      <c r="R161" s="1948" t="s">
        <v>227</v>
      </c>
      <c r="S161" s="1965">
        <v>1850000</v>
      </c>
      <c r="T161" s="1965" t="s">
        <v>0</v>
      </c>
      <c r="V161" s="1965">
        <v>11</v>
      </c>
      <c r="W161" s="1965" t="s">
        <v>29</v>
      </c>
      <c r="X161" s="1965" t="s">
        <v>1</v>
      </c>
      <c r="Y161" s="483">
        <f>Q161*V161*S161/1000</f>
        <v>20350</v>
      </c>
      <c r="Z161" s="308">
        <f t="shared" si="16"/>
        <v>20350000</v>
      </c>
      <c r="AA161" s="2033"/>
      <c r="AB161" s="2033"/>
      <c r="AC161" s="669"/>
    </row>
    <row r="162" spans="1:30" s="479" customFormat="1" ht="23.25" customHeight="1">
      <c r="A162" s="1931"/>
      <c r="B162" s="630"/>
      <c r="C162" s="548"/>
      <c r="D162" s="505"/>
      <c r="E162" s="535"/>
      <c r="F162" s="469"/>
      <c r="G162" s="550"/>
      <c r="H162" s="655"/>
      <c r="I162" s="471"/>
      <c r="J162" s="1964" t="s">
        <v>1764</v>
      </c>
      <c r="K162" s="1965"/>
      <c r="L162" s="1965"/>
      <c r="M162" s="1965"/>
      <c r="N162" s="1965"/>
      <c r="O162" s="1934"/>
      <c r="P162" s="1934"/>
      <c r="Q162" s="1965"/>
      <c r="R162" s="1948"/>
      <c r="S162" s="1965">
        <v>20350000</v>
      </c>
      <c r="T162" s="1965" t="s">
        <v>0</v>
      </c>
      <c r="V162" s="1367">
        <v>13.199017199017199</v>
      </c>
      <c r="W162" s="1965" t="s">
        <v>105</v>
      </c>
      <c r="X162" s="1965" t="s">
        <v>1</v>
      </c>
      <c r="Y162" s="483">
        <f>(S162*V162/100)/1000</f>
        <v>2686</v>
      </c>
      <c r="Z162" s="308">
        <f t="shared" si="16"/>
        <v>268600000</v>
      </c>
      <c r="AA162" s="2033"/>
      <c r="AB162" s="2033"/>
      <c r="AC162" s="669"/>
      <c r="AD162" s="3465"/>
    </row>
    <row r="163" spans="1:30" s="479" customFormat="1" ht="23.25" customHeight="1">
      <c r="A163" s="1931"/>
      <c r="B163" s="630"/>
      <c r="C163" s="548"/>
      <c r="D163" s="505"/>
      <c r="E163" s="535" t="s">
        <v>647</v>
      </c>
      <c r="F163" s="469">
        <f>+Y163</f>
        <v>17000</v>
      </c>
      <c r="G163" s="550">
        <v>17000</v>
      </c>
      <c r="H163" s="655"/>
      <c r="I163" s="471"/>
      <c r="J163" s="1964" t="s">
        <v>224</v>
      </c>
      <c r="K163" s="1946"/>
      <c r="L163" s="1946"/>
      <c r="M163" s="1946"/>
      <c r="N163" s="1934"/>
      <c r="O163" s="1934"/>
      <c r="P163" s="1934"/>
      <c r="Q163" s="1965"/>
      <c r="R163" s="1948"/>
      <c r="S163" s="1948" t="s">
        <v>265</v>
      </c>
      <c r="T163" s="1965" t="s">
        <v>265</v>
      </c>
      <c r="U163" s="1965" t="s">
        <v>265</v>
      </c>
      <c r="V163" s="1965" t="s">
        <v>265</v>
      </c>
      <c r="W163" s="1965" t="s">
        <v>265</v>
      </c>
      <c r="X163" s="1965" t="s">
        <v>265</v>
      </c>
      <c r="Y163" s="483">
        <f>SUM(Y164:Y168)</f>
        <v>17000</v>
      </c>
      <c r="Z163" s="308"/>
      <c r="AA163" s="2033"/>
      <c r="AB163" s="2033"/>
      <c r="AC163" s="669"/>
    </row>
    <row r="164" spans="1:30" ht="23.25" customHeight="1">
      <c r="A164" s="1931"/>
      <c r="B164" s="630"/>
      <c r="C164" s="548"/>
      <c r="D164" s="505"/>
      <c r="E164" s="535"/>
      <c r="F164" s="469"/>
      <c r="G164" s="550"/>
      <c r="H164" s="655"/>
      <c r="I164" s="471"/>
      <c r="J164" s="1964" t="s">
        <v>1765</v>
      </c>
      <c r="K164" s="1946"/>
      <c r="L164" s="1946"/>
      <c r="M164" s="1946"/>
      <c r="N164" s="1934"/>
      <c r="O164" s="1934"/>
      <c r="P164" s="1934"/>
      <c r="Q164" s="1965">
        <v>500</v>
      </c>
      <c r="R164" s="1965" t="s">
        <v>244</v>
      </c>
      <c r="S164" s="1965">
        <v>5000</v>
      </c>
      <c r="T164" s="1965" t="s">
        <v>37</v>
      </c>
      <c r="U164" s="479"/>
      <c r="V164" s="1965">
        <v>3</v>
      </c>
      <c r="W164" s="1965" t="s">
        <v>579</v>
      </c>
      <c r="X164" s="1965" t="s">
        <v>38</v>
      </c>
      <c r="Y164" s="483">
        <f t="shared" ref="Y164:Y168" si="17">+V164*S164*Q164/1000</f>
        <v>7500</v>
      </c>
      <c r="Z164" s="308">
        <f t="shared" si="16"/>
        <v>15000</v>
      </c>
      <c r="AA164" s="2033"/>
      <c r="AB164" s="2033"/>
      <c r="AC164" s="669"/>
    </row>
    <row r="165" spans="1:30" s="479" customFormat="1" ht="23.25" customHeight="1">
      <c r="A165" s="1931"/>
      <c r="B165" s="630"/>
      <c r="C165" s="548"/>
      <c r="D165" s="505"/>
      <c r="E165" s="535"/>
      <c r="F165" s="469"/>
      <c r="G165" s="550"/>
      <c r="H165" s="655"/>
      <c r="I165" s="471"/>
      <c r="J165" s="1964" t="s">
        <v>1766</v>
      </c>
      <c r="K165" s="1946"/>
      <c r="L165" s="1946"/>
      <c r="M165" s="1946"/>
      <c r="N165" s="1934"/>
      <c r="O165" s="1934"/>
      <c r="P165" s="1934"/>
      <c r="Q165" s="1965">
        <v>300</v>
      </c>
      <c r="R165" s="1965" t="s">
        <v>244</v>
      </c>
      <c r="S165" s="1965">
        <v>5000</v>
      </c>
      <c r="T165" s="1965" t="s">
        <v>37</v>
      </c>
      <c r="V165" s="1965">
        <v>2</v>
      </c>
      <c r="W165" s="1965" t="s">
        <v>579</v>
      </c>
      <c r="X165" s="1965" t="s">
        <v>38</v>
      </c>
      <c r="Y165" s="483">
        <f t="shared" si="17"/>
        <v>3000</v>
      </c>
      <c r="Z165" s="308">
        <f t="shared" si="16"/>
        <v>10000</v>
      </c>
      <c r="AA165" s="2033"/>
      <c r="AB165" s="2033"/>
      <c r="AC165" s="669"/>
    </row>
    <row r="166" spans="1:30" s="479" customFormat="1" ht="23.25" customHeight="1">
      <c r="A166" s="1931"/>
      <c r="B166" s="630"/>
      <c r="C166" s="548"/>
      <c r="D166" s="505"/>
      <c r="E166" s="535"/>
      <c r="F166" s="469"/>
      <c r="G166" s="550"/>
      <c r="H166" s="655"/>
      <c r="I166" s="471"/>
      <c r="J166" s="1964" t="s">
        <v>1767</v>
      </c>
      <c r="K166" s="1946"/>
      <c r="L166" s="1946"/>
      <c r="M166" s="1946"/>
      <c r="N166" s="1934"/>
      <c r="O166" s="1934"/>
      <c r="P166" s="1934"/>
      <c r="Q166" s="1965">
        <v>200</v>
      </c>
      <c r="R166" s="1965" t="s">
        <v>244</v>
      </c>
      <c r="S166" s="1965">
        <v>5000</v>
      </c>
      <c r="T166" s="1965" t="s">
        <v>37</v>
      </c>
      <c r="V166" s="1965">
        <v>1</v>
      </c>
      <c r="W166" s="1965" t="s">
        <v>579</v>
      </c>
      <c r="X166" s="1965" t="s">
        <v>38</v>
      </c>
      <c r="Y166" s="483">
        <f t="shared" si="17"/>
        <v>1000</v>
      </c>
      <c r="Z166" s="308">
        <f t="shared" si="16"/>
        <v>5000</v>
      </c>
      <c r="AA166" s="2033"/>
      <c r="AB166" s="2033"/>
      <c r="AC166" s="669"/>
    </row>
    <row r="167" spans="1:30" s="479" customFormat="1" ht="23.25" customHeight="1">
      <c r="A167" s="1931"/>
      <c r="B167" s="630"/>
      <c r="C167" s="548"/>
      <c r="D167" s="505"/>
      <c r="E167" s="535"/>
      <c r="F167" s="469"/>
      <c r="G167" s="550"/>
      <c r="H167" s="655"/>
      <c r="I167" s="471"/>
      <c r="J167" s="3868" t="s">
        <v>1768</v>
      </c>
      <c r="K167" s="3869"/>
      <c r="L167" s="3869"/>
      <c r="M167" s="3869"/>
      <c r="N167" s="3869"/>
      <c r="O167" s="1934"/>
      <c r="P167" s="1934"/>
      <c r="Q167" s="1965">
        <v>10000</v>
      </c>
      <c r="R167" s="1965" t="s">
        <v>244</v>
      </c>
      <c r="S167" s="1965">
        <v>400</v>
      </c>
      <c r="T167" s="1965" t="s">
        <v>37</v>
      </c>
      <c r="V167" s="1965">
        <v>1</v>
      </c>
      <c r="W167" s="1965" t="s">
        <v>226</v>
      </c>
      <c r="X167" s="1965" t="s">
        <v>38</v>
      </c>
      <c r="Y167" s="483">
        <f t="shared" si="17"/>
        <v>4000</v>
      </c>
      <c r="Z167" s="308">
        <f t="shared" si="16"/>
        <v>1000</v>
      </c>
      <c r="AA167" s="2033"/>
      <c r="AB167" s="2033"/>
      <c r="AC167" s="669"/>
    </row>
    <row r="168" spans="1:30" s="479" customFormat="1" ht="23.25" customHeight="1">
      <c r="A168" s="1931"/>
      <c r="B168" s="630"/>
      <c r="C168" s="548"/>
      <c r="D168" s="505"/>
      <c r="E168" s="535"/>
      <c r="F168" s="469"/>
      <c r="G168" s="550"/>
      <c r="H168" s="655"/>
      <c r="I168" s="471"/>
      <c r="J168" s="3868" t="s">
        <v>1769</v>
      </c>
      <c r="K168" s="3869"/>
      <c r="L168" s="3869"/>
      <c r="M168" s="3869"/>
      <c r="N168" s="3869"/>
      <c r="O168" s="1934"/>
      <c r="P168" s="1934"/>
      <c r="Q168" s="1965">
        <v>300</v>
      </c>
      <c r="R168" s="1965" t="s">
        <v>244</v>
      </c>
      <c r="S168" s="1965">
        <v>5000</v>
      </c>
      <c r="T168" s="1965" t="s">
        <v>37</v>
      </c>
      <c r="V168" s="1965">
        <v>1</v>
      </c>
      <c r="W168" s="1965" t="s">
        <v>226</v>
      </c>
      <c r="X168" s="1965" t="s">
        <v>38</v>
      </c>
      <c r="Y168" s="483">
        <f t="shared" si="17"/>
        <v>1500</v>
      </c>
      <c r="Z168" s="308">
        <f t="shared" si="16"/>
        <v>5000</v>
      </c>
      <c r="AA168" s="2033"/>
      <c r="AB168" s="2033"/>
      <c r="AC168" s="669"/>
    </row>
    <row r="169" spans="1:30" s="479" customFormat="1" ht="23.25" customHeight="1">
      <c r="A169" s="1931"/>
      <c r="B169" s="630"/>
      <c r="C169" s="548"/>
      <c r="D169" s="505"/>
      <c r="E169" s="535" t="s">
        <v>648</v>
      </c>
      <c r="F169" s="469">
        <f>Y169</f>
        <v>19600</v>
      </c>
      <c r="G169" s="550">
        <v>19600</v>
      </c>
      <c r="H169" s="655"/>
      <c r="I169" s="471"/>
      <c r="J169" s="1964" t="s">
        <v>224</v>
      </c>
      <c r="K169" s="1946"/>
      <c r="L169" s="1946"/>
      <c r="M169" s="1946"/>
      <c r="N169" s="1934"/>
      <c r="O169" s="1934"/>
      <c r="P169" s="1934"/>
      <c r="Q169" s="1965"/>
      <c r="R169" s="1948"/>
      <c r="S169" s="1965"/>
      <c r="T169" s="1965"/>
      <c r="V169" s="1965"/>
      <c r="W169" s="1965"/>
      <c r="X169" s="1965"/>
      <c r="Y169" s="483">
        <f>+SUM(Y170:Y174)</f>
        <v>19600</v>
      </c>
      <c r="Z169" s="308">
        <f t="shared" si="16"/>
        <v>0</v>
      </c>
      <c r="AA169" s="2033"/>
      <c r="AB169" s="2033"/>
      <c r="AC169" s="669"/>
    </row>
    <row r="170" spans="1:30" s="479" customFormat="1" ht="23.25" customHeight="1">
      <c r="A170" s="1931"/>
      <c r="B170" s="630"/>
      <c r="C170" s="548"/>
      <c r="D170" s="505"/>
      <c r="E170" s="535"/>
      <c r="F170" s="469"/>
      <c r="G170" s="550"/>
      <c r="H170" s="655"/>
      <c r="I170" s="471"/>
      <c r="J170" s="1964" t="s">
        <v>1770</v>
      </c>
      <c r="K170" s="1946"/>
      <c r="L170" s="1946"/>
      <c r="M170" s="1946"/>
      <c r="N170" s="1934"/>
      <c r="O170" s="1934"/>
      <c r="P170" s="1934"/>
      <c r="Q170" s="1965"/>
      <c r="R170" s="1948"/>
      <c r="S170" s="1965">
        <v>200000</v>
      </c>
      <c r="T170" s="1965" t="s">
        <v>37</v>
      </c>
      <c r="V170" s="1965">
        <v>40</v>
      </c>
      <c r="W170" s="1965" t="s">
        <v>233</v>
      </c>
      <c r="X170" s="1965" t="s">
        <v>38</v>
      </c>
      <c r="Y170" s="483">
        <f>+V170*S170/1000</f>
        <v>8000</v>
      </c>
      <c r="Z170" s="308">
        <f t="shared" si="16"/>
        <v>8000000</v>
      </c>
      <c r="AA170" s="2033"/>
      <c r="AB170" s="2033"/>
      <c r="AC170" s="669"/>
    </row>
    <row r="171" spans="1:30" s="479" customFormat="1" ht="23.25" customHeight="1">
      <c r="A171" s="1931"/>
      <c r="B171" s="630"/>
      <c r="C171" s="548"/>
      <c r="D171" s="505"/>
      <c r="E171" s="535"/>
      <c r="F171" s="469"/>
      <c r="G171" s="550"/>
      <c r="H171" s="655"/>
      <c r="I171" s="471"/>
      <c r="J171" s="1964" t="s">
        <v>1771</v>
      </c>
      <c r="K171" s="1946"/>
      <c r="L171" s="1946"/>
      <c r="M171" s="1946"/>
      <c r="N171" s="1934"/>
      <c r="O171" s="1934"/>
      <c r="P171" s="1934"/>
      <c r="Q171" s="1965"/>
      <c r="R171" s="1948"/>
      <c r="S171" s="1965">
        <v>200000</v>
      </c>
      <c r="T171" s="1965" t="s">
        <v>37</v>
      </c>
      <c r="V171" s="1965">
        <v>10</v>
      </c>
      <c r="W171" s="1965" t="s">
        <v>233</v>
      </c>
      <c r="X171" s="1965" t="s">
        <v>38</v>
      </c>
      <c r="Y171" s="483">
        <f>+V171*S171/1000</f>
        <v>2000</v>
      </c>
      <c r="Z171" s="308">
        <f t="shared" si="16"/>
        <v>2000000</v>
      </c>
      <c r="AA171" s="2033"/>
      <c r="AB171" s="2033"/>
      <c r="AC171" s="669"/>
    </row>
    <row r="172" spans="1:30" s="479" customFormat="1" ht="23.25" customHeight="1">
      <c r="A172" s="1931"/>
      <c r="B172" s="630"/>
      <c r="C172" s="548"/>
      <c r="D172" s="505"/>
      <c r="E172" s="535"/>
      <c r="F172" s="469"/>
      <c r="G172" s="550"/>
      <c r="H172" s="655"/>
      <c r="I172" s="471"/>
      <c r="J172" s="1964" t="s">
        <v>1772</v>
      </c>
      <c r="K172" s="1946"/>
      <c r="L172" s="1946"/>
      <c r="M172" s="1946"/>
      <c r="N172" s="1934"/>
      <c r="O172" s="1934"/>
      <c r="P172" s="1934"/>
      <c r="Q172" s="1965"/>
      <c r="R172" s="1948"/>
      <c r="S172" s="1965">
        <v>200000</v>
      </c>
      <c r="T172" s="1965" t="s">
        <v>37</v>
      </c>
      <c r="V172" s="1965">
        <v>8</v>
      </c>
      <c r="W172" s="1965" t="s">
        <v>233</v>
      </c>
      <c r="X172" s="1965" t="s">
        <v>38</v>
      </c>
      <c r="Y172" s="483">
        <f>+V172*S172/1000</f>
        <v>1600</v>
      </c>
      <c r="Z172" s="308">
        <f t="shared" si="16"/>
        <v>1600000</v>
      </c>
      <c r="AA172" s="2033"/>
      <c r="AB172" s="2033"/>
      <c r="AC172" s="669"/>
    </row>
    <row r="173" spans="1:30" s="479" customFormat="1" ht="23.25" customHeight="1">
      <c r="A173" s="1931"/>
      <c r="B173" s="630"/>
      <c r="C173" s="548"/>
      <c r="D173" s="505"/>
      <c r="E173" s="535"/>
      <c r="F173" s="469"/>
      <c r="G173" s="550"/>
      <c r="H173" s="655"/>
      <c r="I173" s="471"/>
      <c r="J173" s="3868" t="s">
        <v>1773</v>
      </c>
      <c r="K173" s="3869"/>
      <c r="L173" s="3869"/>
      <c r="M173" s="3869"/>
      <c r="N173" s="3869"/>
      <c r="O173" s="1934"/>
      <c r="P173" s="1934"/>
      <c r="Q173" s="1965"/>
      <c r="R173" s="1948"/>
      <c r="S173" s="1965">
        <v>100000</v>
      </c>
      <c r="T173" s="1965" t="s">
        <v>37</v>
      </c>
      <c r="V173" s="1965">
        <v>50</v>
      </c>
      <c r="W173" s="1965" t="s">
        <v>652</v>
      </c>
      <c r="X173" s="1965" t="s">
        <v>38</v>
      </c>
      <c r="Y173" s="483">
        <f>+V173*S173/1000</f>
        <v>5000</v>
      </c>
      <c r="Z173" s="308">
        <f t="shared" si="16"/>
        <v>5000000</v>
      </c>
      <c r="AA173" s="2033"/>
      <c r="AB173" s="2033"/>
      <c r="AC173" s="669"/>
    </row>
    <row r="174" spans="1:30" s="479" customFormat="1" ht="23.25" customHeight="1">
      <c r="A174" s="1931"/>
      <c r="B174" s="630"/>
      <c r="C174" s="548"/>
      <c r="D174" s="505"/>
      <c r="E174" s="535"/>
      <c r="F174" s="469"/>
      <c r="G174" s="550"/>
      <c r="H174" s="655"/>
      <c r="I174" s="471"/>
      <c r="J174" s="3868" t="s">
        <v>1774</v>
      </c>
      <c r="K174" s="3869"/>
      <c r="L174" s="3869"/>
      <c r="M174" s="3869"/>
      <c r="N174" s="3869"/>
      <c r="O174" s="1934"/>
      <c r="P174" s="1934"/>
      <c r="Q174" s="1965"/>
      <c r="R174" s="1948"/>
      <c r="S174" s="1965">
        <v>3000000</v>
      </c>
      <c r="T174" s="1965" t="s">
        <v>37</v>
      </c>
      <c r="V174" s="1965">
        <v>1</v>
      </c>
      <c r="W174" s="1965" t="s">
        <v>579</v>
      </c>
      <c r="X174" s="1965" t="s">
        <v>38</v>
      </c>
      <c r="Y174" s="483">
        <f>+V174*S174/1000</f>
        <v>3000</v>
      </c>
      <c r="Z174" s="308">
        <f t="shared" si="16"/>
        <v>3000000</v>
      </c>
      <c r="AA174" s="2033"/>
      <c r="AB174" s="2033"/>
      <c r="AC174" s="669"/>
    </row>
    <row r="175" spans="1:30" s="479" customFormat="1" ht="19.5" customHeight="1">
      <c r="A175" s="1931"/>
      <c r="B175" s="630"/>
      <c r="C175" s="548"/>
      <c r="D175" s="505"/>
      <c r="E175" s="535" t="s">
        <v>245</v>
      </c>
      <c r="F175" s="469">
        <f>Y175</f>
        <v>24000</v>
      </c>
      <c r="G175" s="550">
        <v>24000</v>
      </c>
      <c r="H175" s="655"/>
      <c r="I175" s="471"/>
      <c r="J175" s="1964" t="s">
        <v>375</v>
      </c>
      <c r="K175" s="1946"/>
      <c r="L175" s="1946"/>
      <c r="M175" s="1946"/>
      <c r="N175" s="1934"/>
      <c r="O175" s="1934"/>
      <c r="P175" s="1934"/>
      <c r="Q175" s="1965" t="s">
        <v>378</v>
      </c>
      <c r="R175" s="1948" t="s">
        <v>378</v>
      </c>
      <c r="S175" s="1965"/>
      <c r="T175" s="1965"/>
      <c r="V175" s="1965"/>
      <c r="W175" s="1965"/>
      <c r="X175" s="1965"/>
      <c r="Y175" s="483">
        <f>SUM(Y176:Y180)</f>
        <v>24000</v>
      </c>
      <c r="Z175" s="308">
        <f t="shared" si="16"/>
        <v>0</v>
      </c>
      <c r="AA175" s="2033"/>
      <c r="AB175" s="2033"/>
      <c r="AC175" s="669"/>
    </row>
    <row r="176" spans="1:30" ht="19.5" customHeight="1">
      <c r="A176" s="1931"/>
      <c r="B176" s="630"/>
      <c r="C176" s="548"/>
      <c r="D176" s="505"/>
      <c r="E176" s="535"/>
      <c r="F176" s="469"/>
      <c r="G176" s="550"/>
      <c r="H176" s="655"/>
      <c r="I176" s="471"/>
      <c r="J176" s="1964" t="s">
        <v>1775</v>
      </c>
      <c r="K176" s="1946"/>
      <c r="L176" s="1946"/>
      <c r="M176" s="1946"/>
      <c r="N176" s="1934"/>
      <c r="O176" s="1934"/>
      <c r="P176" s="1934"/>
      <c r="Q176" s="1965">
        <v>2</v>
      </c>
      <c r="R176" s="1948" t="s">
        <v>227</v>
      </c>
      <c r="S176" s="1965">
        <v>150000</v>
      </c>
      <c r="T176" s="1965" t="s">
        <v>37</v>
      </c>
      <c r="U176" s="479"/>
      <c r="V176" s="1965">
        <v>40</v>
      </c>
      <c r="W176" s="1965" t="s">
        <v>233</v>
      </c>
      <c r="X176" s="1965" t="s">
        <v>38</v>
      </c>
      <c r="Y176" s="483">
        <f>+V176*S176*Q176/1000</f>
        <v>12000</v>
      </c>
      <c r="Z176" s="308">
        <f t="shared" si="16"/>
        <v>6000000</v>
      </c>
      <c r="AA176" s="2033"/>
      <c r="AB176" s="2033"/>
      <c r="AC176" s="669"/>
    </row>
    <row r="177" spans="1:29" ht="19.5" customHeight="1">
      <c r="A177" s="1931"/>
      <c r="B177" s="630"/>
      <c r="C177" s="548"/>
      <c r="D177" s="505"/>
      <c r="E177" s="535"/>
      <c r="F177" s="469"/>
      <c r="G177" s="550"/>
      <c r="H177" s="655"/>
      <c r="I177" s="471"/>
      <c r="J177" s="1964" t="s">
        <v>1776</v>
      </c>
      <c r="K177" s="1946"/>
      <c r="L177" s="1946"/>
      <c r="M177" s="1946"/>
      <c r="N177" s="1934"/>
      <c r="O177" s="1934"/>
      <c r="P177" s="1934"/>
      <c r="Q177" s="1965">
        <v>2</v>
      </c>
      <c r="R177" s="1948" t="s">
        <v>227</v>
      </c>
      <c r="S177" s="1965">
        <v>150000</v>
      </c>
      <c r="T177" s="1965" t="s">
        <v>37</v>
      </c>
      <c r="U177" s="479"/>
      <c r="V177" s="1965">
        <v>10</v>
      </c>
      <c r="W177" s="1965" t="s">
        <v>233</v>
      </c>
      <c r="X177" s="1965" t="s">
        <v>38</v>
      </c>
      <c r="Y177" s="483">
        <f>+V177*S177*Q177/1000</f>
        <v>3000</v>
      </c>
      <c r="Z177" s="308">
        <f t="shared" si="16"/>
        <v>1500000</v>
      </c>
      <c r="AA177" s="2033"/>
      <c r="AB177" s="2033"/>
      <c r="AC177" s="669"/>
    </row>
    <row r="178" spans="1:29" ht="19.5" customHeight="1">
      <c r="A178" s="1931"/>
      <c r="B178" s="630"/>
      <c r="C178" s="548"/>
      <c r="D178" s="505"/>
      <c r="E178" s="535"/>
      <c r="F178" s="469"/>
      <c r="G178" s="550"/>
      <c r="H178" s="655"/>
      <c r="I178" s="471"/>
      <c r="J178" s="1964" t="s">
        <v>1777</v>
      </c>
      <c r="K178" s="1946"/>
      <c r="L178" s="1946"/>
      <c r="M178" s="1946"/>
      <c r="N178" s="1934"/>
      <c r="O178" s="1934"/>
      <c r="P178" s="1934"/>
      <c r="Q178" s="1965">
        <v>1</v>
      </c>
      <c r="R178" s="1948" t="s">
        <v>227</v>
      </c>
      <c r="S178" s="1965">
        <v>150000</v>
      </c>
      <c r="T178" s="1965" t="s">
        <v>37</v>
      </c>
      <c r="U178" s="479"/>
      <c r="V178" s="1965">
        <v>8</v>
      </c>
      <c r="W178" s="1965" t="s">
        <v>39</v>
      </c>
      <c r="X178" s="1965" t="s">
        <v>38</v>
      </c>
      <c r="Y178" s="483">
        <f>Q178*S178*V178/1000</f>
        <v>1200</v>
      </c>
      <c r="Z178" s="308">
        <f t="shared" si="16"/>
        <v>1200000</v>
      </c>
      <c r="AA178" s="2033"/>
      <c r="AB178" s="2033"/>
      <c r="AC178" s="669"/>
    </row>
    <row r="179" spans="1:29" ht="19.5" customHeight="1">
      <c r="A179" s="1931"/>
      <c r="B179" s="630"/>
      <c r="C179" s="548"/>
      <c r="D179" s="505"/>
      <c r="E179" s="535"/>
      <c r="F179" s="469"/>
      <c r="G179" s="550"/>
      <c r="H179" s="655"/>
      <c r="I179" s="471"/>
      <c r="J179" s="3868" t="s">
        <v>1778</v>
      </c>
      <c r="K179" s="3869"/>
      <c r="L179" s="3869"/>
      <c r="M179" s="3869"/>
      <c r="N179" s="3869"/>
      <c r="O179" s="1934"/>
      <c r="P179" s="1934"/>
      <c r="Q179" s="1965">
        <v>2</v>
      </c>
      <c r="R179" s="1948" t="s">
        <v>227</v>
      </c>
      <c r="S179" s="1965">
        <v>60000</v>
      </c>
      <c r="T179" s="1965" t="s">
        <v>37</v>
      </c>
      <c r="U179" s="479"/>
      <c r="V179" s="1965">
        <v>40</v>
      </c>
      <c r="W179" s="1965" t="s">
        <v>39</v>
      </c>
      <c r="X179" s="1965" t="s">
        <v>38</v>
      </c>
      <c r="Y179" s="483">
        <f>Q179*S179*V179/1000</f>
        <v>4800</v>
      </c>
      <c r="Z179" s="308">
        <f t="shared" si="16"/>
        <v>2400000</v>
      </c>
      <c r="AA179" s="2033"/>
      <c r="AB179" s="2033"/>
      <c r="AC179" s="669"/>
    </row>
    <row r="180" spans="1:29" ht="19.5" customHeight="1">
      <c r="A180" s="1931"/>
      <c r="B180" s="630"/>
      <c r="C180" s="548"/>
      <c r="D180" s="505"/>
      <c r="E180" s="532"/>
      <c r="F180" s="469"/>
      <c r="G180" s="550"/>
      <c r="H180" s="655"/>
      <c r="I180" s="471"/>
      <c r="J180" s="3868" t="s">
        <v>1779</v>
      </c>
      <c r="K180" s="3869"/>
      <c r="L180" s="3869"/>
      <c r="M180" s="3869"/>
      <c r="N180" s="3869"/>
      <c r="O180" s="1934"/>
      <c r="P180" s="1934"/>
      <c r="Q180" s="1965">
        <v>10</v>
      </c>
      <c r="R180" s="1948" t="s">
        <v>227</v>
      </c>
      <c r="S180" s="1965">
        <v>300000</v>
      </c>
      <c r="T180" s="1965" t="s">
        <v>37</v>
      </c>
      <c r="U180" s="479"/>
      <c r="V180" s="1965">
        <v>1</v>
      </c>
      <c r="W180" s="1965" t="s">
        <v>39</v>
      </c>
      <c r="X180" s="1965" t="s">
        <v>38</v>
      </c>
      <c r="Y180" s="483">
        <f>Q180*S180*V180/1000</f>
        <v>3000</v>
      </c>
      <c r="Z180" s="308">
        <f t="shared" si="16"/>
        <v>300000</v>
      </c>
      <c r="AA180" s="2033"/>
      <c r="AB180" s="2033"/>
      <c r="AC180" s="669"/>
    </row>
    <row r="181" spans="1:29" s="479" customFormat="1" ht="19.5" customHeight="1">
      <c r="A181" s="1931"/>
      <c r="B181" s="630"/>
      <c r="C181" s="548"/>
      <c r="D181" s="505"/>
      <c r="E181" s="532" t="s">
        <v>262</v>
      </c>
      <c r="F181" s="469">
        <f>Y181</f>
        <v>29000</v>
      </c>
      <c r="G181" s="550">
        <v>29000</v>
      </c>
      <c r="H181" s="655"/>
      <c r="I181" s="471"/>
      <c r="J181" s="4036" t="s">
        <v>1731</v>
      </c>
      <c r="K181" s="4037"/>
      <c r="L181" s="4037"/>
      <c r="M181" s="4037"/>
      <c r="N181" s="4037"/>
      <c r="O181" s="4037"/>
      <c r="P181" s="1934"/>
      <c r="Q181" s="1965"/>
      <c r="R181" s="1948"/>
      <c r="S181" s="1965">
        <v>362500</v>
      </c>
      <c r="T181" s="1965" t="s">
        <v>37</v>
      </c>
      <c r="V181" s="1965">
        <v>80</v>
      </c>
      <c r="W181" s="1965" t="s">
        <v>39</v>
      </c>
      <c r="X181" s="1965" t="s">
        <v>38</v>
      </c>
      <c r="Y181" s="483">
        <f>S181*V181/1000</f>
        <v>29000</v>
      </c>
      <c r="Z181" s="308">
        <f t="shared" si="16"/>
        <v>29000000</v>
      </c>
      <c r="AA181" s="2033"/>
      <c r="AB181" s="2033"/>
      <c r="AC181" s="669"/>
    </row>
    <row r="182" spans="1:29" s="479" customFormat="1" ht="19.5" customHeight="1">
      <c r="A182" s="1931"/>
      <c r="B182" s="630"/>
      <c r="C182" s="548"/>
      <c r="D182" s="505"/>
      <c r="E182" s="532" t="s">
        <v>445</v>
      </c>
      <c r="F182" s="469">
        <f t="shared" ref="F182:F183" si="18">Y182</f>
        <v>2000</v>
      </c>
      <c r="G182" s="550">
        <v>2000</v>
      </c>
      <c r="H182" s="655"/>
      <c r="I182" s="471"/>
      <c r="J182" s="4036" t="s">
        <v>1732</v>
      </c>
      <c r="K182" s="4037"/>
      <c r="L182" s="4037"/>
      <c r="M182" s="4037"/>
      <c r="N182" s="4037"/>
      <c r="O182" s="4037"/>
      <c r="P182" s="1934"/>
      <c r="Q182" s="1965"/>
      <c r="R182" s="1948"/>
      <c r="S182" s="1965">
        <v>1000</v>
      </c>
      <c r="T182" s="1965" t="s">
        <v>37</v>
      </c>
      <c r="V182" s="1965">
        <v>2000</v>
      </c>
      <c r="W182" s="1965" t="s">
        <v>259</v>
      </c>
      <c r="X182" s="1965" t="s">
        <v>38</v>
      </c>
      <c r="Y182" s="483">
        <f>S182*V182/1000</f>
        <v>2000</v>
      </c>
      <c r="Z182" s="308">
        <f t="shared" si="16"/>
        <v>2000000</v>
      </c>
      <c r="AA182" s="2033"/>
      <c r="AB182" s="2033"/>
      <c r="AC182" s="669"/>
    </row>
    <row r="183" spans="1:29" s="479" customFormat="1" ht="19.5" customHeight="1">
      <c r="A183" s="1931"/>
      <c r="B183" s="630"/>
      <c r="C183" s="624"/>
      <c r="D183" s="505"/>
      <c r="E183" s="532" t="s">
        <v>394</v>
      </c>
      <c r="F183" s="469">
        <f t="shared" si="18"/>
        <v>4400</v>
      </c>
      <c r="G183" s="550">
        <v>4400</v>
      </c>
      <c r="H183" s="655"/>
      <c r="I183" s="471"/>
      <c r="J183" s="1964" t="s">
        <v>375</v>
      </c>
      <c r="K183" s="1946"/>
      <c r="L183" s="1946"/>
      <c r="M183" s="1946"/>
      <c r="N183" s="1934"/>
      <c r="O183" s="1934"/>
      <c r="P183" s="1934"/>
      <c r="Q183" s="1965"/>
      <c r="R183" s="1948"/>
      <c r="S183" s="1965"/>
      <c r="T183" s="1965"/>
      <c r="V183" s="1965"/>
      <c r="W183" s="1965"/>
      <c r="X183" s="1965"/>
      <c r="Y183" s="483">
        <f>SUM(Y184:Y188)</f>
        <v>4400</v>
      </c>
      <c r="Z183" s="308">
        <f t="shared" si="16"/>
        <v>0</v>
      </c>
      <c r="AA183" s="2033"/>
      <c r="AB183" s="2033"/>
      <c r="AC183" s="669"/>
    </row>
    <row r="184" spans="1:29" s="479" customFormat="1" ht="19.5" customHeight="1">
      <c r="A184" s="1931"/>
      <c r="B184" s="630"/>
      <c r="C184" s="624"/>
      <c r="D184" s="505"/>
      <c r="E184" s="532"/>
      <c r="F184" s="469"/>
      <c r="G184" s="550"/>
      <c r="H184" s="655"/>
      <c r="I184" s="471"/>
      <c r="J184" s="1964" t="s">
        <v>1780</v>
      </c>
      <c r="K184" s="1946"/>
      <c r="L184" s="1946"/>
      <c r="M184" s="1946"/>
      <c r="N184" s="1934"/>
      <c r="O184" s="1934"/>
      <c r="P184" s="1934"/>
      <c r="Q184" s="1965"/>
      <c r="R184" s="1948"/>
      <c r="S184" s="1965">
        <v>50000</v>
      </c>
      <c r="T184" s="1965" t="s">
        <v>37</v>
      </c>
      <c r="V184" s="1965">
        <v>40</v>
      </c>
      <c r="W184" s="1965" t="s">
        <v>39</v>
      </c>
      <c r="X184" s="1965" t="s">
        <v>38</v>
      </c>
      <c r="Y184" s="483">
        <f t="shared" ref="Y184:Y189" si="19">+V184*S184/1000</f>
        <v>2000</v>
      </c>
      <c r="Z184" s="308">
        <f t="shared" si="16"/>
        <v>2000000</v>
      </c>
      <c r="AA184" s="2033"/>
      <c r="AB184" s="2033"/>
      <c r="AC184" s="669"/>
    </row>
    <row r="185" spans="1:29" s="479" customFormat="1" ht="19.5" customHeight="1">
      <c r="A185" s="1931"/>
      <c r="B185" s="630"/>
      <c r="C185" s="624"/>
      <c r="D185" s="505"/>
      <c r="E185" s="532"/>
      <c r="F185" s="469"/>
      <c r="G185" s="550"/>
      <c r="H185" s="655"/>
      <c r="I185" s="471"/>
      <c r="J185" s="1964" t="s">
        <v>1781</v>
      </c>
      <c r="K185" s="1946"/>
      <c r="L185" s="1946"/>
      <c r="M185" s="1946"/>
      <c r="N185" s="1934"/>
      <c r="O185" s="1934"/>
      <c r="P185" s="1934"/>
      <c r="Q185" s="1965"/>
      <c r="R185" s="1948"/>
      <c r="S185" s="1965">
        <v>50000</v>
      </c>
      <c r="T185" s="1965" t="s">
        <v>37</v>
      </c>
      <c r="V185" s="1965">
        <v>10</v>
      </c>
      <c r="W185" s="1965" t="s">
        <v>39</v>
      </c>
      <c r="X185" s="1965" t="s">
        <v>38</v>
      </c>
      <c r="Y185" s="483">
        <f t="shared" si="19"/>
        <v>500</v>
      </c>
      <c r="Z185" s="308">
        <f t="shared" si="16"/>
        <v>500000</v>
      </c>
      <c r="AA185" s="2033"/>
      <c r="AB185" s="2033"/>
      <c r="AC185" s="669"/>
    </row>
    <row r="186" spans="1:29" s="479" customFormat="1" ht="19.5" customHeight="1">
      <c r="A186" s="1931"/>
      <c r="B186" s="630"/>
      <c r="C186" s="624"/>
      <c r="D186" s="505"/>
      <c r="E186" s="532"/>
      <c r="F186" s="469"/>
      <c r="G186" s="550"/>
      <c r="H186" s="655"/>
      <c r="I186" s="471"/>
      <c r="J186" s="1964" t="s">
        <v>1782</v>
      </c>
      <c r="K186" s="1946"/>
      <c r="L186" s="1946"/>
      <c r="M186" s="1946"/>
      <c r="N186" s="1934"/>
      <c r="O186" s="1934"/>
      <c r="P186" s="1934"/>
      <c r="Q186" s="1965"/>
      <c r="R186" s="1948"/>
      <c r="S186" s="1965">
        <v>50000</v>
      </c>
      <c r="T186" s="1965" t="s">
        <v>37</v>
      </c>
      <c r="V186" s="1965">
        <v>8</v>
      </c>
      <c r="W186" s="1965" t="s">
        <v>39</v>
      </c>
      <c r="X186" s="1965" t="s">
        <v>38</v>
      </c>
      <c r="Y186" s="483">
        <f t="shared" si="19"/>
        <v>400</v>
      </c>
      <c r="Z186" s="308">
        <f t="shared" si="16"/>
        <v>400000</v>
      </c>
      <c r="AA186" s="2033"/>
      <c r="AB186" s="2033"/>
      <c r="AC186" s="669"/>
    </row>
    <row r="187" spans="1:29" s="479" customFormat="1" ht="19.5" customHeight="1">
      <c r="A187" s="1931"/>
      <c r="B187" s="630"/>
      <c r="C187" s="624"/>
      <c r="D187" s="505"/>
      <c r="E187" s="532"/>
      <c r="F187" s="469"/>
      <c r="G187" s="550"/>
      <c r="H187" s="655"/>
      <c r="I187" s="471"/>
      <c r="J187" s="3868" t="s">
        <v>1783</v>
      </c>
      <c r="K187" s="3869"/>
      <c r="L187" s="3869"/>
      <c r="M187" s="3869"/>
      <c r="N187" s="3869"/>
      <c r="O187" s="1934"/>
      <c r="P187" s="1934"/>
      <c r="Q187" s="1965"/>
      <c r="R187" s="1948"/>
      <c r="S187" s="1965">
        <v>50000</v>
      </c>
      <c r="T187" s="1965" t="s">
        <v>37</v>
      </c>
      <c r="V187" s="1965">
        <v>20</v>
      </c>
      <c r="W187" s="1965" t="s">
        <v>39</v>
      </c>
      <c r="X187" s="1965" t="s">
        <v>38</v>
      </c>
      <c r="Y187" s="483">
        <f t="shared" si="19"/>
        <v>1000</v>
      </c>
      <c r="Z187" s="308">
        <f t="shared" si="16"/>
        <v>1000000</v>
      </c>
      <c r="AA187" s="2033"/>
      <c r="AB187" s="2033"/>
      <c r="AC187" s="669"/>
    </row>
    <row r="188" spans="1:29" s="479" customFormat="1" ht="19.5" customHeight="1">
      <c r="A188" s="1931"/>
      <c r="B188" s="630"/>
      <c r="C188" s="624"/>
      <c r="D188" s="505"/>
      <c r="E188" s="532"/>
      <c r="F188" s="469"/>
      <c r="G188" s="550"/>
      <c r="H188" s="655"/>
      <c r="I188" s="471"/>
      <c r="J188" s="3868" t="s">
        <v>1784</v>
      </c>
      <c r="K188" s="3869"/>
      <c r="L188" s="3869"/>
      <c r="M188" s="3869"/>
      <c r="N188" s="3869"/>
      <c r="O188" s="1934"/>
      <c r="P188" s="1934"/>
      <c r="Q188" s="1965"/>
      <c r="R188" s="1948"/>
      <c r="S188" s="1965">
        <v>50000</v>
      </c>
      <c r="T188" s="1965" t="s">
        <v>37</v>
      </c>
      <c r="V188" s="1965">
        <v>10</v>
      </c>
      <c r="W188" s="1965" t="s">
        <v>39</v>
      </c>
      <c r="X188" s="1965" t="s">
        <v>38</v>
      </c>
      <c r="Y188" s="483">
        <f t="shared" si="19"/>
        <v>500</v>
      </c>
      <c r="Z188" s="308">
        <f t="shared" si="16"/>
        <v>500000</v>
      </c>
      <c r="AA188" s="2033"/>
      <c r="AB188" s="2033"/>
      <c r="AC188" s="669"/>
    </row>
    <row r="189" spans="1:29" s="479" customFormat="1" ht="19.5" customHeight="1">
      <c r="A189" s="1931"/>
      <c r="B189" s="630"/>
      <c r="C189" s="624"/>
      <c r="D189" s="505"/>
      <c r="E189" s="532" t="s">
        <v>384</v>
      </c>
      <c r="F189" s="469">
        <f>Y189</f>
        <v>964</v>
      </c>
      <c r="G189" s="550">
        <v>964</v>
      </c>
      <c r="H189" s="655"/>
      <c r="I189" s="471"/>
      <c r="J189" s="1964" t="s">
        <v>1733</v>
      </c>
      <c r="K189" s="1948"/>
      <c r="L189" s="1948"/>
      <c r="M189" s="1948"/>
      <c r="N189" s="1948"/>
      <c r="O189" s="1934"/>
      <c r="P189" s="1934"/>
      <c r="Q189" s="1965"/>
      <c r="R189" s="1948"/>
      <c r="S189" s="1965">
        <v>964000</v>
      </c>
      <c r="T189" s="1965" t="s">
        <v>37</v>
      </c>
      <c r="V189" s="1965">
        <v>1</v>
      </c>
      <c r="W189" s="1965" t="s">
        <v>226</v>
      </c>
      <c r="X189" s="1965" t="s">
        <v>38</v>
      </c>
      <c r="Y189" s="483">
        <f t="shared" si="19"/>
        <v>964</v>
      </c>
      <c r="Z189" s="308">
        <f t="shared" si="16"/>
        <v>964000</v>
      </c>
      <c r="AA189" s="2033"/>
      <c r="AB189" s="2033"/>
      <c r="AC189" s="669"/>
    </row>
    <row r="190" spans="1:29" s="479" customFormat="1" ht="19.5" customHeight="1">
      <c r="A190" s="1931"/>
      <c r="B190" s="630"/>
      <c r="C190" s="745"/>
      <c r="D190" s="3825" t="s">
        <v>666</v>
      </c>
      <c r="E190" s="3826"/>
      <c r="F190" s="664">
        <f>SUM(F191:F201)</f>
        <v>45000</v>
      </c>
      <c r="G190" s="598">
        <f>SUM(G191:G201)</f>
        <v>45000</v>
      </c>
      <c r="H190" s="620">
        <f>F190-G190</f>
        <v>0</v>
      </c>
      <c r="I190" s="471"/>
      <c r="J190" s="665"/>
      <c r="K190" s="1963"/>
      <c r="L190" s="544"/>
      <c r="M190" s="1963"/>
      <c r="N190" s="1963"/>
      <c r="O190" s="1963"/>
      <c r="P190" s="645"/>
      <c r="Q190" s="1963"/>
      <c r="R190" s="651"/>
      <c r="S190" s="645"/>
      <c r="T190" s="1963"/>
      <c r="U190" s="1963"/>
      <c r="V190" s="645"/>
      <c r="W190" s="1963"/>
      <c r="X190" s="1363"/>
      <c r="Y190" s="667"/>
      <c r="Z190" s="308">
        <f t="shared" si="16"/>
        <v>0</v>
      </c>
      <c r="AA190" s="2033"/>
      <c r="AB190" s="2033"/>
      <c r="AC190" s="669"/>
    </row>
    <row r="191" spans="1:29" s="479" customFormat="1" ht="19.5" customHeight="1">
      <c r="A191" s="1931"/>
      <c r="B191" s="630"/>
      <c r="C191" s="548"/>
      <c r="D191" s="505"/>
      <c r="E191" s="677" t="s">
        <v>5537</v>
      </c>
      <c r="F191" s="1261">
        <f>Y191</f>
        <v>25130</v>
      </c>
      <c r="G191" s="679">
        <v>25130</v>
      </c>
      <c r="H191" s="680"/>
      <c r="I191" s="2060"/>
      <c r="J191" s="3523" t="s">
        <v>5516</v>
      </c>
      <c r="K191" s="3553"/>
      <c r="L191" s="3553"/>
      <c r="M191" s="3515"/>
      <c r="N191" s="3525"/>
      <c r="O191" s="3525"/>
      <c r="P191" s="3525"/>
      <c r="Q191" s="684"/>
      <c r="R191" s="3524"/>
      <c r="S191" s="684"/>
      <c r="T191" s="684"/>
      <c r="U191" s="683"/>
      <c r="V191" s="684"/>
      <c r="W191" s="684"/>
      <c r="X191" s="684"/>
      <c r="Y191" s="871">
        <f>SUM(Y192:Y193)</f>
        <v>25130</v>
      </c>
      <c r="Z191" s="3166">
        <f t="shared" si="16"/>
        <v>0</v>
      </c>
      <c r="AA191" s="2033"/>
      <c r="AB191" s="2033"/>
      <c r="AC191" s="669"/>
    </row>
    <row r="192" spans="1:29" s="479" customFormat="1" ht="19.5" customHeight="1">
      <c r="A192" s="1931"/>
      <c r="B192" s="630"/>
      <c r="C192" s="548"/>
      <c r="D192" s="505"/>
      <c r="E192" s="677"/>
      <c r="F192" s="1261"/>
      <c r="G192" s="679"/>
      <c r="H192" s="680"/>
      <c r="I192" s="2060"/>
      <c r="J192" s="681" t="s">
        <v>5517</v>
      </c>
      <c r="K192" s="684"/>
      <c r="L192" s="684"/>
      <c r="M192" s="684"/>
      <c r="N192" s="684"/>
      <c r="O192" s="3525"/>
      <c r="P192" s="3525"/>
      <c r="Q192" s="684">
        <v>1</v>
      </c>
      <c r="R192" s="3524" t="s">
        <v>5518</v>
      </c>
      <c r="S192" s="684">
        <v>1850000</v>
      </c>
      <c r="T192" s="684" t="s">
        <v>0</v>
      </c>
      <c r="U192" s="683"/>
      <c r="V192" s="684">
        <v>12</v>
      </c>
      <c r="W192" s="684" t="s">
        <v>29</v>
      </c>
      <c r="X192" s="684" t="s">
        <v>1</v>
      </c>
      <c r="Y192" s="871">
        <f>Q192*V192*S192/1000</f>
        <v>22200</v>
      </c>
      <c r="Z192" s="3166">
        <f t="shared" si="16"/>
        <v>22200000</v>
      </c>
      <c r="AA192" s="2033"/>
      <c r="AB192" s="2033"/>
      <c r="AC192" s="669"/>
    </row>
    <row r="193" spans="1:29" s="479" customFormat="1" ht="19.5" customHeight="1">
      <c r="A193" s="1931"/>
      <c r="B193" s="630"/>
      <c r="C193" s="548"/>
      <c r="D193" s="505"/>
      <c r="E193" s="677"/>
      <c r="F193" s="1261"/>
      <c r="G193" s="679"/>
      <c r="H193" s="680"/>
      <c r="I193" s="2060"/>
      <c r="J193" s="681" t="s">
        <v>5519</v>
      </c>
      <c r="K193" s="684"/>
      <c r="L193" s="684"/>
      <c r="M193" s="684"/>
      <c r="N193" s="684"/>
      <c r="O193" s="3525"/>
      <c r="P193" s="3525"/>
      <c r="Q193" s="684"/>
      <c r="R193" s="3524"/>
      <c r="S193" s="684">
        <v>22200000</v>
      </c>
      <c r="T193" s="684" t="s">
        <v>0</v>
      </c>
      <c r="U193" s="683"/>
      <c r="V193" s="1382">
        <v>13.198198198198201</v>
      </c>
      <c r="W193" s="684" t="s">
        <v>105</v>
      </c>
      <c r="X193" s="684" t="s">
        <v>1</v>
      </c>
      <c r="Y193" s="871">
        <f>(S193*V193/100)/1000</f>
        <v>2930.0000000000005</v>
      </c>
      <c r="Z193" s="3166">
        <f>S193*V193</f>
        <v>293000000.00000006</v>
      </c>
      <c r="AA193" s="2033"/>
      <c r="AB193" s="2033"/>
      <c r="AC193" s="669"/>
    </row>
    <row r="194" spans="1:29" s="479" customFormat="1" ht="19.5" customHeight="1">
      <c r="A194" s="1931"/>
      <c r="B194" s="630"/>
      <c r="C194" s="548"/>
      <c r="D194" s="505"/>
      <c r="E194" s="677" t="s">
        <v>5538</v>
      </c>
      <c r="F194" s="1261">
        <f>+Y194</f>
        <v>6300</v>
      </c>
      <c r="G194" s="679">
        <v>6000</v>
      </c>
      <c r="H194" s="680">
        <f>F194-G194</f>
        <v>300</v>
      </c>
      <c r="I194" s="2060"/>
      <c r="J194" s="681" t="s">
        <v>5516</v>
      </c>
      <c r="K194" s="3515"/>
      <c r="L194" s="3515"/>
      <c r="M194" s="3515"/>
      <c r="N194" s="3525"/>
      <c r="O194" s="3525"/>
      <c r="P194" s="3525"/>
      <c r="Q194" s="684"/>
      <c r="R194" s="3524"/>
      <c r="S194" s="3524" t="s">
        <v>5520</v>
      </c>
      <c r="T194" s="684" t="s">
        <v>5520</v>
      </c>
      <c r="U194" s="684" t="s">
        <v>5520</v>
      </c>
      <c r="V194" s="684" t="s">
        <v>5520</v>
      </c>
      <c r="W194" s="684" t="s">
        <v>5520</v>
      </c>
      <c r="X194" s="684" t="s">
        <v>5520</v>
      </c>
      <c r="Y194" s="871">
        <v>6300</v>
      </c>
      <c r="Z194" s="3166">
        <f>SUM(Z195:Z196)</f>
        <v>6300000</v>
      </c>
      <c r="AA194" s="2033"/>
      <c r="AB194" s="2033"/>
      <c r="AC194" s="669"/>
    </row>
    <row r="195" spans="1:29" ht="19.5" customHeight="1">
      <c r="A195" s="1931"/>
      <c r="B195" s="630"/>
      <c r="C195" s="548"/>
      <c r="D195" s="505"/>
      <c r="E195" s="677"/>
      <c r="F195" s="1261"/>
      <c r="G195" s="679"/>
      <c r="H195" s="680"/>
      <c r="I195" s="2060"/>
      <c r="J195" s="681" t="s">
        <v>5521</v>
      </c>
      <c r="K195" s="3515"/>
      <c r="L195" s="3515"/>
      <c r="M195" s="3515"/>
      <c r="N195" s="3525"/>
      <c r="O195" s="3525"/>
      <c r="P195" s="3525"/>
      <c r="Q195" s="684"/>
      <c r="R195" s="684"/>
      <c r="S195" s="684">
        <v>1000</v>
      </c>
      <c r="T195" s="684" t="s">
        <v>5522</v>
      </c>
      <c r="U195" s="683"/>
      <c r="V195" s="684">
        <v>5000</v>
      </c>
      <c r="W195" s="684" t="s">
        <v>5523</v>
      </c>
      <c r="X195" s="684" t="s">
        <v>5524</v>
      </c>
      <c r="Y195" s="871">
        <f>+V195*S195/1000</f>
        <v>5000</v>
      </c>
      <c r="Z195" s="3166">
        <f t="shared" si="16"/>
        <v>5000000</v>
      </c>
      <c r="AA195" s="2033"/>
      <c r="AB195" s="2033"/>
      <c r="AC195" s="669"/>
    </row>
    <row r="196" spans="1:29" s="479" customFormat="1" ht="19.5" customHeight="1">
      <c r="A196" s="1931"/>
      <c r="B196" s="630"/>
      <c r="C196" s="548"/>
      <c r="D196" s="505"/>
      <c r="E196" s="677"/>
      <c r="F196" s="1261"/>
      <c r="G196" s="679"/>
      <c r="H196" s="680"/>
      <c r="I196" s="2060"/>
      <c r="J196" s="681" t="s">
        <v>5525</v>
      </c>
      <c r="K196" s="3515"/>
      <c r="L196" s="3515"/>
      <c r="M196" s="3515"/>
      <c r="N196" s="3525"/>
      <c r="O196" s="3525"/>
      <c r="P196" s="3525"/>
      <c r="Q196" s="684"/>
      <c r="R196" s="684"/>
      <c r="S196" s="684">
        <v>2000</v>
      </c>
      <c r="T196" s="684" t="s">
        <v>5522</v>
      </c>
      <c r="U196" s="683"/>
      <c r="V196" s="684">
        <v>650</v>
      </c>
      <c r="W196" s="684" t="s">
        <v>5523</v>
      </c>
      <c r="X196" s="684" t="s">
        <v>5524</v>
      </c>
      <c r="Y196" s="871">
        <f>+V196*S196/1000</f>
        <v>1300</v>
      </c>
      <c r="Z196" s="3166">
        <f t="shared" si="16"/>
        <v>1300000</v>
      </c>
      <c r="AA196" s="2033"/>
      <c r="AB196" s="2033"/>
      <c r="AC196" s="669"/>
    </row>
    <row r="197" spans="1:29" s="479" customFormat="1" ht="19.5" customHeight="1">
      <c r="A197" s="1931"/>
      <c r="B197" s="630"/>
      <c r="C197" s="548"/>
      <c r="D197" s="505"/>
      <c r="E197" s="677" t="s">
        <v>5540</v>
      </c>
      <c r="F197" s="1261">
        <f>+Y197</f>
        <v>5070</v>
      </c>
      <c r="G197" s="679">
        <v>5370</v>
      </c>
      <c r="H197" s="680">
        <f>F197-G197</f>
        <v>-300</v>
      </c>
      <c r="I197" s="2060"/>
      <c r="J197" s="681" t="s">
        <v>5532</v>
      </c>
      <c r="K197" s="3515"/>
      <c r="L197" s="3515"/>
      <c r="M197" s="3515"/>
      <c r="N197" s="3525"/>
      <c r="O197" s="3525"/>
      <c r="P197" s="3525"/>
      <c r="Q197" s="684"/>
      <c r="R197" s="3524"/>
      <c r="S197" s="1038">
        <v>5070000</v>
      </c>
      <c r="T197" s="684" t="s">
        <v>5522</v>
      </c>
      <c r="U197" s="684" t="s">
        <v>5520</v>
      </c>
      <c r="V197" s="684">
        <v>1</v>
      </c>
      <c r="W197" s="684" t="s">
        <v>5533</v>
      </c>
      <c r="X197" s="684" t="s">
        <v>5534</v>
      </c>
      <c r="Y197" s="871">
        <f>+V197*S197/1000</f>
        <v>5070</v>
      </c>
      <c r="Z197" s="3166">
        <f>ROUNDUP(S197*V197,-3)</f>
        <v>5070000</v>
      </c>
      <c r="AA197" s="2033"/>
      <c r="AB197" s="2033"/>
      <c r="AC197" s="669"/>
    </row>
    <row r="198" spans="1:29" s="479" customFormat="1" ht="19.5" customHeight="1">
      <c r="A198" s="1931"/>
      <c r="B198" s="630"/>
      <c r="C198" s="548"/>
      <c r="D198" s="505"/>
      <c r="E198" s="677" t="s">
        <v>5539</v>
      </c>
      <c r="F198" s="1261">
        <f>+Y198</f>
        <v>7900</v>
      </c>
      <c r="G198" s="679">
        <v>5500</v>
      </c>
      <c r="H198" s="680">
        <f>F198-G198</f>
        <v>2400</v>
      </c>
      <c r="I198" s="2060"/>
      <c r="J198" s="681" t="s">
        <v>5526</v>
      </c>
      <c r="K198" s="3515"/>
      <c r="L198" s="3515"/>
      <c r="M198" s="3515"/>
      <c r="N198" s="3525"/>
      <c r="O198" s="3525"/>
      <c r="P198" s="3525"/>
      <c r="Q198" s="684" t="s">
        <v>5527</v>
      </c>
      <c r="R198" s="3524" t="s">
        <v>5527</v>
      </c>
      <c r="S198" s="684"/>
      <c r="T198" s="684"/>
      <c r="U198" s="683"/>
      <c r="V198" s="684"/>
      <c r="W198" s="684"/>
      <c r="X198" s="684"/>
      <c r="Y198" s="871">
        <f>SUM(Y199:Y200)</f>
        <v>7900</v>
      </c>
      <c r="Z198" s="3166"/>
      <c r="AA198" s="2033"/>
      <c r="AB198" s="2033"/>
      <c r="AC198" s="669"/>
    </row>
    <row r="199" spans="1:29" s="479" customFormat="1" ht="19.5" customHeight="1">
      <c r="A199" s="1931"/>
      <c r="B199" s="630"/>
      <c r="C199" s="548"/>
      <c r="D199" s="505"/>
      <c r="E199" s="677"/>
      <c r="F199" s="1261"/>
      <c r="G199" s="679"/>
      <c r="H199" s="680"/>
      <c r="I199" s="2060"/>
      <c r="J199" s="681" t="s">
        <v>5528</v>
      </c>
      <c r="K199" s="3515"/>
      <c r="L199" s="3515"/>
      <c r="M199" s="3515"/>
      <c r="N199" s="3525"/>
      <c r="O199" s="3525"/>
      <c r="P199" s="3525"/>
      <c r="Q199" s="684">
        <v>1</v>
      </c>
      <c r="R199" s="3524" t="s">
        <v>5518</v>
      </c>
      <c r="S199" s="3164">
        <v>200000</v>
      </c>
      <c r="T199" s="3163" t="s">
        <v>5522</v>
      </c>
      <c r="U199" s="3163"/>
      <c r="V199" s="3163">
        <v>36</v>
      </c>
      <c r="W199" s="3163" t="s">
        <v>5529</v>
      </c>
      <c r="X199" s="3163" t="s">
        <v>5524</v>
      </c>
      <c r="Y199" s="871">
        <f>+V199*S199*Q199/1000</f>
        <v>7200</v>
      </c>
      <c r="Z199" s="3166">
        <f t="shared" si="16"/>
        <v>7200000</v>
      </c>
      <c r="AA199" s="2033"/>
      <c r="AB199" s="2033"/>
      <c r="AC199" s="669"/>
    </row>
    <row r="200" spans="1:29" s="479" customFormat="1" ht="19.5" customHeight="1">
      <c r="A200" s="1931"/>
      <c r="B200" s="630"/>
      <c r="C200" s="548"/>
      <c r="D200" s="505"/>
      <c r="E200" s="677"/>
      <c r="F200" s="1261"/>
      <c r="G200" s="679"/>
      <c r="H200" s="680"/>
      <c r="I200" s="2060"/>
      <c r="J200" s="681" t="s">
        <v>5530</v>
      </c>
      <c r="K200" s="3515"/>
      <c r="L200" s="3515"/>
      <c r="M200" s="3515"/>
      <c r="N200" s="3525"/>
      <c r="O200" s="3525"/>
      <c r="P200" s="3525"/>
      <c r="Q200" s="684">
        <v>10</v>
      </c>
      <c r="R200" s="3524" t="s">
        <v>5531</v>
      </c>
      <c r="S200" s="3164">
        <v>10000</v>
      </c>
      <c r="T200" s="3163" t="s">
        <v>5522</v>
      </c>
      <c r="U200" s="3163"/>
      <c r="V200" s="3163">
        <v>7</v>
      </c>
      <c r="W200" s="3163" t="s">
        <v>5529</v>
      </c>
      <c r="X200" s="3163" t="s">
        <v>5524</v>
      </c>
      <c r="Y200" s="871">
        <f>+V200*S200*Q200/1000</f>
        <v>700</v>
      </c>
      <c r="Z200" s="3166">
        <f t="shared" si="16"/>
        <v>70000</v>
      </c>
      <c r="AA200" s="2033"/>
      <c r="AB200" s="2033"/>
      <c r="AC200" s="669"/>
    </row>
    <row r="201" spans="1:29" s="499" customFormat="1" ht="19.5" customHeight="1">
      <c r="A201" s="1931"/>
      <c r="B201" s="630"/>
      <c r="C201" s="1331"/>
      <c r="D201" s="611"/>
      <c r="E201" s="3566" t="s">
        <v>5541</v>
      </c>
      <c r="F201" s="1385">
        <f>+Y201</f>
        <v>600</v>
      </c>
      <c r="G201" s="2041">
        <v>3000</v>
      </c>
      <c r="H201" s="699">
        <f>F201-G201</f>
        <v>-2400</v>
      </c>
      <c r="I201" s="2060"/>
      <c r="J201" s="2042" t="s">
        <v>5535</v>
      </c>
      <c r="K201" s="2043"/>
      <c r="L201" s="2043"/>
      <c r="M201" s="2043"/>
      <c r="N201" s="1093"/>
      <c r="O201" s="1093"/>
      <c r="P201" s="1093"/>
      <c r="Q201" s="2045"/>
      <c r="R201" s="2046"/>
      <c r="S201" s="2511">
        <v>30000</v>
      </c>
      <c r="T201" s="2045" t="s">
        <v>5522</v>
      </c>
      <c r="U201" s="2045" t="s">
        <v>5520</v>
      </c>
      <c r="V201" s="2045">
        <v>20</v>
      </c>
      <c r="W201" s="2045" t="s">
        <v>5536</v>
      </c>
      <c r="X201" s="2045" t="s">
        <v>5534</v>
      </c>
      <c r="Y201" s="981">
        <f>+V201*S201/1000</f>
        <v>600</v>
      </c>
      <c r="Z201" s="3166">
        <f t="shared" si="16"/>
        <v>600000</v>
      </c>
      <c r="AA201" s="2033"/>
      <c r="AB201" s="2033"/>
      <c r="AC201" s="669"/>
    </row>
    <row r="202" spans="1:29" s="479" customFormat="1" ht="19.5" customHeight="1">
      <c r="A202" s="1931"/>
      <c r="B202" s="630"/>
      <c r="C202" s="3926" t="s">
        <v>1036</v>
      </c>
      <c r="D202" s="3927"/>
      <c r="E202" s="3928"/>
      <c r="F202" s="494">
        <f>+F203+F208+F210</f>
        <v>40000</v>
      </c>
      <c r="G202" s="494">
        <f>G203+G208+G210</f>
        <v>40000</v>
      </c>
      <c r="H202" s="769">
        <f>+F202-G202</f>
        <v>0</v>
      </c>
      <c r="I202" s="2014"/>
      <c r="J202" s="2105"/>
      <c r="K202" s="2082"/>
      <c r="L202" s="2082"/>
      <c r="M202" s="2082"/>
      <c r="N202" s="2075"/>
      <c r="O202" s="2075"/>
      <c r="P202" s="2075"/>
      <c r="Q202" s="2106"/>
      <c r="R202" s="2092"/>
      <c r="S202" s="556"/>
      <c r="T202" s="2106"/>
      <c r="U202" s="2106"/>
      <c r="V202" s="2106"/>
      <c r="W202" s="2106"/>
      <c r="X202" s="2106"/>
      <c r="Y202" s="483"/>
      <c r="Z202" s="308"/>
      <c r="AA202" s="2033"/>
      <c r="AB202" s="2033"/>
      <c r="AC202" s="669"/>
    </row>
    <row r="203" spans="1:29" s="479" customFormat="1" ht="19.5" customHeight="1">
      <c r="A203" s="1931"/>
      <c r="B203" s="630"/>
      <c r="C203" s="548"/>
      <c r="D203" s="3823" t="s">
        <v>667</v>
      </c>
      <c r="E203" s="3824"/>
      <c r="F203" s="613">
        <f>SUM(F204:F207)</f>
        <v>20000</v>
      </c>
      <c r="G203" s="613">
        <f>SUM(G204:G207)</f>
        <v>20000</v>
      </c>
      <c r="H203" s="769">
        <f>+F203-G203</f>
        <v>0</v>
      </c>
      <c r="I203" s="2014"/>
      <c r="J203" s="665"/>
      <c r="K203" s="2101"/>
      <c r="L203" s="2101"/>
      <c r="M203" s="2101"/>
      <c r="N203" s="2101"/>
      <c r="O203" s="2101"/>
      <c r="P203" s="645"/>
      <c r="Q203" s="2101"/>
      <c r="R203" s="2036"/>
      <c r="S203" s="645"/>
      <c r="T203" s="2101"/>
      <c r="U203" s="2101"/>
      <c r="V203" s="645"/>
      <c r="W203" s="2101"/>
      <c r="X203" s="1363"/>
      <c r="Y203" s="667"/>
      <c r="Z203" s="308">
        <f t="shared" si="16"/>
        <v>0</v>
      </c>
      <c r="AA203" s="2033"/>
      <c r="AB203" s="2033"/>
      <c r="AC203" s="669"/>
    </row>
    <row r="204" spans="1:29" ht="19.5" customHeight="1">
      <c r="A204" s="1931"/>
      <c r="B204" s="630"/>
      <c r="C204" s="548"/>
      <c r="D204" s="2020"/>
      <c r="E204" s="2023" t="s">
        <v>648</v>
      </c>
      <c r="F204" s="469">
        <f t="shared" ref="F204:F206" si="20">Y204</f>
        <v>2000</v>
      </c>
      <c r="G204" s="2029">
        <v>2000</v>
      </c>
      <c r="H204" s="2037"/>
      <c r="I204" s="2014"/>
      <c r="J204" s="2105" t="s">
        <v>1734</v>
      </c>
      <c r="K204" s="2082"/>
      <c r="L204" s="2082"/>
      <c r="M204" s="2082"/>
      <c r="N204" s="2075"/>
      <c r="O204" s="2075"/>
      <c r="P204" s="2075"/>
      <c r="Q204" s="2106" t="s">
        <v>378</v>
      </c>
      <c r="R204" s="2092" t="s">
        <v>378</v>
      </c>
      <c r="S204" s="2106">
        <v>500000</v>
      </c>
      <c r="T204" s="2106" t="s">
        <v>37</v>
      </c>
      <c r="U204" s="2015"/>
      <c r="V204" s="2106">
        <v>4</v>
      </c>
      <c r="W204" s="2106" t="s">
        <v>233</v>
      </c>
      <c r="X204" s="2106" t="s">
        <v>38</v>
      </c>
      <c r="Y204" s="483">
        <f>+S204*V204/1000</f>
        <v>2000</v>
      </c>
      <c r="Z204" s="308">
        <f t="shared" si="16"/>
        <v>2000000</v>
      </c>
      <c r="AA204" s="2033"/>
      <c r="AB204" s="2033"/>
      <c r="AC204" s="669"/>
    </row>
    <row r="205" spans="1:29" ht="19.5" customHeight="1">
      <c r="A205" s="1931"/>
      <c r="B205" s="630"/>
      <c r="C205" s="548"/>
      <c r="D205" s="2020"/>
      <c r="E205" s="2023" t="s">
        <v>380</v>
      </c>
      <c r="F205" s="469">
        <f>Y205</f>
        <v>4800</v>
      </c>
      <c r="G205" s="2029">
        <v>4800</v>
      </c>
      <c r="H205" s="2037"/>
      <c r="I205" s="2014"/>
      <c r="J205" s="2105" t="s">
        <v>436</v>
      </c>
      <c r="K205" s="2082"/>
      <c r="L205" s="2082"/>
      <c r="M205" s="2082"/>
      <c r="N205" s="2075"/>
      <c r="O205" s="2075"/>
      <c r="P205" s="2075"/>
      <c r="Q205" s="2106">
        <v>4</v>
      </c>
      <c r="R205" s="2092" t="s">
        <v>257</v>
      </c>
      <c r="S205" s="2106">
        <v>300000</v>
      </c>
      <c r="T205" s="2106" t="s">
        <v>37</v>
      </c>
      <c r="U205" s="2015"/>
      <c r="V205" s="2106">
        <v>4</v>
      </c>
      <c r="W205" s="2106" t="s">
        <v>39</v>
      </c>
      <c r="X205" s="2106" t="s">
        <v>38</v>
      </c>
      <c r="Y205" s="483">
        <f>+Z205/1000</f>
        <v>4800</v>
      </c>
      <c r="Z205" s="308">
        <f>+Q205*S205*V205</f>
        <v>4800000</v>
      </c>
      <c r="AA205" s="2033"/>
      <c r="AB205" s="2033"/>
      <c r="AC205" s="669"/>
    </row>
    <row r="206" spans="1:29" s="479" customFormat="1" ht="19.5" customHeight="1">
      <c r="A206" s="1931"/>
      <c r="B206" s="630"/>
      <c r="C206" s="564"/>
      <c r="D206" s="2038"/>
      <c r="E206" s="2023" t="s">
        <v>258</v>
      </c>
      <c r="F206" s="469">
        <f t="shared" si="20"/>
        <v>1200</v>
      </c>
      <c r="G206" s="2029">
        <v>1200</v>
      </c>
      <c r="H206" s="2037"/>
      <c r="I206" s="2014"/>
      <c r="J206" s="2105" t="s">
        <v>1736</v>
      </c>
      <c r="K206" s="2082"/>
      <c r="L206" s="2082"/>
      <c r="M206" s="2082"/>
      <c r="N206" s="2075"/>
      <c r="O206" s="2075"/>
      <c r="P206" s="2075"/>
      <c r="Q206" s="2106" t="s">
        <v>378</v>
      </c>
      <c r="R206" s="2092" t="s">
        <v>378</v>
      </c>
      <c r="S206" s="2106">
        <v>600000</v>
      </c>
      <c r="T206" s="2106" t="s">
        <v>37</v>
      </c>
      <c r="U206" s="2015"/>
      <c r="V206" s="2106">
        <v>2</v>
      </c>
      <c r="W206" s="2106" t="s">
        <v>24</v>
      </c>
      <c r="X206" s="2106" t="s">
        <v>38</v>
      </c>
      <c r="Y206" s="483">
        <f>+S206*V206/1000</f>
        <v>1200</v>
      </c>
      <c r="Z206" s="308">
        <f t="shared" si="16"/>
        <v>1200000</v>
      </c>
      <c r="AA206" s="2033"/>
      <c r="AB206" s="2033"/>
      <c r="AC206" s="669"/>
    </row>
    <row r="207" spans="1:29" ht="19.5" customHeight="1">
      <c r="A207" s="1931"/>
      <c r="B207" s="630"/>
      <c r="C207" s="548"/>
      <c r="D207" s="2020"/>
      <c r="E207" s="2023" t="s">
        <v>451</v>
      </c>
      <c r="F207" s="469">
        <f>Y207</f>
        <v>12000</v>
      </c>
      <c r="G207" s="2029">
        <v>12000</v>
      </c>
      <c r="H207" s="2037"/>
      <c r="I207" s="2014"/>
      <c r="J207" s="2105" t="s">
        <v>1735</v>
      </c>
      <c r="K207" s="2082"/>
      <c r="L207" s="2082"/>
      <c r="M207" s="2082"/>
      <c r="N207" s="2075"/>
      <c r="O207" s="2075"/>
      <c r="P207" s="2075"/>
      <c r="Q207" s="2106">
        <v>10</v>
      </c>
      <c r="R207" s="2092" t="s">
        <v>668</v>
      </c>
      <c r="S207" s="2106">
        <v>300000</v>
      </c>
      <c r="T207" s="2106" t="s">
        <v>37</v>
      </c>
      <c r="U207" s="2015"/>
      <c r="V207" s="2106">
        <v>4</v>
      </c>
      <c r="W207" s="2106" t="s">
        <v>233</v>
      </c>
      <c r="X207" s="2106" t="s">
        <v>38</v>
      </c>
      <c r="Y207" s="3110">
        <f>+Q207*S207*V207/1000</f>
        <v>12000</v>
      </c>
      <c r="Z207" s="308">
        <f>ROUNDUP(S207*V207,-3)</f>
        <v>1200000</v>
      </c>
      <c r="AA207" s="2033"/>
      <c r="AB207" s="2033"/>
      <c r="AC207" s="669"/>
    </row>
    <row r="208" spans="1:29" s="479" customFormat="1" ht="19.5" customHeight="1">
      <c r="A208" s="1931"/>
      <c r="B208" s="630"/>
      <c r="C208" s="548"/>
      <c r="D208" s="4038" t="s">
        <v>2506</v>
      </c>
      <c r="E208" s="4038"/>
      <c r="F208" s="664">
        <f>SUM(F209:F209)</f>
        <v>10000</v>
      </c>
      <c r="G208" s="598">
        <f>SUM(G209:G209)</f>
        <v>10000</v>
      </c>
      <c r="H208" s="2606">
        <f>+F208-G208</f>
        <v>0</v>
      </c>
      <c r="I208" s="2060"/>
      <c r="J208" s="1535"/>
      <c r="K208" s="1536"/>
      <c r="L208" s="1536"/>
      <c r="M208" s="1536"/>
      <c r="N208" s="2094"/>
      <c r="O208" s="2094"/>
      <c r="P208" s="2094"/>
      <c r="Q208" s="1084"/>
      <c r="R208" s="1537"/>
      <c r="S208" s="1084"/>
      <c r="T208" s="1084"/>
      <c r="U208" s="1259"/>
      <c r="V208" s="1084"/>
      <c r="W208" s="1084"/>
      <c r="X208" s="1084"/>
      <c r="Y208" s="965"/>
      <c r="Z208" s="915"/>
      <c r="AA208" s="2033"/>
      <c r="AB208" s="2033"/>
      <c r="AC208" s="669"/>
    </row>
    <row r="209" spans="1:30" s="479" customFormat="1" ht="19.5" customHeight="1">
      <c r="A209" s="1931"/>
      <c r="B209" s="630"/>
      <c r="C209" s="548"/>
      <c r="D209" s="693"/>
      <c r="E209" s="677" t="s">
        <v>431</v>
      </c>
      <c r="F209" s="1261">
        <v>10000</v>
      </c>
      <c r="G209" s="679">
        <v>10000</v>
      </c>
      <c r="H209" s="2021"/>
      <c r="I209" s="2060"/>
      <c r="J209" s="681" t="s">
        <v>5601</v>
      </c>
      <c r="K209" s="682"/>
      <c r="L209" s="681"/>
      <c r="M209" s="682"/>
      <c r="N209" s="709"/>
      <c r="O209" s="709"/>
      <c r="P209" s="709"/>
      <c r="Q209" s="684">
        <v>1</v>
      </c>
      <c r="R209" s="685" t="s">
        <v>39</v>
      </c>
      <c r="S209" s="684">
        <v>2000000</v>
      </c>
      <c r="T209" s="684" t="s">
        <v>37</v>
      </c>
      <c r="U209" s="683"/>
      <c r="V209" s="684">
        <v>5</v>
      </c>
      <c r="W209" s="684" t="s">
        <v>39</v>
      </c>
      <c r="X209" s="684" t="s">
        <v>38</v>
      </c>
      <c r="Y209" s="871">
        <v>10000</v>
      </c>
      <c r="Z209" s="915">
        <v>10000000</v>
      </c>
      <c r="AA209" s="2033"/>
      <c r="AB209" s="2033"/>
      <c r="AC209" s="669"/>
    </row>
    <row r="210" spans="1:30" s="479" customFormat="1" ht="19.5" customHeight="1">
      <c r="A210" s="1931"/>
      <c r="B210" s="630"/>
      <c r="C210" s="548"/>
      <c r="D210" s="3837" t="s">
        <v>669</v>
      </c>
      <c r="E210" s="3838"/>
      <c r="F210" s="664">
        <f>SUM(F211:F220)</f>
        <v>10000</v>
      </c>
      <c r="G210" s="598">
        <f>SUM(G211:G220)</f>
        <v>10000</v>
      </c>
      <c r="H210" s="769">
        <f>F210-G210</f>
        <v>0</v>
      </c>
      <c r="I210" s="2014"/>
      <c r="J210" s="665"/>
      <c r="K210" s="2101"/>
      <c r="L210" s="2101"/>
      <c r="M210" s="2101"/>
      <c r="N210" s="2101"/>
      <c r="O210" s="2101"/>
      <c r="P210" s="645"/>
      <c r="Q210" s="2101"/>
      <c r="R210" s="2036"/>
      <c r="S210" s="645"/>
      <c r="T210" s="2101"/>
      <c r="U210" s="2101"/>
      <c r="V210" s="645"/>
      <c r="W210" s="2101"/>
      <c r="X210" s="1363"/>
      <c r="Y210" s="667"/>
      <c r="Z210" s="308"/>
      <c r="AA210" s="2033"/>
      <c r="AB210" s="2033"/>
      <c r="AC210" s="669"/>
    </row>
    <row r="211" spans="1:30" s="3119" customFormat="1" ht="19.5" customHeight="1">
      <c r="A211" s="3136"/>
      <c r="B211" s="2035"/>
      <c r="C211" s="548"/>
      <c r="D211" s="2020"/>
      <c r="E211" s="2023" t="s">
        <v>647</v>
      </c>
      <c r="F211" s="469">
        <f>Y211</f>
        <v>1340</v>
      </c>
      <c r="G211" s="469">
        <v>1000</v>
      </c>
      <c r="H211" s="2037">
        <f>F211-G211</f>
        <v>340</v>
      </c>
      <c r="I211" s="2014"/>
      <c r="J211" s="3530" t="s">
        <v>5090</v>
      </c>
      <c r="K211" s="3527"/>
      <c r="L211" s="3527"/>
      <c r="M211" s="3527"/>
      <c r="N211" s="2075"/>
      <c r="O211" s="2075"/>
      <c r="P211" s="2075"/>
      <c r="Q211" s="3531"/>
      <c r="R211" s="3516"/>
      <c r="S211" s="3531">
        <v>2000</v>
      </c>
      <c r="T211" s="3531" t="s">
        <v>5046</v>
      </c>
      <c r="V211" s="3531">
        <v>670</v>
      </c>
      <c r="W211" s="3531" t="s">
        <v>5091</v>
      </c>
      <c r="X211" s="3531" t="s">
        <v>5048</v>
      </c>
      <c r="Y211" s="3110">
        <f>+S211*V211/1000</f>
        <v>1340</v>
      </c>
      <c r="Z211" s="3166">
        <f t="shared" ref="Z211" si="21">ROUNDUP(S211*V211,-3)</f>
        <v>1340000</v>
      </c>
      <c r="AA211" s="2033"/>
      <c r="AB211" s="2033"/>
      <c r="AC211" s="669"/>
    </row>
    <row r="212" spans="1:30" s="479" customFormat="1" ht="19.5" customHeight="1">
      <c r="A212" s="1931"/>
      <c r="B212" s="630"/>
      <c r="C212" s="548"/>
      <c r="D212" s="2020"/>
      <c r="E212" s="2023" t="s">
        <v>264</v>
      </c>
      <c r="F212" s="469">
        <f>Y212</f>
        <v>598.70000000000005</v>
      </c>
      <c r="G212" s="469">
        <v>800</v>
      </c>
      <c r="H212" s="2037">
        <f>F212-G212</f>
        <v>-201.29999999999995</v>
      </c>
      <c r="I212" s="2014"/>
      <c r="J212" s="3530" t="s">
        <v>5089</v>
      </c>
      <c r="K212" s="3527"/>
      <c r="L212" s="3527"/>
      <c r="M212" s="3527"/>
      <c r="N212" s="2075"/>
      <c r="O212" s="2075"/>
      <c r="P212" s="2075"/>
      <c r="Q212" s="3531"/>
      <c r="R212" s="3516"/>
      <c r="S212" s="3531">
        <v>598700</v>
      </c>
      <c r="T212" s="3531" t="s">
        <v>5046</v>
      </c>
      <c r="U212" s="3119"/>
      <c r="V212" s="3531">
        <v>1</v>
      </c>
      <c r="W212" s="3531" t="s">
        <v>5053</v>
      </c>
      <c r="X212" s="3531" t="s">
        <v>5048</v>
      </c>
      <c r="Y212" s="3110">
        <f>+S212*V212/1000</f>
        <v>598.70000000000005</v>
      </c>
      <c r="Z212" s="3166">
        <f>ROUNDUP(S212*V212,-3)</f>
        <v>599000</v>
      </c>
      <c r="AA212" s="2033"/>
      <c r="AB212" s="2033"/>
      <c r="AC212" s="669"/>
    </row>
    <row r="213" spans="1:30" s="479" customFormat="1" ht="19.5" customHeight="1">
      <c r="A213" s="1931"/>
      <c r="B213" s="630"/>
      <c r="C213" s="548"/>
      <c r="D213" s="2020"/>
      <c r="E213" s="2023" t="s">
        <v>255</v>
      </c>
      <c r="F213" s="469">
        <f>Y213</f>
        <v>300</v>
      </c>
      <c r="G213" s="469">
        <v>500</v>
      </c>
      <c r="H213" s="2037">
        <f>F213-G213</f>
        <v>-200</v>
      </c>
      <c r="I213" s="2014"/>
      <c r="J213" s="3530" t="s">
        <v>5095</v>
      </c>
      <c r="K213" s="3527"/>
      <c r="L213" s="3527"/>
      <c r="M213" s="3527"/>
      <c r="N213" s="2075"/>
      <c r="O213" s="2075"/>
      <c r="P213" s="2075"/>
      <c r="Q213" s="3531"/>
      <c r="R213" s="3516"/>
      <c r="S213" s="3531">
        <v>100000</v>
      </c>
      <c r="T213" s="3531" t="s">
        <v>5046</v>
      </c>
      <c r="U213" s="3119"/>
      <c r="V213" s="3531">
        <v>3</v>
      </c>
      <c r="W213" s="3531" t="s">
        <v>5050</v>
      </c>
      <c r="X213" s="3531" t="s">
        <v>5048</v>
      </c>
      <c r="Y213" s="3110">
        <f>+S213*V213/1000</f>
        <v>300</v>
      </c>
      <c r="Z213" s="3166">
        <f>Y213*1000</f>
        <v>300000</v>
      </c>
      <c r="AA213" s="2033"/>
      <c r="AB213" s="2033"/>
      <c r="AC213" s="669"/>
    </row>
    <row r="214" spans="1:30" s="479" customFormat="1" ht="19.5" customHeight="1">
      <c r="A214" s="1931"/>
      <c r="B214" s="630"/>
      <c r="C214" s="548"/>
      <c r="D214" s="2020"/>
      <c r="E214" s="2023" t="s">
        <v>15</v>
      </c>
      <c r="F214" s="469">
        <f>Y214</f>
        <v>500</v>
      </c>
      <c r="G214" s="469">
        <v>400</v>
      </c>
      <c r="H214" s="2037">
        <f>F214-G214</f>
        <v>100</v>
      </c>
      <c r="I214" s="2014"/>
      <c r="J214" s="3530" t="s">
        <v>5092</v>
      </c>
      <c r="K214" s="3527"/>
      <c r="L214" s="3527"/>
      <c r="M214" s="3527"/>
      <c r="N214" s="2075"/>
      <c r="O214" s="2075"/>
      <c r="P214" s="2075"/>
      <c r="Q214" s="3531"/>
      <c r="R214" s="3516"/>
      <c r="S214" s="3531"/>
      <c r="T214" s="3531"/>
      <c r="U214" s="3119"/>
      <c r="V214" s="3531"/>
      <c r="W214" s="3531"/>
      <c r="X214" s="3531"/>
      <c r="Y214" s="3110">
        <f>Y215+Y216</f>
        <v>500</v>
      </c>
      <c r="Z214" s="308"/>
      <c r="AA214" s="2033"/>
      <c r="AB214" s="2033"/>
      <c r="AC214" s="669"/>
    </row>
    <row r="215" spans="1:30" s="3119" customFormat="1" ht="19.5" customHeight="1">
      <c r="A215" s="3136"/>
      <c r="B215" s="2035"/>
      <c r="C215" s="548"/>
      <c r="D215" s="2020"/>
      <c r="E215" s="2023"/>
      <c r="F215" s="469"/>
      <c r="G215" s="469"/>
      <c r="H215" s="2037"/>
      <c r="I215" s="2014"/>
      <c r="J215" s="3530" t="s">
        <v>5743</v>
      </c>
      <c r="K215" s="3527"/>
      <c r="L215" s="3527"/>
      <c r="M215" s="3527"/>
      <c r="N215" s="2075"/>
      <c r="O215" s="2075"/>
      <c r="P215" s="2075"/>
      <c r="Q215" s="3531">
        <v>1</v>
      </c>
      <c r="R215" s="3516" t="s">
        <v>5093</v>
      </c>
      <c r="S215" s="3531">
        <v>200000</v>
      </c>
      <c r="T215" s="3531" t="s">
        <v>5046</v>
      </c>
      <c r="V215" s="3531">
        <v>1</v>
      </c>
      <c r="W215" s="3531" t="s">
        <v>5050</v>
      </c>
      <c r="X215" s="3531" t="s">
        <v>5048</v>
      </c>
      <c r="Y215" s="3110">
        <f>SUM(Q215*S215*V215)/1000</f>
        <v>200</v>
      </c>
      <c r="Z215" s="3166">
        <f>Q215*S215*V215</f>
        <v>200000</v>
      </c>
      <c r="AA215" s="2033"/>
      <c r="AB215" s="2033"/>
      <c r="AC215" s="669"/>
    </row>
    <row r="216" spans="1:30" s="3119" customFormat="1" ht="19.5" customHeight="1">
      <c r="A216" s="3375"/>
      <c r="B216" s="2035"/>
      <c r="C216" s="548"/>
      <c r="D216" s="2020"/>
      <c r="E216" s="2023"/>
      <c r="F216" s="469"/>
      <c r="G216" s="469"/>
      <c r="H216" s="2037"/>
      <c r="I216" s="2014"/>
      <c r="J216" s="3530" t="s">
        <v>5744</v>
      </c>
      <c r="K216" s="3527"/>
      <c r="L216" s="3527"/>
      <c r="M216" s="3527"/>
      <c r="N216" s="2075"/>
      <c r="O216" s="2075"/>
      <c r="P216" s="2075"/>
      <c r="Q216" s="3531">
        <v>1</v>
      </c>
      <c r="R216" s="3516" t="s">
        <v>5093</v>
      </c>
      <c r="S216" s="3531">
        <v>10000</v>
      </c>
      <c r="T216" s="3531" t="s">
        <v>5046</v>
      </c>
      <c r="V216" s="3531">
        <v>30</v>
      </c>
      <c r="W216" s="3531" t="s">
        <v>5091</v>
      </c>
      <c r="X216" s="3531" t="s">
        <v>5048</v>
      </c>
      <c r="Y216" s="3110">
        <f>SUM(Q216*S216*V216)/1000</f>
        <v>300</v>
      </c>
      <c r="Z216" s="3166">
        <f t="shared" ref="Z216:Z217" si="22">Q216*S216*V216</f>
        <v>300000</v>
      </c>
      <c r="AA216" s="2033"/>
      <c r="AB216" s="2033"/>
      <c r="AC216" s="669"/>
    </row>
    <row r="217" spans="1:30" s="3119" customFormat="1" ht="19.5" customHeight="1">
      <c r="A217" s="3375"/>
      <c r="B217" s="2035"/>
      <c r="C217" s="548"/>
      <c r="D217" s="2020"/>
      <c r="E217" s="2023" t="s">
        <v>16</v>
      </c>
      <c r="F217" s="469">
        <f>Y217</f>
        <v>7000</v>
      </c>
      <c r="G217" s="469">
        <v>7000</v>
      </c>
      <c r="H217" s="2037"/>
      <c r="I217" s="2014"/>
      <c r="J217" s="3530" t="s">
        <v>5094</v>
      </c>
      <c r="K217" s="3527"/>
      <c r="L217" s="3527"/>
      <c r="M217" s="3527"/>
      <c r="N217" s="2075"/>
      <c r="O217" s="2075"/>
      <c r="P217" s="2075"/>
      <c r="Q217" s="3531"/>
      <c r="R217" s="3516"/>
      <c r="S217" s="3531"/>
      <c r="T217" s="3531"/>
      <c r="V217" s="3531"/>
      <c r="W217" s="3531"/>
      <c r="X217" s="3531"/>
      <c r="Y217" s="3110">
        <f>Y218+Y219</f>
        <v>7000</v>
      </c>
      <c r="Z217" s="3166">
        <f t="shared" si="22"/>
        <v>0</v>
      </c>
      <c r="AA217" s="2033"/>
      <c r="AB217" s="2033"/>
      <c r="AC217" s="669"/>
    </row>
    <row r="218" spans="1:30" s="3119" customFormat="1" ht="19.5" customHeight="1">
      <c r="A218" s="3375"/>
      <c r="B218" s="2035"/>
      <c r="C218" s="548"/>
      <c r="D218" s="2020"/>
      <c r="E218" s="2023"/>
      <c r="F218" s="469"/>
      <c r="G218" s="469"/>
      <c r="H218" s="2037"/>
      <c r="I218" s="2014"/>
      <c r="J218" s="3530" t="s">
        <v>5745</v>
      </c>
      <c r="K218" s="3527"/>
      <c r="L218" s="3527"/>
      <c r="M218" s="3527"/>
      <c r="N218" s="2075"/>
      <c r="O218" s="2075"/>
      <c r="P218" s="2075"/>
      <c r="Q218" s="3531"/>
      <c r="R218" s="3516"/>
      <c r="S218" s="3531">
        <v>4500000</v>
      </c>
      <c r="T218" s="3531" t="s">
        <v>5046</v>
      </c>
      <c r="V218" s="3531">
        <v>1</v>
      </c>
      <c r="W218" s="3531" t="s">
        <v>5053</v>
      </c>
      <c r="X218" s="3531" t="s">
        <v>5048</v>
      </c>
      <c r="Y218" s="3110">
        <f>+S218*V218/1000</f>
        <v>4500</v>
      </c>
      <c r="Z218" s="3166">
        <f>Y218*1000</f>
        <v>4500000</v>
      </c>
      <c r="AA218" s="2033"/>
      <c r="AB218" s="2033"/>
      <c r="AC218" s="669"/>
    </row>
    <row r="219" spans="1:30" s="3119" customFormat="1" ht="19.5" customHeight="1">
      <c r="A219" s="3136"/>
      <c r="B219" s="2035"/>
      <c r="C219" s="548"/>
      <c r="D219" s="2020"/>
      <c r="E219" s="2023"/>
      <c r="F219" s="469"/>
      <c r="G219" s="469"/>
      <c r="H219" s="2037"/>
      <c r="I219" s="2014"/>
      <c r="J219" s="3530" t="s">
        <v>5746</v>
      </c>
      <c r="K219" s="3527"/>
      <c r="L219" s="3527"/>
      <c r="M219" s="3527"/>
      <c r="N219" s="2075"/>
      <c r="O219" s="2075"/>
      <c r="P219" s="2075"/>
      <c r="Q219" s="3531"/>
      <c r="R219" s="3516"/>
      <c r="S219" s="3531">
        <v>2500000</v>
      </c>
      <c r="T219" s="3531" t="s">
        <v>5046</v>
      </c>
      <c r="V219" s="3531">
        <v>1</v>
      </c>
      <c r="W219" s="3531" t="s">
        <v>5053</v>
      </c>
      <c r="X219" s="3531" t="s">
        <v>5048</v>
      </c>
      <c r="Y219" s="3110">
        <f>+S219*V219/1000</f>
        <v>2500</v>
      </c>
      <c r="Z219" s="3166">
        <f t="shared" ref="Z219:Z220" si="23">Y219*1000</f>
        <v>2500000</v>
      </c>
      <c r="AA219" s="2033"/>
      <c r="AB219" s="2033"/>
      <c r="AC219" s="669"/>
    </row>
    <row r="220" spans="1:30" s="479" customFormat="1" ht="19.5" customHeight="1">
      <c r="A220" s="1931"/>
      <c r="B220" s="630"/>
      <c r="C220" s="1331"/>
      <c r="D220" s="1369"/>
      <c r="E220" s="2023" t="s">
        <v>14</v>
      </c>
      <c r="F220" s="469">
        <f>Y220</f>
        <v>261.3</v>
      </c>
      <c r="G220" s="469">
        <v>300</v>
      </c>
      <c r="H220" s="769">
        <f>F220-G220</f>
        <v>-38.699999999999989</v>
      </c>
      <c r="I220" s="2014"/>
      <c r="J220" s="3530" t="s">
        <v>5096</v>
      </c>
      <c r="K220" s="3527"/>
      <c r="L220" s="3527"/>
      <c r="M220" s="3527"/>
      <c r="N220" s="2075"/>
      <c r="O220" s="2075"/>
      <c r="P220" s="2075"/>
      <c r="Q220" s="3531"/>
      <c r="R220" s="3516"/>
      <c r="S220" s="3531">
        <v>52260</v>
      </c>
      <c r="T220" s="3531" t="s">
        <v>5046</v>
      </c>
      <c r="U220" s="3119"/>
      <c r="V220" s="3531">
        <v>5</v>
      </c>
      <c r="W220" s="3531" t="s">
        <v>5070</v>
      </c>
      <c r="X220" s="3531" t="s">
        <v>5048</v>
      </c>
      <c r="Y220" s="3110">
        <f>+S220*V220/1000</f>
        <v>261.3</v>
      </c>
      <c r="Z220" s="3166">
        <f t="shared" si="23"/>
        <v>261300</v>
      </c>
      <c r="AA220" s="2033"/>
      <c r="AB220" s="2033"/>
      <c r="AC220" s="669"/>
      <c r="AD220" s="479">
        <f>AC220/V220</f>
        <v>0</v>
      </c>
    </row>
    <row r="221" spans="1:30" s="479" customFormat="1" ht="20.100000000000001" customHeight="1">
      <c r="A221" s="1931"/>
      <c r="B221" s="630"/>
      <c r="C221" s="1358" t="s">
        <v>1035</v>
      </c>
      <c r="D221" s="1371"/>
      <c r="E221" s="3373"/>
      <c r="F221" s="512">
        <f>SUM(F222)</f>
        <v>77000</v>
      </c>
      <c r="G221" s="598">
        <f>SUM(G222)</f>
        <v>77000</v>
      </c>
      <c r="H221" s="495">
        <f>F221-G221</f>
        <v>0</v>
      </c>
      <c r="I221" s="471"/>
      <c r="J221" s="665"/>
      <c r="K221" s="1310"/>
      <c r="L221" s="1310"/>
      <c r="M221" s="1310"/>
      <c r="N221" s="1310"/>
      <c r="O221" s="1310"/>
      <c r="P221" s="1310"/>
      <c r="Q221" s="1374"/>
      <c r="R221" s="1310"/>
      <c r="S221" s="1310"/>
      <c r="T221" s="1310"/>
      <c r="U221" s="1310"/>
      <c r="V221" s="1310"/>
      <c r="W221" s="1310"/>
      <c r="X221" s="3374"/>
      <c r="Y221" s="1375"/>
      <c r="Z221" s="308">
        <f t="shared" ref="Z221:Z239" si="24">ROUNDUP(S221*V221,-3)</f>
        <v>0</v>
      </c>
      <c r="AA221" s="2033"/>
      <c r="AB221" s="2033"/>
      <c r="AC221" s="669"/>
    </row>
    <row r="222" spans="1:30" ht="21.95" customHeight="1">
      <c r="A222" s="1931"/>
      <c r="B222" s="630"/>
      <c r="C222" s="548"/>
      <c r="D222" s="3996" t="s">
        <v>670</v>
      </c>
      <c r="E222" s="3997"/>
      <c r="F222" s="1258">
        <f>SUM(F223:F237)</f>
        <v>77000</v>
      </c>
      <c r="G222" s="598">
        <f>SUM(G223:G237)</f>
        <v>77000</v>
      </c>
      <c r="H222" s="942">
        <f>F222-G222</f>
        <v>0</v>
      </c>
      <c r="I222" s="2060"/>
      <c r="J222" s="1074"/>
      <c r="K222" s="2094"/>
      <c r="L222" s="2094"/>
      <c r="M222" s="2094"/>
      <c r="N222" s="2094"/>
      <c r="O222" s="2094"/>
      <c r="P222" s="1075"/>
      <c r="Q222" s="2094"/>
      <c r="R222" s="1259"/>
      <c r="S222" s="1075"/>
      <c r="T222" s="2094"/>
      <c r="U222" s="2094"/>
      <c r="V222" s="1075"/>
      <c r="W222" s="2094"/>
      <c r="X222" s="1994"/>
      <c r="Y222" s="940"/>
      <c r="Z222" s="915">
        <f t="shared" si="24"/>
        <v>0</v>
      </c>
      <c r="AA222" s="2033"/>
      <c r="AB222" s="2033"/>
      <c r="AC222" s="669"/>
    </row>
    <row r="223" spans="1:30" s="479" customFormat="1" ht="21.95" customHeight="1">
      <c r="A223" s="1931"/>
      <c r="B223" s="630"/>
      <c r="C223" s="548"/>
      <c r="D223" s="676"/>
      <c r="E223" s="677" t="s">
        <v>65</v>
      </c>
      <c r="F223" s="469">
        <f>Y223</f>
        <v>21834</v>
      </c>
      <c r="G223" s="2547">
        <v>21834</v>
      </c>
      <c r="H223" s="486"/>
      <c r="I223" s="2060"/>
      <c r="J223" s="3523" t="s">
        <v>224</v>
      </c>
      <c r="K223" s="3553"/>
      <c r="L223" s="3553"/>
      <c r="M223" s="3515"/>
      <c r="N223" s="3525"/>
      <c r="O223" s="3525"/>
      <c r="P223" s="3525"/>
      <c r="Q223" s="684"/>
      <c r="R223" s="3524"/>
      <c r="S223" s="684"/>
      <c r="T223" s="684"/>
      <c r="U223" s="683"/>
      <c r="V223" s="684"/>
      <c r="W223" s="684"/>
      <c r="X223" s="684"/>
      <c r="Y223" s="871">
        <f>SUM(Y224:Y226)</f>
        <v>21834</v>
      </c>
      <c r="Z223" s="3166">
        <f t="shared" si="24"/>
        <v>0</v>
      </c>
      <c r="AA223" s="2033"/>
      <c r="AB223" s="2033"/>
      <c r="AC223" s="669"/>
    </row>
    <row r="224" spans="1:30" s="479" customFormat="1" ht="21.95" customHeight="1">
      <c r="A224" s="1931"/>
      <c r="B224" s="630"/>
      <c r="C224" s="548"/>
      <c r="D224" s="676"/>
      <c r="E224" s="2547"/>
      <c r="F224" s="2547"/>
      <c r="G224" s="2547"/>
      <c r="H224" s="2548"/>
      <c r="I224" s="2607"/>
      <c r="J224" s="3554" t="s">
        <v>5747</v>
      </c>
      <c r="K224" s="3166"/>
      <c r="L224" s="3166"/>
      <c r="M224" s="3166"/>
      <c r="N224" s="3166"/>
      <c r="O224" s="3166"/>
      <c r="P224" s="3166"/>
      <c r="Q224" s="3166">
        <v>1</v>
      </c>
      <c r="R224" s="2504" t="s">
        <v>36</v>
      </c>
      <c r="S224" s="3166">
        <v>1270000</v>
      </c>
      <c r="T224" s="3166" t="s">
        <v>0</v>
      </c>
      <c r="U224" s="1073"/>
      <c r="V224" s="3166">
        <v>5</v>
      </c>
      <c r="W224" s="3166" t="s">
        <v>29</v>
      </c>
      <c r="X224" s="3166" t="s">
        <v>1</v>
      </c>
      <c r="Y224" s="3110">
        <f>SUM(Q224*S224*V224)/1000</f>
        <v>6350</v>
      </c>
      <c r="Z224" s="3166">
        <f>Q224*S224*V224</f>
        <v>6350000</v>
      </c>
      <c r="AA224" s="2033"/>
      <c r="AB224" s="2033"/>
      <c r="AC224" s="669"/>
    </row>
    <row r="225" spans="1:31" s="479" customFormat="1" ht="21.95" customHeight="1">
      <c r="A225" s="1931"/>
      <c r="B225" s="630"/>
      <c r="C225" s="548"/>
      <c r="D225" s="676"/>
      <c r="E225" s="2547"/>
      <c r="F225" s="2547"/>
      <c r="G225" s="2547"/>
      <c r="H225" s="2548"/>
      <c r="I225" s="2607"/>
      <c r="J225" s="3554" t="s">
        <v>5748</v>
      </c>
      <c r="K225" s="3166"/>
      <c r="L225" s="3166"/>
      <c r="M225" s="3166"/>
      <c r="N225" s="3166"/>
      <c r="O225" s="3166"/>
      <c r="P225" s="3166"/>
      <c r="Q225" s="3166">
        <v>2</v>
      </c>
      <c r="R225" s="2504" t="s">
        <v>36</v>
      </c>
      <c r="S225" s="3166">
        <v>500000</v>
      </c>
      <c r="T225" s="3166" t="s">
        <v>0</v>
      </c>
      <c r="U225" s="1073"/>
      <c r="V225" s="3166">
        <v>10</v>
      </c>
      <c r="W225" s="3166" t="s">
        <v>29</v>
      </c>
      <c r="X225" s="3166" t="s">
        <v>1</v>
      </c>
      <c r="Y225" s="3110">
        <f>SUM(Q225*S225*V225)/1000</f>
        <v>10000</v>
      </c>
      <c r="Z225" s="3166">
        <f>Q225*S225*V225</f>
        <v>10000000</v>
      </c>
      <c r="AA225" s="2033"/>
      <c r="AB225" s="2033"/>
      <c r="AC225" s="669"/>
    </row>
    <row r="226" spans="1:31" s="479" customFormat="1" ht="21.95" customHeight="1">
      <c r="A226" s="1931"/>
      <c r="B226" s="630"/>
      <c r="C226" s="548"/>
      <c r="D226" s="676"/>
      <c r="E226" s="2547"/>
      <c r="F226" s="2547"/>
      <c r="G226" s="2547"/>
      <c r="H226" s="2548"/>
      <c r="I226" s="2607"/>
      <c r="J226" s="3554" t="s">
        <v>5749</v>
      </c>
      <c r="K226" s="3166"/>
      <c r="L226" s="3166"/>
      <c r="M226" s="3166"/>
      <c r="N226" s="3166"/>
      <c r="O226" s="3166"/>
      <c r="P226" s="3166"/>
      <c r="Q226" s="3166"/>
      <c r="R226" s="2504"/>
      <c r="S226" s="3166">
        <v>415500</v>
      </c>
      <c r="T226" s="3166" t="s">
        <v>0</v>
      </c>
      <c r="U226" s="1073"/>
      <c r="V226" s="3166">
        <v>13.198555956678701</v>
      </c>
      <c r="W226" s="3166" t="s">
        <v>105</v>
      </c>
      <c r="X226" s="3166" t="s">
        <v>1</v>
      </c>
      <c r="Y226" s="3110">
        <f>+S226*V226/1000</f>
        <v>5484</v>
      </c>
      <c r="Z226" s="3166">
        <f>S226*V226/100</f>
        <v>54840</v>
      </c>
      <c r="AA226" s="2033"/>
      <c r="AB226" s="2033"/>
      <c r="AC226" s="669"/>
      <c r="AE226" s="1368"/>
    </row>
    <row r="227" spans="1:31" s="479" customFormat="1" ht="21.95" customHeight="1">
      <c r="A227" s="1931"/>
      <c r="B227" s="630"/>
      <c r="C227" s="548"/>
      <c r="D227" s="676"/>
      <c r="E227" s="677" t="s">
        <v>445</v>
      </c>
      <c r="F227" s="469">
        <f>Y227</f>
        <v>3249</v>
      </c>
      <c r="G227" s="2547">
        <v>3248.9999999999995</v>
      </c>
      <c r="H227" s="470"/>
      <c r="I227" s="2060"/>
      <c r="J227" s="681" t="s">
        <v>1737</v>
      </c>
      <c r="K227" s="3515"/>
      <c r="L227" s="3515"/>
      <c r="M227" s="3515"/>
      <c r="N227" s="3525"/>
      <c r="O227" s="3525"/>
      <c r="P227" s="3525"/>
      <c r="Q227" s="3555"/>
      <c r="R227" s="3524"/>
      <c r="S227" s="3166">
        <v>1624500</v>
      </c>
      <c r="T227" s="3166" t="s">
        <v>4</v>
      </c>
      <c r="U227" s="1073"/>
      <c r="V227" s="3556">
        <v>2</v>
      </c>
      <c r="W227" s="3166" t="s">
        <v>575</v>
      </c>
      <c r="X227" s="684" t="s">
        <v>5</v>
      </c>
      <c r="Y227" s="3110">
        <f>+S227*V227/1000</f>
        <v>3249</v>
      </c>
      <c r="Z227" s="3166">
        <f t="shared" si="24"/>
        <v>3249000</v>
      </c>
      <c r="AA227" s="2033"/>
      <c r="AB227" s="2033"/>
      <c r="AC227" s="669"/>
    </row>
    <row r="228" spans="1:31" ht="21.95" customHeight="1">
      <c r="A228" s="1931"/>
      <c r="B228" s="630"/>
      <c r="C228" s="548"/>
      <c r="D228" s="676"/>
      <c r="E228" s="677" t="s">
        <v>379</v>
      </c>
      <c r="F228" s="469">
        <f>Y228</f>
        <v>45142</v>
      </c>
      <c r="G228" s="2547">
        <v>41057</v>
      </c>
      <c r="H228" s="2037">
        <f>F228-G228</f>
        <v>4085</v>
      </c>
      <c r="I228" s="2060"/>
      <c r="J228" s="681" t="s">
        <v>224</v>
      </c>
      <c r="K228" s="3515"/>
      <c r="L228" s="3515"/>
      <c r="M228" s="3515"/>
      <c r="N228" s="3525"/>
      <c r="O228" s="3525"/>
      <c r="P228" s="3525"/>
      <c r="Q228" s="684"/>
      <c r="R228" s="3524"/>
      <c r="S228" s="684"/>
      <c r="T228" s="684"/>
      <c r="U228" s="683"/>
      <c r="V228" s="684"/>
      <c r="W228" s="684"/>
      <c r="X228" s="684"/>
      <c r="Y228" s="871">
        <f>SUM(Y229:Y234)</f>
        <v>45142</v>
      </c>
      <c r="Z228" s="3166">
        <f t="shared" si="24"/>
        <v>0</v>
      </c>
      <c r="AA228" s="2033"/>
      <c r="AB228" s="2033"/>
      <c r="AC228" s="669"/>
    </row>
    <row r="229" spans="1:31" ht="21.95" customHeight="1">
      <c r="A229" s="1931"/>
      <c r="B229" s="630"/>
      <c r="C229" s="548"/>
      <c r="D229" s="676"/>
      <c r="E229" s="2547"/>
      <c r="F229" s="2547"/>
      <c r="G229" s="2547"/>
      <c r="H229" s="2548"/>
      <c r="I229" s="2607"/>
      <c r="J229" s="4034" t="s">
        <v>5750</v>
      </c>
      <c r="K229" s="4035"/>
      <c r="L229" s="4035"/>
      <c r="M229" s="4035"/>
      <c r="N229" s="4035"/>
      <c r="O229" s="4035"/>
      <c r="P229" s="4035"/>
      <c r="Q229" s="3166"/>
      <c r="R229" s="2504"/>
      <c r="S229" s="3166">
        <v>550000</v>
      </c>
      <c r="T229" s="3166" t="s">
        <v>4</v>
      </c>
      <c r="U229" s="1073"/>
      <c r="V229" s="3166">
        <v>12</v>
      </c>
      <c r="W229" s="3166" t="s">
        <v>55</v>
      </c>
      <c r="X229" s="3166" t="s">
        <v>5</v>
      </c>
      <c r="Y229" s="3110">
        <f t="shared" ref="Y229:Y235" si="25">+S229*V229/1000</f>
        <v>6600</v>
      </c>
      <c r="Z229" s="3166">
        <f t="shared" si="24"/>
        <v>6600000</v>
      </c>
      <c r="AA229" s="2033"/>
      <c r="AB229" s="2033"/>
      <c r="AC229" s="669"/>
    </row>
    <row r="230" spans="1:31" ht="21.95" customHeight="1">
      <c r="A230" s="1931"/>
      <c r="B230" s="630"/>
      <c r="C230" s="548"/>
      <c r="D230" s="676"/>
      <c r="E230" s="2547"/>
      <c r="F230" s="2547"/>
      <c r="G230" s="2547"/>
      <c r="H230" s="2548"/>
      <c r="I230" s="2607"/>
      <c r="J230" s="4034" t="s">
        <v>5742</v>
      </c>
      <c r="K230" s="4035"/>
      <c r="L230" s="4035"/>
      <c r="M230" s="4035"/>
      <c r="N230" s="4035"/>
      <c r="O230" s="4035"/>
      <c r="P230" s="4035"/>
      <c r="Q230" s="3166"/>
      <c r="R230" s="2504"/>
      <c r="S230" s="3166">
        <v>143000</v>
      </c>
      <c r="T230" s="3166" t="s">
        <v>4</v>
      </c>
      <c r="U230" s="1073"/>
      <c r="V230" s="3166">
        <v>8</v>
      </c>
      <c r="W230" s="3166" t="s">
        <v>55</v>
      </c>
      <c r="X230" s="3166" t="s">
        <v>5</v>
      </c>
      <c r="Y230" s="3110">
        <f t="shared" si="25"/>
        <v>1144</v>
      </c>
      <c r="Z230" s="3166">
        <f t="shared" si="24"/>
        <v>1144000</v>
      </c>
      <c r="AA230" s="2033"/>
      <c r="AB230" s="2033"/>
      <c r="AC230" s="669"/>
    </row>
    <row r="231" spans="1:31" ht="21.95" customHeight="1">
      <c r="A231" s="1931" t="s">
        <v>378</v>
      </c>
      <c r="B231" s="630"/>
      <c r="C231" s="548"/>
      <c r="D231" s="676"/>
      <c r="E231" s="2547"/>
      <c r="F231" s="2547"/>
      <c r="G231" s="2547"/>
      <c r="H231" s="2548"/>
      <c r="I231" s="2607"/>
      <c r="J231" s="4034" t="s">
        <v>5740</v>
      </c>
      <c r="K231" s="4035"/>
      <c r="L231" s="4035"/>
      <c r="M231" s="4035"/>
      <c r="N231" s="4035"/>
      <c r="O231" s="4035"/>
      <c r="P231" s="4035"/>
      <c r="Q231" s="3166"/>
      <c r="R231" s="2504"/>
      <c r="S231" s="3166">
        <v>19813000</v>
      </c>
      <c r="T231" s="3166" t="s">
        <v>4</v>
      </c>
      <c r="U231" s="1073"/>
      <c r="V231" s="3166">
        <v>1</v>
      </c>
      <c r="W231" s="3166" t="s">
        <v>226</v>
      </c>
      <c r="X231" s="3166" t="s">
        <v>5</v>
      </c>
      <c r="Y231" s="3110">
        <f t="shared" si="25"/>
        <v>19813</v>
      </c>
      <c r="Z231" s="3166">
        <f t="shared" si="24"/>
        <v>19813000</v>
      </c>
      <c r="AA231" s="2033"/>
      <c r="AB231" s="2033"/>
      <c r="AC231" s="669"/>
    </row>
    <row r="232" spans="1:31" ht="21.95" customHeight="1">
      <c r="A232" s="1931"/>
      <c r="B232" s="630"/>
      <c r="C232" s="548"/>
      <c r="D232" s="676"/>
      <c r="E232" s="2547"/>
      <c r="F232" s="2547"/>
      <c r="G232" s="2547"/>
      <c r="H232" s="2548"/>
      <c r="I232" s="2607"/>
      <c r="J232" s="4034" t="s">
        <v>5751</v>
      </c>
      <c r="K232" s="4035"/>
      <c r="L232" s="4035"/>
      <c r="M232" s="4035"/>
      <c r="N232" s="4035"/>
      <c r="O232" s="4035"/>
      <c r="P232" s="4035"/>
      <c r="Q232" s="3166"/>
      <c r="R232" s="2504"/>
      <c r="S232" s="3166">
        <v>4250000</v>
      </c>
      <c r="T232" s="3166" t="s">
        <v>4</v>
      </c>
      <c r="U232" s="1073"/>
      <c r="V232" s="3166">
        <v>2</v>
      </c>
      <c r="W232" s="3166" t="s">
        <v>39</v>
      </c>
      <c r="X232" s="3166" t="s">
        <v>5</v>
      </c>
      <c r="Y232" s="3110">
        <f t="shared" si="25"/>
        <v>8500</v>
      </c>
      <c r="Z232" s="3166">
        <f t="shared" si="24"/>
        <v>8500000</v>
      </c>
      <c r="AA232" s="2033"/>
      <c r="AB232" s="2033"/>
      <c r="AC232" s="669"/>
    </row>
    <row r="233" spans="1:31" s="479" customFormat="1" ht="21.95" customHeight="1">
      <c r="A233" s="1931"/>
      <c r="B233" s="630"/>
      <c r="C233" s="548"/>
      <c r="D233" s="676"/>
      <c r="E233" s="2547"/>
      <c r="F233" s="2547"/>
      <c r="G233" s="2547"/>
      <c r="H233" s="2548"/>
      <c r="I233" s="2607"/>
      <c r="J233" s="4034" t="s">
        <v>5741</v>
      </c>
      <c r="K233" s="4035"/>
      <c r="L233" s="4035"/>
      <c r="M233" s="4035"/>
      <c r="N233" s="4035"/>
      <c r="O233" s="4035"/>
      <c r="P233" s="4035"/>
      <c r="Q233" s="3166"/>
      <c r="R233" s="2504"/>
      <c r="S233" s="3166">
        <v>2500000</v>
      </c>
      <c r="T233" s="3166" t="s">
        <v>4</v>
      </c>
      <c r="U233" s="1073"/>
      <c r="V233" s="3166">
        <v>2</v>
      </c>
      <c r="W233" s="3166" t="s">
        <v>39</v>
      </c>
      <c r="X233" s="3166" t="s">
        <v>5</v>
      </c>
      <c r="Y233" s="3110">
        <f t="shared" si="25"/>
        <v>5000</v>
      </c>
      <c r="Z233" s="3166">
        <f t="shared" si="24"/>
        <v>5000000</v>
      </c>
      <c r="AA233" s="2033"/>
      <c r="AB233" s="2033"/>
      <c r="AC233" s="669"/>
    </row>
    <row r="234" spans="1:31" s="479" customFormat="1" ht="21.95" customHeight="1">
      <c r="A234" s="1931"/>
      <c r="B234" s="630"/>
      <c r="C234" s="548"/>
      <c r="D234" s="676"/>
      <c r="E234" s="2547"/>
      <c r="F234" s="1261"/>
      <c r="G234" s="2547"/>
      <c r="H234" s="680"/>
      <c r="I234" s="2060"/>
      <c r="J234" s="4034" t="s">
        <v>5752</v>
      </c>
      <c r="K234" s="4035"/>
      <c r="L234" s="4035"/>
      <c r="M234" s="4035"/>
      <c r="N234" s="4035"/>
      <c r="O234" s="4035"/>
      <c r="P234" s="4035"/>
      <c r="Q234" s="3166"/>
      <c r="R234" s="2504"/>
      <c r="S234" s="3166">
        <v>4085000</v>
      </c>
      <c r="T234" s="3166" t="s">
        <v>4</v>
      </c>
      <c r="U234" s="1073"/>
      <c r="V234" s="3166">
        <v>1</v>
      </c>
      <c r="W234" s="3166" t="s">
        <v>226</v>
      </c>
      <c r="X234" s="3166" t="s">
        <v>5</v>
      </c>
      <c r="Y234" s="3110">
        <f t="shared" si="25"/>
        <v>4085</v>
      </c>
      <c r="Z234" s="3166">
        <f t="shared" si="24"/>
        <v>4085000</v>
      </c>
      <c r="AA234" s="2033"/>
      <c r="AB234" s="2033"/>
      <c r="AC234" s="669"/>
    </row>
    <row r="235" spans="1:31" s="3119" customFormat="1" ht="21.95" customHeight="1">
      <c r="A235" s="3440"/>
      <c r="B235" s="2035"/>
      <c r="C235" s="548"/>
      <c r="D235" s="676"/>
      <c r="E235" s="677" t="s">
        <v>22</v>
      </c>
      <c r="F235" s="469">
        <f>Y235</f>
        <v>1649</v>
      </c>
      <c r="G235" s="2547">
        <v>2000</v>
      </c>
      <c r="H235" s="2037">
        <f>F235-G235</f>
        <v>-351</v>
      </c>
      <c r="I235" s="2060"/>
      <c r="J235" s="681" t="s">
        <v>5753</v>
      </c>
      <c r="K235" s="3515"/>
      <c r="L235" s="3515"/>
      <c r="M235" s="3515"/>
      <c r="N235" s="3525"/>
      <c r="O235" s="3166"/>
      <c r="P235" s="3166"/>
      <c r="Q235" s="3166"/>
      <c r="R235" s="2504"/>
      <c r="S235" s="3166">
        <v>1649000</v>
      </c>
      <c r="T235" s="3166" t="s">
        <v>4</v>
      </c>
      <c r="U235" s="1073"/>
      <c r="V235" s="3166">
        <v>1</v>
      </c>
      <c r="W235" s="3166" t="s">
        <v>50</v>
      </c>
      <c r="X235" s="3166" t="s">
        <v>5</v>
      </c>
      <c r="Y235" s="3110">
        <f t="shared" si="25"/>
        <v>1649</v>
      </c>
      <c r="Z235" s="3166"/>
      <c r="AA235" s="2033"/>
      <c r="AB235" s="2033"/>
      <c r="AC235" s="669"/>
    </row>
    <row r="236" spans="1:31" s="3119" customFormat="1" ht="21.95" customHeight="1">
      <c r="A236" s="3381"/>
      <c r="B236" s="2035"/>
      <c r="C236" s="548"/>
      <c r="D236" s="676"/>
      <c r="E236" s="677" t="s">
        <v>16</v>
      </c>
      <c r="F236" s="469">
        <f>Y236</f>
        <v>0</v>
      </c>
      <c r="G236" s="469">
        <v>4000</v>
      </c>
      <c r="H236" s="2037">
        <f>F236-G236</f>
        <v>-4000</v>
      </c>
      <c r="I236" s="2060"/>
      <c r="J236" s="3554" t="s">
        <v>5207</v>
      </c>
      <c r="K236" s="2504"/>
      <c r="L236" s="2504"/>
      <c r="M236" s="2504"/>
      <c r="N236" s="3166"/>
      <c r="O236" s="3166"/>
      <c r="P236" s="3166"/>
      <c r="Q236" s="3166"/>
      <c r="R236" s="2504"/>
      <c r="S236" s="3166"/>
      <c r="T236" s="3166"/>
      <c r="U236" s="1073"/>
      <c r="V236" s="3166"/>
      <c r="W236" s="3166"/>
      <c r="X236" s="3166"/>
      <c r="Y236" s="732"/>
      <c r="Z236" s="3166"/>
      <c r="AA236" s="2033"/>
      <c r="AB236" s="2033"/>
      <c r="AC236" s="669"/>
    </row>
    <row r="237" spans="1:31" s="3119" customFormat="1" ht="21.95" customHeight="1">
      <c r="A237" s="3381"/>
      <c r="B237" s="2035"/>
      <c r="C237" s="548"/>
      <c r="D237" s="676"/>
      <c r="E237" s="677" t="s">
        <v>262</v>
      </c>
      <c r="F237" s="469">
        <f>Y237</f>
        <v>5126</v>
      </c>
      <c r="G237" s="2547">
        <v>4860</v>
      </c>
      <c r="H237" s="2037">
        <f>F237-G237</f>
        <v>266</v>
      </c>
      <c r="I237" s="2060"/>
      <c r="J237" s="681" t="s">
        <v>5754</v>
      </c>
      <c r="K237" s="3515"/>
      <c r="L237" s="3515"/>
      <c r="M237" s="3515"/>
      <c r="N237" s="3525"/>
      <c r="O237" s="3166"/>
      <c r="P237" s="3166"/>
      <c r="Q237" s="3166"/>
      <c r="R237" s="2504"/>
      <c r="S237" s="3166">
        <v>512600</v>
      </c>
      <c r="T237" s="3166" t="s">
        <v>4</v>
      </c>
      <c r="U237" s="1073"/>
      <c r="V237" s="3166">
        <v>10</v>
      </c>
      <c r="W237" s="3166" t="s">
        <v>55</v>
      </c>
      <c r="X237" s="3166" t="s">
        <v>5</v>
      </c>
      <c r="Y237" s="3110">
        <f t="shared" ref="Y237" si="26">+S237*V237/1000</f>
        <v>5126</v>
      </c>
      <c r="Z237" s="3166">
        <f t="shared" si="24"/>
        <v>5126000</v>
      </c>
      <c r="AA237" s="2033"/>
      <c r="AB237" s="2033"/>
      <c r="AC237" s="669"/>
    </row>
    <row r="238" spans="1:31" s="479" customFormat="1" ht="21.95" customHeight="1">
      <c r="A238" s="1931"/>
      <c r="B238" s="630"/>
      <c r="C238" s="1373" t="s">
        <v>672</v>
      </c>
      <c r="D238" s="1941"/>
      <c r="E238" s="1930"/>
      <c r="F238" s="512">
        <f>F239+F251+F262</f>
        <v>58000</v>
      </c>
      <c r="G238" s="512">
        <f>G239+G251+G262</f>
        <v>58000</v>
      </c>
      <c r="H238" s="2021">
        <f>F238-G238</f>
        <v>0</v>
      </c>
      <c r="I238" s="471"/>
      <c r="J238" s="665"/>
      <c r="K238" s="1310"/>
      <c r="L238" s="1310"/>
      <c r="M238" s="1310"/>
      <c r="N238" s="1310"/>
      <c r="O238" s="1310"/>
      <c r="P238" s="1310"/>
      <c r="Q238" s="1374"/>
      <c r="R238" s="1310"/>
      <c r="S238" s="1310"/>
      <c r="T238" s="1310"/>
      <c r="U238" s="1310"/>
      <c r="V238" s="1310"/>
      <c r="W238" s="1310"/>
      <c r="X238" s="1963"/>
      <c r="Y238" s="1375"/>
      <c r="Z238" s="308">
        <f t="shared" si="24"/>
        <v>0</v>
      </c>
      <c r="AA238" s="2033"/>
      <c r="AB238" s="2033"/>
      <c r="AC238" s="669"/>
    </row>
    <row r="239" spans="1:31" s="479" customFormat="1" ht="21.95" customHeight="1">
      <c r="A239" s="1931"/>
      <c r="B239" s="630"/>
      <c r="C239" s="548"/>
      <c r="D239" s="3837" t="s">
        <v>673</v>
      </c>
      <c r="E239" s="3838"/>
      <c r="F239" s="664">
        <f>SUM(F240:F250)</f>
        <v>25000</v>
      </c>
      <c r="G239" s="598">
        <f>SUM(G240:G250)</f>
        <v>25000</v>
      </c>
      <c r="H239" s="486">
        <f>F239-G239</f>
        <v>0</v>
      </c>
      <c r="I239" s="2014"/>
      <c r="J239" s="665"/>
      <c r="K239" s="2101"/>
      <c r="L239" s="2101"/>
      <c r="M239" s="2101"/>
      <c r="N239" s="2101"/>
      <c r="O239" s="2101"/>
      <c r="P239" s="645"/>
      <c r="Q239" s="2101"/>
      <c r="R239" s="2036"/>
      <c r="S239" s="645"/>
      <c r="T239" s="2101"/>
      <c r="U239" s="2101"/>
      <c r="V239" s="645"/>
      <c r="W239" s="2101"/>
      <c r="X239" s="1363"/>
      <c r="Y239" s="667"/>
      <c r="Z239" s="308">
        <f t="shared" si="24"/>
        <v>0</v>
      </c>
      <c r="AA239" s="2033"/>
      <c r="AB239" s="2033"/>
      <c r="AC239" s="669"/>
    </row>
    <row r="240" spans="1:31" s="479" customFormat="1" ht="21.95" customHeight="1">
      <c r="A240" s="1931"/>
      <c r="B240" s="630"/>
      <c r="C240" s="548"/>
      <c r="D240" s="2020"/>
      <c r="E240" s="2023" t="s">
        <v>647</v>
      </c>
      <c r="F240" s="469">
        <v>2000</v>
      </c>
      <c r="G240" s="469">
        <v>2000</v>
      </c>
      <c r="H240" s="486"/>
      <c r="I240" s="2014"/>
      <c r="J240" s="2105" t="s">
        <v>375</v>
      </c>
      <c r="K240" s="2082" t="s">
        <v>2507</v>
      </c>
      <c r="L240" s="2082"/>
      <c r="M240" s="2082"/>
      <c r="N240" s="2075"/>
      <c r="O240" s="2075"/>
      <c r="P240" s="2075"/>
      <c r="Q240" s="2106" t="s">
        <v>378</v>
      </c>
      <c r="R240" s="2092" t="s">
        <v>378</v>
      </c>
      <c r="S240" s="2106">
        <v>20000</v>
      </c>
      <c r="T240" s="2106" t="s">
        <v>37</v>
      </c>
      <c r="U240" s="2015"/>
      <c r="V240" s="2106">
        <v>100</v>
      </c>
      <c r="W240" s="2106" t="s">
        <v>254</v>
      </c>
      <c r="X240" s="2106" t="s">
        <v>38</v>
      </c>
      <c r="Y240" s="483">
        <f t="shared" ref="Y240:Y250" si="27">Z240/1000</f>
        <v>2000</v>
      </c>
      <c r="Z240" s="3382">
        <f>S240*V240</f>
        <v>2000000</v>
      </c>
      <c r="AA240" s="2033"/>
      <c r="AB240" s="2033"/>
      <c r="AC240" s="669"/>
    </row>
    <row r="241" spans="1:29" s="479" customFormat="1" ht="21.95" customHeight="1">
      <c r="A241" s="1931"/>
      <c r="B241" s="630"/>
      <c r="C241" s="548"/>
      <c r="D241" s="2020"/>
      <c r="E241" s="2023" t="s">
        <v>648</v>
      </c>
      <c r="F241" s="469">
        <v>4863.3999999999996</v>
      </c>
      <c r="G241" s="469">
        <v>4863.3999999999996</v>
      </c>
      <c r="H241" s="470"/>
      <c r="I241" s="2014"/>
      <c r="J241" s="2105" t="s">
        <v>224</v>
      </c>
      <c r="K241" s="2082" t="s">
        <v>2512</v>
      </c>
      <c r="L241" s="2082"/>
      <c r="M241" s="2082"/>
      <c r="N241" s="2075"/>
      <c r="O241" s="2075"/>
      <c r="P241" s="2075"/>
      <c r="Q241" s="2106"/>
      <c r="R241" s="2092"/>
      <c r="S241" s="556"/>
      <c r="T241" s="2106"/>
      <c r="U241" s="2106"/>
      <c r="V241" s="2106"/>
      <c r="W241" s="2106"/>
      <c r="X241" s="2106"/>
      <c r="Y241" s="3110">
        <f t="shared" si="27"/>
        <v>4863.3999999999996</v>
      </c>
      <c r="Z241" s="308">
        <f>+Z242+Z243</f>
        <v>4863400</v>
      </c>
      <c r="AA241" s="2033"/>
      <c r="AB241" s="2033"/>
      <c r="AC241" s="669"/>
    </row>
    <row r="242" spans="1:29" s="479" customFormat="1" ht="21.95" customHeight="1">
      <c r="A242" s="1931"/>
      <c r="B242" s="630"/>
      <c r="C242" s="548"/>
      <c r="D242" s="2020"/>
      <c r="E242" s="2023"/>
      <c r="F242" s="469"/>
      <c r="G242" s="469"/>
      <c r="H242" s="2037"/>
      <c r="I242" s="2014"/>
      <c r="J242" s="3702" t="s">
        <v>2508</v>
      </c>
      <c r="K242" s="3701"/>
      <c r="L242" s="3701"/>
      <c r="M242" s="3701"/>
      <c r="N242" s="2075"/>
      <c r="O242" s="2075"/>
      <c r="P242" s="2075"/>
      <c r="Q242" s="2106"/>
      <c r="R242" s="2092"/>
      <c r="S242" s="556">
        <v>852680</v>
      </c>
      <c r="T242" s="2106" t="s">
        <v>2511</v>
      </c>
      <c r="U242" s="2106"/>
      <c r="V242" s="2106">
        <v>5</v>
      </c>
      <c r="W242" s="2106" t="s">
        <v>39</v>
      </c>
      <c r="X242" s="2106" t="s">
        <v>38</v>
      </c>
      <c r="Y242" s="3110">
        <f t="shared" si="27"/>
        <v>4263.3999999999996</v>
      </c>
      <c r="Z242" s="3382">
        <f>S242*V242</f>
        <v>4263400</v>
      </c>
      <c r="AA242" s="2033"/>
      <c r="AB242" s="2033"/>
      <c r="AC242" s="669"/>
    </row>
    <row r="243" spans="1:29" s="479" customFormat="1" ht="21.95" customHeight="1">
      <c r="A243" s="1931"/>
      <c r="B243" s="630"/>
      <c r="C243" s="548"/>
      <c r="D243" s="2020"/>
      <c r="E243" s="2023"/>
      <c r="F243" s="469"/>
      <c r="G243" s="469"/>
      <c r="H243" s="2037"/>
      <c r="I243" s="2014"/>
      <c r="J243" s="3702" t="s">
        <v>6127</v>
      </c>
      <c r="K243" s="3701"/>
      <c r="L243" s="3701"/>
      <c r="M243" s="3701"/>
      <c r="N243" s="2075"/>
      <c r="O243" s="2075"/>
      <c r="P243" s="2075"/>
      <c r="Q243" s="2106"/>
      <c r="R243" s="2092"/>
      <c r="S243" s="556">
        <v>20000</v>
      </c>
      <c r="T243" s="2106" t="s">
        <v>2511</v>
      </c>
      <c r="U243" s="2106"/>
      <c r="V243" s="2106">
        <v>30</v>
      </c>
      <c r="W243" s="2106" t="s">
        <v>243</v>
      </c>
      <c r="X243" s="2106" t="s">
        <v>38</v>
      </c>
      <c r="Y243" s="3110">
        <f t="shared" si="27"/>
        <v>600</v>
      </c>
      <c r="Z243" s="3382">
        <f>S243*V243</f>
        <v>600000</v>
      </c>
      <c r="AA243" s="2033"/>
      <c r="AB243" s="2033"/>
      <c r="AC243" s="669"/>
    </row>
    <row r="244" spans="1:29" s="479" customFormat="1" ht="21.95" customHeight="1">
      <c r="A244" s="1931"/>
      <c r="B244" s="630"/>
      <c r="C244" s="548"/>
      <c r="D244" s="2020"/>
      <c r="E244" s="2023" t="s">
        <v>571</v>
      </c>
      <c r="F244" s="469">
        <v>36.6</v>
      </c>
      <c r="G244" s="469">
        <v>36.6</v>
      </c>
      <c r="H244" s="470"/>
      <c r="I244" s="2014"/>
      <c r="J244" s="2105" t="s">
        <v>224</v>
      </c>
      <c r="K244" s="2082" t="s">
        <v>2510</v>
      </c>
      <c r="L244" s="2082"/>
      <c r="M244" s="2082"/>
      <c r="N244" s="2075"/>
      <c r="O244" s="2075"/>
      <c r="P244" s="2075"/>
      <c r="Q244" s="2106"/>
      <c r="R244" s="2092"/>
      <c r="S244" s="556">
        <v>36600</v>
      </c>
      <c r="T244" s="2106" t="s">
        <v>2511</v>
      </c>
      <c r="U244" s="2106"/>
      <c r="V244" s="2106">
        <v>1</v>
      </c>
      <c r="W244" s="2106" t="s">
        <v>243</v>
      </c>
      <c r="X244" s="2106" t="s">
        <v>38</v>
      </c>
      <c r="Y244" s="3110">
        <f t="shared" si="27"/>
        <v>36.6</v>
      </c>
      <c r="Z244" s="3382">
        <f>S244*V244</f>
        <v>36600</v>
      </c>
      <c r="AA244" s="2033"/>
      <c r="AB244" s="2033"/>
      <c r="AC244" s="669"/>
    </row>
    <row r="245" spans="1:29" s="479" customFormat="1" ht="21.95" customHeight="1">
      <c r="A245" s="1931"/>
      <c r="B245" s="630"/>
      <c r="C245" s="548"/>
      <c r="D245" s="2020"/>
      <c r="E245" s="2023" t="s">
        <v>246</v>
      </c>
      <c r="F245" s="469">
        <f>Y245</f>
        <v>12600</v>
      </c>
      <c r="G245" s="469">
        <v>12600</v>
      </c>
      <c r="H245" s="2037"/>
      <c r="I245" s="2014"/>
      <c r="J245" s="2105" t="s">
        <v>224</v>
      </c>
      <c r="K245" s="2082"/>
      <c r="L245" s="2082"/>
      <c r="M245" s="2082"/>
      <c r="N245" s="2075"/>
      <c r="O245" s="2075"/>
      <c r="P245" s="2075"/>
      <c r="Q245" s="2106"/>
      <c r="R245" s="2092"/>
      <c r="S245" s="556"/>
      <c r="T245" s="2106"/>
      <c r="U245" s="2106"/>
      <c r="V245" s="2106"/>
      <c r="W245" s="2106"/>
      <c r="X245" s="2106"/>
      <c r="Y245" s="3110">
        <f t="shared" si="27"/>
        <v>12600</v>
      </c>
      <c r="Z245" s="308">
        <f>+Z246+Z247</f>
        <v>12600000</v>
      </c>
      <c r="AA245" s="2033"/>
      <c r="AB245" s="2033"/>
      <c r="AC245" s="669"/>
    </row>
    <row r="246" spans="1:29" s="479" customFormat="1" ht="21.95" customHeight="1">
      <c r="A246" s="1931"/>
      <c r="B246" s="630"/>
      <c r="C246" s="548"/>
      <c r="D246" s="2020"/>
      <c r="E246" s="2023"/>
      <c r="F246" s="469"/>
      <c r="G246" s="469"/>
      <c r="H246" s="2037"/>
      <c r="I246" s="2014"/>
      <c r="J246" s="2105" t="s">
        <v>2508</v>
      </c>
      <c r="K246" s="2082"/>
      <c r="L246" s="2082"/>
      <c r="M246" s="2082"/>
      <c r="N246" s="2075"/>
      <c r="O246" s="2075"/>
      <c r="P246" s="2075"/>
      <c r="Q246" s="2106"/>
      <c r="R246" s="2092"/>
      <c r="S246" s="556">
        <v>550000</v>
      </c>
      <c r="T246" s="2106" t="s">
        <v>37</v>
      </c>
      <c r="U246" s="2106" t="s">
        <v>265</v>
      </c>
      <c r="V246" s="2106">
        <v>12</v>
      </c>
      <c r="W246" s="2106" t="s">
        <v>233</v>
      </c>
      <c r="X246" s="2106" t="s">
        <v>38</v>
      </c>
      <c r="Y246" s="3110">
        <f t="shared" si="27"/>
        <v>6600</v>
      </c>
      <c r="Z246" s="3382">
        <f>S246*V246</f>
        <v>6600000</v>
      </c>
      <c r="AA246" s="2033"/>
      <c r="AB246" s="2033"/>
      <c r="AC246" s="669"/>
    </row>
    <row r="247" spans="1:29" s="479" customFormat="1" ht="21.95" customHeight="1">
      <c r="A247" s="1931"/>
      <c r="B247" s="630"/>
      <c r="C247" s="548"/>
      <c r="D247" s="2020"/>
      <c r="E247" s="2023"/>
      <c r="F247" s="469"/>
      <c r="G247" s="469"/>
      <c r="H247" s="2037"/>
      <c r="I247" s="2014"/>
      <c r="J247" s="2105" t="s">
        <v>2509</v>
      </c>
      <c r="K247" s="2082"/>
      <c r="L247" s="2082"/>
      <c r="M247" s="2082"/>
      <c r="N247" s="2075"/>
      <c r="O247" s="2075"/>
      <c r="P247" s="2075"/>
      <c r="Q247" s="2106"/>
      <c r="R247" s="2092"/>
      <c r="S247" s="556">
        <v>6000000</v>
      </c>
      <c r="T247" s="2106" t="s">
        <v>37</v>
      </c>
      <c r="U247" s="2106"/>
      <c r="V247" s="2106">
        <v>1</v>
      </c>
      <c r="W247" s="2106" t="s">
        <v>243</v>
      </c>
      <c r="X247" s="2106" t="s">
        <v>38</v>
      </c>
      <c r="Y247" s="3110">
        <f t="shared" si="27"/>
        <v>6000</v>
      </c>
      <c r="Z247" s="3382">
        <f>S247*V247</f>
        <v>6000000</v>
      </c>
      <c r="AA247" s="2033"/>
      <c r="AB247" s="2033"/>
      <c r="AC247" s="669"/>
    </row>
    <row r="248" spans="1:29" s="479" customFormat="1" ht="21.95" customHeight="1">
      <c r="A248" s="1931"/>
      <c r="B248" s="630"/>
      <c r="C248" s="548"/>
      <c r="D248" s="2020"/>
      <c r="E248" s="2023" t="s">
        <v>649</v>
      </c>
      <c r="F248" s="469">
        <f>Y248</f>
        <v>300</v>
      </c>
      <c r="G248" s="469">
        <v>300</v>
      </c>
      <c r="H248" s="2037"/>
      <c r="I248" s="2014"/>
      <c r="J248" s="2105" t="s">
        <v>664</v>
      </c>
      <c r="K248" s="2082"/>
      <c r="L248" s="2082"/>
      <c r="M248" s="2082"/>
      <c r="N248" s="2075"/>
      <c r="O248" s="2075"/>
      <c r="P248" s="2075"/>
      <c r="Q248" s="2106"/>
      <c r="R248" s="2092"/>
      <c r="S248" s="556">
        <v>600</v>
      </c>
      <c r="T248" s="2106" t="s">
        <v>37</v>
      </c>
      <c r="U248" s="2106" t="s">
        <v>265</v>
      </c>
      <c r="V248" s="2106">
        <v>500</v>
      </c>
      <c r="W248" s="2106" t="s">
        <v>646</v>
      </c>
      <c r="X248" s="2106" t="s">
        <v>38</v>
      </c>
      <c r="Y248" s="3110">
        <f t="shared" si="27"/>
        <v>300</v>
      </c>
      <c r="Z248" s="3382">
        <f>S248*V248</f>
        <v>300000</v>
      </c>
      <c r="AA248" s="2033"/>
      <c r="AB248" s="2033"/>
      <c r="AC248" s="669"/>
    </row>
    <row r="249" spans="1:29" s="479" customFormat="1" ht="21.95" customHeight="1">
      <c r="A249" s="1931"/>
      <c r="B249" s="630"/>
      <c r="C249" s="548"/>
      <c r="D249" s="2020"/>
      <c r="E249" s="2023" t="s">
        <v>451</v>
      </c>
      <c r="F249" s="469">
        <v>5000</v>
      </c>
      <c r="G249" s="469">
        <v>5000</v>
      </c>
      <c r="H249" s="470"/>
      <c r="I249" s="2014"/>
      <c r="J249" s="3702" t="s">
        <v>6128</v>
      </c>
      <c r="K249" s="3701"/>
      <c r="L249" s="3701"/>
      <c r="M249" s="2082"/>
      <c r="N249" s="2075"/>
      <c r="O249" s="2075"/>
      <c r="P249" s="2075"/>
      <c r="Q249" s="2106"/>
      <c r="R249" s="2092"/>
      <c r="S249" s="556">
        <v>1000000</v>
      </c>
      <c r="T249" s="2106" t="s">
        <v>2511</v>
      </c>
      <c r="U249" s="2106"/>
      <c r="V249" s="2106">
        <v>5</v>
      </c>
      <c r="W249" s="2106" t="s">
        <v>39</v>
      </c>
      <c r="X249" s="2106" t="s">
        <v>38</v>
      </c>
      <c r="Y249" s="3110">
        <f t="shared" si="27"/>
        <v>5000</v>
      </c>
      <c r="Z249" s="3382">
        <f>S249*V249</f>
        <v>5000000</v>
      </c>
      <c r="AA249" s="2033"/>
      <c r="AB249" s="2033"/>
      <c r="AC249" s="669"/>
    </row>
    <row r="250" spans="1:29" s="479" customFormat="1" ht="21.95" customHeight="1">
      <c r="A250" s="1931"/>
      <c r="B250" s="630"/>
      <c r="C250" s="548"/>
      <c r="D250" s="2020"/>
      <c r="E250" s="2023" t="s">
        <v>242</v>
      </c>
      <c r="F250" s="469">
        <f>Y250</f>
        <v>200</v>
      </c>
      <c r="G250" s="469">
        <v>200</v>
      </c>
      <c r="H250" s="2037"/>
      <c r="I250" s="2014"/>
      <c r="J250" s="2105" t="s">
        <v>453</v>
      </c>
      <c r="K250" s="2082"/>
      <c r="L250" s="2082"/>
      <c r="M250" s="2082"/>
      <c r="N250" s="2075"/>
      <c r="O250" s="2075"/>
      <c r="P250" s="2075"/>
      <c r="Q250" s="2106"/>
      <c r="R250" s="2092"/>
      <c r="S250" s="2106">
        <v>200000</v>
      </c>
      <c r="T250" s="2106" t="s">
        <v>37</v>
      </c>
      <c r="U250" s="2015"/>
      <c r="V250" s="2106">
        <v>1</v>
      </c>
      <c r="W250" s="2106" t="s">
        <v>233</v>
      </c>
      <c r="X250" s="2106" t="s">
        <v>38</v>
      </c>
      <c r="Y250" s="3110">
        <f t="shared" si="27"/>
        <v>200</v>
      </c>
      <c r="Z250" s="3382">
        <f>S250*V250</f>
        <v>200000</v>
      </c>
      <c r="AA250" s="2033"/>
      <c r="AB250" s="2033"/>
      <c r="AC250" s="669"/>
    </row>
    <row r="251" spans="1:29" s="479" customFormat="1" ht="21.95" customHeight="1">
      <c r="A251" s="1931"/>
      <c r="B251" s="630"/>
      <c r="C251" s="548"/>
      <c r="D251" s="3837" t="s">
        <v>675</v>
      </c>
      <c r="E251" s="3838"/>
      <c r="F251" s="664">
        <f>SUM(F252:F261)</f>
        <v>27000</v>
      </c>
      <c r="G251" s="598">
        <f>SUM(G252:G261)</f>
        <v>27000</v>
      </c>
      <c r="H251" s="513">
        <f>F251-G251</f>
        <v>0</v>
      </c>
      <c r="I251" s="471"/>
      <c r="J251" s="665"/>
      <c r="K251" s="1963"/>
      <c r="L251" s="1963"/>
      <c r="M251" s="1963"/>
      <c r="N251" s="1963"/>
      <c r="O251" s="1963"/>
      <c r="P251" s="645"/>
      <c r="Q251" s="1963"/>
      <c r="R251" s="651"/>
      <c r="S251" s="645"/>
      <c r="T251" s="1963"/>
      <c r="U251" s="1963"/>
      <c r="V251" s="645"/>
      <c r="W251" s="1963"/>
      <c r="X251" s="1363"/>
      <c r="Y251" s="667"/>
      <c r="Z251" s="308">
        <f t="shared" ref="Z251:Z293" si="28">ROUNDUP(S251*V251,-3)</f>
        <v>0</v>
      </c>
      <c r="AA251" s="2033"/>
      <c r="AB251" s="2033"/>
      <c r="AC251" s="669"/>
    </row>
    <row r="252" spans="1:29" s="479" customFormat="1" ht="21.95" customHeight="1">
      <c r="A252" s="1931"/>
      <c r="B252" s="630"/>
      <c r="C252" s="548"/>
      <c r="D252" s="505"/>
      <c r="E252" s="677" t="s">
        <v>647</v>
      </c>
      <c r="F252" s="1261">
        <f>+Y252</f>
        <v>250</v>
      </c>
      <c r="G252" s="679">
        <v>250</v>
      </c>
      <c r="H252" s="680">
        <v>-500</v>
      </c>
      <c r="I252" s="2060"/>
      <c r="J252" s="681" t="s">
        <v>1738</v>
      </c>
      <c r="K252" s="3016"/>
      <c r="L252" s="3016"/>
      <c r="M252" s="3016"/>
      <c r="N252" s="3228"/>
      <c r="O252" s="3228"/>
      <c r="P252" s="3228"/>
      <c r="Q252" s="684"/>
      <c r="R252" s="3229"/>
      <c r="S252" s="3164">
        <v>5000</v>
      </c>
      <c r="T252" s="3163" t="s">
        <v>37</v>
      </c>
      <c r="U252" s="3163"/>
      <c r="V252" s="3163">
        <v>50</v>
      </c>
      <c r="W252" s="3163" t="s">
        <v>254</v>
      </c>
      <c r="X252" s="3163" t="s">
        <v>38</v>
      </c>
      <c r="Y252" s="3110">
        <f t="shared" ref="Y252:Y261" si="29">Z252/1000</f>
        <v>250</v>
      </c>
      <c r="Z252" s="3382">
        <f>S252*V252</f>
        <v>250000</v>
      </c>
      <c r="AA252" s="2033"/>
      <c r="AB252" s="2033"/>
      <c r="AC252" s="669"/>
    </row>
    <row r="253" spans="1:29" s="479" customFormat="1" ht="21.95" customHeight="1">
      <c r="A253" s="1931"/>
      <c r="B253" s="630"/>
      <c r="C253" s="548"/>
      <c r="D253" s="505"/>
      <c r="E253" s="677" t="s">
        <v>659</v>
      </c>
      <c r="F253" s="1261">
        <f>+Y253</f>
        <v>120</v>
      </c>
      <c r="G253" s="679">
        <v>120</v>
      </c>
      <c r="H253" s="680"/>
      <c r="I253" s="2060"/>
      <c r="J253" s="681" t="s">
        <v>1739</v>
      </c>
      <c r="K253" s="3016"/>
      <c r="L253" s="3016"/>
      <c r="M253" s="3016"/>
      <c r="N253" s="3228"/>
      <c r="O253" s="3228"/>
      <c r="P253" s="3228"/>
      <c r="Q253" s="684">
        <v>20</v>
      </c>
      <c r="R253" s="3229" t="s">
        <v>227</v>
      </c>
      <c r="S253" s="1038">
        <v>3000</v>
      </c>
      <c r="T253" s="684" t="s">
        <v>37</v>
      </c>
      <c r="U253" s="684" t="s">
        <v>265</v>
      </c>
      <c r="V253" s="684">
        <v>2</v>
      </c>
      <c r="W253" s="684" t="s">
        <v>233</v>
      </c>
      <c r="X253" s="684" t="s">
        <v>38</v>
      </c>
      <c r="Y253" s="3110">
        <f t="shared" si="29"/>
        <v>120</v>
      </c>
      <c r="Z253" s="3382">
        <f>Q253*S253*V253</f>
        <v>120000</v>
      </c>
      <c r="AA253" s="2033"/>
      <c r="AB253" s="2033"/>
      <c r="AC253" s="669"/>
    </row>
    <row r="254" spans="1:29" s="479" customFormat="1" ht="21.95" customHeight="1">
      <c r="A254" s="1931"/>
      <c r="B254" s="630"/>
      <c r="C254" s="548"/>
      <c r="D254" s="505"/>
      <c r="E254" s="677" t="s">
        <v>648</v>
      </c>
      <c r="F254" s="1261">
        <f>+Y254</f>
        <v>1480</v>
      </c>
      <c r="G254" s="679">
        <v>1480</v>
      </c>
      <c r="H254" s="680">
        <v>1000</v>
      </c>
      <c r="I254" s="2060"/>
      <c r="J254" s="681" t="s">
        <v>459</v>
      </c>
      <c r="K254" s="3016"/>
      <c r="L254" s="3016"/>
      <c r="M254" s="3016"/>
      <c r="N254" s="3228"/>
      <c r="O254" s="3228"/>
      <c r="P254" s="3228"/>
      <c r="Q254" s="684"/>
      <c r="R254" s="3229"/>
      <c r="S254" s="684">
        <v>148000</v>
      </c>
      <c r="T254" s="684" t="s">
        <v>37</v>
      </c>
      <c r="U254" s="683"/>
      <c r="V254" s="684">
        <v>10</v>
      </c>
      <c r="W254" s="684" t="s">
        <v>233</v>
      </c>
      <c r="X254" s="684" t="s">
        <v>38</v>
      </c>
      <c r="Y254" s="3110">
        <f t="shared" si="29"/>
        <v>1480</v>
      </c>
      <c r="Z254" s="3382">
        <f>S254*V254</f>
        <v>1480000</v>
      </c>
      <c r="AA254" s="2033"/>
      <c r="AB254" s="2033"/>
      <c r="AC254" s="669"/>
    </row>
    <row r="255" spans="1:29" s="479" customFormat="1" ht="21.95" customHeight="1">
      <c r="A255" s="1931"/>
      <c r="B255" s="630"/>
      <c r="C255" s="548"/>
      <c r="D255" s="505"/>
      <c r="E255" s="677" t="s">
        <v>245</v>
      </c>
      <c r="F255" s="1261">
        <f>+Y255</f>
        <v>18650</v>
      </c>
      <c r="G255" s="679">
        <v>18650</v>
      </c>
      <c r="H255" s="680"/>
      <c r="I255" s="2060"/>
      <c r="J255" s="681" t="s">
        <v>375</v>
      </c>
      <c r="K255" s="3016"/>
      <c r="L255" s="3016"/>
      <c r="M255" s="3016"/>
      <c r="N255" s="3228"/>
      <c r="O255" s="3228"/>
      <c r="P255" s="3228"/>
      <c r="Q255" s="684" t="s">
        <v>378</v>
      </c>
      <c r="R255" s="3229" t="s">
        <v>378</v>
      </c>
      <c r="S255" s="684"/>
      <c r="T255" s="684"/>
      <c r="U255" s="683"/>
      <c r="V255" s="684"/>
      <c r="W255" s="684"/>
      <c r="X255" s="684"/>
      <c r="Y255" s="3110">
        <f t="shared" si="29"/>
        <v>18650</v>
      </c>
      <c r="Z255" s="3166">
        <f>+Z256+Z257+Z258</f>
        <v>18650000</v>
      </c>
      <c r="AA255" s="2033"/>
      <c r="AB255" s="2033"/>
      <c r="AC255" s="669"/>
    </row>
    <row r="256" spans="1:29" s="479" customFormat="1" ht="21.95" customHeight="1">
      <c r="A256" s="1931"/>
      <c r="B256" s="630"/>
      <c r="C256" s="548"/>
      <c r="D256" s="505"/>
      <c r="E256" s="677"/>
      <c r="F256" s="1261"/>
      <c r="G256" s="679"/>
      <c r="H256" s="680"/>
      <c r="I256" s="2060"/>
      <c r="J256" s="681" t="s">
        <v>1750</v>
      </c>
      <c r="K256" s="3016"/>
      <c r="L256" s="3016"/>
      <c r="M256" s="3016"/>
      <c r="N256" s="3228"/>
      <c r="O256" s="3228"/>
      <c r="P256" s="3228"/>
      <c r="Q256" s="684">
        <v>3</v>
      </c>
      <c r="R256" s="3229" t="s">
        <v>227</v>
      </c>
      <c r="S256" s="3164">
        <v>15000</v>
      </c>
      <c r="T256" s="3163" t="s">
        <v>37</v>
      </c>
      <c r="U256" s="3163"/>
      <c r="V256" s="3163">
        <v>330</v>
      </c>
      <c r="W256" s="3163" t="s">
        <v>24</v>
      </c>
      <c r="X256" s="3163" t="s">
        <v>38</v>
      </c>
      <c r="Y256" s="3110">
        <f t="shared" si="29"/>
        <v>14850</v>
      </c>
      <c r="Z256" s="3382">
        <f>Q256*S256*V256</f>
        <v>14850000</v>
      </c>
      <c r="AA256" s="2033"/>
      <c r="AB256" s="2033"/>
      <c r="AC256" s="669"/>
    </row>
    <row r="257" spans="1:31" s="479" customFormat="1" ht="21.95" customHeight="1">
      <c r="A257" s="1931"/>
      <c r="B257" s="630"/>
      <c r="C257" s="548"/>
      <c r="D257" s="505"/>
      <c r="E257" s="677"/>
      <c r="F257" s="1261"/>
      <c r="G257" s="679"/>
      <c r="H257" s="680"/>
      <c r="I257" s="2060"/>
      <c r="J257" s="681" t="s">
        <v>1751</v>
      </c>
      <c r="K257" s="3016"/>
      <c r="L257" s="3016"/>
      <c r="M257" s="3016"/>
      <c r="N257" s="3228"/>
      <c r="O257" s="3228"/>
      <c r="P257" s="3228"/>
      <c r="Q257" s="684">
        <v>4</v>
      </c>
      <c r="R257" s="3229" t="s">
        <v>227</v>
      </c>
      <c r="S257" s="3164">
        <v>250000</v>
      </c>
      <c r="T257" s="3163" t="s">
        <v>37</v>
      </c>
      <c r="U257" s="3163"/>
      <c r="V257" s="3163">
        <v>3</v>
      </c>
      <c r="W257" s="3163" t="s">
        <v>39</v>
      </c>
      <c r="X257" s="3163" t="s">
        <v>38</v>
      </c>
      <c r="Y257" s="3110">
        <f t="shared" si="29"/>
        <v>3000</v>
      </c>
      <c r="Z257" s="3382">
        <f>Q257*S257*V257</f>
        <v>3000000</v>
      </c>
      <c r="AA257" s="2033"/>
      <c r="AB257" s="2033"/>
      <c r="AC257" s="669"/>
    </row>
    <row r="258" spans="1:31" s="479" customFormat="1" ht="21.95" customHeight="1">
      <c r="A258" s="1931"/>
      <c r="B258" s="630"/>
      <c r="C258" s="548"/>
      <c r="D258" s="505"/>
      <c r="E258" s="677"/>
      <c r="F258" s="1261"/>
      <c r="G258" s="679"/>
      <c r="H258" s="680"/>
      <c r="I258" s="2060"/>
      <c r="J258" s="681" t="s">
        <v>1752</v>
      </c>
      <c r="K258" s="3016"/>
      <c r="L258" s="3016"/>
      <c r="M258" s="3016"/>
      <c r="N258" s="3228"/>
      <c r="O258" s="3228"/>
      <c r="P258" s="3228"/>
      <c r="Q258" s="684">
        <v>4</v>
      </c>
      <c r="R258" s="3229" t="s">
        <v>227</v>
      </c>
      <c r="S258" s="3164">
        <v>200000</v>
      </c>
      <c r="T258" s="3163" t="s">
        <v>37</v>
      </c>
      <c r="U258" s="3163"/>
      <c r="V258" s="3163">
        <v>1</v>
      </c>
      <c r="W258" s="3163" t="s">
        <v>39</v>
      </c>
      <c r="X258" s="3163" t="s">
        <v>38</v>
      </c>
      <c r="Y258" s="3110">
        <f t="shared" si="29"/>
        <v>800</v>
      </c>
      <c r="Z258" s="3382">
        <f>Q258*S258*V258</f>
        <v>800000</v>
      </c>
      <c r="AA258" s="2033"/>
      <c r="AB258" s="2033"/>
      <c r="AC258" s="669"/>
    </row>
    <row r="259" spans="1:31" s="479" customFormat="1" ht="21.95" customHeight="1">
      <c r="A259" s="1931"/>
      <c r="B259" s="630"/>
      <c r="C259" s="548"/>
      <c r="D259" s="505"/>
      <c r="E259" s="677" t="s">
        <v>394</v>
      </c>
      <c r="F259" s="1261">
        <f>+Y259</f>
        <v>2500</v>
      </c>
      <c r="G259" s="679">
        <v>2500</v>
      </c>
      <c r="H259" s="680">
        <v>500</v>
      </c>
      <c r="I259" s="2060"/>
      <c r="J259" s="681" t="s">
        <v>1740</v>
      </c>
      <c r="K259" s="3016"/>
      <c r="L259" s="3016"/>
      <c r="M259" s="3016"/>
      <c r="N259" s="3228"/>
      <c r="O259" s="3228"/>
      <c r="P259" s="3228"/>
      <c r="Q259" s="684"/>
      <c r="R259" s="3229"/>
      <c r="S259" s="3164">
        <v>250000</v>
      </c>
      <c r="T259" s="3163" t="s">
        <v>37</v>
      </c>
      <c r="U259" s="3163"/>
      <c r="V259" s="3163">
        <v>10</v>
      </c>
      <c r="W259" s="3163" t="s">
        <v>39</v>
      </c>
      <c r="X259" s="3163" t="s">
        <v>38</v>
      </c>
      <c r="Y259" s="3110">
        <f t="shared" si="29"/>
        <v>2500</v>
      </c>
      <c r="Z259" s="3382">
        <f>S259*V259</f>
        <v>2500000</v>
      </c>
      <c r="AA259" s="2033"/>
      <c r="AB259" s="2033"/>
      <c r="AC259" s="669"/>
    </row>
    <row r="260" spans="1:31" s="479" customFormat="1" ht="21.95" customHeight="1">
      <c r="A260" s="1931"/>
      <c r="B260" s="630"/>
      <c r="C260" s="548"/>
      <c r="D260" s="505"/>
      <c r="E260" s="677" t="s">
        <v>242</v>
      </c>
      <c r="F260" s="1261">
        <f>+Y260</f>
        <v>2000</v>
      </c>
      <c r="G260" s="679">
        <v>2000</v>
      </c>
      <c r="H260" s="680"/>
      <c r="I260" s="2060"/>
      <c r="J260" s="681" t="s">
        <v>1741</v>
      </c>
      <c r="K260" s="3016"/>
      <c r="L260" s="3016"/>
      <c r="M260" s="3016"/>
      <c r="N260" s="3228"/>
      <c r="O260" s="3228"/>
      <c r="P260" s="3228"/>
      <c r="Q260" s="684">
        <v>20</v>
      </c>
      <c r="R260" s="3229" t="s">
        <v>227</v>
      </c>
      <c r="S260" s="1038">
        <v>10000</v>
      </c>
      <c r="T260" s="684" t="s">
        <v>37</v>
      </c>
      <c r="U260" s="684" t="s">
        <v>265</v>
      </c>
      <c r="V260" s="684">
        <v>10</v>
      </c>
      <c r="W260" s="684" t="s">
        <v>233</v>
      </c>
      <c r="X260" s="684" t="s">
        <v>38</v>
      </c>
      <c r="Y260" s="3110">
        <f t="shared" si="29"/>
        <v>2000</v>
      </c>
      <c r="Z260" s="3382">
        <f>Q260*S260*V260</f>
        <v>2000000</v>
      </c>
      <c r="AA260" s="2033"/>
      <c r="AB260" s="2033"/>
      <c r="AC260" s="669"/>
    </row>
    <row r="261" spans="1:31" s="3119" customFormat="1" ht="21.95" customHeight="1">
      <c r="A261" s="3122"/>
      <c r="B261" s="2035"/>
      <c r="C261" s="548"/>
      <c r="D261" s="2020"/>
      <c r="E261" s="677" t="s">
        <v>677</v>
      </c>
      <c r="F261" s="1261">
        <f>+Y261</f>
        <v>2000</v>
      </c>
      <c r="G261" s="679">
        <v>2000</v>
      </c>
      <c r="H261" s="680"/>
      <c r="I261" s="2060"/>
      <c r="J261" s="681" t="s">
        <v>1742</v>
      </c>
      <c r="K261" s="3016"/>
      <c r="L261" s="3016"/>
      <c r="M261" s="3016"/>
      <c r="N261" s="3228"/>
      <c r="O261" s="3228"/>
      <c r="P261" s="3228"/>
      <c r="Q261" s="684">
        <v>20</v>
      </c>
      <c r="R261" s="3229" t="s">
        <v>227</v>
      </c>
      <c r="S261" s="1038">
        <v>50000</v>
      </c>
      <c r="T261" s="684" t="s">
        <v>37</v>
      </c>
      <c r="U261" s="684" t="s">
        <v>265</v>
      </c>
      <c r="V261" s="684">
        <v>2</v>
      </c>
      <c r="W261" s="684" t="s">
        <v>678</v>
      </c>
      <c r="X261" s="684" t="s">
        <v>38</v>
      </c>
      <c r="Y261" s="3110">
        <f t="shared" si="29"/>
        <v>2000</v>
      </c>
      <c r="Z261" s="3382">
        <f>Q261*S261*V261</f>
        <v>2000000</v>
      </c>
      <c r="AA261" s="2033"/>
      <c r="AB261" s="2033"/>
      <c r="AC261" s="669"/>
    </row>
    <row r="262" spans="1:31" ht="21.95" customHeight="1">
      <c r="A262" s="1931"/>
      <c r="B262" s="630"/>
      <c r="C262" s="548"/>
      <c r="D262" s="3837" t="s">
        <v>679</v>
      </c>
      <c r="E262" s="3838"/>
      <c r="F262" s="664">
        <f>SUM(F263:F268)</f>
        <v>6000</v>
      </c>
      <c r="G262" s="598">
        <f>SUM(G263:G268)</f>
        <v>6000</v>
      </c>
      <c r="H262" s="513">
        <f>F262-G262</f>
        <v>0</v>
      </c>
      <c r="I262" s="471"/>
      <c r="J262" s="665"/>
      <c r="K262" s="1963"/>
      <c r="L262" s="1963"/>
      <c r="M262" s="1963"/>
      <c r="N262" s="1963"/>
      <c r="O262" s="1963"/>
      <c r="P262" s="645"/>
      <c r="Q262" s="1963"/>
      <c r="R262" s="651"/>
      <c r="S262" s="645"/>
      <c r="T262" s="1963"/>
      <c r="U262" s="1963"/>
      <c r="V262" s="645"/>
      <c r="W262" s="1963"/>
      <c r="X262" s="1363"/>
      <c r="Y262" s="667"/>
      <c r="Z262" s="308">
        <f t="shared" si="28"/>
        <v>0</v>
      </c>
      <c r="AA262" s="2033"/>
      <c r="AB262" s="2033"/>
      <c r="AC262" s="669"/>
    </row>
    <row r="263" spans="1:31" s="479" customFormat="1" ht="21.95" customHeight="1">
      <c r="A263" s="1931"/>
      <c r="B263" s="630"/>
      <c r="C263" s="548"/>
      <c r="D263" s="505"/>
      <c r="E263" s="535" t="s">
        <v>264</v>
      </c>
      <c r="F263" s="469">
        <v>1000</v>
      </c>
      <c r="G263" s="550">
        <v>1000</v>
      </c>
      <c r="H263" s="1362"/>
      <c r="I263" s="471"/>
      <c r="J263" s="1964" t="s">
        <v>784</v>
      </c>
      <c r="K263" s="1946"/>
      <c r="L263" s="1946"/>
      <c r="M263" s="1946"/>
      <c r="N263" s="1934"/>
      <c r="O263" s="1934"/>
      <c r="P263" s="1934"/>
      <c r="Q263" s="1965"/>
      <c r="R263" s="1948"/>
      <c r="S263" s="1965">
        <v>500000</v>
      </c>
      <c r="T263" s="1965" t="s">
        <v>37</v>
      </c>
      <c r="V263" s="1965">
        <v>2</v>
      </c>
      <c r="W263" s="1965" t="s">
        <v>39</v>
      </c>
      <c r="X263" s="1965" t="s">
        <v>38</v>
      </c>
      <c r="Y263" s="3110">
        <f t="shared" ref="Y263:Y268" si="30">Z263/1000</f>
        <v>1000</v>
      </c>
      <c r="Z263" s="3382">
        <f>S263*V263</f>
        <v>1000000</v>
      </c>
      <c r="AA263" s="2033"/>
      <c r="AB263" s="2033"/>
      <c r="AC263" s="669"/>
    </row>
    <row r="264" spans="1:31" ht="21.95" customHeight="1">
      <c r="A264" s="1931"/>
      <c r="B264" s="630"/>
      <c r="C264" s="548"/>
      <c r="D264" s="505"/>
      <c r="E264" s="535" t="s">
        <v>255</v>
      </c>
      <c r="F264" s="469">
        <f>+Y264</f>
        <v>3000</v>
      </c>
      <c r="G264" s="550">
        <v>3000</v>
      </c>
      <c r="H264" s="1362"/>
      <c r="I264" s="471"/>
      <c r="J264" s="1964" t="s">
        <v>224</v>
      </c>
      <c r="K264" s="1946"/>
      <c r="L264" s="1946"/>
      <c r="M264" s="1946"/>
      <c r="N264" s="1934"/>
      <c r="O264" s="1934"/>
      <c r="P264" s="1934"/>
      <c r="Q264" s="1965"/>
      <c r="R264" s="1948"/>
      <c r="S264" s="1965"/>
      <c r="T264" s="1965"/>
      <c r="U264" s="479"/>
      <c r="V264" s="1965"/>
      <c r="W264" s="1965"/>
      <c r="X264" s="1965"/>
      <c r="Y264" s="3110">
        <f t="shared" si="30"/>
        <v>3000</v>
      </c>
      <c r="Z264" s="308">
        <f>+Z265+Z266</f>
        <v>3000000</v>
      </c>
      <c r="AA264" s="2033"/>
      <c r="AB264" s="2033"/>
      <c r="AC264" s="669"/>
    </row>
    <row r="265" spans="1:31" s="479" customFormat="1" ht="21.95" customHeight="1">
      <c r="A265" s="1931"/>
      <c r="B265" s="630"/>
      <c r="C265" s="548"/>
      <c r="D265" s="505"/>
      <c r="E265" s="535"/>
      <c r="F265" s="469"/>
      <c r="G265" s="550"/>
      <c r="H265" s="1362"/>
      <c r="I265" s="471"/>
      <c r="J265" s="1964" t="s">
        <v>1753</v>
      </c>
      <c r="K265" s="1946"/>
      <c r="L265" s="1946"/>
      <c r="M265" s="1946"/>
      <c r="N265" s="1934"/>
      <c r="O265" s="1934"/>
      <c r="P265" s="1934"/>
      <c r="Q265" s="1965"/>
      <c r="R265" s="1948"/>
      <c r="S265" s="1965">
        <v>20000</v>
      </c>
      <c r="T265" s="1965" t="s">
        <v>37</v>
      </c>
      <c r="V265" s="1965">
        <v>100</v>
      </c>
      <c r="W265" s="1965" t="s">
        <v>243</v>
      </c>
      <c r="X265" s="1965" t="s">
        <v>38</v>
      </c>
      <c r="Y265" s="3110">
        <f t="shared" si="30"/>
        <v>2000</v>
      </c>
      <c r="Z265" s="3382">
        <f>S265*V265</f>
        <v>2000000</v>
      </c>
      <c r="AA265" s="2033"/>
      <c r="AB265" s="2033"/>
      <c r="AC265" s="669"/>
    </row>
    <row r="266" spans="1:31" s="479" customFormat="1" ht="21.95" customHeight="1">
      <c r="A266" s="1931"/>
      <c r="B266" s="630"/>
      <c r="C266" s="548"/>
      <c r="D266" s="505"/>
      <c r="E266" s="535"/>
      <c r="F266" s="469"/>
      <c r="G266" s="550"/>
      <c r="H266" s="1362"/>
      <c r="I266" s="471"/>
      <c r="J266" s="1964" t="s">
        <v>1754</v>
      </c>
      <c r="K266" s="1946"/>
      <c r="L266" s="1946"/>
      <c r="M266" s="1946"/>
      <c r="N266" s="1934"/>
      <c r="O266" s="1934"/>
      <c r="P266" s="1934"/>
      <c r="Q266" s="1965"/>
      <c r="R266" s="1948"/>
      <c r="S266" s="1965">
        <v>20000</v>
      </c>
      <c r="T266" s="1965" t="s">
        <v>37</v>
      </c>
      <c r="V266" s="1965">
        <v>50</v>
      </c>
      <c r="W266" s="1965" t="s">
        <v>243</v>
      </c>
      <c r="X266" s="1965" t="s">
        <v>38</v>
      </c>
      <c r="Y266" s="3110">
        <f t="shared" si="30"/>
        <v>1000</v>
      </c>
      <c r="Z266" s="3382">
        <f>S266*V266</f>
        <v>1000000</v>
      </c>
      <c r="AA266" s="2033"/>
      <c r="AB266" s="2033"/>
      <c r="AC266" s="669"/>
    </row>
    <row r="267" spans="1:31" s="479" customFormat="1" ht="21.95" customHeight="1">
      <c r="A267" s="1931"/>
      <c r="B267" s="630"/>
      <c r="C267" s="548"/>
      <c r="D267" s="505"/>
      <c r="E267" s="535" t="s">
        <v>380</v>
      </c>
      <c r="F267" s="469">
        <v>1000</v>
      </c>
      <c r="G267" s="550">
        <v>1000</v>
      </c>
      <c r="H267" s="1362"/>
      <c r="I267" s="471"/>
      <c r="J267" s="1964" t="s">
        <v>1743</v>
      </c>
      <c r="K267" s="1946"/>
      <c r="L267" s="1946"/>
      <c r="M267" s="1946"/>
      <c r="N267" s="1934"/>
      <c r="O267" s="1934"/>
      <c r="P267" s="1934"/>
      <c r="Q267" s="1965"/>
      <c r="R267" s="1948"/>
      <c r="S267" s="1965">
        <v>200000</v>
      </c>
      <c r="T267" s="1965" t="s">
        <v>37</v>
      </c>
      <c r="V267" s="1965">
        <v>5</v>
      </c>
      <c r="W267" s="1965" t="s">
        <v>39</v>
      </c>
      <c r="X267" s="1965" t="s">
        <v>38</v>
      </c>
      <c r="Y267" s="3110">
        <f t="shared" si="30"/>
        <v>1000</v>
      </c>
      <c r="Z267" s="3382">
        <f>S267*V267</f>
        <v>1000000</v>
      </c>
      <c r="AA267" s="2033"/>
      <c r="AB267" s="2033"/>
      <c r="AC267" s="669"/>
    </row>
    <row r="268" spans="1:31" s="479" customFormat="1" ht="21.95" customHeight="1">
      <c r="A268" s="1931"/>
      <c r="B268" s="630"/>
      <c r="C268" s="1376"/>
      <c r="D268" s="611"/>
      <c r="E268" s="612" t="s">
        <v>451</v>
      </c>
      <c r="F268" s="494">
        <v>1000</v>
      </c>
      <c r="G268" s="613">
        <v>1000</v>
      </c>
      <c r="H268" s="1377"/>
      <c r="I268" s="471"/>
      <c r="J268" s="614" t="s">
        <v>1744</v>
      </c>
      <c r="K268" s="1929"/>
      <c r="L268" s="1929"/>
      <c r="M268" s="1929"/>
      <c r="N268" s="1652"/>
      <c r="O268" s="1652"/>
      <c r="P268" s="1652"/>
      <c r="Q268" s="618"/>
      <c r="R268" s="616"/>
      <c r="S268" s="618">
        <v>200000</v>
      </c>
      <c r="T268" s="618" t="s">
        <v>37</v>
      </c>
      <c r="U268" s="499"/>
      <c r="V268" s="618">
        <v>5</v>
      </c>
      <c r="W268" s="618" t="s">
        <v>39</v>
      </c>
      <c r="X268" s="618" t="s">
        <v>38</v>
      </c>
      <c r="Y268" s="3110">
        <f t="shared" si="30"/>
        <v>1000</v>
      </c>
      <c r="Z268" s="3382">
        <f>S268*V268</f>
        <v>1000000</v>
      </c>
      <c r="AA268" s="2033"/>
      <c r="AB268" s="2033"/>
      <c r="AC268" s="669"/>
    </row>
    <row r="269" spans="1:31" s="683" customFormat="1" ht="23.25" customHeight="1">
      <c r="A269" s="1931"/>
      <c r="B269" s="630"/>
      <c r="C269" s="1953" t="s">
        <v>757</v>
      </c>
      <c r="D269" s="702"/>
      <c r="E269" s="1959"/>
      <c r="F269" s="698">
        <f>F270</f>
        <v>55000</v>
      </c>
      <c r="G269" s="698">
        <f>G270</f>
        <v>54999.999999999913</v>
      </c>
      <c r="H269" s="699">
        <f t="shared" ref="H269" si="31">F269-G269</f>
        <v>8.7311491370201111E-11</v>
      </c>
      <c r="I269" s="920"/>
      <c r="J269" s="1115"/>
      <c r="K269" s="1093"/>
      <c r="L269" s="1093"/>
      <c r="M269" s="1093"/>
      <c r="N269" s="1093"/>
      <c r="O269" s="1093"/>
      <c r="P269" s="1116"/>
      <c r="Q269" s="1093"/>
      <c r="R269" s="702"/>
      <c r="S269" s="1116"/>
      <c r="T269" s="1093"/>
      <c r="U269" s="1093"/>
      <c r="V269" s="1116"/>
      <c r="W269" s="1093"/>
      <c r="X269" s="1378"/>
      <c r="Y269" s="1381"/>
      <c r="Z269" s="915">
        <f t="shared" si="28"/>
        <v>0</v>
      </c>
      <c r="AA269" s="2033"/>
      <c r="AB269" s="2033"/>
      <c r="AC269" s="669"/>
      <c r="AD269" s="967"/>
      <c r="AE269" s="967"/>
    </row>
    <row r="270" spans="1:31" s="683" customFormat="1" ht="23.25" customHeight="1">
      <c r="A270" s="1931"/>
      <c r="B270" s="630"/>
      <c r="C270" s="1379"/>
      <c r="D270" s="3996" t="s">
        <v>757</v>
      </c>
      <c r="E270" s="3997"/>
      <c r="F270" s="1258">
        <f>SUM(F271:F282)</f>
        <v>55000</v>
      </c>
      <c r="G270" s="598">
        <f>SUM(G271:G282)</f>
        <v>54999.999999999913</v>
      </c>
      <c r="H270" s="1380">
        <f>F270-G270</f>
        <v>8.7311491370201111E-11</v>
      </c>
      <c r="I270" s="920"/>
      <c r="J270" s="1074"/>
      <c r="K270" s="1957"/>
      <c r="L270" s="1957"/>
      <c r="M270" s="1957"/>
      <c r="N270" s="1957"/>
      <c r="O270" s="1957"/>
      <c r="P270" s="1075"/>
      <c r="Q270" s="1957"/>
      <c r="R270" s="1259"/>
      <c r="S270" s="1075"/>
      <c r="T270" s="1957"/>
      <c r="U270" s="1957"/>
      <c r="V270" s="1075"/>
      <c r="W270" s="1957"/>
      <c r="X270" s="1260"/>
      <c r="Y270" s="1381"/>
      <c r="Z270" s="915">
        <f t="shared" si="28"/>
        <v>0</v>
      </c>
      <c r="AA270" s="2033"/>
      <c r="AB270" s="2033"/>
      <c r="AC270" s="669"/>
    </row>
    <row r="271" spans="1:31" s="683" customFormat="1" ht="23.25" customHeight="1">
      <c r="A271" s="1931"/>
      <c r="B271" s="630"/>
      <c r="C271" s="1379"/>
      <c r="D271" s="676"/>
      <c r="E271" s="677" t="s">
        <v>278</v>
      </c>
      <c r="F271" s="1261">
        <f>+Y271</f>
        <v>28631</v>
      </c>
      <c r="G271" s="679">
        <v>30131</v>
      </c>
      <c r="H271" s="680">
        <f>F271-G271</f>
        <v>-1500</v>
      </c>
      <c r="I271" s="2060"/>
      <c r="J271" s="681" t="s">
        <v>5633</v>
      </c>
      <c r="K271" s="3515"/>
      <c r="L271" s="3515"/>
      <c r="M271" s="3515"/>
      <c r="N271" s="3525"/>
      <c r="O271" s="3525"/>
      <c r="P271" s="3525"/>
      <c r="Q271" s="684"/>
      <c r="R271" s="3524"/>
      <c r="S271" s="684"/>
      <c r="T271" s="684"/>
      <c r="V271" s="684"/>
      <c r="W271" s="684"/>
      <c r="X271" s="686"/>
      <c r="Y271" s="3110">
        <f>SUM(Y272:Y275)</f>
        <v>28631</v>
      </c>
      <c r="Z271" s="3382"/>
      <c r="AA271" s="2033"/>
      <c r="AB271" s="2033"/>
      <c r="AC271" s="669"/>
      <c r="AD271" s="967"/>
      <c r="AE271" s="967"/>
    </row>
    <row r="272" spans="1:31" s="683" customFormat="1" ht="23.25" customHeight="1">
      <c r="A272" s="1931"/>
      <c r="B272" s="630"/>
      <c r="C272" s="1379"/>
      <c r="D272" s="676"/>
      <c r="E272" s="677"/>
      <c r="F272" s="1261"/>
      <c r="G272" s="679"/>
      <c r="H272" s="680"/>
      <c r="I272" s="2060"/>
      <c r="J272" s="681" t="s">
        <v>5634</v>
      </c>
      <c r="K272" s="3515"/>
      <c r="L272" s="3515"/>
      <c r="M272" s="3515"/>
      <c r="N272" s="3525"/>
      <c r="O272" s="3525"/>
      <c r="P272" s="3525"/>
      <c r="Q272" s="684">
        <v>1</v>
      </c>
      <c r="R272" s="3524" t="s">
        <v>5635</v>
      </c>
      <c r="S272" s="684">
        <v>1850000</v>
      </c>
      <c r="T272" s="684" t="s">
        <v>5623</v>
      </c>
      <c r="V272" s="684">
        <v>12</v>
      </c>
      <c r="W272" s="684" t="s">
        <v>5636</v>
      </c>
      <c r="X272" s="686" t="s">
        <v>5625</v>
      </c>
      <c r="Y272" s="3110">
        <f>SUM(Q272*S272*V272)/1000</f>
        <v>22200</v>
      </c>
      <c r="Z272" s="3382"/>
      <c r="AA272" s="2033"/>
      <c r="AB272" s="2033"/>
      <c r="AC272" s="669"/>
    </row>
    <row r="273" spans="1:31" s="683" customFormat="1" ht="23.25" customHeight="1">
      <c r="A273" s="1931"/>
      <c r="B273" s="630"/>
      <c r="C273" s="1379"/>
      <c r="D273" s="676"/>
      <c r="E273" s="677"/>
      <c r="F273" s="1261"/>
      <c r="G273" s="679"/>
      <c r="H273" s="680"/>
      <c r="I273" s="2060"/>
      <c r="J273" s="681" t="s">
        <v>5637</v>
      </c>
      <c r="K273" s="3515"/>
      <c r="L273" s="3515"/>
      <c r="M273" s="3515"/>
      <c r="N273" s="3525"/>
      <c r="O273" s="3525"/>
      <c r="P273" s="3525"/>
      <c r="Q273" s="684">
        <v>1</v>
      </c>
      <c r="R273" s="3524" t="s">
        <v>5635</v>
      </c>
      <c r="S273" s="684">
        <v>500000</v>
      </c>
      <c r="T273" s="684" t="s">
        <v>5623</v>
      </c>
      <c r="V273" s="684">
        <v>3</v>
      </c>
      <c r="W273" s="684" t="s">
        <v>5636</v>
      </c>
      <c r="X273" s="686" t="s">
        <v>5625</v>
      </c>
      <c r="Y273" s="3110">
        <f>SUM(Q273*S273*V273)/1000</f>
        <v>1500</v>
      </c>
      <c r="Z273" s="3382"/>
      <c r="AA273" s="2033"/>
      <c r="AB273" s="2033"/>
      <c r="AC273" s="669"/>
    </row>
    <row r="274" spans="1:31" s="967" customFormat="1" ht="23.25" customHeight="1">
      <c r="A274" s="1931"/>
      <c r="B274" s="630"/>
      <c r="C274" s="1379"/>
      <c r="D274" s="676"/>
      <c r="E274" s="677"/>
      <c r="F274" s="1261"/>
      <c r="G274" s="679"/>
      <c r="H274" s="680"/>
      <c r="I274" s="2060"/>
      <c r="J274" s="681" t="s">
        <v>5638</v>
      </c>
      <c r="K274" s="3515"/>
      <c r="L274" s="3515"/>
      <c r="M274" s="3515"/>
      <c r="N274" s="3525"/>
      <c r="O274" s="3525"/>
      <c r="P274" s="3525"/>
      <c r="Q274" s="684"/>
      <c r="R274" s="3524"/>
      <c r="S274" s="684">
        <v>22200000</v>
      </c>
      <c r="T274" s="684" t="s">
        <v>5623</v>
      </c>
      <c r="U274" s="683"/>
      <c r="V274" s="1382">
        <v>13.878378378378379</v>
      </c>
      <c r="W274" s="684" t="s">
        <v>5639</v>
      </c>
      <c r="X274" s="686" t="s">
        <v>5625</v>
      </c>
      <c r="Y274" s="3110">
        <f>(S274*V274/100)/1000</f>
        <v>3081</v>
      </c>
      <c r="Z274" s="3382"/>
      <c r="AA274" s="2033"/>
      <c r="AB274" s="2033"/>
      <c r="AC274" s="669"/>
      <c r="AD274" s="683"/>
      <c r="AE274" s="683"/>
    </row>
    <row r="275" spans="1:31" s="683" customFormat="1" ht="23.25" customHeight="1">
      <c r="A275" s="1931"/>
      <c r="B275" s="630"/>
      <c r="C275" s="1379"/>
      <c r="D275" s="676"/>
      <c r="E275" s="677"/>
      <c r="F275" s="1261"/>
      <c r="G275" s="679"/>
      <c r="H275" s="680"/>
      <c r="I275" s="2060"/>
      <c r="J275" s="681" t="s">
        <v>5640</v>
      </c>
      <c r="K275" s="3515"/>
      <c r="L275" s="3515"/>
      <c r="M275" s="3515"/>
      <c r="N275" s="3525"/>
      <c r="O275" s="3525"/>
      <c r="P275" s="3525"/>
      <c r="Q275" s="684"/>
      <c r="R275" s="3524"/>
      <c r="S275" s="684">
        <v>1850000</v>
      </c>
      <c r="T275" s="684" t="s">
        <v>5623</v>
      </c>
      <c r="V275" s="684">
        <v>1</v>
      </c>
      <c r="W275" s="684" t="s">
        <v>5636</v>
      </c>
      <c r="X275" s="686" t="s">
        <v>5625</v>
      </c>
      <c r="Y275" s="3110">
        <f>+S275*V275/1000</f>
        <v>1850</v>
      </c>
      <c r="Z275" s="3382"/>
      <c r="AA275" s="2033"/>
      <c r="AB275" s="2033"/>
      <c r="AC275" s="669"/>
    </row>
    <row r="276" spans="1:31" s="683" customFormat="1" ht="23.25" customHeight="1">
      <c r="A276" s="673"/>
      <c r="B276" s="674"/>
      <c r="C276" s="1379"/>
      <c r="D276" s="676"/>
      <c r="E276" s="677" t="s">
        <v>759</v>
      </c>
      <c r="F276" s="1261">
        <f>+Y276</f>
        <v>1200</v>
      </c>
      <c r="G276" s="679">
        <v>1200</v>
      </c>
      <c r="H276" s="680"/>
      <c r="I276" s="2060"/>
      <c r="J276" s="681" t="s">
        <v>5641</v>
      </c>
      <c r="K276" s="3515"/>
      <c r="L276" s="3515"/>
      <c r="M276" s="3515"/>
      <c r="N276" s="3525"/>
      <c r="O276" s="3525"/>
      <c r="P276" s="3525"/>
      <c r="Q276" s="684"/>
      <c r="R276" s="3524"/>
      <c r="S276" s="684">
        <v>300000</v>
      </c>
      <c r="T276" s="684" t="s">
        <v>5623</v>
      </c>
      <c r="V276" s="684">
        <v>4</v>
      </c>
      <c r="W276" s="684" t="s">
        <v>5624</v>
      </c>
      <c r="X276" s="686" t="s">
        <v>5625</v>
      </c>
      <c r="Y276" s="3110">
        <f>+S276*V276/1000</f>
        <v>1200</v>
      </c>
      <c r="Z276" s="3382"/>
      <c r="AA276" s="2033"/>
      <c r="AB276" s="2033"/>
      <c r="AC276" s="669"/>
      <c r="AD276" s="967"/>
      <c r="AE276" s="967"/>
    </row>
    <row r="277" spans="1:31" s="683" customFormat="1" ht="23.25" customHeight="1">
      <c r="A277" s="673"/>
      <c r="B277" s="674"/>
      <c r="C277" s="1379"/>
      <c r="D277" s="676"/>
      <c r="E277" s="677" t="s">
        <v>648</v>
      </c>
      <c r="F277" s="1261">
        <f>+Y277</f>
        <v>205</v>
      </c>
      <c r="G277" s="679">
        <v>205</v>
      </c>
      <c r="H277" s="680"/>
      <c r="I277" s="2060"/>
      <c r="J277" s="681" t="s">
        <v>5642</v>
      </c>
      <c r="K277" s="3515"/>
      <c r="L277" s="3515"/>
      <c r="M277" s="3515"/>
      <c r="N277" s="3525"/>
      <c r="O277" s="3525"/>
      <c r="P277" s="3525"/>
      <c r="Q277" s="684" t="s">
        <v>5643</v>
      </c>
      <c r="R277" s="3524" t="s">
        <v>5643</v>
      </c>
      <c r="S277" s="684">
        <v>51250</v>
      </c>
      <c r="T277" s="684" t="s">
        <v>5623</v>
      </c>
      <c r="V277" s="684">
        <v>4</v>
      </c>
      <c r="W277" s="684" t="s">
        <v>5624</v>
      </c>
      <c r="X277" s="686" t="s">
        <v>5625</v>
      </c>
      <c r="Y277" s="3110">
        <f>+S277*V277/1000</f>
        <v>205</v>
      </c>
      <c r="Z277" s="3382"/>
      <c r="AA277" s="2033"/>
      <c r="AB277" s="2033"/>
      <c r="AC277" s="669"/>
      <c r="AD277" s="967"/>
      <c r="AE277" s="967"/>
    </row>
    <row r="278" spans="1:31" s="683" customFormat="1" ht="23.25" customHeight="1">
      <c r="A278" s="673"/>
      <c r="B278" s="674"/>
      <c r="C278" s="1379"/>
      <c r="D278" s="676"/>
      <c r="E278" s="677" t="s">
        <v>760</v>
      </c>
      <c r="F278" s="1261">
        <f>+Y278</f>
        <v>24500</v>
      </c>
      <c r="G278" s="679">
        <v>22999.999999999916</v>
      </c>
      <c r="H278" s="680">
        <f>F278-G278</f>
        <v>1500.0000000000837</v>
      </c>
      <c r="I278" s="2060"/>
      <c r="J278" s="681" t="s">
        <v>5644</v>
      </c>
      <c r="K278" s="3515"/>
      <c r="L278" s="3515"/>
      <c r="M278" s="3515"/>
      <c r="N278" s="3525"/>
      <c r="O278" s="3525"/>
      <c r="P278" s="3525"/>
      <c r="Q278" s="684"/>
      <c r="R278" s="3524"/>
      <c r="S278" s="684"/>
      <c r="T278" s="684"/>
      <c r="V278" s="684"/>
      <c r="W278" s="684"/>
      <c r="X278" s="686"/>
      <c r="Y278" s="3110">
        <f>SUM(Y279:Y280)</f>
        <v>24500</v>
      </c>
      <c r="Z278" s="3382"/>
      <c r="AA278" s="2033"/>
      <c r="AB278" s="2033"/>
      <c r="AC278" s="669"/>
      <c r="AD278" s="967"/>
      <c r="AE278" s="967"/>
    </row>
    <row r="279" spans="1:31" s="683" customFormat="1" ht="23.25" customHeight="1">
      <c r="A279" s="673"/>
      <c r="B279" s="674"/>
      <c r="C279" s="1379"/>
      <c r="D279" s="676"/>
      <c r="E279" s="677"/>
      <c r="F279" s="1261"/>
      <c r="G279" s="679"/>
      <c r="H279" s="680"/>
      <c r="I279" s="2060"/>
      <c r="J279" s="681" t="s">
        <v>5645</v>
      </c>
      <c r="K279" s="3515"/>
      <c r="L279" s="3515"/>
      <c r="M279" s="3515"/>
      <c r="N279" s="3525"/>
      <c r="O279" s="3525"/>
      <c r="P279" s="3525"/>
      <c r="Q279" s="684"/>
      <c r="R279" s="3524"/>
      <c r="S279" s="684">
        <v>1816666.6666666667</v>
      </c>
      <c r="T279" s="684" t="s">
        <v>5623</v>
      </c>
      <c r="V279" s="684">
        <v>12</v>
      </c>
      <c r="W279" s="684" t="s">
        <v>5636</v>
      </c>
      <c r="X279" s="686" t="s">
        <v>5625</v>
      </c>
      <c r="Y279" s="3110">
        <f>+V279*S279/1000</f>
        <v>21800</v>
      </c>
      <c r="Z279" s="3382"/>
      <c r="AA279" s="2033"/>
      <c r="AB279" s="2033"/>
      <c r="AC279" s="669"/>
      <c r="AD279" s="967"/>
      <c r="AE279" s="967"/>
    </row>
    <row r="280" spans="1:31" s="967" customFormat="1" ht="23.25" customHeight="1">
      <c r="A280" s="673"/>
      <c r="B280" s="674"/>
      <c r="C280" s="1379"/>
      <c r="D280" s="676"/>
      <c r="E280" s="677"/>
      <c r="F280" s="1261"/>
      <c r="G280" s="679"/>
      <c r="H280" s="680"/>
      <c r="I280" s="2060"/>
      <c r="J280" s="681" t="s">
        <v>5646</v>
      </c>
      <c r="K280" s="3515"/>
      <c r="L280" s="3515"/>
      <c r="M280" s="3515"/>
      <c r="N280" s="3525"/>
      <c r="O280" s="3525"/>
      <c r="P280" s="3525"/>
      <c r="Q280" s="684"/>
      <c r="R280" s="3524"/>
      <c r="S280" s="684">
        <v>270000</v>
      </c>
      <c r="T280" s="684" t="s">
        <v>5623</v>
      </c>
      <c r="U280" s="683"/>
      <c r="V280" s="684">
        <v>10</v>
      </c>
      <c r="W280" s="684" t="s">
        <v>5624</v>
      </c>
      <c r="X280" s="686" t="s">
        <v>5625</v>
      </c>
      <c r="Y280" s="3110">
        <f>SUM(S280*V280)/1000</f>
        <v>2700</v>
      </c>
      <c r="Z280" s="3382"/>
      <c r="AA280" s="2033"/>
      <c r="AB280" s="2033"/>
      <c r="AC280" s="669"/>
    </row>
    <row r="281" spans="1:31" s="683" customFormat="1" ht="23.25" customHeight="1">
      <c r="A281" s="673"/>
      <c r="B281" s="674"/>
      <c r="C281" s="1379"/>
      <c r="D281" s="676"/>
      <c r="E281" s="677" t="s">
        <v>246</v>
      </c>
      <c r="F281" s="1261">
        <f>+Y281</f>
        <v>264</v>
      </c>
      <c r="G281" s="679">
        <v>264</v>
      </c>
      <c r="H281" s="680"/>
      <c r="I281" s="2060"/>
      <c r="J281" s="681" t="s">
        <v>5647</v>
      </c>
      <c r="K281" s="3515"/>
      <c r="L281" s="3515"/>
      <c r="M281" s="3515"/>
      <c r="N281" s="3525"/>
      <c r="O281" s="3525"/>
      <c r="P281" s="3525"/>
      <c r="Q281" s="684" t="s">
        <v>5643</v>
      </c>
      <c r="R281" s="3524" t="s">
        <v>5643</v>
      </c>
      <c r="S281" s="684">
        <v>22000</v>
      </c>
      <c r="T281" s="684" t="s">
        <v>5623</v>
      </c>
      <c r="V281" s="684">
        <v>12</v>
      </c>
      <c r="W281" s="684" t="s">
        <v>5636</v>
      </c>
      <c r="X281" s="686" t="s">
        <v>5625</v>
      </c>
      <c r="Y281" s="3110">
        <f>+S281*V281/1000</f>
        <v>264</v>
      </c>
      <c r="Z281" s="3382"/>
      <c r="AA281" s="2033"/>
      <c r="AB281" s="2033"/>
      <c r="AC281" s="669"/>
    </row>
    <row r="282" spans="1:31" s="683" customFormat="1" ht="23.25" customHeight="1">
      <c r="A282" s="673"/>
      <c r="B282" s="674"/>
      <c r="C282" s="1383"/>
      <c r="D282" s="1384"/>
      <c r="E282" s="2039" t="s">
        <v>242</v>
      </c>
      <c r="F282" s="1261">
        <f>+Y282</f>
        <v>200</v>
      </c>
      <c r="G282" s="2041">
        <v>200</v>
      </c>
      <c r="H282" s="680"/>
      <c r="I282" s="2060"/>
      <c r="J282" s="2042" t="s">
        <v>5648</v>
      </c>
      <c r="K282" s="2043"/>
      <c r="L282" s="2043"/>
      <c r="M282" s="2043"/>
      <c r="N282" s="1093"/>
      <c r="O282" s="1093"/>
      <c r="P282" s="1093"/>
      <c r="Q282" s="2045"/>
      <c r="R282" s="2046"/>
      <c r="S282" s="684">
        <v>50000</v>
      </c>
      <c r="T282" s="684" t="s">
        <v>5623</v>
      </c>
      <c r="V282" s="684">
        <v>4</v>
      </c>
      <c r="W282" s="684" t="s">
        <v>5627</v>
      </c>
      <c r="X282" s="686" t="s">
        <v>5625</v>
      </c>
      <c r="Y282" s="3110">
        <f>SUM(S282*V282)/1000</f>
        <v>200</v>
      </c>
      <c r="Z282" s="3382"/>
      <c r="AA282" s="2033"/>
      <c r="AB282" s="2033"/>
      <c r="AC282" s="669"/>
      <c r="AD282" s="967"/>
      <c r="AE282" s="967"/>
    </row>
    <row r="283" spans="1:31" ht="23.25" customHeight="1">
      <c r="A283" s="1931" t="s">
        <v>378</v>
      </c>
      <c r="B283" s="630"/>
      <c r="C283" s="1992" t="s">
        <v>435</v>
      </c>
      <c r="D283" s="1060"/>
      <c r="E283" s="1534"/>
      <c r="F283" s="3168">
        <f>+F284+F286+F289</f>
        <v>50000</v>
      </c>
      <c r="G283" s="1261">
        <f>+G284+G286+G289</f>
        <v>50000</v>
      </c>
      <c r="H283" s="933">
        <f>F283-G283</f>
        <v>0</v>
      </c>
      <c r="I283" s="920"/>
      <c r="J283" s="681"/>
      <c r="K283" s="682"/>
      <c r="L283" s="682"/>
      <c r="M283" s="682"/>
      <c r="N283" s="709"/>
      <c r="O283" s="709"/>
      <c r="P283" s="709"/>
      <c r="Q283" s="684"/>
      <c r="R283" s="685"/>
      <c r="S283" s="1426"/>
      <c r="T283" s="1426"/>
      <c r="U283" s="1426"/>
      <c r="V283" s="1426"/>
      <c r="W283" s="1426"/>
      <c r="X283" s="1426"/>
      <c r="Y283" s="1993"/>
      <c r="Z283" s="915">
        <f t="shared" si="28"/>
        <v>0</v>
      </c>
      <c r="AA283" s="2033"/>
      <c r="AB283" s="2033"/>
      <c r="AC283" s="669"/>
    </row>
    <row r="284" spans="1:31" s="479" customFormat="1" ht="23.25" customHeight="1">
      <c r="A284" s="1931"/>
      <c r="B284" s="630"/>
      <c r="C284" s="1379"/>
      <c r="D284" s="3840" t="s">
        <v>681</v>
      </c>
      <c r="E284" s="3904"/>
      <c r="F284" s="1258">
        <f>SUM(F285)</f>
        <v>30000</v>
      </c>
      <c r="G284" s="1258">
        <f>SUM(G285)</f>
        <v>30000</v>
      </c>
      <c r="H284" s="933">
        <f>F284-G284</f>
        <v>0</v>
      </c>
      <c r="I284" s="920"/>
      <c r="J284" s="1074"/>
      <c r="K284" s="1957"/>
      <c r="L284" s="1957"/>
      <c r="M284" s="1957"/>
      <c r="N284" s="1957"/>
      <c r="O284" s="1957"/>
      <c r="P284" s="1075"/>
      <c r="Q284" s="1957"/>
      <c r="R284" s="1259"/>
      <c r="S284" s="1075"/>
      <c r="T284" s="1957"/>
      <c r="U284" s="1957"/>
      <c r="V284" s="1075"/>
      <c r="W284" s="1957"/>
      <c r="X284" s="1994"/>
      <c r="Y284" s="940"/>
      <c r="Z284" s="915">
        <f t="shared" si="28"/>
        <v>0</v>
      </c>
      <c r="AA284" s="2033"/>
      <c r="AB284" s="2033"/>
      <c r="AC284" s="669"/>
    </row>
    <row r="285" spans="1:31" s="479" customFormat="1" ht="23.25" customHeight="1">
      <c r="A285" s="1931"/>
      <c r="B285" s="630"/>
      <c r="C285" s="1379"/>
      <c r="D285" s="676"/>
      <c r="E285" s="677" t="s">
        <v>246</v>
      </c>
      <c r="F285" s="1261">
        <f>Y285</f>
        <v>30000</v>
      </c>
      <c r="G285" s="679">
        <v>30000</v>
      </c>
      <c r="H285" s="680"/>
      <c r="I285" s="920"/>
      <c r="J285" s="681" t="s">
        <v>1745</v>
      </c>
      <c r="K285" s="682"/>
      <c r="L285" s="682"/>
      <c r="M285" s="682"/>
      <c r="N285" s="709"/>
      <c r="O285" s="709"/>
      <c r="P285" s="709"/>
      <c r="Q285" s="684"/>
      <c r="R285" s="685"/>
      <c r="S285" s="1038">
        <v>30000000</v>
      </c>
      <c r="T285" s="684" t="s">
        <v>37</v>
      </c>
      <c r="U285" s="684" t="s">
        <v>265</v>
      </c>
      <c r="V285" s="684">
        <v>1</v>
      </c>
      <c r="W285" s="684" t="s">
        <v>579</v>
      </c>
      <c r="X285" s="684" t="s">
        <v>38</v>
      </c>
      <c r="Y285" s="871">
        <f>SUM(S285*V285)/1000</f>
        <v>30000</v>
      </c>
      <c r="Z285" s="915">
        <f t="shared" si="28"/>
        <v>30000000</v>
      </c>
      <c r="AA285" s="2033"/>
      <c r="AB285" s="2033"/>
      <c r="AC285" s="669"/>
    </row>
    <row r="286" spans="1:31" s="479" customFormat="1" ht="23.25" customHeight="1">
      <c r="A286" s="1931"/>
      <c r="B286" s="630"/>
      <c r="C286" s="1379"/>
      <c r="D286" s="3996" t="s">
        <v>2488</v>
      </c>
      <c r="E286" s="3997"/>
      <c r="F286" s="1258">
        <f>SUM(F287:F288)</f>
        <v>0</v>
      </c>
      <c r="G286" s="1258">
        <f>SUM(G287:G288)</f>
        <v>0</v>
      </c>
      <c r="H286" s="933">
        <f>F286-G286</f>
        <v>0</v>
      </c>
      <c r="I286" s="920"/>
      <c r="J286" s="1074"/>
      <c r="K286" s="1957"/>
      <c r="L286" s="1957"/>
      <c r="M286" s="1957"/>
      <c r="N286" s="1957"/>
      <c r="O286" s="1957"/>
      <c r="P286" s="1075"/>
      <c r="Q286" s="1957"/>
      <c r="R286" s="1259"/>
      <c r="S286" s="1075"/>
      <c r="T286" s="1957"/>
      <c r="U286" s="1957"/>
      <c r="V286" s="1075"/>
      <c r="W286" s="1957"/>
      <c r="X286" s="1994"/>
      <c r="Y286" s="940"/>
      <c r="Z286" s="915">
        <f t="shared" si="28"/>
        <v>0</v>
      </c>
      <c r="AA286" s="2033"/>
      <c r="AB286" s="2033"/>
      <c r="AC286" s="669"/>
    </row>
    <row r="287" spans="1:31" ht="23.25" hidden="1" customHeight="1">
      <c r="A287" s="1931"/>
      <c r="B287" s="630"/>
      <c r="C287" s="1379"/>
      <c r="D287" s="676"/>
      <c r="E287" s="677" t="s">
        <v>246</v>
      </c>
      <c r="F287" s="1261">
        <f>Y287</f>
        <v>0</v>
      </c>
      <c r="G287" s="679">
        <v>0</v>
      </c>
      <c r="H287" s="680">
        <f>F287-G287</f>
        <v>0</v>
      </c>
      <c r="I287" s="920"/>
      <c r="J287" s="681" t="s">
        <v>2058</v>
      </c>
      <c r="K287" s="682"/>
      <c r="L287" s="682"/>
      <c r="M287" s="682"/>
      <c r="N287" s="709"/>
      <c r="O287" s="709"/>
      <c r="P287" s="709"/>
      <c r="Q287" s="684"/>
      <c r="R287" s="685"/>
      <c r="S287" s="684"/>
      <c r="T287" s="684"/>
      <c r="U287" s="683"/>
      <c r="V287" s="684"/>
      <c r="W287" s="684"/>
      <c r="X287" s="684" t="s">
        <v>38</v>
      </c>
      <c r="Y287" s="871">
        <f>+V287*S287/1000</f>
        <v>0</v>
      </c>
      <c r="Z287" s="915">
        <f t="shared" si="28"/>
        <v>0</v>
      </c>
      <c r="AA287" s="2033"/>
      <c r="AB287" s="2033"/>
      <c r="AC287" s="669"/>
    </row>
    <row r="288" spans="1:31" s="479" customFormat="1" ht="23.25" hidden="1" customHeight="1">
      <c r="A288" s="1931"/>
      <c r="B288" s="630"/>
      <c r="C288" s="1379"/>
      <c r="D288" s="676"/>
      <c r="E288" s="677" t="s">
        <v>394</v>
      </c>
      <c r="F288" s="1261">
        <f>Y288</f>
        <v>0</v>
      </c>
      <c r="G288" s="679">
        <v>0</v>
      </c>
      <c r="H288" s="680">
        <f>F288-G288</f>
        <v>0</v>
      </c>
      <c r="I288" s="920"/>
      <c r="J288" s="681" t="s">
        <v>2058</v>
      </c>
      <c r="K288" s="682"/>
      <c r="L288" s="682"/>
      <c r="M288" s="682"/>
      <c r="N288" s="709"/>
      <c r="O288" s="709"/>
      <c r="P288" s="709"/>
      <c r="Q288" s="684"/>
      <c r="R288" s="685"/>
      <c r="S288" s="684"/>
      <c r="T288" s="684"/>
      <c r="U288" s="683"/>
      <c r="V288" s="684"/>
      <c r="W288" s="684"/>
      <c r="X288" s="684" t="s">
        <v>38</v>
      </c>
      <c r="Y288" s="871">
        <f>+V288*S288/1000</f>
        <v>0</v>
      </c>
      <c r="Z288" s="915">
        <f t="shared" si="28"/>
        <v>0</v>
      </c>
      <c r="AA288" s="2033"/>
      <c r="AB288" s="2033"/>
      <c r="AC288" s="669"/>
    </row>
    <row r="289" spans="1:29" s="479" customFormat="1" ht="23.25" customHeight="1">
      <c r="A289" s="1931"/>
      <c r="B289" s="630"/>
      <c r="C289" s="851"/>
      <c r="D289" s="3840" t="s">
        <v>1263</v>
      </c>
      <c r="E289" s="3904"/>
      <c r="F289" s="1258">
        <f>SUM(F290)</f>
        <v>20000</v>
      </c>
      <c r="G289" s="1258">
        <f>SUM(G290)</f>
        <v>20000</v>
      </c>
      <c r="H289" s="933">
        <f>F289-G289</f>
        <v>0</v>
      </c>
      <c r="I289" s="920"/>
      <c r="J289" s="1074"/>
      <c r="K289" s="1957"/>
      <c r="L289" s="1957"/>
      <c r="M289" s="1957"/>
      <c r="N289" s="1957"/>
      <c r="O289" s="1957"/>
      <c r="P289" s="1075"/>
      <c r="Q289" s="1957"/>
      <c r="R289" s="1259"/>
      <c r="S289" s="1075"/>
      <c r="T289" s="1957"/>
      <c r="U289" s="1957"/>
      <c r="V289" s="1075"/>
      <c r="W289" s="1957"/>
      <c r="X289" s="1994"/>
      <c r="Y289" s="940"/>
      <c r="Z289" s="915">
        <f t="shared" si="28"/>
        <v>0</v>
      </c>
      <c r="AA289" s="2033"/>
      <c r="AB289" s="2033"/>
      <c r="AC289" s="669"/>
    </row>
    <row r="290" spans="1:29" s="479" customFormat="1" ht="23.25" customHeight="1">
      <c r="A290" s="1931"/>
      <c r="B290" s="630"/>
      <c r="C290" s="1379"/>
      <c r="D290" s="676"/>
      <c r="E290" s="677" t="s">
        <v>246</v>
      </c>
      <c r="F290" s="1261">
        <f>Y290</f>
        <v>20000</v>
      </c>
      <c r="G290" s="679">
        <v>20000</v>
      </c>
      <c r="H290" s="680"/>
      <c r="I290" s="920"/>
      <c r="J290" s="681" t="s">
        <v>1746</v>
      </c>
      <c r="K290" s="682"/>
      <c r="L290" s="682"/>
      <c r="M290" s="682"/>
      <c r="N290" s="709"/>
      <c r="O290" s="709"/>
      <c r="P290" s="709"/>
      <c r="Q290" s="684"/>
      <c r="R290" s="685"/>
      <c r="S290" s="1038">
        <v>20000000</v>
      </c>
      <c r="T290" s="684" t="s">
        <v>37</v>
      </c>
      <c r="U290" s="684" t="s">
        <v>265</v>
      </c>
      <c r="V290" s="684">
        <v>1</v>
      </c>
      <c r="W290" s="684" t="s">
        <v>579</v>
      </c>
      <c r="X290" s="684" t="s">
        <v>38</v>
      </c>
      <c r="Y290" s="871">
        <f>SUM(S290*V290)/1000</f>
        <v>20000</v>
      </c>
      <c r="Z290" s="915">
        <f t="shared" si="28"/>
        <v>20000000</v>
      </c>
      <c r="AA290" s="2033"/>
      <c r="AB290" s="2033"/>
      <c r="AC290" s="669"/>
    </row>
    <row r="291" spans="1:29" ht="23.25" customHeight="1">
      <c r="A291" s="1931" t="s">
        <v>378</v>
      </c>
      <c r="B291" s="630"/>
      <c r="C291" s="1992" t="s">
        <v>1265</v>
      </c>
      <c r="D291" s="1060"/>
      <c r="E291" s="1995"/>
      <c r="F291" s="932">
        <f>+F292</f>
        <v>100000</v>
      </c>
      <c r="G291" s="932">
        <f>+G292</f>
        <v>100000</v>
      </c>
      <c r="H291" s="933">
        <f>F291-G291</f>
        <v>0</v>
      </c>
      <c r="I291" s="920"/>
      <c r="J291" s="1535"/>
      <c r="K291" s="1536"/>
      <c r="L291" s="1536"/>
      <c r="M291" s="1536"/>
      <c r="N291" s="1957"/>
      <c r="O291" s="1957"/>
      <c r="P291" s="1957"/>
      <c r="Q291" s="1084"/>
      <c r="R291" s="1537"/>
      <c r="S291" s="1537"/>
      <c r="T291" s="1537"/>
      <c r="U291" s="1537"/>
      <c r="V291" s="1537"/>
      <c r="W291" s="1537"/>
      <c r="X291" s="1537"/>
      <c r="Y291" s="1993"/>
      <c r="Z291" s="915">
        <f t="shared" si="28"/>
        <v>0</v>
      </c>
      <c r="AA291" s="2033"/>
      <c r="AB291" s="2033"/>
      <c r="AC291" s="669"/>
    </row>
    <row r="292" spans="1:29" s="479" customFormat="1" ht="23.25" customHeight="1">
      <c r="A292" s="1931"/>
      <c r="B292" s="630"/>
      <c r="C292" s="1379"/>
      <c r="D292" s="3840" t="s">
        <v>1264</v>
      </c>
      <c r="E292" s="3904"/>
      <c r="F292" s="1258">
        <f>SUM(F293)</f>
        <v>100000</v>
      </c>
      <c r="G292" s="1258">
        <f>SUM(G293)</f>
        <v>100000</v>
      </c>
      <c r="H292" s="933">
        <f>F292-G292</f>
        <v>0</v>
      </c>
      <c r="I292" s="920"/>
      <c r="J292" s="1074"/>
      <c r="K292" s="1957"/>
      <c r="L292" s="1957"/>
      <c r="M292" s="1957"/>
      <c r="N292" s="1957"/>
      <c r="O292" s="1957"/>
      <c r="P292" s="1075"/>
      <c r="Q292" s="1957"/>
      <c r="R292" s="1259"/>
      <c r="S292" s="1075"/>
      <c r="T292" s="1957"/>
      <c r="U292" s="1957"/>
      <c r="V292" s="1075"/>
      <c r="W292" s="1957"/>
      <c r="X292" s="1994"/>
      <c r="Y292" s="940"/>
      <c r="Z292" s="915">
        <f t="shared" si="28"/>
        <v>0</v>
      </c>
      <c r="AA292" s="2033"/>
      <c r="AB292" s="2033"/>
      <c r="AC292" s="669"/>
    </row>
    <row r="293" spans="1:29" s="479" customFormat="1" ht="23.25" customHeight="1" thickBot="1">
      <c r="A293" s="772"/>
      <c r="B293" s="637"/>
      <c r="C293" s="1996"/>
      <c r="D293" s="1997"/>
      <c r="E293" s="1266" t="s">
        <v>246</v>
      </c>
      <c r="F293" s="1267">
        <f>Y293</f>
        <v>100000</v>
      </c>
      <c r="G293" s="1998">
        <v>100000</v>
      </c>
      <c r="H293" s="1999"/>
      <c r="I293" s="920"/>
      <c r="J293" s="1268" t="s">
        <v>1747</v>
      </c>
      <c r="K293" s="1269"/>
      <c r="L293" s="1269"/>
      <c r="M293" s="1269"/>
      <c r="N293" s="1023"/>
      <c r="O293" s="1023"/>
      <c r="P293" s="1023"/>
      <c r="Q293" s="1049"/>
      <c r="R293" s="1047"/>
      <c r="S293" s="1048">
        <v>100000000</v>
      </c>
      <c r="T293" s="1049" t="s">
        <v>37</v>
      </c>
      <c r="U293" s="1049" t="s">
        <v>265</v>
      </c>
      <c r="V293" s="1049">
        <v>1</v>
      </c>
      <c r="W293" s="1049" t="s">
        <v>579</v>
      </c>
      <c r="X293" s="1049" t="s">
        <v>38</v>
      </c>
      <c r="Y293" s="2000">
        <f>SUM(S293*V293)/1000</f>
        <v>100000</v>
      </c>
      <c r="Z293" s="915">
        <f t="shared" si="28"/>
        <v>100000000</v>
      </c>
      <c r="AA293" s="2033"/>
      <c r="AB293" s="2033"/>
      <c r="AC293" s="669"/>
    </row>
  </sheetData>
  <autoFilter ref="A4:AE29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51">
    <mergeCell ref="J231:P231"/>
    <mergeCell ref="J232:P232"/>
    <mergeCell ref="J233:P233"/>
    <mergeCell ref="J234:P234"/>
    <mergeCell ref="D292:E292"/>
    <mergeCell ref="D289:E289"/>
    <mergeCell ref="D239:E239"/>
    <mergeCell ref="D251:E251"/>
    <mergeCell ref="D262:E262"/>
    <mergeCell ref="D284:E284"/>
    <mergeCell ref="D286:E286"/>
    <mergeCell ref="D270:E270"/>
    <mergeCell ref="J229:P229"/>
    <mergeCell ref="J230:P230"/>
    <mergeCell ref="D222:E222"/>
    <mergeCell ref="J179:N179"/>
    <mergeCell ref="J180:N180"/>
    <mergeCell ref="J181:O181"/>
    <mergeCell ref="J182:O182"/>
    <mergeCell ref="J187:N187"/>
    <mergeCell ref="J188:N188"/>
    <mergeCell ref="D190:E190"/>
    <mergeCell ref="C202:E202"/>
    <mergeCell ref="D203:E203"/>
    <mergeCell ref="D208:E208"/>
    <mergeCell ref="D210:E210"/>
    <mergeCell ref="J174:N174"/>
    <mergeCell ref="D95:E95"/>
    <mergeCell ref="D98:E98"/>
    <mergeCell ref="D110:E110"/>
    <mergeCell ref="C125:E125"/>
    <mergeCell ref="D126:E126"/>
    <mergeCell ref="D136:E136"/>
    <mergeCell ref="C158:E158"/>
    <mergeCell ref="D159:E159"/>
    <mergeCell ref="J167:N167"/>
    <mergeCell ref="J168:N168"/>
    <mergeCell ref="J173:N173"/>
    <mergeCell ref="D124:E124"/>
    <mergeCell ref="C93:E93"/>
    <mergeCell ref="A1:Y1"/>
    <mergeCell ref="A3:E3"/>
    <mergeCell ref="F3:F4"/>
    <mergeCell ref="G3:G4"/>
    <mergeCell ref="H3:H4"/>
    <mergeCell ref="J3:Y4"/>
    <mergeCell ref="A5:E5"/>
    <mergeCell ref="C7:E7"/>
    <mergeCell ref="D20:E20"/>
    <mergeCell ref="D86:E86"/>
    <mergeCell ref="D8:E8"/>
  </mergeCells>
  <phoneticPr fontId="15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5" firstPageNumber="67" fitToHeight="100" orientation="landscape" r:id="rId1"/>
  <headerFooter scaleWithDoc="0" alignWithMargins="0"/>
  <rowBreaks count="3" manualBreakCount="3">
    <brk id="144" max="24" man="1"/>
    <brk id="220" max="24" man="1"/>
    <brk id="250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73"/>
  <sheetViews>
    <sheetView view="pageBreakPreview" zoomScale="70" zoomScaleNormal="75" zoomScaleSheetLayoutView="70" workbookViewId="0">
      <pane ySplit="6" topLeftCell="A214" activePane="bottomLeft" state="frozen"/>
      <selection activeCell="F663" sqref="F663:G663"/>
      <selection pane="bottomLeft" activeCell="J227" sqref="J227"/>
    </sheetView>
  </sheetViews>
  <sheetFormatPr defaultRowHeight="18.75"/>
  <cols>
    <col min="1" max="4" width="6.77734375" style="1274" customWidth="1"/>
    <col min="5" max="5" width="16" style="1274" customWidth="1"/>
    <col min="6" max="7" width="13.77734375" style="1275" customWidth="1"/>
    <col min="8" max="8" width="13.77734375" style="1276" customWidth="1"/>
    <col min="9" max="9" width="1.77734375" style="1242" customWidth="1"/>
    <col min="10" max="10" width="28.33203125" style="1242" customWidth="1"/>
    <col min="11" max="11" width="1.88671875" style="1242" customWidth="1"/>
    <col min="12" max="14" width="1.6640625" style="1242" customWidth="1"/>
    <col min="15" max="15" width="6.77734375" style="1242" customWidth="1"/>
    <col min="16" max="16" width="8.88671875" style="1242" customWidth="1"/>
    <col min="17" max="17" width="7.77734375" style="1277" customWidth="1"/>
    <col min="18" max="18" width="6.77734375" style="1242" customWidth="1"/>
    <col min="19" max="19" width="14.77734375" style="1278" customWidth="1"/>
    <col min="20" max="21" width="6.77734375" style="1242" customWidth="1"/>
    <col min="22" max="22" width="7.77734375" style="1279" customWidth="1"/>
    <col min="23" max="23" width="6.77734375" style="1242" customWidth="1"/>
    <col min="24" max="24" width="3" style="671" customWidth="1"/>
    <col min="25" max="25" width="14.77734375" style="1241" customWidth="1"/>
    <col min="26" max="26" width="13.88671875" style="1241" bestFit="1" customWidth="1"/>
    <col min="27" max="27" width="12.6640625" style="1241" bestFit="1" customWidth="1"/>
    <col min="28" max="28" width="13.88671875" style="1244" bestFit="1" customWidth="1"/>
    <col min="29" max="29" width="8.5546875" style="1241" customWidth="1"/>
    <col min="30" max="30" width="12.6640625" style="1241" bestFit="1" customWidth="1"/>
    <col min="31" max="16384" width="8.88671875" style="1242"/>
  </cols>
  <sheetData>
    <row r="1" spans="1:30" s="479" customFormat="1" ht="27.75" customHeight="1">
      <c r="A1" s="3805" t="s">
        <v>6118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480"/>
      <c r="AA1" s="480"/>
      <c r="AB1" s="1146"/>
      <c r="AC1" s="480"/>
      <c r="AD1" s="480"/>
    </row>
    <row r="2" spans="1:30" s="880" customFormat="1" ht="19.5" thickBot="1">
      <c r="A2" s="1147"/>
      <c r="B2" s="1147"/>
      <c r="C2" s="1147"/>
      <c r="D2" s="1147" t="s">
        <v>2587</v>
      </c>
      <c r="E2" s="1147"/>
      <c r="F2" s="482"/>
      <c r="G2" s="1934"/>
      <c r="H2" s="1148" t="s">
        <v>2588</v>
      </c>
      <c r="I2" s="1934"/>
      <c r="J2" s="886" t="s">
        <v>2587</v>
      </c>
      <c r="K2" s="886"/>
      <c r="L2" s="886"/>
      <c r="M2" s="886"/>
      <c r="N2" s="886"/>
      <c r="O2" s="886"/>
      <c r="P2" s="886"/>
      <c r="Q2" s="511"/>
      <c r="R2" s="1934"/>
      <c r="S2" s="718"/>
      <c r="T2" s="1934"/>
      <c r="U2" s="1934"/>
      <c r="V2" s="504"/>
      <c r="W2" s="1934"/>
      <c r="X2" s="719"/>
      <c r="Y2" s="1149" t="s">
        <v>2588</v>
      </c>
      <c r="Z2" s="308"/>
      <c r="AA2" s="308"/>
      <c r="AB2" s="1146"/>
      <c r="AC2" s="308"/>
      <c r="AD2" s="308"/>
    </row>
    <row r="3" spans="1:30" s="880" customFormat="1" ht="20.100000000000001" customHeight="1">
      <c r="A3" s="3806" t="s">
        <v>2589</v>
      </c>
      <c r="B3" s="3807"/>
      <c r="C3" s="3807"/>
      <c r="D3" s="3807"/>
      <c r="E3" s="3808"/>
      <c r="F3" s="3809" t="s">
        <v>2590</v>
      </c>
      <c r="G3" s="3811" t="s">
        <v>2591</v>
      </c>
      <c r="H3" s="4039" t="s">
        <v>2592</v>
      </c>
      <c r="I3" s="634"/>
      <c r="J3" s="4030" t="s">
        <v>2853</v>
      </c>
      <c r="K3" s="4041"/>
      <c r="L3" s="4041"/>
      <c r="M3" s="4041"/>
      <c r="N3" s="4041"/>
      <c r="O3" s="4041"/>
      <c r="P3" s="4041"/>
      <c r="Q3" s="4041"/>
      <c r="R3" s="4041"/>
      <c r="S3" s="4041"/>
      <c r="T3" s="4041"/>
      <c r="U3" s="4041"/>
      <c r="V3" s="4041"/>
      <c r="W3" s="4041"/>
      <c r="X3" s="4041"/>
      <c r="Y3" s="4042"/>
      <c r="Z3" s="308"/>
      <c r="AA3" s="308"/>
      <c r="AB3" s="1146"/>
      <c r="AC3" s="308"/>
      <c r="AD3" s="308"/>
    </row>
    <row r="4" spans="1:30" s="503" customFormat="1" ht="20.100000000000001" customHeight="1" thickBot="1">
      <c r="A4" s="892" t="s">
        <v>2594</v>
      </c>
      <c r="B4" s="893" t="s">
        <v>2595</v>
      </c>
      <c r="C4" s="894" t="s">
        <v>2596</v>
      </c>
      <c r="D4" s="894" t="s">
        <v>2597</v>
      </c>
      <c r="E4" s="1150" t="s">
        <v>2598</v>
      </c>
      <c r="F4" s="3810"/>
      <c r="G4" s="3812"/>
      <c r="H4" s="4040"/>
      <c r="I4" s="895"/>
      <c r="J4" s="4043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  <c r="Y4" s="4045"/>
      <c r="Z4" s="308"/>
      <c r="AA4" s="308"/>
      <c r="AB4" s="1146"/>
      <c r="AC4" s="308"/>
      <c r="AD4" s="308"/>
    </row>
    <row r="5" spans="1:30" s="503" customFormat="1" ht="22.5" customHeight="1" thickBot="1">
      <c r="A5" s="900" t="s">
        <v>3107</v>
      </c>
      <c r="B5" s="901"/>
      <c r="C5" s="901"/>
      <c r="D5" s="902"/>
      <c r="E5" s="1153"/>
      <c r="F5" s="1154"/>
      <c r="G5" s="1155"/>
      <c r="H5" s="1156"/>
      <c r="I5" s="895"/>
      <c r="J5" s="1157"/>
      <c r="K5" s="1158"/>
      <c r="L5" s="1158"/>
      <c r="M5" s="1158"/>
      <c r="N5" s="1158"/>
      <c r="O5" s="1158"/>
      <c r="P5" s="1158"/>
      <c r="Q5" s="1158"/>
      <c r="R5" s="1158"/>
      <c r="S5" s="1158"/>
      <c r="T5" s="1158"/>
      <c r="U5" s="1158"/>
      <c r="V5" s="1158"/>
      <c r="W5" s="1158"/>
      <c r="X5" s="1158"/>
      <c r="Y5" s="1159"/>
      <c r="Z5" s="308"/>
      <c r="AA5" s="308"/>
      <c r="AB5" s="1146"/>
      <c r="AC5" s="308"/>
      <c r="AD5" s="308"/>
    </row>
    <row r="6" spans="1:30" s="709" customFormat="1" ht="22.5" customHeight="1" thickBot="1">
      <c r="A6" s="1160"/>
      <c r="B6" s="900" t="s">
        <v>3107</v>
      </c>
      <c r="C6" s="901"/>
      <c r="D6" s="901"/>
      <c r="E6" s="902"/>
      <c r="F6" s="1161">
        <f>+F7+F118</f>
        <v>3045200</v>
      </c>
      <c r="G6" s="1161">
        <f>+G7+G118</f>
        <v>3009200</v>
      </c>
      <c r="H6" s="1162">
        <f>+F6-G6</f>
        <v>36000</v>
      </c>
      <c r="I6" s="734"/>
      <c r="J6" s="1163"/>
      <c r="K6" s="912"/>
      <c r="L6" s="912"/>
      <c r="M6" s="912"/>
      <c r="N6" s="912"/>
      <c r="O6" s="912"/>
      <c r="P6" s="912"/>
      <c r="Q6" s="1164"/>
      <c r="R6" s="911"/>
      <c r="S6" s="1165"/>
      <c r="T6" s="911"/>
      <c r="U6" s="911"/>
      <c r="V6" s="1166"/>
      <c r="W6" s="911"/>
      <c r="X6" s="1167"/>
      <c r="Y6" s="1168"/>
      <c r="Z6" s="915"/>
      <c r="AA6" s="915"/>
      <c r="AB6" s="1169"/>
      <c r="AC6" s="915"/>
      <c r="AD6" s="915"/>
    </row>
    <row r="7" spans="1:30" s="1183" customFormat="1" ht="22.5" customHeight="1">
      <c r="A7" s="1122"/>
      <c r="B7" s="709"/>
      <c r="C7" s="4012" t="s">
        <v>2600</v>
      </c>
      <c r="D7" s="4013"/>
      <c r="E7" s="4014"/>
      <c r="F7" s="1170">
        <f>F8+F20+F114</f>
        <v>1955200</v>
      </c>
      <c r="G7" s="1170">
        <f>G8+G20+G114</f>
        <v>1955200</v>
      </c>
      <c r="H7" s="1171">
        <f>F7-G7</f>
        <v>0</v>
      </c>
      <c r="I7" s="1172"/>
      <c r="J7" s="1173"/>
      <c r="K7" s="1174"/>
      <c r="L7" s="1174"/>
      <c r="M7" s="1174"/>
      <c r="N7" s="1174"/>
      <c r="O7" s="1174"/>
      <c r="P7" s="1174"/>
      <c r="Q7" s="1175"/>
      <c r="R7" s="1176"/>
      <c r="S7" s="1177"/>
      <c r="T7" s="1174"/>
      <c r="U7" s="1174"/>
      <c r="V7" s="1178"/>
      <c r="W7" s="1174"/>
      <c r="X7" s="1179"/>
      <c r="Y7" s="1180"/>
      <c r="Z7" s="1181"/>
      <c r="AA7" s="1181"/>
      <c r="AB7" s="1182"/>
      <c r="AC7" s="1181"/>
      <c r="AD7" s="1181"/>
    </row>
    <row r="8" spans="1:30" s="931" customFormat="1" ht="19.899999999999999" customHeight="1">
      <c r="A8" s="916"/>
      <c r="B8" s="1982"/>
      <c r="C8" s="675"/>
      <c r="D8" s="4015" t="s">
        <v>2601</v>
      </c>
      <c r="E8" s="4016"/>
      <c r="F8" s="932">
        <f>+F9+F16+F17</f>
        <v>850200</v>
      </c>
      <c r="G8" s="932">
        <f>+G9+G16+G17</f>
        <v>850200</v>
      </c>
      <c r="H8" s="933">
        <f>F8-G8</f>
        <v>0</v>
      </c>
      <c r="I8" s="734"/>
      <c r="J8" s="934"/>
      <c r="K8" s="935"/>
      <c r="L8" s="935"/>
      <c r="M8" s="935"/>
      <c r="N8" s="935"/>
      <c r="O8" s="935"/>
      <c r="P8" s="936"/>
      <c r="Q8" s="937"/>
      <c r="R8" s="1969"/>
      <c r="S8" s="938"/>
      <c r="T8" s="1957"/>
      <c r="U8" s="938"/>
      <c r="V8" s="1957"/>
      <c r="W8" s="1957"/>
      <c r="X8" s="1184"/>
      <c r="Y8" s="939"/>
      <c r="Z8" s="1105">
        <f>+Z9+Z16+Z17</f>
        <v>850200000</v>
      </c>
      <c r="AA8" s="1185"/>
      <c r="AB8" s="690"/>
      <c r="AC8" s="690"/>
      <c r="AD8" s="930"/>
    </row>
    <row r="9" spans="1:30" s="931" customFormat="1" ht="19.899999999999999" customHeight="1">
      <c r="A9" s="916"/>
      <c r="B9" s="1982"/>
      <c r="C9" s="675"/>
      <c r="D9" s="675"/>
      <c r="E9" s="851" t="s">
        <v>2602</v>
      </c>
      <c r="F9" s="941">
        <f>+Y9</f>
        <v>688836</v>
      </c>
      <c r="G9" s="941">
        <v>688836</v>
      </c>
      <c r="H9" s="942"/>
      <c r="I9" s="734"/>
      <c r="J9" s="943" t="s">
        <v>2603</v>
      </c>
      <c r="K9" s="944"/>
      <c r="L9" s="944"/>
      <c r="M9" s="944"/>
      <c r="N9" s="945"/>
      <c r="O9" s="945"/>
      <c r="P9" s="944"/>
      <c r="Q9" s="946"/>
      <c r="R9" s="867"/>
      <c r="S9" s="867"/>
      <c r="T9" s="867"/>
      <c r="U9" s="867"/>
      <c r="V9" s="867"/>
      <c r="W9" s="867"/>
      <c r="X9" s="870"/>
      <c r="Y9" s="3110">
        <f>+INT(Z9/1000)</f>
        <v>688836</v>
      </c>
      <c r="Z9" s="732">
        <f>+Z10+Z12+Z14</f>
        <v>688836000</v>
      </c>
      <c r="AA9" s="1185"/>
      <c r="AB9" s="690"/>
      <c r="AC9" s="690"/>
      <c r="AD9" s="930"/>
    </row>
    <row r="10" spans="1:30" s="931" customFormat="1" ht="19.899999999999999" customHeight="1">
      <c r="A10" s="673"/>
      <c r="B10" s="674"/>
      <c r="C10" s="948"/>
      <c r="D10" s="675"/>
      <c r="E10" s="851"/>
      <c r="F10" s="941"/>
      <c r="G10" s="941"/>
      <c r="H10" s="949"/>
      <c r="I10" s="734"/>
      <c r="J10" s="943" t="s">
        <v>2855</v>
      </c>
      <c r="K10" s="950"/>
      <c r="L10" s="951"/>
      <c r="M10" s="951"/>
      <c r="N10" s="945"/>
      <c r="O10" s="945"/>
      <c r="P10" s="944"/>
      <c r="Q10" s="946" t="s">
        <v>2605</v>
      </c>
      <c r="R10" s="867" t="s">
        <v>2587</v>
      </c>
      <c r="S10" s="952"/>
      <c r="T10" s="867"/>
      <c r="U10" s="867"/>
      <c r="V10" s="867"/>
      <c r="W10" s="867"/>
      <c r="X10" s="870"/>
      <c r="Y10" s="3110">
        <f>+Z10/1000</f>
        <v>596160</v>
      </c>
      <c r="Z10" s="732">
        <f>SUM(Z11:Z11)</f>
        <v>596160000</v>
      </c>
      <c r="AA10" s="1185"/>
      <c r="AB10" s="690"/>
      <c r="AC10" s="690"/>
      <c r="AD10" s="930"/>
    </row>
    <row r="11" spans="1:30" s="931" customFormat="1" ht="19.899999999999999" customHeight="1">
      <c r="A11" s="673"/>
      <c r="B11" s="674"/>
      <c r="C11" s="948"/>
      <c r="D11" s="675"/>
      <c r="E11" s="851"/>
      <c r="F11" s="941"/>
      <c r="G11" s="941"/>
      <c r="H11" s="949"/>
      <c r="I11" s="734"/>
      <c r="J11" s="943" t="s">
        <v>3108</v>
      </c>
      <c r="K11" s="953"/>
      <c r="L11" s="951"/>
      <c r="M11" s="951"/>
      <c r="N11" s="954"/>
      <c r="O11" s="944"/>
      <c r="P11" s="944"/>
      <c r="Q11" s="946" t="s">
        <v>2890</v>
      </c>
      <c r="R11" s="867" t="s">
        <v>2608</v>
      </c>
      <c r="S11" s="868">
        <v>4140000</v>
      </c>
      <c r="T11" s="867" t="s">
        <v>2609</v>
      </c>
      <c r="U11" s="867"/>
      <c r="V11" s="867">
        <v>12</v>
      </c>
      <c r="W11" s="867" t="s">
        <v>2610</v>
      </c>
      <c r="X11" s="870" t="s">
        <v>2611</v>
      </c>
      <c r="Y11" s="3110">
        <f>+Z11/1000</f>
        <v>596160</v>
      </c>
      <c r="Z11" s="732">
        <f>S11*Q11*V11</f>
        <v>596160000</v>
      </c>
      <c r="AA11" s="1185"/>
      <c r="AB11" s="690"/>
      <c r="AC11" s="690"/>
      <c r="AD11" s="930"/>
    </row>
    <row r="12" spans="1:30" s="931" customFormat="1" ht="19.899999999999999" customHeight="1">
      <c r="A12" s="673"/>
      <c r="B12" s="674"/>
      <c r="C12" s="948"/>
      <c r="D12" s="675"/>
      <c r="E12" s="851"/>
      <c r="F12" s="941"/>
      <c r="G12" s="941"/>
      <c r="H12" s="949"/>
      <c r="I12" s="734"/>
      <c r="J12" s="943" t="s">
        <v>3109</v>
      </c>
      <c r="K12" s="950"/>
      <c r="L12" s="951"/>
      <c r="M12" s="951"/>
      <c r="N12" s="954"/>
      <c r="O12" s="944"/>
      <c r="P12" s="944"/>
      <c r="Q12" s="946"/>
      <c r="R12" s="682"/>
      <c r="S12" s="867"/>
      <c r="T12" s="682"/>
      <c r="U12" s="867"/>
      <c r="V12" s="867"/>
      <c r="W12" s="867"/>
      <c r="X12" s="870"/>
      <c r="Y12" s="3110">
        <f t="shared" ref="Y12:Y13" si="0">+Z12/1000</f>
        <v>67680</v>
      </c>
      <c r="Z12" s="732">
        <f>SUM(Z13:Z13)</f>
        <v>67680000</v>
      </c>
      <c r="AA12" s="1185"/>
      <c r="AB12" s="690"/>
      <c r="AC12" s="690"/>
      <c r="AD12" s="930"/>
    </row>
    <row r="13" spans="1:30" s="931" customFormat="1" ht="19.899999999999999" customHeight="1">
      <c r="A13" s="673"/>
      <c r="B13" s="674"/>
      <c r="C13" s="948"/>
      <c r="D13" s="675"/>
      <c r="E13" s="851"/>
      <c r="F13" s="941"/>
      <c r="G13" s="941"/>
      <c r="H13" s="949"/>
      <c r="I13" s="734"/>
      <c r="J13" s="943" t="s">
        <v>3108</v>
      </c>
      <c r="K13" s="953"/>
      <c r="L13" s="951"/>
      <c r="M13" s="951"/>
      <c r="N13" s="954"/>
      <c r="O13" s="944"/>
      <c r="P13" s="944"/>
      <c r="Q13" s="946" t="s">
        <v>2890</v>
      </c>
      <c r="R13" s="867" t="s">
        <v>2608</v>
      </c>
      <c r="S13" s="868">
        <v>470000</v>
      </c>
      <c r="T13" s="867" t="s">
        <v>2609</v>
      </c>
      <c r="U13" s="867"/>
      <c r="V13" s="867">
        <v>12</v>
      </c>
      <c r="W13" s="867" t="s">
        <v>2610</v>
      </c>
      <c r="X13" s="870" t="s">
        <v>2611</v>
      </c>
      <c r="Y13" s="3110">
        <f t="shared" si="0"/>
        <v>67680</v>
      </c>
      <c r="Z13" s="732">
        <f>ROUNDUP(S13*Q13*V13,-3)</f>
        <v>67680000</v>
      </c>
      <c r="AA13" s="1185"/>
      <c r="AB13" s="690"/>
      <c r="AC13" s="690"/>
      <c r="AD13" s="930"/>
    </row>
    <row r="14" spans="1:30" s="931" customFormat="1" ht="19.899999999999999" customHeight="1">
      <c r="A14" s="673"/>
      <c r="B14" s="674"/>
      <c r="C14" s="948"/>
      <c r="D14" s="675"/>
      <c r="E14" s="851"/>
      <c r="F14" s="941"/>
      <c r="G14" s="941"/>
      <c r="H14" s="949"/>
      <c r="I14" s="734"/>
      <c r="J14" s="943" t="s">
        <v>2858</v>
      </c>
      <c r="K14" s="950"/>
      <c r="L14" s="951"/>
      <c r="M14" s="951"/>
      <c r="N14" s="954"/>
      <c r="O14" s="944"/>
      <c r="P14" s="944"/>
      <c r="Q14" s="946"/>
      <c r="R14" s="682"/>
      <c r="S14" s="867"/>
      <c r="T14" s="682"/>
      <c r="U14" s="867"/>
      <c r="V14" s="867"/>
      <c r="W14" s="867"/>
      <c r="X14" s="870"/>
      <c r="Y14" s="3110">
        <f>+Z14/1000</f>
        <v>24996</v>
      </c>
      <c r="Z14" s="732">
        <f>SUM(Z15:Z15)</f>
        <v>24996000</v>
      </c>
      <c r="AA14" s="1185"/>
      <c r="AB14" s="690"/>
      <c r="AC14" s="690"/>
      <c r="AD14" s="930"/>
    </row>
    <row r="15" spans="1:30" s="931" customFormat="1" ht="19.899999999999999" customHeight="1">
      <c r="A15" s="673"/>
      <c r="B15" s="674"/>
      <c r="C15" s="948"/>
      <c r="D15" s="675"/>
      <c r="E15" s="851"/>
      <c r="F15" s="941"/>
      <c r="G15" s="941"/>
      <c r="H15" s="949"/>
      <c r="I15" s="734"/>
      <c r="J15" s="943" t="s">
        <v>3108</v>
      </c>
      <c r="K15" s="953"/>
      <c r="L15" s="951"/>
      <c r="M15" s="951"/>
      <c r="N15" s="954"/>
      <c r="O15" s="944"/>
      <c r="P15" s="944"/>
      <c r="Q15" s="946" t="s">
        <v>2890</v>
      </c>
      <c r="R15" s="867" t="s">
        <v>2608</v>
      </c>
      <c r="S15" s="868">
        <v>2083000</v>
      </c>
      <c r="T15" s="867" t="s">
        <v>2609</v>
      </c>
      <c r="U15" s="867"/>
      <c r="V15" s="867">
        <v>1</v>
      </c>
      <c r="W15" s="867" t="s">
        <v>2614</v>
      </c>
      <c r="X15" s="870" t="s">
        <v>2611</v>
      </c>
      <c r="Y15" s="3110">
        <f>+Z15/1000</f>
        <v>24996</v>
      </c>
      <c r="Z15" s="732">
        <f>ROUNDUP(S15*Q15*V15,-3)</f>
        <v>24996000</v>
      </c>
      <c r="AA15" s="1185"/>
      <c r="AB15" s="690"/>
      <c r="AC15" s="690"/>
      <c r="AD15" s="930"/>
    </row>
    <row r="16" spans="1:30" s="931" customFormat="1" ht="19.899999999999999" customHeight="1">
      <c r="A16" s="673"/>
      <c r="B16" s="674"/>
      <c r="C16" s="948"/>
      <c r="D16" s="675"/>
      <c r="E16" s="851" t="s">
        <v>2615</v>
      </c>
      <c r="F16" s="941">
        <f>Y16</f>
        <v>82980</v>
      </c>
      <c r="G16" s="941">
        <v>82980</v>
      </c>
      <c r="H16" s="1239"/>
      <c r="I16" s="734"/>
      <c r="J16" s="943" t="s">
        <v>2616</v>
      </c>
      <c r="K16" s="944"/>
      <c r="L16" s="3171"/>
      <c r="M16" s="3171"/>
      <c r="N16" s="945"/>
      <c r="O16" s="945"/>
      <c r="P16" s="944"/>
      <c r="Q16" s="946"/>
      <c r="R16" s="3163"/>
      <c r="S16" s="3164">
        <f>+Z11+Z13</f>
        <v>663840000</v>
      </c>
      <c r="T16" s="3163" t="s">
        <v>2617</v>
      </c>
      <c r="U16" s="3166">
        <v>12</v>
      </c>
      <c r="V16" s="3163" t="s">
        <v>2618</v>
      </c>
      <c r="W16" s="3208">
        <v>1.5</v>
      </c>
      <c r="X16" s="3165" t="s">
        <v>2611</v>
      </c>
      <c r="Y16" s="3110">
        <f t="shared" ref="Y16:Y19" si="1">+Z16/1000</f>
        <v>82980</v>
      </c>
      <c r="Z16" s="732">
        <f>+(S16/U16*W16)</f>
        <v>82980000</v>
      </c>
      <c r="AA16" s="1185"/>
      <c r="AB16" s="690"/>
      <c r="AC16" s="690"/>
      <c r="AD16" s="930"/>
    </row>
    <row r="17" spans="1:30" s="931" customFormat="1" ht="19.899999999999999" customHeight="1">
      <c r="A17" s="673"/>
      <c r="B17" s="674"/>
      <c r="C17" s="948"/>
      <c r="D17" s="675"/>
      <c r="E17" s="851" t="s">
        <v>2619</v>
      </c>
      <c r="F17" s="941">
        <f>Y17</f>
        <v>78384</v>
      </c>
      <c r="G17" s="941">
        <v>78384</v>
      </c>
      <c r="H17" s="949"/>
      <c r="I17" s="734"/>
      <c r="J17" s="866" t="s">
        <v>2603</v>
      </c>
      <c r="K17" s="944"/>
      <c r="L17" s="944"/>
      <c r="M17" s="944"/>
      <c r="N17" s="945"/>
      <c r="O17" s="945"/>
      <c r="P17" s="944"/>
      <c r="Q17" s="946"/>
      <c r="R17" s="3163"/>
      <c r="S17" s="3163"/>
      <c r="T17" s="3163"/>
      <c r="U17" s="3163"/>
      <c r="V17" s="3163"/>
      <c r="W17" s="3163"/>
      <c r="X17" s="3165"/>
      <c r="Y17" s="3110">
        <f t="shared" si="1"/>
        <v>78384</v>
      </c>
      <c r="Z17" s="732">
        <f>SUM(Z18:Z19)</f>
        <v>78384000</v>
      </c>
      <c r="AA17" s="1185"/>
      <c r="AB17" s="690"/>
      <c r="AC17" s="690"/>
      <c r="AD17" s="930"/>
    </row>
    <row r="18" spans="1:30" s="967" customFormat="1" ht="19.899999999999999" customHeight="1">
      <c r="A18" s="866"/>
      <c r="B18" s="851"/>
      <c r="C18" s="968"/>
      <c r="D18" s="675"/>
      <c r="E18" s="851"/>
      <c r="F18" s="941"/>
      <c r="G18" s="941"/>
      <c r="H18" s="949"/>
      <c r="I18" s="734"/>
      <c r="J18" s="943" t="s">
        <v>2859</v>
      </c>
      <c r="K18" s="944"/>
      <c r="L18" s="944"/>
      <c r="M18" s="944"/>
      <c r="N18" s="945"/>
      <c r="O18" s="944"/>
      <c r="P18" s="944"/>
      <c r="Q18" s="946"/>
      <c r="R18" s="867"/>
      <c r="S18" s="868">
        <f>+S16</f>
        <v>663840000</v>
      </c>
      <c r="T18" s="867" t="s">
        <v>2609</v>
      </c>
      <c r="U18" s="867"/>
      <c r="V18" s="969">
        <v>0.1</v>
      </c>
      <c r="W18" s="867"/>
      <c r="X18" s="870" t="s">
        <v>2611</v>
      </c>
      <c r="Y18" s="3110">
        <f t="shared" si="1"/>
        <v>66384</v>
      </c>
      <c r="Z18" s="732">
        <f>ROUNDUP(S18*V18,-3)</f>
        <v>66384000</v>
      </c>
      <c r="AA18" s="966"/>
      <c r="AB18" s="966"/>
      <c r="AC18" s="966"/>
      <c r="AD18" s="1055"/>
    </row>
    <row r="19" spans="1:30" s="931" customFormat="1" ht="19.899999999999999" customHeight="1">
      <c r="A19" s="673"/>
      <c r="B19" s="674"/>
      <c r="C19" s="948"/>
      <c r="D19" s="970"/>
      <c r="E19" s="971"/>
      <c r="F19" s="972"/>
      <c r="G19" s="972"/>
      <c r="H19" s="2062"/>
      <c r="I19" s="734"/>
      <c r="J19" s="974" t="s">
        <v>2860</v>
      </c>
      <c r="K19" s="975"/>
      <c r="L19" s="975"/>
      <c r="M19" s="975"/>
      <c r="N19" s="976"/>
      <c r="O19" s="976"/>
      <c r="P19" s="975"/>
      <c r="Q19" s="977"/>
      <c r="R19" s="978"/>
      <c r="S19" s="979">
        <v>1000000</v>
      </c>
      <c r="T19" s="978" t="s">
        <v>2609</v>
      </c>
      <c r="U19" s="978"/>
      <c r="V19" s="980">
        <v>12</v>
      </c>
      <c r="W19" s="978" t="s">
        <v>2622</v>
      </c>
      <c r="X19" s="1025" t="s">
        <v>2611</v>
      </c>
      <c r="Y19" s="3110">
        <f t="shared" si="1"/>
        <v>12000</v>
      </c>
      <c r="Z19" s="1114">
        <f>ROUNDUP(S19*V19,-3)</f>
        <v>12000000</v>
      </c>
      <c r="AA19" s="1185"/>
      <c r="AB19" s="690"/>
      <c r="AC19" s="690"/>
      <c r="AD19" s="930"/>
    </row>
    <row r="20" spans="1:30" s="709" customFormat="1" ht="19.899999999999999" customHeight="1">
      <c r="A20" s="1122"/>
      <c r="B20" s="948"/>
      <c r="C20" s="675"/>
      <c r="D20" s="1956" t="s">
        <v>3110</v>
      </c>
      <c r="E20" s="1958"/>
      <c r="F20" s="697">
        <f>SUM(F21:F111)</f>
        <v>1099000</v>
      </c>
      <c r="G20" s="697">
        <f>SUM(G21:G111)</f>
        <v>1099000</v>
      </c>
      <c r="H20" s="933">
        <f>F20-G20</f>
        <v>0</v>
      </c>
      <c r="I20" s="734"/>
      <c r="J20" s="1115"/>
      <c r="K20" s="1093"/>
      <c r="L20" s="1093"/>
      <c r="M20" s="1093"/>
      <c r="N20" s="1093"/>
      <c r="O20" s="1093"/>
      <c r="P20" s="1093"/>
      <c r="Q20" s="1187"/>
      <c r="R20" s="1116"/>
      <c r="S20" s="1188"/>
      <c r="T20" s="1093"/>
      <c r="U20" s="1093"/>
      <c r="V20" s="1094"/>
      <c r="W20" s="1093"/>
      <c r="X20" s="1976"/>
      <c r="Y20" s="1104"/>
      <c r="Z20" s="915"/>
      <c r="AA20" s="915"/>
      <c r="AB20" s="1169"/>
      <c r="AC20" s="915"/>
      <c r="AD20" s="915"/>
    </row>
    <row r="21" spans="1:30" s="709" customFormat="1" ht="19.899999999999999" customHeight="1">
      <c r="A21" s="1122"/>
      <c r="B21" s="948"/>
      <c r="C21" s="675"/>
      <c r="D21" s="1034"/>
      <c r="E21" s="2507" t="s">
        <v>3111</v>
      </c>
      <c r="F21" s="1198">
        <f>Y21</f>
        <v>5000</v>
      </c>
      <c r="G21" s="1198">
        <v>5000</v>
      </c>
      <c r="H21" s="1199"/>
      <c r="I21" s="734"/>
      <c r="J21" s="791" t="s">
        <v>3112</v>
      </c>
      <c r="K21" s="3439"/>
      <c r="L21" s="3439"/>
      <c r="M21" s="3439"/>
      <c r="N21" s="3439"/>
      <c r="O21" s="3439"/>
      <c r="P21" s="3439"/>
      <c r="Q21" s="735">
        <v>20</v>
      </c>
      <c r="R21" s="736" t="s">
        <v>3113</v>
      </c>
      <c r="S21" s="728">
        <v>250000</v>
      </c>
      <c r="T21" s="3439" t="s">
        <v>2609</v>
      </c>
      <c r="U21" s="3439"/>
      <c r="V21" s="730">
        <v>1</v>
      </c>
      <c r="W21" s="3439" t="s">
        <v>3114</v>
      </c>
      <c r="X21" s="731" t="s">
        <v>3115</v>
      </c>
      <c r="Y21" s="3110">
        <f>Q21*S21/1000</f>
        <v>5000</v>
      </c>
      <c r="Z21" s="915"/>
      <c r="AA21" s="915"/>
      <c r="AB21" s="1169"/>
      <c r="AC21" s="915"/>
      <c r="AD21" s="915"/>
    </row>
    <row r="22" spans="1:30" s="709" customFormat="1" ht="19.899999999999999" customHeight="1">
      <c r="A22" s="1122"/>
      <c r="B22" s="948"/>
      <c r="C22" s="675"/>
      <c r="D22" s="675"/>
      <c r="E22" s="675" t="s">
        <v>3116</v>
      </c>
      <c r="F22" s="678">
        <f>Y22</f>
        <v>1200</v>
      </c>
      <c r="G22" s="678">
        <v>1200</v>
      </c>
      <c r="H22" s="1190"/>
      <c r="I22" s="734"/>
      <c r="J22" s="791" t="s">
        <v>3117</v>
      </c>
      <c r="K22" s="3439"/>
      <c r="L22" s="3439"/>
      <c r="M22" s="3439"/>
      <c r="N22" s="3439"/>
      <c r="O22" s="3439"/>
      <c r="P22" s="3439"/>
      <c r="Q22" s="735">
        <v>12</v>
      </c>
      <c r="R22" s="736" t="s">
        <v>3113</v>
      </c>
      <c r="S22" s="728">
        <v>100000</v>
      </c>
      <c r="T22" s="3439" t="s">
        <v>2609</v>
      </c>
      <c r="U22" s="3439"/>
      <c r="V22" s="730">
        <v>1</v>
      </c>
      <c r="W22" s="3439" t="s">
        <v>3114</v>
      </c>
      <c r="X22" s="731" t="s">
        <v>3115</v>
      </c>
      <c r="Y22" s="3110">
        <f>Q22*S22/1000</f>
        <v>1200</v>
      </c>
      <c r="Z22" s="915"/>
      <c r="AA22" s="915"/>
      <c r="AB22" s="1169"/>
      <c r="AC22" s="915"/>
      <c r="AD22" s="915"/>
    </row>
    <row r="23" spans="1:30" s="709" customFormat="1" ht="19.899999999999999" customHeight="1">
      <c r="A23" s="1122"/>
      <c r="B23" s="948"/>
      <c r="C23" s="675"/>
      <c r="D23" s="675"/>
      <c r="E23" s="675" t="s">
        <v>3118</v>
      </c>
      <c r="F23" s="678">
        <f>Y23</f>
        <v>2800</v>
      </c>
      <c r="G23" s="678">
        <v>2800</v>
      </c>
      <c r="H23" s="1190"/>
      <c r="I23" s="734"/>
      <c r="J23" s="866" t="s">
        <v>2603</v>
      </c>
      <c r="K23" s="3163"/>
      <c r="L23" s="3163"/>
      <c r="M23" s="3163"/>
      <c r="N23" s="3163"/>
      <c r="O23" s="3163"/>
      <c r="P23" s="3163"/>
      <c r="Q23" s="735"/>
      <c r="R23" s="736"/>
      <c r="S23" s="728"/>
      <c r="T23" s="3439"/>
      <c r="U23" s="3439"/>
      <c r="V23" s="730"/>
      <c r="W23" s="3439"/>
      <c r="X23" s="731"/>
      <c r="Y23" s="3110">
        <f>SUM(Y24:Y25)</f>
        <v>2800</v>
      </c>
      <c r="Z23" s="915"/>
      <c r="AA23" s="915"/>
      <c r="AB23" s="1169"/>
      <c r="AC23" s="915"/>
      <c r="AD23" s="915"/>
    </row>
    <row r="24" spans="1:30" s="709" customFormat="1" ht="19.899999999999999" customHeight="1">
      <c r="A24" s="1122"/>
      <c r="B24" s="948"/>
      <c r="C24" s="675"/>
      <c r="D24" s="675"/>
      <c r="E24" s="675"/>
      <c r="F24" s="678"/>
      <c r="G24" s="678"/>
      <c r="H24" s="1190"/>
      <c r="I24" s="734"/>
      <c r="J24" s="866" t="s">
        <v>3119</v>
      </c>
      <c r="K24" s="867"/>
      <c r="L24" s="867"/>
      <c r="M24" s="867"/>
      <c r="N24" s="867"/>
      <c r="O24" s="867"/>
      <c r="P24" s="867"/>
      <c r="Q24" s="735"/>
      <c r="R24" s="736"/>
      <c r="S24" s="728">
        <v>200</v>
      </c>
      <c r="T24" s="709" t="s">
        <v>0</v>
      </c>
      <c r="V24" s="730">
        <v>10000</v>
      </c>
      <c r="W24" s="709" t="s">
        <v>9</v>
      </c>
      <c r="X24" s="731" t="s">
        <v>1</v>
      </c>
      <c r="Y24" s="3110">
        <f>(S24*V24)/1000</f>
        <v>2000</v>
      </c>
      <c r="Z24" s="915"/>
      <c r="AA24" s="915"/>
      <c r="AB24" s="1169"/>
      <c r="AC24" s="915"/>
      <c r="AD24" s="915"/>
    </row>
    <row r="25" spans="1:30" s="709" customFormat="1" ht="19.899999999999999" customHeight="1">
      <c r="A25" s="1122"/>
      <c r="B25" s="948"/>
      <c r="C25" s="675"/>
      <c r="D25" s="675"/>
      <c r="E25" s="675"/>
      <c r="F25" s="678"/>
      <c r="G25" s="678"/>
      <c r="H25" s="1190"/>
      <c r="I25" s="734"/>
      <c r="J25" s="681" t="s">
        <v>3120</v>
      </c>
      <c r="K25" s="3016"/>
      <c r="L25" s="3016"/>
      <c r="M25" s="3016"/>
      <c r="N25" s="3201"/>
      <c r="O25" s="3201"/>
      <c r="P25" s="3201"/>
      <c r="Q25" s="735">
        <v>2</v>
      </c>
      <c r="R25" s="736" t="s">
        <v>7</v>
      </c>
      <c r="S25" s="728">
        <v>400000</v>
      </c>
      <c r="T25" s="729" t="s">
        <v>0</v>
      </c>
      <c r="U25" s="3201"/>
      <c r="V25" s="730">
        <v>1</v>
      </c>
      <c r="W25" s="729" t="s">
        <v>6</v>
      </c>
      <c r="X25" s="731" t="s">
        <v>1</v>
      </c>
      <c r="Y25" s="3110">
        <f>+Q25*S25*V25/1000</f>
        <v>800</v>
      </c>
      <c r="Z25" s="915"/>
      <c r="AA25" s="915"/>
      <c r="AB25" s="1169"/>
      <c r="AC25" s="915"/>
      <c r="AD25" s="915"/>
    </row>
    <row r="26" spans="1:30" s="709" customFormat="1" ht="19.899999999999999" customHeight="1">
      <c r="A26" s="1122"/>
      <c r="B26" s="948"/>
      <c r="C26" s="675"/>
      <c r="D26" s="675"/>
      <c r="E26" s="948" t="s">
        <v>3121</v>
      </c>
      <c r="F26" s="678">
        <f>Y26</f>
        <v>5000</v>
      </c>
      <c r="G26" s="678">
        <v>5000</v>
      </c>
      <c r="H26" s="1190"/>
      <c r="I26" s="734"/>
      <c r="J26" s="866" t="s">
        <v>2603</v>
      </c>
      <c r="K26" s="3163"/>
      <c r="L26" s="3163"/>
      <c r="M26" s="3163"/>
      <c r="N26" s="3163"/>
      <c r="O26" s="3163"/>
      <c r="P26" s="3163"/>
      <c r="Q26" s="735"/>
      <c r="R26" s="736"/>
      <c r="S26" s="728"/>
      <c r="T26" s="3201"/>
      <c r="U26" s="3201"/>
      <c r="V26" s="730"/>
      <c r="W26" s="3201"/>
      <c r="X26" s="731"/>
      <c r="Y26" s="3110">
        <f>SUM(Y27:Y29)</f>
        <v>5000</v>
      </c>
      <c r="Z26" s="915"/>
      <c r="AA26" s="915"/>
      <c r="AB26" s="1169"/>
      <c r="AC26" s="915"/>
      <c r="AD26" s="915"/>
    </row>
    <row r="27" spans="1:30" s="709" customFormat="1" ht="19.899999999999999" customHeight="1">
      <c r="A27" s="1122"/>
      <c r="B27" s="948"/>
      <c r="C27" s="675"/>
      <c r="D27" s="675"/>
      <c r="E27" s="948"/>
      <c r="F27" s="678"/>
      <c r="G27" s="678"/>
      <c r="H27" s="1190"/>
      <c r="I27" s="734"/>
      <c r="J27" s="866" t="s">
        <v>3122</v>
      </c>
      <c r="K27" s="3163"/>
      <c r="L27" s="3163"/>
      <c r="M27" s="3163"/>
      <c r="N27" s="3163"/>
      <c r="O27" s="3163"/>
      <c r="P27" s="3163"/>
      <c r="Q27" s="735"/>
      <c r="R27" s="736"/>
      <c r="S27" s="728">
        <v>2500000</v>
      </c>
      <c r="T27" s="3201" t="s">
        <v>2609</v>
      </c>
      <c r="U27" s="3201"/>
      <c r="V27" s="730">
        <v>1</v>
      </c>
      <c r="W27" s="3201" t="s">
        <v>3123</v>
      </c>
      <c r="X27" s="731" t="s">
        <v>3115</v>
      </c>
      <c r="Y27" s="3110">
        <f t="shared" ref="Y27:Y28" si="2">S27*V27/1000</f>
        <v>2500</v>
      </c>
      <c r="Z27" s="915"/>
      <c r="AA27" s="915"/>
      <c r="AB27" s="1169"/>
      <c r="AC27" s="915"/>
      <c r="AD27" s="915"/>
    </row>
    <row r="28" spans="1:30" s="709" customFormat="1" ht="19.899999999999999" customHeight="1">
      <c r="A28" s="1122"/>
      <c r="B28" s="948"/>
      <c r="C28" s="675"/>
      <c r="D28" s="675"/>
      <c r="E28" s="948"/>
      <c r="F28" s="678"/>
      <c r="G28" s="678"/>
      <c r="H28" s="1190"/>
      <c r="I28" s="734"/>
      <c r="J28" s="866" t="s">
        <v>3124</v>
      </c>
      <c r="K28" s="3163"/>
      <c r="L28" s="3163"/>
      <c r="M28" s="3163"/>
      <c r="N28" s="3163"/>
      <c r="O28" s="3163"/>
      <c r="P28" s="3163"/>
      <c r="Q28" s="735"/>
      <c r="R28" s="736"/>
      <c r="S28" s="728">
        <v>2000000</v>
      </c>
      <c r="T28" s="3201" t="s">
        <v>2609</v>
      </c>
      <c r="U28" s="3201"/>
      <c r="V28" s="730">
        <v>1</v>
      </c>
      <c r="W28" s="3201" t="s">
        <v>3123</v>
      </c>
      <c r="X28" s="731" t="s">
        <v>3115</v>
      </c>
      <c r="Y28" s="3110">
        <f t="shared" si="2"/>
        <v>2000</v>
      </c>
      <c r="Z28" s="915"/>
      <c r="AA28" s="915"/>
      <c r="AB28" s="1169"/>
      <c r="AC28" s="915"/>
      <c r="AD28" s="915"/>
    </row>
    <row r="29" spans="1:30" s="709" customFormat="1" ht="19.899999999999999" customHeight="1">
      <c r="A29" s="1122"/>
      <c r="B29" s="948"/>
      <c r="C29" s="675"/>
      <c r="D29" s="675"/>
      <c r="E29" s="3170"/>
      <c r="F29" s="678"/>
      <c r="G29" s="678"/>
      <c r="H29" s="1190"/>
      <c r="I29" s="734"/>
      <c r="J29" s="866" t="s">
        <v>3125</v>
      </c>
      <c r="K29" s="3163"/>
      <c r="L29" s="3163"/>
      <c r="M29" s="3163"/>
      <c r="N29" s="3163"/>
      <c r="O29" s="3163"/>
      <c r="P29" s="3163"/>
      <c r="Q29" s="735"/>
      <c r="R29" s="736"/>
      <c r="S29" s="728">
        <v>500000</v>
      </c>
      <c r="T29" s="3201" t="s">
        <v>2609</v>
      </c>
      <c r="U29" s="3201"/>
      <c r="V29" s="730">
        <v>1</v>
      </c>
      <c r="W29" s="3201" t="s">
        <v>2638</v>
      </c>
      <c r="X29" s="731" t="s">
        <v>3115</v>
      </c>
      <c r="Y29" s="3110">
        <f>S29*V29/1000</f>
        <v>500</v>
      </c>
      <c r="Z29" s="915"/>
      <c r="AA29" s="915"/>
      <c r="AB29" s="1169"/>
      <c r="AC29" s="915"/>
      <c r="AD29" s="915"/>
    </row>
    <row r="30" spans="1:30" s="709" customFormat="1" ht="19.899999999999999" customHeight="1">
      <c r="A30" s="1122"/>
      <c r="B30" s="948"/>
      <c r="C30" s="675"/>
      <c r="D30" s="675"/>
      <c r="E30" s="675" t="s">
        <v>2631</v>
      </c>
      <c r="F30" s="678">
        <f>Y30</f>
        <v>6000</v>
      </c>
      <c r="G30" s="678">
        <v>6000</v>
      </c>
      <c r="H30" s="1190"/>
      <c r="I30" s="734"/>
      <c r="J30" s="866" t="s">
        <v>2603</v>
      </c>
      <c r="K30" s="3163"/>
      <c r="L30" s="3163"/>
      <c r="M30" s="3163"/>
      <c r="N30" s="3163"/>
      <c r="O30" s="3163"/>
      <c r="P30" s="3163"/>
      <c r="Q30" s="735"/>
      <c r="R30" s="736"/>
      <c r="S30" s="728"/>
      <c r="T30" s="3201"/>
      <c r="U30" s="3201"/>
      <c r="V30" s="730"/>
      <c r="W30" s="3201"/>
      <c r="X30" s="731"/>
      <c r="Y30" s="3110">
        <f>SUM(Y31:Y32)</f>
        <v>6000</v>
      </c>
      <c r="Z30" s="915"/>
      <c r="AA30" s="915"/>
      <c r="AB30" s="1169"/>
      <c r="AC30" s="915"/>
      <c r="AD30" s="915"/>
    </row>
    <row r="31" spans="1:30" s="709" customFormat="1" ht="19.899999999999999" customHeight="1">
      <c r="A31" s="1122"/>
      <c r="B31" s="948"/>
      <c r="C31" s="675"/>
      <c r="D31" s="675"/>
      <c r="E31" s="675"/>
      <c r="F31" s="678"/>
      <c r="G31" s="678"/>
      <c r="H31" s="1190"/>
      <c r="I31" s="734"/>
      <c r="J31" s="866" t="s">
        <v>2632</v>
      </c>
      <c r="K31" s="867"/>
      <c r="L31" s="867"/>
      <c r="M31" s="867"/>
      <c r="N31" s="867"/>
      <c r="O31" s="867"/>
      <c r="P31" s="867"/>
      <c r="Q31" s="735">
        <v>1</v>
      </c>
      <c r="R31" s="736" t="s">
        <v>3126</v>
      </c>
      <c r="S31" s="728">
        <v>100000</v>
      </c>
      <c r="T31" s="709" t="s">
        <v>2609</v>
      </c>
      <c r="V31" s="730">
        <v>12</v>
      </c>
      <c r="W31" s="709" t="s">
        <v>3127</v>
      </c>
      <c r="X31" s="731" t="s">
        <v>3115</v>
      </c>
      <c r="Y31" s="3110">
        <f>Q31*S31*V31/1000</f>
        <v>1200</v>
      </c>
      <c r="Z31" s="915"/>
      <c r="AA31" s="915"/>
      <c r="AB31" s="1169"/>
      <c r="AC31" s="915"/>
      <c r="AD31" s="915"/>
    </row>
    <row r="32" spans="1:30" s="709" customFormat="1" ht="19.899999999999999" customHeight="1">
      <c r="A32" s="1122"/>
      <c r="B32" s="948"/>
      <c r="C32" s="675"/>
      <c r="D32" s="675"/>
      <c r="E32" s="675"/>
      <c r="F32" s="678"/>
      <c r="G32" s="678"/>
      <c r="H32" s="1190"/>
      <c r="I32" s="734"/>
      <c r="J32" s="866" t="s">
        <v>2634</v>
      </c>
      <c r="K32" s="867"/>
      <c r="L32" s="867"/>
      <c r="M32" s="867"/>
      <c r="N32" s="867"/>
      <c r="O32" s="867"/>
      <c r="P32" s="867"/>
      <c r="Q32" s="735">
        <v>2</v>
      </c>
      <c r="R32" s="736" t="s">
        <v>3126</v>
      </c>
      <c r="S32" s="728">
        <v>200000</v>
      </c>
      <c r="T32" s="709" t="s">
        <v>2609</v>
      </c>
      <c r="V32" s="730">
        <v>12</v>
      </c>
      <c r="W32" s="709" t="s">
        <v>2610</v>
      </c>
      <c r="X32" s="731" t="s">
        <v>3115</v>
      </c>
      <c r="Y32" s="3110">
        <f>Q32*S32*V32/1000</f>
        <v>4800</v>
      </c>
      <c r="Z32" s="915"/>
      <c r="AA32" s="915"/>
      <c r="AB32" s="1169"/>
      <c r="AC32" s="915"/>
      <c r="AD32" s="915"/>
    </row>
    <row r="33" spans="1:30" s="709" customFormat="1" ht="19.899999999999999" customHeight="1">
      <c r="A33" s="1122"/>
      <c r="B33" s="948"/>
      <c r="C33" s="675"/>
      <c r="D33" s="675"/>
      <c r="E33" s="948" t="s">
        <v>3128</v>
      </c>
      <c r="F33" s="678">
        <f>Y33</f>
        <v>4200</v>
      </c>
      <c r="G33" s="678">
        <v>4200</v>
      </c>
      <c r="H33" s="1190"/>
      <c r="I33" s="734"/>
      <c r="J33" s="866" t="s">
        <v>2603</v>
      </c>
      <c r="K33" s="3163"/>
      <c r="L33" s="3163"/>
      <c r="M33" s="3163"/>
      <c r="N33" s="3163"/>
      <c r="O33" s="3163"/>
      <c r="P33" s="3163"/>
      <c r="Q33" s="735"/>
      <c r="R33" s="736"/>
      <c r="S33" s="728"/>
      <c r="T33" s="3201"/>
      <c r="U33" s="3201"/>
      <c r="V33" s="730"/>
      <c r="W33" s="3201"/>
      <c r="X33" s="731"/>
      <c r="Y33" s="3110">
        <f>SUM(Y34:Y40)</f>
        <v>4200</v>
      </c>
      <c r="Z33" s="915"/>
      <c r="AA33" s="915"/>
      <c r="AB33" s="1169"/>
      <c r="AC33" s="915"/>
      <c r="AD33" s="915"/>
    </row>
    <row r="34" spans="1:30" s="709" customFormat="1" ht="19.899999999999999" customHeight="1">
      <c r="A34" s="1122"/>
      <c r="B34" s="948"/>
      <c r="C34" s="675"/>
      <c r="D34" s="675"/>
      <c r="E34" s="948"/>
      <c r="F34" s="678"/>
      <c r="G34" s="678"/>
      <c r="H34" s="1190"/>
      <c r="I34" s="734"/>
      <c r="J34" s="866" t="s">
        <v>3129</v>
      </c>
      <c r="K34" s="3163"/>
      <c r="L34" s="3163"/>
      <c r="M34" s="3163"/>
      <c r="N34" s="3163"/>
      <c r="O34" s="3163"/>
      <c r="P34" s="3163"/>
      <c r="Q34" s="735"/>
      <c r="R34" s="736"/>
      <c r="S34" s="728">
        <v>100000</v>
      </c>
      <c r="T34" s="3201" t="s">
        <v>2609</v>
      </c>
      <c r="U34" s="3201"/>
      <c r="V34" s="730">
        <v>2</v>
      </c>
      <c r="W34" s="3201" t="s">
        <v>3123</v>
      </c>
      <c r="X34" s="731" t="s">
        <v>3115</v>
      </c>
      <c r="Y34" s="3110">
        <f t="shared" ref="Y34:Y40" si="3">S34*V34/1000</f>
        <v>200</v>
      </c>
      <c r="Z34" s="915"/>
      <c r="AA34" s="915"/>
      <c r="AB34" s="1169"/>
      <c r="AC34" s="915"/>
      <c r="AD34" s="915"/>
    </row>
    <row r="35" spans="1:30" s="709" customFormat="1" ht="19.899999999999999" customHeight="1">
      <c r="A35" s="1122"/>
      <c r="B35" s="948"/>
      <c r="C35" s="675"/>
      <c r="D35" s="675"/>
      <c r="E35" s="948"/>
      <c r="F35" s="678"/>
      <c r="G35" s="678"/>
      <c r="H35" s="1190"/>
      <c r="I35" s="734"/>
      <c r="J35" s="866" t="s">
        <v>3130</v>
      </c>
      <c r="K35" s="3163"/>
      <c r="L35" s="3163"/>
      <c r="M35" s="3163"/>
      <c r="N35" s="3163"/>
      <c r="O35" s="3163"/>
      <c r="P35" s="3163"/>
      <c r="Q35" s="735"/>
      <c r="R35" s="736"/>
      <c r="S35" s="728">
        <v>1500000</v>
      </c>
      <c r="T35" s="3201" t="s">
        <v>2609</v>
      </c>
      <c r="U35" s="3201"/>
      <c r="V35" s="730">
        <v>1</v>
      </c>
      <c r="W35" s="3201" t="s">
        <v>3123</v>
      </c>
      <c r="X35" s="731" t="s">
        <v>3115</v>
      </c>
      <c r="Y35" s="3110">
        <f t="shared" si="3"/>
        <v>1500</v>
      </c>
      <c r="Z35" s="915"/>
      <c r="AA35" s="915"/>
      <c r="AB35" s="1169"/>
      <c r="AC35" s="915"/>
      <c r="AD35" s="915"/>
    </row>
    <row r="36" spans="1:30" s="709" customFormat="1" ht="19.899999999999999" customHeight="1">
      <c r="A36" s="1122"/>
      <c r="B36" s="948"/>
      <c r="C36" s="675"/>
      <c r="D36" s="675"/>
      <c r="E36" s="948"/>
      <c r="F36" s="678"/>
      <c r="G36" s="678"/>
      <c r="H36" s="1190"/>
      <c r="I36" s="734"/>
      <c r="J36" s="866" t="s">
        <v>3131</v>
      </c>
      <c r="K36" s="3163"/>
      <c r="L36" s="3163"/>
      <c r="M36" s="3163"/>
      <c r="N36" s="3163"/>
      <c r="O36" s="3163"/>
      <c r="P36" s="3163"/>
      <c r="Q36" s="735"/>
      <c r="R36" s="736"/>
      <c r="S36" s="728">
        <v>400000</v>
      </c>
      <c r="T36" s="3201" t="s">
        <v>2609</v>
      </c>
      <c r="U36" s="3201"/>
      <c r="V36" s="730">
        <v>1</v>
      </c>
      <c r="W36" s="3201" t="s">
        <v>3123</v>
      </c>
      <c r="X36" s="731" t="s">
        <v>3115</v>
      </c>
      <c r="Y36" s="3110">
        <f t="shared" si="3"/>
        <v>400</v>
      </c>
      <c r="Z36" s="915"/>
      <c r="AA36" s="915"/>
      <c r="AB36" s="1169"/>
      <c r="AC36" s="915"/>
      <c r="AD36" s="915"/>
    </row>
    <row r="37" spans="1:30" s="709" customFormat="1" ht="19.899999999999999" customHeight="1">
      <c r="A37" s="1122"/>
      <c r="B37" s="948"/>
      <c r="C37" s="675"/>
      <c r="D37" s="675"/>
      <c r="E37" s="948"/>
      <c r="F37" s="678"/>
      <c r="G37" s="678"/>
      <c r="H37" s="1190"/>
      <c r="I37" s="734"/>
      <c r="J37" s="866" t="s">
        <v>3132</v>
      </c>
      <c r="K37" s="3163"/>
      <c r="L37" s="3163"/>
      <c r="M37" s="3163"/>
      <c r="N37" s="3163"/>
      <c r="O37" s="3163"/>
      <c r="P37" s="3163"/>
      <c r="Q37" s="735"/>
      <c r="R37" s="736"/>
      <c r="S37" s="728">
        <v>200000</v>
      </c>
      <c r="T37" s="3201" t="s">
        <v>2609</v>
      </c>
      <c r="U37" s="3201"/>
      <c r="V37" s="730">
        <v>1</v>
      </c>
      <c r="W37" s="3201" t="s">
        <v>3114</v>
      </c>
      <c r="X37" s="731" t="s">
        <v>3115</v>
      </c>
      <c r="Y37" s="3110">
        <f t="shared" si="3"/>
        <v>200</v>
      </c>
      <c r="Z37" s="915"/>
      <c r="AA37" s="915"/>
      <c r="AB37" s="1169"/>
      <c r="AC37" s="915"/>
      <c r="AD37" s="915"/>
    </row>
    <row r="38" spans="1:30" s="709" customFormat="1" ht="19.899999999999999" customHeight="1">
      <c r="A38" s="1122"/>
      <c r="B38" s="948"/>
      <c r="C38" s="675"/>
      <c r="D38" s="675"/>
      <c r="E38" s="948"/>
      <c r="F38" s="678"/>
      <c r="G38" s="678"/>
      <c r="H38" s="1190"/>
      <c r="I38" s="734"/>
      <c r="J38" s="866" t="s">
        <v>3133</v>
      </c>
      <c r="K38" s="3163"/>
      <c r="L38" s="3163"/>
      <c r="M38" s="3163"/>
      <c r="N38" s="3163"/>
      <c r="O38" s="3163"/>
      <c r="P38" s="3163"/>
      <c r="Q38" s="735"/>
      <c r="R38" s="736"/>
      <c r="S38" s="728">
        <v>1500000</v>
      </c>
      <c r="T38" s="3201" t="s">
        <v>2609</v>
      </c>
      <c r="U38" s="3201"/>
      <c r="V38" s="730">
        <v>1</v>
      </c>
      <c r="W38" s="3201" t="s">
        <v>2638</v>
      </c>
      <c r="X38" s="731" t="s">
        <v>2611</v>
      </c>
      <c r="Y38" s="3110">
        <f t="shared" si="3"/>
        <v>1500</v>
      </c>
      <c r="Z38" s="915"/>
      <c r="AA38" s="915"/>
      <c r="AB38" s="1169"/>
      <c r="AC38" s="915"/>
      <c r="AD38" s="915"/>
    </row>
    <row r="39" spans="1:30" s="709" customFormat="1" ht="19.899999999999999" customHeight="1">
      <c r="A39" s="1122"/>
      <c r="B39" s="948"/>
      <c r="C39" s="675"/>
      <c r="D39" s="675"/>
      <c r="E39" s="675"/>
      <c r="F39" s="678"/>
      <c r="G39" s="678"/>
      <c r="H39" s="1190"/>
      <c r="I39" s="734"/>
      <c r="J39" s="866" t="s">
        <v>3134</v>
      </c>
      <c r="K39" s="3163"/>
      <c r="L39" s="3163"/>
      <c r="M39" s="3163"/>
      <c r="N39" s="3163"/>
      <c r="O39" s="3163"/>
      <c r="P39" s="3163"/>
      <c r="Q39" s="735"/>
      <c r="R39" s="736"/>
      <c r="S39" s="728">
        <v>300000</v>
      </c>
      <c r="T39" s="3403" t="s">
        <v>2609</v>
      </c>
      <c r="U39" s="3403"/>
      <c r="V39" s="730">
        <v>1</v>
      </c>
      <c r="W39" s="3403" t="s">
        <v>2638</v>
      </c>
      <c r="X39" s="731" t="s">
        <v>2611</v>
      </c>
      <c r="Y39" s="3110">
        <f t="shared" si="3"/>
        <v>300</v>
      </c>
      <c r="Z39" s="915"/>
      <c r="AA39" s="915"/>
      <c r="AB39" s="1169"/>
      <c r="AC39" s="915"/>
      <c r="AD39" s="915"/>
    </row>
    <row r="40" spans="1:30" s="709" customFormat="1" ht="19.899999999999999" customHeight="1">
      <c r="A40" s="1122"/>
      <c r="B40" s="948"/>
      <c r="C40" s="675"/>
      <c r="D40" s="675"/>
      <c r="E40" s="675"/>
      <c r="F40" s="678"/>
      <c r="G40" s="678"/>
      <c r="H40" s="1190"/>
      <c r="I40" s="734"/>
      <c r="J40" s="866" t="s">
        <v>3135</v>
      </c>
      <c r="K40" s="3163"/>
      <c r="L40" s="3163"/>
      <c r="M40" s="3163"/>
      <c r="N40" s="3163"/>
      <c r="O40" s="3163"/>
      <c r="P40" s="3163"/>
      <c r="Q40" s="735"/>
      <c r="R40" s="736"/>
      <c r="S40" s="728">
        <v>10000</v>
      </c>
      <c r="T40" s="3403" t="s">
        <v>2609</v>
      </c>
      <c r="U40" s="3403"/>
      <c r="V40" s="730">
        <v>10</v>
      </c>
      <c r="W40" s="3403" t="s">
        <v>3123</v>
      </c>
      <c r="X40" s="731" t="s">
        <v>3115</v>
      </c>
      <c r="Y40" s="3110">
        <f t="shared" si="3"/>
        <v>100</v>
      </c>
      <c r="Z40" s="915"/>
      <c r="AA40" s="915"/>
      <c r="AB40" s="1169"/>
      <c r="AC40" s="915"/>
      <c r="AD40" s="915"/>
    </row>
    <row r="41" spans="1:30" s="709" customFormat="1" ht="19.899999999999999" customHeight="1">
      <c r="A41" s="1122"/>
      <c r="B41" s="948"/>
      <c r="C41" s="675"/>
      <c r="D41" s="675"/>
      <c r="E41" s="675" t="s">
        <v>2640</v>
      </c>
      <c r="F41" s="678">
        <f>Y41</f>
        <v>23120</v>
      </c>
      <c r="G41" s="678">
        <v>23120</v>
      </c>
      <c r="H41" s="1190"/>
      <c r="I41" s="734"/>
      <c r="J41" s="866" t="s">
        <v>2603</v>
      </c>
      <c r="K41" s="3163"/>
      <c r="L41" s="3163"/>
      <c r="M41" s="3163"/>
      <c r="N41" s="3163"/>
      <c r="O41" s="3163"/>
      <c r="P41" s="3163"/>
      <c r="Q41" s="735"/>
      <c r="R41" s="736" t="s">
        <v>2587</v>
      </c>
      <c r="S41" s="728" t="s">
        <v>2587</v>
      </c>
      <c r="T41" s="3403" t="s">
        <v>2587</v>
      </c>
      <c r="U41" s="3403"/>
      <c r="V41" s="730" t="s">
        <v>2587</v>
      </c>
      <c r="W41" s="3403" t="s">
        <v>2587</v>
      </c>
      <c r="X41" s="731"/>
      <c r="Y41" s="3110">
        <f>SUM(Y42:Y47)</f>
        <v>23120</v>
      </c>
      <c r="Z41" s="915"/>
      <c r="AA41" s="915"/>
      <c r="AB41" s="1169"/>
      <c r="AC41" s="915"/>
      <c r="AD41" s="915"/>
    </row>
    <row r="42" spans="1:30" s="709" customFormat="1" ht="19.899999999999999" customHeight="1">
      <c r="A42" s="1122"/>
      <c r="B42" s="948"/>
      <c r="C42" s="675"/>
      <c r="D42" s="675"/>
      <c r="E42" s="948"/>
      <c r="F42" s="678"/>
      <c r="G42" s="678"/>
      <c r="H42" s="1190"/>
      <c r="I42" s="734"/>
      <c r="J42" s="866" t="s">
        <v>3136</v>
      </c>
      <c r="K42" s="3163"/>
      <c r="L42" s="3163"/>
      <c r="M42" s="3163"/>
      <c r="N42" s="3163"/>
      <c r="O42" s="3163"/>
      <c r="P42" s="3163"/>
      <c r="Q42" s="735">
        <v>20</v>
      </c>
      <c r="R42" s="736" t="s">
        <v>3137</v>
      </c>
      <c r="S42" s="728">
        <v>20000</v>
      </c>
      <c r="T42" s="3201" t="s">
        <v>2609</v>
      </c>
      <c r="U42" s="3201"/>
      <c r="V42" s="730">
        <v>12</v>
      </c>
      <c r="W42" s="3201" t="s">
        <v>3127</v>
      </c>
      <c r="X42" s="731" t="s">
        <v>3115</v>
      </c>
      <c r="Y42" s="3110">
        <f>Q42*S42*V42/1000</f>
        <v>4800</v>
      </c>
      <c r="Z42" s="915"/>
      <c r="AA42" s="915"/>
      <c r="AB42" s="1169"/>
      <c r="AC42" s="915"/>
      <c r="AD42" s="915"/>
    </row>
    <row r="43" spans="1:30" s="709" customFormat="1" ht="19.899999999999999" customHeight="1">
      <c r="A43" s="1122"/>
      <c r="B43" s="948"/>
      <c r="C43" s="675"/>
      <c r="D43" s="675"/>
      <c r="E43" s="948"/>
      <c r="F43" s="678"/>
      <c r="G43" s="678"/>
      <c r="H43" s="1190"/>
      <c r="I43" s="734"/>
      <c r="J43" s="866" t="s">
        <v>3138</v>
      </c>
      <c r="K43" s="3163"/>
      <c r="L43" s="3163"/>
      <c r="M43" s="3163"/>
      <c r="N43" s="3163"/>
      <c r="O43" s="3163"/>
      <c r="P43" s="3163"/>
      <c r="Q43" s="735">
        <v>4</v>
      </c>
      <c r="R43" s="736" t="s">
        <v>3139</v>
      </c>
      <c r="S43" s="728">
        <v>500000</v>
      </c>
      <c r="T43" s="3201" t="s">
        <v>2609</v>
      </c>
      <c r="U43" s="3201"/>
      <c r="V43" s="730">
        <v>4</v>
      </c>
      <c r="W43" s="3201" t="s">
        <v>3123</v>
      </c>
      <c r="X43" s="731" t="s">
        <v>3115</v>
      </c>
      <c r="Y43" s="3110">
        <f>Q43*S43*V43/1000</f>
        <v>8000</v>
      </c>
      <c r="Z43" s="915"/>
      <c r="AA43" s="915"/>
      <c r="AB43" s="1169"/>
      <c r="AC43" s="915"/>
      <c r="AD43" s="915"/>
    </row>
    <row r="44" spans="1:30" s="709" customFormat="1" ht="19.899999999999999" customHeight="1">
      <c r="A44" s="1122"/>
      <c r="B44" s="948"/>
      <c r="C44" s="675"/>
      <c r="D44" s="675"/>
      <c r="E44" s="948"/>
      <c r="F44" s="678"/>
      <c r="G44" s="678"/>
      <c r="H44" s="1190"/>
      <c r="I44" s="734"/>
      <c r="J44" s="1016" t="s">
        <v>3140</v>
      </c>
      <c r="K44" s="3016"/>
      <c r="L44" s="3016"/>
      <c r="M44" s="3016"/>
      <c r="N44" s="3016"/>
      <c r="O44" s="3016"/>
      <c r="P44" s="3016"/>
      <c r="Q44" s="735">
        <v>3</v>
      </c>
      <c r="R44" s="736" t="s">
        <v>3139</v>
      </c>
      <c r="S44" s="728">
        <v>600000</v>
      </c>
      <c r="T44" s="3201" t="s">
        <v>2609</v>
      </c>
      <c r="U44" s="3201"/>
      <c r="V44" s="730">
        <v>2</v>
      </c>
      <c r="W44" s="3201" t="s">
        <v>3123</v>
      </c>
      <c r="X44" s="731" t="s">
        <v>3115</v>
      </c>
      <c r="Y44" s="3110">
        <f>Q44*S44*V44/1000</f>
        <v>3600</v>
      </c>
      <c r="Z44" s="915"/>
      <c r="AA44" s="915"/>
      <c r="AB44" s="1169"/>
      <c r="AC44" s="915"/>
      <c r="AD44" s="915"/>
    </row>
    <row r="45" spans="1:30" s="709" customFormat="1" ht="19.899999999999999" customHeight="1">
      <c r="A45" s="1122"/>
      <c r="B45" s="948"/>
      <c r="C45" s="675"/>
      <c r="D45" s="675"/>
      <c r="E45" s="948"/>
      <c r="F45" s="678"/>
      <c r="G45" s="678"/>
      <c r="H45" s="1190"/>
      <c r="I45" s="734"/>
      <c r="J45" s="1016" t="s">
        <v>3141</v>
      </c>
      <c r="K45" s="3016"/>
      <c r="L45" s="3016"/>
      <c r="M45" s="3016"/>
      <c r="N45" s="3016"/>
      <c r="O45" s="3016"/>
      <c r="P45" s="3016"/>
      <c r="Q45" s="735">
        <v>2</v>
      </c>
      <c r="R45" s="736" t="s">
        <v>3139</v>
      </c>
      <c r="S45" s="728">
        <v>300000</v>
      </c>
      <c r="T45" s="3201" t="s">
        <v>2609</v>
      </c>
      <c r="U45" s="3201"/>
      <c r="V45" s="730">
        <v>3</v>
      </c>
      <c r="W45" s="3201" t="s">
        <v>3123</v>
      </c>
      <c r="X45" s="731" t="s">
        <v>3115</v>
      </c>
      <c r="Y45" s="3110">
        <f>Q45*S45*V45/1000</f>
        <v>1800</v>
      </c>
      <c r="Z45" s="915"/>
      <c r="AA45" s="915"/>
      <c r="AB45" s="1169"/>
      <c r="AC45" s="915"/>
      <c r="AD45" s="915"/>
    </row>
    <row r="46" spans="1:30" s="709" customFormat="1" ht="19.899999999999999" customHeight="1">
      <c r="A46" s="1122"/>
      <c r="B46" s="675"/>
      <c r="C46" s="675"/>
      <c r="D46" s="675"/>
      <c r="E46" s="948"/>
      <c r="F46" s="678"/>
      <c r="G46" s="678"/>
      <c r="H46" s="1190"/>
      <c r="I46" s="734"/>
      <c r="J46" s="1016" t="s">
        <v>3142</v>
      </c>
      <c r="K46" s="3016"/>
      <c r="L46" s="3016"/>
      <c r="M46" s="3016"/>
      <c r="N46" s="3016"/>
      <c r="O46" s="3016"/>
      <c r="P46" s="3016"/>
      <c r="Q46" s="735"/>
      <c r="R46" s="736"/>
      <c r="S46" s="728">
        <v>160000</v>
      </c>
      <c r="T46" s="3201" t="s">
        <v>2609</v>
      </c>
      <c r="U46" s="3201"/>
      <c r="V46" s="730">
        <v>12</v>
      </c>
      <c r="W46" s="3201" t="s">
        <v>2610</v>
      </c>
      <c r="X46" s="731" t="s">
        <v>3115</v>
      </c>
      <c r="Y46" s="3110">
        <f>S46*V46/1000</f>
        <v>1920</v>
      </c>
      <c r="Z46" s="915"/>
      <c r="AA46" s="915"/>
      <c r="AB46" s="1169"/>
      <c r="AC46" s="915"/>
      <c r="AD46" s="915"/>
    </row>
    <row r="47" spans="1:30" s="709" customFormat="1" ht="19.899999999999999" customHeight="1">
      <c r="A47" s="1122"/>
      <c r="B47" s="675"/>
      <c r="C47" s="675"/>
      <c r="D47" s="675"/>
      <c r="E47" s="948"/>
      <c r="F47" s="678"/>
      <c r="G47" s="678"/>
      <c r="H47" s="1190"/>
      <c r="I47" s="734"/>
      <c r="J47" s="866" t="s">
        <v>3143</v>
      </c>
      <c r="K47" s="3163"/>
      <c r="L47" s="3163"/>
      <c r="M47" s="3163"/>
      <c r="N47" s="3163"/>
      <c r="O47" s="3163"/>
      <c r="P47" s="3163"/>
      <c r="Q47" s="735">
        <v>50</v>
      </c>
      <c r="R47" s="736" t="s">
        <v>3144</v>
      </c>
      <c r="S47" s="728">
        <v>5000</v>
      </c>
      <c r="T47" s="3201" t="s">
        <v>2609</v>
      </c>
      <c r="U47" s="3201"/>
      <c r="V47" s="730">
        <v>12</v>
      </c>
      <c r="W47" s="3201" t="s">
        <v>3127</v>
      </c>
      <c r="X47" s="731" t="s">
        <v>3115</v>
      </c>
      <c r="Y47" s="3110">
        <f>Q47*S47*V47/1000</f>
        <v>3000</v>
      </c>
      <c r="Z47" s="915"/>
      <c r="AA47" s="915"/>
      <c r="AB47" s="1169"/>
      <c r="AC47" s="915"/>
      <c r="AD47" s="915"/>
    </row>
    <row r="48" spans="1:30" s="709" customFormat="1" ht="21" customHeight="1">
      <c r="A48" s="1122"/>
      <c r="B48" s="675"/>
      <c r="C48" s="675"/>
      <c r="D48" s="675"/>
      <c r="E48" s="675" t="s">
        <v>3145</v>
      </c>
      <c r="F48" s="678">
        <f>Y48</f>
        <v>157200</v>
      </c>
      <c r="G48" s="678">
        <v>157200</v>
      </c>
      <c r="H48" s="1190"/>
      <c r="I48" s="734"/>
      <c r="J48" s="866" t="s">
        <v>2603</v>
      </c>
      <c r="K48" s="3163"/>
      <c r="L48" s="3163"/>
      <c r="M48" s="3163"/>
      <c r="N48" s="3163"/>
      <c r="O48" s="3163"/>
      <c r="P48" s="3163"/>
      <c r="Q48" s="735"/>
      <c r="R48" s="736"/>
      <c r="S48" s="728"/>
      <c r="T48" s="3201"/>
      <c r="U48" s="3201"/>
      <c r="V48" s="730"/>
      <c r="W48" s="3201"/>
      <c r="X48" s="731"/>
      <c r="Y48" s="3110">
        <f>SUM(Y49:Y51)</f>
        <v>157200</v>
      </c>
      <c r="Z48" s="915"/>
      <c r="AA48" s="915"/>
      <c r="AB48" s="1169"/>
      <c r="AC48" s="915"/>
      <c r="AD48" s="915"/>
    </row>
    <row r="49" spans="1:30" s="709" customFormat="1" ht="21" customHeight="1">
      <c r="A49" s="1122"/>
      <c r="B49" s="675"/>
      <c r="C49" s="675"/>
      <c r="D49" s="675"/>
      <c r="E49" s="675"/>
      <c r="F49" s="678"/>
      <c r="G49" s="678"/>
      <c r="H49" s="1190"/>
      <c r="I49" s="734"/>
      <c r="J49" s="866" t="s">
        <v>2649</v>
      </c>
      <c r="K49" s="867"/>
      <c r="L49" s="867"/>
      <c r="M49" s="867"/>
      <c r="N49" s="867"/>
      <c r="O49" s="867"/>
      <c r="P49" s="867"/>
      <c r="Q49" s="735"/>
      <c r="R49" s="736"/>
      <c r="S49" s="728">
        <v>9000000</v>
      </c>
      <c r="T49" s="709" t="s">
        <v>2609</v>
      </c>
      <c r="V49" s="730">
        <v>12</v>
      </c>
      <c r="W49" s="709" t="s">
        <v>3127</v>
      </c>
      <c r="X49" s="731" t="s">
        <v>3115</v>
      </c>
      <c r="Y49" s="3110">
        <f t="shared" ref="Y49:Y54" si="4">S49*V49/1000</f>
        <v>108000</v>
      </c>
      <c r="Z49" s="915"/>
      <c r="AA49" s="915"/>
      <c r="AB49" s="1169"/>
      <c r="AC49" s="915"/>
      <c r="AD49" s="915"/>
    </row>
    <row r="50" spans="1:30" s="709" customFormat="1" ht="21" customHeight="1">
      <c r="A50" s="1122"/>
      <c r="B50" s="675"/>
      <c r="C50" s="675"/>
      <c r="D50" s="675"/>
      <c r="E50" s="675"/>
      <c r="F50" s="678"/>
      <c r="G50" s="678"/>
      <c r="H50" s="1190"/>
      <c r="I50" s="734"/>
      <c r="J50" s="866" t="s">
        <v>3146</v>
      </c>
      <c r="K50" s="867"/>
      <c r="L50" s="867"/>
      <c r="M50" s="867"/>
      <c r="N50" s="867"/>
      <c r="O50" s="867"/>
      <c r="P50" s="867"/>
      <c r="Q50" s="735"/>
      <c r="R50" s="736"/>
      <c r="S50" s="728">
        <v>3000000</v>
      </c>
      <c r="T50" s="709" t="s">
        <v>2609</v>
      </c>
      <c r="V50" s="730">
        <v>12</v>
      </c>
      <c r="W50" s="709" t="s">
        <v>3127</v>
      </c>
      <c r="X50" s="731" t="s">
        <v>3115</v>
      </c>
      <c r="Y50" s="3110">
        <f t="shared" si="4"/>
        <v>36000</v>
      </c>
      <c r="Z50" s="915"/>
      <c r="AA50" s="915"/>
      <c r="AB50" s="1169"/>
      <c r="AC50" s="915"/>
      <c r="AD50" s="915"/>
    </row>
    <row r="51" spans="1:30" s="709" customFormat="1" ht="21" customHeight="1">
      <c r="A51" s="1122"/>
      <c r="B51" s="675"/>
      <c r="C51" s="675"/>
      <c r="D51" s="675"/>
      <c r="E51" s="675"/>
      <c r="F51" s="678"/>
      <c r="G51" s="678"/>
      <c r="H51" s="1190"/>
      <c r="I51" s="734"/>
      <c r="J51" s="866" t="s">
        <v>3147</v>
      </c>
      <c r="K51" s="3163"/>
      <c r="L51" s="3163"/>
      <c r="M51" s="3163"/>
      <c r="N51" s="3163"/>
      <c r="O51" s="3163"/>
      <c r="P51" s="3163"/>
      <c r="Q51" s="735"/>
      <c r="R51" s="736"/>
      <c r="S51" s="728">
        <v>1100000</v>
      </c>
      <c r="T51" s="3201" t="s">
        <v>2609</v>
      </c>
      <c r="U51" s="3201"/>
      <c r="V51" s="730">
        <v>12</v>
      </c>
      <c r="W51" s="3201" t="s">
        <v>3127</v>
      </c>
      <c r="X51" s="731" t="s">
        <v>3115</v>
      </c>
      <c r="Y51" s="3110">
        <f t="shared" si="4"/>
        <v>13200</v>
      </c>
      <c r="Z51" s="915"/>
      <c r="AA51" s="915"/>
      <c r="AB51" s="1169"/>
      <c r="AC51" s="915"/>
      <c r="AD51" s="915"/>
    </row>
    <row r="52" spans="1:30" s="709" customFormat="1" ht="21" customHeight="1">
      <c r="A52" s="1122"/>
      <c r="B52" s="675"/>
      <c r="C52" s="675"/>
      <c r="D52" s="675"/>
      <c r="E52" s="3170" t="s">
        <v>3148</v>
      </c>
      <c r="F52" s="678">
        <f>Y52</f>
        <v>10336.999999999993</v>
      </c>
      <c r="G52" s="678">
        <v>10336.999999999993</v>
      </c>
      <c r="H52" s="1190"/>
      <c r="I52" s="734"/>
      <c r="J52" s="866" t="s">
        <v>2603</v>
      </c>
      <c r="K52" s="3163"/>
      <c r="L52" s="3163"/>
      <c r="M52" s="3163"/>
      <c r="N52" s="3163"/>
      <c r="O52" s="3163"/>
      <c r="P52" s="3163"/>
      <c r="Q52" s="735"/>
      <c r="R52" s="736"/>
      <c r="S52" s="728"/>
      <c r="T52" s="3201"/>
      <c r="U52" s="3201"/>
      <c r="V52" s="730"/>
      <c r="W52" s="3201"/>
      <c r="X52" s="731"/>
      <c r="Y52" s="3110">
        <f>SUM(Y53:Y54)</f>
        <v>10336.999999999993</v>
      </c>
      <c r="Z52" s="915"/>
      <c r="AA52" s="915"/>
      <c r="AB52" s="1169"/>
      <c r="AC52" s="915"/>
      <c r="AD52" s="915"/>
    </row>
    <row r="53" spans="1:30" s="709" customFormat="1" ht="21" customHeight="1">
      <c r="A53" s="1122"/>
      <c r="B53" s="675"/>
      <c r="C53" s="675"/>
      <c r="D53" s="675"/>
      <c r="E53" s="948"/>
      <c r="F53" s="678"/>
      <c r="G53" s="678"/>
      <c r="H53" s="1190"/>
      <c r="I53" s="734"/>
      <c r="J53" s="866" t="s">
        <v>2652</v>
      </c>
      <c r="K53" s="3163"/>
      <c r="L53" s="3163"/>
      <c r="M53" s="3163"/>
      <c r="N53" s="3163"/>
      <c r="O53" s="3163"/>
      <c r="P53" s="3163"/>
      <c r="Q53" s="735"/>
      <c r="R53" s="736"/>
      <c r="S53" s="728">
        <v>691666.66666666605</v>
      </c>
      <c r="T53" s="3201" t="s">
        <v>2609</v>
      </c>
      <c r="U53" s="3201"/>
      <c r="V53" s="730">
        <v>12</v>
      </c>
      <c r="W53" s="3201" t="s">
        <v>3127</v>
      </c>
      <c r="X53" s="731" t="s">
        <v>3115</v>
      </c>
      <c r="Y53" s="3110">
        <f t="shared" si="4"/>
        <v>8299.9999999999927</v>
      </c>
      <c r="Z53" s="915"/>
      <c r="AA53" s="915"/>
      <c r="AB53" s="1169"/>
      <c r="AC53" s="915"/>
      <c r="AD53" s="915"/>
    </row>
    <row r="54" spans="1:30" s="709" customFormat="1" ht="21" customHeight="1">
      <c r="A54" s="1122"/>
      <c r="B54" s="675"/>
      <c r="C54" s="675"/>
      <c r="D54" s="675"/>
      <c r="E54" s="3170"/>
      <c r="F54" s="678"/>
      <c r="G54" s="678"/>
      <c r="H54" s="1190"/>
      <c r="I54" s="734"/>
      <c r="J54" s="681" t="s">
        <v>3149</v>
      </c>
      <c r="K54" s="684"/>
      <c r="L54" s="684"/>
      <c r="M54" s="684"/>
      <c r="N54" s="684"/>
      <c r="O54" s="684"/>
      <c r="P54" s="684"/>
      <c r="Q54" s="735"/>
      <c r="R54" s="736"/>
      <c r="S54" s="728">
        <v>2037000000</v>
      </c>
      <c r="T54" s="3201" t="s">
        <v>2609</v>
      </c>
      <c r="U54" s="3201"/>
      <c r="V54" s="2612">
        <v>1E-3</v>
      </c>
      <c r="W54" s="3201"/>
      <c r="X54" s="731" t="s">
        <v>3115</v>
      </c>
      <c r="Y54" s="3110">
        <f t="shared" si="4"/>
        <v>2037</v>
      </c>
      <c r="Z54" s="915"/>
      <c r="AA54" s="915"/>
      <c r="AB54" s="1169"/>
      <c r="AC54" s="915"/>
      <c r="AD54" s="915"/>
    </row>
    <row r="55" spans="1:30" s="709" customFormat="1" ht="21" customHeight="1">
      <c r="A55" s="1122"/>
      <c r="B55" s="675"/>
      <c r="C55" s="675"/>
      <c r="D55" s="675"/>
      <c r="E55" s="675" t="s">
        <v>2654</v>
      </c>
      <c r="F55" s="678">
        <f>Y55</f>
        <v>49880</v>
      </c>
      <c r="G55" s="678">
        <v>49880</v>
      </c>
      <c r="H55" s="1190"/>
      <c r="I55" s="734"/>
      <c r="J55" s="866" t="s">
        <v>2603</v>
      </c>
      <c r="K55" s="3163"/>
      <c r="L55" s="3163"/>
      <c r="M55" s="3163"/>
      <c r="N55" s="3163"/>
      <c r="O55" s="3163"/>
      <c r="P55" s="3163"/>
      <c r="Q55" s="735"/>
      <c r="R55" s="736"/>
      <c r="S55" s="728"/>
      <c r="T55" s="3201"/>
      <c r="U55" s="3201"/>
      <c r="V55" s="730"/>
      <c r="W55" s="3201"/>
      <c r="X55" s="731"/>
      <c r="Y55" s="3110">
        <f>SUM(Y56:Y58)</f>
        <v>49880</v>
      </c>
      <c r="Z55" s="915"/>
      <c r="AA55" s="915"/>
      <c r="AB55" s="1169"/>
      <c r="AC55" s="915"/>
      <c r="AD55" s="915"/>
    </row>
    <row r="56" spans="1:30" s="709" customFormat="1" ht="21" customHeight="1">
      <c r="A56" s="1122"/>
      <c r="B56" s="675"/>
      <c r="C56" s="675"/>
      <c r="D56" s="675"/>
      <c r="E56" s="675"/>
      <c r="F56" s="678"/>
      <c r="G56" s="678"/>
      <c r="H56" s="1190"/>
      <c r="I56" s="734"/>
      <c r="J56" s="866" t="s">
        <v>3150</v>
      </c>
      <c r="K56" s="3163"/>
      <c r="L56" s="3163"/>
      <c r="M56" s="3163"/>
      <c r="N56" s="3163"/>
      <c r="O56" s="3163">
        <v>11</v>
      </c>
      <c r="P56" s="3163" t="s">
        <v>2608</v>
      </c>
      <c r="Q56" s="735">
        <v>5</v>
      </c>
      <c r="R56" s="736" t="s">
        <v>2889</v>
      </c>
      <c r="S56" s="728">
        <v>38000</v>
      </c>
      <c r="T56" s="3201" t="s">
        <v>2609</v>
      </c>
      <c r="U56" s="3201"/>
      <c r="V56" s="730">
        <v>12</v>
      </c>
      <c r="W56" s="3201" t="s">
        <v>3127</v>
      </c>
      <c r="X56" s="731" t="s">
        <v>3115</v>
      </c>
      <c r="Y56" s="3110">
        <f>+V56*S56*Q56*O56/1000</f>
        <v>25080</v>
      </c>
      <c r="Z56" s="915"/>
      <c r="AA56" s="915"/>
      <c r="AB56" s="1169"/>
      <c r="AC56" s="915"/>
      <c r="AD56" s="915"/>
    </row>
    <row r="57" spans="1:30" s="709" customFormat="1" ht="21" customHeight="1">
      <c r="A57" s="1122"/>
      <c r="B57" s="675"/>
      <c r="C57" s="675"/>
      <c r="D57" s="675"/>
      <c r="E57" s="675"/>
      <c r="F57" s="678"/>
      <c r="G57" s="678"/>
      <c r="H57" s="1190"/>
      <c r="I57" s="734"/>
      <c r="J57" s="866" t="s">
        <v>3151</v>
      </c>
      <c r="K57" s="3163"/>
      <c r="L57" s="3163"/>
      <c r="M57" s="3163"/>
      <c r="N57" s="3163"/>
      <c r="O57" s="3163"/>
      <c r="P57" s="3163"/>
      <c r="Q57" s="735">
        <v>2</v>
      </c>
      <c r="R57" s="736" t="s">
        <v>3044</v>
      </c>
      <c r="S57" s="728">
        <v>100000</v>
      </c>
      <c r="T57" s="3201" t="s">
        <v>2702</v>
      </c>
      <c r="U57" s="3201"/>
      <c r="V57" s="730">
        <v>4</v>
      </c>
      <c r="W57" s="3201" t="s">
        <v>3152</v>
      </c>
      <c r="X57" s="731" t="s">
        <v>3153</v>
      </c>
      <c r="Y57" s="3110">
        <f>Q57*S57*V57/1000</f>
        <v>800</v>
      </c>
      <c r="Z57" s="915"/>
      <c r="AA57" s="915"/>
      <c r="AB57" s="1169"/>
      <c r="AC57" s="915"/>
      <c r="AD57" s="915"/>
    </row>
    <row r="58" spans="1:30" s="709" customFormat="1" ht="21" customHeight="1">
      <c r="A58" s="1122"/>
      <c r="B58" s="675"/>
      <c r="C58" s="675"/>
      <c r="D58" s="675"/>
      <c r="E58" s="675"/>
      <c r="F58" s="678"/>
      <c r="G58" s="678"/>
      <c r="H58" s="1190"/>
      <c r="I58" s="734"/>
      <c r="J58" s="866" t="s">
        <v>3154</v>
      </c>
      <c r="K58" s="3163"/>
      <c r="L58" s="3163"/>
      <c r="M58" s="3163"/>
      <c r="N58" s="3163"/>
      <c r="O58" s="3163"/>
      <c r="P58" s="3163"/>
      <c r="Q58" s="735">
        <v>10</v>
      </c>
      <c r="R58" s="736" t="s">
        <v>3155</v>
      </c>
      <c r="S58" s="728">
        <v>200000</v>
      </c>
      <c r="T58" s="3201" t="s">
        <v>2702</v>
      </c>
      <c r="U58" s="3201"/>
      <c r="V58" s="730">
        <v>12</v>
      </c>
      <c r="W58" s="3201" t="s">
        <v>3156</v>
      </c>
      <c r="X58" s="731" t="s">
        <v>3153</v>
      </c>
      <c r="Y58" s="3110">
        <f>Q58*S58*V58/1000</f>
        <v>24000</v>
      </c>
      <c r="Z58" s="915"/>
      <c r="AA58" s="915"/>
      <c r="AB58" s="1169"/>
      <c r="AC58" s="915"/>
      <c r="AD58" s="915"/>
    </row>
    <row r="59" spans="1:30" s="709" customFormat="1" ht="21" customHeight="1">
      <c r="A59" s="1122"/>
      <c r="B59" s="675"/>
      <c r="C59" s="675"/>
      <c r="D59" s="675"/>
      <c r="E59" s="948" t="s">
        <v>3157</v>
      </c>
      <c r="F59" s="678">
        <f>Y59</f>
        <v>111450</v>
      </c>
      <c r="G59" s="678">
        <v>111450</v>
      </c>
      <c r="H59" s="1190"/>
      <c r="I59" s="734"/>
      <c r="J59" s="866" t="s">
        <v>2695</v>
      </c>
      <c r="K59" s="3163"/>
      <c r="L59" s="3163"/>
      <c r="M59" s="3163"/>
      <c r="N59" s="3163"/>
      <c r="O59" s="3163"/>
      <c r="P59" s="3163"/>
      <c r="Q59" s="735"/>
      <c r="R59" s="3201"/>
      <c r="S59" s="728"/>
      <c r="T59" s="3201"/>
      <c r="U59" s="3201"/>
      <c r="V59" s="730"/>
      <c r="W59" s="3201"/>
      <c r="X59" s="731"/>
      <c r="Y59" s="3110">
        <f>SUM(Y60:Y80)</f>
        <v>111450</v>
      </c>
      <c r="Z59" s="915"/>
      <c r="AA59" s="915"/>
      <c r="AB59" s="1169"/>
      <c r="AC59" s="915"/>
      <c r="AD59" s="915"/>
    </row>
    <row r="60" spans="1:30" s="709" customFormat="1" ht="21" customHeight="1">
      <c r="A60" s="1122"/>
      <c r="B60" s="675"/>
      <c r="C60" s="675"/>
      <c r="D60" s="675"/>
      <c r="E60" s="948"/>
      <c r="F60" s="678"/>
      <c r="G60" s="678"/>
      <c r="H60" s="1190"/>
      <c r="I60" s="734"/>
      <c r="J60" s="866" t="s">
        <v>3158</v>
      </c>
      <c r="K60" s="867"/>
      <c r="L60" s="867"/>
      <c r="M60" s="867"/>
      <c r="N60" s="867"/>
      <c r="O60" s="867"/>
      <c r="P60" s="867"/>
      <c r="Q60" s="735"/>
      <c r="S60" s="1201"/>
      <c r="V60" s="730"/>
      <c r="X60" s="731"/>
      <c r="Y60" s="3110"/>
      <c r="Z60" s="915"/>
      <c r="AA60" s="915"/>
      <c r="AB60" s="1169"/>
      <c r="AC60" s="915"/>
      <c r="AD60" s="915"/>
    </row>
    <row r="61" spans="1:30" s="709" customFormat="1" ht="21" customHeight="1">
      <c r="A61" s="1122"/>
      <c r="B61" s="675"/>
      <c r="C61" s="675"/>
      <c r="D61" s="675"/>
      <c r="E61" s="948"/>
      <c r="F61" s="678"/>
      <c r="G61" s="678"/>
      <c r="H61" s="1190"/>
      <c r="I61" s="734"/>
      <c r="J61" s="866" t="s">
        <v>3159</v>
      </c>
      <c r="K61" s="867"/>
      <c r="L61" s="867"/>
      <c r="M61" s="867"/>
      <c r="N61" s="867"/>
      <c r="O61" s="867"/>
      <c r="P61" s="867"/>
      <c r="Q61" s="735"/>
      <c r="S61" s="1201">
        <v>500000</v>
      </c>
      <c r="T61" s="709" t="s">
        <v>2702</v>
      </c>
      <c r="V61" s="730">
        <v>2</v>
      </c>
      <c r="W61" s="709" t="s">
        <v>3152</v>
      </c>
      <c r="X61" s="731" t="s">
        <v>3153</v>
      </c>
      <c r="Y61" s="3110">
        <f>S61*V61/1000</f>
        <v>1000</v>
      </c>
      <c r="Z61" s="915"/>
      <c r="AA61" s="915"/>
      <c r="AB61" s="1169"/>
      <c r="AC61" s="915"/>
      <c r="AD61" s="915"/>
    </row>
    <row r="62" spans="1:30" s="709" customFormat="1" ht="21" customHeight="1">
      <c r="A62" s="1122"/>
      <c r="B62" s="675"/>
      <c r="C62" s="675"/>
      <c r="D62" s="675"/>
      <c r="E62" s="948"/>
      <c r="F62" s="678"/>
      <c r="G62" s="678"/>
      <c r="H62" s="1190"/>
      <c r="I62" s="734"/>
      <c r="J62" s="866" t="s">
        <v>3160</v>
      </c>
      <c r="K62" s="867"/>
      <c r="L62" s="867"/>
      <c r="M62" s="867"/>
      <c r="N62" s="867"/>
      <c r="O62" s="867"/>
      <c r="P62" s="867"/>
      <c r="Q62" s="735">
        <v>1000</v>
      </c>
      <c r="R62" s="709" t="s">
        <v>3161</v>
      </c>
      <c r="S62" s="1201">
        <v>5000</v>
      </c>
      <c r="T62" s="709" t="s">
        <v>2702</v>
      </c>
      <c r="V62" s="730">
        <v>1</v>
      </c>
      <c r="W62" s="709" t="s">
        <v>3162</v>
      </c>
      <c r="X62" s="731" t="s">
        <v>3153</v>
      </c>
      <c r="Y62" s="3110">
        <f>Q62*S62*V62/1000</f>
        <v>5000</v>
      </c>
      <c r="Z62" s="915"/>
      <c r="AA62" s="915"/>
      <c r="AB62" s="1169"/>
      <c r="AC62" s="915"/>
      <c r="AD62" s="915"/>
    </row>
    <row r="63" spans="1:30" s="709" customFormat="1" ht="21" customHeight="1">
      <c r="A63" s="1122"/>
      <c r="B63" s="675"/>
      <c r="C63" s="675"/>
      <c r="D63" s="675"/>
      <c r="E63" s="948"/>
      <c r="F63" s="678"/>
      <c r="G63" s="678"/>
      <c r="H63" s="1190"/>
      <c r="I63" s="734"/>
      <c r="J63" s="866" t="s">
        <v>3163</v>
      </c>
      <c r="K63" s="867"/>
      <c r="L63" s="867"/>
      <c r="M63" s="867"/>
      <c r="N63" s="867"/>
      <c r="O63" s="867"/>
      <c r="P63" s="867"/>
      <c r="Q63" s="735">
        <v>5000</v>
      </c>
      <c r="R63" s="709" t="s">
        <v>3161</v>
      </c>
      <c r="S63" s="1201">
        <v>300</v>
      </c>
      <c r="T63" s="709" t="s">
        <v>2702</v>
      </c>
      <c r="V63" s="730">
        <v>12</v>
      </c>
      <c r="W63" s="709" t="s">
        <v>3029</v>
      </c>
      <c r="X63" s="731" t="s">
        <v>2675</v>
      </c>
      <c r="Y63" s="3110">
        <f>Q63*S63*V63/1000</f>
        <v>18000</v>
      </c>
      <c r="Z63" s="915"/>
      <c r="AA63" s="915"/>
      <c r="AB63" s="1169"/>
      <c r="AC63" s="915"/>
      <c r="AD63" s="915"/>
    </row>
    <row r="64" spans="1:30" s="709" customFormat="1" ht="21" customHeight="1">
      <c r="A64" s="1122"/>
      <c r="B64" s="675"/>
      <c r="C64" s="675"/>
      <c r="D64" s="675"/>
      <c r="E64" s="948"/>
      <c r="F64" s="678"/>
      <c r="G64" s="678"/>
      <c r="H64" s="1190"/>
      <c r="I64" s="734"/>
      <c r="J64" s="866" t="s">
        <v>3164</v>
      </c>
      <c r="K64" s="867"/>
      <c r="L64" s="867"/>
      <c r="M64" s="867"/>
      <c r="N64" s="867"/>
      <c r="O64" s="867"/>
      <c r="P64" s="867"/>
      <c r="Q64" s="735"/>
      <c r="S64" s="1201"/>
      <c r="V64" s="730"/>
      <c r="X64" s="731"/>
      <c r="Y64" s="3110"/>
      <c r="Z64" s="915"/>
      <c r="AA64" s="915"/>
      <c r="AB64" s="1169"/>
      <c r="AC64" s="915"/>
      <c r="AD64" s="915"/>
    </row>
    <row r="65" spans="1:30" s="709" customFormat="1" ht="21" customHeight="1">
      <c r="A65" s="1122"/>
      <c r="B65" s="675"/>
      <c r="C65" s="675"/>
      <c r="D65" s="675"/>
      <c r="E65" s="948"/>
      <c r="F65" s="678"/>
      <c r="G65" s="678"/>
      <c r="H65" s="1190"/>
      <c r="I65" s="734"/>
      <c r="J65" s="866" t="s">
        <v>3165</v>
      </c>
      <c r="K65" s="867"/>
      <c r="L65" s="867"/>
      <c r="M65" s="867"/>
      <c r="N65" s="867"/>
      <c r="O65" s="867"/>
      <c r="P65" s="867"/>
      <c r="Q65" s="735"/>
      <c r="S65" s="1201">
        <v>5000000</v>
      </c>
      <c r="T65" s="709" t="s">
        <v>3166</v>
      </c>
      <c r="V65" s="730">
        <v>1</v>
      </c>
      <c r="W65" s="709" t="s">
        <v>2705</v>
      </c>
      <c r="X65" s="731" t="s">
        <v>2675</v>
      </c>
      <c r="Y65" s="3110">
        <f>S65*V65/1000</f>
        <v>5000</v>
      </c>
      <c r="Z65" s="915"/>
      <c r="AA65" s="915"/>
      <c r="AB65" s="1169"/>
      <c r="AC65" s="915"/>
      <c r="AD65" s="915"/>
    </row>
    <row r="66" spans="1:30" s="709" customFormat="1" ht="21" customHeight="1">
      <c r="A66" s="1122"/>
      <c r="B66" s="675"/>
      <c r="C66" s="675"/>
      <c r="D66" s="675"/>
      <c r="E66" s="948"/>
      <c r="F66" s="678"/>
      <c r="G66" s="678"/>
      <c r="H66" s="1190"/>
      <c r="I66" s="734"/>
      <c r="J66" s="866" t="s">
        <v>3167</v>
      </c>
      <c r="K66" s="867"/>
      <c r="L66" s="867"/>
      <c r="M66" s="867"/>
      <c r="N66" s="867"/>
      <c r="O66" s="867"/>
      <c r="P66" s="867"/>
      <c r="Q66" s="735">
        <v>5</v>
      </c>
      <c r="R66" s="709" t="s">
        <v>3044</v>
      </c>
      <c r="S66" s="1201">
        <v>1000000</v>
      </c>
      <c r="T66" s="709" t="s">
        <v>3166</v>
      </c>
      <c r="V66" s="730">
        <v>1</v>
      </c>
      <c r="W66" s="709" t="s">
        <v>2705</v>
      </c>
      <c r="X66" s="731" t="s">
        <v>2675</v>
      </c>
      <c r="Y66" s="3110">
        <f>Q66*S66*V66/1000</f>
        <v>5000</v>
      </c>
      <c r="Z66" s="915"/>
      <c r="AA66" s="915"/>
      <c r="AB66" s="1169"/>
      <c r="AC66" s="915"/>
      <c r="AD66" s="915"/>
    </row>
    <row r="67" spans="1:30" s="709" customFormat="1" ht="21" customHeight="1">
      <c r="A67" s="1122"/>
      <c r="B67" s="675"/>
      <c r="C67" s="675"/>
      <c r="D67" s="675"/>
      <c r="E67" s="948"/>
      <c r="F67" s="678"/>
      <c r="G67" s="678"/>
      <c r="H67" s="1190"/>
      <c r="I67" s="734"/>
      <c r="J67" s="866" t="s">
        <v>3168</v>
      </c>
      <c r="K67" s="867"/>
      <c r="L67" s="867"/>
      <c r="M67" s="867"/>
      <c r="N67" s="867"/>
      <c r="O67" s="867"/>
      <c r="P67" s="867"/>
      <c r="Q67" s="735">
        <v>20</v>
      </c>
      <c r="R67" s="709" t="s">
        <v>3044</v>
      </c>
      <c r="S67" s="1201">
        <v>110000</v>
      </c>
      <c r="T67" s="709" t="s">
        <v>3166</v>
      </c>
      <c r="V67" s="730">
        <v>1</v>
      </c>
      <c r="W67" s="709" t="s">
        <v>2705</v>
      </c>
      <c r="X67" s="731" t="s">
        <v>2675</v>
      </c>
      <c r="Y67" s="3110">
        <f>Q67*S67*V67/1000</f>
        <v>2200</v>
      </c>
      <c r="Z67" s="915"/>
      <c r="AA67" s="915"/>
      <c r="AB67" s="1169"/>
      <c r="AC67" s="915"/>
      <c r="AD67" s="915"/>
    </row>
    <row r="68" spans="1:30" s="709" customFormat="1" ht="21" customHeight="1">
      <c r="A68" s="1122"/>
      <c r="B68" s="675"/>
      <c r="C68" s="675"/>
      <c r="D68" s="675"/>
      <c r="E68" s="948"/>
      <c r="F68" s="678"/>
      <c r="G68" s="678"/>
      <c r="H68" s="1190"/>
      <c r="I68" s="734"/>
      <c r="J68" s="866" t="s">
        <v>3169</v>
      </c>
      <c r="K68" s="867"/>
      <c r="L68" s="867"/>
      <c r="M68" s="867"/>
      <c r="N68" s="867"/>
      <c r="O68" s="867"/>
      <c r="P68" s="867"/>
      <c r="Q68" s="735"/>
      <c r="S68" s="1201"/>
      <c r="V68" s="730"/>
      <c r="X68" s="731"/>
      <c r="Y68" s="3110"/>
      <c r="Z68" s="915"/>
      <c r="AA68" s="915"/>
      <c r="AB68" s="1169"/>
      <c r="AC68" s="915"/>
      <c r="AD68" s="915"/>
    </row>
    <row r="69" spans="1:30" s="709" customFormat="1" ht="21" customHeight="1">
      <c r="A69" s="1122"/>
      <c r="B69" s="675"/>
      <c r="C69" s="675"/>
      <c r="D69" s="675"/>
      <c r="E69" s="948"/>
      <c r="F69" s="678"/>
      <c r="G69" s="678"/>
      <c r="H69" s="1190"/>
      <c r="I69" s="734"/>
      <c r="J69" s="866" t="s">
        <v>3170</v>
      </c>
      <c r="K69" s="867"/>
      <c r="L69" s="867"/>
      <c r="M69" s="867"/>
      <c r="N69" s="867"/>
      <c r="O69" s="867"/>
      <c r="P69" s="867"/>
      <c r="Q69" s="735"/>
      <c r="S69" s="1201">
        <v>1500000</v>
      </c>
      <c r="T69" s="709" t="s">
        <v>3166</v>
      </c>
      <c r="V69" s="730">
        <v>2</v>
      </c>
      <c r="W69" s="709" t="s">
        <v>2703</v>
      </c>
      <c r="X69" s="731" t="s">
        <v>2675</v>
      </c>
      <c r="Y69" s="3110">
        <f>S69*V69/1000</f>
        <v>3000</v>
      </c>
      <c r="Z69" s="915"/>
      <c r="AA69" s="915"/>
      <c r="AB69" s="1169"/>
      <c r="AC69" s="915"/>
      <c r="AD69" s="915"/>
    </row>
    <row r="70" spans="1:30" s="709" customFormat="1" ht="21" customHeight="1">
      <c r="A70" s="1122"/>
      <c r="B70" s="675"/>
      <c r="C70" s="675"/>
      <c r="D70" s="675"/>
      <c r="E70" s="948"/>
      <c r="F70" s="678"/>
      <c r="G70" s="678"/>
      <c r="H70" s="1190"/>
      <c r="I70" s="734"/>
      <c r="J70" s="866" t="s">
        <v>3171</v>
      </c>
      <c r="K70" s="867"/>
      <c r="L70" s="867"/>
      <c r="M70" s="867"/>
      <c r="N70" s="867"/>
      <c r="O70" s="867"/>
      <c r="P70" s="867"/>
      <c r="Q70" s="735">
        <v>100</v>
      </c>
      <c r="R70" s="709" t="s">
        <v>3172</v>
      </c>
      <c r="S70" s="1201">
        <v>25000</v>
      </c>
      <c r="T70" s="709" t="s">
        <v>3166</v>
      </c>
      <c r="V70" s="730">
        <v>1</v>
      </c>
      <c r="W70" s="709" t="s">
        <v>2703</v>
      </c>
      <c r="X70" s="731" t="s">
        <v>2675</v>
      </c>
      <c r="Y70" s="3110">
        <f>Q70*S70*V70/1000</f>
        <v>2500</v>
      </c>
      <c r="Z70" s="915"/>
      <c r="AA70" s="915"/>
      <c r="AB70" s="1169"/>
      <c r="AC70" s="915"/>
      <c r="AD70" s="915"/>
    </row>
    <row r="71" spans="1:30" s="709" customFormat="1" ht="21" customHeight="1">
      <c r="A71" s="1122"/>
      <c r="B71" s="675"/>
      <c r="C71" s="675"/>
      <c r="D71" s="675"/>
      <c r="E71" s="948"/>
      <c r="F71" s="678"/>
      <c r="G71" s="678"/>
      <c r="H71" s="1190"/>
      <c r="I71" s="734"/>
      <c r="J71" s="866" t="s">
        <v>3173</v>
      </c>
      <c r="K71" s="867"/>
      <c r="L71" s="867"/>
      <c r="M71" s="867"/>
      <c r="N71" s="867"/>
      <c r="O71" s="867"/>
      <c r="P71" s="867"/>
      <c r="Q71" s="735">
        <v>3</v>
      </c>
      <c r="R71" s="709" t="s">
        <v>3044</v>
      </c>
      <c r="S71" s="1201">
        <v>5000000</v>
      </c>
      <c r="T71" s="709" t="s">
        <v>3166</v>
      </c>
      <c r="V71" s="730">
        <v>1</v>
      </c>
      <c r="W71" s="709" t="s">
        <v>2703</v>
      </c>
      <c r="X71" s="731" t="s">
        <v>2675</v>
      </c>
      <c r="Y71" s="3110">
        <f>Q71*S71*V71/1000</f>
        <v>15000</v>
      </c>
      <c r="Z71" s="915"/>
      <c r="AA71" s="915"/>
      <c r="AB71" s="1169"/>
      <c r="AC71" s="915"/>
      <c r="AD71" s="915"/>
    </row>
    <row r="72" spans="1:30" s="709" customFormat="1" ht="21" customHeight="1">
      <c r="A72" s="1122"/>
      <c r="B72" s="675"/>
      <c r="C72" s="675"/>
      <c r="D72" s="675"/>
      <c r="E72" s="948"/>
      <c r="F72" s="678"/>
      <c r="G72" s="678"/>
      <c r="H72" s="1190"/>
      <c r="I72" s="734"/>
      <c r="J72" s="866" t="s">
        <v>3174</v>
      </c>
      <c r="K72" s="867"/>
      <c r="L72" s="867"/>
      <c r="M72" s="867"/>
      <c r="N72" s="867"/>
      <c r="O72" s="867"/>
      <c r="P72" s="867"/>
      <c r="Q72" s="735">
        <v>1</v>
      </c>
      <c r="R72" s="709" t="s">
        <v>3044</v>
      </c>
      <c r="S72" s="1201">
        <v>3500000</v>
      </c>
      <c r="T72" s="709" t="s">
        <v>3166</v>
      </c>
      <c r="V72" s="730">
        <v>1</v>
      </c>
      <c r="W72" s="709" t="s">
        <v>2703</v>
      </c>
      <c r="X72" s="731" t="s">
        <v>2675</v>
      </c>
      <c r="Y72" s="3110">
        <f>Q72*S72*V72/1000</f>
        <v>3500</v>
      </c>
      <c r="Z72" s="915"/>
      <c r="AA72" s="915"/>
      <c r="AB72" s="1169"/>
      <c r="AC72" s="915"/>
      <c r="AD72" s="915"/>
    </row>
    <row r="73" spans="1:30" s="709" customFormat="1" ht="21" customHeight="1">
      <c r="A73" s="1122"/>
      <c r="B73" s="675"/>
      <c r="C73" s="675"/>
      <c r="D73" s="675"/>
      <c r="E73" s="948"/>
      <c r="F73" s="678"/>
      <c r="G73" s="678"/>
      <c r="H73" s="1190"/>
      <c r="I73" s="734"/>
      <c r="J73" s="866" t="s">
        <v>3175</v>
      </c>
      <c r="K73" s="867"/>
      <c r="L73" s="867"/>
      <c r="M73" s="867"/>
      <c r="N73" s="867"/>
      <c r="O73" s="867"/>
      <c r="P73" s="867"/>
      <c r="Q73" s="735"/>
      <c r="S73" s="1201"/>
      <c r="V73" s="730"/>
      <c r="X73" s="731"/>
      <c r="Y73" s="3110"/>
      <c r="Z73" s="915"/>
      <c r="AA73" s="915"/>
      <c r="AB73" s="1169"/>
      <c r="AC73" s="915"/>
      <c r="AD73" s="915"/>
    </row>
    <row r="74" spans="1:30" s="709" customFormat="1" ht="21" customHeight="1">
      <c r="A74" s="1122"/>
      <c r="B74" s="675"/>
      <c r="C74" s="675"/>
      <c r="D74" s="675"/>
      <c r="E74" s="948"/>
      <c r="F74" s="678"/>
      <c r="G74" s="678"/>
      <c r="H74" s="1190"/>
      <c r="I74" s="734"/>
      <c r="J74" s="866" t="s">
        <v>3176</v>
      </c>
      <c r="K74" s="867"/>
      <c r="L74" s="867"/>
      <c r="M74" s="867"/>
      <c r="N74" s="867"/>
      <c r="O74" s="867"/>
      <c r="P74" s="867"/>
      <c r="Q74" s="735">
        <v>10</v>
      </c>
      <c r="R74" s="709" t="s">
        <v>3172</v>
      </c>
      <c r="S74" s="1201">
        <v>70000</v>
      </c>
      <c r="T74" s="709" t="s">
        <v>3166</v>
      </c>
      <c r="V74" s="730">
        <v>1</v>
      </c>
      <c r="W74" s="709" t="s">
        <v>2703</v>
      </c>
      <c r="X74" s="731" t="s">
        <v>2675</v>
      </c>
      <c r="Y74" s="3110">
        <f>Q74*S74*V74/1000</f>
        <v>700</v>
      </c>
      <c r="Z74" s="915"/>
      <c r="AA74" s="915"/>
      <c r="AB74" s="1169"/>
      <c r="AC74" s="915"/>
      <c r="AD74" s="915"/>
    </row>
    <row r="75" spans="1:30" s="709" customFormat="1" ht="21" customHeight="1">
      <c r="A75" s="1122"/>
      <c r="B75" s="675"/>
      <c r="C75" s="675"/>
      <c r="D75" s="675"/>
      <c r="E75" s="948"/>
      <c r="F75" s="678"/>
      <c r="G75" s="678"/>
      <c r="H75" s="1190"/>
      <c r="I75" s="734"/>
      <c r="J75" s="866" t="s">
        <v>3177</v>
      </c>
      <c r="K75" s="867"/>
      <c r="L75" s="867"/>
      <c r="M75" s="867"/>
      <c r="N75" s="867"/>
      <c r="O75" s="867"/>
      <c r="P75" s="867"/>
      <c r="Q75" s="735"/>
      <c r="S75" s="1201"/>
      <c r="V75" s="730"/>
      <c r="X75" s="731"/>
      <c r="Y75" s="3110"/>
      <c r="Z75" s="915"/>
      <c r="AA75" s="915"/>
      <c r="AB75" s="1169"/>
      <c r="AC75" s="915"/>
      <c r="AD75" s="915"/>
    </row>
    <row r="76" spans="1:30" s="709" customFormat="1" ht="21" customHeight="1">
      <c r="A76" s="1122"/>
      <c r="B76" s="675"/>
      <c r="C76" s="675"/>
      <c r="D76" s="675"/>
      <c r="E76" s="948"/>
      <c r="F76" s="678"/>
      <c r="G76" s="678"/>
      <c r="H76" s="1190"/>
      <c r="I76" s="734"/>
      <c r="J76" s="866" t="s">
        <v>3178</v>
      </c>
      <c r="K76" s="867"/>
      <c r="L76" s="867"/>
      <c r="M76" s="867"/>
      <c r="N76" s="867"/>
      <c r="O76" s="867"/>
      <c r="P76" s="867"/>
      <c r="Q76" s="735">
        <v>37</v>
      </c>
      <c r="R76" s="709" t="s">
        <v>3044</v>
      </c>
      <c r="S76" s="1201">
        <v>150000</v>
      </c>
      <c r="T76" s="709" t="s">
        <v>3166</v>
      </c>
      <c r="V76" s="730">
        <v>1</v>
      </c>
      <c r="W76" s="709" t="s">
        <v>2703</v>
      </c>
      <c r="X76" s="731" t="s">
        <v>2675</v>
      </c>
      <c r="Y76" s="3110">
        <f>Q76*S76*V76/1000</f>
        <v>5550</v>
      </c>
      <c r="Z76" s="915"/>
      <c r="AA76" s="915"/>
      <c r="AB76" s="1169"/>
      <c r="AC76" s="915"/>
      <c r="AD76" s="915"/>
    </row>
    <row r="77" spans="1:30" s="709" customFormat="1" ht="21" customHeight="1">
      <c r="A77" s="1122"/>
      <c r="B77" s="675"/>
      <c r="C77" s="675"/>
      <c r="D77" s="675"/>
      <c r="E77" s="948"/>
      <c r="F77" s="678"/>
      <c r="G77" s="678"/>
      <c r="H77" s="1190"/>
      <c r="I77" s="734"/>
      <c r="J77" s="866" t="s">
        <v>3179</v>
      </c>
      <c r="K77" s="867"/>
      <c r="L77" s="867"/>
      <c r="M77" s="867"/>
      <c r="N77" s="867"/>
      <c r="O77" s="867"/>
      <c r="P77" s="867"/>
      <c r="Q77" s="735"/>
      <c r="S77" s="1201"/>
      <c r="V77" s="730"/>
      <c r="X77" s="731"/>
      <c r="Y77" s="3110"/>
      <c r="Z77" s="915"/>
      <c r="AA77" s="915"/>
      <c r="AB77" s="1169"/>
      <c r="AC77" s="915"/>
      <c r="AD77" s="915"/>
    </row>
    <row r="78" spans="1:30" s="709" customFormat="1" ht="21" customHeight="1">
      <c r="A78" s="1122"/>
      <c r="B78" s="675"/>
      <c r="C78" s="675"/>
      <c r="D78" s="675"/>
      <c r="E78" s="948"/>
      <c r="F78" s="678"/>
      <c r="G78" s="678"/>
      <c r="H78" s="1190"/>
      <c r="I78" s="734"/>
      <c r="J78" s="866" t="s">
        <v>3180</v>
      </c>
      <c r="K78" s="867"/>
      <c r="L78" s="867"/>
      <c r="M78" s="867"/>
      <c r="N78" s="867"/>
      <c r="O78" s="867"/>
      <c r="P78" s="867"/>
      <c r="Q78" s="735"/>
      <c r="S78" s="1201">
        <v>350000</v>
      </c>
      <c r="T78" s="709" t="s">
        <v>3166</v>
      </c>
      <c r="V78" s="730">
        <v>12</v>
      </c>
      <c r="W78" s="709" t="s">
        <v>3029</v>
      </c>
      <c r="X78" s="731" t="s">
        <v>2675</v>
      </c>
      <c r="Y78" s="3110">
        <f t="shared" ref="Y78:Y79" si="5">S78*V78/1000</f>
        <v>4200</v>
      </c>
      <c r="Z78" s="915"/>
      <c r="AA78" s="915"/>
      <c r="AB78" s="1169"/>
      <c r="AC78" s="915"/>
      <c r="AD78" s="915"/>
    </row>
    <row r="79" spans="1:30" s="709" customFormat="1" ht="21" customHeight="1">
      <c r="A79" s="1122"/>
      <c r="B79" s="675"/>
      <c r="C79" s="675"/>
      <c r="D79" s="675"/>
      <c r="E79" s="948"/>
      <c r="F79" s="678"/>
      <c r="G79" s="678"/>
      <c r="H79" s="1190"/>
      <c r="I79" s="734"/>
      <c r="J79" s="866" t="s">
        <v>3181</v>
      </c>
      <c r="K79" s="867"/>
      <c r="L79" s="867"/>
      <c r="M79" s="867"/>
      <c r="N79" s="867"/>
      <c r="O79" s="867"/>
      <c r="P79" s="867"/>
      <c r="Q79" s="735"/>
      <c r="S79" s="1201">
        <v>2500000</v>
      </c>
      <c r="T79" s="709" t="s">
        <v>3166</v>
      </c>
      <c r="V79" s="730">
        <v>12</v>
      </c>
      <c r="W79" s="709" t="s">
        <v>3029</v>
      </c>
      <c r="X79" s="731" t="s">
        <v>2675</v>
      </c>
      <c r="Y79" s="3110">
        <f t="shared" si="5"/>
        <v>30000</v>
      </c>
      <c r="Z79" s="915"/>
      <c r="AA79" s="915"/>
      <c r="AB79" s="1169"/>
      <c r="AC79" s="915"/>
      <c r="AD79" s="915"/>
    </row>
    <row r="80" spans="1:30" s="709" customFormat="1" ht="21" customHeight="1">
      <c r="A80" s="1122"/>
      <c r="B80" s="675"/>
      <c r="C80" s="675"/>
      <c r="D80" s="675"/>
      <c r="E80" s="675"/>
      <c r="F80" s="678"/>
      <c r="G80" s="678"/>
      <c r="H80" s="1190"/>
      <c r="I80" s="734"/>
      <c r="J80" s="866" t="s">
        <v>3182</v>
      </c>
      <c r="K80" s="3163"/>
      <c r="L80" s="3163"/>
      <c r="M80" s="3163"/>
      <c r="N80" s="3163"/>
      <c r="O80" s="3163"/>
      <c r="P80" s="3163"/>
      <c r="Q80" s="735">
        <v>3</v>
      </c>
      <c r="R80" s="3439" t="s">
        <v>3044</v>
      </c>
      <c r="S80" s="1201">
        <v>300000</v>
      </c>
      <c r="T80" s="3439" t="s">
        <v>3166</v>
      </c>
      <c r="U80" s="3439"/>
      <c r="V80" s="730">
        <v>12</v>
      </c>
      <c r="W80" s="3439" t="s">
        <v>3029</v>
      </c>
      <c r="X80" s="731" t="s">
        <v>2675</v>
      </c>
      <c r="Y80" s="3110">
        <f>Q80*S80*V80/1000</f>
        <v>10800</v>
      </c>
      <c r="Z80" s="915"/>
      <c r="AA80" s="915"/>
      <c r="AB80" s="1169"/>
      <c r="AC80" s="915"/>
      <c r="AD80" s="915"/>
    </row>
    <row r="81" spans="1:30" s="709" customFormat="1" ht="21" customHeight="1">
      <c r="A81" s="1122"/>
      <c r="B81" s="675"/>
      <c r="C81" s="675"/>
      <c r="D81" s="675"/>
      <c r="E81" s="675" t="s">
        <v>3183</v>
      </c>
      <c r="F81" s="678">
        <f>Y81</f>
        <v>2400</v>
      </c>
      <c r="G81" s="678">
        <v>2400</v>
      </c>
      <c r="H81" s="1239"/>
      <c r="I81" s="734"/>
      <c r="J81" s="866" t="s">
        <v>2695</v>
      </c>
      <c r="K81" s="3163"/>
      <c r="L81" s="3163"/>
      <c r="M81" s="3163"/>
      <c r="N81" s="3163"/>
      <c r="O81" s="3163"/>
      <c r="P81" s="3163"/>
      <c r="Q81" s="735"/>
      <c r="R81" s="3439"/>
      <c r="S81" s="728"/>
      <c r="T81" s="3439"/>
      <c r="U81" s="3439"/>
      <c r="V81" s="730"/>
      <c r="W81" s="3439"/>
      <c r="X81" s="731"/>
      <c r="Y81" s="3110">
        <f>SUM(Y82:Y83)</f>
        <v>2400</v>
      </c>
      <c r="Z81" s="915"/>
      <c r="AA81" s="915"/>
      <c r="AB81" s="1169"/>
      <c r="AC81" s="915"/>
      <c r="AD81" s="915"/>
    </row>
    <row r="82" spans="1:30" s="709" customFormat="1" ht="21" customHeight="1">
      <c r="A82" s="1122"/>
      <c r="B82" s="675"/>
      <c r="C82" s="675"/>
      <c r="D82" s="675"/>
      <c r="E82" s="948"/>
      <c r="F82" s="678"/>
      <c r="G82" s="678"/>
      <c r="H82" s="1190"/>
      <c r="I82" s="734"/>
      <c r="J82" s="866" t="s">
        <v>3184</v>
      </c>
      <c r="K82" s="867"/>
      <c r="L82" s="867"/>
      <c r="M82" s="867"/>
      <c r="N82" s="867"/>
      <c r="O82" s="867"/>
      <c r="P82" s="867"/>
      <c r="Q82" s="735">
        <v>5</v>
      </c>
      <c r="R82" s="709" t="s">
        <v>3185</v>
      </c>
      <c r="S82" s="728">
        <v>10000</v>
      </c>
      <c r="T82" s="709" t="s">
        <v>3186</v>
      </c>
      <c r="V82" s="730">
        <v>12</v>
      </c>
      <c r="W82" s="709" t="s">
        <v>2989</v>
      </c>
      <c r="X82" s="731" t="s">
        <v>3187</v>
      </c>
      <c r="Y82" s="3110">
        <f>Q82*S82*V82/1000</f>
        <v>600</v>
      </c>
      <c r="Z82" s="915"/>
      <c r="AA82" s="915"/>
      <c r="AB82" s="1169"/>
      <c r="AC82" s="915"/>
      <c r="AD82" s="915"/>
    </row>
    <row r="83" spans="1:30" s="709" customFormat="1" ht="21" customHeight="1">
      <c r="A83" s="1122"/>
      <c r="B83" s="675"/>
      <c r="C83" s="675"/>
      <c r="D83" s="675"/>
      <c r="E83" s="675"/>
      <c r="F83" s="678"/>
      <c r="G83" s="678"/>
      <c r="H83" s="1190"/>
      <c r="I83" s="734"/>
      <c r="J83" s="1016" t="s">
        <v>3188</v>
      </c>
      <c r="K83" s="3163"/>
      <c r="L83" s="3163"/>
      <c r="M83" s="3163"/>
      <c r="N83" s="3163"/>
      <c r="O83" s="3163"/>
      <c r="P83" s="3163"/>
      <c r="Q83" s="735">
        <v>12</v>
      </c>
      <c r="R83" s="3201" t="s">
        <v>3185</v>
      </c>
      <c r="S83" s="728">
        <v>30000</v>
      </c>
      <c r="T83" s="3201" t="s">
        <v>3186</v>
      </c>
      <c r="U83" s="3201"/>
      <c r="V83" s="730">
        <v>5</v>
      </c>
      <c r="W83" s="3201" t="s">
        <v>3189</v>
      </c>
      <c r="X83" s="731" t="s">
        <v>3187</v>
      </c>
      <c r="Y83" s="3110">
        <f>Q83*S83*V83/1000</f>
        <v>1800</v>
      </c>
      <c r="Z83" s="915"/>
      <c r="AA83" s="915"/>
      <c r="AB83" s="1169"/>
      <c r="AC83" s="915"/>
      <c r="AD83" s="915"/>
    </row>
    <row r="84" spans="1:30" s="709" customFormat="1" ht="21" customHeight="1">
      <c r="A84" s="1122"/>
      <c r="B84" s="675"/>
      <c r="C84" s="948"/>
      <c r="D84" s="675"/>
      <c r="E84" s="675" t="s">
        <v>2984</v>
      </c>
      <c r="F84" s="678">
        <f>Y84</f>
        <v>6508</v>
      </c>
      <c r="G84" s="678">
        <v>6508</v>
      </c>
      <c r="H84" s="1239"/>
      <c r="I84" s="734"/>
      <c r="J84" s="866" t="s">
        <v>2985</v>
      </c>
      <c r="K84" s="3163"/>
      <c r="L84" s="3163"/>
      <c r="M84" s="3163"/>
      <c r="N84" s="3163"/>
      <c r="O84" s="3163"/>
      <c r="P84" s="3163"/>
      <c r="Q84" s="735"/>
      <c r="R84" s="736" t="s">
        <v>2992</v>
      </c>
      <c r="S84" s="728" t="s">
        <v>2992</v>
      </c>
      <c r="T84" s="3201" t="s">
        <v>2992</v>
      </c>
      <c r="U84" s="3201"/>
      <c r="V84" s="730" t="s">
        <v>2992</v>
      </c>
      <c r="W84" s="3201" t="s">
        <v>2992</v>
      </c>
      <c r="X84" s="731"/>
      <c r="Y84" s="3110">
        <f>SUM(Y85:Y89)</f>
        <v>6508</v>
      </c>
      <c r="Z84" s="915"/>
      <c r="AA84" s="915"/>
      <c r="AB84" s="1169"/>
      <c r="AC84" s="915"/>
      <c r="AD84" s="915"/>
    </row>
    <row r="85" spans="1:30" s="709" customFormat="1" ht="21" customHeight="1">
      <c r="A85" s="1122"/>
      <c r="B85" s="675"/>
      <c r="C85" s="948"/>
      <c r="D85" s="675"/>
      <c r="E85" s="675"/>
      <c r="F85" s="678"/>
      <c r="G85" s="678"/>
      <c r="H85" s="1190"/>
      <c r="I85" s="734"/>
      <c r="J85" s="866" t="s">
        <v>3190</v>
      </c>
      <c r="K85" s="3163"/>
      <c r="L85" s="3163"/>
      <c r="M85" s="3163"/>
      <c r="N85" s="3163"/>
      <c r="O85" s="3163"/>
      <c r="P85" s="3163"/>
      <c r="Q85" s="735"/>
      <c r="R85" s="736"/>
      <c r="S85" s="728">
        <v>650000</v>
      </c>
      <c r="T85" s="3201" t="s">
        <v>2784</v>
      </c>
      <c r="U85" s="3201"/>
      <c r="V85" s="730">
        <v>1</v>
      </c>
      <c r="W85" s="3201" t="s">
        <v>3191</v>
      </c>
      <c r="X85" s="731" t="s">
        <v>2785</v>
      </c>
      <c r="Y85" s="3110">
        <f t="shared" ref="Y85" si="6">S85*V85/1000</f>
        <v>650</v>
      </c>
      <c r="Z85" s="915"/>
      <c r="AA85" s="915"/>
      <c r="AB85" s="1169"/>
      <c r="AC85" s="915"/>
      <c r="AD85" s="915"/>
    </row>
    <row r="86" spans="1:30" s="709" customFormat="1" ht="21" customHeight="1">
      <c r="A86" s="1122"/>
      <c r="B86" s="675"/>
      <c r="C86" s="948"/>
      <c r="D86" s="675"/>
      <c r="E86" s="675"/>
      <c r="F86" s="678"/>
      <c r="G86" s="678"/>
      <c r="H86" s="1190"/>
      <c r="I86" s="734"/>
      <c r="J86" s="866" t="s">
        <v>3192</v>
      </c>
      <c r="K86" s="3163"/>
      <c r="L86" s="3163"/>
      <c r="M86" s="3163"/>
      <c r="N86" s="3163"/>
      <c r="O86" s="3163"/>
      <c r="P86" s="3163"/>
      <c r="Q86" s="735">
        <v>2000</v>
      </c>
      <c r="R86" s="3201" t="s">
        <v>3193</v>
      </c>
      <c r="S86" s="728">
        <v>500</v>
      </c>
      <c r="T86" s="3201" t="s">
        <v>2784</v>
      </c>
      <c r="U86" s="3201"/>
      <c r="V86" s="730">
        <v>1</v>
      </c>
      <c r="W86" s="3201" t="s">
        <v>2988</v>
      </c>
      <c r="X86" s="731" t="s">
        <v>2785</v>
      </c>
      <c r="Y86" s="3110">
        <f>Q86*S86*V86/1000</f>
        <v>1000</v>
      </c>
      <c r="Z86" s="915"/>
      <c r="AA86" s="915"/>
      <c r="AB86" s="1169"/>
      <c r="AC86" s="915"/>
      <c r="AD86" s="915"/>
    </row>
    <row r="87" spans="1:30" s="709" customFormat="1" ht="21" customHeight="1">
      <c r="A87" s="1122"/>
      <c r="B87" s="675"/>
      <c r="C87" s="948"/>
      <c r="D87" s="675"/>
      <c r="E87" s="675"/>
      <c r="F87" s="678"/>
      <c r="G87" s="678"/>
      <c r="H87" s="1190"/>
      <c r="I87" s="734"/>
      <c r="J87" s="866" t="s">
        <v>3194</v>
      </c>
      <c r="K87" s="3163"/>
      <c r="L87" s="3163"/>
      <c r="M87" s="3163"/>
      <c r="N87" s="3163"/>
      <c r="O87" s="3163"/>
      <c r="P87" s="3163"/>
      <c r="Q87" s="735">
        <v>10</v>
      </c>
      <c r="R87" s="736" t="s">
        <v>3195</v>
      </c>
      <c r="S87" s="728">
        <v>200000</v>
      </c>
      <c r="T87" s="3201" t="s">
        <v>3186</v>
      </c>
      <c r="U87" s="3201"/>
      <c r="V87" s="730">
        <v>2</v>
      </c>
      <c r="W87" s="3201" t="s">
        <v>2988</v>
      </c>
      <c r="X87" s="731" t="s">
        <v>2785</v>
      </c>
      <c r="Y87" s="3110">
        <f>Q87*S87*V87/1000</f>
        <v>4000</v>
      </c>
      <c r="Z87" s="915"/>
      <c r="AA87" s="915"/>
      <c r="AB87" s="1169"/>
      <c r="AC87" s="915"/>
      <c r="AD87" s="915"/>
    </row>
    <row r="88" spans="1:30" s="709" customFormat="1" ht="21" customHeight="1">
      <c r="A88" s="1122"/>
      <c r="B88" s="675"/>
      <c r="C88" s="948"/>
      <c r="D88" s="675"/>
      <c r="E88" s="675"/>
      <c r="F88" s="678"/>
      <c r="G88" s="678"/>
      <c r="H88" s="1190"/>
      <c r="I88" s="734"/>
      <c r="J88" s="866" t="s">
        <v>3196</v>
      </c>
      <c r="K88" s="3163"/>
      <c r="L88" s="3163"/>
      <c r="M88" s="3163"/>
      <c r="N88" s="3163"/>
      <c r="O88" s="3163"/>
      <c r="P88" s="3163"/>
      <c r="Q88" s="735">
        <v>10</v>
      </c>
      <c r="R88" s="736" t="s">
        <v>3197</v>
      </c>
      <c r="S88" s="728">
        <v>6450</v>
      </c>
      <c r="T88" s="3201" t="s">
        <v>2784</v>
      </c>
      <c r="U88" s="3201"/>
      <c r="V88" s="730">
        <v>4</v>
      </c>
      <c r="W88" s="3201" t="s">
        <v>3198</v>
      </c>
      <c r="X88" s="731" t="s">
        <v>2785</v>
      </c>
      <c r="Y88" s="3110">
        <f>Q88*S88*V88/1000</f>
        <v>258</v>
      </c>
      <c r="Z88" s="915"/>
      <c r="AA88" s="915"/>
      <c r="AB88" s="1169"/>
      <c r="AC88" s="915"/>
      <c r="AD88" s="915"/>
    </row>
    <row r="89" spans="1:30" s="709" customFormat="1" ht="21" customHeight="1">
      <c r="A89" s="1122"/>
      <c r="B89" s="675"/>
      <c r="C89" s="948"/>
      <c r="D89" s="675"/>
      <c r="E89" s="675"/>
      <c r="F89" s="678"/>
      <c r="G89" s="678"/>
      <c r="H89" s="1190"/>
      <c r="I89" s="734"/>
      <c r="J89" s="866" t="s">
        <v>3199</v>
      </c>
      <c r="K89" s="3163"/>
      <c r="L89" s="3163"/>
      <c r="M89" s="3163"/>
      <c r="N89" s="3163"/>
      <c r="O89" s="3163"/>
      <c r="P89" s="3163"/>
      <c r="Q89" s="735"/>
      <c r="R89" s="736"/>
      <c r="S89" s="728">
        <v>50000</v>
      </c>
      <c r="T89" s="3201" t="s">
        <v>2784</v>
      </c>
      <c r="U89" s="3201"/>
      <c r="V89" s="730">
        <v>12</v>
      </c>
      <c r="W89" s="3201" t="s">
        <v>2989</v>
      </c>
      <c r="X89" s="731" t="s">
        <v>2785</v>
      </c>
      <c r="Y89" s="3110">
        <f t="shared" ref="Y89" si="7">S89*V89/1000</f>
        <v>600</v>
      </c>
      <c r="Z89" s="915"/>
      <c r="AA89" s="915"/>
      <c r="AB89" s="1169"/>
      <c r="AC89" s="915"/>
      <c r="AD89" s="915"/>
    </row>
    <row r="90" spans="1:30" s="709" customFormat="1" ht="21.95" customHeight="1">
      <c r="A90" s="1122"/>
      <c r="B90" s="675"/>
      <c r="C90" s="948"/>
      <c r="D90" s="675"/>
      <c r="E90" s="675" t="s">
        <v>3200</v>
      </c>
      <c r="F90" s="678">
        <f>Y90</f>
        <v>641245</v>
      </c>
      <c r="G90" s="678">
        <v>641245</v>
      </c>
      <c r="H90" s="1239"/>
      <c r="I90" s="734"/>
      <c r="J90" s="866" t="s">
        <v>2985</v>
      </c>
      <c r="K90" s="3163"/>
      <c r="L90" s="3163"/>
      <c r="M90" s="3163"/>
      <c r="N90" s="3163"/>
      <c r="O90" s="3163"/>
      <c r="P90" s="3163"/>
      <c r="Q90" s="735"/>
      <c r="R90" s="736"/>
      <c r="S90" s="728"/>
      <c r="T90" s="3201"/>
      <c r="U90" s="3201"/>
      <c r="V90" s="730"/>
      <c r="W90" s="3201"/>
      <c r="X90" s="731"/>
      <c r="Y90" s="3110">
        <f>SUM(Y91:Y96)</f>
        <v>641245</v>
      </c>
      <c r="Z90" s="915"/>
      <c r="AA90" s="915"/>
      <c r="AB90" s="1169"/>
      <c r="AC90" s="915"/>
      <c r="AD90" s="915"/>
    </row>
    <row r="91" spans="1:30" s="709" customFormat="1" ht="21.95" customHeight="1">
      <c r="A91" s="1122"/>
      <c r="B91" s="675"/>
      <c r="C91" s="948"/>
      <c r="D91" s="675"/>
      <c r="E91" s="948"/>
      <c r="F91" s="678"/>
      <c r="G91" s="678"/>
      <c r="H91" s="1190"/>
      <c r="I91" s="734"/>
      <c r="J91" s="866" t="s">
        <v>3201</v>
      </c>
      <c r="K91" s="3163"/>
      <c r="L91" s="3163"/>
      <c r="M91" s="3163"/>
      <c r="N91" s="3163"/>
      <c r="O91" s="3163"/>
      <c r="P91" s="3163"/>
      <c r="Q91" s="735"/>
      <c r="R91" s="736"/>
      <c r="S91" s="1201">
        <f>452172000+50000000+65328000</f>
        <v>567500000</v>
      </c>
      <c r="T91" s="3201" t="s">
        <v>3186</v>
      </c>
      <c r="U91" s="3201"/>
      <c r="V91" s="730">
        <v>1</v>
      </c>
      <c r="W91" s="3201" t="s">
        <v>3189</v>
      </c>
      <c r="X91" s="731" t="s">
        <v>3187</v>
      </c>
      <c r="Y91" s="3110">
        <f t="shared" ref="Y91:Y92" si="8">S91*V91/1000</f>
        <v>567500</v>
      </c>
      <c r="Z91" s="915"/>
      <c r="AA91" s="915"/>
      <c r="AB91" s="1169"/>
      <c r="AC91" s="915"/>
      <c r="AD91" s="915"/>
    </row>
    <row r="92" spans="1:30" s="709" customFormat="1" ht="21.95" customHeight="1">
      <c r="A92" s="1122"/>
      <c r="B92" s="675"/>
      <c r="C92" s="948"/>
      <c r="D92" s="675"/>
      <c r="E92" s="948"/>
      <c r="F92" s="678"/>
      <c r="G92" s="678"/>
      <c r="H92" s="1190"/>
      <c r="I92" s="734"/>
      <c r="J92" s="866" t="s">
        <v>3202</v>
      </c>
      <c r="K92" s="3163"/>
      <c r="L92" s="3163"/>
      <c r="M92" s="3163"/>
      <c r="N92" s="3163"/>
      <c r="O92" s="3163"/>
      <c r="P92" s="3163"/>
      <c r="Q92" s="735"/>
      <c r="R92" s="736"/>
      <c r="S92" s="1201">
        <v>2500000</v>
      </c>
      <c r="T92" s="3201" t="s">
        <v>3186</v>
      </c>
      <c r="U92" s="3201"/>
      <c r="V92" s="730">
        <v>12</v>
      </c>
      <c r="W92" s="3201" t="s">
        <v>2989</v>
      </c>
      <c r="X92" s="731" t="s">
        <v>2785</v>
      </c>
      <c r="Y92" s="3110">
        <f t="shared" si="8"/>
        <v>30000</v>
      </c>
      <c r="Z92" s="915"/>
      <c r="AA92" s="915"/>
      <c r="AB92" s="1169"/>
      <c r="AC92" s="915"/>
      <c r="AD92" s="915"/>
    </row>
    <row r="93" spans="1:30" s="709" customFormat="1" ht="21.95" customHeight="1">
      <c r="A93" s="1122"/>
      <c r="B93" s="675"/>
      <c r="C93" s="948"/>
      <c r="D93" s="675"/>
      <c r="E93" s="948"/>
      <c r="F93" s="678"/>
      <c r="G93" s="678"/>
      <c r="H93" s="1190"/>
      <c r="I93" s="734"/>
      <c r="J93" s="866" t="s">
        <v>3203</v>
      </c>
      <c r="K93" s="3163"/>
      <c r="L93" s="3163"/>
      <c r="M93" s="3163"/>
      <c r="N93" s="3163"/>
      <c r="O93" s="3163"/>
      <c r="P93" s="3163"/>
      <c r="Q93" s="1203">
        <v>72410</v>
      </c>
      <c r="R93" s="3201" t="s">
        <v>3193</v>
      </c>
      <c r="S93" s="1201">
        <v>400</v>
      </c>
      <c r="T93" s="3201" t="s">
        <v>3186</v>
      </c>
      <c r="U93" s="3201"/>
      <c r="V93" s="1204">
        <v>1.2000069051236018</v>
      </c>
      <c r="W93" s="3201" t="s">
        <v>3189</v>
      </c>
      <c r="X93" s="731" t="s">
        <v>3187</v>
      </c>
      <c r="Y93" s="3110">
        <f>Q93*S93*V93/1000</f>
        <v>34757</v>
      </c>
      <c r="Z93" s="915"/>
      <c r="AA93" s="915"/>
      <c r="AB93" s="1169"/>
      <c r="AC93" s="915"/>
      <c r="AD93" s="915"/>
    </row>
    <row r="94" spans="1:30" s="709" customFormat="1" ht="21.95" customHeight="1">
      <c r="A94" s="1122"/>
      <c r="B94" s="675"/>
      <c r="C94" s="948"/>
      <c r="D94" s="675"/>
      <c r="E94" s="948"/>
      <c r="F94" s="678"/>
      <c r="G94" s="678"/>
      <c r="H94" s="1190"/>
      <c r="I94" s="734"/>
      <c r="J94" s="866" t="s">
        <v>3204</v>
      </c>
      <c r="K94" s="3163"/>
      <c r="L94" s="3163"/>
      <c r="M94" s="3163"/>
      <c r="N94" s="3163"/>
      <c r="O94" s="3163"/>
      <c r="P94" s="3163"/>
      <c r="Q94" s="735"/>
      <c r="R94" s="736"/>
      <c r="S94" s="1201">
        <v>1000000</v>
      </c>
      <c r="T94" s="3201" t="s">
        <v>3186</v>
      </c>
      <c r="U94" s="3201"/>
      <c r="V94" s="730">
        <v>2</v>
      </c>
      <c r="W94" s="3201" t="s">
        <v>3189</v>
      </c>
      <c r="X94" s="731" t="s">
        <v>3187</v>
      </c>
      <c r="Y94" s="3110">
        <f>S94*V94/1000</f>
        <v>2000</v>
      </c>
      <c r="Z94" s="915"/>
      <c r="AA94" s="915"/>
      <c r="AB94" s="1169"/>
      <c r="AC94" s="915"/>
      <c r="AD94" s="915"/>
    </row>
    <row r="95" spans="1:30" s="709" customFormat="1" ht="21.95" customHeight="1">
      <c r="A95" s="1122"/>
      <c r="B95" s="675"/>
      <c r="C95" s="948"/>
      <c r="D95" s="675"/>
      <c r="E95" s="948"/>
      <c r="F95" s="678"/>
      <c r="G95" s="678"/>
      <c r="H95" s="1190"/>
      <c r="I95" s="734"/>
      <c r="J95" s="866" t="s">
        <v>3205</v>
      </c>
      <c r="K95" s="3163"/>
      <c r="L95" s="3163"/>
      <c r="M95" s="3163"/>
      <c r="N95" s="3163"/>
      <c r="O95" s="3163"/>
      <c r="P95" s="3163"/>
      <c r="Q95" s="735">
        <v>5000</v>
      </c>
      <c r="R95" s="3201" t="s">
        <v>3193</v>
      </c>
      <c r="S95" s="1201">
        <v>500</v>
      </c>
      <c r="T95" s="3201" t="s">
        <v>3186</v>
      </c>
      <c r="U95" s="3201"/>
      <c r="V95" s="730">
        <v>2</v>
      </c>
      <c r="W95" s="3201" t="s">
        <v>2988</v>
      </c>
      <c r="X95" s="731" t="s">
        <v>3187</v>
      </c>
      <c r="Y95" s="3110">
        <f>Q95*S95*V95/1000</f>
        <v>5000</v>
      </c>
      <c r="Z95" s="915"/>
      <c r="AA95" s="915"/>
      <c r="AB95" s="1169"/>
      <c r="AC95" s="915"/>
      <c r="AD95" s="915"/>
    </row>
    <row r="96" spans="1:30" s="709" customFormat="1" ht="21.95" customHeight="1">
      <c r="A96" s="1122"/>
      <c r="B96" s="675"/>
      <c r="C96" s="948"/>
      <c r="D96" s="675"/>
      <c r="E96" s="3170"/>
      <c r="F96" s="678"/>
      <c r="G96" s="678"/>
      <c r="H96" s="1190"/>
      <c r="I96" s="734"/>
      <c r="J96" s="866" t="s">
        <v>3206</v>
      </c>
      <c r="K96" s="3163"/>
      <c r="L96" s="3163"/>
      <c r="M96" s="3163"/>
      <c r="N96" s="3163"/>
      <c r="O96" s="3163"/>
      <c r="P96" s="3163"/>
      <c r="Q96" s="735"/>
      <c r="R96" s="736"/>
      <c r="S96" s="1201">
        <f>966000+1022000</f>
        <v>1988000</v>
      </c>
      <c r="T96" s="3201" t="s">
        <v>3186</v>
      </c>
      <c r="U96" s="3201"/>
      <c r="V96" s="730">
        <v>1</v>
      </c>
      <c r="W96" s="3201" t="s">
        <v>2988</v>
      </c>
      <c r="X96" s="731" t="s">
        <v>2785</v>
      </c>
      <c r="Y96" s="3110">
        <f>S96*V96/1000</f>
        <v>1988</v>
      </c>
      <c r="Z96" s="1205"/>
      <c r="AA96" s="915"/>
      <c r="AB96" s="1169"/>
      <c r="AC96" s="915"/>
      <c r="AD96" s="915"/>
    </row>
    <row r="97" spans="1:30" s="709" customFormat="1" ht="21.95" customHeight="1">
      <c r="A97" s="1122"/>
      <c r="B97" s="675"/>
      <c r="C97" s="948"/>
      <c r="D97" s="675"/>
      <c r="E97" s="675" t="s">
        <v>2990</v>
      </c>
      <c r="F97" s="678">
        <f>Y97</f>
        <v>41640</v>
      </c>
      <c r="G97" s="678">
        <v>41640</v>
      </c>
      <c r="H97" s="1239"/>
      <c r="I97" s="734"/>
      <c r="J97" s="866" t="s">
        <v>2985</v>
      </c>
      <c r="K97" s="3163"/>
      <c r="L97" s="3163"/>
      <c r="M97" s="3163"/>
      <c r="N97" s="3163"/>
      <c r="O97" s="3163"/>
      <c r="P97" s="3163"/>
      <c r="Q97" s="735"/>
      <c r="R97" s="736"/>
      <c r="S97" s="728"/>
      <c r="T97" s="3201"/>
      <c r="U97" s="3201"/>
      <c r="V97" s="3201"/>
      <c r="W97" s="730"/>
      <c r="X97" s="731"/>
      <c r="Y97" s="3110">
        <f>SUM(Y98:Y102)</f>
        <v>41640</v>
      </c>
      <c r="Z97" s="915"/>
      <c r="AA97" s="915"/>
      <c r="AB97" s="1169"/>
      <c r="AC97" s="915"/>
      <c r="AD97" s="915"/>
    </row>
    <row r="98" spans="1:30" s="709" customFormat="1" ht="21.95" customHeight="1">
      <c r="A98" s="1122"/>
      <c r="B98" s="675"/>
      <c r="C98" s="948"/>
      <c r="D98" s="675"/>
      <c r="E98" s="675"/>
      <c r="F98" s="678"/>
      <c r="G98" s="678"/>
      <c r="H98" s="1190"/>
      <c r="I98" s="734"/>
      <c r="J98" s="866" t="s">
        <v>3207</v>
      </c>
      <c r="K98" s="3163"/>
      <c r="L98" s="3163"/>
      <c r="M98" s="3163"/>
      <c r="N98" s="3163"/>
      <c r="O98" s="3163"/>
      <c r="P98" s="735"/>
      <c r="Q98" s="736">
        <v>2</v>
      </c>
      <c r="R98" s="1206" t="s">
        <v>2991</v>
      </c>
      <c r="S98" s="684">
        <v>435000</v>
      </c>
      <c r="T98" s="3201" t="s">
        <v>3186</v>
      </c>
      <c r="U98" s="3201"/>
      <c r="V98" s="730">
        <v>12</v>
      </c>
      <c r="W98" s="3201" t="s">
        <v>3208</v>
      </c>
      <c r="X98" s="731" t="s">
        <v>3187</v>
      </c>
      <c r="Y98" s="3110">
        <f>Q98*S98*V98/1000</f>
        <v>10440</v>
      </c>
      <c r="Z98" s="915"/>
      <c r="AA98" s="915"/>
      <c r="AB98" s="1169"/>
      <c r="AC98" s="915"/>
      <c r="AD98" s="915"/>
    </row>
    <row r="99" spans="1:30" s="709" customFormat="1" ht="21.95" customHeight="1">
      <c r="A99" s="1122"/>
      <c r="B99" s="675"/>
      <c r="C99" s="948"/>
      <c r="D99" s="675"/>
      <c r="E99" s="675"/>
      <c r="F99" s="678"/>
      <c r="G99" s="678"/>
      <c r="H99" s="1190"/>
      <c r="I99" s="734"/>
      <c r="J99" s="866" t="s">
        <v>3209</v>
      </c>
      <c r="K99" s="3163"/>
      <c r="L99" s="3163"/>
      <c r="M99" s="3163"/>
      <c r="N99" s="3163"/>
      <c r="O99" s="3163"/>
      <c r="P99" s="735"/>
      <c r="Q99" s="736"/>
      <c r="R99" s="1206"/>
      <c r="S99" s="684">
        <v>50000</v>
      </c>
      <c r="T99" s="3201" t="s">
        <v>3186</v>
      </c>
      <c r="U99" s="3201"/>
      <c r="V99" s="730">
        <v>12</v>
      </c>
      <c r="W99" s="3201" t="s">
        <v>2</v>
      </c>
      <c r="X99" s="731" t="s">
        <v>1</v>
      </c>
      <c r="Y99" s="3110">
        <f>S99*V99/1000</f>
        <v>600</v>
      </c>
      <c r="Z99" s="915"/>
      <c r="AA99" s="915"/>
      <c r="AB99" s="1169"/>
      <c r="AC99" s="915"/>
      <c r="AD99" s="915"/>
    </row>
    <row r="100" spans="1:30" s="709" customFormat="1" ht="21.95" customHeight="1">
      <c r="A100" s="1122"/>
      <c r="B100" s="675"/>
      <c r="C100" s="948"/>
      <c r="D100" s="675"/>
      <c r="E100" s="675"/>
      <c r="F100" s="678"/>
      <c r="G100" s="678"/>
      <c r="H100" s="1190"/>
      <c r="I100" s="734"/>
      <c r="J100" s="866" t="s">
        <v>3210</v>
      </c>
      <c r="K100" s="3163"/>
      <c r="L100" s="3163"/>
      <c r="M100" s="3163"/>
      <c r="N100" s="3163"/>
      <c r="O100" s="3163"/>
      <c r="P100" s="735"/>
      <c r="Q100" s="736">
        <v>1</v>
      </c>
      <c r="R100" s="1206" t="s">
        <v>3195</v>
      </c>
      <c r="S100" s="684">
        <v>15000000</v>
      </c>
      <c r="T100" s="3201" t="s">
        <v>3186</v>
      </c>
      <c r="U100" s="3201"/>
      <c r="V100" s="730">
        <v>1</v>
      </c>
      <c r="W100" s="3201" t="s">
        <v>2988</v>
      </c>
      <c r="X100" s="731" t="s">
        <v>1</v>
      </c>
      <c r="Y100" s="3110">
        <f>Q100*S100*V100/1000</f>
        <v>15000</v>
      </c>
      <c r="Z100" s="915"/>
      <c r="AA100" s="915"/>
      <c r="AB100" s="1169"/>
      <c r="AC100" s="915"/>
      <c r="AD100" s="915"/>
    </row>
    <row r="101" spans="1:30" s="709" customFormat="1" ht="21.95" customHeight="1">
      <c r="A101" s="1122"/>
      <c r="B101" s="675"/>
      <c r="C101" s="948"/>
      <c r="D101" s="675"/>
      <c r="E101" s="675"/>
      <c r="F101" s="678"/>
      <c r="G101" s="678"/>
      <c r="H101" s="1190"/>
      <c r="I101" s="734"/>
      <c r="J101" s="866" t="s">
        <v>3211</v>
      </c>
      <c r="K101" s="3163"/>
      <c r="L101" s="3163"/>
      <c r="M101" s="3163"/>
      <c r="N101" s="3163"/>
      <c r="O101" s="3163"/>
      <c r="P101" s="735"/>
      <c r="Q101" s="736">
        <v>4</v>
      </c>
      <c r="R101" s="1206" t="s">
        <v>3195</v>
      </c>
      <c r="S101" s="684">
        <v>300000</v>
      </c>
      <c r="T101" s="3201" t="s">
        <v>3186</v>
      </c>
      <c r="U101" s="3201"/>
      <c r="V101" s="730">
        <v>12</v>
      </c>
      <c r="W101" s="3201" t="s">
        <v>2989</v>
      </c>
      <c r="X101" s="731" t="s">
        <v>1</v>
      </c>
      <c r="Y101" s="3110">
        <f>Q101*S101*V101/1000</f>
        <v>14400</v>
      </c>
      <c r="Z101" s="915"/>
      <c r="AA101" s="915"/>
      <c r="AB101" s="1169"/>
      <c r="AC101" s="915"/>
      <c r="AD101" s="915"/>
    </row>
    <row r="102" spans="1:30" s="709" customFormat="1" ht="21.95" customHeight="1">
      <c r="A102" s="1122"/>
      <c r="B102" s="675"/>
      <c r="C102" s="948"/>
      <c r="D102" s="675"/>
      <c r="E102" s="675"/>
      <c r="F102" s="678"/>
      <c r="G102" s="678"/>
      <c r="H102" s="1190"/>
      <c r="I102" s="734"/>
      <c r="J102" s="866" t="s">
        <v>3212</v>
      </c>
      <c r="K102" s="3163"/>
      <c r="L102" s="3163"/>
      <c r="M102" s="3163"/>
      <c r="N102" s="3163"/>
      <c r="O102" s="3163"/>
      <c r="P102" s="735"/>
      <c r="Q102" s="736">
        <v>4</v>
      </c>
      <c r="R102" s="1057" t="s">
        <v>2991</v>
      </c>
      <c r="S102" s="684">
        <v>25000</v>
      </c>
      <c r="T102" s="3201" t="s">
        <v>3186</v>
      </c>
      <c r="U102" s="730"/>
      <c r="V102" s="3201">
        <v>12</v>
      </c>
      <c r="W102" s="3199" t="s">
        <v>2989</v>
      </c>
      <c r="X102" s="1185" t="s">
        <v>2785</v>
      </c>
      <c r="Y102" s="3110">
        <f>Q102*S102*V102/1000</f>
        <v>1200</v>
      </c>
      <c r="Z102" s="915"/>
      <c r="AA102" s="915"/>
      <c r="AB102" s="1169"/>
      <c r="AC102" s="915"/>
      <c r="AD102" s="915"/>
    </row>
    <row r="103" spans="1:30" s="709" customFormat="1" ht="21.95" customHeight="1">
      <c r="A103" s="1122"/>
      <c r="B103" s="675"/>
      <c r="C103" s="948"/>
      <c r="D103" s="675"/>
      <c r="E103" s="675" t="s">
        <v>3213</v>
      </c>
      <c r="F103" s="678">
        <f>Y103</f>
        <v>13999.999999999993</v>
      </c>
      <c r="G103" s="678">
        <v>13999.999999999993</v>
      </c>
      <c r="H103" s="1239"/>
      <c r="I103" s="734"/>
      <c r="J103" s="866" t="s">
        <v>2985</v>
      </c>
      <c r="K103" s="3163"/>
      <c r="L103" s="3163"/>
      <c r="M103" s="3163"/>
      <c r="N103" s="3163"/>
      <c r="O103" s="3163"/>
      <c r="P103" s="735"/>
      <c r="Q103" s="735"/>
      <c r="R103" s="3201"/>
      <c r="S103" s="1201"/>
      <c r="T103" s="3201"/>
      <c r="U103" s="3201"/>
      <c r="V103" s="730"/>
      <c r="W103" s="3201"/>
      <c r="X103" s="731"/>
      <c r="Y103" s="3110">
        <f>SUM(Y104:Y105)</f>
        <v>13999.999999999993</v>
      </c>
      <c r="Z103" s="915"/>
      <c r="AA103" s="915"/>
      <c r="AB103" s="1169"/>
      <c r="AC103" s="915"/>
      <c r="AD103" s="915"/>
    </row>
    <row r="104" spans="1:30" s="709" customFormat="1" ht="21.95" customHeight="1">
      <c r="A104" s="1122"/>
      <c r="B104" s="675"/>
      <c r="C104" s="948"/>
      <c r="D104" s="675"/>
      <c r="E104" s="675"/>
      <c r="F104" s="678"/>
      <c r="G104" s="678"/>
      <c r="H104" s="1190"/>
      <c r="I104" s="734"/>
      <c r="J104" s="866" t="s">
        <v>3214</v>
      </c>
      <c r="K104" s="867"/>
      <c r="L104" s="867"/>
      <c r="M104" s="867"/>
      <c r="N104" s="867"/>
      <c r="O104" s="867"/>
      <c r="P104" s="867"/>
      <c r="Q104" s="735">
        <v>1</v>
      </c>
      <c r="R104" s="709" t="s">
        <v>3195</v>
      </c>
      <c r="S104" s="1201">
        <v>591666.66666666605</v>
      </c>
      <c r="T104" s="709" t="s">
        <v>2784</v>
      </c>
      <c r="V104" s="730">
        <v>12</v>
      </c>
      <c r="W104" s="709" t="s">
        <v>3208</v>
      </c>
      <c r="X104" s="731" t="s">
        <v>3187</v>
      </c>
      <c r="Y104" s="3110">
        <f>S104*V104/1000</f>
        <v>7099.9999999999927</v>
      </c>
      <c r="Z104" s="915"/>
      <c r="AA104" s="915"/>
      <c r="AB104" s="1169"/>
      <c r="AC104" s="915"/>
      <c r="AD104" s="915"/>
    </row>
    <row r="105" spans="1:30" s="709" customFormat="1" ht="21.95" customHeight="1">
      <c r="A105" s="1122"/>
      <c r="B105" s="675"/>
      <c r="C105" s="948"/>
      <c r="D105" s="675"/>
      <c r="E105" s="675"/>
      <c r="F105" s="678"/>
      <c r="G105" s="678"/>
      <c r="H105" s="1190"/>
      <c r="I105" s="734"/>
      <c r="J105" s="866" t="s">
        <v>3215</v>
      </c>
      <c r="K105" s="3163"/>
      <c r="L105" s="3163"/>
      <c r="M105" s="3163"/>
      <c r="N105" s="3163"/>
      <c r="O105" s="3163"/>
      <c r="P105" s="3163"/>
      <c r="Q105" s="735">
        <v>2</v>
      </c>
      <c r="R105" s="3201" t="s">
        <v>3195</v>
      </c>
      <c r="S105" s="728">
        <v>287500</v>
      </c>
      <c r="T105" s="3201" t="s">
        <v>3186</v>
      </c>
      <c r="U105" s="3201"/>
      <c r="V105" s="728">
        <v>12</v>
      </c>
      <c r="W105" s="3201" t="s">
        <v>3208</v>
      </c>
      <c r="X105" s="731" t="s">
        <v>3187</v>
      </c>
      <c r="Y105" s="3110">
        <f>+Q105*S105*V105/1000</f>
        <v>6900</v>
      </c>
      <c r="Z105" s="915"/>
      <c r="AA105" s="915"/>
      <c r="AB105" s="1169"/>
      <c r="AC105" s="915"/>
      <c r="AD105" s="915"/>
    </row>
    <row r="106" spans="1:30" s="709" customFormat="1" ht="21.95" customHeight="1">
      <c r="A106" s="1122"/>
      <c r="B106" s="675"/>
      <c r="C106" s="948"/>
      <c r="D106" s="675"/>
      <c r="E106" s="675" t="s">
        <v>2993</v>
      </c>
      <c r="F106" s="678">
        <f>Y106</f>
        <v>14520</v>
      </c>
      <c r="G106" s="678">
        <v>14520</v>
      </c>
      <c r="H106" s="1239"/>
      <c r="I106" s="734"/>
      <c r="J106" s="866" t="s">
        <v>2985</v>
      </c>
      <c r="K106" s="3163"/>
      <c r="L106" s="3163"/>
      <c r="M106" s="3163"/>
      <c r="N106" s="3163"/>
      <c r="O106" s="3163"/>
      <c r="P106" s="3163"/>
      <c r="Q106" s="735"/>
      <c r="R106" s="736"/>
      <c r="S106" s="728"/>
      <c r="T106" s="3201"/>
      <c r="U106" s="3201"/>
      <c r="V106" s="730"/>
      <c r="W106" s="3201"/>
      <c r="X106" s="792"/>
      <c r="Y106" s="3110">
        <f>SUM(Y107:Y110)</f>
        <v>14520</v>
      </c>
      <c r="Z106" s="915"/>
      <c r="AA106" s="915"/>
      <c r="AB106" s="1169"/>
      <c r="AC106" s="915"/>
      <c r="AD106" s="915"/>
    </row>
    <row r="107" spans="1:30" s="709" customFormat="1" ht="21.95" customHeight="1">
      <c r="A107" s="1122"/>
      <c r="B107" s="675"/>
      <c r="C107" s="948"/>
      <c r="D107" s="675"/>
      <c r="E107" s="675"/>
      <c r="F107" s="678"/>
      <c r="G107" s="678"/>
      <c r="H107" s="1190"/>
      <c r="I107" s="734"/>
      <c r="J107" s="866" t="s">
        <v>3216</v>
      </c>
      <c r="K107" s="3163"/>
      <c r="L107" s="3163"/>
      <c r="M107" s="3163"/>
      <c r="N107" s="3163"/>
      <c r="O107" s="3163"/>
      <c r="P107" s="3163"/>
      <c r="Q107" s="735"/>
      <c r="R107" s="736"/>
      <c r="S107" s="728">
        <v>100000</v>
      </c>
      <c r="T107" s="729" t="s">
        <v>3186</v>
      </c>
      <c r="U107" s="3201"/>
      <c r="V107" s="730">
        <v>12</v>
      </c>
      <c r="W107" s="729" t="s">
        <v>2989</v>
      </c>
      <c r="X107" s="731" t="s">
        <v>2785</v>
      </c>
      <c r="Y107" s="3110">
        <f>+V107*S107/1000</f>
        <v>1200</v>
      </c>
      <c r="Z107" s="915"/>
      <c r="AA107" s="915"/>
      <c r="AB107" s="1169"/>
      <c r="AC107" s="915"/>
      <c r="AD107" s="915"/>
    </row>
    <row r="108" spans="1:30" s="709" customFormat="1" ht="21.95" customHeight="1">
      <c r="A108" s="1122"/>
      <c r="B108" s="675"/>
      <c r="C108" s="948"/>
      <c r="D108" s="675"/>
      <c r="E108" s="675"/>
      <c r="F108" s="678"/>
      <c r="G108" s="678"/>
      <c r="H108" s="1190"/>
      <c r="I108" s="734"/>
      <c r="J108" s="866" t="s">
        <v>3217</v>
      </c>
      <c r="K108" s="3163"/>
      <c r="L108" s="3163"/>
      <c r="M108" s="3163"/>
      <c r="N108" s="3163"/>
      <c r="O108" s="3163"/>
      <c r="P108" s="3163"/>
      <c r="Q108" s="735">
        <v>5</v>
      </c>
      <c r="R108" s="736" t="s">
        <v>2991</v>
      </c>
      <c r="S108" s="728">
        <v>100000</v>
      </c>
      <c r="T108" s="729" t="s">
        <v>3186</v>
      </c>
      <c r="U108" s="3201"/>
      <c r="V108" s="730">
        <v>12</v>
      </c>
      <c r="W108" s="729" t="s">
        <v>3208</v>
      </c>
      <c r="X108" s="731" t="s">
        <v>3187</v>
      </c>
      <c r="Y108" s="3110">
        <f>+V108*S108*Q108/1000</f>
        <v>6000</v>
      </c>
      <c r="Z108" s="915"/>
      <c r="AA108" s="915"/>
      <c r="AB108" s="1169"/>
      <c r="AC108" s="915"/>
      <c r="AD108" s="915"/>
    </row>
    <row r="109" spans="1:30" s="709" customFormat="1" ht="21.95" customHeight="1">
      <c r="A109" s="1122"/>
      <c r="B109" s="675"/>
      <c r="C109" s="948"/>
      <c r="D109" s="675"/>
      <c r="E109" s="675"/>
      <c r="F109" s="678"/>
      <c r="G109" s="678"/>
      <c r="H109" s="1190"/>
      <c r="I109" s="734"/>
      <c r="J109" s="866" t="s">
        <v>3218</v>
      </c>
      <c r="K109" s="1207"/>
      <c r="L109" s="1207"/>
      <c r="M109" s="1207"/>
      <c r="N109" s="1207"/>
      <c r="O109" s="1207"/>
      <c r="P109" s="1207"/>
      <c r="Q109" s="735">
        <v>1</v>
      </c>
      <c r="R109" s="736" t="s">
        <v>3219</v>
      </c>
      <c r="S109" s="728">
        <v>500000</v>
      </c>
      <c r="T109" s="729" t="s">
        <v>3186</v>
      </c>
      <c r="U109" s="3201"/>
      <c r="V109" s="730">
        <v>12</v>
      </c>
      <c r="W109" s="729" t="s">
        <v>3208</v>
      </c>
      <c r="X109" s="731" t="s">
        <v>3187</v>
      </c>
      <c r="Y109" s="3110">
        <f>S109*V109/1000</f>
        <v>6000</v>
      </c>
      <c r="Z109" s="915"/>
      <c r="AA109" s="915"/>
      <c r="AB109" s="1169"/>
      <c r="AC109" s="915"/>
      <c r="AD109" s="915"/>
    </row>
    <row r="110" spans="1:30" s="709" customFormat="1" ht="21.95" customHeight="1">
      <c r="A110" s="1122"/>
      <c r="B110" s="675"/>
      <c r="C110" s="948"/>
      <c r="D110" s="675"/>
      <c r="E110" s="675"/>
      <c r="F110" s="678"/>
      <c r="G110" s="678"/>
      <c r="H110" s="1190"/>
      <c r="I110" s="734"/>
      <c r="J110" s="866" t="s">
        <v>3220</v>
      </c>
      <c r="K110" s="3201"/>
      <c r="L110" s="3201"/>
      <c r="M110" s="3201"/>
      <c r="N110" s="3201"/>
      <c r="O110" s="3201"/>
      <c r="P110" s="3201"/>
      <c r="Q110" s="735">
        <v>2</v>
      </c>
      <c r="R110" s="736" t="s">
        <v>2991</v>
      </c>
      <c r="S110" s="728">
        <v>55000</v>
      </c>
      <c r="T110" s="3201" t="s">
        <v>3186</v>
      </c>
      <c r="U110" s="3201"/>
      <c r="V110" s="730">
        <v>12</v>
      </c>
      <c r="W110" s="3201" t="s">
        <v>2989</v>
      </c>
      <c r="X110" s="731" t="s">
        <v>2785</v>
      </c>
      <c r="Y110" s="3110">
        <f>Q110*S110*V110/1000</f>
        <v>1320</v>
      </c>
      <c r="Z110" s="915"/>
      <c r="AA110" s="915"/>
      <c r="AB110" s="1169"/>
      <c r="AC110" s="915"/>
      <c r="AD110" s="915"/>
    </row>
    <row r="111" spans="1:30" s="709" customFormat="1" ht="21.95" customHeight="1">
      <c r="A111" s="1122"/>
      <c r="B111" s="675"/>
      <c r="C111" s="948"/>
      <c r="D111" s="675"/>
      <c r="E111" s="948" t="s">
        <v>2998</v>
      </c>
      <c r="F111" s="678">
        <f>Y111</f>
        <v>2500</v>
      </c>
      <c r="G111" s="678">
        <v>2500</v>
      </c>
      <c r="H111" s="1239"/>
      <c r="I111" s="734"/>
      <c r="J111" s="866" t="s">
        <v>2985</v>
      </c>
      <c r="K111" s="1702"/>
      <c r="L111" s="1702"/>
      <c r="M111" s="1702"/>
      <c r="N111" s="1702"/>
      <c r="O111" s="1702"/>
      <c r="P111" s="1702"/>
      <c r="Q111" s="735"/>
      <c r="R111" s="736"/>
      <c r="S111" s="728"/>
      <c r="T111" s="729"/>
      <c r="V111" s="730"/>
      <c r="W111" s="729"/>
      <c r="X111" s="731"/>
      <c r="Y111" s="3110">
        <f>SUM(Y112:Y113)</f>
        <v>2500</v>
      </c>
      <c r="Z111" s="915"/>
      <c r="AA111" s="915"/>
      <c r="AB111" s="1169"/>
      <c r="AC111" s="915"/>
      <c r="AD111" s="915"/>
    </row>
    <row r="112" spans="1:30" s="709" customFormat="1" ht="21.95" customHeight="1">
      <c r="A112" s="1122"/>
      <c r="B112" s="675"/>
      <c r="C112" s="948"/>
      <c r="D112" s="675"/>
      <c r="E112" s="948"/>
      <c r="F112" s="678"/>
      <c r="G112" s="678"/>
      <c r="H112" s="1190"/>
      <c r="I112" s="734"/>
      <c r="J112" s="866" t="s">
        <v>3221</v>
      </c>
      <c r="K112" s="1702"/>
      <c r="L112" s="1702"/>
      <c r="M112" s="1702"/>
      <c r="N112" s="1702"/>
      <c r="O112" s="1702"/>
      <c r="P112" s="1702"/>
      <c r="Q112" s="735">
        <v>10</v>
      </c>
      <c r="R112" s="736" t="s">
        <v>3195</v>
      </c>
      <c r="S112" s="728">
        <v>20000</v>
      </c>
      <c r="T112" s="729" t="s">
        <v>2784</v>
      </c>
      <c r="V112" s="730">
        <v>5</v>
      </c>
      <c r="W112" s="729" t="s">
        <v>2988</v>
      </c>
      <c r="X112" s="731" t="s">
        <v>2785</v>
      </c>
      <c r="Y112" s="3110">
        <f>Q112*S112*V112/1000</f>
        <v>1000</v>
      </c>
      <c r="Z112" s="915"/>
      <c r="AA112" s="915"/>
      <c r="AB112" s="1169"/>
      <c r="AC112" s="915"/>
      <c r="AD112" s="915"/>
    </row>
    <row r="113" spans="1:30" s="709" customFormat="1" ht="21.95" customHeight="1">
      <c r="A113" s="1122"/>
      <c r="B113" s="675"/>
      <c r="C113" s="948"/>
      <c r="D113" s="970"/>
      <c r="E113" s="1954"/>
      <c r="F113" s="970"/>
      <c r="G113" s="970"/>
      <c r="H113" s="1208"/>
      <c r="I113" s="734"/>
      <c r="J113" s="791" t="s">
        <v>3222</v>
      </c>
      <c r="Q113" s="735">
        <v>15</v>
      </c>
      <c r="R113" s="736" t="s">
        <v>3155</v>
      </c>
      <c r="S113" s="728">
        <v>20000</v>
      </c>
      <c r="T113" s="729" t="s">
        <v>2702</v>
      </c>
      <c r="V113" s="730">
        <v>5</v>
      </c>
      <c r="W113" s="729" t="s">
        <v>2703</v>
      </c>
      <c r="X113" s="731" t="s">
        <v>2675</v>
      </c>
      <c r="Y113" s="3110">
        <f>Q113*S113*V113/1000</f>
        <v>1500</v>
      </c>
      <c r="Z113" s="915"/>
      <c r="AA113" s="915"/>
      <c r="AB113" s="1169"/>
      <c r="AC113" s="915"/>
      <c r="AD113" s="915"/>
    </row>
    <row r="114" spans="1:30" s="709" customFormat="1" ht="21.95" customHeight="1">
      <c r="A114" s="1122"/>
      <c r="B114" s="675"/>
      <c r="C114" s="948"/>
      <c r="D114" s="3955" t="s">
        <v>3223</v>
      </c>
      <c r="E114" s="3883"/>
      <c r="F114" s="1198">
        <f>SUM(F115)</f>
        <v>6000</v>
      </c>
      <c r="G114" s="1198">
        <f>G115</f>
        <v>6000</v>
      </c>
      <c r="H114" s="933">
        <f>F114-G114</f>
        <v>0</v>
      </c>
      <c r="I114" s="734"/>
      <c r="J114" s="1209"/>
      <c r="K114" s="1957"/>
      <c r="L114" s="1957"/>
      <c r="M114" s="1957"/>
      <c r="N114" s="1957"/>
      <c r="O114" s="1957"/>
      <c r="P114" s="1957"/>
      <c r="Q114" s="1119"/>
      <c r="R114" s="1075"/>
      <c r="S114" s="1210"/>
      <c r="T114" s="1060"/>
      <c r="U114" s="1957"/>
      <c r="V114" s="1063"/>
      <c r="W114" s="1060"/>
      <c r="X114" s="1973"/>
      <c r="Y114" s="1105"/>
      <c r="Z114" s="915"/>
      <c r="AA114" s="915"/>
      <c r="AB114" s="1169"/>
      <c r="AC114" s="915"/>
      <c r="AD114" s="915"/>
    </row>
    <row r="115" spans="1:30" s="709" customFormat="1" ht="21.95" customHeight="1">
      <c r="A115" s="1122"/>
      <c r="B115" s="675"/>
      <c r="C115" s="948"/>
      <c r="D115" s="692"/>
      <c r="E115" s="1034" t="s">
        <v>3224</v>
      </c>
      <c r="F115" s="1198">
        <f>Y115</f>
        <v>6000</v>
      </c>
      <c r="G115" s="1198">
        <v>6000</v>
      </c>
      <c r="H115" s="942"/>
      <c r="I115" s="734"/>
      <c r="J115" s="856" t="s">
        <v>3225</v>
      </c>
      <c r="K115" s="1035"/>
      <c r="L115" s="1035"/>
      <c r="M115" s="1035"/>
      <c r="N115" s="1035"/>
      <c r="O115" s="1035"/>
      <c r="P115" s="1035"/>
      <c r="Q115" s="1193"/>
      <c r="R115" s="1194"/>
      <c r="S115" s="1195"/>
      <c r="T115" s="1126"/>
      <c r="U115" s="1035"/>
      <c r="V115" s="1129"/>
      <c r="W115" s="1126"/>
      <c r="X115" s="1196"/>
      <c r="Y115" s="3110">
        <f>SUM(Y116:Y117)</f>
        <v>6000</v>
      </c>
      <c r="Z115" s="915"/>
      <c r="AA115" s="915"/>
      <c r="AB115" s="1169"/>
      <c r="AC115" s="915"/>
      <c r="AD115" s="915"/>
    </row>
    <row r="116" spans="1:30" s="1183" customFormat="1" ht="21.95" customHeight="1">
      <c r="A116" s="1122"/>
      <c r="B116" s="675"/>
      <c r="C116" s="948"/>
      <c r="D116" s="1981"/>
      <c r="E116" s="675"/>
      <c r="F116" s="678"/>
      <c r="G116" s="678"/>
      <c r="H116" s="1190"/>
      <c r="I116" s="734"/>
      <c r="J116" s="866" t="s">
        <v>3226</v>
      </c>
      <c r="K116" s="709"/>
      <c r="L116" s="709"/>
      <c r="M116" s="709"/>
      <c r="N116" s="709"/>
      <c r="O116" s="709"/>
      <c r="P116" s="709"/>
      <c r="Q116" s="735"/>
      <c r="R116" s="736"/>
      <c r="S116" s="728">
        <v>1000000</v>
      </c>
      <c r="T116" s="729" t="s">
        <v>2702</v>
      </c>
      <c r="U116" s="709"/>
      <c r="V116" s="729">
        <v>5</v>
      </c>
      <c r="W116" s="917" t="s">
        <v>3061</v>
      </c>
      <c r="X116" s="1211" t="s">
        <v>2675</v>
      </c>
      <c r="Y116" s="3110">
        <f>S116*V116/1000</f>
        <v>5000</v>
      </c>
      <c r="Z116" s="1181"/>
      <c r="AA116" s="915"/>
      <c r="AB116" s="1182"/>
      <c r="AC116" s="1181"/>
      <c r="AD116" s="1181"/>
    </row>
    <row r="117" spans="1:30" s="1183" customFormat="1" ht="21.95" customHeight="1" thickBot="1">
      <c r="A117" s="1122"/>
      <c r="B117" s="675"/>
      <c r="C117" s="1212"/>
      <c r="D117" s="1039"/>
      <c r="E117" s="1039"/>
      <c r="F117" s="1213"/>
      <c r="G117" s="1213"/>
      <c r="H117" s="1214"/>
      <c r="I117" s="1172"/>
      <c r="J117" s="1215" t="s">
        <v>3227</v>
      </c>
      <c r="K117" s="1023"/>
      <c r="L117" s="1023"/>
      <c r="M117" s="1023"/>
      <c r="N117" s="1023"/>
      <c r="O117" s="1023"/>
      <c r="P117" s="1023"/>
      <c r="Q117" s="1216"/>
      <c r="R117" s="1217"/>
      <c r="S117" s="1218">
        <v>1000000</v>
      </c>
      <c r="T117" s="1023" t="s">
        <v>3228</v>
      </c>
      <c r="U117" s="1023"/>
      <c r="V117" s="1219">
        <v>1</v>
      </c>
      <c r="W117" s="1023" t="s">
        <v>2703</v>
      </c>
      <c r="X117" s="1220" t="s">
        <v>2675</v>
      </c>
      <c r="Y117" s="3110">
        <f>S117*V117/1000</f>
        <v>1000</v>
      </c>
      <c r="Z117" s="1181"/>
      <c r="AA117" s="915"/>
      <c r="AB117" s="1181"/>
      <c r="AC117" s="1181"/>
      <c r="AD117" s="1181"/>
    </row>
    <row r="118" spans="1:30" s="715" customFormat="1" ht="21.95" customHeight="1" thickBot="1">
      <c r="A118" s="1122"/>
      <c r="B118" s="675"/>
      <c r="C118" s="4019" t="s">
        <v>3229</v>
      </c>
      <c r="D118" s="4020"/>
      <c r="E118" s="4021"/>
      <c r="F118" s="1221">
        <f>+F119+F156+F188+F292+F280+F301+F352+F341</f>
        <v>1090000</v>
      </c>
      <c r="G118" s="1221">
        <f>+G119+G156+G188+G292+G280+G301+G352+G341</f>
        <v>1054000</v>
      </c>
      <c r="H118" s="1222">
        <f>+F118-G118</f>
        <v>36000</v>
      </c>
      <c r="I118" s="1172"/>
      <c r="J118" s="1223"/>
      <c r="K118" s="1224"/>
      <c r="L118" s="1224"/>
      <c r="M118" s="1224"/>
      <c r="N118" s="1224"/>
      <c r="O118" s="1224"/>
      <c r="P118" s="1224"/>
      <c r="Q118" s="1225"/>
      <c r="R118" s="1226"/>
      <c r="S118" s="1227"/>
      <c r="T118" s="1228"/>
      <c r="U118" s="1228"/>
      <c r="V118" s="1227"/>
      <c r="W118" s="1228"/>
      <c r="X118" s="1229"/>
      <c r="Y118" s="1230"/>
      <c r="Z118" s="713"/>
      <c r="AA118" s="713"/>
      <c r="AB118" s="713"/>
      <c r="AC118" s="713"/>
      <c r="AD118" s="713"/>
    </row>
    <row r="119" spans="1:30" s="715" customFormat="1" ht="21.95" customHeight="1">
      <c r="A119" s="1122"/>
      <c r="B119" s="675"/>
      <c r="C119" s="1975" t="s">
        <v>3230</v>
      </c>
      <c r="D119" s="1975"/>
      <c r="E119" s="1975"/>
      <c r="F119" s="697">
        <f>+F121+F137+F120</f>
        <v>49000</v>
      </c>
      <c r="G119" s="697">
        <f>+G121+G137+G120</f>
        <v>49000</v>
      </c>
      <c r="H119" s="933">
        <f>F119-G119</f>
        <v>0</v>
      </c>
      <c r="I119" s="734"/>
      <c r="J119" s="1115"/>
      <c r="K119" s="1231"/>
      <c r="L119" s="1231"/>
      <c r="M119" s="1231"/>
      <c r="N119" s="1231"/>
      <c r="O119" s="1231"/>
      <c r="P119" s="1231"/>
      <c r="Q119" s="1232"/>
      <c r="R119" s="1231"/>
      <c r="S119" s="1231"/>
      <c r="T119" s="1231"/>
      <c r="U119" s="1231"/>
      <c r="V119" s="1231"/>
      <c r="W119" s="1231"/>
      <c r="X119" s="1976"/>
      <c r="Y119" s="929"/>
      <c r="Z119" s="713"/>
      <c r="AA119" s="713"/>
      <c r="AB119" s="713"/>
      <c r="AC119" s="713"/>
      <c r="AD119" s="713"/>
    </row>
    <row r="120" spans="1:30" s="715" customFormat="1" ht="21.95" customHeight="1">
      <c r="A120" s="1122"/>
      <c r="B120" s="675"/>
      <c r="C120" s="709"/>
      <c r="D120" s="3840" t="s">
        <v>3231</v>
      </c>
      <c r="E120" s="3904"/>
      <c r="F120" s="1192">
        <v>0</v>
      </c>
      <c r="G120" s="1192">
        <v>0</v>
      </c>
      <c r="H120" s="933">
        <f>F120-G120</f>
        <v>0</v>
      </c>
      <c r="I120" s="734"/>
      <c r="J120" s="1233"/>
      <c r="K120" s="1973"/>
      <c r="L120" s="1973"/>
      <c r="M120" s="1973"/>
      <c r="N120" s="1973"/>
      <c r="O120" s="1973"/>
      <c r="P120" s="1033"/>
      <c r="Q120" s="1973"/>
      <c r="R120" s="1033"/>
      <c r="S120" s="1973"/>
      <c r="T120" s="1033"/>
      <c r="U120" s="1973"/>
      <c r="V120" s="1033"/>
      <c r="W120" s="1973"/>
      <c r="X120" s="1973"/>
      <c r="Y120" s="940"/>
      <c r="Z120" s="713"/>
      <c r="AA120" s="713"/>
      <c r="AB120" s="713"/>
      <c r="AC120" s="713"/>
      <c r="AD120" s="713"/>
    </row>
    <row r="121" spans="1:30" s="715" customFormat="1" ht="21.95" customHeight="1">
      <c r="A121" s="1122"/>
      <c r="B121" s="675"/>
      <c r="C121" s="709"/>
      <c r="D121" s="4047" t="s">
        <v>3232</v>
      </c>
      <c r="E121" s="4048"/>
      <c r="F121" s="697">
        <f>SUM(F122:F131)</f>
        <v>24000</v>
      </c>
      <c r="G121" s="2040">
        <f>SUM(G122:G136)</f>
        <v>24000</v>
      </c>
      <c r="H121" s="1208">
        <f>F121-G121</f>
        <v>0</v>
      </c>
      <c r="I121" s="734"/>
      <c r="J121" s="1234"/>
      <c r="K121" s="1976"/>
      <c r="L121" s="1976"/>
      <c r="M121" s="1976"/>
      <c r="N121" s="1976"/>
      <c r="O121" s="1976"/>
      <c r="P121" s="988"/>
      <c r="Q121" s="1976"/>
      <c r="R121" s="988"/>
      <c r="S121" s="1976"/>
      <c r="T121" s="988"/>
      <c r="U121" s="1976"/>
      <c r="V121" s="988"/>
      <c r="W121" s="1976"/>
      <c r="X121" s="1976"/>
      <c r="Y121" s="929"/>
      <c r="Z121" s="713"/>
      <c r="AA121" s="713"/>
      <c r="AB121" s="713"/>
      <c r="AC121" s="713"/>
      <c r="AD121" s="713"/>
    </row>
    <row r="122" spans="1:30" s="715" customFormat="1" ht="21.95" customHeight="1">
      <c r="A122" s="1122"/>
      <c r="B122" s="675"/>
      <c r="C122" s="709"/>
      <c r="D122" s="692"/>
      <c r="E122" s="692" t="s">
        <v>3030</v>
      </c>
      <c r="F122" s="678">
        <f>Y122</f>
        <v>800</v>
      </c>
      <c r="G122" s="678">
        <v>800</v>
      </c>
      <c r="H122" s="733"/>
      <c r="I122" s="734"/>
      <c r="J122" s="673" t="s">
        <v>3233</v>
      </c>
      <c r="K122" s="1702"/>
      <c r="L122" s="1702"/>
      <c r="M122" s="1702"/>
      <c r="N122" s="1702"/>
      <c r="O122" s="1702"/>
      <c r="P122" s="1702"/>
      <c r="Q122" s="735"/>
      <c r="R122" s="736"/>
      <c r="S122" s="728">
        <v>8000</v>
      </c>
      <c r="T122" s="729" t="s">
        <v>3228</v>
      </c>
      <c r="U122" s="709"/>
      <c r="V122" s="730">
        <v>100</v>
      </c>
      <c r="W122" s="729" t="s">
        <v>3234</v>
      </c>
      <c r="X122" s="731" t="s">
        <v>3153</v>
      </c>
      <c r="Y122" s="3110">
        <f>S122*V122/1000</f>
        <v>800</v>
      </c>
      <c r="Z122" s="713"/>
      <c r="AA122" s="713"/>
      <c r="AB122" s="713"/>
      <c r="AC122" s="713"/>
      <c r="AD122" s="713"/>
    </row>
    <row r="123" spans="1:30" s="715" customFormat="1" ht="21.95" customHeight="1">
      <c r="A123" s="673"/>
      <c r="B123" s="674"/>
      <c r="C123" s="709"/>
      <c r="D123" s="692"/>
      <c r="E123" s="692" t="s">
        <v>3081</v>
      </c>
      <c r="F123" s="678">
        <f>Y123</f>
        <v>17000</v>
      </c>
      <c r="G123" s="678">
        <v>17000</v>
      </c>
      <c r="H123" s="733"/>
      <c r="I123" s="734"/>
      <c r="J123" s="673" t="s">
        <v>2695</v>
      </c>
      <c r="K123" s="1702"/>
      <c r="L123" s="1702"/>
      <c r="M123" s="1702"/>
      <c r="N123" s="1702"/>
      <c r="O123" s="1702"/>
      <c r="P123" s="1702"/>
      <c r="Q123" s="735"/>
      <c r="R123" s="736"/>
      <c r="S123" s="728"/>
      <c r="T123" s="729"/>
      <c r="U123" s="709"/>
      <c r="V123" s="730"/>
      <c r="W123" s="729"/>
      <c r="X123" s="731"/>
      <c r="Y123" s="3110">
        <f>SUM(Y124:Y126)</f>
        <v>17000</v>
      </c>
      <c r="Z123" s="713"/>
      <c r="AA123" s="713"/>
      <c r="AB123" s="713"/>
      <c r="AC123" s="713"/>
      <c r="AD123" s="713"/>
    </row>
    <row r="124" spans="1:30" s="715" customFormat="1" ht="21.95" customHeight="1">
      <c r="A124" s="673"/>
      <c r="B124" s="674"/>
      <c r="C124" s="709"/>
      <c r="D124" s="692"/>
      <c r="E124" s="692"/>
      <c r="F124" s="678"/>
      <c r="G124" s="678"/>
      <c r="H124" s="733"/>
      <c r="I124" s="734"/>
      <c r="J124" s="673" t="s">
        <v>3235</v>
      </c>
      <c r="K124" s="1702"/>
      <c r="L124" s="1702"/>
      <c r="M124" s="1702"/>
      <c r="N124" s="1702"/>
      <c r="O124" s="1702"/>
      <c r="P124" s="1702"/>
      <c r="Q124" s="735"/>
      <c r="R124" s="736"/>
      <c r="S124" s="728">
        <v>6500000</v>
      </c>
      <c r="T124" s="729" t="s">
        <v>3228</v>
      </c>
      <c r="U124" s="709"/>
      <c r="V124" s="730">
        <v>2</v>
      </c>
      <c r="W124" s="729" t="s">
        <v>2703</v>
      </c>
      <c r="X124" s="731" t="s">
        <v>2675</v>
      </c>
      <c r="Y124" s="3110">
        <f>S124*V124/1000</f>
        <v>13000</v>
      </c>
      <c r="Z124" s="713"/>
      <c r="AA124" s="713"/>
      <c r="AB124" s="713"/>
      <c r="AC124" s="713"/>
      <c r="AD124" s="713"/>
    </row>
    <row r="125" spans="1:30" s="715" customFormat="1" ht="21.95" customHeight="1">
      <c r="A125" s="673"/>
      <c r="B125" s="674"/>
      <c r="C125" s="709"/>
      <c r="D125" s="692"/>
      <c r="E125" s="692"/>
      <c r="F125" s="678"/>
      <c r="G125" s="678"/>
      <c r="H125" s="733"/>
      <c r="I125" s="734"/>
      <c r="J125" s="673" t="s">
        <v>3236</v>
      </c>
      <c r="K125" s="1702"/>
      <c r="L125" s="1702"/>
      <c r="M125" s="1702"/>
      <c r="N125" s="1702"/>
      <c r="O125" s="1702"/>
      <c r="P125" s="1702"/>
      <c r="Q125" s="735">
        <v>10</v>
      </c>
      <c r="R125" s="736" t="s">
        <v>3155</v>
      </c>
      <c r="S125" s="728">
        <v>100000</v>
      </c>
      <c r="T125" s="729" t="s">
        <v>3228</v>
      </c>
      <c r="U125" s="709"/>
      <c r="V125" s="730">
        <v>3</v>
      </c>
      <c r="W125" s="729" t="s">
        <v>3237</v>
      </c>
      <c r="X125" s="731" t="s">
        <v>2675</v>
      </c>
      <c r="Y125" s="3110">
        <f>Q125*S125*V125/1000</f>
        <v>3000</v>
      </c>
      <c r="Z125" s="713"/>
      <c r="AA125" s="713"/>
      <c r="AB125" s="713"/>
      <c r="AC125" s="713"/>
      <c r="AD125" s="713"/>
    </row>
    <row r="126" spans="1:30" s="715" customFormat="1" ht="21.95" customHeight="1">
      <c r="A126" s="673"/>
      <c r="B126" s="674"/>
      <c r="C126" s="709"/>
      <c r="D126" s="692"/>
      <c r="E126" s="692"/>
      <c r="F126" s="678"/>
      <c r="G126" s="678"/>
      <c r="H126" s="733"/>
      <c r="I126" s="734"/>
      <c r="J126" s="673" t="s">
        <v>3238</v>
      </c>
      <c r="K126" s="1702"/>
      <c r="L126" s="1702"/>
      <c r="M126" s="1702"/>
      <c r="N126" s="1702"/>
      <c r="O126" s="1702"/>
      <c r="P126" s="1702"/>
      <c r="Q126" s="735"/>
      <c r="R126" s="736"/>
      <c r="S126" s="728">
        <v>100000</v>
      </c>
      <c r="T126" s="729" t="s">
        <v>3228</v>
      </c>
      <c r="U126" s="709"/>
      <c r="V126" s="730">
        <v>10</v>
      </c>
      <c r="W126" s="729" t="s">
        <v>2703</v>
      </c>
      <c r="X126" s="731" t="s">
        <v>2675</v>
      </c>
      <c r="Y126" s="3110">
        <f>S126*V126/1000</f>
        <v>1000</v>
      </c>
      <c r="Z126" s="713"/>
      <c r="AA126" s="713"/>
      <c r="AB126" s="713"/>
      <c r="AC126" s="713"/>
      <c r="AD126" s="713"/>
    </row>
    <row r="127" spans="1:30" s="715" customFormat="1" ht="21.95" customHeight="1">
      <c r="A127" s="673"/>
      <c r="B127" s="674"/>
      <c r="C127" s="709"/>
      <c r="D127" s="692"/>
      <c r="E127" s="692" t="s">
        <v>2694</v>
      </c>
      <c r="F127" s="678">
        <f>Y127</f>
        <v>2000</v>
      </c>
      <c r="G127" s="678">
        <v>2000</v>
      </c>
      <c r="H127" s="733"/>
      <c r="I127" s="734"/>
      <c r="J127" s="1701" t="s">
        <v>2695</v>
      </c>
      <c r="K127" s="1702"/>
      <c r="L127" s="1702"/>
      <c r="M127" s="1702"/>
      <c r="N127" s="1702"/>
      <c r="O127" s="1702"/>
      <c r="P127" s="1702"/>
      <c r="Q127" s="735"/>
      <c r="R127" s="736"/>
      <c r="S127" s="728"/>
      <c r="T127" s="729"/>
      <c r="U127" s="709"/>
      <c r="V127" s="730"/>
      <c r="W127" s="729"/>
      <c r="X127" s="731"/>
      <c r="Y127" s="3110">
        <f>SUM(Y128:Y129)</f>
        <v>2000</v>
      </c>
      <c r="Z127" s="713"/>
      <c r="AA127" s="713"/>
      <c r="AB127" s="713"/>
      <c r="AC127" s="713"/>
      <c r="AD127" s="713"/>
    </row>
    <row r="128" spans="1:30" s="715" customFormat="1" ht="21.95" customHeight="1">
      <c r="A128" s="673"/>
      <c r="B128" s="674"/>
      <c r="C128" s="709"/>
      <c r="D128" s="692"/>
      <c r="E128" s="692"/>
      <c r="F128" s="678"/>
      <c r="G128" s="678"/>
      <c r="H128" s="733"/>
      <c r="I128" s="734"/>
      <c r="J128" s="673" t="s">
        <v>3239</v>
      </c>
      <c r="K128" s="1702"/>
      <c r="L128" s="1702"/>
      <c r="M128" s="1702"/>
      <c r="N128" s="1702"/>
      <c r="O128" s="1702"/>
      <c r="P128" s="1702"/>
      <c r="Q128" s="735"/>
      <c r="R128" s="736"/>
      <c r="S128" s="728">
        <v>200000</v>
      </c>
      <c r="T128" s="729" t="s">
        <v>3228</v>
      </c>
      <c r="U128" s="709"/>
      <c r="V128" s="735">
        <v>4</v>
      </c>
      <c r="W128" s="729" t="s">
        <v>3240</v>
      </c>
      <c r="X128" s="731" t="s">
        <v>3153</v>
      </c>
      <c r="Y128" s="3110">
        <f>S128*V128/1000</f>
        <v>800</v>
      </c>
      <c r="Z128" s="713"/>
      <c r="AA128" s="713"/>
      <c r="AB128" s="713"/>
      <c r="AC128" s="713"/>
      <c r="AD128" s="713"/>
    </row>
    <row r="129" spans="1:30" s="715" customFormat="1" ht="21.95" customHeight="1">
      <c r="A129" s="673"/>
      <c r="B129" s="674"/>
      <c r="C129" s="709"/>
      <c r="D129" s="692"/>
      <c r="E129" s="692"/>
      <c r="F129" s="678"/>
      <c r="G129" s="678"/>
      <c r="H129" s="733"/>
      <c r="I129" s="734"/>
      <c r="J129" s="673" t="s">
        <v>3241</v>
      </c>
      <c r="K129" s="1702"/>
      <c r="L129" s="1702"/>
      <c r="M129" s="1702"/>
      <c r="N129" s="1702"/>
      <c r="O129" s="1702"/>
      <c r="P129" s="1702"/>
      <c r="Q129" s="735"/>
      <c r="R129" s="736"/>
      <c r="S129" s="728">
        <v>300000</v>
      </c>
      <c r="T129" s="729" t="s">
        <v>3228</v>
      </c>
      <c r="U129" s="709"/>
      <c r="V129" s="735">
        <v>4</v>
      </c>
      <c r="W129" s="729" t="s">
        <v>3240</v>
      </c>
      <c r="X129" s="731" t="s">
        <v>3153</v>
      </c>
      <c r="Y129" s="3110">
        <f>S129*V129/1000</f>
        <v>1200</v>
      </c>
      <c r="Z129" s="713"/>
      <c r="AA129" s="713"/>
      <c r="AB129" s="713"/>
      <c r="AC129" s="713"/>
      <c r="AD129" s="713"/>
    </row>
    <row r="130" spans="1:30" s="715" customFormat="1" ht="21.95" customHeight="1">
      <c r="A130" s="673"/>
      <c r="B130" s="674"/>
      <c r="C130" s="709"/>
      <c r="D130" s="692"/>
      <c r="E130" s="692" t="s">
        <v>3183</v>
      </c>
      <c r="F130" s="678">
        <v>500</v>
      </c>
      <c r="G130" s="678">
        <v>500</v>
      </c>
      <c r="H130" s="733"/>
      <c r="I130" s="734"/>
      <c r="J130" s="673" t="s">
        <v>3242</v>
      </c>
      <c r="K130" s="1702"/>
      <c r="L130" s="1702"/>
      <c r="M130" s="1702"/>
      <c r="N130" s="1702"/>
      <c r="O130" s="1702"/>
      <c r="P130" s="1702"/>
      <c r="Q130" s="735"/>
      <c r="R130" s="736"/>
      <c r="S130" s="728">
        <v>500000</v>
      </c>
      <c r="T130" s="729" t="s">
        <v>3228</v>
      </c>
      <c r="U130" s="709"/>
      <c r="V130" s="735">
        <v>1</v>
      </c>
      <c r="W130" s="729" t="s">
        <v>2705</v>
      </c>
      <c r="X130" s="731" t="s">
        <v>2675</v>
      </c>
      <c r="Y130" s="3110">
        <v>500</v>
      </c>
      <c r="Z130" s="713"/>
      <c r="AA130" s="713"/>
      <c r="AB130" s="713"/>
      <c r="AC130" s="713"/>
      <c r="AD130" s="713"/>
    </row>
    <row r="131" spans="1:30" s="715" customFormat="1" ht="21.95" customHeight="1">
      <c r="A131" s="673"/>
      <c r="B131" s="674"/>
      <c r="C131" s="709"/>
      <c r="D131" s="692"/>
      <c r="E131" s="692" t="s">
        <v>2767</v>
      </c>
      <c r="F131" s="678">
        <f>Y131</f>
        <v>3700</v>
      </c>
      <c r="G131" s="678">
        <v>3700</v>
      </c>
      <c r="H131" s="733"/>
      <c r="I131" s="734"/>
      <c r="J131" s="673" t="s">
        <v>2695</v>
      </c>
      <c r="K131" s="1702"/>
      <c r="L131" s="1702"/>
      <c r="M131" s="1702"/>
      <c r="N131" s="1702"/>
      <c r="O131" s="1702"/>
      <c r="P131" s="1702"/>
      <c r="Q131" s="735"/>
      <c r="R131" s="736"/>
      <c r="S131" s="728"/>
      <c r="T131" s="729"/>
      <c r="U131" s="709"/>
      <c r="V131" s="730"/>
      <c r="W131" s="729"/>
      <c r="X131" s="731"/>
      <c r="Y131" s="3110">
        <f>SUM(Y132:Y136)</f>
        <v>3700</v>
      </c>
      <c r="Z131" s="713"/>
      <c r="AA131" s="713"/>
      <c r="AB131" s="713"/>
      <c r="AC131" s="713"/>
      <c r="AD131" s="713"/>
    </row>
    <row r="132" spans="1:30" s="715" customFormat="1" ht="22.5" customHeight="1">
      <c r="A132" s="673"/>
      <c r="B132" s="674"/>
      <c r="C132" s="709"/>
      <c r="D132" s="692"/>
      <c r="E132" s="692"/>
      <c r="F132" s="678"/>
      <c r="G132" s="678"/>
      <c r="H132" s="733"/>
      <c r="I132" s="734"/>
      <c r="J132" s="673" t="s">
        <v>3243</v>
      </c>
      <c r="K132" s="1702"/>
      <c r="L132" s="1702"/>
      <c r="M132" s="1702"/>
      <c r="N132" s="1702"/>
      <c r="O132" s="1702"/>
      <c r="P132" s="1702"/>
      <c r="Q132" s="735"/>
      <c r="R132" s="736"/>
      <c r="S132" s="728">
        <v>1000000</v>
      </c>
      <c r="T132" s="729" t="s">
        <v>3228</v>
      </c>
      <c r="U132" s="709"/>
      <c r="V132" s="730">
        <v>2</v>
      </c>
      <c r="W132" s="729" t="s">
        <v>2703</v>
      </c>
      <c r="X132" s="731" t="s">
        <v>2675</v>
      </c>
      <c r="Y132" s="3110">
        <f>S132*V132/1000</f>
        <v>2000</v>
      </c>
      <c r="Z132" s="713"/>
      <c r="AA132" s="713"/>
      <c r="AB132" s="713"/>
      <c r="AC132" s="713"/>
      <c r="AD132" s="713"/>
    </row>
    <row r="133" spans="1:30" s="715" customFormat="1" ht="22.5" customHeight="1">
      <c r="A133" s="673"/>
      <c r="B133" s="674"/>
      <c r="C133" s="709"/>
      <c r="D133" s="692"/>
      <c r="E133" s="692"/>
      <c r="F133" s="678"/>
      <c r="G133" s="678"/>
      <c r="H133" s="733"/>
      <c r="I133" s="734"/>
      <c r="J133" s="673" t="s">
        <v>3244</v>
      </c>
      <c r="K133" s="1702"/>
      <c r="L133" s="1702"/>
      <c r="M133" s="1702"/>
      <c r="N133" s="1702"/>
      <c r="O133" s="1702"/>
      <c r="P133" s="1702"/>
      <c r="Q133" s="735">
        <v>10</v>
      </c>
      <c r="R133" s="736" t="s">
        <v>3155</v>
      </c>
      <c r="S133" s="728">
        <v>10000</v>
      </c>
      <c r="T133" s="729" t="s">
        <v>3228</v>
      </c>
      <c r="U133" s="709"/>
      <c r="V133" s="730">
        <v>10</v>
      </c>
      <c r="W133" s="729" t="s">
        <v>2705</v>
      </c>
      <c r="X133" s="731" t="s">
        <v>2675</v>
      </c>
      <c r="Y133" s="3110">
        <f>Q133*S133*V133/1000</f>
        <v>1000</v>
      </c>
      <c r="Z133" s="713"/>
      <c r="AA133" s="713"/>
      <c r="AB133" s="713"/>
      <c r="AC133" s="713"/>
      <c r="AD133" s="713"/>
    </row>
    <row r="134" spans="1:30" s="715" customFormat="1" ht="22.5" customHeight="1">
      <c r="A134" s="673"/>
      <c r="B134" s="674"/>
      <c r="C134" s="709"/>
      <c r="D134" s="692"/>
      <c r="E134" s="675"/>
      <c r="F134" s="678"/>
      <c r="G134" s="678"/>
      <c r="H134" s="790"/>
      <c r="I134" s="920"/>
      <c r="J134" s="673" t="s">
        <v>3245</v>
      </c>
      <c r="K134" s="1702"/>
      <c r="L134" s="1702"/>
      <c r="M134" s="1702"/>
      <c r="N134" s="1702"/>
      <c r="O134" s="1702"/>
      <c r="P134" s="1702"/>
      <c r="Q134" s="735">
        <v>50</v>
      </c>
      <c r="R134" s="736" t="s">
        <v>3155</v>
      </c>
      <c r="S134" s="728">
        <v>2000</v>
      </c>
      <c r="T134" s="729" t="s">
        <v>3228</v>
      </c>
      <c r="U134" s="709"/>
      <c r="V134" s="730">
        <v>2</v>
      </c>
      <c r="W134" s="729" t="s">
        <v>3052</v>
      </c>
      <c r="X134" s="731" t="s">
        <v>2675</v>
      </c>
      <c r="Y134" s="3110">
        <f>Q134*S134*V134/1000</f>
        <v>200</v>
      </c>
      <c r="Z134" s="713"/>
      <c r="AA134" s="713"/>
      <c r="AB134" s="713"/>
      <c r="AC134" s="713"/>
      <c r="AD134" s="713"/>
    </row>
    <row r="135" spans="1:30" s="715" customFormat="1" ht="22.5" customHeight="1">
      <c r="A135" s="673"/>
      <c r="B135" s="674"/>
      <c r="C135" s="948"/>
      <c r="D135" s="675"/>
      <c r="E135" s="675"/>
      <c r="F135" s="678"/>
      <c r="G135" s="678"/>
      <c r="H135" s="790"/>
      <c r="I135" s="920"/>
      <c r="J135" s="673" t="s">
        <v>3246</v>
      </c>
      <c r="K135" s="1702"/>
      <c r="L135" s="1702"/>
      <c r="M135" s="1702"/>
      <c r="N135" s="1702"/>
      <c r="O135" s="1702"/>
      <c r="P135" s="1702"/>
      <c r="Q135" s="735"/>
      <c r="R135" s="736"/>
      <c r="S135" s="728">
        <v>250000</v>
      </c>
      <c r="T135" s="729" t="s">
        <v>3228</v>
      </c>
      <c r="U135" s="709"/>
      <c r="V135" s="730">
        <v>1</v>
      </c>
      <c r="W135" s="729" t="s">
        <v>2705</v>
      </c>
      <c r="X135" s="731" t="s">
        <v>2675</v>
      </c>
      <c r="Y135" s="3110">
        <f>S135*V135/1000</f>
        <v>250</v>
      </c>
      <c r="Z135" s="713"/>
      <c r="AA135" s="713"/>
      <c r="AB135" s="713"/>
      <c r="AC135" s="713"/>
      <c r="AD135" s="713"/>
    </row>
    <row r="136" spans="1:30" s="715" customFormat="1" ht="22.5" customHeight="1">
      <c r="A136" s="673"/>
      <c r="B136" s="674"/>
      <c r="C136" s="948"/>
      <c r="D136" s="970"/>
      <c r="E136" s="970"/>
      <c r="F136" s="697"/>
      <c r="G136" s="697"/>
      <c r="H136" s="737"/>
      <c r="I136" s="920"/>
      <c r="J136" s="1235" t="s">
        <v>3247</v>
      </c>
      <c r="K136" s="1704"/>
      <c r="L136" s="1704"/>
      <c r="M136" s="1704"/>
      <c r="N136" s="1704"/>
      <c r="O136" s="1704"/>
      <c r="P136" s="1704"/>
      <c r="Q136" s="1187"/>
      <c r="R136" s="1116"/>
      <c r="S136" s="1188">
        <v>250000</v>
      </c>
      <c r="T136" s="1090" t="s">
        <v>3228</v>
      </c>
      <c r="U136" s="1093"/>
      <c r="V136" s="1094">
        <v>1</v>
      </c>
      <c r="W136" s="1090" t="s">
        <v>2705</v>
      </c>
      <c r="X136" s="1976" t="s">
        <v>2675</v>
      </c>
      <c r="Y136" s="3110">
        <f>S136*V136/1000</f>
        <v>250</v>
      </c>
      <c r="Z136" s="713"/>
      <c r="AA136" s="713"/>
      <c r="AB136" s="713"/>
      <c r="AC136" s="713"/>
      <c r="AD136" s="713"/>
    </row>
    <row r="137" spans="1:30" s="715" customFormat="1" ht="22.5" customHeight="1">
      <c r="A137" s="673"/>
      <c r="B137" s="674"/>
      <c r="C137" s="709"/>
      <c r="D137" s="4047" t="s">
        <v>3248</v>
      </c>
      <c r="E137" s="4048"/>
      <c r="F137" s="697">
        <f>SUM(F138:F155)</f>
        <v>25000</v>
      </c>
      <c r="G137" s="2040">
        <f>SUM(G138:G155)</f>
        <v>25000</v>
      </c>
      <c r="H137" s="1208">
        <f>F137-G137</f>
        <v>0</v>
      </c>
      <c r="I137" s="734"/>
      <c r="J137" s="1234"/>
      <c r="K137" s="1976"/>
      <c r="L137" s="1976"/>
      <c r="M137" s="1976"/>
      <c r="N137" s="1976"/>
      <c r="O137" s="1976"/>
      <c r="P137" s="988"/>
      <c r="Q137" s="1976"/>
      <c r="R137" s="988"/>
      <c r="S137" s="1976"/>
      <c r="T137" s="988"/>
      <c r="U137" s="1976"/>
      <c r="V137" s="988"/>
      <c r="W137" s="1976"/>
      <c r="X137" s="1976"/>
      <c r="Y137" s="940"/>
      <c r="Z137" s="713"/>
      <c r="AA137" s="713"/>
      <c r="AB137" s="713"/>
      <c r="AC137" s="713"/>
      <c r="AD137" s="713"/>
    </row>
    <row r="138" spans="1:30" s="715" customFormat="1" ht="22.5" customHeight="1">
      <c r="A138" s="673"/>
      <c r="B138" s="674"/>
      <c r="C138" s="709"/>
      <c r="D138" s="1977"/>
      <c r="E138" s="692" t="s">
        <v>3030</v>
      </c>
      <c r="F138" s="678">
        <f>Y138</f>
        <v>11000</v>
      </c>
      <c r="G138" s="678">
        <v>11000</v>
      </c>
      <c r="H138" s="790"/>
      <c r="I138" s="734"/>
      <c r="J138" s="3233" t="s">
        <v>4223</v>
      </c>
      <c r="K138" s="731"/>
      <c r="L138" s="731"/>
      <c r="M138" s="731"/>
      <c r="N138" s="731"/>
      <c r="O138" s="731"/>
      <c r="P138" s="3266"/>
      <c r="Q138" s="731"/>
      <c r="R138" s="3266"/>
      <c r="S138" s="731"/>
      <c r="T138" s="3266"/>
      <c r="U138" s="731"/>
      <c r="V138" s="3266"/>
      <c r="W138" s="731"/>
      <c r="X138" s="731"/>
      <c r="Y138" s="3110">
        <f>SUM(Y139:Y140)</f>
        <v>11000</v>
      </c>
      <c r="Z138" s="713"/>
      <c r="AA138" s="713"/>
      <c r="AB138" s="713"/>
      <c r="AC138" s="713"/>
      <c r="AD138" s="713"/>
    </row>
    <row r="139" spans="1:30" s="715" customFormat="1" ht="22.5" customHeight="1">
      <c r="A139" s="673"/>
      <c r="B139" s="674"/>
      <c r="C139" s="709"/>
      <c r="D139" s="692"/>
      <c r="E139" s="692"/>
      <c r="F139" s="678"/>
      <c r="G139" s="678"/>
      <c r="H139" s="733"/>
      <c r="I139" s="734"/>
      <c r="J139" s="3233" t="s">
        <v>4317</v>
      </c>
      <c r="K139" s="3232"/>
      <c r="L139" s="3232"/>
      <c r="M139" s="3232"/>
      <c r="N139" s="3232"/>
      <c r="O139" s="3232"/>
      <c r="P139" s="3232"/>
      <c r="Q139" s="735"/>
      <c r="R139" s="736"/>
      <c r="S139" s="728">
        <v>10000000</v>
      </c>
      <c r="T139" s="729" t="s">
        <v>4318</v>
      </c>
      <c r="U139" s="3228"/>
      <c r="V139" s="730">
        <v>1</v>
      </c>
      <c r="W139" s="729" t="s">
        <v>4319</v>
      </c>
      <c r="X139" s="731" t="s">
        <v>4320</v>
      </c>
      <c r="Y139" s="3110">
        <f>S139*V139/1000</f>
        <v>10000</v>
      </c>
      <c r="Z139" s="713"/>
      <c r="AA139" s="713"/>
      <c r="AB139" s="713"/>
      <c r="AC139" s="713"/>
      <c r="AD139" s="713"/>
    </row>
    <row r="140" spans="1:30" s="715" customFormat="1" ht="22.5" customHeight="1">
      <c r="A140" s="673"/>
      <c r="B140" s="674"/>
      <c r="C140" s="709"/>
      <c r="D140" s="692"/>
      <c r="E140" s="692"/>
      <c r="F140" s="678"/>
      <c r="G140" s="678"/>
      <c r="H140" s="733"/>
      <c r="I140" s="734"/>
      <c r="J140" s="3233" t="s">
        <v>4321</v>
      </c>
      <c r="K140" s="3232"/>
      <c r="L140" s="3232"/>
      <c r="M140" s="3232"/>
      <c r="N140" s="3232"/>
      <c r="O140" s="3232"/>
      <c r="P140" s="3232"/>
      <c r="Q140" s="735"/>
      <c r="R140" s="736"/>
      <c r="S140" s="728">
        <v>10000</v>
      </c>
      <c r="T140" s="729" t="s">
        <v>4318</v>
      </c>
      <c r="U140" s="3228"/>
      <c r="V140" s="730">
        <v>100</v>
      </c>
      <c r="W140" s="729" t="s">
        <v>4322</v>
      </c>
      <c r="X140" s="731" t="s">
        <v>4320</v>
      </c>
      <c r="Y140" s="3110">
        <f>S140*V140/1000</f>
        <v>1000</v>
      </c>
      <c r="Z140" s="713"/>
      <c r="AA140" s="713"/>
      <c r="AB140" s="713"/>
      <c r="AC140" s="713"/>
      <c r="AD140" s="713"/>
    </row>
    <row r="141" spans="1:30" s="715" customFormat="1" ht="22.5" customHeight="1">
      <c r="A141" s="673"/>
      <c r="B141" s="674"/>
      <c r="C141" s="709"/>
      <c r="D141" s="692"/>
      <c r="E141" s="692" t="s">
        <v>3033</v>
      </c>
      <c r="F141" s="678">
        <f t="shared" ref="F141:F155" si="9">Y141</f>
        <v>1000</v>
      </c>
      <c r="G141" s="678">
        <v>1000</v>
      </c>
      <c r="H141" s="733"/>
      <c r="I141" s="734"/>
      <c r="J141" s="3233" t="s">
        <v>4323</v>
      </c>
      <c r="K141" s="3232"/>
      <c r="L141" s="3232"/>
      <c r="M141" s="3232"/>
      <c r="N141" s="3232"/>
      <c r="O141" s="3232"/>
      <c r="P141" s="3232"/>
      <c r="Q141" s="735"/>
      <c r="R141" s="736"/>
      <c r="S141" s="728">
        <v>1000000</v>
      </c>
      <c r="T141" s="729" t="s">
        <v>4318</v>
      </c>
      <c r="U141" s="3228"/>
      <c r="V141" s="730">
        <v>1</v>
      </c>
      <c r="W141" s="729" t="s">
        <v>4224</v>
      </c>
      <c r="X141" s="731" t="s">
        <v>4320</v>
      </c>
      <c r="Y141" s="3110">
        <f>S141*V141/1000</f>
        <v>1000</v>
      </c>
      <c r="Z141" s="713"/>
      <c r="AA141" s="713"/>
      <c r="AB141" s="713"/>
      <c r="AC141" s="713"/>
      <c r="AD141" s="713"/>
    </row>
    <row r="142" spans="1:30" s="715" customFormat="1" ht="22.5" customHeight="1">
      <c r="A142" s="673"/>
      <c r="B142" s="674"/>
      <c r="C142" s="709"/>
      <c r="D142" s="692"/>
      <c r="E142" s="692" t="s">
        <v>3081</v>
      </c>
      <c r="F142" s="678">
        <f t="shared" si="9"/>
        <v>3000</v>
      </c>
      <c r="G142" s="678">
        <v>3000</v>
      </c>
      <c r="H142" s="733"/>
      <c r="I142" s="734"/>
      <c r="J142" s="3233" t="s">
        <v>4223</v>
      </c>
      <c r="K142" s="3232"/>
      <c r="L142" s="3232"/>
      <c r="M142" s="3232"/>
      <c r="N142" s="3232"/>
      <c r="O142" s="3232"/>
      <c r="P142" s="3232"/>
      <c r="Q142" s="735"/>
      <c r="R142" s="736"/>
      <c r="S142" s="728"/>
      <c r="T142" s="729"/>
      <c r="U142" s="3228"/>
      <c r="V142" s="730"/>
      <c r="W142" s="729"/>
      <c r="X142" s="731"/>
      <c r="Y142" s="3110">
        <f>SUM(Y143:Y145)</f>
        <v>3000</v>
      </c>
      <c r="Z142" s="713"/>
      <c r="AA142" s="713"/>
      <c r="AB142" s="713"/>
      <c r="AC142" s="713"/>
      <c r="AD142" s="713"/>
    </row>
    <row r="143" spans="1:30" s="715" customFormat="1" ht="22.5" customHeight="1">
      <c r="A143" s="673"/>
      <c r="B143" s="674"/>
      <c r="C143" s="709"/>
      <c r="D143" s="692"/>
      <c r="E143" s="692"/>
      <c r="F143" s="678"/>
      <c r="G143" s="678"/>
      <c r="H143" s="733"/>
      <c r="I143" s="734"/>
      <c r="J143" s="3233" t="s">
        <v>4324</v>
      </c>
      <c r="K143" s="3232"/>
      <c r="L143" s="3232"/>
      <c r="M143" s="3232"/>
      <c r="N143" s="3232"/>
      <c r="O143" s="3232"/>
      <c r="P143" s="3232"/>
      <c r="Q143" s="735"/>
      <c r="R143" s="736"/>
      <c r="S143" s="728">
        <v>1000000</v>
      </c>
      <c r="T143" s="729" t="s">
        <v>4318</v>
      </c>
      <c r="U143" s="3228"/>
      <c r="V143" s="730">
        <v>1</v>
      </c>
      <c r="W143" s="729" t="s">
        <v>4222</v>
      </c>
      <c r="X143" s="731" t="s">
        <v>4221</v>
      </c>
      <c r="Y143" s="3110">
        <f>S143*V143/1000</f>
        <v>1000</v>
      </c>
      <c r="Z143" s="713"/>
      <c r="AA143" s="713"/>
      <c r="AB143" s="713"/>
      <c r="AC143" s="713"/>
      <c r="AD143" s="713"/>
    </row>
    <row r="144" spans="1:30" s="715" customFormat="1" ht="22.5" customHeight="1">
      <c r="A144" s="673"/>
      <c r="B144" s="674"/>
      <c r="C144" s="709"/>
      <c r="D144" s="692"/>
      <c r="E144" s="692"/>
      <c r="F144" s="678"/>
      <c r="G144" s="678"/>
      <c r="H144" s="733"/>
      <c r="I144" s="734"/>
      <c r="J144" s="3233" t="s">
        <v>4238</v>
      </c>
      <c r="K144" s="3232"/>
      <c r="L144" s="3232"/>
      <c r="M144" s="3232"/>
      <c r="N144" s="3232"/>
      <c r="O144" s="3232"/>
      <c r="P144" s="3232"/>
      <c r="Q144" s="735"/>
      <c r="R144" s="736"/>
      <c r="S144" s="728">
        <v>1000000</v>
      </c>
      <c r="T144" s="729" t="s">
        <v>4318</v>
      </c>
      <c r="U144" s="3228"/>
      <c r="V144" s="730">
        <v>1</v>
      </c>
      <c r="W144" s="729" t="s">
        <v>4224</v>
      </c>
      <c r="X144" s="731" t="s">
        <v>4221</v>
      </c>
      <c r="Y144" s="3110">
        <f t="shared" ref="Y144:Y148" si="10">S144*V144/1000</f>
        <v>1000</v>
      </c>
      <c r="Z144" s="713"/>
      <c r="AA144" s="713"/>
      <c r="AB144" s="713"/>
      <c r="AC144" s="713"/>
      <c r="AD144" s="713"/>
    </row>
    <row r="145" spans="1:30" s="715" customFormat="1" ht="22.5" customHeight="1">
      <c r="A145" s="673"/>
      <c r="B145" s="674"/>
      <c r="C145" s="709"/>
      <c r="D145" s="692"/>
      <c r="E145" s="692"/>
      <c r="F145" s="678"/>
      <c r="G145" s="678"/>
      <c r="H145" s="733"/>
      <c r="I145" s="734"/>
      <c r="J145" s="3233" t="s">
        <v>4325</v>
      </c>
      <c r="K145" s="3232"/>
      <c r="L145" s="3232"/>
      <c r="M145" s="3232"/>
      <c r="N145" s="3232"/>
      <c r="O145" s="3232"/>
      <c r="P145" s="3232"/>
      <c r="Q145" s="735"/>
      <c r="R145" s="736"/>
      <c r="S145" s="728">
        <v>100000</v>
      </c>
      <c r="T145" s="729" t="s">
        <v>4318</v>
      </c>
      <c r="U145" s="3228"/>
      <c r="V145" s="730">
        <v>10</v>
      </c>
      <c r="W145" s="729" t="s">
        <v>4222</v>
      </c>
      <c r="X145" s="731" t="s">
        <v>4221</v>
      </c>
      <c r="Y145" s="3110">
        <f t="shared" si="10"/>
        <v>1000</v>
      </c>
      <c r="Z145" s="713"/>
      <c r="AA145" s="713"/>
      <c r="AB145" s="713"/>
      <c r="AC145" s="713"/>
      <c r="AD145" s="713"/>
    </row>
    <row r="146" spans="1:30" s="715" customFormat="1" ht="22.5" customHeight="1">
      <c r="A146" s="673"/>
      <c r="B146" s="674"/>
      <c r="C146" s="709"/>
      <c r="D146" s="692"/>
      <c r="E146" s="692" t="s">
        <v>2694</v>
      </c>
      <c r="F146" s="678">
        <f t="shared" si="9"/>
        <v>3000</v>
      </c>
      <c r="G146" s="678">
        <v>3000</v>
      </c>
      <c r="H146" s="2037"/>
      <c r="I146" s="734"/>
      <c r="J146" s="3231" t="s">
        <v>4326</v>
      </c>
      <c r="K146" s="3232"/>
      <c r="L146" s="3232"/>
      <c r="M146" s="3232"/>
      <c r="N146" s="3232"/>
      <c r="O146" s="3232"/>
      <c r="P146" s="3232"/>
      <c r="Q146" s="735"/>
      <c r="R146" s="736"/>
      <c r="S146" s="728">
        <v>300000</v>
      </c>
      <c r="T146" s="729" t="s">
        <v>4318</v>
      </c>
      <c r="U146" s="3228"/>
      <c r="V146" s="730">
        <v>10</v>
      </c>
      <c r="W146" s="729" t="s">
        <v>4219</v>
      </c>
      <c r="X146" s="731" t="s">
        <v>4221</v>
      </c>
      <c r="Y146" s="3110">
        <f t="shared" si="10"/>
        <v>3000</v>
      </c>
      <c r="Z146" s="713"/>
      <c r="AA146" s="713"/>
      <c r="AB146" s="713"/>
      <c r="AC146" s="713"/>
      <c r="AD146" s="713"/>
    </row>
    <row r="147" spans="1:30" s="715" customFormat="1" ht="22.5" customHeight="1">
      <c r="A147" s="673"/>
      <c r="B147" s="674"/>
      <c r="C147" s="709"/>
      <c r="D147" s="692"/>
      <c r="E147" s="692" t="s">
        <v>3249</v>
      </c>
      <c r="F147" s="678">
        <f t="shared" si="9"/>
        <v>3000</v>
      </c>
      <c r="G147" s="678">
        <v>3000</v>
      </c>
      <c r="H147" s="733"/>
      <c r="I147" s="734"/>
      <c r="J147" s="3231" t="s">
        <v>4327</v>
      </c>
      <c r="K147" s="3232"/>
      <c r="L147" s="3232"/>
      <c r="M147" s="3232"/>
      <c r="N147" s="3232"/>
      <c r="O147" s="3232"/>
      <c r="P147" s="3232"/>
      <c r="Q147" s="735"/>
      <c r="R147" s="736"/>
      <c r="S147" s="728">
        <v>3000000</v>
      </c>
      <c r="T147" s="729" t="s">
        <v>4318</v>
      </c>
      <c r="U147" s="3228"/>
      <c r="V147" s="735">
        <v>1</v>
      </c>
      <c r="W147" s="729" t="s">
        <v>4224</v>
      </c>
      <c r="X147" s="731" t="s">
        <v>4221</v>
      </c>
      <c r="Y147" s="3110">
        <f t="shared" si="10"/>
        <v>3000</v>
      </c>
      <c r="Z147" s="713"/>
      <c r="AA147" s="713"/>
      <c r="AB147" s="713"/>
      <c r="AC147" s="713"/>
      <c r="AD147" s="713"/>
    </row>
    <row r="148" spans="1:30" s="715" customFormat="1" ht="22.5" customHeight="1">
      <c r="A148" s="673"/>
      <c r="B148" s="674"/>
      <c r="C148" s="709"/>
      <c r="D148" s="692"/>
      <c r="E148" s="692" t="s">
        <v>3183</v>
      </c>
      <c r="F148" s="678">
        <f t="shared" si="9"/>
        <v>1000</v>
      </c>
      <c r="G148" s="678">
        <v>1000</v>
      </c>
      <c r="H148" s="733"/>
      <c r="I148" s="734"/>
      <c r="J148" s="3233" t="s">
        <v>4328</v>
      </c>
      <c r="K148" s="3232"/>
      <c r="L148" s="3232"/>
      <c r="M148" s="3232"/>
      <c r="N148" s="3232"/>
      <c r="O148" s="3232"/>
      <c r="P148" s="3232"/>
      <c r="Q148" s="735"/>
      <c r="R148" s="736"/>
      <c r="S148" s="728">
        <v>500000</v>
      </c>
      <c r="T148" s="729" t="s">
        <v>4318</v>
      </c>
      <c r="U148" s="3228"/>
      <c r="V148" s="735">
        <v>2</v>
      </c>
      <c r="W148" s="729" t="s">
        <v>4222</v>
      </c>
      <c r="X148" s="731" t="s">
        <v>4221</v>
      </c>
      <c r="Y148" s="3110">
        <f t="shared" si="10"/>
        <v>1000</v>
      </c>
      <c r="Z148" s="713"/>
      <c r="AA148" s="713"/>
      <c r="AB148" s="713"/>
      <c r="AC148" s="713"/>
      <c r="AD148" s="713"/>
    </row>
    <row r="149" spans="1:30" s="715" customFormat="1" ht="22.5" customHeight="1">
      <c r="A149" s="673"/>
      <c r="B149" s="674"/>
      <c r="C149" s="709"/>
      <c r="D149" s="692"/>
      <c r="E149" s="692" t="s">
        <v>2767</v>
      </c>
      <c r="F149" s="678">
        <f t="shared" si="9"/>
        <v>2100</v>
      </c>
      <c r="G149" s="678">
        <v>2100</v>
      </c>
      <c r="H149" s="2037"/>
      <c r="I149" s="734"/>
      <c r="J149" s="3233" t="s">
        <v>4223</v>
      </c>
      <c r="K149" s="3232"/>
      <c r="L149" s="3232"/>
      <c r="M149" s="3232"/>
      <c r="N149" s="3232"/>
      <c r="O149" s="3232"/>
      <c r="P149" s="3232"/>
      <c r="Q149" s="735"/>
      <c r="R149" s="736"/>
      <c r="S149" s="728"/>
      <c r="T149" s="729"/>
      <c r="U149" s="3228"/>
      <c r="V149" s="730"/>
      <c r="W149" s="729"/>
      <c r="X149" s="731"/>
      <c r="Y149" s="3110">
        <f>SUM(Y150:Y154)</f>
        <v>2100</v>
      </c>
      <c r="Z149" s="713"/>
      <c r="AA149" s="713"/>
      <c r="AB149" s="713"/>
      <c r="AC149" s="713"/>
      <c r="AD149" s="713"/>
    </row>
    <row r="150" spans="1:30" s="715" customFormat="1" ht="22.5" customHeight="1">
      <c r="A150" s="673"/>
      <c r="B150" s="674"/>
      <c r="C150" s="709"/>
      <c r="D150" s="692"/>
      <c r="E150" s="692"/>
      <c r="F150" s="678"/>
      <c r="G150" s="678"/>
      <c r="H150" s="733"/>
      <c r="I150" s="734"/>
      <c r="J150" s="3233" t="s">
        <v>4329</v>
      </c>
      <c r="K150" s="3232"/>
      <c r="L150" s="3232"/>
      <c r="M150" s="3232"/>
      <c r="N150" s="3232"/>
      <c r="O150" s="3232"/>
      <c r="P150" s="3232"/>
      <c r="Q150" s="735"/>
      <c r="R150" s="736"/>
      <c r="S150" s="728">
        <v>1000000</v>
      </c>
      <c r="T150" s="729" t="s">
        <v>4318</v>
      </c>
      <c r="U150" s="3228"/>
      <c r="V150" s="730">
        <v>1</v>
      </c>
      <c r="W150" s="729" t="s">
        <v>4222</v>
      </c>
      <c r="X150" s="731" t="s">
        <v>4221</v>
      </c>
      <c r="Y150" s="3110">
        <f>S150*V150/1000</f>
        <v>1000</v>
      </c>
      <c r="Z150" s="713"/>
      <c r="AA150" s="713"/>
      <c r="AB150" s="713"/>
      <c r="AC150" s="713"/>
      <c r="AD150" s="713"/>
    </row>
    <row r="151" spans="1:30" s="715" customFormat="1" ht="22.5" customHeight="1">
      <c r="A151" s="673"/>
      <c r="B151" s="674"/>
      <c r="C151" s="709"/>
      <c r="D151" s="692"/>
      <c r="E151" s="692"/>
      <c r="F151" s="678"/>
      <c r="G151" s="678"/>
      <c r="H151" s="733"/>
      <c r="I151" s="734"/>
      <c r="J151" s="3233" t="s">
        <v>4330</v>
      </c>
      <c r="K151" s="3232"/>
      <c r="L151" s="3232"/>
      <c r="M151" s="3232"/>
      <c r="N151" s="3232"/>
      <c r="O151" s="3232"/>
      <c r="P151" s="3232"/>
      <c r="Q151" s="735">
        <v>5</v>
      </c>
      <c r="R151" s="736" t="s">
        <v>4230</v>
      </c>
      <c r="S151" s="728">
        <v>10000</v>
      </c>
      <c r="T151" s="729" t="s">
        <v>4318</v>
      </c>
      <c r="U151" s="3228"/>
      <c r="V151" s="730">
        <v>5</v>
      </c>
      <c r="W151" s="729" t="s">
        <v>4224</v>
      </c>
      <c r="X151" s="731" t="s">
        <v>4221</v>
      </c>
      <c r="Y151" s="3110">
        <f>Q151*S151*V151/1000</f>
        <v>250</v>
      </c>
      <c r="Z151" s="713"/>
      <c r="AA151" s="713"/>
      <c r="AB151" s="713"/>
      <c r="AC151" s="713"/>
      <c r="AD151" s="713"/>
    </row>
    <row r="152" spans="1:30" s="715" customFormat="1" ht="22.5" customHeight="1">
      <c r="A152" s="673"/>
      <c r="B152" s="674"/>
      <c r="C152" s="709"/>
      <c r="D152" s="692"/>
      <c r="E152" s="675"/>
      <c r="F152" s="678"/>
      <c r="G152" s="678"/>
      <c r="H152" s="790"/>
      <c r="I152" s="2060"/>
      <c r="J152" s="3233" t="s">
        <v>4331</v>
      </c>
      <c r="K152" s="3232"/>
      <c r="L152" s="3232"/>
      <c r="M152" s="3232"/>
      <c r="N152" s="3232"/>
      <c r="O152" s="3232"/>
      <c r="P152" s="3232"/>
      <c r="Q152" s="735">
        <v>50</v>
      </c>
      <c r="R152" s="736" t="s">
        <v>4230</v>
      </c>
      <c r="S152" s="728">
        <v>4000</v>
      </c>
      <c r="T152" s="729" t="s">
        <v>4318</v>
      </c>
      <c r="U152" s="3228"/>
      <c r="V152" s="730">
        <v>2</v>
      </c>
      <c r="W152" s="729" t="s">
        <v>4240</v>
      </c>
      <c r="X152" s="731" t="s">
        <v>4221</v>
      </c>
      <c r="Y152" s="3110">
        <f>Q152*S152*V152/1000</f>
        <v>400</v>
      </c>
      <c r="Z152" s="713"/>
      <c r="AA152" s="713"/>
      <c r="AB152" s="713"/>
      <c r="AC152" s="713"/>
      <c r="AD152" s="713"/>
    </row>
    <row r="153" spans="1:30" s="715" customFormat="1" ht="22.5" customHeight="1">
      <c r="A153" s="673"/>
      <c r="B153" s="674"/>
      <c r="C153" s="948"/>
      <c r="D153" s="675"/>
      <c r="E153" s="675"/>
      <c r="F153" s="678"/>
      <c r="G153" s="678"/>
      <c r="H153" s="790"/>
      <c r="I153" s="2060"/>
      <c r="J153" s="3233" t="s">
        <v>4332</v>
      </c>
      <c r="K153" s="3232"/>
      <c r="L153" s="3232"/>
      <c r="M153" s="3232"/>
      <c r="N153" s="3232"/>
      <c r="O153" s="3232"/>
      <c r="P153" s="3232"/>
      <c r="Q153" s="735"/>
      <c r="R153" s="736"/>
      <c r="S153" s="728">
        <v>250000</v>
      </c>
      <c r="T153" s="729" t="s">
        <v>4318</v>
      </c>
      <c r="U153" s="3228"/>
      <c r="V153" s="730">
        <v>1</v>
      </c>
      <c r="W153" s="729" t="s">
        <v>4224</v>
      </c>
      <c r="X153" s="731" t="s">
        <v>4221</v>
      </c>
      <c r="Y153" s="3110">
        <f>S153*V153/1000</f>
        <v>250</v>
      </c>
      <c r="Z153" s="713"/>
      <c r="AA153" s="713"/>
      <c r="AB153" s="713"/>
      <c r="AC153" s="713"/>
      <c r="AD153" s="713"/>
    </row>
    <row r="154" spans="1:30" s="715" customFormat="1" ht="22.5" customHeight="1">
      <c r="A154" s="673"/>
      <c r="B154" s="674"/>
      <c r="C154" s="948"/>
      <c r="D154" s="675"/>
      <c r="E154" s="675"/>
      <c r="F154" s="678"/>
      <c r="G154" s="678"/>
      <c r="H154" s="790"/>
      <c r="I154" s="2060"/>
      <c r="J154" s="3233" t="s">
        <v>4333</v>
      </c>
      <c r="K154" s="3232"/>
      <c r="L154" s="3232"/>
      <c r="M154" s="3232"/>
      <c r="N154" s="3232"/>
      <c r="O154" s="3232"/>
      <c r="P154" s="3232"/>
      <c r="Q154" s="735"/>
      <c r="R154" s="736"/>
      <c r="S154" s="728">
        <v>200000</v>
      </c>
      <c r="T154" s="729" t="s">
        <v>4318</v>
      </c>
      <c r="U154" s="3228"/>
      <c r="V154" s="730">
        <v>1</v>
      </c>
      <c r="W154" s="729" t="s">
        <v>4224</v>
      </c>
      <c r="X154" s="731" t="s">
        <v>4221</v>
      </c>
      <c r="Y154" s="3110">
        <f>S154*V154/1000</f>
        <v>200</v>
      </c>
      <c r="Z154" s="713"/>
      <c r="AA154" s="713"/>
      <c r="AB154" s="713"/>
      <c r="AC154" s="713"/>
      <c r="AD154" s="713"/>
    </row>
    <row r="155" spans="1:30" s="715" customFormat="1" ht="22.5" customHeight="1">
      <c r="A155" s="673"/>
      <c r="B155" s="674"/>
      <c r="C155" s="948"/>
      <c r="D155" s="675"/>
      <c r="E155" s="675" t="s">
        <v>3025</v>
      </c>
      <c r="F155" s="678">
        <f t="shared" si="9"/>
        <v>900</v>
      </c>
      <c r="G155" s="678">
        <v>900</v>
      </c>
      <c r="H155" s="2037"/>
      <c r="I155" s="2060"/>
      <c r="J155" s="3231" t="s">
        <v>4334</v>
      </c>
      <c r="K155" s="3232"/>
      <c r="L155" s="3232"/>
      <c r="M155" s="3232"/>
      <c r="N155" s="3232"/>
      <c r="O155" s="3232"/>
      <c r="P155" s="3232"/>
      <c r="Q155" s="735"/>
      <c r="R155" s="736"/>
      <c r="S155" s="728">
        <v>150000</v>
      </c>
      <c r="T155" s="729" t="s">
        <v>4318</v>
      </c>
      <c r="U155" s="3228"/>
      <c r="V155" s="730">
        <v>6</v>
      </c>
      <c r="W155" s="729" t="s">
        <v>4222</v>
      </c>
      <c r="X155" s="731" t="s">
        <v>4221</v>
      </c>
      <c r="Y155" s="3110">
        <f>S155*V155/1000</f>
        <v>900</v>
      </c>
      <c r="Z155" s="713"/>
      <c r="AA155" s="713"/>
      <c r="AB155" s="713"/>
      <c r="AC155" s="713"/>
      <c r="AD155" s="713"/>
    </row>
    <row r="156" spans="1:30" s="715" customFormat="1" ht="22.5" customHeight="1">
      <c r="A156" s="707"/>
      <c r="B156" s="708"/>
      <c r="C156" s="3955" t="s">
        <v>3250</v>
      </c>
      <c r="D156" s="4049"/>
      <c r="E156" s="3883"/>
      <c r="F156" s="1192">
        <f>+F157+F170</f>
        <v>273300</v>
      </c>
      <c r="G156" s="1192">
        <f>G157+G170</f>
        <v>273300</v>
      </c>
      <c r="H156" s="933">
        <f>F156-G156</f>
        <v>0</v>
      </c>
      <c r="I156" s="734"/>
      <c r="J156" s="1074"/>
      <c r="K156" s="1957"/>
      <c r="L156" s="1957"/>
      <c r="M156" s="1957"/>
      <c r="N156" s="1957"/>
      <c r="O156" s="1957"/>
      <c r="P156" s="1957"/>
      <c r="Q156" s="1119"/>
      <c r="R156" s="1075"/>
      <c r="S156" s="1210"/>
      <c r="T156" s="1957"/>
      <c r="U156" s="1957"/>
      <c r="V156" s="1063"/>
      <c r="W156" s="1957"/>
      <c r="X156" s="1973"/>
      <c r="Y156" s="1105"/>
      <c r="Z156" s="713"/>
      <c r="AA156" s="713"/>
      <c r="AB156" s="714"/>
      <c r="AC156" s="713"/>
      <c r="AD156" s="713"/>
    </row>
    <row r="157" spans="1:30" s="715" customFormat="1" ht="22.5" customHeight="1">
      <c r="A157" s="707"/>
      <c r="B157" s="708"/>
      <c r="C157" s="709"/>
      <c r="D157" s="3955" t="s">
        <v>3251</v>
      </c>
      <c r="E157" s="4049"/>
      <c r="F157" s="1192">
        <f>SUM(F158:F169)</f>
        <v>77100</v>
      </c>
      <c r="G157" s="2040">
        <f>SUM(G158:G169)</f>
        <v>77100</v>
      </c>
      <c r="H157" s="2608">
        <f>F157-G157</f>
        <v>0</v>
      </c>
      <c r="I157" s="734"/>
      <c r="J157" s="1074"/>
      <c r="K157" s="2094"/>
      <c r="L157" s="2094"/>
      <c r="M157" s="2094"/>
      <c r="N157" s="2094"/>
      <c r="O157" s="2094"/>
      <c r="P157" s="2094"/>
      <c r="Q157" s="1119"/>
      <c r="R157" s="1075"/>
      <c r="S157" s="1210"/>
      <c r="T157" s="2094"/>
      <c r="U157" s="2094"/>
      <c r="V157" s="1063"/>
      <c r="W157" s="2094"/>
      <c r="X157" s="2112"/>
      <c r="Y157" s="1104"/>
      <c r="Z157" s="713"/>
      <c r="AA157" s="713"/>
      <c r="AB157" s="714"/>
      <c r="AC157" s="713"/>
      <c r="AD157" s="713"/>
    </row>
    <row r="158" spans="1:30" s="715" customFormat="1" ht="22.5" customHeight="1">
      <c r="A158" s="707"/>
      <c r="B158" s="708"/>
      <c r="C158" s="709"/>
      <c r="D158" s="692"/>
      <c r="E158" s="692" t="s">
        <v>3054</v>
      </c>
      <c r="F158" s="678">
        <f>Y158</f>
        <v>4500</v>
      </c>
      <c r="G158" s="678">
        <v>4500</v>
      </c>
      <c r="H158" s="2531"/>
      <c r="I158" s="734"/>
      <c r="J158" s="1701" t="s">
        <v>3252</v>
      </c>
      <c r="K158" s="1702"/>
      <c r="L158" s="1702"/>
      <c r="M158" s="1702"/>
      <c r="N158" s="1702"/>
      <c r="O158" s="1702"/>
      <c r="P158" s="1702"/>
      <c r="Q158" s="735"/>
      <c r="R158" s="736"/>
      <c r="S158" s="728">
        <v>1500000000</v>
      </c>
      <c r="T158" s="729" t="s">
        <v>2702</v>
      </c>
      <c r="U158" s="709"/>
      <c r="V158" s="2609">
        <v>3.0000000000000001E-3</v>
      </c>
      <c r="W158" s="729"/>
      <c r="X158" s="731" t="s">
        <v>2675</v>
      </c>
      <c r="Y158" s="3110">
        <f>S158*V158/1000</f>
        <v>4500</v>
      </c>
      <c r="Z158" s="713"/>
      <c r="AA158" s="713"/>
      <c r="AB158" s="714"/>
      <c r="AC158" s="713"/>
      <c r="AD158" s="713"/>
    </row>
    <row r="159" spans="1:30" s="715" customFormat="1" ht="22.5" customHeight="1">
      <c r="A159" s="707"/>
      <c r="B159" s="708"/>
      <c r="C159" s="709"/>
      <c r="D159" s="692"/>
      <c r="E159" s="692" t="s">
        <v>3028</v>
      </c>
      <c r="F159" s="678">
        <f>+Y159</f>
        <v>21120</v>
      </c>
      <c r="G159" s="678">
        <v>21120</v>
      </c>
      <c r="H159" s="2531"/>
      <c r="I159" s="734"/>
      <c r="J159" s="3493" t="s">
        <v>5717</v>
      </c>
      <c r="K159" s="1702"/>
      <c r="L159" s="1702"/>
      <c r="M159" s="1702"/>
      <c r="N159" s="1702"/>
      <c r="O159" s="1702"/>
      <c r="P159" s="1702"/>
      <c r="Q159" s="735"/>
      <c r="R159" s="736"/>
      <c r="S159" s="728">
        <v>2112000</v>
      </c>
      <c r="T159" s="729" t="s">
        <v>2702</v>
      </c>
      <c r="U159" s="709"/>
      <c r="V159" s="730">
        <v>10</v>
      </c>
      <c r="W159" s="729" t="s">
        <v>3253</v>
      </c>
      <c r="X159" s="731" t="s">
        <v>2675</v>
      </c>
      <c r="Y159" s="3110">
        <f>S159*V159/1000</f>
        <v>21120</v>
      </c>
      <c r="Z159" s="713"/>
      <c r="AA159" s="713"/>
      <c r="AB159" s="714"/>
      <c r="AC159" s="713"/>
      <c r="AD159" s="713"/>
    </row>
    <row r="160" spans="1:30" s="715" customFormat="1" ht="22.5" customHeight="1">
      <c r="A160" s="707"/>
      <c r="B160" s="708"/>
      <c r="C160" s="709"/>
      <c r="D160" s="692"/>
      <c r="E160" s="692" t="s">
        <v>3254</v>
      </c>
      <c r="F160" s="678">
        <f>Y160</f>
        <v>9480</v>
      </c>
      <c r="G160" s="678">
        <v>9480</v>
      </c>
      <c r="H160" s="1190"/>
      <c r="I160" s="734"/>
      <c r="J160" s="1701" t="s">
        <v>2695</v>
      </c>
      <c r="K160" s="709"/>
      <c r="L160" s="709"/>
      <c r="M160" s="709"/>
      <c r="N160" s="709"/>
      <c r="O160" s="709"/>
      <c r="P160" s="709"/>
      <c r="Q160" s="735"/>
      <c r="R160" s="736"/>
      <c r="S160" s="728"/>
      <c r="T160" s="709"/>
      <c r="U160" s="709"/>
      <c r="V160" s="730"/>
      <c r="W160" s="709"/>
      <c r="X160" s="792"/>
      <c r="Y160" s="3110">
        <f>SUM(Y161:Y162)</f>
        <v>9480</v>
      </c>
      <c r="Z160" s="713"/>
      <c r="AA160" s="713"/>
      <c r="AB160" s="714"/>
      <c r="AC160" s="713"/>
      <c r="AD160" s="713"/>
    </row>
    <row r="161" spans="1:30" s="715" customFormat="1" ht="22.5" customHeight="1">
      <c r="A161" s="707"/>
      <c r="B161" s="708"/>
      <c r="C161" s="709"/>
      <c r="D161" s="692"/>
      <c r="E161" s="692"/>
      <c r="F161" s="678"/>
      <c r="G161" s="678"/>
      <c r="H161" s="993"/>
      <c r="I161" s="734"/>
      <c r="J161" s="1701" t="s">
        <v>3255</v>
      </c>
      <c r="K161" s="709"/>
      <c r="L161" s="709"/>
      <c r="M161" s="709"/>
      <c r="N161" s="709"/>
      <c r="O161" s="709"/>
      <c r="P161" s="709"/>
      <c r="Q161" s="735">
        <v>15</v>
      </c>
      <c r="R161" s="736" t="s">
        <v>3044</v>
      </c>
      <c r="S161" s="728">
        <v>300000</v>
      </c>
      <c r="T161" s="709" t="s">
        <v>3228</v>
      </c>
      <c r="U161" s="709"/>
      <c r="V161" s="1204">
        <v>2</v>
      </c>
      <c r="W161" s="709" t="s">
        <v>3082</v>
      </c>
      <c r="X161" s="792" t="s">
        <v>2675</v>
      </c>
      <c r="Y161" s="3110">
        <f>Q161*S161*V161/1000</f>
        <v>9000</v>
      </c>
      <c r="Z161" s="713"/>
      <c r="AA161" s="713"/>
      <c r="AB161" s="714"/>
      <c r="AC161" s="713"/>
      <c r="AD161" s="713"/>
    </row>
    <row r="162" spans="1:30" s="715" customFormat="1" ht="22.5" customHeight="1">
      <c r="A162" s="707"/>
      <c r="B162" s="708"/>
      <c r="C162" s="709"/>
      <c r="D162" s="692"/>
      <c r="E162" s="692"/>
      <c r="F162" s="678"/>
      <c r="G162" s="678"/>
      <c r="H162" s="993"/>
      <c r="I162" s="734"/>
      <c r="J162" s="1701" t="s">
        <v>3256</v>
      </c>
      <c r="K162" s="709"/>
      <c r="L162" s="709"/>
      <c r="M162" s="709"/>
      <c r="N162" s="709"/>
      <c r="O162" s="709"/>
      <c r="P162" s="709"/>
      <c r="Q162" s="735"/>
      <c r="R162" s="736"/>
      <c r="S162" s="728">
        <v>240000</v>
      </c>
      <c r="T162" s="709" t="s">
        <v>3228</v>
      </c>
      <c r="U162" s="709"/>
      <c r="V162" s="730">
        <v>2</v>
      </c>
      <c r="W162" s="709" t="s">
        <v>2703</v>
      </c>
      <c r="X162" s="792" t="s">
        <v>2675</v>
      </c>
      <c r="Y162" s="3110">
        <f>S162*V162/1000</f>
        <v>480</v>
      </c>
      <c r="Z162" s="713"/>
      <c r="AA162" s="713"/>
      <c r="AB162" s="714"/>
      <c r="AC162" s="713"/>
      <c r="AD162" s="713"/>
    </row>
    <row r="163" spans="1:30" s="715" customFormat="1" ht="22.5" customHeight="1">
      <c r="A163" s="707"/>
      <c r="B163" s="708"/>
      <c r="C163" s="709"/>
      <c r="D163" s="692"/>
      <c r="E163" s="692" t="s">
        <v>3257</v>
      </c>
      <c r="F163" s="678">
        <f>Y163</f>
        <v>9000</v>
      </c>
      <c r="G163" s="678">
        <v>9000</v>
      </c>
      <c r="H163" s="1190"/>
      <c r="I163" s="734"/>
      <c r="J163" s="1701" t="s">
        <v>2695</v>
      </c>
      <c r="K163" s="709"/>
      <c r="L163" s="709"/>
      <c r="M163" s="709"/>
      <c r="N163" s="709"/>
      <c r="O163" s="709"/>
      <c r="P163" s="709"/>
      <c r="Q163" s="735"/>
      <c r="R163" s="736"/>
      <c r="S163" s="728"/>
      <c r="T163" s="729"/>
      <c r="U163" s="709"/>
      <c r="V163" s="730"/>
      <c r="W163" s="729"/>
      <c r="X163" s="731"/>
      <c r="Y163" s="3110">
        <f>SUM(Y164:Y165)</f>
        <v>9000</v>
      </c>
      <c r="Z163" s="713"/>
      <c r="AA163" s="713"/>
      <c r="AB163" s="714"/>
      <c r="AC163" s="713"/>
      <c r="AD163" s="713"/>
    </row>
    <row r="164" spans="1:30" s="715" customFormat="1" ht="22.5" customHeight="1">
      <c r="A164" s="707"/>
      <c r="B164" s="708"/>
      <c r="C164" s="709"/>
      <c r="D164" s="692"/>
      <c r="E164" s="692"/>
      <c r="F164" s="678"/>
      <c r="G164" s="678"/>
      <c r="H164" s="993"/>
      <c r="I164" s="734"/>
      <c r="J164" s="1701" t="s">
        <v>3258</v>
      </c>
      <c r="K164" s="709"/>
      <c r="L164" s="709"/>
      <c r="M164" s="709"/>
      <c r="N164" s="709"/>
      <c r="O164" s="709"/>
      <c r="P164" s="709"/>
      <c r="Q164" s="735"/>
      <c r="R164" s="736"/>
      <c r="S164" s="728">
        <v>500000</v>
      </c>
      <c r="T164" s="729" t="s">
        <v>3228</v>
      </c>
      <c r="U164" s="709"/>
      <c r="V164" s="730">
        <v>12</v>
      </c>
      <c r="W164" s="729" t="s">
        <v>3156</v>
      </c>
      <c r="X164" s="731" t="s">
        <v>3153</v>
      </c>
      <c r="Y164" s="3110">
        <f>S164*V164/1000</f>
        <v>6000</v>
      </c>
      <c r="Z164" s="713"/>
      <c r="AA164" s="713"/>
      <c r="AB164" s="714"/>
      <c r="AC164" s="713"/>
      <c r="AD164" s="713"/>
    </row>
    <row r="165" spans="1:30" s="715" customFormat="1" ht="22.5" customHeight="1">
      <c r="A165" s="707"/>
      <c r="B165" s="708"/>
      <c r="C165" s="709"/>
      <c r="D165" s="692"/>
      <c r="E165" s="692"/>
      <c r="F165" s="678"/>
      <c r="G165" s="678"/>
      <c r="H165" s="993"/>
      <c r="I165" s="734"/>
      <c r="J165" s="1701" t="s">
        <v>3259</v>
      </c>
      <c r="K165" s="709"/>
      <c r="L165" s="709"/>
      <c r="M165" s="709"/>
      <c r="N165" s="709"/>
      <c r="O165" s="709"/>
      <c r="P165" s="709"/>
      <c r="Q165" s="735"/>
      <c r="R165" s="736"/>
      <c r="S165" s="728">
        <v>1000000</v>
      </c>
      <c r="T165" s="729" t="s">
        <v>3228</v>
      </c>
      <c r="U165" s="709"/>
      <c r="V165" s="730">
        <v>3</v>
      </c>
      <c r="W165" s="729" t="s">
        <v>3260</v>
      </c>
      <c r="X165" s="731" t="s">
        <v>3153</v>
      </c>
      <c r="Y165" s="3110">
        <f>S165*V165/1000</f>
        <v>3000</v>
      </c>
      <c r="Z165" s="713"/>
      <c r="AA165" s="713"/>
      <c r="AB165" s="714"/>
      <c r="AC165" s="713"/>
      <c r="AD165" s="713"/>
    </row>
    <row r="166" spans="1:30" s="715" customFormat="1" ht="22.5" customHeight="1">
      <c r="A166" s="707"/>
      <c r="B166" s="708"/>
      <c r="C166" s="709"/>
      <c r="D166" s="692"/>
      <c r="E166" s="692" t="s">
        <v>2700</v>
      </c>
      <c r="F166" s="678">
        <f>Y166</f>
        <v>23000</v>
      </c>
      <c r="G166" s="678">
        <v>23000</v>
      </c>
      <c r="H166" s="2610"/>
      <c r="I166" s="734"/>
      <c r="J166" s="673" t="s">
        <v>3261</v>
      </c>
      <c r="K166" s="1702"/>
      <c r="L166" s="1702"/>
      <c r="M166" s="1702"/>
      <c r="N166" s="1702"/>
      <c r="O166" s="1702"/>
      <c r="P166" s="1702"/>
      <c r="Q166" s="735"/>
      <c r="R166" s="736"/>
      <c r="S166" s="728"/>
      <c r="T166" s="729"/>
      <c r="U166" s="709"/>
      <c r="V166" s="2611"/>
      <c r="W166" s="729"/>
      <c r="X166" s="731"/>
      <c r="Y166" s="3110">
        <f>SUM(Y167:Y168)</f>
        <v>23000</v>
      </c>
      <c r="Z166" s="713"/>
      <c r="AA166" s="713"/>
      <c r="AB166" s="714"/>
      <c r="AC166" s="713"/>
      <c r="AD166" s="713"/>
    </row>
    <row r="167" spans="1:30" s="715" customFormat="1" ht="22.5" customHeight="1">
      <c r="A167" s="707"/>
      <c r="B167" s="708"/>
      <c r="C167" s="709"/>
      <c r="D167" s="692"/>
      <c r="E167" s="692"/>
      <c r="F167" s="678"/>
      <c r="G167" s="678"/>
      <c r="H167" s="2531"/>
      <c r="I167" s="734"/>
      <c r="J167" s="673" t="s">
        <v>3262</v>
      </c>
      <c r="K167" s="1702"/>
      <c r="L167" s="1702"/>
      <c r="M167" s="1702"/>
      <c r="N167" s="1702"/>
      <c r="O167" s="1702"/>
      <c r="P167" s="1702"/>
      <c r="Q167" s="735"/>
      <c r="R167" s="736"/>
      <c r="S167" s="728">
        <v>10000000</v>
      </c>
      <c r="T167" s="729" t="s">
        <v>2702</v>
      </c>
      <c r="U167" s="709"/>
      <c r="V167" s="2611">
        <v>1</v>
      </c>
      <c r="W167" s="729" t="s">
        <v>2703</v>
      </c>
      <c r="X167" s="731" t="s">
        <v>2675</v>
      </c>
      <c r="Y167" s="3110">
        <f>S167*V167/1000</f>
        <v>10000</v>
      </c>
      <c r="Z167" s="713"/>
      <c r="AA167" s="713"/>
      <c r="AB167" s="714"/>
      <c r="AC167" s="713"/>
      <c r="AD167" s="713"/>
    </row>
    <row r="168" spans="1:30" s="715" customFormat="1" ht="22.5" customHeight="1">
      <c r="A168" s="707"/>
      <c r="B168" s="708"/>
      <c r="C168" s="709"/>
      <c r="D168" s="692"/>
      <c r="E168" s="692"/>
      <c r="F168" s="678"/>
      <c r="G168" s="678"/>
      <c r="H168" s="2531"/>
      <c r="I168" s="734"/>
      <c r="J168" s="673" t="s">
        <v>3263</v>
      </c>
      <c r="K168" s="1702"/>
      <c r="L168" s="1702"/>
      <c r="M168" s="1702"/>
      <c r="N168" s="1702"/>
      <c r="O168" s="1702"/>
      <c r="P168" s="1702"/>
      <c r="Q168" s="735"/>
      <c r="R168" s="736"/>
      <c r="S168" s="728">
        <v>6500000</v>
      </c>
      <c r="T168" s="729" t="s">
        <v>2702</v>
      </c>
      <c r="U168" s="709"/>
      <c r="V168" s="2611">
        <v>2</v>
      </c>
      <c r="W168" s="729" t="s">
        <v>2703</v>
      </c>
      <c r="X168" s="731" t="s">
        <v>2675</v>
      </c>
      <c r="Y168" s="3110">
        <f>S168*V168/1000</f>
        <v>13000</v>
      </c>
      <c r="Z168" s="713"/>
      <c r="AA168" s="713"/>
      <c r="AB168" s="714"/>
      <c r="AC168" s="713"/>
      <c r="AD168" s="713"/>
    </row>
    <row r="169" spans="1:30" s="715" customFormat="1" ht="22.5" customHeight="1">
      <c r="A169" s="707"/>
      <c r="B169" s="708"/>
      <c r="C169" s="709"/>
      <c r="D169" s="692"/>
      <c r="E169" s="692" t="s">
        <v>3249</v>
      </c>
      <c r="F169" s="678">
        <f>Y169</f>
        <v>10000</v>
      </c>
      <c r="G169" s="678">
        <v>10000</v>
      </c>
      <c r="H169" s="1190"/>
      <c r="I169" s="734"/>
      <c r="J169" s="673" t="s">
        <v>3264</v>
      </c>
      <c r="K169" s="1702"/>
      <c r="L169" s="1702"/>
      <c r="M169" s="1702"/>
      <c r="N169" s="1702"/>
      <c r="O169" s="1702"/>
      <c r="P169" s="1702"/>
      <c r="Q169" s="735"/>
      <c r="R169" s="736"/>
      <c r="S169" s="728">
        <v>5000000</v>
      </c>
      <c r="T169" s="729" t="s">
        <v>2702</v>
      </c>
      <c r="U169" s="709"/>
      <c r="V169" s="2611">
        <v>2</v>
      </c>
      <c r="W169" s="729" t="s">
        <v>3082</v>
      </c>
      <c r="X169" s="731" t="s">
        <v>2675</v>
      </c>
      <c r="Y169" s="3110">
        <f>S169*V169/1000</f>
        <v>10000</v>
      </c>
      <c r="Z169" s="713"/>
      <c r="AA169" s="713"/>
      <c r="AB169" s="714"/>
      <c r="AC169" s="713"/>
      <c r="AD169" s="713"/>
    </row>
    <row r="170" spans="1:30" s="715" customFormat="1" ht="20.85" customHeight="1">
      <c r="A170" s="707"/>
      <c r="B170" s="708"/>
      <c r="C170" s="709"/>
      <c r="D170" s="3955" t="s">
        <v>3265</v>
      </c>
      <c r="E170" s="4049"/>
      <c r="F170" s="1192">
        <f>SUM(F171:F187)</f>
        <v>196200</v>
      </c>
      <c r="G170" s="1192">
        <f>SUM(G171:G187)</f>
        <v>196200</v>
      </c>
      <c r="H170" s="933">
        <f>F170-G170</f>
        <v>0</v>
      </c>
      <c r="I170" s="734"/>
      <c r="J170" s="1074"/>
      <c r="K170" s="2094"/>
      <c r="L170" s="2094"/>
      <c r="M170" s="2094"/>
      <c r="N170" s="2094"/>
      <c r="O170" s="2094"/>
      <c r="P170" s="2094"/>
      <c r="Q170" s="1119"/>
      <c r="R170" s="1075"/>
      <c r="S170" s="1210"/>
      <c r="T170" s="2094"/>
      <c r="U170" s="2094"/>
      <c r="V170" s="1063"/>
      <c r="W170" s="2094"/>
      <c r="X170" s="2112"/>
      <c r="Y170" s="1104"/>
      <c r="Z170" s="713"/>
      <c r="AA170" s="713"/>
      <c r="AB170" s="714"/>
      <c r="AC170" s="713"/>
      <c r="AD170" s="713"/>
    </row>
    <row r="171" spans="1:30" s="715" customFormat="1" ht="20.85" customHeight="1">
      <c r="A171" s="707"/>
      <c r="B171" s="708"/>
      <c r="C171" s="709"/>
      <c r="D171" s="692"/>
      <c r="E171" s="692" t="s">
        <v>3028</v>
      </c>
      <c r="F171" s="678">
        <v>10550</v>
      </c>
      <c r="G171" s="678">
        <v>10550</v>
      </c>
      <c r="H171" s="790"/>
      <c r="I171" s="734"/>
      <c r="J171" s="1701" t="s">
        <v>3266</v>
      </c>
      <c r="K171" s="1702"/>
      <c r="L171" s="1702"/>
      <c r="M171" s="1702"/>
      <c r="N171" s="1702"/>
      <c r="O171" s="1702"/>
      <c r="P171" s="1702"/>
      <c r="Q171" s="735"/>
      <c r="R171" s="736"/>
      <c r="S171" s="728">
        <v>2110000</v>
      </c>
      <c r="T171" s="729" t="s">
        <v>2702</v>
      </c>
      <c r="U171" s="709"/>
      <c r="V171" s="730">
        <v>5</v>
      </c>
      <c r="W171" s="729" t="s">
        <v>3253</v>
      </c>
      <c r="X171" s="731" t="s">
        <v>2675</v>
      </c>
      <c r="Y171" s="3110">
        <f>S171*V171/1000</f>
        <v>10550</v>
      </c>
      <c r="Z171" s="713"/>
      <c r="AA171" s="713"/>
      <c r="AB171" s="714"/>
      <c r="AC171" s="713"/>
      <c r="AD171" s="713"/>
    </row>
    <row r="172" spans="1:30" s="715" customFormat="1" ht="20.85" customHeight="1">
      <c r="A172" s="707"/>
      <c r="B172" s="708"/>
      <c r="C172" s="709"/>
      <c r="D172" s="692"/>
      <c r="E172" s="692" t="s">
        <v>3267</v>
      </c>
      <c r="F172" s="678">
        <f>Y172</f>
        <v>28760</v>
      </c>
      <c r="G172" s="678">
        <v>28760</v>
      </c>
      <c r="H172" s="790"/>
      <c r="I172" s="734"/>
      <c r="J172" s="1701" t="s">
        <v>2695</v>
      </c>
      <c r="K172" s="1702"/>
      <c r="L172" s="1702"/>
      <c r="M172" s="1702"/>
      <c r="N172" s="1702"/>
      <c r="O172" s="1702"/>
      <c r="P172" s="1702"/>
      <c r="Q172" s="735"/>
      <c r="R172" s="736"/>
      <c r="S172" s="728"/>
      <c r="T172" s="729"/>
      <c r="U172" s="709"/>
      <c r="V172" s="730"/>
      <c r="W172" s="729"/>
      <c r="X172" s="731"/>
      <c r="Y172" s="3110">
        <f>+Y173+Y174</f>
        <v>28760</v>
      </c>
      <c r="Z172" s="713"/>
      <c r="AA172" s="713"/>
      <c r="AB172" s="714"/>
      <c r="AC172" s="713"/>
      <c r="AD172" s="713"/>
    </row>
    <row r="173" spans="1:30" s="715" customFormat="1" ht="20.85" customHeight="1">
      <c r="A173" s="707"/>
      <c r="B173" s="708"/>
      <c r="C173" s="709"/>
      <c r="D173" s="692"/>
      <c r="E173" s="692"/>
      <c r="F173" s="678"/>
      <c r="G173" s="678"/>
      <c r="H173" s="790"/>
      <c r="I173" s="734"/>
      <c r="J173" s="1701" t="s">
        <v>3268</v>
      </c>
      <c r="K173" s="1702"/>
      <c r="L173" s="1702"/>
      <c r="M173" s="1702"/>
      <c r="N173" s="1702"/>
      <c r="O173" s="1702"/>
      <c r="P173" s="1702"/>
      <c r="Q173" s="735"/>
      <c r="R173" s="736"/>
      <c r="S173" s="728">
        <v>11760000</v>
      </c>
      <c r="T173" s="729" t="s">
        <v>2702</v>
      </c>
      <c r="U173" s="709"/>
      <c r="V173" s="730">
        <v>1</v>
      </c>
      <c r="W173" s="729" t="s">
        <v>2705</v>
      </c>
      <c r="X173" s="731" t="s">
        <v>2675</v>
      </c>
      <c r="Y173" s="3110">
        <f t="shared" ref="Y173" si="11">S173*V173/1000</f>
        <v>11760</v>
      </c>
      <c r="Z173" s="713"/>
      <c r="AA173" s="713"/>
      <c r="AB173" s="714"/>
      <c r="AC173" s="713"/>
      <c r="AD173" s="713"/>
    </row>
    <row r="174" spans="1:30" s="715" customFormat="1" ht="20.85" customHeight="1">
      <c r="A174" s="707"/>
      <c r="B174" s="708"/>
      <c r="C174" s="709"/>
      <c r="D174" s="692"/>
      <c r="E174" s="692"/>
      <c r="F174" s="678"/>
      <c r="G174" s="678"/>
      <c r="H174" s="733"/>
      <c r="I174" s="734"/>
      <c r="J174" s="1701" t="s">
        <v>3269</v>
      </c>
      <c r="K174" s="1702"/>
      <c r="L174" s="1702"/>
      <c r="M174" s="1702"/>
      <c r="N174" s="1702"/>
      <c r="O174" s="1702"/>
      <c r="P174" s="1702"/>
      <c r="Q174" s="735">
        <v>2</v>
      </c>
      <c r="R174" s="736" t="s">
        <v>3270</v>
      </c>
      <c r="S174" s="728">
        <v>17000</v>
      </c>
      <c r="T174" s="729" t="s">
        <v>2702</v>
      </c>
      <c r="U174" s="709"/>
      <c r="V174" s="730">
        <v>500</v>
      </c>
      <c r="W174" s="729" t="s">
        <v>3271</v>
      </c>
      <c r="X174" s="731" t="s">
        <v>2675</v>
      </c>
      <c r="Y174" s="3110">
        <f>Q174*S174*V174/1000</f>
        <v>17000</v>
      </c>
      <c r="Z174" s="713"/>
      <c r="AA174" s="713"/>
      <c r="AB174" s="714"/>
      <c r="AC174" s="713"/>
      <c r="AD174" s="713"/>
    </row>
    <row r="175" spans="1:30" s="715" customFormat="1" ht="20.85" customHeight="1">
      <c r="A175" s="707"/>
      <c r="B175" s="708"/>
      <c r="C175" s="709"/>
      <c r="D175" s="692"/>
      <c r="E175" s="692" t="s">
        <v>3054</v>
      </c>
      <c r="F175" s="678">
        <f>Y175</f>
        <v>1000</v>
      </c>
      <c r="G175" s="678">
        <v>1000</v>
      </c>
      <c r="H175" s="790"/>
      <c r="I175" s="734"/>
      <c r="J175" s="1701" t="s">
        <v>3272</v>
      </c>
      <c r="K175" s="1702"/>
      <c r="L175" s="1702"/>
      <c r="M175" s="1702"/>
      <c r="N175" s="1702"/>
      <c r="O175" s="1702"/>
      <c r="P175" s="1702"/>
      <c r="Q175" s="735"/>
      <c r="R175" s="736"/>
      <c r="S175" s="728">
        <v>500000000</v>
      </c>
      <c r="T175" s="729" t="s">
        <v>2784</v>
      </c>
      <c r="U175" s="709"/>
      <c r="V175" s="2612">
        <v>2E-3</v>
      </c>
      <c r="W175" s="729"/>
      <c r="X175" s="731" t="s">
        <v>2785</v>
      </c>
      <c r="Y175" s="3110">
        <f t="shared" ref="Y175:Y187" si="12">S175*V175/1000</f>
        <v>1000</v>
      </c>
      <c r="Z175" s="713"/>
      <c r="AA175" s="713"/>
      <c r="AB175" s="714"/>
      <c r="AC175" s="713"/>
      <c r="AD175" s="713"/>
    </row>
    <row r="176" spans="1:30" s="715" customFormat="1" ht="20.85" customHeight="1">
      <c r="A176" s="707"/>
      <c r="B176" s="708"/>
      <c r="C176" s="709"/>
      <c r="D176" s="692"/>
      <c r="E176" s="692" t="s">
        <v>2786</v>
      </c>
      <c r="F176" s="678">
        <v>3000</v>
      </c>
      <c r="G176" s="678">
        <v>3000</v>
      </c>
      <c r="H176" s="790"/>
      <c r="I176" s="734"/>
      <c r="J176" s="1701" t="s">
        <v>3274</v>
      </c>
      <c r="K176" s="1702"/>
      <c r="L176" s="1702"/>
      <c r="M176" s="1702"/>
      <c r="N176" s="1702"/>
      <c r="O176" s="1702"/>
      <c r="P176" s="1702"/>
      <c r="Q176" s="735"/>
      <c r="R176" s="736"/>
      <c r="S176" s="728">
        <v>3000000</v>
      </c>
      <c r="T176" s="729" t="s">
        <v>2784</v>
      </c>
      <c r="U176" s="709"/>
      <c r="V176" s="730">
        <v>1</v>
      </c>
      <c r="W176" s="729" t="s">
        <v>2988</v>
      </c>
      <c r="X176" s="731" t="s">
        <v>2785</v>
      </c>
      <c r="Y176" s="3110">
        <f>S176*V176/1000</f>
        <v>3000</v>
      </c>
      <c r="Z176" s="713"/>
      <c r="AA176" s="713"/>
      <c r="AB176" s="714"/>
      <c r="AC176" s="713"/>
      <c r="AD176" s="713"/>
    </row>
    <row r="177" spans="1:31" s="715" customFormat="1" ht="20.85" customHeight="1">
      <c r="A177" s="707"/>
      <c r="B177" s="708"/>
      <c r="C177" s="709"/>
      <c r="D177" s="692"/>
      <c r="E177" s="692" t="s">
        <v>2987</v>
      </c>
      <c r="F177" s="678">
        <v>147390</v>
      </c>
      <c r="G177" s="678">
        <v>147390</v>
      </c>
      <c r="H177" s="790"/>
      <c r="I177" s="734"/>
      <c r="J177" s="1701" t="s">
        <v>2985</v>
      </c>
      <c r="K177" s="1702"/>
      <c r="L177" s="1702"/>
      <c r="M177" s="1702"/>
      <c r="N177" s="1702"/>
      <c r="O177" s="1702"/>
      <c r="P177" s="1702"/>
      <c r="Q177" s="735"/>
      <c r="R177" s="736"/>
      <c r="S177" s="728"/>
      <c r="T177" s="729"/>
      <c r="U177" s="709"/>
      <c r="V177" s="730"/>
      <c r="W177" s="729"/>
      <c r="X177" s="731"/>
      <c r="Y177" s="3110">
        <f>+Y178+Y179+Y180+Y181+Y182+Y183</f>
        <v>147390</v>
      </c>
      <c r="Z177" s="713"/>
      <c r="AA177" s="713"/>
      <c r="AB177" s="714"/>
      <c r="AC177" s="713"/>
      <c r="AD177" s="713"/>
    </row>
    <row r="178" spans="1:31" s="715" customFormat="1" ht="20.85" customHeight="1">
      <c r="A178" s="707"/>
      <c r="B178" s="708"/>
      <c r="C178" s="709"/>
      <c r="D178" s="692"/>
      <c r="E178" s="692"/>
      <c r="F178" s="678"/>
      <c r="G178" s="678"/>
      <c r="H178" s="733"/>
      <c r="I178" s="734"/>
      <c r="J178" s="1701" t="s">
        <v>3275</v>
      </c>
      <c r="K178" s="1702"/>
      <c r="L178" s="1702"/>
      <c r="M178" s="1702"/>
      <c r="N178" s="1702"/>
      <c r="O178" s="1702"/>
      <c r="P178" s="1702"/>
      <c r="Q178" s="735"/>
      <c r="R178" s="736"/>
      <c r="S178" s="728">
        <v>72390000</v>
      </c>
      <c r="T178" s="729" t="s">
        <v>2784</v>
      </c>
      <c r="U178" s="709"/>
      <c r="V178" s="730">
        <v>1</v>
      </c>
      <c r="W178" s="729" t="s">
        <v>2988</v>
      </c>
      <c r="X178" s="731" t="s">
        <v>2785</v>
      </c>
      <c r="Y178" s="3110">
        <f>S178*V178/1000</f>
        <v>72390</v>
      </c>
      <c r="Z178" s="713"/>
      <c r="AA178" s="713"/>
      <c r="AB178" s="714"/>
      <c r="AC178" s="713"/>
      <c r="AD178" s="713"/>
    </row>
    <row r="179" spans="1:31" s="715" customFormat="1" ht="20.85" customHeight="1">
      <c r="A179" s="707"/>
      <c r="B179" s="708"/>
      <c r="C179" s="709"/>
      <c r="D179" s="692"/>
      <c r="E179" s="692"/>
      <c r="F179" s="678"/>
      <c r="G179" s="678"/>
      <c r="H179" s="733"/>
      <c r="I179" s="734"/>
      <c r="J179" s="1701" t="s">
        <v>3276</v>
      </c>
      <c r="K179" s="1702"/>
      <c r="L179" s="1702"/>
      <c r="M179" s="1702"/>
      <c r="N179" s="1702"/>
      <c r="O179" s="1702"/>
      <c r="P179" s="1702"/>
      <c r="Q179" s="735"/>
      <c r="R179" s="736"/>
      <c r="S179" s="728">
        <v>16000000</v>
      </c>
      <c r="T179" s="729" t="s">
        <v>2784</v>
      </c>
      <c r="U179" s="709"/>
      <c r="V179" s="730">
        <v>1</v>
      </c>
      <c r="W179" s="729" t="s">
        <v>2988</v>
      </c>
      <c r="X179" s="731" t="s">
        <v>2785</v>
      </c>
      <c r="Y179" s="3110">
        <f t="shared" ref="Y179:Y183" si="13">S179*V179/1000</f>
        <v>16000</v>
      </c>
      <c r="Z179" s="713"/>
      <c r="AA179" s="713"/>
      <c r="AB179" s="714"/>
      <c r="AC179" s="713"/>
      <c r="AD179" s="713"/>
    </row>
    <row r="180" spans="1:31" s="715" customFormat="1" ht="20.85" customHeight="1">
      <c r="A180" s="707"/>
      <c r="B180" s="708"/>
      <c r="C180" s="709"/>
      <c r="D180" s="692"/>
      <c r="E180" s="692"/>
      <c r="F180" s="678"/>
      <c r="G180" s="678"/>
      <c r="H180" s="733"/>
      <c r="I180" s="734"/>
      <c r="J180" s="1701" t="s">
        <v>3277</v>
      </c>
      <c r="K180" s="1702"/>
      <c r="L180" s="1702"/>
      <c r="M180" s="1702"/>
      <c r="N180" s="1702"/>
      <c r="O180" s="1702"/>
      <c r="P180" s="1702"/>
      <c r="Q180" s="735"/>
      <c r="R180" s="736"/>
      <c r="S180" s="728">
        <v>11000000</v>
      </c>
      <c r="T180" s="729" t="s">
        <v>2784</v>
      </c>
      <c r="U180" s="709"/>
      <c r="V180" s="730">
        <v>1</v>
      </c>
      <c r="W180" s="729" t="s">
        <v>2988</v>
      </c>
      <c r="X180" s="731" t="s">
        <v>2785</v>
      </c>
      <c r="Y180" s="3110">
        <f t="shared" si="13"/>
        <v>11000</v>
      </c>
      <c r="Z180" s="713"/>
      <c r="AA180" s="713"/>
      <c r="AB180" s="714"/>
      <c r="AC180" s="713"/>
      <c r="AD180" s="713"/>
    </row>
    <row r="181" spans="1:31" s="715" customFormat="1" ht="20.85" customHeight="1">
      <c r="A181" s="707"/>
      <c r="B181" s="708"/>
      <c r="C181" s="709"/>
      <c r="D181" s="692"/>
      <c r="E181" s="692"/>
      <c r="F181" s="678"/>
      <c r="G181" s="678"/>
      <c r="H181" s="733"/>
      <c r="I181" s="734"/>
      <c r="J181" s="1701" t="s">
        <v>3278</v>
      </c>
      <c r="K181" s="1702"/>
      <c r="L181" s="1702"/>
      <c r="M181" s="1702"/>
      <c r="N181" s="1702"/>
      <c r="O181" s="1702"/>
      <c r="P181" s="1702"/>
      <c r="Q181" s="735"/>
      <c r="R181" s="736"/>
      <c r="S181" s="728">
        <v>20000000</v>
      </c>
      <c r="T181" s="729" t="s">
        <v>2784</v>
      </c>
      <c r="U181" s="709"/>
      <c r="V181" s="730">
        <v>1</v>
      </c>
      <c r="W181" s="729" t="s">
        <v>2988</v>
      </c>
      <c r="X181" s="731" t="s">
        <v>2785</v>
      </c>
      <c r="Y181" s="3110">
        <f t="shared" si="13"/>
        <v>20000</v>
      </c>
      <c r="Z181" s="713"/>
      <c r="AA181" s="713"/>
      <c r="AB181" s="714"/>
      <c r="AC181" s="713"/>
      <c r="AD181" s="713"/>
    </row>
    <row r="182" spans="1:31" s="715" customFormat="1" ht="20.85" customHeight="1">
      <c r="A182" s="707"/>
      <c r="B182" s="708"/>
      <c r="C182" s="709"/>
      <c r="D182" s="692"/>
      <c r="E182" s="692"/>
      <c r="F182" s="678"/>
      <c r="G182" s="678"/>
      <c r="H182" s="733"/>
      <c r="I182" s="734"/>
      <c r="J182" s="1701" t="s">
        <v>3279</v>
      </c>
      <c r="K182" s="1702"/>
      <c r="L182" s="1702"/>
      <c r="M182" s="1702"/>
      <c r="N182" s="1702"/>
      <c r="O182" s="1702"/>
      <c r="P182" s="1702"/>
      <c r="Q182" s="735"/>
      <c r="R182" s="736"/>
      <c r="S182" s="728">
        <v>22000000</v>
      </c>
      <c r="T182" s="729" t="s">
        <v>2784</v>
      </c>
      <c r="U182" s="709"/>
      <c r="V182" s="730">
        <v>1</v>
      </c>
      <c r="W182" s="729" t="s">
        <v>3191</v>
      </c>
      <c r="X182" s="731" t="s">
        <v>2785</v>
      </c>
      <c r="Y182" s="3110">
        <f t="shared" si="13"/>
        <v>22000</v>
      </c>
      <c r="Z182" s="713"/>
      <c r="AA182" s="713"/>
      <c r="AB182" s="714"/>
      <c r="AC182" s="713"/>
      <c r="AD182" s="713"/>
    </row>
    <row r="183" spans="1:31" s="715" customFormat="1" ht="20.85" customHeight="1">
      <c r="A183" s="707"/>
      <c r="B183" s="708"/>
      <c r="C183" s="709"/>
      <c r="D183" s="692"/>
      <c r="E183" s="692"/>
      <c r="F183" s="678"/>
      <c r="G183" s="678"/>
      <c r="H183" s="733"/>
      <c r="I183" s="734"/>
      <c r="J183" s="1701" t="s">
        <v>3280</v>
      </c>
      <c r="K183" s="1702"/>
      <c r="L183" s="1702"/>
      <c r="M183" s="1702"/>
      <c r="N183" s="1702"/>
      <c r="O183" s="1702"/>
      <c r="P183" s="1702"/>
      <c r="Q183" s="735"/>
      <c r="R183" s="736"/>
      <c r="S183" s="728">
        <v>6000000</v>
      </c>
      <c r="T183" s="729" t="s">
        <v>2784</v>
      </c>
      <c r="U183" s="709"/>
      <c r="V183" s="730">
        <v>1</v>
      </c>
      <c r="W183" s="729" t="s">
        <v>3191</v>
      </c>
      <c r="X183" s="731" t="s">
        <v>2785</v>
      </c>
      <c r="Y183" s="3110">
        <f t="shared" si="13"/>
        <v>6000</v>
      </c>
      <c r="Z183" s="713"/>
      <c r="AA183" s="713"/>
      <c r="AB183" s="714"/>
      <c r="AC183" s="713"/>
      <c r="AD183" s="713"/>
    </row>
    <row r="184" spans="1:31" s="715" customFormat="1" ht="20.85" customHeight="1">
      <c r="A184" s="707"/>
      <c r="B184" s="708"/>
      <c r="C184" s="709"/>
      <c r="D184" s="692"/>
      <c r="E184" s="692" t="s">
        <v>2984</v>
      </c>
      <c r="F184" s="678">
        <f>Y184+Y185</f>
        <v>2000</v>
      </c>
      <c r="G184" s="678">
        <v>2000</v>
      </c>
      <c r="H184" s="790"/>
      <c r="I184" s="734"/>
      <c r="J184" s="1701" t="s">
        <v>3281</v>
      </c>
      <c r="K184" s="1702"/>
      <c r="L184" s="1702"/>
      <c r="M184" s="1702"/>
      <c r="N184" s="1702"/>
      <c r="O184" s="1702"/>
      <c r="P184" s="1702"/>
      <c r="Q184" s="735"/>
      <c r="R184" s="736"/>
      <c r="S184" s="728">
        <v>250000</v>
      </c>
      <c r="T184" s="729" t="s">
        <v>2784</v>
      </c>
      <c r="U184" s="709"/>
      <c r="V184" s="730">
        <v>7</v>
      </c>
      <c r="W184" s="729" t="s">
        <v>3282</v>
      </c>
      <c r="X184" s="731" t="s">
        <v>2785</v>
      </c>
      <c r="Y184" s="3110">
        <f t="shared" si="12"/>
        <v>1750</v>
      </c>
      <c r="Z184" s="713"/>
      <c r="AA184" s="713"/>
      <c r="AB184" s="714"/>
      <c r="AC184" s="713"/>
      <c r="AD184" s="713"/>
    </row>
    <row r="185" spans="1:31" s="715" customFormat="1" ht="20.85" customHeight="1">
      <c r="A185" s="707"/>
      <c r="B185" s="708"/>
      <c r="C185" s="709"/>
      <c r="D185" s="692"/>
      <c r="E185" s="692"/>
      <c r="F185" s="678"/>
      <c r="G185" s="678"/>
      <c r="H185" s="733"/>
      <c r="I185" s="734"/>
      <c r="J185" s="1701" t="s">
        <v>3283</v>
      </c>
      <c r="K185" s="1702"/>
      <c r="L185" s="1702"/>
      <c r="M185" s="1702"/>
      <c r="N185" s="1702"/>
      <c r="O185" s="1702"/>
      <c r="P185" s="1702"/>
      <c r="Q185" s="735"/>
      <c r="R185" s="736"/>
      <c r="S185" s="728">
        <v>250000</v>
      </c>
      <c r="T185" s="729" t="s">
        <v>2784</v>
      </c>
      <c r="U185" s="709"/>
      <c r="V185" s="730">
        <v>1</v>
      </c>
      <c r="W185" s="729" t="s">
        <v>3282</v>
      </c>
      <c r="X185" s="731" t="s">
        <v>2785</v>
      </c>
      <c r="Y185" s="3110">
        <f t="shared" si="12"/>
        <v>250</v>
      </c>
      <c r="Z185" s="713"/>
      <c r="AA185" s="713"/>
      <c r="AB185" s="714"/>
      <c r="AC185" s="713"/>
      <c r="AD185" s="713"/>
    </row>
    <row r="186" spans="1:31" s="715" customFormat="1" ht="20.85" customHeight="1">
      <c r="A186" s="707"/>
      <c r="B186" s="708"/>
      <c r="C186" s="709"/>
      <c r="D186" s="692"/>
      <c r="E186" s="675" t="s">
        <v>2994</v>
      </c>
      <c r="F186" s="678">
        <f>Y186</f>
        <v>3000</v>
      </c>
      <c r="G186" s="678">
        <v>3000</v>
      </c>
      <c r="H186" s="790"/>
      <c r="I186" s="734"/>
      <c r="J186" s="791" t="s">
        <v>3284</v>
      </c>
      <c r="K186" s="709"/>
      <c r="L186" s="709"/>
      <c r="M186" s="709"/>
      <c r="N186" s="709"/>
      <c r="O186" s="709"/>
      <c r="P186" s="709"/>
      <c r="Q186" s="735">
        <v>1</v>
      </c>
      <c r="R186" s="736" t="s">
        <v>3007</v>
      </c>
      <c r="S186" s="728">
        <v>20000</v>
      </c>
      <c r="T186" s="729" t="s">
        <v>2784</v>
      </c>
      <c r="U186" s="709"/>
      <c r="V186" s="730">
        <v>150</v>
      </c>
      <c r="W186" s="729" t="s">
        <v>3282</v>
      </c>
      <c r="X186" s="731" t="s">
        <v>2785</v>
      </c>
      <c r="Y186" s="3110">
        <f>S186*V186/1000</f>
        <v>3000</v>
      </c>
      <c r="Z186" s="713"/>
      <c r="AA186" s="713"/>
      <c r="AB186" s="714"/>
      <c r="AC186" s="713"/>
      <c r="AD186" s="713"/>
    </row>
    <row r="187" spans="1:31" s="715" customFormat="1" ht="20.85" customHeight="1">
      <c r="A187" s="707"/>
      <c r="B187" s="708"/>
      <c r="C187" s="709"/>
      <c r="D187" s="692"/>
      <c r="E187" s="692" t="s">
        <v>2998</v>
      </c>
      <c r="F187" s="2040">
        <f t="shared" ref="F187" si="14">Y187</f>
        <v>500</v>
      </c>
      <c r="G187" s="2040">
        <v>500</v>
      </c>
      <c r="H187" s="790"/>
      <c r="I187" s="734"/>
      <c r="J187" s="1115" t="s">
        <v>3285</v>
      </c>
      <c r="K187" s="1093"/>
      <c r="L187" s="1093"/>
      <c r="M187" s="1093"/>
      <c r="N187" s="1093"/>
      <c r="O187" s="1093"/>
      <c r="P187" s="1093"/>
      <c r="Q187" s="1187"/>
      <c r="R187" s="1116"/>
      <c r="S187" s="1188">
        <v>100000</v>
      </c>
      <c r="T187" s="1090" t="s">
        <v>2784</v>
      </c>
      <c r="U187" s="1093"/>
      <c r="V187" s="1094">
        <v>5</v>
      </c>
      <c r="W187" s="1090" t="s">
        <v>2988</v>
      </c>
      <c r="X187" s="2115" t="s">
        <v>2785</v>
      </c>
      <c r="Y187" s="3110">
        <f t="shared" si="12"/>
        <v>500</v>
      </c>
      <c r="Z187" s="713"/>
      <c r="AA187" s="713"/>
      <c r="AB187" s="714"/>
      <c r="AC187" s="713"/>
      <c r="AD187" s="713"/>
    </row>
    <row r="188" spans="1:31" s="715" customFormat="1" ht="20.85" customHeight="1">
      <c r="A188" s="707"/>
      <c r="B188" s="708"/>
      <c r="C188" s="3955" t="s">
        <v>6023</v>
      </c>
      <c r="D188" s="4049"/>
      <c r="E188" s="3883"/>
      <c r="F188" s="697">
        <f>+F189+F200+F213+F234+F251+F221+F265+F276</f>
        <v>288700</v>
      </c>
      <c r="G188" s="697">
        <f>+G189+G200+G213+G234+G251+G221+G265+G276</f>
        <v>282700</v>
      </c>
      <c r="H188" s="933">
        <f>F188-G188</f>
        <v>6000</v>
      </c>
      <c r="I188" s="734"/>
      <c r="J188" s="1115"/>
      <c r="K188" s="1093"/>
      <c r="L188" s="1093"/>
      <c r="M188" s="1093"/>
      <c r="N188" s="1093"/>
      <c r="O188" s="1093"/>
      <c r="P188" s="1093"/>
      <c r="Q188" s="1187"/>
      <c r="R188" s="1116"/>
      <c r="S188" s="1188"/>
      <c r="T188" s="1093"/>
      <c r="U188" s="1093"/>
      <c r="V188" s="1094"/>
      <c r="W188" s="1093"/>
      <c r="X188" s="1976"/>
      <c r="Y188" s="1105"/>
      <c r="Z188" s="713"/>
      <c r="AA188" s="713"/>
      <c r="AB188" s="714"/>
      <c r="AC188" s="713"/>
      <c r="AD188" s="713"/>
    </row>
    <row r="189" spans="1:31" s="715" customFormat="1" ht="20.85" customHeight="1">
      <c r="A189" s="707"/>
      <c r="B189" s="708"/>
      <c r="C189" s="709"/>
      <c r="D189" s="3840" t="s">
        <v>3286</v>
      </c>
      <c r="E189" s="4046"/>
      <c r="F189" s="1192">
        <f>SUM(F190:F199)</f>
        <v>50000</v>
      </c>
      <c r="G189" s="2040">
        <f>SUM(G190:G199)</f>
        <v>50000</v>
      </c>
      <c r="H189" s="933">
        <f>F189-G189</f>
        <v>0</v>
      </c>
      <c r="I189" s="734"/>
      <c r="J189" s="1074"/>
      <c r="K189" s="2094"/>
      <c r="L189" s="2094"/>
      <c r="M189" s="2094"/>
      <c r="N189" s="2094"/>
      <c r="O189" s="2094"/>
      <c r="P189" s="2094"/>
      <c r="Q189" s="1119"/>
      <c r="R189" s="1075"/>
      <c r="S189" s="1210"/>
      <c r="T189" s="2094"/>
      <c r="U189" s="2094"/>
      <c r="V189" s="1063"/>
      <c r="W189" s="2094"/>
      <c r="X189" s="2112"/>
      <c r="Y189" s="1104"/>
      <c r="Z189" s="713"/>
      <c r="AA189" s="713"/>
      <c r="AB189" s="714"/>
      <c r="AC189" s="713"/>
      <c r="AD189" s="713"/>
    </row>
    <row r="190" spans="1:31" s="715" customFormat="1" ht="20.85" customHeight="1">
      <c r="A190" s="707"/>
      <c r="B190" s="708"/>
      <c r="C190" s="709"/>
      <c r="D190" s="692"/>
      <c r="E190" s="692" t="s">
        <v>3019</v>
      </c>
      <c r="F190" s="678">
        <f>Y190</f>
        <v>28500</v>
      </c>
      <c r="G190" s="678">
        <v>28500</v>
      </c>
      <c r="H190" s="1190"/>
      <c r="I190" s="734"/>
      <c r="J190" s="673" t="s">
        <v>3287</v>
      </c>
      <c r="K190" s="917"/>
      <c r="L190" s="917"/>
      <c r="M190" s="1702"/>
      <c r="N190" s="1702"/>
      <c r="O190" s="1702"/>
      <c r="P190" s="1702"/>
      <c r="Q190" s="735">
        <v>1</v>
      </c>
      <c r="R190" s="736" t="s">
        <v>3195</v>
      </c>
      <c r="S190" s="728">
        <v>2375000</v>
      </c>
      <c r="T190" s="729" t="s">
        <v>3186</v>
      </c>
      <c r="U190" s="709"/>
      <c r="V190" s="730">
        <v>12</v>
      </c>
      <c r="W190" s="729" t="s">
        <v>2989</v>
      </c>
      <c r="X190" s="731"/>
      <c r="Y190" s="3110">
        <v>28500</v>
      </c>
      <c r="Z190" s="713"/>
      <c r="AA190" s="713"/>
      <c r="AB190" s="713"/>
      <c r="AC190" s="713"/>
      <c r="AD190" s="1236"/>
    </row>
    <row r="191" spans="1:31" s="715" customFormat="1" ht="20.85" customHeight="1">
      <c r="A191" s="707"/>
      <c r="B191" s="708"/>
      <c r="C191" s="709"/>
      <c r="D191" s="692"/>
      <c r="E191" s="692" t="s">
        <v>3005</v>
      </c>
      <c r="F191" s="678">
        <v>4900</v>
      </c>
      <c r="G191" s="678">
        <v>4900</v>
      </c>
      <c r="H191" s="1190"/>
      <c r="I191" s="734"/>
      <c r="J191" s="1701" t="s">
        <v>3288</v>
      </c>
      <c r="K191" s="917"/>
      <c r="L191" s="917"/>
      <c r="M191" s="1702"/>
      <c r="N191" s="1702"/>
      <c r="O191" s="1702"/>
      <c r="P191" s="1702"/>
      <c r="Q191" s="735"/>
      <c r="R191" s="736"/>
      <c r="S191" s="728"/>
      <c r="T191" s="729"/>
      <c r="U191" s="709"/>
      <c r="V191" s="730"/>
      <c r="W191" s="729"/>
      <c r="X191" s="731"/>
      <c r="Y191" s="3110">
        <v>4900</v>
      </c>
      <c r="Z191" s="720"/>
      <c r="AA191" s="720"/>
      <c r="AB191" s="720"/>
      <c r="AC191" s="720"/>
      <c r="AD191" s="720"/>
      <c r="AE191" s="715" t="s">
        <v>903</v>
      </c>
    </row>
    <row r="192" spans="1:31" s="715" customFormat="1" ht="20.85" customHeight="1">
      <c r="A192" s="707"/>
      <c r="B192" s="708"/>
      <c r="C192" s="709"/>
      <c r="D192" s="692"/>
      <c r="E192" s="692"/>
      <c r="F192" s="678"/>
      <c r="G192" s="678"/>
      <c r="H192" s="733"/>
      <c r="I192" s="734"/>
      <c r="J192" s="673" t="s">
        <v>3289</v>
      </c>
      <c r="K192" s="917"/>
      <c r="L192" s="917"/>
      <c r="M192" s="1702"/>
      <c r="N192" s="1702"/>
      <c r="O192" s="1702"/>
      <c r="P192" s="1702"/>
      <c r="Q192" s="735"/>
      <c r="R192" s="736"/>
      <c r="S192" s="728">
        <v>1800000</v>
      </c>
      <c r="T192" s="729" t="s">
        <v>3186</v>
      </c>
      <c r="U192" s="709"/>
      <c r="V192" s="730">
        <v>1</v>
      </c>
      <c r="W192" s="729" t="s">
        <v>3290</v>
      </c>
      <c r="X192" s="731" t="s">
        <v>3187</v>
      </c>
      <c r="Y192" s="3110">
        <v>1800</v>
      </c>
      <c r="Z192" s="720"/>
      <c r="AA192" s="720"/>
      <c r="AB192" s="720"/>
      <c r="AC192" s="720"/>
      <c r="AD192" s="720"/>
      <c r="AE192" s="715" t="s">
        <v>904</v>
      </c>
    </row>
    <row r="193" spans="1:31" s="715" customFormat="1" ht="20.85" customHeight="1">
      <c r="A193" s="707"/>
      <c r="B193" s="708"/>
      <c r="C193" s="709"/>
      <c r="D193" s="692"/>
      <c r="E193" s="692"/>
      <c r="F193" s="678"/>
      <c r="G193" s="678"/>
      <c r="H193" s="1190"/>
      <c r="I193" s="734"/>
      <c r="J193" s="673" t="s">
        <v>3291</v>
      </c>
      <c r="K193" s="1702"/>
      <c r="L193" s="1702"/>
      <c r="M193" s="1702"/>
      <c r="N193" s="1702"/>
      <c r="O193" s="1702"/>
      <c r="P193" s="1702"/>
      <c r="Q193" s="735"/>
      <c r="R193" s="736"/>
      <c r="S193" s="728">
        <v>2000000</v>
      </c>
      <c r="T193" s="729" t="s">
        <v>3186</v>
      </c>
      <c r="U193" s="709"/>
      <c r="V193" s="730">
        <v>1</v>
      </c>
      <c r="W193" s="729" t="s">
        <v>3290</v>
      </c>
      <c r="X193" s="731" t="s">
        <v>2785</v>
      </c>
      <c r="Y193" s="3110">
        <v>2000</v>
      </c>
      <c r="Z193" s="713"/>
      <c r="AA193" s="713"/>
      <c r="AB193" s="714"/>
      <c r="AC193" s="713"/>
      <c r="AD193" s="713"/>
    </row>
    <row r="194" spans="1:31" s="715" customFormat="1" ht="20.85" customHeight="1">
      <c r="A194" s="707"/>
      <c r="B194" s="708"/>
      <c r="C194" s="709"/>
      <c r="D194" s="692"/>
      <c r="E194" s="692"/>
      <c r="F194" s="678"/>
      <c r="G194" s="678"/>
      <c r="H194" s="733"/>
      <c r="I194" s="734"/>
      <c r="J194" s="673" t="s">
        <v>3292</v>
      </c>
      <c r="K194" s="917"/>
      <c r="L194" s="917"/>
      <c r="M194" s="1702"/>
      <c r="N194" s="1702"/>
      <c r="O194" s="1702"/>
      <c r="P194" s="1702"/>
      <c r="Q194" s="735"/>
      <c r="R194" s="736"/>
      <c r="S194" s="728">
        <v>300000</v>
      </c>
      <c r="T194" s="729" t="s">
        <v>3186</v>
      </c>
      <c r="U194" s="709"/>
      <c r="V194" s="730">
        <v>1</v>
      </c>
      <c r="W194" s="729" t="s">
        <v>3290</v>
      </c>
      <c r="X194" s="731" t="s">
        <v>3187</v>
      </c>
      <c r="Y194" s="3110">
        <f>S194*V194/1000</f>
        <v>300</v>
      </c>
      <c r="Z194" s="713"/>
      <c r="AA194" s="713"/>
      <c r="AB194" s="714"/>
      <c r="AC194" s="713"/>
      <c r="AD194" s="713"/>
    </row>
    <row r="195" spans="1:31" s="715" customFormat="1" ht="20.85" customHeight="1">
      <c r="A195" s="707"/>
      <c r="B195" s="708"/>
      <c r="C195" s="709"/>
      <c r="D195" s="692"/>
      <c r="E195" s="692"/>
      <c r="F195" s="678"/>
      <c r="G195" s="678"/>
      <c r="H195" s="733"/>
      <c r="I195" s="734"/>
      <c r="J195" s="673" t="s">
        <v>3293</v>
      </c>
      <c r="K195" s="917"/>
      <c r="L195" s="917"/>
      <c r="M195" s="1702"/>
      <c r="N195" s="1702"/>
      <c r="O195" s="1702"/>
      <c r="P195" s="1702"/>
      <c r="Q195" s="735"/>
      <c r="R195" s="736"/>
      <c r="S195" s="728">
        <v>800000</v>
      </c>
      <c r="T195" s="729" t="s">
        <v>3186</v>
      </c>
      <c r="U195" s="709"/>
      <c r="V195" s="730">
        <v>1</v>
      </c>
      <c r="W195" s="729" t="s">
        <v>3290</v>
      </c>
      <c r="X195" s="731" t="s">
        <v>3187</v>
      </c>
      <c r="Y195" s="3110">
        <f>S195*V195/1000</f>
        <v>800</v>
      </c>
      <c r="Z195" s="713"/>
      <c r="AA195" s="713"/>
      <c r="AB195" s="714"/>
      <c r="AC195" s="713"/>
      <c r="AD195" s="713"/>
    </row>
    <row r="196" spans="1:31" s="715" customFormat="1" ht="20.85" customHeight="1">
      <c r="A196" s="707"/>
      <c r="B196" s="708"/>
      <c r="C196" s="709"/>
      <c r="D196" s="692"/>
      <c r="E196" s="692" t="s">
        <v>2786</v>
      </c>
      <c r="F196" s="678">
        <v>1000</v>
      </c>
      <c r="G196" s="678">
        <v>1000</v>
      </c>
      <c r="H196" s="1190"/>
      <c r="I196" s="734"/>
      <c r="J196" s="673" t="s">
        <v>3294</v>
      </c>
      <c r="K196" s="917"/>
      <c r="L196" s="917"/>
      <c r="M196" s="1702"/>
      <c r="N196" s="1702"/>
      <c r="O196" s="1702"/>
      <c r="P196" s="1702"/>
      <c r="Q196" s="735">
        <v>1</v>
      </c>
      <c r="R196" s="736" t="s">
        <v>3195</v>
      </c>
      <c r="S196" s="728">
        <v>100000</v>
      </c>
      <c r="T196" s="729" t="s">
        <v>3186</v>
      </c>
      <c r="U196" s="709"/>
      <c r="V196" s="730">
        <v>1</v>
      </c>
      <c r="W196" s="729" t="s">
        <v>3290</v>
      </c>
      <c r="X196" s="731" t="s">
        <v>3187</v>
      </c>
      <c r="Y196" s="3110">
        <v>1000</v>
      </c>
      <c r="Z196" s="713"/>
      <c r="AA196" s="713"/>
      <c r="AB196" s="714"/>
      <c r="AC196" s="713"/>
      <c r="AD196" s="713"/>
    </row>
    <row r="197" spans="1:31" s="715" customFormat="1" ht="20.85" customHeight="1">
      <c r="A197" s="707"/>
      <c r="B197" s="708"/>
      <c r="C197" s="709"/>
      <c r="D197" s="692"/>
      <c r="E197" s="692" t="s">
        <v>2994</v>
      </c>
      <c r="F197" s="678">
        <v>1500</v>
      </c>
      <c r="G197" s="678">
        <v>1500</v>
      </c>
      <c r="H197" s="1190"/>
      <c r="I197" s="734"/>
      <c r="J197" s="791" t="s">
        <v>3295</v>
      </c>
      <c r="K197" s="917"/>
      <c r="L197" s="917"/>
      <c r="M197" s="1702"/>
      <c r="N197" s="1702"/>
      <c r="O197" s="1702"/>
      <c r="P197" s="1702"/>
      <c r="Q197" s="735"/>
      <c r="R197" s="736"/>
      <c r="S197" s="728">
        <v>300000</v>
      </c>
      <c r="T197" s="729" t="s">
        <v>3186</v>
      </c>
      <c r="U197" s="709"/>
      <c r="V197" s="730">
        <v>5</v>
      </c>
      <c r="W197" s="729" t="s">
        <v>3189</v>
      </c>
      <c r="X197" s="731" t="s">
        <v>3187</v>
      </c>
      <c r="Y197" s="3110">
        <v>1500</v>
      </c>
      <c r="Z197" s="713"/>
      <c r="AA197" s="713"/>
      <c r="AB197" s="714"/>
      <c r="AC197" s="713"/>
      <c r="AD197" s="713"/>
    </row>
    <row r="198" spans="1:31" s="715" customFormat="1" ht="20.85" customHeight="1">
      <c r="A198" s="707"/>
      <c r="B198" s="708"/>
      <c r="C198" s="709"/>
      <c r="D198" s="692"/>
      <c r="E198" s="675" t="s">
        <v>2987</v>
      </c>
      <c r="F198" s="1078">
        <f>SUM(Y198)</f>
        <v>5000</v>
      </c>
      <c r="G198" s="678">
        <v>5000</v>
      </c>
      <c r="H198" s="1190"/>
      <c r="I198" s="734"/>
      <c r="J198" s="673" t="s">
        <v>3296</v>
      </c>
      <c r="K198" s="917"/>
      <c r="L198" s="917"/>
      <c r="M198" s="1702"/>
      <c r="N198" s="1702"/>
      <c r="O198" s="1702"/>
      <c r="P198" s="1702"/>
      <c r="Q198" s="735"/>
      <c r="R198" s="736"/>
      <c r="S198" s="728">
        <v>5000000</v>
      </c>
      <c r="T198" s="729" t="s">
        <v>3186</v>
      </c>
      <c r="U198" s="709"/>
      <c r="V198" s="730">
        <v>1</v>
      </c>
      <c r="W198" s="729" t="s">
        <v>3191</v>
      </c>
      <c r="X198" s="731" t="s">
        <v>2785</v>
      </c>
      <c r="Y198" s="3110">
        <f>SUM(S198*V198/1000)</f>
        <v>5000</v>
      </c>
      <c r="Z198" s="713"/>
      <c r="AA198" s="713"/>
      <c r="AB198" s="714"/>
      <c r="AC198" s="713"/>
      <c r="AD198" s="713"/>
    </row>
    <row r="199" spans="1:31" s="715" customFormat="1" ht="20.85" customHeight="1">
      <c r="A199" s="707"/>
      <c r="B199" s="708"/>
      <c r="C199" s="709"/>
      <c r="D199" s="692"/>
      <c r="E199" s="692" t="s">
        <v>2984</v>
      </c>
      <c r="F199" s="678">
        <f>Y199</f>
        <v>9100</v>
      </c>
      <c r="G199" s="678">
        <v>9100</v>
      </c>
      <c r="H199" s="1190"/>
      <c r="I199" s="734"/>
      <c r="J199" s="791" t="s">
        <v>3297</v>
      </c>
      <c r="K199" s="709"/>
      <c r="L199" s="709"/>
      <c r="M199" s="709"/>
      <c r="N199" s="709"/>
      <c r="O199" s="709"/>
      <c r="P199" s="709"/>
      <c r="Q199" s="735">
        <v>1</v>
      </c>
      <c r="R199" s="736" t="s">
        <v>3195</v>
      </c>
      <c r="S199" s="728">
        <v>70000</v>
      </c>
      <c r="T199" s="709" t="s">
        <v>3186</v>
      </c>
      <c r="U199" s="709"/>
      <c r="V199" s="730">
        <v>130</v>
      </c>
      <c r="W199" s="709" t="s">
        <v>2983</v>
      </c>
      <c r="X199" s="792" t="s">
        <v>2785</v>
      </c>
      <c r="Y199" s="3110">
        <f>S199*V199/1000</f>
        <v>9100</v>
      </c>
      <c r="Z199" s="713"/>
      <c r="AA199" s="713"/>
      <c r="AB199" s="714"/>
      <c r="AC199" s="713"/>
      <c r="AD199" s="713"/>
    </row>
    <row r="200" spans="1:31" s="715" customFormat="1" ht="20.85" customHeight="1">
      <c r="A200" s="707"/>
      <c r="B200" s="708"/>
      <c r="C200" s="709"/>
      <c r="D200" s="3825" t="s">
        <v>3298</v>
      </c>
      <c r="E200" s="3924"/>
      <c r="F200" s="2049">
        <f>SUM(F201:F212)</f>
        <v>95000</v>
      </c>
      <c r="G200" s="1192">
        <f>SUM(G201:G212)</f>
        <v>95000</v>
      </c>
      <c r="H200" s="2021">
        <f>F200-G200</f>
        <v>0</v>
      </c>
      <c r="I200" s="634"/>
      <c r="J200" s="665"/>
      <c r="K200" s="2101"/>
      <c r="L200" s="2101"/>
      <c r="M200" s="2101"/>
      <c r="N200" s="2101"/>
      <c r="O200" s="2101"/>
      <c r="P200" s="2101"/>
      <c r="Q200" s="646"/>
      <c r="R200" s="645"/>
      <c r="S200" s="711"/>
      <c r="T200" s="2101"/>
      <c r="U200" s="2101"/>
      <c r="V200" s="712"/>
      <c r="W200" s="2101"/>
      <c r="X200" s="515"/>
      <c r="Y200" s="587"/>
      <c r="Z200" s="713"/>
      <c r="AA200" s="713"/>
      <c r="AB200" s="714"/>
      <c r="AC200" s="713"/>
      <c r="AD200" s="713"/>
    </row>
    <row r="201" spans="1:31" s="715" customFormat="1" ht="20.85" customHeight="1">
      <c r="A201" s="707"/>
      <c r="B201" s="708"/>
      <c r="C201" s="709"/>
      <c r="D201" s="716"/>
      <c r="E201" s="716" t="s">
        <v>3019</v>
      </c>
      <c r="F201" s="558">
        <f>Y201</f>
        <v>60336</v>
      </c>
      <c r="G201" s="558">
        <v>60336</v>
      </c>
      <c r="H201" s="717"/>
      <c r="I201" s="634"/>
      <c r="J201" s="1942" t="s">
        <v>3288</v>
      </c>
      <c r="K201" s="1943"/>
      <c r="L201" s="1943"/>
      <c r="M201" s="1943"/>
      <c r="N201" s="1943"/>
      <c r="O201" s="1943"/>
      <c r="P201" s="1943"/>
      <c r="Q201" s="511"/>
      <c r="R201" s="482"/>
      <c r="S201" s="718"/>
      <c r="T201" s="625"/>
      <c r="U201" s="1934"/>
      <c r="V201" s="504"/>
      <c r="W201" s="625"/>
      <c r="X201" s="719"/>
      <c r="Y201" s="3110">
        <f>SUM(Y202:Y203)</f>
        <v>60336</v>
      </c>
      <c r="Z201" s="713"/>
      <c r="AA201" s="713"/>
      <c r="AB201" s="714"/>
      <c r="AC201" s="713"/>
      <c r="AD201" s="713"/>
    </row>
    <row r="202" spans="1:31" s="715" customFormat="1" ht="20.85" customHeight="1">
      <c r="A202" s="707"/>
      <c r="B202" s="708"/>
      <c r="C202" s="709"/>
      <c r="D202" s="716"/>
      <c r="E202" s="716"/>
      <c r="F202" s="558"/>
      <c r="G202" s="558"/>
      <c r="H202" s="717"/>
      <c r="I202" s="634"/>
      <c r="J202" s="1931" t="s">
        <v>3299</v>
      </c>
      <c r="K202" s="1943"/>
      <c r="L202" s="1943"/>
      <c r="M202" s="1943"/>
      <c r="N202" s="1943"/>
      <c r="O202" s="1943"/>
      <c r="P202" s="1943"/>
      <c r="Q202" s="511">
        <v>1</v>
      </c>
      <c r="R202" s="482" t="s">
        <v>3195</v>
      </c>
      <c r="S202" s="718">
        <v>2288000</v>
      </c>
      <c r="T202" s="625" t="s">
        <v>2784</v>
      </c>
      <c r="U202" s="1934"/>
      <c r="V202" s="504">
        <v>12</v>
      </c>
      <c r="W202" s="625" t="s">
        <v>2989</v>
      </c>
      <c r="X202" s="719" t="s">
        <v>2785</v>
      </c>
      <c r="Y202" s="3110">
        <f>(Q202*S202*V202)/1000</f>
        <v>27456</v>
      </c>
      <c r="Z202" s="720"/>
      <c r="AA202" s="720"/>
      <c r="AB202" s="720"/>
      <c r="AC202" s="720"/>
      <c r="AD202" s="720"/>
    </row>
    <row r="203" spans="1:31" s="715" customFormat="1" ht="20.85" customHeight="1">
      <c r="A203" s="707"/>
      <c r="B203" s="708"/>
      <c r="C203" s="709"/>
      <c r="D203" s="716"/>
      <c r="E203" s="716"/>
      <c r="F203" s="558"/>
      <c r="G203" s="558"/>
      <c r="H203" s="717"/>
      <c r="I203" s="634"/>
      <c r="J203" s="481" t="s">
        <v>3300</v>
      </c>
      <c r="K203" s="1934"/>
      <c r="L203" s="1934"/>
      <c r="M203" s="1934"/>
      <c r="N203" s="1934"/>
      <c r="O203" s="1934"/>
      <c r="P203" s="1934"/>
      <c r="Q203" s="511">
        <v>2</v>
      </c>
      <c r="R203" s="482" t="s">
        <v>3195</v>
      </c>
      <c r="S203" s="718">
        <v>1370000</v>
      </c>
      <c r="T203" s="625" t="s">
        <v>2784</v>
      </c>
      <c r="U203" s="1934"/>
      <c r="V203" s="504">
        <v>12</v>
      </c>
      <c r="W203" s="625" t="s">
        <v>2989</v>
      </c>
      <c r="X203" s="719" t="s">
        <v>2785</v>
      </c>
      <c r="Y203" s="3110">
        <f>(Q203*S203*V203)/1000</f>
        <v>32880</v>
      </c>
      <c r="Z203" s="720"/>
      <c r="AA203" s="720"/>
      <c r="AB203" s="720"/>
      <c r="AC203" s="720"/>
      <c r="AD203" s="720"/>
      <c r="AE203" s="715" t="s">
        <v>903</v>
      </c>
    </row>
    <row r="204" spans="1:31" s="715" customFormat="1" ht="20.85" customHeight="1">
      <c r="A204" s="707"/>
      <c r="B204" s="708"/>
      <c r="C204" s="709"/>
      <c r="D204" s="468"/>
      <c r="E204" s="716" t="s">
        <v>3005</v>
      </c>
      <c r="F204" s="558">
        <f>Y204</f>
        <v>5250</v>
      </c>
      <c r="G204" s="558">
        <v>5250</v>
      </c>
      <c r="H204" s="717"/>
      <c r="I204" s="634"/>
      <c r="J204" s="481" t="s">
        <v>3288</v>
      </c>
      <c r="K204" s="1934"/>
      <c r="L204" s="1934"/>
      <c r="M204" s="1934"/>
      <c r="N204" s="1934"/>
      <c r="O204" s="1934"/>
      <c r="P204" s="1934"/>
      <c r="Q204" s="511"/>
      <c r="R204" s="482"/>
      <c r="S204" s="718"/>
      <c r="T204" s="625"/>
      <c r="U204" s="1934"/>
      <c r="V204" s="504"/>
      <c r="W204" s="625"/>
      <c r="X204" s="719"/>
      <c r="Y204" s="3110">
        <f>SUM(Y205:Y206)</f>
        <v>5250</v>
      </c>
      <c r="Z204" s="720"/>
      <c r="AA204" s="720"/>
      <c r="AB204" s="720"/>
      <c r="AC204" s="720"/>
      <c r="AD204" s="720"/>
      <c r="AE204" s="715" t="s">
        <v>1259</v>
      </c>
    </row>
    <row r="205" spans="1:31" s="715" customFormat="1" ht="20.85" customHeight="1">
      <c r="A205" s="707"/>
      <c r="B205" s="708"/>
      <c r="C205" s="709"/>
      <c r="D205" s="468"/>
      <c r="E205" s="716"/>
      <c r="F205" s="558"/>
      <c r="G205" s="558"/>
      <c r="H205" s="717"/>
      <c r="I205" s="634"/>
      <c r="J205" s="481" t="s">
        <v>3301</v>
      </c>
      <c r="K205" s="1934"/>
      <c r="L205" s="1934"/>
      <c r="M205" s="1934"/>
      <c r="N205" s="1934"/>
      <c r="O205" s="1934"/>
      <c r="P205" s="1934"/>
      <c r="Q205" s="511"/>
      <c r="R205" s="482"/>
      <c r="S205" s="718">
        <v>150000</v>
      </c>
      <c r="T205" s="625" t="s">
        <v>3186</v>
      </c>
      <c r="U205" s="1934"/>
      <c r="V205" s="504">
        <v>20</v>
      </c>
      <c r="W205" s="625" t="s">
        <v>3189</v>
      </c>
      <c r="X205" s="719" t="s">
        <v>3187</v>
      </c>
      <c r="Y205" s="3110">
        <f>SUM(S205*V205/1000)</f>
        <v>3000</v>
      </c>
      <c r="Z205" s="713"/>
      <c r="AA205" s="713"/>
      <c r="AB205" s="714"/>
      <c r="AC205" s="713"/>
      <c r="AD205" s="713"/>
    </row>
    <row r="206" spans="1:31" s="715" customFormat="1" ht="20.85" customHeight="1">
      <c r="A206" s="707"/>
      <c r="B206" s="708"/>
      <c r="C206" s="709"/>
      <c r="D206" s="716"/>
      <c r="E206" s="716"/>
      <c r="F206" s="468"/>
      <c r="G206" s="558"/>
      <c r="H206" s="717"/>
      <c r="I206" s="634"/>
      <c r="J206" s="1931" t="s">
        <v>3302</v>
      </c>
      <c r="K206" s="1943"/>
      <c r="L206" s="1943"/>
      <c r="M206" s="1943"/>
      <c r="N206" s="1943"/>
      <c r="O206" s="1943"/>
      <c r="P206" s="1943"/>
      <c r="Q206" s="511"/>
      <c r="R206" s="482"/>
      <c r="S206" s="718">
        <v>150000</v>
      </c>
      <c r="T206" s="625" t="s">
        <v>3186</v>
      </c>
      <c r="U206" s="1934"/>
      <c r="V206" s="504">
        <v>15</v>
      </c>
      <c r="W206" s="625" t="s">
        <v>3189</v>
      </c>
      <c r="X206" s="719" t="s">
        <v>3187</v>
      </c>
      <c r="Y206" s="3110">
        <f>S206*V206/1000</f>
        <v>2250</v>
      </c>
      <c r="Z206" s="713"/>
      <c r="AA206" s="713"/>
      <c r="AB206" s="714"/>
      <c r="AC206" s="713"/>
      <c r="AD206" s="713"/>
    </row>
    <row r="207" spans="1:31" s="715" customFormat="1" ht="20.85" customHeight="1">
      <c r="A207" s="707"/>
      <c r="B207" s="708"/>
      <c r="C207" s="709"/>
      <c r="D207" s="716"/>
      <c r="E207" s="468" t="s">
        <v>2786</v>
      </c>
      <c r="F207" s="721">
        <f>SUM(Y207)</f>
        <v>1440</v>
      </c>
      <c r="G207" s="558">
        <v>1440</v>
      </c>
      <c r="H207" s="717"/>
      <c r="I207" s="634"/>
      <c r="J207" s="1931" t="s">
        <v>3294</v>
      </c>
      <c r="K207" s="1943"/>
      <c r="L207" s="1943"/>
      <c r="M207" s="1943"/>
      <c r="N207" s="1943"/>
      <c r="O207" s="511">
        <v>1</v>
      </c>
      <c r="P207" s="482" t="s">
        <v>3195</v>
      </c>
      <c r="Q207" s="511">
        <v>3</v>
      </c>
      <c r="R207" s="482" t="s">
        <v>3007</v>
      </c>
      <c r="S207" s="718">
        <v>40000</v>
      </c>
      <c r="T207" s="625" t="s">
        <v>3186</v>
      </c>
      <c r="U207" s="1934"/>
      <c r="V207" s="504">
        <v>12</v>
      </c>
      <c r="W207" s="625" t="s">
        <v>2989</v>
      </c>
      <c r="X207" s="719" t="s">
        <v>2785</v>
      </c>
      <c r="Y207" s="3110">
        <f>+V207*S207*Q207*O207/1000</f>
        <v>1440</v>
      </c>
      <c r="Z207" s="713"/>
      <c r="AA207" s="713"/>
      <c r="AB207" s="714"/>
      <c r="AC207" s="713"/>
      <c r="AD207" s="713"/>
    </row>
    <row r="208" spans="1:31" s="715" customFormat="1" ht="20.85" customHeight="1">
      <c r="A208" s="707"/>
      <c r="B208" s="708"/>
      <c r="C208" s="709"/>
      <c r="D208" s="716"/>
      <c r="E208" s="716" t="s">
        <v>3303</v>
      </c>
      <c r="F208" s="721">
        <f>SUM(Y208)</f>
        <v>6974</v>
      </c>
      <c r="G208" s="558">
        <v>6974</v>
      </c>
      <c r="H208" s="717"/>
      <c r="I208" s="634"/>
      <c r="J208" s="481" t="s">
        <v>3288</v>
      </c>
      <c r="K208" s="1934"/>
      <c r="L208" s="1934"/>
      <c r="M208" s="1934"/>
      <c r="N208" s="1934"/>
      <c r="O208" s="1934"/>
      <c r="P208" s="1934"/>
      <c r="Q208" s="511"/>
      <c r="R208" s="482"/>
      <c r="S208" s="718"/>
      <c r="T208" s="625"/>
      <c r="U208" s="1934"/>
      <c r="V208" s="504"/>
      <c r="W208" s="625"/>
      <c r="X208" s="719"/>
      <c r="Y208" s="3110">
        <f>SUM(Y209:Y210)</f>
        <v>6974</v>
      </c>
      <c r="Z208" s="713"/>
      <c r="AA208" s="713"/>
      <c r="AB208" s="714"/>
      <c r="AC208" s="713"/>
      <c r="AD208" s="713"/>
    </row>
    <row r="209" spans="1:30" s="715" customFormat="1" ht="20.85" customHeight="1">
      <c r="A209" s="707"/>
      <c r="B209" s="708"/>
      <c r="C209" s="709"/>
      <c r="D209" s="716"/>
      <c r="E209" s="716"/>
      <c r="F209" s="721"/>
      <c r="G209" s="558"/>
      <c r="H209" s="717"/>
      <c r="I209" s="634"/>
      <c r="J209" s="1931" t="s">
        <v>3304</v>
      </c>
      <c r="K209" s="1943"/>
      <c r="L209" s="1943"/>
      <c r="M209" s="1943"/>
      <c r="N209" s="1943"/>
      <c r="O209" s="1943"/>
      <c r="P209" s="1943"/>
      <c r="Q209" s="511"/>
      <c r="R209" s="482"/>
      <c r="S209" s="718">
        <v>300000</v>
      </c>
      <c r="T209" s="625" t="s">
        <v>3186</v>
      </c>
      <c r="U209" s="1934"/>
      <c r="V209" s="504">
        <v>5</v>
      </c>
      <c r="W209" s="625" t="s">
        <v>2988</v>
      </c>
      <c r="X209" s="719" t="s">
        <v>2785</v>
      </c>
      <c r="Y209" s="3110">
        <f>SUM(S209*V209/1000)</f>
        <v>1500</v>
      </c>
      <c r="Z209" s="713"/>
      <c r="AA209" s="713"/>
      <c r="AB209" s="714"/>
      <c r="AC209" s="713"/>
      <c r="AD209" s="713"/>
    </row>
    <row r="210" spans="1:30" s="715" customFormat="1" ht="20.85" customHeight="1">
      <c r="A210" s="707"/>
      <c r="B210" s="708"/>
      <c r="C210" s="709"/>
      <c r="D210" s="716"/>
      <c r="E210" s="1923"/>
      <c r="F210" s="721"/>
      <c r="G210" s="558"/>
      <c r="H210" s="717"/>
      <c r="I210" s="634"/>
      <c r="J210" s="1931" t="s">
        <v>3305</v>
      </c>
      <c r="K210" s="1943"/>
      <c r="L210" s="1943"/>
      <c r="M210" s="1943"/>
      <c r="N210" s="1943"/>
      <c r="O210" s="1943"/>
      <c r="P210" s="1943"/>
      <c r="Q210" s="511"/>
      <c r="R210" s="482"/>
      <c r="S210" s="718">
        <v>5474000</v>
      </c>
      <c r="T210" s="625" t="s">
        <v>3186</v>
      </c>
      <c r="U210" s="1934"/>
      <c r="V210" s="504">
        <v>1</v>
      </c>
      <c r="W210" s="625" t="s">
        <v>3191</v>
      </c>
      <c r="X210" s="719" t="s">
        <v>2785</v>
      </c>
      <c r="Y210" s="3110">
        <f>SUM(S210*V210/1000)</f>
        <v>5474</v>
      </c>
      <c r="Z210" s="713"/>
      <c r="AA210" s="713"/>
      <c r="AB210" s="714"/>
      <c r="AC210" s="713"/>
      <c r="AD210" s="713"/>
    </row>
    <row r="211" spans="1:30" s="715" customFormat="1" ht="20.85" customHeight="1">
      <c r="A211" s="707"/>
      <c r="B211" s="708"/>
      <c r="C211" s="709"/>
      <c r="D211" s="716"/>
      <c r="E211" s="692" t="s">
        <v>3306</v>
      </c>
      <c r="F211" s="558">
        <f>Y211</f>
        <v>8400</v>
      </c>
      <c r="G211" s="558">
        <v>8400</v>
      </c>
      <c r="H211" s="717"/>
      <c r="I211" s="634"/>
      <c r="J211" s="1931" t="s">
        <v>3307</v>
      </c>
      <c r="K211" s="1943"/>
      <c r="L211" s="1943"/>
      <c r="M211" s="1943"/>
      <c r="N211" s="1943"/>
      <c r="O211" s="1943"/>
      <c r="P211" s="1943"/>
      <c r="Q211" s="511">
        <v>2</v>
      </c>
      <c r="R211" s="482" t="s">
        <v>3195</v>
      </c>
      <c r="S211" s="718">
        <v>70000</v>
      </c>
      <c r="T211" s="625" t="s">
        <v>3186</v>
      </c>
      <c r="U211" s="1934"/>
      <c r="V211" s="504">
        <v>60</v>
      </c>
      <c r="W211" s="625" t="s">
        <v>3189</v>
      </c>
      <c r="X211" s="719" t="s">
        <v>3187</v>
      </c>
      <c r="Y211" s="3110">
        <f>(Q211*S211*V211)/1000</f>
        <v>8400</v>
      </c>
      <c r="Z211" s="713"/>
      <c r="AA211" s="713"/>
      <c r="AB211" s="714"/>
      <c r="AC211" s="713"/>
      <c r="AD211" s="713"/>
    </row>
    <row r="212" spans="1:30" s="715" customFormat="1" ht="20.85" customHeight="1">
      <c r="A212" s="707"/>
      <c r="B212" s="708"/>
      <c r="C212" s="709"/>
      <c r="D212" s="716"/>
      <c r="E212" s="716" t="s">
        <v>2994</v>
      </c>
      <c r="F212" s="558">
        <f>Y212</f>
        <v>12600</v>
      </c>
      <c r="G212" s="558">
        <v>12600</v>
      </c>
      <c r="H212" s="717"/>
      <c r="I212" s="634"/>
      <c r="J212" s="1931" t="s">
        <v>3308</v>
      </c>
      <c r="K212" s="1943"/>
      <c r="L212" s="1943"/>
      <c r="M212" s="1943"/>
      <c r="N212" s="1943"/>
      <c r="O212" s="1943"/>
      <c r="P212" s="1943"/>
      <c r="Q212" s="511"/>
      <c r="R212" s="482"/>
      <c r="S212" s="718">
        <v>300000</v>
      </c>
      <c r="T212" s="625" t="s">
        <v>3186</v>
      </c>
      <c r="U212" s="1934"/>
      <c r="V212" s="504">
        <v>42</v>
      </c>
      <c r="W212" s="625" t="s">
        <v>3189</v>
      </c>
      <c r="X212" s="719" t="s">
        <v>3187</v>
      </c>
      <c r="Y212" s="3110">
        <f>(S212*V212)/1000</f>
        <v>12600</v>
      </c>
      <c r="Z212" s="713"/>
      <c r="AA212" s="713"/>
      <c r="AB212" s="714"/>
      <c r="AC212" s="713"/>
      <c r="AD212" s="713"/>
    </row>
    <row r="213" spans="1:30" s="715" customFormat="1" ht="23.45" customHeight="1">
      <c r="A213" s="707"/>
      <c r="B213" s="708"/>
      <c r="C213" s="709"/>
      <c r="D213" s="4050" t="s">
        <v>3309</v>
      </c>
      <c r="E213" s="4046"/>
      <c r="F213" s="1192">
        <f>SUM(F214:F220)</f>
        <v>64700</v>
      </c>
      <c r="G213" s="1192">
        <f>SUM(G214:G220)</f>
        <v>64700</v>
      </c>
      <c r="H213" s="933">
        <f t="shared" ref="H213" si="15">SUM(F213-G213)</f>
        <v>0</v>
      </c>
      <c r="I213" s="734"/>
      <c r="J213" s="1074"/>
      <c r="K213" s="2094"/>
      <c r="L213" s="2094"/>
      <c r="M213" s="2094"/>
      <c r="N213" s="2094"/>
      <c r="O213" s="2094"/>
      <c r="P213" s="2094"/>
      <c r="Q213" s="1119"/>
      <c r="R213" s="1075"/>
      <c r="S213" s="1210"/>
      <c r="T213" s="2094"/>
      <c r="U213" s="2094"/>
      <c r="V213" s="1063"/>
      <c r="W213" s="2094"/>
      <c r="X213" s="2112"/>
      <c r="Y213" s="1104"/>
      <c r="Z213" s="713"/>
      <c r="AA213" s="713"/>
      <c r="AB213" s="714"/>
      <c r="AC213" s="713"/>
      <c r="AD213" s="713"/>
    </row>
    <row r="214" spans="1:30" s="715" customFormat="1" ht="23.45" customHeight="1">
      <c r="A214" s="707"/>
      <c r="B214" s="708"/>
      <c r="C214" s="709"/>
      <c r="D214" s="1034"/>
      <c r="E214" s="709" t="s">
        <v>3019</v>
      </c>
      <c r="F214" s="678">
        <f>Y214</f>
        <v>46464</v>
      </c>
      <c r="G214" s="678">
        <v>46464</v>
      </c>
      <c r="H214" s="1190"/>
      <c r="I214" s="734"/>
      <c r="J214" s="1701" t="s">
        <v>3310</v>
      </c>
      <c r="K214" s="1702"/>
      <c r="L214" s="1702"/>
      <c r="M214" s="1702"/>
      <c r="N214" s="1702"/>
      <c r="O214" s="1702"/>
      <c r="P214" s="1702"/>
      <c r="Q214" s="736">
        <v>2</v>
      </c>
      <c r="R214" s="1206" t="s">
        <v>3195</v>
      </c>
      <c r="S214" s="684">
        <v>2112000</v>
      </c>
      <c r="T214" s="709" t="s">
        <v>3186</v>
      </c>
      <c r="U214" s="709"/>
      <c r="V214" s="730">
        <v>11</v>
      </c>
      <c r="W214" s="709" t="s">
        <v>3208</v>
      </c>
      <c r="X214" s="731" t="s">
        <v>3187</v>
      </c>
      <c r="Y214" s="3110">
        <f>Q214*S214*V214/1000</f>
        <v>46464</v>
      </c>
      <c r="Z214" s="713"/>
      <c r="AA214" s="713"/>
      <c r="AB214" s="714"/>
      <c r="AC214" s="713"/>
      <c r="AD214" s="713"/>
    </row>
    <row r="215" spans="1:30" s="715" customFormat="1" ht="23.45" customHeight="1">
      <c r="A215" s="707"/>
      <c r="B215" s="708"/>
      <c r="C215" s="709"/>
      <c r="D215" s="675"/>
      <c r="E215" s="709" t="s">
        <v>3005</v>
      </c>
      <c r="F215" s="678">
        <f>SUM(Y215)</f>
        <v>3356</v>
      </c>
      <c r="G215" s="678">
        <v>3356</v>
      </c>
      <c r="H215" s="1190"/>
      <c r="I215" s="734"/>
      <c r="J215" s="1701" t="s">
        <v>3311</v>
      </c>
      <c r="K215" s="1702"/>
      <c r="L215" s="1702"/>
      <c r="M215" s="1702"/>
      <c r="N215" s="1702"/>
      <c r="O215" s="1702"/>
      <c r="P215" s="1702"/>
      <c r="Q215" s="736"/>
      <c r="R215" s="1206"/>
      <c r="S215" s="684">
        <v>3356000</v>
      </c>
      <c r="T215" s="709" t="s">
        <v>3186</v>
      </c>
      <c r="U215" s="709"/>
      <c r="V215" s="730">
        <v>1</v>
      </c>
      <c r="W215" s="729" t="s">
        <v>3290</v>
      </c>
      <c r="X215" s="731" t="s">
        <v>1</v>
      </c>
      <c r="Y215" s="3110">
        <f>S215*V215/1000</f>
        <v>3356</v>
      </c>
      <c r="Z215" s="713"/>
      <c r="AA215" s="713"/>
      <c r="AB215" s="714"/>
      <c r="AC215" s="713"/>
      <c r="AD215" s="713"/>
    </row>
    <row r="216" spans="1:30" s="715" customFormat="1" ht="23.45" customHeight="1">
      <c r="A216" s="707"/>
      <c r="B216" s="708"/>
      <c r="C216" s="709"/>
      <c r="D216" s="675"/>
      <c r="E216" s="709" t="s">
        <v>2786</v>
      </c>
      <c r="F216" s="678">
        <v>8400</v>
      </c>
      <c r="G216" s="678">
        <v>8400</v>
      </c>
      <c r="H216" s="1190"/>
      <c r="I216" s="734"/>
      <c r="J216" s="673" t="s">
        <v>3294</v>
      </c>
      <c r="K216" s="1702"/>
      <c r="L216" s="1702"/>
      <c r="M216" s="1702"/>
      <c r="N216" s="1702"/>
      <c r="O216" s="735"/>
      <c r="P216" s="736"/>
      <c r="Q216" s="736">
        <v>2</v>
      </c>
      <c r="R216" s="1206" t="s">
        <v>3195</v>
      </c>
      <c r="S216" s="684">
        <v>420000</v>
      </c>
      <c r="T216" s="709" t="s">
        <v>3186</v>
      </c>
      <c r="U216" s="709"/>
      <c r="V216" s="730">
        <v>10</v>
      </c>
      <c r="W216" s="709" t="s">
        <v>3208</v>
      </c>
      <c r="X216" s="731" t="s">
        <v>1</v>
      </c>
      <c r="Y216" s="3110">
        <f>Q216*S216*V216/1000</f>
        <v>8400</v>
      </c>
      <c r="Z216" s="713"/>
      <c r="AA216" s="713"/>
      <c r="AB216" s="714"/>
      <c r="AC216" s="713"/>
      <c r="AD216" s="713"/>
    </row>
    <row r="217" spans="1:30" s="715" customFormat="1" ht="23.45" customHeight="1">
      <c r="A217" s="707"/>
      <c r="B217" s="708"/>
      <c r="C217" s="709"/>
      <c r="D217" s="675"/>
      <c r="E217" s="709" t="s">
        <v>2990</v>
      </c>
      <c r="F217" s="678">
        <v>5280</v>
      </c>
      <c r="G217" s="678">
        <v>5280</v>
      </c>
      <c r="H217" s="1190"/>
      <c r="I217" s="734"/>
      <c r="J217" s="673" t="s">
        <v>3312</v>
      </c>
      <c r="K217" s="1702"/>
      <c r="L217" s="1702"/>
      <c r="M217" s="1702"/>
      <c r="N217" s="1702"/>
      <c r="O217" s="735"/>
      <c r="P217" s="736"/>
      <c r="Q217" s="736"/>
      <c r="R217" s="1206"/>
      <c r="S217" s="684">
        <v>5280000</v>
      </c>
      <c r="T217" s="709" t="s">
        <v>3186</v>
      </c>
      <c r="U217" s="709"/>
      <c r="V217" s="730">
        <v>1</v>
      </c>
      <c r="W217" s="729" t="s">
        <v>3290</v>
      </c>
      <c r="X217" s="731" t="s">
        <v>1</v>
      </c>
      <c r="Y217" s="3110">
        <v>5280</v>
      </c>
      <c r="Z217" s="713"/>
      <c r="AA217" s="713"/>
      <c r="AB217" s="714"/>
      <c r="AC217" s="713"/>
      <c r="AD217" s="713"/>
    </row>
    <row r="218" spans="1:30" s="715" customFormat="1" ht="23.45" customHeight="1">
      <c r="A218" s="707"/>
      <c r="B218" s="708"/>
      <c r="C218" s="709"/>
      <c r="D218" s="675"/>
      <c r="E218" s="709" t="s">
        <v>2984</v>
      </c>
      <c r="F218" s="678">
        <v>1200</v>
      </c>
      <c r="G218" s="678">
        <v>1200</v>
      </c>
      <c r="H218" s="1190"/>
      <c r="I218" s="791"/>
      <c r="J218" s="1701" t="s">
        <v>2985</v>
      </c>
      <c r="K218" s="1702"/>
      <c r="L218" s="1702"/>
      <c r="M218" s="1702"/>
      <c r="N218" s="1702"/>
      <c r="O218" s="735"/>
      <c r="P218" s="736"/>
      <c r="Q218" s="736"/>
      <c r="R218" s="1057"/>
      <c r="S218" s="684"/>
      <c r="T218" s="709"/>
      <c r="U218" s="730"/>
      <c r="V218" s="709"/>
      <c r="W218" s="917"/>
      <c r="X218" s="1185" t="s">
        <v>2785</v>
      </c>
      <c r="Y218" s="3110">
        <f>SUM(Y219:Y220)</f>
        <v>1200</v>
      </c>
      <c r="Z218" s="713"/>
      <c r="AA218" s="713"/>
      <c r="AB218" s="714"/>
      <c r="AC218" s="713"/>
      <c r="AD218" s="713"/>
    </row>
    <row r="219" spans="1:30" s="715" customFormat="1" ht="23.45" customHeight="1">
      <c r="A219" s="707"/>
      <c r="B219" s="708"/>
      <c r="C219" s="709"/>
      <c r="D219" s="675"/>
      <c r="E219" s="709"/>
      <c r="F219" s="678"/>
      <c r="G219" s="678"/>
      <c r="H219" s="1190"/>
      <c r="I219" s="734"/>
      <c r="J219" s="3705" t="s">
        <v>6148</v>
      </c>
      <c r="K219" s="1702"/>
      <c r="L219" s="1702"/>
      <c r="M219" s="1702"/>
      <c r="N219" s="1702"/>
      <c r="O219" s="735"/>
      <c r="P219" s="736"/>
      <c r="Q219" s="736">
        <v>1</v>
      </c>
      <c r="R219" s="1206" t="s">
        <v>227</v>
      </c>
      <c r="S219" s="728">
        <v>70000</v>
      </c>
      <c r="T219" s="729" t="s">
        <v>2059</v>
      </c>
      <c r="U219" s="709"/>
      <c r="V219" s="730">
        <v>10</v>
      </c>
      <c r="W219" s="729" t="s">
        <v>3</v>
      </c>
      <c r="X219" s="731" t="s">
        <v>38</v>
      </c>
      <c r="Y219" s="3110">
        <f>SUM(S219*V219/1000)</f>
        <v>700</v>
      </c>
      <c r="Z219" s="713"/>
      <c r="AA219" s="713"/>
      <c r="AB219" s="714"/>
      <c r="AC219" s="713"/>
      <c r="AD219" s="713"/>
    </row>
    <row r="220" spans="1:30" s="715" customFormat="1" ht="23.45" customHeight="1">
      <c r="A220" s="707"/>
      <c r="B220" s="708"/>
      <c r="C220" s="709"/>
      <c r="D220" s="970"/>
      <c r="E220" s="1093"/>
      <c r="F220" s="2040"/>
      <c r="G220" s="2040"/>
      <c r="H220" s="1197"/>
      <c r="I220" s="734"/>
      <c r="J220" s="3705" t="s">
        <v>6149</v>
      </c>
      <c r="K220" s="1704"/>
      <c r="L220" s="1704"/>
      <c r="M220" s="1704"/>
      <c r="N220" s="1704"/>
      <c r="O220" s="1704"/>
      <c r="P220" s="1704"/>
      <c r="Q220" s="736">
        <v>1</v>
      </c>
      <c r="R220" s="1206" t="s">
        <v>3195</v>
      </c>
      <c r="S220" s="1188">
        <v>50000</v>
      </c>
      <c r="T220" s="1090" t="s">
        <v>3186</v>
      </c>
      <c r="U220" s="1093"/>
      <c r="V220" s="730">
        <v>10</v>
      </c>
      <c r="W220" s="729" t="s">
        <v>3</v>
      </c>
      <c r="X220" s="2115" t="s">
        <v>2785</v>
      </c>
      <c r="Y220" s="3110">
        <f>SUM(S220*V220/1000)</f>
        <v>500</v>
      </c>
      <c r="Z220" s="713"/>
      <c r="AA220" s="713"/>
      <c r="AB220" s="714"/>
      <c r="AC220" s="713"/>
      <c r="AD220" s="713"/>
    </row>
    <row r="221" spans="1:30" s="715" customFormat="1" ht="23.45" customHeight="1">
      <c r="A221" s="707"/>
      <c r="B221" s="708"/>
      <c r="C221" s="1237"/>
      <c r="D221" s="4047" t="s">
        <v>3313</v>
      </c>
      <c r="E221" s="3904"/>
      <c r="F221" s="1192">
        <f>SUM(F222:F233)</f>
        <v>10000</v>
      </c>
      <c r="G221" s="2040">
        <f>SUM(G222:G233)</f>
        <v>10000</v>
      </c>
      <c r="H221" s="933">
        <f>F221-G221</f>
        <v>0</v>
      </c>
      <c r="I221" s="734"/>
      <c r="J221" s="1074"/>
      <c r="K221" s="1957"/>
      <c r="L221" s="1957"/>
      <c r="M221" s="1957"/>
      <c r="N221" s="1957"/>
      <c r="O221" s="1957"/>
      <c r="P221" s="1957"/>
      <c r="Q221" s="1119"/>
      <c r="R221" s="1075"/>
      <c r="S221" s="1210"/>
      <c r="T221" s="1957"/>
      <c r="U221" s="1957"/>
      <c r="V221" s="1063"/>
      <c r="W221" s="1957"/>
      <c r="X221" s="1973"/>
      <c r="Y221" s="1105"/>
      <c r="Z221" s="713"/>
      <c r="AA221" s="713"/>
      <c r="AB221" s="714"/>
      <c r="AC221" s="713"/>
      <c r="AD221" s="713"/>
    </row>
    <row r="222" spans="1:30" s="715" customFormat="1" ht="23.45" customHeight="1">
      <c r="A222" s="707"/>
      <c r="B222" s="708"/>
      <c r="C222" s="1237"/>
      <c r="D222" s="692"/>
      <c r="E222" s="692" t="s">
        <v>2783</v>
      </c>
      <c r="F222" s="678">
        <f>Y222</f>
        <v>1000</v>
      </c>
      <c r="G222" s="678">
        <v>1000</v>
      </c>
      <c r="H222" s="1199"/>
      <c r="I222" s="734"/>
      <c r="J222" s="791" t="s">
        <v>3314</v>
      </c>
      <c r="K222" s="709"/>
      <c r="L222" s="709"/>
      <c r="M222" s="709"/>
      <c r="N222" s="709"/>
      <c r="O222" s="709"/>
      <c r="P222" s="709"/>
      <c r="Q222" s="735">
        <v>1</v>
      </c>
      <c r="R222" s="736" t="s">
        <v>7</v>
      </c>
      <c r="S222" s="728">
        <v>25000</v>
      </c>
      <c r="T222" s="729" t="s">
        <v>0</v>
      </c>
      <c r="U222" s="709"/>
      <c r="V222" s="730">
        <v>40</v>
      </c>
      <c r="W222" s="729" t="s">
        <v>69</v>
      </c>
      <c r="X222" s="731" t="s">
        <v>1</v>
      </c>
      <c r="Y222" s="3110">
        <f>Q222*S222*V222/1000</f>
        <v>1000</v>
      </c>
      <c r="Z222" s="713"/>
      <c r="AA222" s="713"/>
      <c r="AB222" s="714"/>
      <c r="AC222" s="713"/>
      <c r="AD222" s="713"/>
    </row>
    <row r="223" spans="1:30" s="715" customFormat="1" ht="23.45" customHeight="1">
      <c r="A223" s="707"/>
      <c r="B223" s="708"/>
      <c r="C223" s="1237"/>
      <c r="D223" s="692"/>
      <c r="E223" s="692" t="s">
        <v>2786</v>
      </c>
      <c r="F223" s="678">
        <f>Y223</f>
        <v>6000</v>
      </c>
      <c r="G223" s="678">
        <v>6000</v>
      </c>
      <c r="H223" s="1190"/>
      <c r="I223" s="734"/>
      <c r="J223" s="791" t="s">
        <v>3315</v>
      </c>
      <c r="K223" s="709"/>
      <c r="L223" s="709"/>
      <c r="M223" s="709"/>
      <c r="N223" s="709"/>
      <c r="O223" s="709"/>
      <c r="P223" s="709"/>
      <c r="Q223" s="735"/>
      <c r="R223" s="736"/>
      <c r="S223" s="728">
        <v>6000000</v>
      </c>
      <c r="T223" s="729" t="s">
        <v>0</v>
      </c>
      <c r="U223" s="709"/>
      <c r="V223" s="730">
        <v>1</v>
      </c>
      <c r="W223" s="729" t="s">
        <v>3282</v>
      </c>
      <c r="X223" s="731" t="s">
        <v>1</v>
      </c>
      <c r="Y223" s="3110">
        <f t="shared" ref="Y223:Y233" si="16">S223*V223/1000</f>
        <v>6000</v>
      </c>
      <c r="Z223" s="713"/>
      <c r="AA223" s="713"/>
      <c r="AB223" s="714"/>
      <c r="AC223" s="713"/>
      <c r="AD223" s="713"/>
    </row>
    <row r="224" spans="1:30" s="715" customFormat="1" ht="23.45" customHeight="1">
      <c r="A224" s="707"/>
      <c r="B224" s="708"/>
      <c r="C224" s="1237"/>
      <c r="D224" s="692"/>
      <c r="E224" s="692" t="s">
        <v>2984</v>
      </c>
      <c r="F224" s="678">
        <f>Y224</f>
        <v>1600</v>
      </c>
      <c r="G224" s="678">
        <v>1600</v>
      </c>
      <c r="H224" s="1190"/>
      <c r="I224" s="734"/>
      <c r="J224" s="791" t="s">
        <v>2985</v>
      </c>
      <c r="K224" s="709"/>
      <c r="L224" s="709"/>
      <c r="M224" s="709"/>
      <c r="N224" s="709"/>
      <c r="O224" s="709"/>
      <c r="P224" s="709"/>
      <c r="Q224" s="735"/>
      <c r="R224" s="736"/>
      <c r="S224" s="728"/>
      <c r="T224" s="729"/>
      <c r="U224" s="709"/>
      <c r="V224" s="730"/>
      <c r="W224" s="729"/>
      <c r="X224" s="731"/>
      <c r="Y224" s="3110">
        <f>SUM(Y225:Y226)</f>
        <v>1600</v>
      </c>
      <c r="Z224" s="713"/>
      <c r="AA224" s="713"/>
      <c r="AB224" s="714"/>
      <c r="AC224" s="713"/>
      <c r="AD224" s="713"/>
    </row>
    <row r="225" spans="1:30" s="715" customFormat="1" ht="23.45" customHeight="1">
      <c r="A225" s="707"/>
      <c r="B225" s="708"/>
      <c r="C225" s="1237"/>
      <c r="D225" s="692"/>
      <c r="E225" s="692"/>
      <c r="F225" s="678"/>
      <c r="G225" s="678"/>
      <c r="H225" s="1190"/>
      <c r="I225" s="734"/>
      <c r="J225" s="791" t="s">
        <v>149</v>
      </c>
      <c r="K225" s="709"/>
      <c r="L225" s="709"/>
      <c r="M225" s="709"/>
      <c r="N225" s="709"/>
      <c r="O225" s="709"/>
      <c r="P225" s="709"/>
      <c r="Q225" s="735">
        <v>4</v>
      </c>
      <c r="R225" s="736" t="s">
        <v>25</v>
      </c>
      <c r="S225" s="728">
        <v>300000</v>
      </c>
      <c r="T225" s="729" t="s">
        <v>0</v>
      </c>
      <c r="U225" s="709"/>
      <c r="V225" s="730">
        <v>1</v>
      </c>
      <c r="W225" s="729" t="s">
        <v>3</v>
      </c>
      <c r="X225" s="731" t="s">
        <v>1</v>
      </c>
      <c r="Y225" s="3110">
        <f>Q225*S225*V225/1000</f>
        <v>1200</v>
      </c>
      <c r="Z225" s="713"/>
      <c r="AA225" s="713"/>
      <c r="AB225" s="714"/>
      <c r="AC225" s="713"/>
      <c r="AD225" s="713"/>
    </row>
    <row r="226" spans="1:30" s="715" customFormat="1" ht="23.45" customHeight="1">
      <c r="A226" s="707"/>
      <c r="B226" s="708"/>
      <c r="C226" s="1237"/>
      <c r="D226" s="692"/>
      <c r="E226" s="692"/>
      <c r="F226" s="678"/>
      <c r="G226" s="678"/>
      <c r="H226" s="1190"/>
      <c r="I226" s="734"/>
      <c r="J226" s="673" t="s">
        <v>3316</v>
      </c>
      <c r="K226" s="1702"/>
      <c r="L226" s="1702"/>
      <c r="M226" s="1702"/>
      <c r="N226" s="1702"/>
      <c r="O226" s="1702"/>
      <c r="P226" s="1702"/>
      <c r="Q226" s="735">
        <v>2</v>
      </c>
      <c r="R226" s="736" t="s">
        <v>25</v>
      </c>
      <c r="S226" s="728">
        <v>200000</v>
      </c>
      <c r="T226" s="729" t="s">
        <v>0</v>
      </c>
      <c r="U226" s="709"/>
      <c r="V226" s="730">
        <v>1</v>
      </c>
      <c r="W226" s="729" t="s">
        <v>3</v>
      </c>
      <c r="X226" s="731" t="s">
        <v>1</v>
      </c>
      <c r="Y226" s="3110">
        <f>Q226*S226*V226/1000</f>
        <v>400</v>
      </c>
      <c r="Z226" s="713"/>
      <c r="AA226" s="713"/>
      <c r="AB226" s="714"/>
      <c r="AC226" s="713"/>
      <c r="AD226" s="713"/>
    </row>
    <row r="227" spans="1:30" s="715" customFormat="1" ht="23.45" customHeight="1">
      <c r="A227" s="707"/>
      <c r="B227" s="708"/>
      <c r="C227" s="1237"/>
      <c r="D227" s="692"/>
      <c r="E227" s="692" t="s">
        <v>2994</v>
      </c>
      <c r="F227" s="678">
        <f>Y227</f>
        <v>1200</v>
      </c>
      <c r="G227" s="678">
        <v>1200</v>
      </c>
      <c r="H227" s="1190"/>
      <c r="I227" s="734"/>
      <c r="J227" s="1701" t="s">
        <v>2985</v>
      </c>
      <c r="K227" s="1702"/>
      <c r="L227" s="1702"/>
      <c r="M227" s="1702"/>
      <c r="N227" s="1702"/>
      <c r="O227" s="1702"/>
      <c r="P227" s="1702"/>
      <c r="Q227" s="735"/>
      <c r="R227" s="736"/>
      <c r="S227" s="728"/>
      <c r="T227" s="729"/>
      <c r="U227" s="709"/>
      <c r="V227" s="730"/>
      <c r="W227" s="729"/>
      <c r="X227" s="731"/>
      <c r="Y227" s="3110">
        <f>SUM(Y228:Y230)</f>
        <v>1200</v>
      </c>
      <c r="Z227" s="713"/>
      <c r="AA227" s="713"/>
      <c r="AB227" s="713"/>
      <c r="AC227" s="713"/>
      <c r="AD227" s="713"/>
    </row>
    <row r="228" spans="1:30" s="715" customFormat="1" ht="23.45" customHeight="1">
      <c r="A228" s="707"/>
      <c r="B228" s="708"/>
      <c r="C228" s="1237"/>
      <c r="D228" s="692"/>
      <c r="E228" s="692"/>
      <c r="F228" s="678"/>
      <c r="G228" s="678"/>
      <c r="H228" s="1190"/>
      <c r="I228" s="734"/>
      <c r="J228" s="1701" t="s">
        <v>1010</v>
      </c>
      <c r="K228" s="1702"/>
      <c r="L228" s="1702"/>
      <c r="M228" s="1702"/>
      <c r="N228" s="1702"/>
      <c r="O228" s="1702"/>
      <c r="P228" s="1702"/>
      <c r="Q228" s="735"/>
      <c r="R228" s="736"/>
      <c r="S228" s="728">
        <v>300000</v>
      </c>
      <c r="T228" s="729" t="s">
        <v>0</v>
      </c>
      <c r="U228" s="709"/>
      <c r="V228" s="730">
        <v>1</v>
      </c>
      <c r="W228" s="729" t="s">
        <v>3</v>
      </c>
      <c r="X228" s="731" t="s">
        <v>1</v>
      </c>
      <c r="Y228" s="3110">
        <f t="shared" si="16"/>
        <v>300</v>
      </c>
      <c r="Z228" s="713"/>
      <c r="AA228" s="713"/>
      <c r="AB228" s="713"/>
      <c r="AC228" s="713"/>
      <c r="AD228" s="713"/>
    </row>
    <row r="229" spans="1:30" s="715" customFormat="1" ht="23.45" customHeight="1">
      <c r="A229" s="707"/>
      <c r="B229" s="708"/>
      <c r="C229" s="1237"/>
      <c r="D229" s="692"/>
      <c r="E229" s="692"/>
      <c r="F229" s="678"/>
      <c r="G229" s="678"/>
      <c r="H229" s="1190"/>
      <c r="I229" s="734"/>
      <c r="J229" s="1701" t="s">
        <v>3317</v>
      </c>
      <c r="K229" s="1702"/>
      <c r="L229" s="1702"/>
      <c r="M229" s="1702"/>
      <c r="N229" s="1702"/>
      <c r="O229" s="1702"/>
      <c r="P229" s="1702"/>
      <c r="Q229" s="735"/>
      <c r="R229" s="736"/>
      <c r="S229" s="728">
        <v>300000</v>
      </c>
      <c r="T229" s="729" t="s">
        <v>0</v>
      </c>
      <c r="U229" s="709"/>
      <c r="V229" s="730">
        <v>1</v>
      </c>
      <c r="W229" s="729" t="s">
        <v>3</v>
      </c>
      <c r="X229" s="731" t="s">
        <v>1</v>
      </c>
      <c r="Y229" s="3110">
        <f t="shared" si="16"/>
        <v>300</v>
      </c>
      <c r="Z229" s="713"/>
      <c r="AA229" s="713"/>
      <c r="AB229" s="714"/>
      <c r="AC229" s="713"/>
      <c r="AD229" s="713"/>
    </row>
    <row r="230" spans="1:30" s="715" customFormat="1" ht="23.45" customHeight="1">
      <c r="A230" s="707"/>
      <c r="B230" s="708"/>
      <c r="C230" s="1237"/>
      <c r="D230" s="692"/>
      <c r="E230" s="692"/>
      <c r="F230" s="678"/>
      <c r="G230" s="678"/>
      <c r="H230" s="1190"/>
      <c r="I230" s="734"/>
      <c r="J230" s="1701" t="s">
        <v>1017</v>
      </c>
      <c r="K230" s="1702"/>
      <c r="L230" s="1702"/>
      <c r="M230" s="1702"/>
      <c r="N230" s="1702"/>
      <c r="O230" s="1702"/>
      <c r="P230" s="1702"/>
      <c r="Q230" s="735"/>
      <c r="R230" s="736"/>
      <c r="S230" s="728">
        <v>300000</v>
      </c>
      <c r="T230" s="729" t="s">
        <v>0</v>
      </c>
      <c r="U230" s="709"/>
      <c r="V230" s="730">
        <v>2</v>
      </c>
      <c r="W230" s="729" t="s">
        <v>3</v>
      </c>
      <c r="X230" s="731" t="s">
        <v>1</v>
      </c>
      <c r="Y230" s="3110">
        <f t="shared" si="16"/>
        <v>600</v>
      </c>
      <c r="Z230" s="713"/>
      <c r="AA230" s="713"/>
      <c r="AB230" s="714"/>
      <c r="AC230" s="713"/>
      <c r="AD230" s="713"/>
    </row>
    <row r="231" spans="1:30" s="715" customFormat="1" ht="23.45" customHeight="1">
      <c r="A231" s="707"/>
      <c r="B231" s="708"/>
      <c r="C231" s="1237"/>
      <c r="D231" s="692"/>
      <c r="E231" s="692" t="s">
        <v>2998</v>
      </c>
      <c r="F231" s="678">
        <f>Y231</f>
        <v>200</v>
      </c>
      <c r="G231" s="678">
        <v>200</v>
      </c>
      <c r="H231" s="1190"/>
      <c r="I231" s="734"/>
      <c r="J231" s="1701" t="s">
        <v>2985</v>
      </c>
      <c r="K231" s="1702"/>
      <c r="L231" s="1702"/>
      <c r="M231" s="1702"/>
      <c r="N231" s="1702"/>
      <c r="O231" s="1702"/>
      <c r="P231" s="1702"/>
      <c r="Q231" s="735"/>
      <c r="R231" s="736"/>
      <c r="S231" s="728"/>
      <c r="T231" s="729"/>
      <c r="U231" s="709"/>
      <c r="V231" s="728"/>
      <c r="W231" s="729"/>
      <c r="X231" s="731"/>
      <c r="Y231" s="3110">
        <f>SUM(Y232:Y233)</f>
        <v>200</v>
      </c>
      <c r="Z231" s="713"/>
      <c r="AA231" s="713"/>
      <c r="AB231" s="714"/>
      <c r="AC231" s="713"/>
      <c r="AD231" s="713"/>
    </row>
    <row r="232" spans="1:30" s="715" customFormat="1" ht="23.45" customHeight="1">
      <c r="A232" s="707"/>
      <c r="B232" s="708"/>
      <c r="C232" s="1237"/>
      <c r="D232" s="692"/>
      <c r="E232" s="692"/>
      <c r="F232" s="678"/>
      <c r="G232" s="678"/>
      <c r="H232" s="1190"/>
      <c r="I232" s="734"/>
      <c r="J232" s="1701" t="s">
        <v>150</v>
      </c>
      <c r="K232" s="1702"/>
      <c r="L232" s="1702"/>
      <c r="M232" s="1702"/>
      <c r="N232" s="1702"/>
      <c r="O232" s="1702"/>
      <c r="P232" s="1702"/>
      <c r="Q232" s="735"/>
      <c r="R232" s="736"/>
      <c r="S232" s="728">
        <v>100000</v>
      </c>
      <c r="T232" s="729" t="s">
        <v>0</v>
      </c>
      <c r="U232" s="709"/>
      <c r="V232" s="728">
        <v>1</v>
      </c>
      <c r="W232" s="729" t="s">
        <v>3</v>
      </c>
      <c r="X232" s="731" t="s">
        <v>1</v>
      </c>
      <c r="Y232" s="3110">
        <f t="shared" si="16"/>
        <v>100</v>
      </c>
      <c r="Z232" s="713"/>
      <c r="AA232" s="713"/>
      <c r="AB232" s="714"/>
      <c r="AC232" s="713"/>
      <c r="AD232" s="713"/>
    </row>
    <row r="233" spans="1:30" s="715" customFormat="1" ht="23.45" customHeight="1">
      <c r="A233" s="707"/>
      <c r="B233" s="708"/>
      <c r="C233" s="1238"/>
      <c r="D233" s="1953"/>
      <c r="E233" s="1953"/>
      <c r="F233" s="697"/>
      <c r="G233" s="697"/>
      <c r="H233" s="1197"/>
      <c r="I233" s="734"/>
      <c r="J233" s="1703" t="s">
        <v>1012</v>
      </c>
      <c r="K233" s="1704"/>
      <c r="L233" s="1704"/>
      <c r="M233" s="1704"/>
      <c r="N233" s="1704"/>
      <c r="O233" s="1704"/>
      <c r="P233" s="1704"/>
      <c r="Q233" s="1187"/>
      <c r="R233" s="1116"/>
      <c r="S233" s="1188">
        <v>100000</v>
      </c>
      <c r="T233" s="1090" t="s">
        <v>0</v>
      </c>
      <c r="U233" s="1093"/>
      <c r="V233" s="1188">
        <v>1</v>
      </c>
      <c r="W233" s="1090" t="s">
        <v>3</v>
      </c>
      <c r="X233" s="1976" t="s">
        <v>1</v>
      </c>
      <c r="Y233" s="3110">
        <f t="shared" si="16"/>
        <v>100</v>
      </c>
      <c r="Z233" s="713"/>
      <c r="AA233" s="713"/>
      <c r="AB233" s="714"/>
      <c r="AC233" s="713"/>
      <c r="AD233" s="713"/>
    </row>
    <row r="234" spans="1:30" s="715" customFormat="1" ht="23.45" customHeight="1">
      <c r="A234" s="707"/>
      <c r="B234" s="708"/>
      <c r="C234" s="709"/>
      <c r="D234" s="4047" t="s">
        <v>3318</v>
      </c>
      <c r="E234" s="3841"/>
      <c r="F234" s="697">
        <f>SUM(F235:F250)</f>
        <v>30000</v>
      </c>
      <c r="G234" s="2040">
        <f>SUM(G235:G250)</f>
        <v>30000</v>
      </c>
      <c r="H234" s="933">
        <f>F234-G234</f>
        <v>0</v>
      </c>
      <c r="I234" s="734"/>
      <c r="J234" s="1115"/>
      <c r="K234" s="1093"/>
      <c r="L234" s="1093"/>
      <c r="M234" s="1093"/>
      <c r="N234" s="1093"/>
      <c r="O234" s="1093"/>
      <c r="P234" s="1093"/>
      <c r="Q234" s="1187"/>
      <c r="R234" s="1116"/>
      <c r="S234" s="1188"/>
      <c r="T234" s="1093"/>
      <c r="U234" s="1093"/>
      <c r="V234" s="1094"/>
      <c r="W234" s="1093"/>
      <c r="X234" s="1976"/>
      <c r="Y234" s="1104"/>
      <c r="Z234" s="713"/>
      <c r="AA234" s="713"/>
      <c r="AB234" s="714"/>
      <c r="AC234" s="713"/>
      <c r="AD234" s="713"/>
    </row>
    <row r="235" spans="1:30" s="715" customFormat="1" ht="23.45" customHeight="1">
      <c r="A235" s="707"/>
      <c r="B235" s="708"/>
      <c r="C235" s="709"/>
      <c r="D235" s="692"/>
      <c r="E235" s="692" t="s">
        <v>3019</v>
      </c>
      <c r="F235" s="678">
        <f>SUM(Y235)</f>
        <v>22418</v>
      </c>
      <c r="G235" s="678">
        <v>21120</v>
      </c>
      <c r="H235" s="1190">
        <f>F235-G235</f>
        <v>1298</v>
      </c>
      <c r="I235" s="734"/>
      <c r="J235" s="3521" t="s">
        <v>3319</v>
      </c>
      <c r="K235" s="3520"/>
      <c r="L235" s="3520"/>
      <c r="M235" s="3520"/>
      <c r="N235" s="3520"/>
      <c r="O235" s="3520"/>
      <c r="P235" s="3520"/>
      <c r="Q235" s="735">
        <v>1</v>
      </c>
      <c r="R235" s="736" t="s">
        <v>3195</v>
      </c>
      <c r="S235" s="728">
        <v>2241800</v>
      </c>
      <c r="T235" s="729" t="s">
        <v>3186</v>
      </c>
      <c r="U235" s="3525"/>
      <c r="V235" s="730">
        <v>10</v>
      </c>
      <c r="W235" s="729" t="s">
        <v>2989</v>
      </c>
      <c r="X235" s="731" t="s">
        <v>3187</v>
      </c>
      <c r="Y235" s="3110">
        <f>Q235*S235*V235/1000</f>
        <v>22418</v>
      </c>
      <c r="Z235" s="713"/>
      <c r="AA235" s="713"/>
      <c r="AB235" s="714"/>
      <c r="AC235" s="713"/>
      <c r="AD235" s="713"/>
    </row>
    <row r="236" spans="1:30" s="715" customFormat="1" ht="23.45" customHeight="1">
      <c r="A236" s="707"/>
      <c r="B236" s="708"/>
      <c r="C236" s="3492"/>
      <c r="D236" s="692"/>
      <c r="E236" s="692" t="s">
        <v>5712</v>
      </c>
      <c r="F236" s="678">
        <f>SUM(Y236)</f>
        <v>2522</v>
      </c>
      <c r="G236" s="678">
        <v>0</v>
      </c>
      <c r="H236" s="1190">
        <f>F236-G236</f>
        <v>2522</v>
      </c>
      <c r="I236" s="734"/>
      <c r="J236" s="791" t="s">
        <v>3314</v>
      </c>
      <c r="K236" s="3525"/>
      <c r="L236" s="3525"/>
      <c r="M236" s="3525"/>
      <c r="N236" s="3525"/>
      <c r="O236" s="3525"/>
      <c r="P236" s="3525"/>
      <c r="Q236" s="735">
        <v>1</v>
      </c>
      <c r="R236" s="736" t="s">
        <v>7</v>
      </c>
      <c r="S236" s="728">
        <v>63050</v>
      </c>
      <c r="T236" s="729" t="s">
        <v>0</v>
      </c>
      <c r="U236" s="3525"/>
      <c r="V236" s="730">
        <v>40</v>
      </c>
      <c r="W236" s="729" t="s">
        <v>69</v>
      </c>
      <c r="X236" s="731" t="s">
        <v>1</v>
      </c>
      <c r="Y236" s="3110">
        <f>Q236*S236*V236/1000</f>
        <v>2522</v>
      </c>
      <c r="Z236" s="713"/>
      <c r="AA236" s="713"/>
      <c r="AB236" s="714"/>
      <c r="AC236" s="713"/>
      <c r="AD236" s="713"/>
    </row>
    <row r="237" spans="1:30" s="715" customFormat="1" ht="23.45" customHeight="1">
      <c r="A237" s="707"/>
      <c r="B237" s="708"/>
      <c r="C237" s="709"/>
      <c r="D237" s="692"/>
      <c r="E237" s="692" t="s">
        <v>3273</v>
      </c>
      <c r="F237" s="678">
        <f>Y237</f>
        <v>680</v>
      </c>
      <c r="G237" s="678">
        <v>680</v>
      </c>
      <c r="H237" s="1190">
        <f>F237-G237</f>
        <v>0</v>
      </c>
      <c r="I237" s="734"/>
      <c r="J237" s="3519" t="s">
        <v>2985</v>
      </c>
      <c r="K237" s="3520"/>
      <c r="L237" s="3520"/>
      <c r="M237" s="3520"/>
      <c r="N237" s="3520"/>
      <c r="O237" s="3520"/>
      <c r="P237" s="3520"/>
      <c r="Q237" s="735"/>
      <c r="R237" s="736"/>
      <c r="S237" s="728"/>
      <c r="T237" s="729"/>
      <c r="U237" s="3525"/>
      <c r="V237" s="730"/>
      <c r="W237" s="729"/>
      <c r="X237" s="731"/>
      <c r="Y237" s="3110">
        <f>SUM(Y238:Y239)</f>
        <v>680</v>
      </c>
      <c r="Z237" s="713"/>
      <c r="AA237" s="713"/>
      <c r="AB237" s="714"/>
      <c r="AC237" s="713"/>
      <c r="AD237" s="713"/>
    </row>
    <row r="238" spans="1:30" s="715" customFormat="1" ht="23.45" customHeight="1">
      <c r="A238" s="707"/>
      <c r="B238" s="708"/>
      <c r="C238" s="709"/>
      <c r="D238" s="692"/>
      <c r="E238" s="692"/>
      <c r="F238" s="678"/>
      <c r="G238" s="678"/>
      <c r="H238" s="1190"/>
      <c r="I238" s="734"/>
      <c r="J238" s="3521" t="s">
        <v>3320</v>
      </c>
      <c r="K238" s="3522"/>
      <c r="L238" s="3522"/>
      <c r="M238" s="3520"/>
      <c r="N238" s="3520"/>
      <c r="O238" s="3520"/>
      <c r="P238" s="3520"/>
      <c r="Q238" s="735"/>
      <c r="R238" s="736"/>
      <c r="S238" s="728">
        <v>80000</v>
      </c>
      <c r="T238" s="729" t="s">
        <v>3186</v>
      </c>
      <c r="U238" s="3525"/>
      <c r="V238" s="730">
        <v>1</v>
      </c>
      <c r="W238" s="729" t="s">
        <v>3290</v>
      </c>
      <c r="X238" s="731" t="s">
        <v>3187</v>
      </c>
      <c r="Y238" s="3110">
        <f>SUM(S238*V238/1000)</f>
        <v>80</v>
      </c>
      <c r="Z238" s="713"/>
      <c r="AA238" s="713"/>
      <c r="AB238" s="714"/>
      <c r="AC238" s="713"/>
      <c r="AD238" s="713"/>
    </row>
    <row r="239" spans="1:30" s="715" customFormat="1" ht="23.45" customHeight="1">
      <c r="A239" s="707"/>
      <c r="B239" s="708"/>
      <c r="C239" s="709"/>
      <c r="D239" s="692"/>
      <c r="E239" s="692"/>
      <c r="F239" s="678"/>
      <c r="G239" s="678"/>
      <c r="H239" s="1190"/>
      <c r="I239" s="734"/>
      <c r="J239" s="3521" t="s">
        <v>3321</v>
      </c>
      <c r="K239" s="3522"/>
      <c r="L239" s="3522"/>
      <c r="M239" s="3520"/>
      <c r="N239" s="3520"/>
      <c r="O239" s="3520"/>
      <c r="P239" s="3520"/>
      <c r="Q239" s="735"/>
      <c r="R239" s="736"/>
      <c r="S239" s="728">
        <v>100000</v>
      </c>
      <c r="T239" s="729" t="s">
        <v>3186</v>
      </c>
      <c r="U239" s="3525"/>
      <c r="V239" s="730">
        <v>6</v>
      </c>
      <c r="W239" s="729" t="s">
        <v>3208</v>
      </c>
      <c r="X239" s="731" t="s">
        <v>3187</v>
      </c>
      <c r="Y239" s="3110">
        <f>S239*V239/1000</f>
        <v>600</v>
      </c>
      <c r="Z239" s="713"/>
      <c r="AA239" s="713"/>
      <c r="AB239" s="714"/>
      <c r="AC239" s="713"/>
      <c r="AD239" s="713"/>
    </row>
    <row r="240" spans="1:30" s="715" customFormat="1" ht="23.45" customHeight="1">
      <c r="A240" s="707"/>
      <c r="B240" s="708"/>
      <c r="C240" s="709"/>
      <c r="D240" s="692"/>
      <c r="E240" s="692" t="s">
        <v>2987</v>
      </c>
      <c r="F240" s="678">
        <f>Y240</f>
        <v>0</v>
      </c>
      <c r="G240" s="678">
        <v>1000</v>
      </c>
      <c r="H240" s="1190">
        <f>F240-G240</f>
        <v>-1000</v>
      </c>
      <c r="I240" s="734"/>
      <c r="J240" s="3521" t="s">
        <v>5713</v>
      </c>
      <c r="K240" s="3520"/>
      <c r="L240" s="3520"/>
      <c r="M240" s="3520"/>
      <c r="N240" s="3520"/>
      <c r="O240" s="3520"/>
      <c r="P240" s="3520"/>
      <c r="Q240" s="735"/>
      <c r="R240" s="736"/>
      <c r="S240" s="728"/>
      <c r="T240" s="729"/>
      <c r="U240" s="3525"/>
      <c r="V240" s="730"/>
      <c r="W240" s="729"/>
      <c r="X240" s="731"/>
      <c r="Y240" s="3110"/>
      <c r="Z240" s="713"/>
      <c r="AA240" s="713"/>
      <c r="AB240" s="714"/>
      <c r="AC240" s="713"/>
      <c r="AD240" s="713"/>
    </row>
    <row r="241" spans="1:30" s="715" customFormat="1" ht="23.45" customHeight="1">
      <c r="A241" s="707"/>
      <c r="B241" s="708"/>
      <c r="C241" s="709"/>
      <c r="D241" s="692"/>
      <c r="E241" s="692" t="s">
        <v>2984</v>
      </c>
      <c r="F241" s="678">
        <f>Y241</f>
        <v>1680</v>
      </c>
      <c r="G241" s="678">
        <v>4200</v>
      </c>
      <c r="H241" s="1190">
        <f>F241-G241</f>
        <v>-2520</v>
      </c>
      <c r="I241" s="734"/>
      <c r="J241" s="3519" t="s">
        <v>2985</v>
      </c>
      <c r="K241" s="3520"/>
      <c r="L241" s="3520"/>
      <c r="M241" s="3520"/>
      <c r="N241" s="3520"/>
      <c r="O241" s="3520"/>
      <c r="P241" s="3520"/>
      <c r="Q241" s="735"/>
      <c r="R241" s="736"/>
      <c r="S241" s="728"/>
      <c r="T241" s="729"/>
      <c r="U241" s="3525"/>
      <c r="V241" s="730"/>
      <c r="W241" s="729"/>
      <c r="X241" s="731"/>
      <c r="Y241" s="3110">
        <f>SUM(Y242:Y244)</f>
        <v>1680</v>
      </c>
      <c r="Z241" s="713"/>
      <c r="AA241" s="713"/>
      <c r="AB241" s="714"/>
      <c r="AC241" s="713"/>
      <c r="AD241" s="713"/>
    </row>
    <row r="242" spans="1:30" s="715" customFormat="1" ht="23.45" customHeight="1">
      <c r="A242" s="707"/>
      <c r="B242" s="708"/>
      <c r="C242" s="709"/>
      <c r="D242" s="692"/>
      <c r="E242" s="692"/>
      <c r="F242" s="678"/>
      <c r="G242" s="678"/>
      <c r="H242" s="1190"/>
      <c r="I242" s="734"/>
      <c r="J242" s="3521" t="s">
        <v>145</v>
      </c>
      <c r="K242" s="3522"/>
      <c r="L242" s="3522"/>
      <c r="M242" s="3520"/>
      <c r="N242" s="3520"/>
      <c r="O242" s="3520"/>
      <c r="P242" s="3520"/>
      <c r="Q242" s="735">
        <v>1</v>
      </c>
      <c r="R242" s="736" t="s">
        <v>25</v>
      </c>
      <c r="S242" s="728">
        <v>70000</v>
      </c>
      <c r="T242" s="729" t="s">
        <v>0</v>
      </c>
      <c r="U242" s="3525"/>
      <c r="V242" s="730">
        <v>4</v>
      </c>
      <c r="W242" s="729" t="s">
        <v>66</v>
      </c>
      <c r="X242" s="731" t="s">
        <v>1</v>
      </c>
      <c r="Y242" s="3110">
        <f>SUM(Q242*S242*V242/1000)</f>
        <v>280</v>
      </c>
      <c r="Z242" s="713"/>
      <c r="AA242" s="713"/>
      <c r="AB242" s="714"/>
      <c r="AC242" s="713"/>
      <c r="AD242" s="713"/>
    </row>
    <row r="243" spans="1:30" s="715" customFormat="1" ht="23.45" customHeight="1">
      <c r="A243" s="707"/>
      <c r="B243" s="708"/>
      <c r="C243" s="709"/>
      <c r="D243" s="692"/>
      <c r="E243" s="692"/>
      <c r="F243" s="678"/>
      <c r="G243" s="678"/>
      <c r="H243" s="1190"/>
      <c r="I243" s="734"/>
      <c r="J243" s="3521" t="s">
        <v>146</v>
      </c>
      <c r="K243" s="3522"/>
      <c r="L243" s="3522"/>
      <c r="M243" s="3520"/>
      <c r="N243" s="3520"/>
      <c r="O243" s="3520"/>
      <c r="P243" s="3520"/>
      <c r="Q243" s="735">
        <v>1</v>
      </c>
      <c r="R243" s="736" t="s">
        <v>25</v>
      </c>
      <c r="S243" s="728">
        <v>100000</v>
      </c>
      <c r="T243" s="729" t="s">
        <v>0</v>
      </c>
      <c r="U243" s="3525"/>
      <c r="V243" s="730">
        <v>12</v>
      </c>
      <c r="W243" s="729" t="s">
        <v>3</v>
      </c>
      <c r="X243" s="731" t="s">
        <v>1</v>
      </c>
      <c r="Y243" s="3110">
        <v>1200</v>
      </c>
      <c r="Z243" s="713"/>
      <c r="AA243" s="713"/>
      <c r="AB243" s="714"/>
      <c r="AC243" s="713"/>
      <c r="AD243" s="713"/>
    </row>
    <row r="244" spans="1:30" s="715" customFormat="1" ht="23.45" customHeight="1">
      <c r="A244" s="707"/>
      <c r="B244" s="708"/>
      <c r="C244" s="709"/>
      <c r="D244" s="692"/>
      <c r="E244" s="692"/>
      <c r="F244" s="678"/>
      <c r="G244" s="678"/>
      <c r="H244" s="1190"/>
      <c r="I244" s="734"/>
      <c r="J244" s="3521" t="s">
        <v>147</v>
      </c>
      <c r="K244" s="3522"/>
      <c r="L244" s="3522"/>
      <c r="M244" s="3520"/>
      <c r="N244" s="3520"/>
      <c r="O244" s="3520"/>
      <c r="P244" s="3520"/>
      <c r="Q244" s="735"/>
      <c r="R244" s="736"/>
      <c r="S244" s="728">
        <v>200000</v>
      </c>
      <c r="T244" s="729" t="s">
        <v>0</v>
      </c>
      <c r="U244" s="3525"/>
      <c r="V244" s="730">
        <v>1</v>
      </c>
      <c r="W244" s="729" t="s">
        <v>3</v>
      </c>
      <c r="X244" s="731" t="s">
        <v>1</v>
      </c>
      <c r="Y244" s="3110">
        <f t="shared" ref="Y244:Y245" si="17">S244*V244/1000</f>
        <v>200</v>
      </c>
      <c r="Z244" s="713"/>
      <c r="AA244" s="713"/>
      <c r="AB244" s="714"/>
      <c r="AC244" s="713"/>
      <c r="AD244" s="713"/>
    </row>
    <row r="245" spans="1:30" s="715" customFormat="1" ht="23.45" customHeight="1">
      <c r="A245" s="707"/>
      <c r="B245" s="708"/>
      <c r="C245" s="709"/>
      <c r="D245" s="692"/>
      <c r="E245" s="692" t="s">
        <v>3322</v>
      </c>
      <c r="F245" s="678">
        <f>Y245</f>
        <v>100</v>
      </c>
      <c r="G245" s="678">
        <v>100</v>
      </c>
      <c r="H245" s="1190">
        <f>F245-G245</f>
        <v>0</v>
      </c>
      <c r="I245" s="734"/>
      <c r="J245" s="3519" t="s">
        <v>3323</v>
      </c>
      <c r="K245" s="3520"/>
      <c r="L245" s="3520"/>
      <c r="M245" s="3520"/>
      <c r="N245" s="3520"/>
      <c r="O245" s="3520"/>
      <c r="P245" s="3520"/>
      <c r="Q245" s="735"/>
      <c r="R245" s="736"/>
      <c r="S245" s="728">
        <v>20000</v>
      </c>
      <c r="T245" s="729" t="s">
        <v>0</v>
      </c>
      <c r="U245" s="3525"/>
      <c r="V245" s="730">
        <v>5</v>
      </c>
      <c r="W245" s="729" t="s">
        <v>69</v>
      </c>
      <c r="X245" s="731" t="s">
        <v>1</v>
      </c>
      <c r="Y245" s="3110">
        <f t="shared" si="17"/>
        <v>100</v>
      </c>
      <c r="Z245" s="713"/>
      <c r="AA245" s="713"/>
      <c r="AB245" s="714"/>
      <c r="AC245" s="713"/>
      <c r="AD245" s="713"/>
    </row>
    <row r="246" spans="1:30" s="715" customFormat="1" ht="23.45" customHeight="1">
      <c r="A246" s="707"/>
      <c r="B246" s="708"/>
      <c r="C246" s="709"/>
      <c r="D246" s="692"/>
      <c r="E246" s="692" t="s">
        <v>2994</v>
      </c>
      <c r="F246" s="678">
        <f>Y246</f>
        <v>1400</v>
      </c>
      <c r="G246" s="678">
        <v>1700</v>
      </c>
      <c r="H246" s="1190">
        <f>F246-G246</f>
        <v>-300</v>
      </c>
      <c r="I246" s="734"/>
      <c r="J246" s="3519" t="s">
        <v>2985</v>
      </c>
      <c r="K246" s="3520"/>
      <c r="L246" s="3520"/>
      <c r="M246" s="3520"/>
      <c r="N246" s="3520"/>
      <c r="O246" s="3520"/>
      <c r="P246" s="3520"/>
      <c r="Q246" s="735"/>
      <c r="R246" s="736"/>
      <c r="S246" s="728"/>
      <c r="T246" s="729"/>
      <c r="U246" s="3525"/>
      <c r="V246" s="730"/>
      <c r="W246" s="729"/>
      <c r="X246" s="731"/>
      <c r="Y246" s="3110">
        <f>SUM(Y247:Y248)</f>
        <v>1400</v>
      </c>
      <c r="Z246" s="713"/>
      <c r="AA246" s="713"/>
      <c r="AB246" s="714"/>
      <c r="AC246" s="713"/>
      <c r="AD246" s="713"/>
    </row>
    <row r="247" spans="1:30" s="715" customFormat="1" ht="23.45" customHeight="1">
      <c r="A247" s="707"/>
      <c r="B247" s="708"/>
      <c r="C247" s="709"/>
      <c r="D247" s="692"/>
      <c r="E247" s="692"/>
      <c r="F247" s="678"/>
      <c r="G247" s="678"/>
      <c r="H247" s="1190"/>
      <c r="I247" s="734"/>
      <c r="J247" s="3519" t="s">
        <v>3324</v>
      </c>
      <c r="K247" s="3520"/>
      <c r="L247" s="3520"/>
      <c r="M247" s="3520"/>
      <c r="N247" s="3520"/>
      <c r="O247" s="3520"/>
      <c r="P247" s="3520"/>
      <c r="Q247" s="735"/>
      <c r="R247" s="736"/>
      <c r="S247" s="728">
        <v>100000</v>
      </c>
      <c r="T247" s="729" t="s">
        <v>3186</v>
      </c>
      <c r="U247" s="3525"/>
      <c r="V247" s="730">
        <v>2</v>
      </c>
      <c r="W247" s="729" t="s">
        <v>3189</v>
      </c>
      <c r="X247" s="731" t="s">
        <v>3187</v>
      </c>
      <c r="Y247" s="3110">
        <f>S247*V247/1000</f>
        <v>200</v>
      </c>
      <c r="Z247" s="713"/>
      <c r="AA247" s="713"/>
      <c r="AB247" s="714"/>
      <c r="AC247" s="713"/>
      <c r="AD247" s="713"/>
    </row>
    <row r="248" spans="1:30" s="715" customFormat="1" ht="23.45" customHeight="1">
      <c r="A248" s="707"/>
      <c r="B248" s="708"/>
      <c r="C248" s="709"/>
      <c r="D248" s="692"/>
      <c r="E248" s="692"/>
      <c r="F248" s="678"/>
      <c r="G248" s="678"/>
      <c r="H248" s="1190"/>
      <c r="I248" s="734"/>
      <c r="J248" s="3519" t="s">
        <v>3325</v>
      </c>
      <c r="K248" s="3520"/>
      <c r="L248" s="3520"/>
      <c r="M248" s="3520"/>
      <c r="N248" s="3520"/>
      <c r="O248" s="3520"/>
      <c r="P248" s="3520"/>
      <c r="Q248" s="735"/>
      <c r="R248" s="736"/>
      <c r="S248" s="728">
        <v>600000</v>
      </c>
      <c r="T248" s="729" t="s">
        <v>2784</v>
      </c>
      <c r="U248" s="3525"/>
      <c r="V248" s="730">
        <v>2</v>
      </c>
      <c r="W248" s="729" t="s">
        <v>2988</v>
      </c>
      <c r="X248" s="731" t="s">
        <v>2785</v>
      </c>
      <c r="Y248" s="3110">
        <f>(S248*V248)/1000</f>
        <v>1200</v>
      </c>
      <c r="Z248" s="713"/>
      <c r="AA248" s="713"/>
      <c r="AB248" s="714"/>
      <c r="AC248" s="713"/>
      <c r="AD248" s="713"/>
    </row>
    <row r="249" spans="1:30" s="715" customFormat="1" ht="23.45" customHeight="1">
      <c r="A249" s="707"/>
      <c r="B249" s="708"/>
      <c r="C249" s="709"/>
      <c r="D249" s="692"/>
      <c r="E249" s="692" t="s">
        <v>2998</v>
      </c>
      <c r="F249" s="678">
        <f>Y249</f>
        <v>200</v>
      </c>
      <c r="G249" s="678">
        <v>200</v>
      </c>
      <c r="H249" s="1190">
        <f t="shared" ref="H249:H250" si="18">F249-G249</f>
        <v>0</v>
      </c>
      <c r="I249" s="734"/>
      <c r="J249" s="3519" t="s">
        <v>3326</v>
      </c>
      <c r="K249" s="3520"/>
      <c r="L249" s="3520"/>
      <c r="M249" s="3520"/>
      <c r="N249" s="3520"/>
      <c r="O249" s="3520"/>
      <c r="P249" s="3520"/>
      <c r="Q249" s="735"/>
      <c r="R249" s="736"/>
      <c r="S249" s="728">
        <v>100000</v>
      </c>
      <c r="T249" s="729" t="s">
        <v>3186</v>
      </c>
      <c r="U249" s="3525"/>
      <c r="V249" s="728">
        <v>2</v>
      </c>
      <c r="W249" s="729" t="s">
        <v>2988</v>
      </c>
      <c r="X249" s="731" t="s">
        <v>2785</v>
      </c>
      <c r="Y249" s="3110">
        <f>S249*V249/1000</f>
        <v>200</v>
      </c>
      <c r="Z249" s="713"/>
      <c r="AA249" s="713"/>
      <c r="AB249" s="714"/>
      <c r="AC249" s="713"/>
      <c r="AD249" s="713"/>
    </row>
    <row r="250" spans="1:30" s="715" customFormat="1" ht="23.45" customHeight="1">
      <c r="A250" s="707"/>
      <c r="B250" s="708"/>
      <c r="C250" s="709"/>
      <c r="D250" s="692"/>
      <c r="E250" s="675" t="s">
        <v>2786</v>
      </c>
      <c r="F250" s="678">
        <f>Y250</f>
        <v>1000</v>
      </c>
      <c r="G250" s="678">
        <v>1000</v>
      </c>
      <c r="H250" s="1190">
        <f t="shared" si="18"/>
        <v>0</v>
      </c>
      <c r="I250" s="734"/>
      <c r="J250" s="3521" t="s">
        <v>3327</v>
      </c>
      <c r="K250" s="3520"/>
      <c r="L250" s="3520"/>
      <c r="M250" s="3520"/>
      <c r="N250" s="3520"/>
      <c r="O250" s="3520"/>
      <c r="P250" s="3520"/>
      <c r="Q250" s="735">
        <v>1</v>
      </c>
      <c r="R250" s="736" t="s">
        <v>3195</v>
      </c>
      <c r="S250" s="728">
        <v>100000</v>
      </c>
      <c r="T250" s="729" t="s">
        <v>3186</v>
      </c>
      <c r="U250" s="3525"/>
      <c r="V250" s="730">
        <v>10</v>
      </c>
      <c r="W250" s="729" t="s">
        <v>2989</v>
      </c>
      <c r="X250" s="731" t="s">
        <v>3187</v>
      </c>
      <c r="Y250" s="3110">
        <f>Q250*S250*V250/1000</f>
        <v>1000</v>
      </c>
      <c r="Z250" s="713"/>
      <c r="AA250" s="713"/>
      <c r="AB250" s="714"/>
      <c r="AC250" s="713"/>
      <c r="AD250" s="713"/>
    </row>
    <row r="251" spans="1:30" s="715" customFormat="1" ht="21.95" customHeight="1">
      <c r="A251" s="791"/>
      <c r="B251" s="675"/>
      <c r="C251" s="709"/>
      <c r="D251" s="3840" t="s">
        <v>3328</v>
      </c>
      <c r="E251" s="3904"/>
      <c r="F251" s="1192">
        <f>SUM(F252:F264)</f>
        <v>23000</v>
      </c>
      <c r="G251" s="1192">
        <f>SUM(G252:G264)</f>
        <v>23000</v>
      </c>
      <c r="H251" s="2608">
        <f>SUM(H252:H264)</f>
        <v>0</v>
      </c>
      <c r="I251" s="734"/>
      <c r="J251" s="1074"/>
      <c r="K251" s="2094"/>
      <c r="L251" s="2094"/>
      <c r="M251" s="2094"/>
      <c r="N251" s="2094"/>
      <c r="O251" s="2094"/>
      <c r="P251" s="2094"/>
      <c r="Q251" s="1119"/>
      <c r="R251" s="1075"/>
      <c r="S251" s="1210"/>
      <c r="T251" s="2094"/>
      <c r="U251" s="2094"/>
      <c r="V251" s="1063"/>
      <c r="W251" s="2094"/>
      <c r="X251" s="2112"/>
      <c r="Y251" s="1104"/>
      <c r="Z251" s="713"/>
      <c r="AA251" s="713"/>
      <c r="AB251" s="714"/>
      <c r="AC251" s="713"/>
      <c r="AD251" s="713"/>
    </row>
    <row r="252" spans="1:30" s="715" customFormat="1" ht="21.95" customHeight="1">
      <c r="A252" s="791"/>
      <c r="B252" s="675"/>
      <c r="C252" s="709"/>
      <c r="D252" s="692"/>
      <c r="E252" s="692" t="s">
        <v>4511</v>
      </c>
      <c r="F252" s="678">
        <f>+Y252</f>
        <v>1300</v>
      </c>
      <c r="G252" s="678">
        <v>1300</v>
      </c>
      <c r="H252" s="790"/>
      <c r="I252" s="734"/>
      <c r="J252" s="791" t="s">
        <v>4498</v>
      </c>
      <c r="K252" s="3228"/>
      <c r="L252" s="3228"/>
      <c r="M252" s="3228"/>
      <c r="N252" s="3228"/>
      <c r="O252" s="3228"/>
      <c r="P252" s="3228"/>
      <c r="Q252" s="735">
        <v>1</v>
      </c>
      <c r="R252" s="736" t="s">
        <v>25</v>
      </c>
      <c r="S252" s="728">
        <v>1300000</v>
      </c>
      <c r="T252" s="729" t="s">
        <v>0</v>
      </c>
      <c r="U252" s="3228"/>
      <c r="V252" s="730">
        <v>1</v>
      </c>
      <c r="W252" s="729" t="s">
        <v>4446</v>
      </c>
      <c r="X252" s="731" t="s">
        <v>1</v>
      </c>
      <c r="Y252" s="3110">
        <f>Q252*S252*V252/1000</f>
        <v>1300</v>
      </c>
      <c r="Z252" s="713"/>
      <c r="AA252" s="713"/>
      <c r="AB252" s="714"/>
      <c r="AC252" s="713"/>
      <c r="AD252" s="713"/>
    </row>
    <row r="253" spans="1:30" s="715" customFormat="1" ht="21.95" customHeight="1">
      <c r="A253" s="791"/>
      <c r="B253" s="675"/>
      <c r="C253" s="709"/>
      <c r="D253" s="692"/>
      <c r="E253" s="692" t="s">
        <v>4453</v>
      </c>
      <c r="F253" s="678">
        <f>+Y253</f>
        <v>800</v>
      </c>
      <c r="G253" s="678">
        <v>800</v>
      </c>
      <c r="H253" s="1190"/>
      <c r="I253" s="734"/>
      <c r="J253" s="3231" t="s">
        <v>115</v>
      </c>
      <c r="K253" s="3232"/>
      <c r="L253" s="3232"/>
      <c r="M253" s="3232"/>
      <c r="N253" s="3232"/>
      <c r="O253" s="3232"/>
      <c r="P253" s="3232"/>
      <c r="Q253" s="735"/>
      <c r="R253" s="736"/>
      <c r="S253" s="728">
        <v>100000</v>
      </c>
      <c r="T253" s="729" t="s">
        <v>0</v>
      </c>
      <c r="U253" s="3228"/>
      <c r="V253" s="728">
        <v>8</v>
      </c>
      <c r="W253" s="729" t="s">
        <v>3</v>
      </c>
      <c r="X253" s="731" t="s">
        <v>1</v>
      </c>
      <c r="Y253" s="3110">
        <f>S253*V253/1000</f>
        <v>800</v>
      </c>
      <c r="Z253" s="713"/>
      <c r="AA253" s="713"/>
      <c r="AB253" s="714"/>
      <c r="AC253" s="713"/>
      <c r="AD253" s="713"/>
    </row>
    <row r="254" spans="1:30" s="715" customFormat="1" ht="21.95" customHeight="1">
      <c r="A254" s="791"/>
      <c r="B254" s="675"/>
      <c r="C254" s="709"/>
      <c r="D254" s="692"/>
      <c r="E254" s="692" t="s">
        <v>4452</v>
      </c>
      <c r="F254" s="678">
        <f>+Y254</f>
        <v>2400</v>
      </c>
      <c r="G254" s="678">
        <v>2400</v>
      </c>
      <c r="H254" s="790"/>
      <c r="I254" s="734"/>
      <c r="J254" s="3231" t="s">
        <v>4499</v>
      </c>
      <c r="K254" s="3232"/>
      <c r="L254" s="3232"/>
      <c r="M254" s="3232"/>
      <c r="N254" s="3232"/>
      <c r="O254" s="3232"/>
      <c r="P254" s="3232"/>
      <c r="Q254" s="735"/>
      <c r="R254" s="736"/>
      <c r="S254" s="728">
        <v>24000</v>
      </c>
      <c r="T254" s="729" t="s">
        <v>0</v>
      </c>
      <c r="U254" s="3228"/>
      <c r="V254" s="728">
        <v>100</v>
      </c>
      <c r="W254" s="729" t="s">
        <v>4500</v>
      </c>
      <c r="X254" s="731" t="s">
        <v>1</v>
      </c>
      <c r="Y254" s="3110">
        <f>S254*V254/1000</f>
        <v>2400</v>
      </c>
      <c r="Z254" s="713"/>
      <c r="AA254" s="713"/>
      <c r="AB254" s="714"/>
      <c r="AC254" s="713"/>
      <c r="AD254" s="713"/>
    </row>
    <row r="255" spans="1:30" s="715" customFormat="1" ht="21.95" customHeight="1">
      <c r="A255" s="791"/>
      <c r="B255" s="675"/>
      <c r="C255" s="3162"/>
      <c r="D255" s="692"/>
      <c r="E255" s="692" t="s">
        <v>4454</v>
      </c>
      <c r="F255" s="678">
        <f>+Y255</f>
        <v>12000</v>
      </c>
      <c r="G255" s="678">
        <v>12000</v>
      </c>
      <c r="H255" s="790"/>
      <c r="I255" s="734"/>
      <c r="J255" s="791" t="s">
        <v>8</v>
      </c>
      <c r="K255" s="3228"/>
      <c r="L255" s="3228"/>
      <c r="M255" s="3228"/>
      <c r="N255" s="3228"/>
      <c r="O255" s="3228"/>
      <c r="P255" s="3228"/>
      <c r="Q255" s="735"/>
      <c r="R255" s="736"/>
      <c r="S255" s="728"/>
      <c r="T255" s="729"/>
      <c r="U255" s="3228"/>
      <c r="V255" s="730"/>
      <c r="W255" s="729"/>
      <c r="X255" s="731"/>
      <c r="Y255" s="3110">
        <f>Y256+Y257</f>
        <v>12000</v>
      </c>
      <c r="Z255" s="713"/>
      <c r="AA255" s="713"/>
      <c r="AB255" s="714"/>
      <c r="AC255" s="713"/>
      <c r="AD255" s="713"/>
    </row>
    <row r="256" spans="1:30" s="715" customFormat="1" ht="21.95" customHeight="1">
      <c r="A256" s="791"/>
      <c r="B256" s="675"/>
      <c r="C256" s="709"/>
      <c r="D256" s="692"/>
      <c r="E256" s="692"/>
      <c r="F256" s="678"/>
      <c r="G256" s="678"/>
      <c r="H256" s="1190"/>
      <c r="I256" s="734"/>
      <c r="J256" s="791" t="s">
        <v>4501</v>
      </c>
      <c r="K256" s="3228"/>
      <c r="L256" s="3228"/>
      <c r="M256" s="3228"/>
      <c r="N256" s="3228"/>
      <c r="O256" s="3228"/>
      <c r="P256" s="3228"/>
      <c r="Q256" s="735">
        <v>6</v>
      </c>
      <c r="R256" s="736" t="s">
        <v>25</v>
      </c>
      <c r="S256" s="728">
        <v>10000</v>
      </c>
      <c r="T256" s="729" t="s">
        <v>0</v>
      </c>
      <c r="U256" s="3228"/>
      <c r="V256" s="730">
        <v>150</v>
      </c>
      <c r="W256" s="729" t="s">
        <v>66</v>
      </c>
      <c r="X256" s="731" t="s">
        <v>1</v>
      </c>
      <c r="Y256" s="3110">
        <f>Q256*S256*V256/1000</f>
        <v>9000</v>
      </c>
      <c r="Z256" s="713"/>
      <c r="AA256" s="713"/>
      <c r="AB256" s="714"/>
      <c r="AC256" s="713"/>
      <c r="AD256" s="713"/>
    </row>
    <row r="257" spans="1:30" s="715" customFormat="1" ht="21.95" customHeight="1">
      <c r="A257" s="791"/>
      <c r="B257" s="675"/>
      <c r="C257" s="709"/>
      <c r="D257" s="692"/>
      <c r="E257" s="692"/>
      <c r="F257" s="678"/>
      <c r="G257" s="678"/>
      <c r="H257" s="1190"/>
      <c r="I257" s="734"/>
      <c r="J257" s="3233" t="s">
        <v>4502</v>
      </c>
      <c r="K257" s="3232"/>
      <c r="L257" s="3232"/>
      <c r="M257" s="3232"/>
      <c r="N257" s="3232"/>
      <c r="O257" s="3232"/>
      <c r="P257" s="3232"/>
      <c r="Q257" s="735">
        <v>4</v>
      </c>
      <c r="R257" s="736" t="s">
        <v>25</v>
      </c>
      <c r="S257" s="728">
        <v>250000</v>
      </c>
      <c r="T257" s="729" t="s">
        <v>0</v>
      </c>
      <c r="U257" s="3228"/>
      <c r="V257" s="730">
        <v>3</v>
      </c>
      <c r="W257" s="729" t="s">
        <v>4431</v>
      </c>
      <c r="X257" s="731" t="s">
        <v>1</v>
      </c>
      <c r="Y257" s="3110">
        <f>Q257*S257*V257/1000</f>
        <v>3000</v>
      </c>
      <c r="Z257" s="713"/>
      <c r="AA257" s="713"/>
      <c r="AB257" s="714"/>
      <c r="AC257" s="713"/>
      <c r="AD257" s="713"/>
    </row>
    <row r="258" spans="1:30" s="715" customFormat="1" ht="21.95" customHeight="1">
      <c r="A258" s="791"/>
      <c r="B258" s="675"/>
      <c r="C258" s="709"/>
      <c r="D258" s="692"/>
      <c r="E258" s="692" t="s">
        <v>4512</v>
      </c>
      <c r="F258" s="678">
        <f t="shared" ref="F258:F264" si="19">+Y258</f>
        <v>2000</v>
      </c>
      <c r="G258" s="678">
        <v>2000</v>
      </c>
      <c r="H258" s="790"/>
      <c r="I258" s="734"/>
      <c r="J258" s="3231" t="s">
        <v>4503</v>
      </c>
      <c r="K258" s="3232"/>
      <c r="L258" s="3232"/>
      <c r="M258" s="3232"/>
      <c r="N258" s="3232"/>
      <c r="O258" s="3232"/>
      <c r="P258" s="3232"/>
      <c r="Q258" s="735"/>
      <c r="R258" s="736"/>
      <c r="S258" s="728">
        <v>2000000</v>
      </c>
      <c r="T258" s="729" t="s">
        <v>0</v>
      </c>
      <c r="U258" s="3228"/>
      <c r="V258" s="728">
        <v>1</v>
      </c>
      <c r="W258" s="729" t="s">
        <v>4433</v>
      </c>
      <c r="X258" s="731" t="s">
        <v>1</v>
      </c>
      <c r="Y258" s="3110">
        <f t="shared" ref="Y258:Y260" si="20">S258*V258/1000</f>
        <v>2000</v>
      </c>
      <c r="Z258" s="713"/>
      <c r="AA258" s="713"/>
      <c r="AB258" s="714"/>
      <c r="AC258" s="713"/>
      <c r="AD258" s="713"/>
    </row>
    <row r="259" spans="1:30" s="715" customFormat="1" ht="21.95" customHeight="1">
      <c r="A259" s="791"/>
      <c r="B259" s="675"/>
      <c r="C259" s="3162"/>
      <c r="D259" s="692"/>
      <c r="E259" s="692" t="s">
        <v>4513</v>
      </c>
      <c r="F259" s="678">
        <f>+Y259</f>
        <v>50</v>
      </c>
      <c r="G259" s="678">
        <v>50</v>
      </c>
      <c r="H259" s="733"/>
      <c r="I259" s="734"/>
      <c r="J259" s="3231" t="s">
        <v>4504</v>
      </c>
      <c r="K259" s="3232"/>
      <c r="L259" s="3232"/>
      <c r="M259" s="3232"/>
      <c r="N259" s="3232"/>
      <c r="O259" s="3232"/>
      <c r="P259" s="3232"/>
      <c r="Q259" s="735"/>
      <c r="R259" s="736"/>
      <c r="S259" s="728">
        <v>2000</v>
      </c>
      <c r="T259" s="729" t="s">
        <v>0</v>
      </c>
      <c r="U259" s="3228"/>
      <c r="V259" s="730">
        <v>25</v>
      </c>
      <c r="W259" s="729" t="s">
        <v>4482</v>
      </c>
      <c r="X259" s="731" t="s">
        <v>1</v>
      </c>
      <c r="Y259" s="3110">
        <f t="shared" si="20"/>
        <v>50</v>
      </c>
      <c r="Z259" s="713"/>
      <c r="AA259" s="713"/>
      <c r="AB259" s="714"/>
      <c r="AC259" s="713"/>
      <c r="AD259" s="713"/>
    </row>
    <row r="260" spans="1:30" s="715" customFormat="1" ht="21.95" customHeight="1">
      <c r="A260" s="791"/>
      <c r="B260" s="675"/>
      <c r="C260" s="709"/>
      <c r="D260" s="692"/>
      <c r="E260" s="692" t="s">
        <v>4514</v>
      </c>
      <c r="F260" s="678">
        <f>+Y260</f>
        <v>1800</v>
      </c>
      <c r="G260" s="678">
        <v>1800</v>
      </c>
      <c r="H260" s="790"/>
      <c r="I260" s="734"/>
      <c r="J260" s="3233" t="s">
        <v>4505</v>
      </c>
      <c r="K260" s="3232"/>
      <c r="L260" s="3232"/>
      <c r="M260" s="3232"/>
      <c r="N260" s="3232"/>
      <c r="O260" s="3232"/>
      <c r="P260" s="3232"/>
      <c r="Q260" s="735"/>
      <c r="R260" s="736"/>
      <c r="S260" s="728">
        <v>100000</v>
      </c>
      <c r="T260" s="729" t="s">
        <v>0</v>
      </c>
      <c r="U260" s="3228"/>
      <c r="V260" s="728">
        <v>18</v>
      </c>
      <c r="W260" s="729" t="s">
        <v>4489</v>
      </c>
      <c r="X260" s="731" t="s">
        <v>1</v>
      </c>
      <c r="Y260" s="3110">
        <f t="shared" si="20"/>
        <v>1800</v>
      </c>
      <c r="Z260" s="713"/>
      <c r="AA260" s="713"/>
      <c r="AB260" s="714"/>
      <c r="AC260" s="713"/>
      <c r="AD260" s="713"/>
    </row>
    <row r="261" spans="1:30" s="715" customFormat="1" ht="21.95" customHeight="1">
      <c r="A261" s="791"/>
      <c r="B261" s="675"/>
      <c r="C261" s="3162"/>
      <c r="D261" s="692"/>
      <c r="E261" s="692" t="s">
        <v>4515</v>
      </c>
      <c r="F261" s="678">
        <f t="shared" si="19"/>
        <v>2000</v>
      </c>
      <c r="G261" s="678">
        <v>2000</v>
      </c>
      <c r="H261" s="790"/>
      <c r="I261" s="734"/>
      <c r="J261" s="3233" t="s">
        <v>4506</v>
      </c>
      <c r="K261" s="3232"/>
      <c r="L261" s="3232"/>
      <c r="M261" s="3232"/>
      <c r="N261" s="3232"/>
      <c r="O261" s="3232"/>
      <c r="P261" s="3232"/>
      <c r="Q261" s="735"/>
      <c r="R261" s="736"/>
      <c r="S261" s="728">
        <v>200000</v>
      </c>
      <c r="T261" s="729" t="s">
        <v>0</v>
      </c>
      <c r="U261" s="3228"/>
      <c r="V261" s="730">
        <v>10</v>
      </c>
      <c r="W261" s="729" t="s">
        <v>29</v>
      </c>
      <c r="X261" s="731" t="s">
        <v>1</v>
      </c>
      <c r="Y261" s="3110">
        <f>S261*V261/1000</f>
        <v>2000</v>
      </c>
      <c r="Z261" s="713"/>
      <c r="AA261" s="713"/>
      <c r="AB261" s="714"/>
      <c r="AC261" s="713"/>
      <c r="AD261" s="713"/>
    </row>
    <row r="262" spans="1:30" s="715" customFormat="1" ht="21.95" customHeight="1">
      <c r="A262" s="791"/>
      <c r="B262" s="675"/>
      <c r="C262" s="709"/>
      <c r="D262" s="692"/>
      <c r="E262" s="692" t="s">
        <v>4516</v>
      </c>
      <c r="F262" s="678">
        <v>200</v>
      </c>
      <c r="G262" s="678">
        <v>200</v>
      </c>
      <c r="H262" s="790"/>
      <c r="I262" s="734"/>
      <c r="J262" s="3233" t="s">
        <v>4507</v>
      </c>
      <c r="K262" s="3232"/>
      <c r="L262" s="3232"/>
      <c r="M262" s="3232"/>
      <c r="N262" s="3232"/>
      <c r="O262" s="3232"/>
      <c r="P262" s="3232"/>
      <c r="Q262" s="735">
        <v>17</v>
      </c>
      <c r="R262" s="736" t="s">
        <v>4483</v>
      </c>
      <c r="S262" s="728">
        <v>5000</v>
      </c>
      <c r="T262" s="729" t="s">
        <v>4457</v>
      </c>
      <c r="U262" s="3228"/>
      <c r="V262" s="730">
        <v>2</v>
      </c>
      <c r="W262" s="729" t="s">
        <v>4508</v>
      </c>
      <c r="X262" s="731" t="s">
        <v>4443</v>
      </c>
      <c r="Y262" s="3110">
        <v>170</v>
      </c>
      <c r="Z262" s="713"/>
      <c r="AA262" s="713"/>
      <c r="AB262" s="714"/>
      <c r="AC262" s="713"/>
      <c r="AD262" s="713"/>
    </row>
    <row r="263" spans="1:30" s="715" customFormat="1" ht="21.95" customHeight="1">
      <c r="A263" s="791"/>
      <c r="B263" s="675"/>
      <c r="C263" s="709"/>
      <c r="D263" s="692"/>
      <c r="E263" s="692"/>
      <c r="F263" s="678"/>
      <c r="G263" s="678"/>
      <c r="H263" s="1190"/>
      <c r="I263" s="734"/>
      <c r="J263" s="3233" t="s">
        <v>4509</v>
      </c>
      <c r="K263" s="3232"/>
      <c r="L263" s="3232"/>
      <c r="M263" s="3232"/>
      <c r="N263" s="3232"/>
      <c r="O263" s="3232"/>
      <c r="P263" s="3232"/>
      <c r="Q263" s="735">
        <v>15</v>
      </c>
      <c r="R263" s="736" t="s">
        <v>4483</v>
      </c>
      <c r="S263" s="728">
        <v>2000</v>
      </c>
      <c r="T263" s="729" t="s">
        <v>4457</v>
      </c>
      <c r="U263" s="3228"/>
      <c r="V263" s="730">
        <v>1</v>
      </c>
      <c r="W263" s="729" t="s">
        <v>4508</v>
      </c>
      <c r="X263" s="731" t="s">
        <v>1</v>
      </c>
      <c r="Y263" s="3110">
        <v>30</v>
      </c>
      <c r="Z263" s="713"/>
      <c r="AA263" s="713"/>
      <c r="AB263" s="714"/>
      <c r="AC263" s="713"/>
      <c r="AD263" s="713"/>
    </row>
    <row r="264" spans="1:30" s="715" customFormat="1" ht="21.95" customHeight="1">
      <c r="A264" s="791"/>
      <c r="B264" s="675"/>
      <c r="C264" s="709"/>
      <c r="D264" s="692"/>
      <c r="E264" s="3237" t="s">
        <v>4455</v>
      </c>
      <c r="F264" s="2040">
        <f t="shared" si="19"/>
        <v>450</v>
      </c>
      <c r="G264" s="2040">
        <v>450</v>
      </c>
      <c r="H264" s="1197"/>
      <c r="I264" s="734"/>
      <c r="J264" s="1703" t="s">
        <v>4510</v>
      </c>
      <c r="K264" s="1704"/>
      <c r="L264" s="1704"/>
      <c r="M264" s="1704"/>
      <c r="N264" s="1704"/>
      <c r="O264" s="1704"/>
      <c r="P264" s="1704"/>
      <c r="Q264" s="1187"/>
      <c r="R264" s="1116"/>
      <c r="S264" s="1188">
        <v>150000</v>
      </c>
      <c r="T264" s="3230" t="s">
        <v>0</v>
      </c>
      <c r="U264" s="1093"/>
      <c r="V264" s="1188">
        <v>3</v>
      </c>
      <c r="W264" s="3230" t="s">
        <v>3</v>
      </c>
      <c r="X264" s="3243" t="s">
        <v>1</v>
      </c>
      <c r="Y264" s="3110">
        <f>S264*V264/1000</f>
        <v>450</v>
      </c>
      <c r="Z264" s="713"/>
      <c r="AA264" s="713"/>
      <c r="AB264" s="713"/>
      <c r="AC264" s="713"/>
      <c r="AD264" s="713"/>
    </row>
    <row r="265" spans="1:30" s="715" customFormat="1" ht="21.95" customHeight="1">
      <c r="A265" s="707"/>
      <c r="B265" s="708"/>
      <c r="C265" s="1237"/>
      <c r="D265" s="3840" t="s">
        <v>3330</v>
      </c>
      <c r="E265" s="3904"/>
      <c r="F265" s="1192">
        <f>SUM(F266:F275)</f>
        <v>10000</v>
      </c>
      <c r="G265" s="2040">
        <f>SUM(G266:G275)</f>
        <v>10000</v>
      </c>
      <c r="H265" s="933">
        <f>F265-G265</f>
        <v>0</v>
      </c>
      <c r="I265" s="734"/>
      <c r="J265" s="1074"/>
      <c r="K265" s="1957"/>
      <c r="L265" s="1957"/>
      <c r="M265" s="1957"/>
      <c r="N265" s="1957"/>
      <c r="O265" s="1957"/>
      <c r="P265" s="1957"/>
      <c r="Q265" s="1119"/>
      <c r="R265" s="1075"/>
      <c r="S265" s="1210"/>
      <c r="T265" s="1957"/>
      <c r="U265" s="1957"/>
      <c r="V265" s="1063"/>
      <c r="W265" s="1957"/>
      <c r="X265" s="1973"/>
      <c r="Y265" s="1104"/>
      <c r="Z265" s="713"/>
      <c r="AA265" s="713"/>
      <c r="AB265" s="713"/>
      <c r="AC265" s="713"/>
      <c r="AD265" s="713"/>
    </row>
    <row r="266" spans="1:30" s="715" customFormat="1" ht="21.95" customHeight="1">
      <c r="A266" s="707"/>
      <c r="B266" s="708"/>
      <c r="C266" s="1238"/>
      <c r="D266" s="692"/>
      <c r="E266" s="692" t="s">
        <v>2783</v>
      </c>
      <c r="F266" s="678">
        <f>Y266</f>
        <v>300</v>
      </c>
      <c r="G266" s="678">
        <v>300</v>
      </c>
      <c r="H266" s="1190"/>
      <c r="I266" s="734"/>
      <c r="J266" s="791" t="s">
        <v>3332</v>
      </c>
      <c r="K266" s="3525"/>
      <c r="L266" s="3525"/>
      <c r="M266" s="3525"/>
      <c r="N266" s="3525"/>
      <c r="O266" s="3525"/>
      <c r="P266" s="3525"/>
      <c r="Q266" s="735">
        <v>1</v>
      </c>
      <c r="R266" s="736" t="s">
        <v>3185</v>
      </c>
      <c r="S266" s="728">
        <v>10000</v>
      </c>
      <c r="T266" s="729" t="s">
        <v>3186</v>
      </c>
      <c r="U266" s="3525"/>
      <c r="V266" s="730">
        <v>30</v>
      </c>
      <c r="W266" s="729" t="s">
        <v>3333</v>
      </c>
      <c r="X266" s="731" t="s">
        <v>3187</v>
      </c>
      <c r="Y266" s="3110">
        <f>Q266*S266*V266/1000</f>
        <v>300</v>
      </c>
      <c r="Z266" s="713">
        <f>Q266*S266*V266</f>
        <v>300000</v>
      </c>
      <c r="AA266" s="713"/>
      <c r="AB266" s="713"/>
      <c r="AC266" s="713"/>
      <c r="AD266" s="713"/>
    </row>
    <row r="267" spans="1:30" s="715" customFormat="1" ht="21.95" customHeight="1">
      <c r="A267" s="707"/>
      <c r="B267" s="708"/>
      <c r="C267" s="1238"/>
      <c r="D267" s="692"/>
      <c r="E267" s="692" t="s">
        <v>5716</v>
      </c>
      <c r="F267" s="678">
        <f>Y267</f>
        <v>100</v>
      </c>
      <c r="G267" s="678">
        <v>0</v>
      </c>
      <c r="H267" s="1190">
        <f>F267-G267</f>
        <v>100</v>
      </c>
      <c r="I267" s="734"/>
      <c r="J267" s="791" t="s">
        <v>5718</v>
      </c>
      <c r="K267" s="3525"/>
      <c r="L267" s="3163"/>
      <c r="M267" s="3163"/>
      <c r="N267" s="3163"/>
      <c r="O267" s="3163"/>
      <c r="P267" s="3163"/>
      <c r="Q267" s="735"/>
      <c r="R267" s="736"/>
      <c r="S267" s="728">
        <v>100000</v>
      </c>
      <c r="T267" s="3525" t="s">
        <v>4</v>
      </c>
      <c r="U267" s="3525"/>
      <c r="V267" s="730">
        <v>1</v>
      </c>
      <c r="W267" s="3525" t="s">
        <v>253</v>
      </c>
      <c r="X267" s="731" t="s">
        <v>2060</v>
      </c>
      <c r="Y267" s="3110">
        <f t="shared" ref="Y267" si="21">S267*V267/1000</f>
        <v>100</v>
      </c>
      <c r="Z267" s="713"/>
      <c r="AA267" s="713"/>
      <c r="AB267" s="713"/>
      <c r="AC267" s="713"/>
      <c r="AD267" s="713"/>
    </row>
    <row r="268" spans="1:30" s="715" customFormat="1" ht="21.95" customHeight="1">
      <c r="A268" s="707"/>
      <c r="B268" s="708"/>
      <c r="C268" s="1238"/>
      <c r="D268" s="692"/>
      <c r="E268" s="692" t="s">
        <v>3005</v>
      </c>
      <c r="F268" s="678">
        <f>Y268</f>
        <v>1170</v>
      </c>
      <c r="G268" s="678">
        <v>500</v>
      </c>
      <c r="H268" s="1190">
        <f>F268-G268</f>
        <v>670</v>
      </c>
      <c r="I268" s="734"/>
      <c r="J268" s="791" t="s">
        <v>3334</v>
      </c>
      <c r="K268" s="3525"/>
      <c r="L268" s="3525"/>
      <c r="M268" s="3525"/>
      <c r="N268" s="3525"/>
      <c r="O268" s="3525"/>
      <c r="P268" s="3525"/>
      <c r="Q268" s="735"/>
      <c r="R268" s="736"/>
      <c r="S268" s="728">
        <v>1170000</v>
      </c>
      <c r="T268" s="729" t="s">
        <v>3186</v>
      </c>
      <c r="U268" s="3525"/>
      <c r="V268" s="730">
        <v>1</v>
      </c>
      <c r="W268" s="729" t="s">
        <v>3290</v>
      </c>
      <c r="X268" s="731" t="s">
        <v>3187</v>
      </c>
      <c r="Y268" s="3110">
        <f>S268*V268/1000</f>
        <v>1170</v>
      </c>
      <c r="Z268" s="713"/>
      <c r="AA268" s="713"/>
      <c r="AB268" s="713"/>
      <c r="AC268" s="713"/>
      <c r="AD268" s="713"/>
    </row>
    <row r="269" spans="1:30" s="715" customFormat="1" ht="21.95" customHeight="1">
      <c r="A269" s="707"/>
      <c r="B269" s="708"/>
      <c r="C269" s="1238"/>
      <c r="D269" s="692"/>
      <c r="E269" s="692" t="s">
        <v>2984</v>
      </c>
      <c r="F269" s="678">
        <f>Y269</f>
        <v>5400</v>
      </c>
      <c r="G269" s="678">
        <v>6800</v>
      </c>
      <c r="H269" s="1190">
        <f>F269-G269</f>
        <v>-1400</v>
      </c>
      <c r="I269" s="734"/>
      <c r="J269" s="791" t="s">
        <v>3288</v>
      </c>
      <c r="K269" s="3525"/>
      <c r="L269" s="3525"/>
      <c r="M269" s="3525"/>
      <c r="N269" s="3525"/>
      <c r="O269" s="3525"/>
      <c r="P269" s="3525"/>
      <c r="Q269" s="735"/>
      <c r="R269" s="736"/>
      <c r="S269" s="728"/>
      <c r="T269" s="729"/>
      <c r="U269" s="3525"/>
      <c r="V269" s="730"/>
      <c r="W269" s="729"/>
      <c r="X269" s="731"/>
      <c r="Y269" s="3110">
        <f>SUM(Y270:Y271)</f>
        <v>5400</v>
      </c>
      <c r="Z269" s="713"/>
      <c r="AA269" s="713"/>
      <c r="AB269" s="713"/>
      <c r="AC269" s="713"/>
      <c r="AD269" s="713"/>
    </row>
    <row r="270" spans="1:30" s="715" customFormat="1" ht="21.95" customHeight="1">
      <c r="A270" s="707"/>
      <c r="B270" s="708"/>
      <c r="C270" s="1238"/>
      <c r="D270" s="692"/>
      <c r="E270" s="692"/>
      <c r="F270" s="678"/>
      <c r="G270" s="678"/>
      <c r="H270" s="1190"/>
      <c r="I270" s="734"/>
      <c r="J270" s="791" t="s">
        <v>3335</v>
      </c>
      <c r="K270" s="3525"/>
      <c r="L270" s="3525"/>
      <c r="M270" s="3525"/>
      <c r="N270" s="3525"/>
      <c r="O270" s="3525"/>
      <c r="P270" s="3525"/>
      <c r="Q270" s="735">
        <v>1</v>
      </c>
      <c r="R270" s="736" t="s">
        <v>3195</v>
      </c>
      <c r="S270" s="728">
        <v>300000</v>
      </c>
      <c r="T270" s="729" t="s">
        <v>3186</v>
      </c>
      <c r="U270" s="3525"/>
      <c r="V270" s="730">
        <v>10</v>
      </c>
      <c r="W270" s="729" t="s">
        <v>3189</v>
      </c>
      <c r="X270" s="731" t="s">
        <v>3187</v>
      </c>
      <c r="Y270" s="3110">
        <f>Q270*S270*V270/1000</f>
        <v>3000</v>
      </c>
      <c r="Z270" s="713"/>
      <c r="AA270" s="713"/>
      <c r="AB270" s="713"/>
      <c r="AC270" s="713"/>
      <c r="AD270" s="713"/>
    </row>
    <row r="271" spans="1:30" s="715" customFormat="1" ht="21.95" customHeight="1">
      <c r="A271" s="707"/>
      <c r="B271" s="708"/>
      <c r="C271" s="1238"/>
      <c r="D271" s="692"/>
      <c r="E271" s="692"/>
      <c r="F271" s="678"/>
      <c r="G271" s="678"/>
      <c r="H271" s="1190"/>
      <c r="I271" s="734"/>
      <c r="J271" s="3521" t="s">
        <v>3336</v>
      </c>
      <c r="K271" s="3520"/>
      <c r="L271" s="3520"/>
      <c r="M271" s="3520"/>
      <c r="N271" s="3520"/>
      <c r="O271" s="3520"/>
      <c r="P271" s="3520"/>
      <c r="Q271" s="735">
        <v>1</v>
      </c>
      <c r="R271" s="736" t="s">
        <v>3195</v>
      </c>
      <c r="S271" s="728">
        <v>400000</v>
      </c>
      <c r="T271" s="729" t="s">
        <v>3186</v>
      </c>
      <c r="U271" s="3525"/>
      <c r="V271" s="730">
        <v>6</v>
      </c>
      <c r="W271" s="729" t="s">
        <v>3189</v>
      </c>
      <c r="X271" s="731" t="s">
        <v>3187</v>
      </c>
      <c r="Y271" s="3110">
        <f>Q271*S271*V271/1000</f>
        <v>2400</v>
      </c>
      <c r="Z271" s="713"/>
      <c r="AA271" s="713"/>
      <c r="AB271" s="713"/>
      <c r="AC271" s="713"/>
      <c r="AD271" s="713"/>
    </row>
    <row r="272" spans="1:30" s="715" customFormat="1" ht="21.95" customHeight="1">
      <c r="A272" s="707"/>
      <c r="B272" s="708"/>
      <c r="C272" s="1238"/>
      <c r="D272" s="692"/>
      <c r="E272" s="692" t="s">
        <v>5714</v>
      </c>
      <c r="F272" s="678">
        <f>Y272</f>
        <v>600</v>
      </c>
      <c r="G272" s="678">
        <v>0</v>
      </c>
      <c r="H272" s="1190">
        <f>F272-G272</f>
        <v>600</v>
      </c>
      <c r="I272" s="734"/>
      <c r="J272" s="3519" t="s">
        <v>5715</v>
      </c>
      <c r="K272" s="3520"/>
      <c r="L272" s="3520"/>
      <c r="M272" s="3520"/>
      <c r="N272" s="3520"/>
      <c r="O272" s="3520"/>
      <c r="P272" s="3520"/>
      <c r="Q272" s="735"/>
      <c r="R272" s="736"/>
      <c r="S272" s="728">
        <v>600000</v>
      </c>
      <c r="T272" s="729" t="s">
        <v>2059</v>
      </c>
      <c r="U272" s="3525"/>
      <c r="V272" s="730">
        <v>1</v>
      </c>
      <c r="W272" s="729" t="s">
        <v>240</v>
      </c>
      <c r="X272" s="731" t="s">
        <v>2060</v>
      </c>
      <c r="Y272" s="3110">
        <f t="shared" ref="Y272" si="22">S272*V272/1000</f>
        <v>600</v>
      </c>
      <c r="Z272" s="713"/>
      <c r="AA272" s="713"/>
      <c r="AB272" s="713"/>
      <c r="AC272" s="713"/>
      <c r="AD272" s="713"/>
    </row>
    <row r="273" spans="1:30" s="715" customFormat="1" ht="21.95" customHeight="1">
      <c r="A273" s="707"/>
      <c r="B273" s="708"/>
      <c r="C273" s="1238"/>
      <c r="D273" s="692"/>
      <c r="E273" s="692" t="s">
        <v>2993</v>
      </c>
      <c r="F273" s="678">
        <f>Y273</f>
        <v>50</v>
      </c>
      <c r="G273" s="678">
        <v>20</v>
      </c>
      <c r="H273" s="1190">
        <f>F273-G273</f>
        <v>30</v>
      </c>
      <c r="I273" s="734"/>
      <c r="J273" s="3519" t="s">
        <v>3337</v>
      </c>
      <c r="K273" s="3520"/>
      <c r="L273" s="3520"/>
      <c r="M273" s="3520"/>
      <c r="N273" s="3520"/>
      <c r="O273" s="3520"/>
      <c r="P273" s="3520"/>
      <c r="Q273" s="735"/>
      <c r="R273" s="736"/>
      <c r="S273" s="728">
        <v>50000</v>
      </c>
      <c r="T273" s="729" t="s">
        <v>3186</v>
      </c>
      <c r="U273" s="3525"/>
      <c r="V273" s="730">
        <v>1</v>
      </c>
      <c r="W273" s="729" t="s">
        <v>3290</v>
      </c>
      <c r="X273" s="731" t="s">
        <v>3187</v>
      </c>
      <c r="Y273" s="3110">
        <f t="shared" ref="Y273:Y275" si="23">S273*V273/1000</f>
        <v>50</v>
      </c>
      <c r="Z273" s="713"/>
      <c r="AA273" s="713"/>
      <c r="AB273" s="713"/>
      <c r="AC273" s="713"/>
      <c r="AD273" s="713"/>
    </row>
    <row r="274" spans="1:30" s="715" customFormat="1" ht="21.95" customHeight="1">
      <c r="A274" s="707"/>
      <c r="B274" s="708"/>
      <c r="C274" s="1238"/>
      <c r="D274" s="692"/>
      <c r="E274" s="692" t="s">
        <v>2994</v>
      </c>
      <c r="F274" s="678">
        <f>Y274</f>
        <v>2200</v>
      </c>
      <c r="G274" s="678">
        <v>2200</v>
      </c>
      <c r="H274" s="1190"/>
      <c r="I274" s="734"/>
      <c r="J274" s="3519" t="s">
        <v>3338</v>
      </c>
      <c r="K274" s="3520"/>
      <c r="L274" s="3520"/>
      <c r="M274" s="3520"/>
      <c r="N274" s="3520"/>
      <c r="O274" s="3520"/>
      <c r="P274" s="3520"/>
      <c r="Q274" s="735"/>
      <c r="R274" s="736"/>
      <c r="S274" s="728">
        <v>100000</v>
      </c>
      <c r="T274" s="729" t="s">
        <v>3186</v>
      </c>
      <c r="U274" s="3525"/>
      <c r="V274" s="730">
        <v>22</v>
      </c>
      <c r="W274" s="729" t="s">
        <v>3189</v>
      </c>
      <c r="X274" s="731" t="s">
        <v>3187</v>
      </c>
      <c r="Y274" s="3110">
        <f t="shared" si="23"/>
        <v>2200</v>
      </c>
      <c r="Z274" s="713"/>
      <c r="AA274" s="713"/>
      <c r="AB274" s="713"/>
      <c r="AC274" s="713"/>
      <c r="AD274" s="713"/>
    </row>
    <row r="275" spans="1:30" ht="21.95" customHeight="1">
      <c r="A275" s="707"/>
      <c r="B275" s="708"/>
      <c r="C275" s="708"/>
      <c r="D275" s="692"/>
      <c r="E275" s="692" t="s">
        <v>2998</v>
      </c>
      <c r="F275" s="678">
        <f>Y275</f>
        <v>180</v>
      </c>
      <c r="G275" s="678">
        <v>180</v>
      </c>
      <c r="H275" s="1190"/>
      <c r="I275" s="734"/>
      <c r="J275" s="3646" t="s">
        <v>3285</v>
      </c>
      <c r="K275" s="3647"/>
      <c r="L275" s="3647"/>
      <c r="M275" s="3647"/>
      <c r="N275" s="3647"/>
      <c r="O275" s="3647"/>
      <c r="P275" s="3647"/>
      <c r="Q275" s="735"/>
      <c r="R275" s="736"/>
      <c r="S275" s="728">
        <v>180000</v>
      </c>
      <c r="T275" s="729" t="s">
        <v>3186</v>
      </c>
      <c r="U275" s="3641"/>
      <c r="V275" s="730">
        <v>1</v>
      </c>
      <c r="W275" s="729" t="s">
        <v>3189</v>
      </c>
      <c r="X275" s="731" t="s">
        <v>3187</v>
      </c>
      <c r="Y275" s="3110">
        <f t="shared" si="23"/>
        <v>180</v>
      </c>
      <c r="Z275" s="713"/>
      <c r="AB275" s="1241"/>
    </row>
    <row r="276" spans="1:30" ht="21.95" customHeight="1">
      <c r="A276" s="707"/>
      <c r="B276" s="3673"/>
      <c r="C276" s="708"/>
      <c r="D276" s="3840" t="s">
        <v>6028</v>
      </c>
      <c r="E276" s="3904"/>
      <c r="F276" s="1192">
        <f>SUM(F277:F279)</f>
        <v>6000</v>
      </c>
      <c r="G276" s="1192">
        <f>SUM(G277:G279)</f>
        <v>0</v>
      </c>
      <c r="H276" s="933">
        <f t="shared" ref="H276:H281" si="24">F276-G276</f>
        <v>6000</v>
      </c>
      <c r="I276" s="734"/>
      <c r="J276" s="1074"/>
      <c r="K276" s="3648"/>
      <c r="L276" s="3648"/>
      <c r="M276" s="3648"/>
      <c r="N276" s="3648"/>
      <c r="O276" s="3648"/>
      <c r="P276" s="3648"/>
      <c r="Q276" s="1119"/>
      <c r="R276" s="1075"/>
      <c r="S276" s="1210"/>
      <c r="T276" s="3648"/>
      <c r="U276" s="3648"/>
      <c r="V276" s="1063"/>
      <c r="W276" s="3648"/>
      <c r="X276" s="2112"/>
      <c r="Y276" s="1104"/>
      <c r="Z276" s="713"/>
      <c r="AB276" s="1241"/>
    </row>
    <row r="277" spans="1:30" ht="21.95" customHeight="1">
      <c r="A277" s="707"/>
      <c r="B277" s="3673"/>
      <c r="C277" s="708"/>
      <c r="D277" s="3617"/>
      <c r="E277" s="3674" t="s">
        <v>6024</v>
      </c>
      <c r="F277" s="1198">
        <f>Y277</f>
        <v>140</v>
      </c>
      <c r="G277" s="678">
        <v>0</v>
      </c>
      <c r="H277" s="1239">
        <f t="shared" si="24"/>
        <v>140</v>
      </c>
      <c r="I277" s="734"/>
      <c r="J277" s="791" t="s">
        <v>6026</v>
      </c>
      <c r="K277" s="3641"/>
      <c r="L277" s="3163"/>
      <c r="M277" s="3163"/>
      <c r="N277" s="3163"/>
      <c r="O277" s="3163"/>
      <c r="P277" s="3163"/>
      <c r="Q277" s="735"/>
      <c r="R277" s="736"/>
      <c r="S277" s="728">
        <v>2000</v>
      </c>
      <c r="T277" s="3641" t="s">
        <v>4</v>
      </c>
      <c r="U277" s="3641"/>
      <c r="V277" s="730">
        <v>70</v>
      </c>
      <c r="W277" s="3641" t="s">
        <v>785</v>
      </c>
      <c r="X277" s="731" t="s">
        <v>2060</v>
      </c>
      <c r="Y277" s="3110">
        <f t="shared" ref="Y277:Y279" si="25">S277*V277/1000</f>
        <v>140</v>
      </c>
      <c r="Z277" s="713"/>
      <c r="AB277" s="1241"/>
    </row>
    <row r="278" spans="1:30" ht="21.95" customHeight="1">
      <c r="A278" s="707"/>
      <c r="B278" s="3673"/>
      <c r="C278" s="708"/>
      <c r="D278" s="1083"/>
      <c r="E278" s="3654" t="s">
        <v>6025</v>
      </c>
      <c r="F278" s="678">
        <f>Y278</f>
        <v>1400</v>
      </c>
      <c r="G278" s="678">
        <v>0</v>
      </c>
      <c r="H278" s="1239">
        <f t="shared" si="24"/>
        <v>1400</v>
      </c>
      <c r="I278" s="734"/>
      <c r="J278" s="3646" t="s">
        <v>3042</v>
      </c>
      <c r="K278" s="3647"/>
      <c r="L278" s="3647"/>
      <c r="M278" s="3647"/>
      <c r="N278" s="3647"/>
      <c r="O278" s="3647"/>
      <c r="P278" s="3647"/>
      <c r="Q278" s="735"/>
      <c r="R278" s="736"/>
      <c r="S278" s="728">
        <v>700000</v>
      </c>
      <c r="T278" s="729" t="s">
        <v>2059</v>
      </c>
      <c r="U278" s="3641"/>
      <c r="V278" s="730">
        <v>2</v>
      </c>
      <c r="W278" s="729" t="s">
        <v>2056</v>
      </c>
      <c r="X278" s="731" t="s">
        <v>2060</v>
      </c>
      <c r="Y278" s="3110">
        <f t="shared" si="25"/>
        <v>1400</v>
      </c>
      <c r="Z278" s="713"/>
      <c r="AB278" s="1241"/>
    </row>
    <row r="279" spans="1:30" ht="21.95" customHeight="1">
      <c r="A279" s="707"/>
      <c r="B279" s="3673"/>
      <c r="C279" s="708"/>
      <c r="D279" s="1083"/>
      <c r="E279" s="692" t="s">
        <v>73</v>
      </c>
      <c r="F279" s="678">
        <f>Y279</f>
        <v>4460</v>
      </c>
      <c r="G279" s="678">
        <v>0</v>
      </c>
      <c r="H279" s="1239">
        <f t="shared" si="24"/>
        <v>4460</v>
      </c>
      <c r="I279" s="734"/>
      <c r="J279" s="3646" t="s">
        <v>6027</v>
      </c>
      <c r="K279" s="3647"/>
      <c r="L279" s="3647"/>
      <c r="M279" s="3647"/>
      <c r="N279" s="3647"/>
      <c r="O279" s="3647"/>
      <c r="P279" s="3647"/>
      <c r="Q279" s="735"/>
      <c r="R279" s="736"/>
      <c r="S279" s="728">
        <v>4460000</v>
      </c>
      <c r="T279" s="729" t="s">
        <v>2059</v>
      </c>
      <c r="U279" s="3641"/>
      <c r="V279" s="730">
        <v>1</v>
      </c>
      <c r="W279" s="729" t="s">
        <v>253</v>
      </c>
      <c r="X279" s="731" t="s">
        <v>2060</v>
      </c>
      <c r="Y279" s="3110">
        <f t="shared" si="25"/>
        <v>4460</v>
      </c>
      <c r="Z279" s="713"/>
      <c r="AB279" s="1241"/>
    </row>
    <row r="280" spans="1:30" ht="21.95" customHeight="1">
      <c r="A280" s="481"/>
      <c r="B280" s="468"/>
      <c r="C280" s="3834" t="s">
        <v>3339</v>
      </c>
      <c r="D280" s="3917"/>
      <c r="E280" s="3913"/>
      <c r="F280" s="710">
        <f>+F281+F283</f>
        <v>70000</v>
      </c>
      <c r="G280" s="710">
        <f>+G281+G283</f>
        <v>70000</v>
      </c>
      <c r="H280" s="513">
        <f t="shared" si="24"/>
        <v>0</v>
      </c>
      <c r="I280" s="634"/>
      <c r="J280" s="665"/>
      <c r="K280" s="1963"/>
      <c r="L280" s="1963"/>
      <c r="M280" s="1963"/>
      <c r="N280" s="1963"/>
      <c r="O280" s="1963"/>
      <c r="P280" s="1963"/>
      <c r="Q280" s="646"/>
      <c r="R280" s="645"/>
      <c r="S280" s="711"/>
      <c r="T280" s="1963"/>
      <c r="U280" s="1963"/>
      <c r="V280" s="712"/>
      <c r="W280" s="1963"/>
      <c r="X280" s="515"/>
      <c r="Y280" s="622"/>
    </row>
    <row r="281" spans="1:30" s="715" customFormat="1" ht="21.95" customHeight="1">
      <c r="A281" s="481"/>
      <c r="B281" s="468"/>
      <c r="C281" s="1934"/>
      <c r="D281" s="3834" t="s">
        <v>3340</v>
      </c>
      <c r="E281" s="3913"/>
      <c r="F281" s="710">
        <f>+SUM(F282:F282)</f>
        <v>13000</v>
      </c>
      <c r="G281" s="710">
        <f>G282</f>
        <v>13000</v>
      </c>
      <c r="H281" s="513">
        <f t="shared" si="24"/>
        <v>0</v>
      </c>
      <c r="I281" s="634"/>
      <c r="J281" s="665"/>
      <c r="K281" s="1963"/>
      <c r="L281" s="1963"/>
      <c r="M281" s="1963"/>
      <c r="N281" s="1963"/>
      <c r="O281" s="1963"/>
      <c r="P281" s="1963"/>
      <c r="Q281" s="646"/>
      <c r="R281" s="645"/>
      <c r="S281" s="711"/>
      <c r="T281" s="1963"/>
      <c r="U281" s="1963"/>
      <c r="V281" s="712"/>
      <c r="W281" s="1963"/>
      <c r="X281" s="515"/>
      <c r="Y281" s="587"/>
      <c r="Z281" s="1241"/>
      <c r="AA281" s="713"/>
      <c r="AB281" s="714"/>
      <c r="AC281" s="713"/>
      <c r="AD281" s="713"/>
    </row>
    <row r="282" spans="1:30" s="715" customFormat="1" ht="21.95" customHeight="1">
      <c r="A282" s="481"/>
      <c r="B282" s="468"/>
      <c r="C282" s="1934"/>
      <c r="D282" s="632"/>
      <c r="E282" s="632" t="s">
        <v>2987</v>
      </c>
      <c r="F282" s="558">
        <f>+Y282</f>
        <v>13000</v>
      </c>
      <c r="G282" s="558">
        <v>13000</v>
      </c>
      <c r="H282" s="789"/>
      <c r="I282" s="634"/>
      <c r="J282" s="481" t="s">
        <v>3341</v>
      </c>
      <c r="K282" s="1243"/>
      <c r="L282" s="1243"/>
      <c r="M282" s="1243"/>
      <c r="N282" s="1243"/>
      <c r="O282" s="1243"/>
      <c r="P282" s="1243"/>
      <c r="Q282" s="511"/>
      <c r="R282" s="482"/>
      <c r="S282" s="718">
        <v>13000000</v>
      </c>
      <c r="T282" s="625" t="s">
        <v>2784</v>
      </c>
      <c r="U282" s="1934"/>
      <c r="V282" s="504">
        <v>1</v>
      </c>
      <c r="W282" s="625" t="s">
        <v>3191</v>
      </c>
      <c r="X282" s="719" t="s">
        <v>2785</v>
      </c>
      <c r="Y282" s="3110">
        <f>(S282*V282)/1000</f>
        <v>13000</v>
      </c>
      <c r="Z282" s="1241"/>
      <c r="AA282" s="713"/>
      <c r="AB282" s="714"/>
      <c r="AC282" s="713"/>
      <c r="AD282" s="713"/>
    </row>
    <row r="283" spans="1:30" s="715" customFormat="1" ht="21.95" customHeight="1">
      <c r="A283" s="791"/>
      <c r="B283" s="675"/>
      <c r="C283" s="709"/>
      <c r="D283" s="3955" t="s">
        <v>3342</v>
      </c>
      <c r="E283" s="3883"/>
      <c r="F283" s="1192">
        <f>SUM(F284:F289)</f>
        <v>57000</v>
      </c>
      <c r="G283" s="1192">
        <f>SUM(G284:G289)</f>
        <v>57000</v>
      </c>
      <c r="H283" s="933">
        <f>F283-G283</f>
        <v>0</v>
      </c>
      <c r="I283" s="734"/>
      <c r="J283" s="1074"/>
      <c r="K283" s="1957"/>
      <c r="L283" s="1957"/>
      <c r="M283" s="1957"/>
      <c r="N283" s="1957"/>
      <c r="O283" s="1957"/>
      <c r="P283" s="1957"/>
      <c r="Q283" s="1119"/>
      <c r="R283" s="1075"/>
      <c r="S283" s="1210"/>
      <c r="T283" s="1957"/>
      <c r="U283" s="1957"/>
      <c r="V283" s="1063"/>
      <c r="W283" s="1957"/>
      <c r="X283" s="1973"/>
      <c r="Y283" s="1104"/>
      <c r="Z283" s="713"/>
      <c r="AA283" s="713"/>
      <c r="AB283" s="714"/>
      <c r="AC283" s="713"/>
      <c r="AD283" s="713"/>
    </row>
    <row r="284" spans="1:30" s="715" customFormat="1" ht="21.95" customHeight="1">
      <c r="A284" s="791"/>
      <c r="B284" s="675"/>
      <c r="C284" s="709"/>
      <c r="D284" s="1981"/>
      <c r="E284" s="1245" t="s">
        <v>3019</v>
      </c>
      <c r="F284" s="1198">
        <f>+Y284</f>
        <v>21120</v>
      </c>
      <c r="G284" s="1198">
        <v>21120</v>
      </c>
      <c r="H284" s="733"/>
      <c r="I284" s="734"/>
      <c r="J284" s="1246" t="s">
        <v>3319</v>
      </c>
      <c r="K284" s="1247"/>
      <c r="L284" s="1247"/>
      <c r="M284" s="1247"/>
      <c r="N284" s="1247"/>
      <c r="O284" s="1247"/>
      <c r="P284" s="1247"/>
      <c r="Q284" s="1193">
        <v>1</v>
      </c>
      <c r="R284" s="1194" t="s">
        <v>3195</v>
      </c>
      <c r="S284" s="1195">
        <v>2112000</v>
      </c>
      <c r="T284" s="1126" t="s">
        <v>3186</v>
      </c>
      <c r="U284" s="1035"/>
      <c r="V284" s="1129">
        <v>10</v>
      </c>
      <c r="W284" s="1126" t="s">
        <v>3343</v>
      </c>
      <c r="X284" s="1196" t="s">
        <v>3187</v>
      </c>
      <c r="Y284" s="3110">
        <f>Q284*S284*V284/1000</f>
        <v>21120</v>
      </c>
      <c r="Z284" s="713"/>
      <c r="AA284" s="713"/>
      <c r="AB284" s="714"/>
      <c r="AC284" s="713"/>
      <c r="AD284" s="713"/>
    </row>
    <row r="285" spans="1:30" s="715" customFormat="1" ht="21.95" customHeight="1">
      <c r="A285" s="791"/>
      <c r="B285" s="675"/>
      <c r="C285" s="709"/>
      <c r="D285" s="1981"/>
      <c r="E285" s="1981" t="s">
        <v>3005</v>
      </c>
      <c r="F285" s="678">
        <f>+Y285</f>
        <v>2000</v>
      </c>
      <c r="G285" s="678">
        <v>2000</v>
      </c>
      <c r="H285" s="733"/>
      <c r="I285" s="734"/>
      <c r="J285" s="1248" t="s">
        <v>3344</v>
      </c>
      <c r="K285" s="1249"/>
      <c r="L285" s="1249"/>
      <c r="M285" s="1249"/>
      <c r="N285" s="1249"/>
      <c r="O285" s="1249"/>
      <c r="P285" s="1249"/>
      <c r="Q285" s="735"/>
      <c r="R285" s="736"/>
      <c r="S285" s="728">
        <v>500000</v>
      </c>
      <c r="T285" s="729" t="s">
        <v>2784</v>
      </c>
      <c r="U285" s="709"/>
      <c r="V285" s="730">
        <v>4</v>
      </c>
      <c r="W285" s="729" t="s">
        <v>2988</v>
      </c>
      <c r="X285" s="731" t="s">
        <v>2785</v>
      </c>
      <c r="Y285" s="3110">
        <f>S285*V285/1000</f>
        <v>2000</v>
      </c>
      <c r="Z285" s="713"/>
      <c r="AA285" s="713"/>
      <c r="AB285" s="714"/>
      <c r="AC285" s="713"/>
      <c r="AD285" s="713"/>
    </row>
    <row r="286" spans="1:30" s="715" customFormat="1" ht="21.95" customHeight="1">
      <c r="A286" s="791"/>
      <c r="B286" s="675"/>
      <c r="C286" s="709"/>
      <c r="D286" s="1981"/>
      <c r="E286" s="1981" t="s">
        <v>3303</v>
      </c>
      <c r="F286" s="678">
        <f>+Y286</f>
        <v>7280</v>
      </c>
      <c r="G286" s="678">
        <v>7280</v>
      </c>
      <c r="H286" s="733"/>
      <c r="I286" s="734"/>
      <c r="J286" s="791" t="s">
        <v>2985</v>
      </c>
      <c r="K286" s="1249"/>
      <c r="L286" s="1249"/>
      <c r="M286" s="1249"/>
      <c r="N286" s="1249"/>
      <c r="O286" s="1249"/>
      <c r="P286" s="1249"/>
      <c r="Q286" s="735"/>
      <c r="R286" s="736"/>
      <c r="S286" s="728"/>
      <c r="T286" s="729"/>
      <c r="U286" s="709"/>
      <c r="V286" s="730"/>
      <c r="W286" s="729"/>
      <c r="X286" s="731"/>
      <c r="Y286" s="3110">
        <f>SUM(Y287:Y288)</f>
        <v>7280</v>
      </c>
      <c r="Z286" s="713"/>
      <c r="AA286" s="713"/>
      <c r="AB286" s="713"/>
      <c r="AC286" s="713"/>
      <c r="AD286" s="713"/>
    </row>
    <row r="287" spans="1:30" s="715" customFormat="1" ht="21.95" customHeight="1">
      <c r="A287" s="791"/>
      <c r="B287" s="675"/>
      <c r="C287" s="709"/>
      <c r="D287" s="1981"/>
      <c r="E287" s="1981"/>
      <c r="F287" s="678"/>
      <c r="G287" s="678"/>
      <c r="H287" s="733"/>
      <c r="I287" s="734"/>
      <c r="J287" s="791" t="s">
        <v>3345</v>
      </c>
      <c r="K287" s="1249"/>
      <c r="L287" s="1249"/>
      <c r="M287" s="1249"/>
      <c r="N287" s="1249"/>
      <c r="O287" s="1249"/>
      <c r="P287" s="1249"/>
      <c r="Q287" s="735"/>
      <c r="R287" s="736"/>
      <c r="S287" s="728">
        <v>4280000</v>
      </c>
      <c r="T287" s="729" t="s">
        <v>3186</v>
      </c>
      <c r="U287" s="709"/>
      <c r="V287" s="730">
        <v>1</v>
      </c>
      <c r="W287" s="729" t="s">
        <v>3290</v>
      </c>
      <c r="X287" s="731" t="s">
        <v>3187</v>
      </c>
      <c r="Y287" s="3110">
        <f t="shared" ref="Y287:Y288" si="26">S287*V287/1000</f>
        <v>4280</v>
      </c>
      <c r="Z287" s="713"/>
      <c r="AA287" s="713"/>
      <c r="AB287" s="714"/>
      <c r="AC287" s="713"/>
      <c r="AD287" s="713"/>
    </row>
    <row r="288" spans="1:30" s="715" customFormat="1" ht="21.95" customHeight="1">
      <c r="A288" s="791"/>
      <c r="B288" s="675"/>
      <c r="C288" s="709"/>
      <c r="D288" s="1981"/>
      <c r="E288" s="1981"/>
      <c r="F288" s="678"/>
      <c r="G288" s="678"/>
      <c r="H288" s="733"/>
      <c r="I288" s="734"/>
      <c r="J288" s="791" t="s">
        <v>3346</v>
      </c>
      <c r="K288" s="1249"/>
      <c r="L288" s="1249"/>
      <c r="M288" s="1249"/>
      <c r="N288" s="1249"/>
      <c r="O288" s="1249"/>
      <c r="P288" s="1249"/>
      <c r="Q288" s="735"/>
      <c r="R288" s="736"/>
      <c r="S288" s="728">
        <v>1000000</v>
      </c>
      <c r="T288" s="729" t="s">
        <v>3186</v>
      </c>
      <c r="U288" s="709"/>
      <c r="V288" s="730">
        <v>3</v>
      </c>
      <c r="W288" s="729" t="s">
        <v>3290</v>
      </c>
      <c r="X288" s="731" t="s">
        <v>3187</v>
      </c>
      <c r="Y288" s="3110">
        <f t="shared" si="26"/>
        <v>3000</v>
      </c>
      <c r="Z288" s="713"/>
      <c r="AA288" s="713"/>
      <c r="AB288" s="714"/>
      <c r="AC288" s="713"/>
      <c r="AD288" s="713"/>
    </row>
    <row r="289" spans="1:30" s="715" customFormat="1" ht="21.95" customHeight="1">
      <c r="A289" s="791"/>
      <c r="B289" s="675"/>
      <c r="C289" s="709"/>
      <c r="D289" s="1981"/>
      <c r="E289" s="1981" t="s">
        <v>2987</v>
      </c>
      <c r="F289" s="678">
        <f t="shared" ref="F289" si="27">+Y289</f>
        <v>26600</v>
      </c>
      <c r="G289" s="678">
        <v>26600</v>
      </c>
      <c r="H289" s="733"/>
      <c r="I289" s="734"/>
      <c r="J289" s="791" t="s">
        <v>2985</v>
      </c>
      <c r="K289" s="1249"/>
      <c r="L289" s="1249"/>
      <c r="M289" s="1249"/>
      <c r="N289" s="1249"/>
      <c r="O289" s="1249"/>
      <c r="P289" s="1249"/>
      <c r="Q289" s="735"/>
      <c r="R289" s="736"/>
      <c r="S289" s="728"/>
      <c r="T289" s="729"/>
      <c r="U289" s="709"/>
      <c r="V289" s="730"/>
      <c r="W289" s="729"/>
      <c r="X289" s="731"/>
      <c r="Y289" s="3110">
        <f>SUM(Y290:Y291)</f>
        <v>26600</v>
      </c>
      <c r="Z289" s="713"/>
      <c r="AA289" s="713"/>
      <c r="AB289" s="714"/>
      <c r="AC289" s="713"/>
      <c r="AD289" s="713"/>
    </row>
    <row r="290" spans="1:30" s="715" customFormat="1" ht="22.5" customHeight="1">
      <c r="A290" s="791"/>
      <c r="B290" s="675"/>
      <c r="C290" s="709"/>
      <c r="D290" s="1981"/>
      <c r="E290" s="1981"/>
      <c r="F290" s="678"/>
      <c r="G290" s="678"/>
      <c r="H290" s="733"/>
      <c r="I290" s="734"/>
      <c r="J290" s="1248" t="s">
        <v>3347</v>
      </c>
      <c r="K290" s="1249"/>
      <c r="L290" s="1249"/>
      <c r="M290" s="1249"/>
      <c r="N290" s="1249"/>
      <c r="O290" s="1249"/>
      <c r="P290" s="1249"/>
      <c r="Q290" s="735"/>
      <c r="R290" s="736"/>
      <c r="S290" s="728">
        <v>20000000</v>
      </c>
      <c r="T290" s="729" t="s">
        <v>3186</v>
      </c>
      <c r="U290" s="709"/>
      <c r="V290" s="730">
        <v>1</v>
      </c>
      <c r="W290" s="729" t="s">
        <v>3290</v>
      </c>
      <c r="X290" s="731" t="s">
        <v>3187</v>
      </c>
      <c r="Y290" s="3110">
        <f t="shared" ref="Y290:Y291" si="28">S290*V290/1000</f>
        <v>20000</v>
      </c>
      <c r="Z290" s="713"/>
      <c r="AA290" s="713"/>
      <c r="AB290" s="713"/>
      <c r="AC290" s="713"/>
      <c r="AD290" s="713"/>
    </row>
    <row r="291" spans="1:30" s="715" customFormat="1" ht="22.5" customHeight="1">
      <c r="A291" s="791"/>
      <c r="B291" s="675"/>
      <c r="C291" s="709"/>
      <c r="D291" s="1981"/>
      <c r="E291" s="997"/>
      <c r="F291" s="678"/>
      <c r="G291" s="678"/>
      <c r="H291" s="733"/>
      <c r="I291" s="734"/>
      <c r="J291" s="1248" t="s">
        <v>3348</v>
      </c>
      <c r="K291" s="1249"/>
      <c r="L291" s="1249"/>
      <c r="M291" s="1249"/>
      <c r="N291" s="1249"/>
      <c r="O291" s="1249"/>
      <c r="P291" s="1249"/>
      <c r="Q291" s="735"/>
      <c r="R291" s="736"/>
      <c r="S291" s="728">
        <v>550000</v>
      </c>
      <c r="T291" s="729" t="s">
        <v>2784</v>
      </c>
      <c r="U291" s="709"/>
      <c r="V291" s="730">
        <v>12</v>
      </c>
      <c r="W291" s="729" t="s">
        <v>3349</v>
      </c>
      <c r="X291" s="731" t="s">
        <v>2785</v>
      </c>
      <c r="Y291" s="3110">
        <f t="shared" si="28"/>
        <v>6600</v>
      </c>
      <c r="Z291" s="713"/>
      <c r="AA291" s="713"/>
      <c r="AB291" s="713"/>
      <c r="AC291" s="713"/>
      <c r="AD291" s="713"/>
    </row>
    <row r="292" spans="1:30" s="715" customFormat="1" ht="22.15" customHeight="1">
      <c r="A292" s="707"/>
      <c r="B292" s="708"/>
      <c r="C292" s="1969" t="s">
        <v>3350</v>
      </c>
      <c r="D292" s="1969"/>
      <c r="E292" s="1969"/>
      <c r="F292" s="1192">
        <f>+F293</f>
        <v>30000</v>
      </c>
      <c r="G292" s="1192">
        <f>+G293</f>
        <v>30000</v>
      </c>
      <c r="H292" s="933">
        <f>F292-G292</f>
        <v>0</v>
      </c>
      <c r="I292" s="734"/>
      <c r="J292" s="1074"/>
      <c r="K292" s="938"/>
      <c r="L292" s="938"/>
      <c r="M292" s="938"/>
      <c r="N292" s="938"/>
      <c r="O292" s="938"/>
      <c r="P292" s="938"/>
      <c r="Q292" s="1250"/>
      <c r="R292" s="938"/>
      <c r="S292" s="938"/>
      <c r="T292" s="938"/>
      <c r="U292" s="938"/>
      <c r="V292" s="938"/>
      <c r="W292" s="938"/>
      <c r="X292" s="1973"/>
      <c r="Y292" s="940"/>
      <c r="Z292" s="713"/>
      <c r="AA292" s="713"/>
      <c r="AB292" s="713"/>
      <c r="AC292" s="713"/>
      <c r="AD292" s="713"/>
    </row>
    <row r="293" spans="1:30" s="715" customFormat="1" ht="22.15" customHeight="1">
      <c r="A293" s="707"/>
      <c r="B293" s="708"/>
      <c r="C293" s="709"/>
      <c r="D293" s="3840" t="s">
        <v>3351</v>
      </c>
      <c r="E293" s="3904"/>
      <c r="F293" s="1192">
        <f>SUM(F294:F300)</f>
        <v>30000</v>
      </c>
      <c r="G293" s="1192">
        <f>SUM(G294:G300)</f>
        <v>30000</v>
      </c>
      <c r="H293" s="933">
        <f>F293-G293</f>
        <v>0</v>
      </c>
      <c r="I293" s="734"/>
      <c r="J293" s="1233"/>
      <c r="K293" s="1973"/>
      <c r="L293" s="1973"/>
      <c r="M293" s="1973"/>
      <c r="N293" s="1973"/>
      <c r="O293" s="1973"/>
      <c r="P293" s="1033"/>
      <c r="Q293" s="1973"/>
      <c r="R293" s="1033"/>
      <c r="S293" s="1973"/>
      <c r="T293" s="1033"/>
      <c r="U293" s="1973"/>
      <c r="V293" s="1033"/>
      <c r="W293" s="1973"/>
      <c r="X293" s="1973"/>
      <c r="Y293" s="940"/>
      <c r="Z293" s="713"/>
      <c r="AA293" s="713"/>
      <c r="AB293" s="713"/>
      <c r="AC293" s="713"/>
      <c r="AD293" s="713"/>
    </row>
    <row r="294" spans="1:30" s="715" customFormat="1" ht="22.15" customHeight="1">
      <c r="A294" s="707"/>
      <c r="B294" s="708"/>
      <c r="C294" s="709"/>
      <c r="D294" s="692"/>
      <c r="E294" s="1240" t="s">
        <v>3331</v>
      </c>
      <c r="F294" s="1198">
        <f>Y294</f>
        <v>5000</v>
      </c>
      <c r="G294" s="678">
        <v>5000</v>
      </c>
      <c r="H294" s="790"/>
      <c r="I294" s="734"/>
      <c r="J294" s="1701" t="s">
        <v>3352</v>
      </c>
      <c r="K294" s="1702"/>
      <c r="L294" s="1702"/>
      <c r="M294" s="1702"/>
      <c r="N294" s="1702"/>
      <c r="O294" s="1702"/>
      <c r="P294" s="1702"/>
      <c r="Q294" s="735"/>
      <c r="R294" s="736"/>
      <c r="S294" s="728">
        <v>1000000</v>
      </c>
      <c r="T294" s="729" t="s">
        <v>3186</v>
      </c>
      <c r="U294" s="709"/>
      <c r="V294" s="730">
        <v>5</v>
      </c>
      <c r="W294" s="729" t="s">
        <v>3189</v>
      </c>
      <c r="X294" s="731" t="s">
        <v>3187</v>
      </c>
      <c r="Y294" s="3110">
        <f>S294*V294/1000</f>
        <v>5000</v>
      </c>
      <c r="Z294" s="713"/>
      <c r="AA294" s="713"/>
      <c r="AB294" s="713"/>
      <c r="AC294" s="713"/>
      <c r="AD294" s="713"/>
    </row>
    <row r="295" spans="1:30" s="715" customFormat="1" ht="22.15" customHeight="1">
      <c r="A295" s="707"/>
      <c r="B295" s="708"/>
      <c r="C295" s="709"/>
      <c r="D295" s="692"/>
      <c r="E295" s="692" t="s">
        <v>2783</v>
      </c>
      <c r="F295" s="678">
        <f>Y295</f>
        <v>13000</v>
      </c>
      <c r="G295" s="678">
        <v>13000</v>
      </c>
      <c r="H295" s="790"/>
      <c r="I295" s="734"/>
      <c r="J295" s="1701" t="s">
        <v>2985</v>
      </c>
      <c r="K295" s="1702"/>
      <c r="L295" s="1702"/>
      <c r="M295" s="1702"/>
      <c r="N295" s="1702"/>
      <c r="O295" s="1702"/>
      <c r="P295" s="1702"/>
      <c r="Q295" s="735"/>
      <c r="R295" s="736"/>
      <c r="S295" s="728"/>
      <c r="T295" s="729"/>
      <c r="U295" s="709"/>
      <c r="V295" s="730"/>
      <c r="W295" s="729"/>
      <c r="X295" s="731"/>
      <c r="Y295" s="3110">
        <f>SUM(Y296:Y298)</f>
        <v>13000</v>
      </c>
      <c r="Z295" s="713"/>
      <c r="AA295" s="713"/>
      <c r="AB295" s="713"/>
      <c r="AC295" s="713"/>
      <c r="AD295" s="713"/>
    </row>
    <row r="296" spans="1:30" s="715" customFormat="1" ht="22.15" customHeight="1">
      <c r="A296" s="707"/>
      <c r="B296" s="708"/>
      <c r="C296" s="709"/>
      <c r="D296" s="692"/>
      <c r="E296" s="692"/>
      <c r="F296" s="678"/>
      <c r="G296" s="678"/>
      <c r="H296" s="733"/>
      <c r="I296" s="734"/>
      <c r="J296" s="1701" t="s">
        <v>3353</v>
      </c>
      <c r="K296" s="1702"/>
      <c r="L296" s="1702"/>
      <c r="M296" s="1702"/>
      <c r="N296" s="1702"/>
      <c r="O296" s="1702"/>
      <c r="P296" s="1702"/>
      <c r="Q296" s="735"/>
      <c r="R296" s="736"/>
      <c r="S296" s="728">
        <v>10000</v>
      </c>
      <c r="T296" s="729" t="s">
        <v>3186</v>
      </c>
      <c r="U296" s="709"/>
      <c r="V296" s="730">
        <v>600</v>
      </c>
      <c r="W296" s="729" t="s">
        <v>3333</v>
      </c>
      <c r="X296" s="731" t="s">
        <v>3187</v>
      </c>
      <c r="Y296" s="3110">
        <f>S296*V296/1000</f>
        <v>6000</v>
      </c>
      <c r="Z296" s="713"/>
      <c r="AA296" s="713"/>
      <c r="AB296" s="713"/>
      <c r="AC296" s="713"/>
      <c r="AD296" s="713"/>
    </row>
    <row r="297" spans="1:30" s="715" customFormat="1" ht="22.15" customHeight="1">
      <c r="A297" s="707"/>
      <c r="B297" s="708"/>
      <c r="C297" s="709"/>
      <c r="D297" s="692"/>
      <c r="E297" s="692"/>
      <c r="F297" s="678"/>
      <c r="G297" s="678"/>
      <c r="H297" s="733"/>
      <c r="I297" s="734"/>
      <c r="J297" s="1701" t="s">
        <v>3354</v>
      </c>
      <c r="K297" s="1702"/>
      <c r="L297" s="1702"/>
      <c r="M297" s="1702"/>
      <c r="N297" s="1702"/>
      <c r="O297" s="1702"/>
      <c r="P297" s="1702"/>
      <c r="Q297" s="735">
        <v>2</v>
      </c>
      <c r="R297" s="736" t="s">
        <v>3185</v>
      </c>
      <c r="S297" s="728">
        <v>125</v>
      </c>
      <c r="T297" s="729" t="s">
        <v>2784</v>
      </c>
      <c r="U297" s="709"/>
      <c r="V297" s="730">
        <v>20000</v>
      </c>
      <c r="W297" s="729" t="s">
        <v>3329</v>
      </c>
      <c r="X297" s="731" t="s">
        <v>2785</v>
      </c>
      <c r="Y297" s="3110">
        <f>S297*V297*Q297/1000</f>
        <v>5000</v>
      </c>
      <c r="Z297" s="713"/>
      <c r="AA297" s="713"/>
      <c r="AB297" s="713"/>
      <c r="AC297" s="713"/>
      <c r="AD297" s="713"/>
    </row>
    <row r="298" spans="1:30" s="715" customFormat="1" ht="22.15" customHeight="1">
      <c r="A298" s="707"/>
      <c r="B298" s="708"/>
      <c r="C298" s="709"/>
      <c r="D298" s="692"/>
      <c r="E298" s="692"/>
      <c r="F298" s="678"/>
      <c r="G298" s="678"/>
      <c r="H298" s="733"/>
      <c r="I298" s="734"/>
      <c r="J298" s="681" t="s">
        <v>3355</v>
      </c>
      <c r="K298" s="682"/>
      <c r="L298" s="682"/>
      <c r="M298" s="682"/>
      <c r="N298" s="709"/>
      <c r="O298" s="709"/>
      <c r="P298" s="709"/>
      <c r="Q298" s="735">
        <v>1</v>
      </c>
      <c r="R298" s="736" t="s">
        <v>3185</v>
      </c>
      <c r="S298" s="728">
        <v>200</v>
      </c>
      <c r="T298" s="729" t="s">
        <v>3186</v>
      </c>
      <c r="U298" s="709"/>
      <c r="V298" s="730">
        <v>10000</v>
      </c>
      <c r="W298" s="729" t="s">
        <v>3333</v>
      </c>
      <c r="X298" s="731" t="s">
        <v>3187</v>
      </c>
      <c r="Y298" s="3110">
        <f>Q298*S298*V298/1000</f>
        <v>2000</v>
      </c>
      <c r="Z298" s="1690"/>
      <c r="AA298" s="713"/>
      <c r="AB298" s="714"/>
      <c r="AC298" s="713"/>
      <c r="AD298" s="713"/>
    </row>
    <row r="299" spans="1:30" s="491" customFormat="1" ht="22.15" customHeight="1">
      <c r="A299" s="707"/>
      <c r="B299" s="708"/>
      <c r="C299" s="675"/>
      <c r="D299" s="692"/>
      <c r="E299" s="692" t="s">
        <v>3005</v>
      </c>
      <c r="F299" s="678">
        <v>2000</v>
      </c>
      <c r="G299" s="678">
        <v>2000</v>
      </c>
      <c r="H299" s="733"/>
      <c r="I299" s="734"/>
      <c r="J299" s="681" t="s">
        <v>3356</v>
      </c>
      <c r="K299" s="682"/>
      <c r="L299" s="682"/>
      <c r="M299" s="682"/>
      <c r="N299" s="709"/>
      <c r="O299" s="709"/>
      <c r="P299" s="709"/>
      <c r="Q299" s="735"/>
      <c r="R299" s="736"/>
      <c r="S299" s="728">
        <v>1000000</v>
      </c>
      <c r="T299" s="729" t="s">
        <v>2784</v>
      </c>
      <c r="U299" s="709"/>
      <c r="V299" s="730">
        <v>2</v>
      </c>
      <c r="W299" s="729" t="s">
        <v>2988</v>
      </c>
      <c r="X299" s="731" t="s">
        <v>3187</v>
      </c>
      <c r="Y299" s="3110">
        <f t="shared" ref="Y299:Y300" si="29">S299*V299/1000</f>
        <v>2000</v>
      </c>
      <c r="Z299" s="1690"/>
      <c r="AA299" s="479"/>
    </row>
    <row r="300" spans="1:30" s="491" customFormat="1" ht="22.15" customHeight="1">
      <c r="A300" s="707"/>
      <c r="B300" s="708"/>
      <c r="C300" s="675"/>
      <c r="D300" s="1953"/>
      <c r="E300" s="1953" t="s">
        <v>2987</v>
      </c>
      <c r="F300" s="697">
        <f>Y300</f>
        <v>10000</v>
      </c>
      <c r="G300" s="697">
        <v>10000</v>
      </c>
      <c r="H300" s="737"/>
      <c r="I300" s="734"/>
      <c r="J300" s="1701" t="s">
        <v>3357</v>
      </c>
      <c r="K300" s="1702"/>
      <c r="L300" s="1702"/>
      <c r="M300" s="1702"/>
      <c r="N300" s="1702"/>
      <c r="O300" s="1702"/>
      <c r="P300" s="1702"/>
      <c r="Q300" s="735"/>
      <c r="R300" s="736"/>
      <c r="S300" s="728">
        <v>10000000</v>
      </c>
      <c r="T300" s="729" t="s">
        <v>3186</v>
      </c>
      <c r="U300" s="709"/>
      <c r="V300" s="730">
        <v>1</v>
      </c>
      <c r="W300" s="729" t="s">
        <v>3290</v>
      </c>
      <c r="X300" s="731" t="s">
        <v>3187</v>
      </c>
      <c r="Y300" s="3110">
        <f t="shared" si="29"/>
        <v>10000</v>
      </c>
      <c r="Z300" s="1690"/>
      <c r="AA300" s="479"/>
    </row>
    <row r="301" spans="1:30" s="491" customFormat="1" ht="22.15" customHeight="1">
      <c r="A301" s="636"/>
      <c r="B301" s="630"/>
      <c r="C301" s="1251" t="s">
        <v>3358</v>
      </c>
      <c r="D301" s="2104"/>
      <c r="E301" s="1252"/>
      <c r="F301" s="1253">
        <f>+F302+F332</f>
        <v>189000</v>
      </c>
      <c r="G301" s="1253">
        <f>+G302+G332</f>
        <v>189000</v>
      </c>
      <c r="H301" s="627">
        <f>+F301-G301</f>
        <v>0</v>
      </c>
      <c r="I301" s="634"/>
      <c r="J301" s="2025"/>
      <c r="K301" s="2068"/>
      <c r="L301" s="2068"/>
      <c r="M301" s="2068"/>
      <c r="N301" s="2068"/>
      <c r="O301" s="2068"/>
      <c r="P301" s="2101"/>
      <c r="Q301" s="2101"/>
      <c r="R301" s="2026"/>
      <c r="S301" s="2026"/>
      <c r="T301" s="2026"/>
      <c r="U301" s="2101"/>
      <c r="V301" s="2026"/>
      <c r="W301" s="2026"/>
      <c r="X301" s="2028"/>
      <c r="Y301" s="517"/>
      <c r="Z301" s="1691"/>
      <c r="AA301" s="635"/>
      <c r="AB301" s="668"/>
    </row>
    <row r="302" spans="1:30" s="491" customFormat="1" ht="22.15" customHeight="1">
      <c r="A302" s="636"/>
      <c r="B302" s="630"/>
      <c r="C302" s="624"/>
      <c r="D302" s="3840" t="s">
        <v>3359</v>
      </c>
      <c r="E302" s="3904"/>
      <c r="F302" s="584">
        <f>SUM(F303:F331)</f>
        <v>170000</v>
      </c>
      <c r="G302" s="2174">
        <f>SUM(G303:G331)</f>
        <v>170000</v>
      </c>
      <c r="H302" s="1421">
        <f>+F302-G302</f>
        <v>0</v>
      </c>
      <c r="I302" s="734"/>
      <c r="J302" s="1535"/>
      <c r="K302" s="1536"/>
      <c r="L302" s="1536"/>
      <c r="M302" s="1536"/>
      <c r="N302" s="1536"/>
      <c r="O302" s="1536"/>
      <c r="P302" s="2094"/>
      <c r="Q302" s="2094"/>
      <c r="R302" s="1084"/>
      <c r="S302" s="1084"/>
      <c r="T302" s="1084"/>
      <c r="U302" s="2094"/>
      <c r="V302" s="1084"/>
      <c r="W302" s="1084"/>
      <c r="X302" s="1538"/>
      <c r="Y302" s="965"/>
      <c r="Z302" s="1691"/>
      <c r="AA302" s="635"/>
      <c r="AB302" s="668"/>
    </row>
    <row r="303" spans="1:30" s="491" customFormat="1" ht="22.15" customHeight="1">
      <c r="A303" s="636"/>
      <c r="B303" s="1932"/>
      <c r="C303" s="624"/>
      <c r="D303" s="2113"/>
      <c r="E303" s="692" t="s">
        <v>4676</v>
      </c>
      <c r="F303" s="3176">
        <f>Y303</f>
        <v>41000</v>
      </c>
      <c r="G303" s="678">
        <v>41000</v>
      </c>
      <c r="H303" s="790"/>
      <c r="I303" s="734"/>
      <c r="J303" s="3231" t="s">
        <v>4644</v>
      </c>
      <c r="K303" s="3232"/>
      <c r="L303" s="3232"/>
      <c r="M303" s="3232"/>
      <c r="N303" s="3232"/>
      <c r="O303" s="3232"/>
      <c r="P303" s="3232"/>
      <c r="Q303" s="735">
        <v>2</v>
      </c>
      <c r="R303" s="736" t="s">
        <v>4645</v>
      </c>
      <c r="S303" s="728">
        <v>2050000</v>
      </c>
      <c r="T303" s="729" t="s">
        <v>4646</v>
      </c>
      <c r="U303" s="3228"/>
      <c r="V303" s="730">
        <v>10</v>
      </c>
      <c r="W303" s="729" t="s">
        <v>4647</v>
      </c>
      <c r="X303" s="731" t="s">
        <v>4648</v>
      </c>
      <c r="Y303" s="3110">
        <f>+Q303*S303*V303/1000</f>
        <v>41000</v>
      </c>
      <c r="Z303" s="1691"/>
      <c r="AA303" s="635"/>
      <c r="AB303" s="668"/>
    </row>
    <row r="304" spans="1:30" s="491" customFormat="1" ht="22.15" customHeight="1">
      <c r="A304" s="636"/>
      <c r="B304" s="1932"/>
      <c r="C304" s="624"/>
      <c r="D304" s="2113"/>
      <c r="E304" s="692" t="s">
        <v>4677</v>
      </c>
      <c r="F304" s="1261">
        <f>Y304</f>
        <v>7200</v>
      </c>
      <c r="G304" s="678">
        <v>7200</v>
      </c>
      <c r="H304" s="790"/>
      <c r="I304" s="734"/>
      <c r="J304" s="3231" t="s">
        <v>4649</v>
      </c>
      <c r="K304" s="3232"/>
      <c r="L304" s="3232"/>
      <c r="M304" s="3232"/>
      <c r="N304" s="3232"/>
      <c r="O304" s="3232"/>
      <c r="P304" s="3232"/>
      <c r="Q304" s="735">
        <v>2</v>
      </c>
      <c r="R304" s="736" t="s">
        <v>4645</v>
      </c>
      <c r="S304" s="728">
        <v>300000</v>
      </c>
      <c r="T304" s="729" t="s">
        <v>4646</v>
      </c>
      <c r="U304" s="3228"/>
      <c r="V304" s="730">
        <v>12</v>
      </c>
      <c r="W304" s="729" t="s">
        <v>4650</v>
      </c>
      <c r="X304" s="731"/>
      <c r="Y304" s="3110">
        <f>+Q304*S304*V304/1000</f>
        <v>7200</v>
      </c>
      <c r="Z304" s="1691"/>
      <c r="AA304" s="635"/>
      <c r="AB304" s="668"/>
    </row>
    <row r="305" spans="1:30" s="491" customFormat="1" ht="22.15" customHeight="1">
      <c r="A305" s="636"/>
      <c r="B305" s="1932"/>
      <c r="C305" s="624"/>
      <c r="D305" s="2113"/>
      <c r="E305" s="692" t="s">
        <v>4678</v>
      </c>
      <c r="F305" s="1261">
        <f>Y305</f>
        <v>94000</v>
      </c>
      <c r="G305" s="678">
        <v>94000</v>
      </c>
      <c r="H305" s="790"/>
      <c r="I305" s="734"/>
      <c r="J305" s="3231" t="s">
        <v>4651</v>
      </c>
      <c r="K305" s="3232"/>
      <c r="L305" s="3232"/>
      <c r="M305" s="3232"/>
      <c r="N305" s="3232"/>
      <c r="O305" s="3232"/>
      <c r="P305" s="3232"/>
      <c r="Q305" s="735"/>
      <c r="R305" s="736"/>
      <c r="S305" s="728"/>
      <c r="T305" s="729"/>
      <c r="U305" s="3228"/>
      <c r="V305" s="730"/>
      <c r="W305" s="729"/>
      <c r="X305" s="731"/>
      <c r="Y305" s="3110">
        <f>+Y306+Y307+Y308+Y309+Y310+Y311</f>
        <v>94000</v>
      </c>
      <c r="Z305" s="1691"/>
      <c r="AA305" s="479"/>
      <c r="AC305" s="492"/>
    </row>
    <row r="306" spans="1:30" s="491" customFormat="1" ht="22.15" customHeight="1">
      <c r="A306" s="636"/>
      <c r="B306" s="1932"/>
      <c r="C306" s="624"/>
      <c r="D306" s="2113"/>
      <c r="E306" s="692"/>
      <c r="F306" s="678"/>
      <c r="G306" s="678"/>
      <c r="H306" s="733"/>
      <c r="I306" s="734"/>
      <c r="J306" s="3231" t="s">
        <v>4652</v>
      </c>
      <c r="K306" s="3232"/>
      <c r="L306" s="3232"/>
      <c r="M306" s="3232"/>
      <c r="N306" s="3232"/>
      <c r="O306" s="3232"/>
      <c r="P306" s="3232"/>
      <c r="Q306" s="735"/>
      <c r="R306" s="736"/>
      <c r="S306" s="728">
        <v>48000000</v>
      </c>
      <c r="T306" s="729" t="s">
        <v>4646</v>
      </c>
      <c r="U306" s="3228"/>
      <c r="V306" s="730">
        <v>1</v>
      </c>
      <c r="W306" s="729" t="s">
        <v>4653</v>
      </c>
      <c r="X306" s="731" t="s">
        <v>4648</v>
      </c>
      <c r="Y306" s="3110">
        <f t="shared" ref="Y306:Y311" si="30">S306*V306/1000</f>
        <v>48000</v>
      </c>
      <c r="Z306" s="1691"/>
      <c r="AA306" s="479"/>
    </row>
    <row r="307" spans="1:30" s="491" customFormat="1" ht="22.15" customHeight="1">
      <c r="A307" s="636"/>
      <c r="B307" s="1932"/>
      <c r="C307" s="624"/>
      <c r="D307" s="2113"/>
      <c r="E307" s="692"/>
      <c r="F307" s="678"/>
      <c r="G307" s="678"/>
      <c r="H307" s="733"/>
      <c r="I307" s="734"/>
      <c r="J307" s="3231" t="s">
        <v>4654</v>
      </c>
      <c r="K307" s="3232"/>
      <c r="L307" s="3232"/>
      <c r="M307" s="3232"/>
      <c r="N307" s="3232"/>
      <c r="O307" s="3232"/>
      <c r="P307" s="3232"/>
      <c r="Q307" s="735"/>
      <c r="R307" s="736"/>
      <c r="S307" s="728">
        <v>5000000</v>
      </c>
      <c r="T307" s="729" t="s">
        <v>4646</v>
      </c>
      <c r="U307" s="3228"/>
      <c r="V307" s="730">
        <v>1</v>
      </c>
      <c r="W307" s="729" t="s">
        <v>4653</v>
      </c>
      <c r="X307" s="731" t="s">
        <v>4648</v>
      </c>
      <c r="Y307" s="3110">
        <f t="shared" si="30"/>
        <v>5000</v>
      </c>
      <c r="Z307" s="1691"/>
      <c r="AA307" s="479"/>
    </row>
    <row r="308" spans="1:30" s="491" customFormat="1" ht="22.15" customHeight="1">
      <c r="A308" s="636"/>
      <c r="B308" s="1932"/>
      <c r="C308" s="624"/>
      <c r="D308" s="2113"/>
      <c r="E308" s="692"/>
      <c r="F308" s="678"/>
      <c r="G308" s="678"/>
      <c r="H308" s="733"/>
      <c r="I308" s="734"/>
      <c r="J308" s="3231" t="s">
        <v>4655</v>
      </c>
      <c r="K308" s="3232"/>
      <c r="L308" s="3232"/>
      <c r="M308" s="3232"/>
      <c r="N308" s="3232"/>
      <c r="O308" s="3232"/>
      <c r="P308" s="3232"/>
      <c r="Q308" s="735"/>
      <c r="R308" s="736"/>
      <c r="S308" s="728">
        <v>7000000</v>
      </c>
      <c r="T308" s="729" t="s">
        <v>4646</v>
      </c>
      <c r="U308" s="3228"/>
      <c r="V308" s="730">
        <v>1</v>
      </c>
      <c r="W308" s="729" t="s">
        <v>4653</v>
      </c>
      <c r="X308" s="731" t="s">
        <v>4648</v>
      </c>
      <c r="Y308" s="3110">
        <f t="shared" si="30"/>
        <v>7000</v>
      </c>
      <c r="Z308" s="1691"/>
      <c r="AA308" s="479"/>
    </row>
    <row r="309" spans="1:30" s="491" customFormat="1" ht="22.15" customHeight="1">
      <c r="A309" s="636"/>
      <c r="B309" s="630"/>
      <c r="C309" s="564"/>
      <c r="D309" s="2113"/>
      <c r="E309" s="692"/>
      <c r="F309" s="678"/>
      <c r="G309" s="678"/>
      <c r="H309" s="733"/>
      <c r="I309" s="734"/>
      <c r="J309" s="3231" t="s">
        <v>4656</v>
      </c>
      <c r="K309" s="3232"/>
      <c r="L309" s="3232"/>
      <c r="M309" s="3232"/>
      <c r="N309" s="3232"/>
      <c r="O309" s="3232"/>
      <c r="P309" s="3232"/>
      <c r="Q309" s="735"/>
      <c r="R309" s="736"/>
      <c r="S309" s="728">
        <v>5000000</v>
      </c>
      <c r="T309" s="729" t="s">
        <v>4646</v>
      </c>
      <c r="U309" s="3228"/>
      <c r="V309" s="730">
        <v>4</v>
      </c>
      <c r="W309" s="729" t="s">
        <v>4650</v>
      </c>
      <c r="X309" s="731" t="s">
        <v>4648</v>
      </c>
      <c r="Y309" s="3110">
        <f t="shared" si="30"/>
        <v>20000</v>
      </c>
      <c r="Z309" s="1691"/>
      <c r="AA309" s="479"/>
      <c r="AC309" s="492"/>
    </row>
    <row r="310" spans="1:30" s="491" customFormat="1" ht="22.15" customHeight="1">
      <c r="A310" s="636"/>
      <c r="B310" s="2035"/>
      <c r="C310" s="564"/>
      <c r="D310" s="3134"/>
      <c r="E310" s="692"/>
      <c r="F310" s="678"/>
      <c r="G310" s="678"/>
      <c r="H310" s="733"/>
      <c r="I310" s="734"/>
      <c r="J310" s="3231" t="s">
        <v>4657</v>
      </c>
      <c r="K310" s="3232"/>
      <c r="L310" s="3232"/>
      <c r="M310" s="3232"/>
      <c r="N310" s="3232"/>
      <c r="O310" s="3232"/>
      <c r="P310" s="3232"/>
      <c r="Q310" s="735"/>
      <c r="R310" s="736"/>
      <c r="S310" s="728">
        <v>13000000</v>
      </c>
      <c r="T310" s="729" t="s">
        <v>4646</v>
      </c>
      <c r="U310" s="3228"/>
      <c r="V310" s="730">
        <v>1</v>
      </c>
      <c r="W310" s="729" t="s">
        <v>4653</v>
      </c>
      <c r="X310" s="731" t="s">
        <v>4648</v>
      </c>
      <c r="Y310" s="3110">
        <f t="shared" si="30"/>
        <v>13000</v>
      </c>
      <c r="Z310" s="1691"/>
      <c r="AA310" s="3119"/>
      <c r="AC310" s="492"/>
    </row>
    <row r="311" spans="1:30" s="491" customFormat="1" ht="22.15" customHeight="1">
      <c r="A311" s="636"/>
      <c r="B311" s="630"/>
      <c r="C311" s="564"/>
      <c r="D311" s="2113"/>
      <c r="E311" s="692"/>
      <c r="F311" s="678"/>
      <c r="G311" s="678"/>
      <c r="H311" s="733"/>
      <c r="I311" s="734"/>
      <c r="J311" s="3231" t="s">
        <v>4658</v>
      </c>
      <c r="K311" s="3232"/>
      <c r="L311" s="3232"/>
      <c r="M311" s="3232"/>
      <c r="N311" s="3232"/>
      <c r="O311" s="3232"/>
      <c r="P311" s="3232"/>
      <c r="Q311" s="735"/>
      <c r="R311" s="736"/>
      <c r="S311" s="728">
        <v>500000</v>
      </c>
      <c r="T311" s="729" t="s">
        <v>4646</v>
      </c>
      <c r="U311" s="3228"/>
      <c r="V311" s="730">
        <v>2</v>
      </c>
      <c r="W311" s="729" t="s">
        <v>4650</v>
      </c>
      <c r="X311" s="731" t="s">
        <v>4648</v>
      </c>
      <c r="Y311" s="3110">
        <f t="shared" si="30"/>
        <v>1000</v>
      </c>
      <c r="Z311" s="1691"/>
      <c r="AA311" s="479"/>
    </row>
    <row r="312" spans="1:30" s="491" customFormat="1" ht="22.15" customHeight="1">
      <c r="A312" s="636"/>
      <c r="B312" s="630"/>
      <c r="C312" s="564"/>
      <c r="D312" s="2113"/>
      <c r="E312" s="692" t="s">
        <v>4679</v>
      </c>
      <c r="F312" s="1261">
        <f>Y312</f>
        <v>8800</v>
      </c>
      <c r="G312" s="678">
        <v>8800</v>
      </c>
      <c r="H312" s="790"/>
      <c r="I312" s="734"/>
      <c r="J312" s="3231" t="s">
        <v>4651</v>
      </c>
      <c r="K312" s="3232"/>
      <c r="L312" s="3232"/>
      <c r="M312" s="3232"/>
      <c r="N312" s="3232"/>
      <c r="O312" s="3232"/>
      <c r="P312" s="3232"/>
      <c r="Q312" s="735"/>
      <c r="R312" s="736"/>
      <c r="S312" s="728"/>
      <c r="T312" s="729"/>
      <c r="U312" s="3228"/>
      <c r="V312" s="730"/>
      <c r="W312" s="729"/>
      <c r="X312" s="731"/>
      <c r="Y312" s="3110">
        <f>SUM(Y313:Y317)</f>
        <v>8800</v>
      </c>
      <c r="Z312" s="1691"/>
      <c r="AA312" s="635"/>
      <c r="AB312" s="668"/>
    </row>
    <row r="313" spans="1:30" s="491" customFormat="1" ht="22.15" customHeight="1">
      <c r="A313" s="636"/>
      <c r="B313" s="630"/>
      <c r="C313" s="564"/>
      <c r="D313" s="2113"/>
      <c r="E313" s="692"/>
      <c r="F313" s="678"/>
      <c r="G313" s="678"/>
      <c r="H313" s="790"/>
      <c r="I313" s="734"/>
      <c r="J313" s="3231" t="s">
        <v>4659</v>
      </c>
      <c r="K313" s="3232"/>
      <c r="L313" s="3232"/>
      <c r="M313" s="3232"/>
      <c r="N313" s="3232"/>
      <c r="O313" s="3232"/>
      <c r="P313" s="3232"/>
      <c r="Q313" s="735"/>
      <c r="R313" s="736"/>
      <c r="S313" s="728">
        <v>2000000</v>
      </c>
      <c r="T313" s="729" t="s">
        <v>4646</v>
      </c>
      <c r="U313" s="3228"/>
      <c r="V313" s="730">
        <v>1</v>
      </c>
      <c r="W313" s="729" t="s">
        <v>4660</v>
      </c>
      <c r="X313" s="731" t="s">
        <v>4648</v>
      </c>
      <c r="Y313" s="3110">
        <f t="shared" ref="Y313:Y317" si="31">S313*V313/1000</f>
        <v>2000</v>
      </c>
      <c r="Z313" s="1691"/>
      <c r="AA313" s="479"/>
      <c r="AC313" s="492"/>
    </row>
    <row r="314" spans="1:30" s="491" customFormat="1" ht="22.15" customHeight="1">
      <c r="A314" s="636"/>
      <c r="B314" s="630"/>
      <c r="C314" s="564"/>
      <c r="D314" s="2113"/>
      <c r="E314" s="692"/>
      <c r="F314" s="678"/>
      <c r="G314" s="678"/>
      <c r="H314" s="790"/>
      <c r="I314" s="734"/>
      <c r="J314" s="3231" t="s">
        <v>4661</v>
      </c>
      <c r="K314" s="3232"/>
      <c r="L314" s="3232"/>
      <c r="M314" s="3232"/>
      <c r="N314" s="3232"/>
      <c r="O314" s="3232"/>
      <c r="P314" s="3232"/>
      <c r="Q314" s="735"/>
      <c r="R314" s="736"/>
      <c r="S314" s="728">
        <v>10000</v>
      </c>
      <c r="T314" s="729" t="s">
        <v>4646</v>
      </c>
      <c r="U314" s="3228"/>
      <c r="V314" s="730">
        <v>100</v>
      </c>
      <c r="W314" s="729" t="s">
        <v>4662</v>
      </c>
      <c r="X314" s="731" t="s">
        <v>4648</v>
      </c>
      <c r="Y314" s="3110">
        <f t="shared" si="31"/>
        <v>1000</v>
      </c>
      <c r="Z314" s="1691"/>
      <c r="AA314" s="479"/>
      <c r="AC314" s="492"/>
    </row>
    <row r="315" spans="1:30" s="491" customFormat="1" ht="22.15" customHeight="1">
      <c r="A315" s="636"/>
      <c r="B315" s="630"/>
      <c r="C315" s="564"/>
      <c r="D315" s="2113"/>
      <c r="E315" s="692"/>
      <c r="F315" s="678"/>
      <c r="G315" s="678"/>
      <c r="H315" s="790"/>
      <c r="I315" s="734"/>
      <c r="J315" s="3231" t="s">
        <v>4663</v>
      </c>
      <c r="K315" s="3232"/>
      <c r="L315" s="3232"/>
      <c r="M315" s="3232"/>
      <c r="N315" s="3232"/>
      <c r="O315" s="3232"/>
      <c r="P315" s="3232"/>
      <c r="Q315" s="735"/>
      <c r="R315" s="736"/>
      <c r="S315" s="728">
        <v>20000</v>
      </c>
      <c r="T315" s="729" t="s">
        <v>4646</v>
      </c>
      <c r="U315" s="3228"/>
      <c r="V315" s="730">
        <v>100</v>
      </c>
      <c r="W315" s="729" t="s">
        <v>4662</v>
      </c>
      <c r="X315" s="731" t="s">
        <v>4648</v>
      </c>
      <c r="Y315" s="3110">
        <f t="shared" si="31"/>
        <v>2000</v>
      </c>
      <c r="Z315" s="1691"/>
      <c r="AA315" s="479"/>
      <c r="AC315" s="492"/>
    </row>
    <row r="316" spans="1:30" s="715" customFormat="1" ht="22.15" customHeight="1">
      <c r="A316" s="636"/>
      <c r="B316" s="630"/>
      <c r="C316" s="564"/>
      <c r="D316" s="2113"/>
      <c r="E316" s="692"/>
      <c r="F316" s="678"/>
      <c r="G316" s="678"/>
      <c r="H316" s="790"/>
      <c r="I316" s="734"/>
      <c r="J316" s="3231" t="s">
        <v>4664</v>
      </c>
      <c r="K316" s="3232"/>
      <c r="L316" s="3232"/>
      <c r="M316" s="3232"/>
      <c r="N316" s="3232"/>
      <c r="O316" s="3232"/>
      <c r="P316" s="3232"/>
      <c r="Q316" s="735"/>
      <c r="R316" s="736"/>
      <c r="S316" s="728">
        <v>200000</v>
      </c>
      <c r="T316" s="729" t="s">
        <v>4646</v>
      </c>
      <c r="U316" s="3228"/>
      <c r="V316" s="730">
        <v>4</v>
      </c>
      <c r="W316" s="729" t="s">
        <v>4650</v>
      </c>
      <c r="X316" s="731" t="s">
        <v>4648</v>
      </c>
      <c r="Y316" s="3110">
        <f t="shared" si="31"/>
        <v>800</v>
      </c>
      <c r="Z316" s="1691"/>
      <c r="AA316" s="713"/>
      <c r="AB316" s="714"/>
      <c r="AC316" s="713"/>
      <c r="AD316" s="713"/>
    </row>
    <row r="317" spans="1:30" s="715" customFormat="1" ht="22.15" customHeight="1">
      <c r="A317" s="636"/>
      <c r="B317" s="630"/>
      <c r="C317" s="564"/>
      <c r="D317" s="2113"/>
      <c r="E317" s="692"/>
      <c r="F317" s="678"/>
      <c r="G317" s="678"/>
      <c r="H317" s="790"/>
      <c r="I317" s="734"/>
      <c r="J317" s="3231" t="s">
        <v>4665</v>
      </c>
      <c r="K317" s="3232"/>
      <c r="L317" s="3232"/>
      <c r="M317" s="3232"/>
      <c r="N317" s="3232"/>
      <c r="O317" s="3232"/>
      <c r="P317" s="3232"/>
      <c r="Q317" s="735"/>
      <c r="R317" s="736"/>
      <c r="S317" s="728">
        <v>3000000</v>
      </c>
      <c r="T317" s="729" t="s">
        <v>4646</v>
      </c>
      <c r="U317" s="3228"/>
      <c r="V317" s="730">
        <v>1</v>
      </c>
      <c r="W317" s="729" t="s">
        <v>4660</v>
      </c>
      <c r="X317" s="731" t="s">
        <v>4648</v>
      </c>
      <c r="Y317" s="3110">
        <f t="shared" si="31"/>
        <v>3000</v>
      </c>
      <c r="Z317" s="1691"/>
      <c r="AA317" s="713"/>
      <c r="AB317" s="714"/>
      <c r="AC317" s="713"/>
      <c r="AD317" s="713"/>
    </row>
    <row r="318" spans="1:30" s="715" customFormat="1" ht="22.15" customHeight="1">
      <c r="A318" s="636"/>
      <c r="B318" s="630"/>
      <c r="C318" s="564"/>
      <c r="D318" s="2113"/>
      <c r="E318" s="692" t="s">
        <v>4680</v>
      </c>
      <c r="F318" s="1261">
        <f>Y318</f>
        <v>5000</v>
      </c>
      <c r="G318" s="678">
        <v>5000</v>
      </c>
      <c r="H318" s="790"/>
      <c r="I318" s="734"/>
      <c r="J318" s="3231" t="s">
        <v>4651</v>
      </c>
      <c r="K318" s="3232"/>
      <c r="L318" s="3232"/>
      <c r="M318" s="3232"/>
      <c r="N318" s="3232"/>
      <c r="O318" s="3232"/>
      <c r="P318" s="3232"/>
      <c r="Q318" s="735"/>
      <c r="R318" s="736"/>
      <c r="S318" s="728"/>
      <c r="T318" s="729"/>
      <c r="U318" s="3228"/>
      <c r="V318" s="730"/>
      <c r="W318" s="729"/>
      <c r="X318" s="731"/>
      <c r="Y318" s="3110">
        <f>SUM(Y319:Y321)</f>
        <v>5000</v>
      </c>
      <c r="Z318" s="1691"/>
      <c r="AA318" s="713"/>
      <c r="AB318" s="714"/>
      <c r="AC318" s="713"/>
      <c r="AD318" s="713"/>
    </row>
    <row r="319" spans="1:30" s="715" customFormat="1" ht="22.15" customHeight="1">
      <c r="A319" s="636"/>
      <c r="B319" s="630"/>
      <c r="C319" s="564"/>
      <c r="D319" s="2113"/>
      <c r="E319" s="692"/>
      <c r="F319" s="678"/>
      <c r="G319" s="678"/>
      <c r="H319" s="790"/>
      <c r="I319" s="734"/>
      <c r="J319" s="3231" t="s">
        <v>4666</v>
      </c>
      <c r="K319" s="3232"/>
      <c r="L319" s="3232"/>
      <c r="M319" s="3232"/>
      <c r="N319" s="3232"/>
      <c r="O319" s="3232"/>
      <c r="P319" s="3232"/>
      <c r="Q319" s="735"/>
      <c r="R319" s="736"/>
      <c r="S319" s="728">
        <v>500000</v>
      </c>
      <c r="T319" s="729" t="s">
        <v>4646</v>
      </c>
      <c r="U319" s="3228"/>
      <c r="V319" s="730">
        <v>4</v>
      </c>
      <c r="W319" s="729" t="s">
        <v>4650</v>
      </c>
      <c r="X319" s="731" t="s">
        <v>4648</v>
      </c>
      <c r="Y319" s="3110">
        <f>SUM(Y320)</f>
        <v>2000</v>
      </c>
      <c r="Z319" s="1691"/>
      <c r="AA319" s="713"/>
      <c r="AB319" s="714"/>
      <c r="AC319" s="713"/>
      <c r="AD319" s="713"/>
    </row>
    <row r="320" spans="1:30" s="715" customFormat="1" ht="22.15" customHeight="1">
      <c r="A320" s="636"/>
      <c r="B320" s="630"/>
      <c r="C320" s="564"/>
      <c r="D320" s="2113"/>
      <c r="E320" s="692"/>
      <c r="F320" s="678"/>
      <c r="G320" s="678"/>
      <c r="H320" s="733"/>
      <c r="I320" s="734"/>
      <c r="J320" s="3231" t="s">
        <v>4667</v>
      </c>
      <c r="K320" s="3232"/>
      <c r="L320" s="3232"/>
      <c r="M320" s="3232"/>
      <c r="N320" s="3232"/>
      <c r="O320" s="3232"/>
      <c r="P320" s="3232"/>
      <c r="Q320" s="735"/>
      <c r="R320" s="736"/>
      <c r="S320" s="728">
        <v>1000000</v>
      </c>
      <c r="T320" s="729" t="s">
        <v>4646</v>
      </c>
      <c r="U320" s="3228"/>
      <c r="V320" s="730">
        <v>2</v>
      </c>
      <c r="W320" s="729" t="s">
        <v>4650</v>
      </c>
      <c r="X320" s="731" t="s">
        <v>4648</v>
      </c>
      <c r="Y320" s="3110">
        <f t="shared" ref="Y320:Y321" si="32">S320*V320/1000</f>
        <v>2000</v>
      </c>
      <c r="Z320" s="1691"/>
      <c r="AA320" s="713"/>
      <c r="AB320" s="714"/>
      <c r="AC320" s="713"/>
      <c r="AD320" s="713"/>
    </row>
    <row r="321" spans="1:30" s="715" customFormat="1" ht="22.15" customHeight="1">
      <c r="A321" s="636"/>
      <c r="B321" s="2035"/>
      <c r="C321" s="564"/>
      <c r="D321" s="3134"/>
      <c r="E321" s="692"/>
      <c r="F321" s="678"/>
      <c r="G321" s="678"/>
      <c r="H321" s="733"/>
      <c r="I321" s="734"/>
      <c r="J321" s="3231" t="s">
        <v>4668</v>
      </c>
      <c r="K321" s="3232"/>
      <c r="L321" s="3232"/>
      <c r="M321" s="3232"/>
      <c r="N321" s="3232"/>
      <c r="O321" s="3232"/>
      <c r="P321" s="3232"/>
      <c r="Q321" s="735"/>
      <c r="R321" s="736"/>
      <c r="S321" s="728">
        <v>1000000</v>
      </c>
      <c r="T321" s="729" t="s">
        <v>4646</v>
      </c>
      <c r="U321" s="3228"/>
      <c r="V321" s="730">
        <v>1</v>
      </c>
      <c r="W321" s="729" t="s">
        <v>4653</v>
      </c>
      <c r="X321" s="731" t="s">
        <v>4648</v>
      </c>
      <c r="Y321" s="3110">
        <f t="shared" si="32"/>
        <v>1000</v>
      </c>
      <c r="Z321" s="1691"/>
      <c r="AA321" s="713"/>
      <c r="AB321" s="714"/>
      <c r="AC321" s="713"/>
      <c r="AD321" s="713"/>
    </row>
    <row r="322" spans="1:30" s="715" customFormat="1" ht="22.15" customHeight="1">
      <c r="A322" s="636"/>
      <c r="B322" s="630"/>
      <c r="C322" s="564"/>
      <c r="D322" s="2113"/>
      <c r="E322" s="692" t="s">
        <v>4681</v>
      </c>
      <c r="F322" s="1261">
        <f>Y322</f>
        <v>4000</v>
      </c>
      <c r="G322" s="678">
        <v>4000</v>
      </c>
      <c r="H322" s="790"/>
      <c r="I322" s="734"/>
      <c r="J322" s="3231" t="s">
        <v>4651</v>
      </c>
      <c r="K322" s="3228"/>
      <c r="L322" s="3228"/>
      <c r="M322" s="3228"/>
      <c r="N322" s="3228"/>
      <c r="O322" s="3228"/>
      <c r="P322" s="3228"/>
      <c r="Q322" s="735"/>
      <c r="R322" s="736"/>
      <c r="S322" s="728"/>
      <c r="T322" s="729"/>
      <c r="U322" s="3228"/>
      <c r="V322" s="730"/>
      <c r="W322" s="729"/>
      <c r="X322" s="731"/>
      <c r="Y322" s="3110">
        <f>Y323+Y324</f>
        <v>4000</v>
      </c>
      <c r="Z322" s="1691"/>
      <c r="AA322" s="713"/>
      <c r="AB322" s="714"/>
      <c r="AC322" s="713"/>
      <c r="AD322" s="713"/>
    </row>
    <row r="323" spans="1:30" s="715" customFormat="1" ht="22.15" customHeight="1">
      <c r="A323" s="636"/>
      <c r="B323" s="630"/>
      <c r="C323" s="564"/>
      <c r="D323" s="693"/>
      <c r="E323" s="692"/>
      <c r="F323" s="678"/>
      <c r="G323" s="678"/>
      <c r="H323" s="790"/>
      <c r="I323" s="734"/>
      <c r="J323" s="791" t="s">
        <v>4669</v>
      </c>
      <c r="K323" s="3228"/>
      <c r="L323" s="3228"/>
      <c r="M323" s="3228"/>
      <c r="N323" s="3228"/>
      <c r="O323" s="3228"/>
      <c r="P323" s="3228"/>
      <c r="Q323" s="735"/>
      <c r="R323" s="736"/>
      <c r="S323" s="728">
        <v>1000000</v>
      </c>
      <c r="T323" s="729" t="s">
        <v>4646</v>
      </c>
      <c r="U323" s="3228"/>
      <c r="V323" s="730">
        <v>1</v>
      </c>
      <c r="W323" s="729" t="s">
        <v>4653</v>
      </c>
      <c r="X323" s="731" t="s">
        <v>4648</v>
      </c>
      <c r="Y323" s="3110">
        <f t="shared" ref="Y323:Y325" si="33">S323*V323/1000</f>
        <v>1000</v>
      </c>
      <c r="Z323" s="1964"/>
      <c r="AA323" s="713"/>
      <c r="AB323" s="714"/>
      <c r="AC323" s="713"/>
      <c r="AD323" s="713"/>
    </row>
    <row r="324" spans="1:30" s="715" customFormat="1" ht="22.15" customHeight="1">
      <c r="A324" s="636"/>
      <c r="B324" s="630"/>
      <c r="C324" s="473"/>
      <c r="D324" s="693"/>
      <c r="E324" s="692"/>
      <c r="F324" s="678"/>
      <c r="G324" s="678"/>
      <c r="H324" s="790"/>
      <c r="I324" s="734"/>
      <c r="J324" s="791" t="s">
        <v>4670</v>
      </c>
      <c r="K324" s="3228"/>
      <c r="L324" s="3228"/>
      <c r="M324" s="3228"/>
      <c r="N324" s="3228"/>
      <c r="O324" s="3228"/>
      <c r="P324" s="3228"/>
      <c r="Q324" s="735"/>
      <c r="R324" s="736"/>
      <c r="S324" s="728">
        <v>3000000</v>
      </c>
      <c r="T324" s="729" t="s">
        <v>4646</v>
      </c>
      <c r="U324" s="3228"/>
      <c r="V324" s="730">
        <v>1</v>
      </c>
      <c r="W324" s="729" t="s">
        <v>4653</v>
      </c>
      <c r="X324" s="731" t="s">
        <v>4648</v>
      </c>
      <c r="Y324" s="3110">
        <f t="shared" si="33"/>
        <v>3000</v>
      </c>
      <c r="Z324" s="1964"/>
      <c r="AA324" s="713"/>
      <c r="AB324" s="714"/>
      <c r="AC324" s="713"/>
      <c r="AD324" s="713"/>
    </row>
    <row r="325" spans="1:30" s="715" customFormat="1" ht="22.15" customHeight="1">
      <c r="A325" s="636"/>
      <c r="B325" s="630"/>
      <c r="C325" s="473"/>
      <c r="D325" s="693"/>
      <c r="E325" s="692" t="s">
        <v>4682</v>
      </c>
      <c r="F325" s="1261">
        <f>Y325</f>
        <v>2000</v>
      </c>
      <c r="G325" s="678">
        <v>2000</v>
      </c>
      <c r="H325" s="790"/>
      <c r="I325" s="734"/>
      <c r="J325" s="3231" t="s">
        <v>4671</v>
      </c>
      <c r="K325" s="3228"/>
      <c r="L325" s="3228"/>
      <c r="M325" s="3228"/>
      <c r="N325" s="3228"/>
      <c r="O325" s="3228"/>
      <c r="P325" s="3228"/>
      <c r="Q325" s="735">
        <v>2</v>
      </c>
      <c r="R325" s="736" t="s">
        <v>4645</v>
      </c>
      <c r="S325" s="728">
        <v>40000</v>
      </c>
      <c r="T325" s="729" t="s">
        <v>4646</v>
      </c>
      <c r="U325" s="3228"/>
      <c r="V325" s="730">
        <v>50</v>
      </c>
      <c r="W325" s="729" t="s">
        <v>4650</v>
      </c>
      <c r="X325" s="731" t="s">
        <v>4648</v>
      </c>
      <c r="Y325" s="3110">
        <f t="shared" si="33"/>
        <v>2000</v>
      </c>
      <c r="Z325" s="1964"/>
      <c r="AA325" s="713"/>
      <c r="AB325" s="713"/>
      <c r="AC325" s="713"/>
      <c r="AD325" s="713"/>
    </row>
    <row r="326" spans="1:30" s="715" customFormat="1" ht="22.15" customHeight="1">
      <c r="A326" s="636"/>
      <c r="B326" s="630"/>
      <c r="C326" s="473"/>
      <c r="D326" s="693"/>
      <c r="E326" s="692" t="s">
        <v>4683</v>
      </c>
      <c r="F326" s="1261">
        <f>Y326</f>
        <v>4000</v>
      </c>
      <c r="G326" s="678">
        <v>4000</v>
      </c>
      <c r="H326" s="790"/>
      <c r="I326" s="734"/>
      <c r="J326" s="3231" t="s">
        <v>4651</v>
      </c>
      <c r="K326" s="3228"/>
      <c r="L326" s="3228"/>
      <c r="M326" s="3228"/>
      <c r="N326" s="3228"/>
      <c r="O326" s="3228"/>
      <c r="P326" s="3228"/>
      <c r="Q326" s="735"/>
      <c r="R326" s="736"/>
      <c r="S326" s="728"/>
      <c r="T326" s="729"/>
      <c r="U326" s="3228"/>
      <c r="V326" s="730"/>
      <c r="W326" s="729"/>
      <c r="X326" s="731"/>
      <c r="Y326" s="3110">
        <f>Y327+Y328</f>
        <v>4000</v>
      </c>
      <c r="Z326" s="1964"/>
      <c r="AA326" s="713"/>
      <c r="AB326" s="713"/>
      <c r="AC326" s="713"/>
      <c r="AD326" s="713"/>
    </row>
    <row r="327" spans="1:30" s="715" customFormat="1" ht="22.15" customHeight="1">
      <c r="A327" s="636"/>
      <c r="B327" s="2035"/>
      <c r="C327" s="3107"/>
      <c r="D327" s="693"/>
      <c r="E327" s="692"/>
      <c r="F327" s="678"/>
      <c r="G327" s="678"/>
      <c r="H327" s="790"/>
      <c r="I327" s="734"/>
      <c r="J327" s="791" t="s">
        <v>4672</v>
      </c>
      <c r="K327" s="3228"/>
      <c r="L327" s="3228"/>
      <c r="M327" s="3228"/>
      <c r="N327" s="3228"/>
      <c r="O327" s="3228"/>
      <c r="P327" s="3228"/>
      <c r="Q327" s="735"/>
      <c r="R327" s="736"/>
      <c r="S327" s="728">
        <v>500000</v>
      </c>
      <c r="T327" s="729" t="s">
        <v>4646</v>
      </c>
      <c r="U327" s="3228"/>
      <c r="V327" s="730">
        <v>4</v>
      </c>
      <c r="W327" s="729" t="s">
        <v>4650</v>
      </c>
      <c r="X327" s="731" t="s">
        <v>4648</v>
      </c>
      <c r="Y327" s="3110">
        <f t="shared" ref="Y327:Y328" si="34">S327*V327/1000</f>
        <v>2000</v>
      </c>
      <c r="Z327" s="3131"/>
      <c r="AA327" s="713"/>
      <c r="AB327" s="713"/>
      <c r="AC327" s="713"/>
      <c r="AD327" s="713"/>
    </row>
    <row r="328" spans="1:30" s="715" customFormat="1" ht="22.15" customHeight="1">
      <c r="A328" s="636"/>
      <c r="B328" s="2035"/>
      <c r="C328" s="3107"/>
      <c r="D328" s="693"/>
      <c r="E328" s="692"/>
      <c r="F328" s="678"/>
      <c r="G328" s="678"/>
      <c r="H328" s="790"/>
      <c r="I328" s="734"/>
      <c r="J328" s="791" t="s">
        <v>4673</v>
      </c>
      <c r="K328" s="3228"/>
      <c r="L328" s="3228"/>
      <c r="M328" s="3228"/>
      <c r="N328" s="3228"/>
      <c r="O328" s="3228"/>
      <c r="P328" s="3228"/>
      <c r="Q328" s="735"/>
      <c r="R328" s="736"/>
      <c r="S328" s="728">
        <v>1000000</v>
      </c>
      <c r="T328" s="729" t="s">
        <v>4646</v>
      </c>
      <c r="U328" s="3228"/>
      <c r="V328" s="730">
        <v>2</v>
      </c>
      <c r="W328" s="729" t="s">
        <v>4650</v>
      </c>
      <c r="X328" s="731" t="s">
        <v>4648</v>
      </c>
      <c r="Y328" s="3110">
        <f t="shared" si="34"/>
        <v>2000</v>
      </c>
      <c r="Z328" s="3195"/>
      <c r="AA328" s="713"/>
      <c r="AB328" s="713"/>
      <c r="AC328" s="713"/>
      <c r="AD328" s="713"/>
    </row>
    <row r="329" spans="1:30" s="715" customFormat="1" ht="22.15" customHeight="1">
      <c r="A329" s="636"/>
      <c r="B329" s="630"/>
      <c r="C329" s="473"/>
      <c r="D329" s="676"/>
      <c r="E329" s="692" t="s">
        <v>4684</v>
      </c>
      <c r="F329" s="1261">
        <f>Y329</f>
        <v>4000</v>
      </c>
      <c r="G329" s="678">
        <v>4000</v>
      </c>
      <c r="H329" s="790"/>
      <c r="I329" s="734"/>
      <c r="J329" s="3231" t="s">
        <v>4651</v>
      </c>
      <c r="K329" s="3228"/>
      <c r="L329" s="3228"/>
      <c r="M329" s="3228"/>
      <c r="N329" s="3228"/>
      <c r="O329" s="3228"/>
      <c r="P329" s="3228"/>
      <c r="Q329" s="735"/>
      <c r="R329" s="736"/>
      <c r="S329" s="728"/>
      <c r="T329" s="729"/>
      <c r="U329" s="3228"/>
      <c r="V329" s="730"/>
      <c r="W329" s="729"/>
      <c r="X329" s="731"/>
      <c r="Y329" s="3110">
        <f>Y330+Y331</f>
        <v>4000</v>
      </c>
      <c r="Z329" s="1964"/>
      <c r="AA329" s="713"/>
      <c r="AB329" s="713"/>
      <c r="AC329" s="713"/>
      <c r="AD329" s="713"/>
    </row>
    <row r="330" spans="1:30" s="715" customFormat="1" ht="22.15" customHeight="1">
      <c r="A330" s="636"/>
      <c r="B330" s="630"/>
      <c r="C330" s="564"/>
      <c r="D330" s="2613"/>
      <c r="E330" s="692"/>
      <c r="F330" s="678"/>
      <c r="G330" s="678"/>
      <c r="H330" s="790"/>
      <c r="I330" s="734"/>
      <c r="J330" s="791" t="s">
        <v>4674</v>
      </c>
      <c r="K330" s="3228"/>
      <c r="L330" s="3228"/>
      <c r="M330" s="3228"/>
      <c r="N330" s="3228"/>
      <c r="O330" s="3228"/>
      <c r="P330" s="3228"/>
      <c r="Q330" s="735"/>
      <c r="R330" s="736"/>
      <c r="S330" s="728">
        <v>2000000</v>
      </c>
      <c r="T330" s="729" t="s">
        <v>4646</v>
      </c>
      <c r="U330" s="3228"/>
      <c r="V330" s="730">
        <v>1</v>
      </c>
      <c r="W330" s="729" t="s">
        <v>4653</v>
      </c>
      <c r="X330" s="731" t="s">
        <v>4648</v>
      </c>
      <c r="Y330" s="3110">
        <f t="shared" ref="Y330:Y331" si="35">S330*V330/1000</f>
        <v>2000</v>
      </c>
      <c r="Z330" s="1692"/>
      <c r="AA330" s="713"/>
      <c r="AB330" s="713"/>
      <c r="AC330" s="713"/>
      <c r="AD330" s="713"/>
    </row>
    <row r="331" spans="1:30" s="715" customFormat="1" ht="22.15" customHeight="1">
      <c r="A331" s="636"/>
      <c r="B331" s="630"/>
      <c r="C331" s="564"/>
      <c r="D331" s="676"/>
      <c r="E331" s="692"/>
      <c r="F331" s="2040"/>
      <c r="G331" s="678"/>
      <c r="H331" s="790"/>
      <c r="I331" s="734"/>
      <c r="J331" s="791" t="s">
        <v>4685</v>
      </c>
      <c r="K331" s="3228"/>
      <c r="L331" s="3228"/>
      <c r="M331" s="3228"/>
      <c r="N331" s="3228"/>
      <c r="O331" s="3228"/>
      <c r="P331" s="3228"/>
      <c r="Q331" s="735"/>
      <c r="R331" s="736"/>
      <c r="S331" s="728">
        <v>1000000</v>
      </c>
      <c r="T331" s="729" t="s">
        <v>4646</v>
      </c>
      <c r="U331" s="3228"/>
      <c r="V331" s="730">
        <v>2</v>
      </c>
      <c r="W331" s="729" t="s">
        <v>4675</v>
      </c>
      <c r="X331" s="731" t="s">
        <v>4648</v>
      </c>
      <c r="Y331" s="3110">
        <f t="shared" si="35"/>
        <v>2000</v>
      </c>
      <c r="Z331" s="1964"/>
      <c r="AA331" s="713"/>
      <c r="AB331" s="713"/>
      <c r="AC331" s="713"/>
      <c r="AD331" s="713"/>
    </row>
    <row r="332" spans="1:30" s="715" customFormat="1" ht="20.100000000000001" customHeight="1">
      <c r="A332" s="636"/>
      <c r="B332" s="630"/>
      <c r="C332" s="624"/>
      <c r="D332" s="3825" t="s">
        <v>3361</v>
      </c>
      <c r="E332" s="3826"/>
      <c r="F332" s="584">
        <f>SUM(F333:F340)</f>
        <v>19000</v>
      </c>
      <c r="G332" s="584">
        <f>SUM(G333:G340)</f>
        <v>19000</v>
      </c>
      <c r="H332" s="627">
        <f>+F332-G332</f>
        <v>0</v>
      </c>
      <c r="I332" s="634"/>
      <c r="J332" s="2025"/>
      <c r="K332" s="2068"/>
      <c r="L332" s="2068"/>
      <c r="M332" s="2068"/>
      <c r="N332" s="2068"/>
      <c r="O332" s="2068"/>
      <c r="P332" s="2101"/>
      <c r="Q332" s="2101"/>
      <c r="R332" s="2026"/>
      <c r="S332" s="2026"/>
      <c r="T332" s="2026"/>
      <c r="U332" s="2101"/>
      <c r="V332" s="2026"/>
      <c r="W332" s="2026"/>
      <c r="X332" s="2028"/>
      <c r="Y332" s="517"/>
      <c r="Z332" s="1691"/>
      <c r="AA332" s="713"/>
      <c r="AB332" s="713"/>
      <c r="AC332" s="713"/>
      <c r="AD332" s="713"/>
    </row>
    <row r="333" spans="1:30" s="715" customFormat="1" ht="20.100000000000001" customHeight="1">
      <c r="A333" s="636"/>
      <c r="B333" s="1932"/>
      <c r="C333" s="624"/>
      <c r="D333" s="2034"/>
      <c r="E333" s="2023" t="s">
        <v>2783</v>
      </c>
      <c r="F333" s="593">
        <f>+Y333</f>
        <v>0</v>
      </c>
      <c r="G333" s="593">
        <v>500</v>
      </c>
      <c r="H333" s="1190">
        <f>F333-G333</f>
        <v>-500</v>
      </c>
      <c r="I333" s="634"/>
      <c r="J333" s="681" t="s">
        <v>5610</v>
      </c>
      <c r="K333" s="3515"/>
      <c r="L333" s="3515"/>
      <c r="M333" s="3515"/>
      <c r="N333" s="3525"/>
      <c r="O333" s="3525"/>
      <c r="P333" s="3525"/>
      <c r="Q333" s="684"/>
      <c r="R333" s="3524"/>
      <c r="S333" s="684"/>
      <c r="T333" s="684"/>
      <c r="U333" s="3525"/>
      <c r="V333" s="684"/>
      <c r="W333" s="684"/>
      <c r="X333" s="686"/>
      <c r="Y333" s="871"/>
      <c r="Z333" s="3530"/>
      <c r="AA333" s="1081"/>
      <c r="AB333" s="713"/>
      <c r="AC333" s="713"/>
      <c r="AD333" s="713"/>
    </row>
    <row r="334" spans="1:30" s="715" customFormat="1" ht="20.100000000000001" customHeight="1">
      <c r="A334" s="636"/>
      <c r="B334" s="630"/>
      <c r="C334" s="473"/>
      <c r="D334" s="2020"/>
      <c r="E334" s="2023" t="s">
        <v>58</v>
      </c>
      <c r="F334" s="593">
        <f>+Y334</f>
        <v>8750</v>
      </c>
      <c r="G334" s="593">
        <v>8600</v>
      </c>
      <c r="H334" s="1190">
        <f>F334-G334</f>
        <v>150</v>
      </c>
      <c r="I334" s="634"/>
      <c r="J334" s="681" t="s">
        <v>465</v>
      </c>
      <c r="K334" s="3515"/>
      <c r="L334" s="3515"/>
      <c r="M334" s="3515"/>
      <c r="N334" s="3525"/>
      <c r="O334" s="3525"/>
      <c r="P334" s="3525"/>
      <c r="Q334" s="684"/>
      <c r="R334" s="3524"/>
      <c r="S334" s="684"/>
      <c r="T334" s="684"/>
      <c r="U334" s="3525"/>
      <c r="V334" s="684"/>
      <c r="W334" s="684"/>
      <c r="X334" s="686"/>
      <c r="Y334" s="871">
        <f>Y335+Y336</f>
        <v>8750</v>
      </c>
      <c r="Z334" s="3530"/>
      <c r="AA334" s="713"/>
      <c r="AB334" s="713"/>
      <c r="AC334" s="713"/>
      <c r="AD334" s="713"/>
    </row>
    <row r="335" spans="1:30" s="715" customFormat="1" ht="20.100000000000001" customHeight="1">
      <c r="A335" s="636"/>
      <c r="B335" s="2035"/>
      <c r="C335" s="3107"/>
      <c r="D335" s="2020"/>
      <c r="E335" s="2023"/>
      <c r="F335" s="593"/>
      <c r="G335" s="593"/>
      <c r="H335" s="1190"/>
      <c r="I335" s="634"/>
      <c r="J335" s="681" t="s">
        <v>5605</v>
      </c>
      <c r="K335" s="3515"/>
      <c r="L335" s="3515"/>
      <c r="M335" s="3515"/>
      <c r="N335" s="3525"/>
      <c r="O335" s="3525"/>
      <c r="P335" s="3525"/>
      <c r="Q335" s="684">
        <v>2</v>
      </c>
      <c r="R335" s="3524" t="s">
        <v>873</v>
      </c>
      <c r="S335" s="684">
        <v>200000</v>
      </c>
      <c r="T335" s="684" t="s">
        <v>0</v>
      </c>
      <c r="U335" s="3525"/>
      <c r="V335" s="684">
        <v>15</v>
      </c>
      <c r="W335" s="684" t="s">
        <v>369</v>
      </c>
      <c r="X335" s="686" t="s">
        <v>1</v>
      </c>
      <c r="Y335" s="871">
        <f>+Q335*S335*V335/1000</f>
        <v>6000</v>
      </c>
      <c r="Z335" s="3530"/>
      <c r="AA335" s="713"/>
      <c r="AB335" s="713"/>
      <c r="AC335" s="713"/>
      <c r="AD335" s="713"/>
    </row>
    <row r="336" spans="1:30" s="715" customFormat="1" ht="20.100000000000001" customHeight="1">
      <c r="A336" s="636"/>
      <c r="B336" s="2035"/>
      <c r="C336" s="3107"/>
      <c r="D336" s="2020"/>
      <c r="E336" s="2023"/>
      <c r="F336" s="593"/>
      <c r="G336" s="593"/>
      <c r="H336" s="1190"/>
      <c r="I336" s="634"/>
      <c r="J336" s="681" t="s">
        <v>5606</v>
      </c>
      <c r="K336" s="3515"/>
      <c r="L336" s="3515"/>
      <c r="M336" s="3515"/>
      <c r="N336" s="3525"/>
      <c r="O336" s="3525"/>
      <c r="P336" s="3525"/>
      <c r="Q336" s="684">
        <v>4</v>
      </c>
      <c r="R336" s="3524" t="s">
        <v>873</v>
      </c>
      <c r="S336" s="684">
        <v>68750</v>
      </c>
      <c r="T336" s="684" t="s">
        <v>0</v>
      </c>
      <c r="U336" s="3525"/>
      <c r="V336" s="684">
        <v>10</v>
      </c>
      <c r="W336" s="684" t="s">
        <v>369</v>
      </c>
      <c r="X336" s="686" t="s">
        <v>1</v>
      </c>
      <c r="Y336" s="871">
        <f>+Q336*S336*V336/1000</f>
        <v>2750</v>
      </c>
      <c r="Z336" s="3530"/>
      <c r="AA336" s="713"/>
      <c r="AB336" s="713"/>
      <c r="AC336" s="713"/>
      <c r="AD336" s="713"/>
    </row>
    <row r="337" spans="1:30" s="715" customFormat="1" ht="20.100000000000001" customHeight="1">
      <c r="A337" s="636"/>
      <c r="B337" s="630"/>
      <c r="C337" s="473"/>
      <c r="D337" s="2020"/>
      <c r="E337" s="2023" t="s">
        <v>2819</v>
      </c>
      <c r="F337" s="593">
        <f>+Y337</f>
        <v>6520</v>
      </c>
      <c r="G337" s="593">
        <v>6080</v>
      </c>
      <c r="H337" s="1190">
        <f>F337-G337</f>
        <v>440</v>
      </c>
      <c r="I337" s="634"/>
      <c r="J337" s="681" t="s">
        <v>5607</v>
      </c>
      <c r="K337" s="3515"/>
      <c r="L337" s="3515"/>
      <c r="M337" s="3515"/>
      <c r="N337" s="3525"/>
      <c r="O337" s="3525"/>
      <c r="P337" s="3525"/>
      <c r="Q337" s="684"/>
      <c r="R337" s="3524"/>
      <c r="S337" s="684"/>
      <c r="T337" s="684"/>
      <c r="U337" s="684"/>
      <c r="V337" s="684"/>
      <c r="W337" s="684"/>
      <c r="X337" s="2600"/>
      <c r="Y337" s="871">
        <f>Y338+Y339</f>
        <v>6520</v>
      </c>
      <c r="Z337" s="3530"/>
      <c r="AA337" s="713"/>
      <c r="AB337" s="713"/>
      <c r="AC337" s="713"/>
      <c r="AD337" s="713"/>
    </row>
    <row r="338" spans="1:30" s="715" customFormat="1" ht="20.100000000000001" customHeight="1">
      <c r="A338" s="636"/>
      <c r="B338" s="2035"/>
      <c r="C338" s="3107"/>
      <c r="D338" s="2020"/>
      <c r="E338" s="2023"/>
      <c r="F338" s="593"/>
      <c r="G338" s="593"/>
      <c r="H338" s="1190"/>
      <c r="I338" s="634"/>
      <c r="J338" s="681" t="s">
        <v>5608</v>
      </c>
      <c r="K338" s="3515"/>
      <c r="L338" s="3515"/>
      <c r="M338" s="3515"/>
      <c r="N338" s="3525"/>
      <c r="O338" s="3525"/>
      <c r="P338" s="3525"/>
      <c r="Q338" s="684">
        <v>1</v>
      </c>
      <c r="R338" s="3524" t="s">
        <v>525</v>
      </c>
      <c r="S338" s="684">
        <v>450000</v>
      </c>
      <c r="T338" s="684" t="s">
        <v>0</v>
      </c>
      <c r="U338" s="3525"/>
      <c r="V338" s="684">
        <v>13</v>
      </c>
      <c r="W338" s="684" t="s">
        <v>369</v>
      </c>
      <c r="X338" s="686" t="s">
        <v>1</v>
      </c>
      <c r="Y338" s="871">
        <f>+Q338*S338*V338/1000</f>
        <v>5850</v>
      </c>
      <c r="Z338" s="3530"/>
      <c r="AA338" s="713"/>
      <c r="AB338" s="713"/>
      <c r="AC338" s="713"/>
      <c r="AD338" s="713"/>
    </row>
    <row r="339" spans="1:30" s="715" customFormat="1" ht="20.100000000000001" customHeight="1">
      <c r="A339" s="636"/>
      <c r="B339" s="2035"/>
      <c r="C339" s="3107"/>
      <c r="D339" s="2020"/>
      <c r="E339" s="2023"/>
      <c r="F339" s="593"/>
      <c r="G339" s="593"/>
      <c r="H339" s="1190"/>
      <c r="I339" s="634"/>
      <c r="J339" s="681" t="s">
        <v>5609</v>
      </c>
      <c r="K339" s="3515"/>
      <c r="L339" s="3515"/>
      <c r="M339" s="3515"/>
      <c r="N339" s="3525"/>
      <c r="O339" s="3525"/>
      <c r="P339" s="3525"/>
      <c r="Q339" s="684">
        <v>1</v>
      </c>
      <c r="R339" s="3524" t="s">
        <v>525</v>
      </c>
      <c r="S339" s="684">
        <v>335000</v>
      </c>
      <c r="T339" s="684" t="s">
        <v>0</v>
      </c>
      <c r="U339" s="3525"/>
      <c r="V339" s="684">
        <v>2</v>
      </c>
      <c r="W339" s="684" t="s">
        <v>369</v>
      </c>
      <c r="X339" s="686" t="s">
        <v>1</v>
      </c>
      <c r="Y339" s="871">
        <f>+Q339*S339*V339/1000</f>
        <v>670</v>
      </c>
      <c r="Z339" s="3530"/>
      <c r="AA339" s="713"/>
      <c r="AB339" s="713"/>
      <c r="AC339" s="713"/>
      <c r="AD339" s="713"/>
    </row>
    <row r="340" spans="1:30" s="715" customFormat="1" ht="20.100000000000001" customHeight="1">
      <c r="A340" s="636"/>
      <c r="B340" s="630"/>
      <c r="C340" s="564"/>
      <c r="D340" s="2020"/>
      <c r="E340" s="2023" t="s">
        <v>62</v>
      </c>
      <c r="F340" s="593">
        <f>+Y340</f>
        <v>3730</v>
      </c>
      <c r="G340" s="593">
        <v>3820</v>
      </c>
      <c r="H340" s="1190">
        <f>F340-G340</f>
        <v>-90</v>
      </c>
      <c r="I340" s="634"/>
      <c r="J340" s="681" t="s">
        <v>1740</v>
      </c>
      <c r="K340" s="3515"/>
      <c r="L340" s="3515"/>
      <c r="M340" s="3515"/>
      <c r="N340" s="3515"/>
      <c r="O340" s="3515"/>
      <c r="P340" s="3525"/>
      <c r="Q340" s="3525"/>
      <c r="R340" s="684"/>
      <c r="S340" s="684">
        <v>3730000</v>
      </c>
      <c r="T340" s="684" t="s">
        <v>0</v>
      </c>
      <c r="U340" s="3525"/>
      <c r="V340" s="684">
        <v>1</v>
      </c>
      <c r="W340" s="684" t="s">
        <v>226</v>
      </c>
      <c r="X340" s="686" t="s">
        <v>829</v>
      </c>
      <c r="Y340" s="871">
        <f>+S340*V340/1000</f>
        <v>3730</v>
      </c>
      <c r="Z340" s="1691"/>
      <c r="AA340" s="713"/>
      <c r="AB340" s="713"/>
      <c r="AC340" s="713"/>
      <c r="AD340" s="713"/>
    </row>
    <row r="341" spans="1:30" s="715" customFormat="1" ht="20.100000000000001" customHeight="1">
      <c r="A341" s="3658"/>
      <c r="B341" s="2035"/>
      <c r="C341" s="1251" t="s">
        <v>6029</v>
      </c>
      <c r="D341" s="3639"/>
      <c r="E341" s="1252"/>
      <c r="F341" s="1253">
        <f>+F342</f>
        <v>30000</v>
      </c>
      <c r="G341" s="1253">
        <f>+G342</f>
        <v>0</v>
      </c>
      <c r="H341" s="627">
        <f>+F341-G341</f>
        <v>30000</v>
      </c>
      <c r="I341" s="634"/>
      <c r="J341" s="2025"/>
      <c r="K341" s="3634"/>
      <c r="L341" s="3634"/>
      <c r="M341" s="3634"/>
      <c r="N341" s="3634"/>
      <c r="O341" s="3634"/>
      <c r="P341" s="3651"/>
      <c r="Q341" s="3651"/>
      <c r="R341" s="2026"/>
      <c r="S341" s="2026"/>
      <c r="T341" s="2026"/>
      <c r="U341" s="3651"/>
      <c r="V341" s="2026"/>
      <c r="W341" s="2026"/>
      <c r="X341" s="2028"/>
      <c r="Y341" s="517"/>
      <c r="Z341" s="1691"/>
      <c r="AA341" s="713"/>
      <c r="AB341" s="713"/>
      <c r="AC341" s="713"/>
      <c r="AD341" s="713"/>
    </row>
    <row r="342" spans="1:30" s="715" customFormat="1" ht="20.100000000000001" customHeight="1">
      <c r="A342" s="3658"/>
      <c r="B342" s="2035"/>
      <c r="C342" s="3107"/>
      <c r="D342" s="3825" t="s">
        <v>6030</v>
      </c>
      <c r="E342" s="3826"/>
      <c r="F342" s="584">
        <f>SUM(F343:F351)</f>
        <v>30000</v>
      </c>
      <c r="G342" s="584">
        <f>SUM(G343:G351)</f>
        <v>0</v>
      </c>
      <c r="H342" s="627">
        <f>+F342-G342</f>
        <v>30000</v>
      </c>
      <c r="I342" s="634"/>
      <c r="J342" s="2025"/>
      <c r="K342" s="3634"/>
      <c r="L342" s="3634"/>
      <c r="M342" s="3634"/>
      <c r="N342" s="3634"/>
      <c r="O342" s="3634"/>
      <c r="P342" s="3651"/>
      <c r="Q342" s="3651"/>
      <c r="R342" s="2026"/>
      <c r="S342" s="2026"/>
      <c r="T342" s="2026"/>
      <c r="U342" s="3651"/>
      <c r="V342" s="2026"/>
      <c r="W342" s="2026"/>
      <c r="X342" s="2028"/>
      <c r="Y342" s="517"/>
      <c r="Z342" s="1691"/>
      <c r="AA342" s="713"/>
      <c r="AB342" s="713"/>
      <c r="AC342" s="713"/>
      <c r="AD342" s="713"/>
    </row>
    <row r="343" spans="1:30" s="715" customFormat="1" ht="20.100000000000001" customHeight="1">
      <c r="A343" s="3658"/>
      <c r="B343" s="2035"/>
      <c r="C343" s="3107"/>
      <c r="D343" s="2020"/>
      <c r="E343" s="3653" t="s">
        <v>6031</v>
      </c>
      <c r="F343" s="593">
        <f>Y343</f>
        <v>200</v>
      </c>
      <c r="G343" s="593">
        <v>0</v>
      </c>
      <c r="H343" s="1190">
        <f>F343-G343</f>
        <v>200</v>
      </c>
      <c r="I343" s="634"/>
      <c r="J343" s="3646" t="s">
        <v>2265</v>
      </c>
      <c r="K343" s="3641"/>
      <c r="L343" s="3641"/>
      <c r="M343" s="3641"/>
      <c r="N343" s="3641"/>
      <c r="O343" s="3641"/>
      <c r="P343" s="3641"/>
      <c r="Q343" s="735"/>
      <c r="R343" s="736"/>
      <c r="S343" s="728">
        <v>200000</v>
      </c>
      <c r="T343" s="729" t="s">
        <v>4</v>
      </c>
      <c r="U343" s="3641"/>
      <c r="V343" s="684">
        <v>1</v>
      </c>
      <c r="W343" s="684" t="s">
        <v>226</v>
      </c>
      <c r="X343" s="731" t="s">
        <v>5</v>
      </c>
      <c r="Y343" s="3110">
        <f>S343*V343/1000</f>
        <v>200</v>
      </c>
      <c r="Z343" s="1691">
        <f>S343*V343</f>
        <v>200000</v>
      </c>
      <c r="AA343" s="713"/>
      <c r="AB343" s="713"/>
      <c r="AC343" s="713"/>
      <c r="AD343" s="713"/>
    </row>
    <row r="344" spans="1:30" s="715" customFormat="1" ht="20.100000000000001" customHeight="1">
      <c r="A344" s="3658"/>
      <c r="B344" s="2035"/>
      <c r="C344" s="3107"/>
      <c r="D344" s="2020"/>
      <c r="E344" s="3653" t="s">
        <v>6032</v>
      </c>
      <c r="F344" s="593">
        <f>Y344</f>
        <v>7100</v>
      </c>
      <c r="G344" s="593">
        <v>0</v>
      </c>
      <c r="H344" s="1190">
        <f>F344-G344</f>
        <v>7100</v>
      </c>
      <c r="I344" s="634"/>
      <c r="J344" s="681" t="s">
        <v>224</v>
      </c>
      <c r="K344" s="3637"/>
      <c r="L344" s="3637"/>
      <c r="M344" s="3637"/>
      <c r="N344" s="3637"/>
      <c r="O344" s="869"/>
      <c r="P344" s="683"/>
      <c r="Q344" s="684"/>
      <c r="R344" s="3643"/>
      <c r="S344" s="684"/>
      <c r="T344" s="684"/>
      <c r="U344" s="683"/>
      <c r="V344" s="684"/>
      <c r="W344" s="3643"/>
      <c r="X344" s="686"/>
      <c r="Y344" s="3110">
        <f>SUM(Y345:Y347)</f>
        <v>7100</v>
      </c>
      <c r="Z344" s="1691"/>
      <c r="AA344" s="713"/>
      <c r="AB344" s="713"/>
      <c r="AC344" s="713"/>
      <c r="AD344" s="713"/>
    </row>
    <row r="345" spans="1:30" s="715" customFormat="1" ht="20.100000000000001" customHeight="1">
      <c r="A345" s="3658"/>
      <c r="B345" s="2035"/>
      <c r="C345" s="3107"/>
      <c r="D345" s="2020"/>
      <c r="E345" s="3653"/>
      <c r="F345" s="593"/>
      <c r="G345" s="593"/>
      <c r="H345" s="1190"/>
      <c r="I345" s="634"/>
      <c r="J345" s="681" t="s">
        <v>6033</v>
      </c>
      <c r="K345" s="3637"/>
      <c r="L345" s="3637"/>
      <c r="M345" s="3637"/>
      <c r="N345" s="3637"/>
      <c r="O345" s="869"/>
      <c r="P345" s="683"/>
      <c r="Q345" s="684">
        <v>1</v>
      </c>
      <c r="R345" s="3643" t="s">
        <v>19</v>
      </c>
      <c r="S345" s="684">
        <v>3500000</v>
      </c>
      <c r="T345" s="684" t="s">
        <v>4</v>
      </c>
      <c r="U345" s="683"/>
      <c r="V345" s="684">
        <v>1</v>
      </c>
      <c r="W345" s="3643" t="s">
        <v>579</v>
      </c>
      <c r="X345" s="686" t="s">
        <v>5</v>
      </c>
      <c r="Y345" s="3110">
        <f>Q345*S345*V345/1000</f>
        <v>3500</v>
      </c>
      <c r="Z345" s="1691">
        <f>Q345*S345*V345</f>
        <v>3500000</v>
      </c>
      <c r="AA345" s="713"/>
      <c r="AB345" s="713"/>
      <c r="AC345" s="713"/>
      <c r="AD345" s="713"/>
    </row>
    <row r="346" spans="1:30" s="715" customFormat="1" ht="20.100000000000001" customHeight="1">
      <c r="A346" s="3658"/>
      <c r="B346" s="2035"/>
      <c r="C346" s="3107"/>
      <c r="D346" s="2020"/>
      <c r="E346" s="3653"/>
      <c r="F346" s="593"/>
      <c r="G346" s="593"/>
      <c r="H346" s="1190"/>
      <c r="I346" s="634"/>
      <c r="J346" s="681" t="s">
        <v>6034</v>
      </c>
      <c r="K346" s="3637"/>
      <c r="L346" s="3637"/>
      <c r="M346" s="3637"/>
      <c r="N346" s="3637"/>
      <c r="O346" s="869"/>
      <c r="P346" s="683"/>
      <c r="Q346" s="684"/>
      <c r="R346" s="3643"/>
      <c r="S346" s="684">
        <v>2350000</v>
      </c>
      <c r="T346" s="684" t="s">
        <v>4</v>
      </c>
      <c r="U346" s="683"/>
      <c r="V346" s="684">
        <v>1</v>
      </c>
      <c r="W346" s="684" t="s">
        <v>226</v>
      </c>
      <c r="X346" s="686" t="s">
        <v>5</v>
      </c>
      <c r="Y346" s="3110">
        <f>S346*V346/1000</f>
        <v>2350</v>
      </c>
      <c r="Z346" s="1691">
        <f>S346*V346</f>
        <v>2350000</v>
      </c>
      <c r="AA346" s="713"/>
      <c r="AB346" s="713"/>
      <c r="AC346" s="713"/>
      <c r="AD346" s="713"/>
    </row>
    <row r="347" spans="1:30" s="715" customFormat="1" ht="20.100000000000001" customHeight="1">
      <c r="A347" s="3658"/>
      <c r="B347" s="2035"/>
      <c r="C347" s="3107"/>
      <c r="D347" s="2020"/>
      <c r="E347" s="3653"/>
      <c r="F347" s="593"/>
      <c r="G347" s="593"/>
      <c r="H347" s="1190"/>
      <c r="I347" s="634"/>
      <c r="J347" s="681" t="s">
        <v>6035</v>
      </c>
      <c r="K347" s="3637"/>
      <c r="L347" s="3637"/>
      <c r="M347" s="3637"/>
      <c r="N347" s="3637"/>
      <c r="O347" s="869"/>
      <c r="P347" s="683"/>
      <c r="Q347" s="684"/>
      <c r="R347" s="3643"/>
      <c r="S347" s="684">
        <v>1250000</v>
      </c>
      <c r="T347" s="684" t="s">
        <v>4</v>
      </c>
      <c r="U347" s="683"/>
      <c r="V347" s="684">
        <v>1</v>
      </c>
      <c r="W347" s="684" t="s">
        <v>226</v>
      </c>
      <c r="X347" s="686" t="s">
        <v>5</v>
      </c>
      <c r="Y347" s="3110">
        <f>Z347/1000</f>
        <v>1250</v>
      </c>
      <c r="Z347" s="1691">
        <f>S347*V347</f>
        <v>1250000</v>
      </c>
      <c r="AA347" s="713"/>
      <c r="AB347" s="713"/>
      <c r="AC347" s="713"/>
      <c r="AD347" s="713"/>
    </row>
    <row r="348" spans="1:30" s="715" customFormat="1" ht="20.100000000000001" customHeight="1">
      <c r="A348" s="3658"/>
      <c r="B348" s="2035"/>
      <c r="C348" s="3107"/>
      <c r="D348" s="2020"/>
      <c r="E348" s="3653" t="s">
        <v>6036</v>
      </c>
      <c r="F348" s="593">
        <f>Y348</f>
        <v>22700</v>
      </c>
      <c r="G348" s="593">
        <v>0</v>
      </c>
      <c r="H348" s="1190">
        <f>F348-G348</f>
        <v>22700</v>
      </c>
      <c r="I348" s="634"/>
      <c r="J348" s="681" t="s">
        <v>224</v>
      </c>
      <c r="K348" s="3637"/>
      <c r="L348" s="3637"/>
      <c r="M348" s="3637"/>
      <c r="N348" s="3637"/>
      <c r="O348" s="869"/>
      <c r="P348" s="683"/>
      <c r="Q348" s="684"/>
      <c r="R348" s="3643"/>
      <c r="S348" s="684"/>
      <c r="T348" s="684"/>
      <c r="U348" s="683"/>
      <c r="V348" s="684"/>
      <c r="W348" s="3643"/>
      <c r="X348" s="686"/>
      <c r="Y348" s="3110">
        <f>SUM(Y349:Y351)</f>
        <v>22700</v>
      </c>
      <c r="Z348" s="1691"/>
      <c r="AA348" s="713"/>
      <c r="AB348" s="713"/>
      <c r="AC348" s="713"/>
      <c r="AD348" s="713"/>
    </row>
    <row r="349" spans="1:30" s="715" customFormat="1" ht="20.100000000000001" customHeight="1">
      <c r="A349" s="3658"/>
      <c r="B349" s="2035"/>
      <c r="C349" s="3107"/>
      <c r="D349" s="2020"/>
      <c r="E349" s="3653"/>
      <c r="F349" s="593"/>
      <c r="G349" s="593"/>
      <c r="H349" s="1190"/>
      <c r="I349" s="634"/>
      <c r="J349" s="681" t="s">
        <v>6037</v>
      </c>
      <c r="K349" s="3637"/>
      <c r="L349" s="3637"/>
      <c r="M349" s="3637"/>
      <c r="N349" s="3637"/>
      <c r="O349" s="869"/>
      <c r="P349" s="683"/>
      <c r="Q349" s="684">
        <v>5</v>
      </c>
      <c r="R349" s="3643" t="s">
        <v>267</v>
      </c>
      <c r="S349" s="684">
        <v>167000</v>
      </c>
      <c r="T349" s="684" t="s">
        <v>4</v>
      </c>
      <c r="U349" s="683"/>
      <c r="V349" s="684">
        <v>20</v>
      </c>
      <c r="W349" s="3643" t="s">
        <v>233</v>
      </c>
      <c r="X349" s="686" t="s">
        <v>5</v>
      </c>
      <c r="Y349" s="3110">
        <f>Q349*S349*V349/1000</f>
        <v>16700</v>
      </c>
      <c r="Z349" s="1691"/>
      <c r="AA349" s="713"/>
      <c r="AB349" s="713"/>
      <c r="AC349" s="713"/>
      <c r="AD349" s="713"/>
    </row>
    <row r="350" spans="1:30" s="715" customFormat="1" ht="20.100000000000001" customHeight="1">
      <c r="A350" s="3658"/>
      <c r="B350" s="2035"/>
      <c r="C350" s="3107"/>
      <c r="D350" s="2020"/>
      <c r="E350" s="3653"/>
      <c r="F350" s="593"/>
      <c r="G350" s="593"/>
      <c r="H350" s="1190"/>
      <c r="I350" s="634"/>
      <c r="J350" s="681" t="s">
        <v>6038</v>
      </c>
      <c r="K350" s="3637"/>
      <c r="L350" s="3637"/>
      <c r="M350" s="3637"/>
      <c r="N350" s="3637"/>
      <c r="O350" s="869"/>
      <c r="P350" s="683"/>
      <c r="Q350" s="684"/>
      <c r="R350" s="3643"/>
      <c r="S350" s="684">
        <v>150000</v>
      </c>
      <c r="T350" s="684" t="s">
        <v>4</v>
      </c>
      <c r="U350" s="683"/>
      <c r="V350" s="684">
        <v>20</v>
      </c>
      <c r="W350" s="3643" t="s">
        <v>233</v>
      </c>
      <c r="X350" s="686" t="s">
        <v>5</v>
      </c>
      <c r="Y350" s="3110">
        <f>S350*V350/1000</f>
        <v>3000</v>
      </c>
      <c r="Z350" s="1691"/>
      <c r="AA350" s="713"/>
      <c r="AB350" s="713"/>
      <c r="AC350" s="713"/>
      <c r="AD350" s="713"/>
    </row>
    <row r="351" spans="1:30" s="715" customFormat="1" ht="20.100000000000001" customHeight="1">
      <c r="A351" s="3658"/>
      <c r="B351" s="2035"/>
      <c r="C351" s="3107"/>
      <c r="D351" s="2020"/>
      <c r="E351" s="3653"/>
      <c r="F351" s="593"/>
      <c r="G351" s="593"/>
      <c r="H351" s="1190"/>
      <c r="I351" s="634"/>
      <c r="J351" s="681" t="s">
        <v>6039</v>
      </c>
      <c r="K351" s="3637"/>
      <c r="L351" s="3637"/>
      <c r="M351" s="3637"/>
      <c r="N351" s="3637"/>
      <c r="O351" s="869"/>
      <c r="P351" s="683"/>
      <c r="Q351" s="684"/>
      <c r="R351" s="3643"/>
      <c r="S351" s="684">
        <v>250000</v>
      </c>
      <c r="T351" s="684" t="s">
        <v>4</v>
      </c>
      <c r="U351" s="683"/>
      <c r="V351" s="684">
        <v>12</v>
      </c>
      <c r="W351" s="3643" t="s">
        <v>39</v>
      </c>
      <c r="X351" s="686" t="s">
        <v>5</v>
      </c>
      <c r="Y351" s="3110">
        <f>Z351/1000</f>
        <v>3000</v>
      </c>
      <c r="Z351" s="1691">
        <f>S351*V351</f>
        <v>3000000</v>
      </c>
      <c r="AA351" s="713"/>
      <c r="AB351" s="713"/>
      <c r="AC351" s="713"/>
      <c r="AD351" s="713"/>
    </row>
    <row r="352" spans="1:30" s="715" customFormat="1" ht="20.100000000000001" customHeight="1">
      <c r="A352" s="791"/>
      <c r="B352" s="675"/>
      <c r="C352" s="1951" t="s">
        <v>3362</v>
      </c>
      <c r="D352" s="1969"/>
      <c r="E352" s="1969"/>
      <c r="F352" s="932">
        <f>F353</f>
        <v>160000</v>
      </c>
      <c r="G352" s="932">
        <f>G353</f>
        <v>160000</v>
      </c>
      <c r="H352" s="933">
        <f>F352-G352</f>
        <v>0</v>
      </c>
      <c r="I352" s="920"/>
      <c r="J352" s="1074"/>
      <c r="K352" s="938"/>
      <c r="L352" s="938"/>
      <c r="M352" s="938"/>
      <c r="N352" s="938"/>
      <c r="O352" s="938"/>
      <c r="P352" s="938"/>
      <c r="Q352" s="1250"/>
      <c r="R352" s="938"/>
      <c r="S352" s="938"/>
      <c r="T352" s="938"/>
      <c r="U352" s="938"/>
      <c r="V352" s="938"/>
      <c r="W352" s="938"/>
      <c r="X352" s="1973"/>
      <c r="Y352" s="940"/>
      <c r="Z352" s="1690"/>
      <c r="AA352" s="713"/>
      <c r="AB352" s="713"/>
      <c r="AC352" s="713"/>
      <c r="AD352" s="713"/>
    </row>
    <row r="353" spans="1:30" s="715" customFormat="1" ht="20.100000000000001" customHeight="1">
      <c r="A353" s="791"/>
      <c r="B353" s="675"/>
      <c r="C353" s="709"/>
      <c r="D353" s="3996" t="s">
        <v>3363</v>
      </c>
      <c r="E353" s="3997"/>
      <c r="F353" s="1258">
        <f>SUM(F354:F373)</f>
        <v>160000</v>
      </c>
      <c r="G353" s="1258">
        <f>SUM(G354:G373)</f>
        <v>160000</v>
      </c>
      <c r="H353" s="933">
        <f>F353-G353</f>
        <v>0</v>
      </c>
      <c r="I353" s="920"/>
      <c r="J353" s="1074"/>
      <c r="K353" s="1957"/>
      <c r="L353" s="1957"/>
      <c r="M353" s="1957"/>
      <c r="N353" s="1957"/>
      <c r="O353" s="1957"/>
      <c r="P353" s="1075"/>
      <c r="Q353" s="1957"/>
      <c r="R353" s="1259"/>
      <c r="S353" s="1075"/>
      <c r="T353" s="1957"/>
      <c r="U353" s="1957"/>
      <c r="V353" s="1075"/>
      <c r="W353" s="1957"/>
      <c r="X353" s="1260"/>
      <c r="Y353" s="940"/>
      <c r="Z353" s="1690"/>
      <c r="AA353" s="713"/>
      <c r="AB353" s="713"/>
      <c r="AC353" s="713"/>
      <c r="AD353" s="713"/>
    </row>
    <row r="354" spans="1:30" s="715" customFormat="1" ht="20.100000000000001" customHeight="1">
      <c r="A354" s="791"/>
      <c r="B354" s="675"/>
      <c r="C354" s="3121"/>
      <c r="D354" s="3130"/>
      <c r="E354" s="677" t="s">
        <v>4166</v>
      </c>
      <c r="F354" s="3289">
        <f>Y354</f>
        <v>81212</v>
      </c>
      <c r="G354" s="1261">
        <v>81212</v>
      </c>
      <c r="H354" s="733"/>
      <c r="I354" s="2060"/>
      <c r="J354" s="681" t="s">
        <v>4158</v>
      </c>
      <c r="K354" s="3016"/>
      <c r="L354" s="3016"/>
      <c r="M354" s="3016"/>
      <c r="N354" s="3016"/>
      <c r="O354" s="3016"/>
      <c r="P354" s="683"/>
      <c r="Q354" s="684"/>
      <c r="R354" s="3229"/>
      <c r="S354" s="684"/>
      <c r="T354" s="684"/>
      <c r="U354" s="683"/>
      <c r="V354" s="684"/>
      <c r="W354" s="684"/>
      <c r="X354" s="686"/>
      <c r="Y354" s="3110">
        <f>SUM(Y355:Y361)</f>
        <v>81212</v>
      </c>
      <c r="Z354" s="1690"/>
      <c r="AA354" s="713"/>
      <c r="AB354" s="713"/>
      <c r="AC354" s="713"/>
      <c r="AD354" s="713"/>
    </row>
    <row r="355" spans="1:30" ht="20.100000000000001" customHeight="1">
      <c r="A355" s="791"/>
      <c r="B355" s="675"/>
      <c r="C355" s="709"/>
      <c r="D355" s="693"/>
      <c r="E355" s="677"/>
      <c r="F355" s="3289"/>
      <c r="G355" s="1261"/>
      <c r="H355" s="733"/>
      <c r="I355" s="2060"/>
      <c r="J355" s="681" t="s">
        <v>4167</v>
      </c>
      <c r="K355" s="3016"/>
      <c r="L355" s="3016"/>
      <c r="M355" s="3016"/>
      <c r="N355" s="3016"/>
      <c r="O355" s="869"/>
      <c r="P355" s="683"/>
      <c r="Q355" s="684">
        <v>1</v>
      </c>
      <c r="R355" s="3229" t="s">
        <v>4168</v>
      </c>
      <c r="S355" s="684">
        <v>1850000</v>
      </c>
      <c r="T355" s="684" t="s">
        <v>4159</v>
      </c>
      <c r="U355" s="683"/>
      <c r="V355" s="684">
        <v>12</v>
      </c>
      <c r="W355" s="3229" t="s">
        <v>4169</v>
      </c>
      <c r="X355" s="686" t="s">
        <v>4160</v>
      </c>
      <c r="Y355" s="3110">
        <f>Q355*S355*V355/1000</f>
        <v>22200</v>
      </c>
      <c r="Z355" s="1690"/>
    </row>
    <row r="356" spans="1:30" ht="20.100000000000001" customHeight="1">
      <c r="A356" s="791"/>
      <c r="B356" s="675"/>
      <c r="C356" s="3121"/>
      <c r="D356" s="693"/>
      <c r="E356" s="677"/>
      <c r="F356" s="3289"/>
      <c r="G356" s="1261"/>
      <c r="H356" s="733"/>
      <c r="I356" s="2060"/>
      <c r="J356" s="681" t="s">
        <v>4170</v>
      </c>
      <c r="K356" s="3016"/>
      <c r="L356" s="3016"/>
      <c r="M356" s="3016"/>
      <c r="N356" s="3016"/>
      <c r="O356" s="869"/>
      <c r="P356" s="683"/>
      <c r="Q356" s="684">
        <v>1</v>
      </c>
      <c r="R356" s="3229" t="s">
        <v>4168</v>
      </c>
      <c r="S356" s="684">
        <v>1850000</v>
      </c>
      <c r="T356" s="684" t="s">
        <v>4159</v>
      </c>
      <c r="U356" s="683"/>
      <c r="V356" s="684">
        <v>12</v>
      </c>
      <c r="W356" s="3229" t="s">
        <v>4169</v>
      </c>
      <c r="X356" s="686" t="s">
        <v>4160</v>
      </c>
      <c r="Y356" s="3110">
        <f>Q356*S356*V356/1000</f>
        <v>22200</v>
      </c>
      <c r="Z356" s="1690"/>
    </row>
    <row r="357" spans="1:30" ht="20.100000000000001" customHeight="1">
      <c r="A357" s="791"/>
      <c r="B357" s="675"/>
      <c r="C357" s="709"/>
      <c r="D357" s="693"/>
      <c r="E357" s="677"/>
      <c r="F357" s="3289"/>
      <c r="G357" s="1261"/>
      <c r="H357" s="733"/>
      <c r="I357" s="2060"/>
      <c r="J357" s="681" t="s">
        <v>4171</v>
      </c>
      <c r="K357" s="3016"/>
      <c r="L357" s="3016"/>
      <c r="M357" s="3016"/>
      <c r="N357" s="3016"/>
      <c r="O357" s="869"/>
      <c r="P357" s="683"/>
      <c r="Q357" s="684">
        <v>1</v>
      </c>
      <c r="R357" s="3229" t="s">
        <v>4168</v>
      </c>
      <c r="S357" s="684">
        <v>1850000</v>
      </c>
      <c r="T357" s="684" t="s">
        <v>4159</v>
      </c>
      <c r="U357" s="683"/>
      <c r="V357" s="684">
        <v>10</v>
      </c>
      <c r="W357" s="3229" t="s">
        <v>4169</v>
      </c>
      <c r="X357" s="686" t="s">
        <v>4160</v>
      </c>
      <c r="Y357" s="3110">
        <f>Q357*S357*V357/1000</f>
        <v>18500</v>
      </c>
      <c r="Z357" s="1690"/>
    </row>
    <row r="358" spans="1:30" ht="20.100000000000001" customHeight="1">
      <c r="A358" s="791"/>
      <c r="B358" s="675"/>
      <c r="C358" s="709"/>
      <c r="D358" s="693"/>
      <c r="E358" s="677"/>
      <c r="F358" s="3289"/>
      <c r="G358" s="1261"/>
      <c r="H358" s="733"/>
      <c r="I358" s="2060"/>
      <c r="J358" s="681" t="s">
        <v>4172</v>
      </c>
      <c r="K358" s="3016"/>
      <c r="L358" s="3016"/>
      <c r="M358" s="3016"/>
      <c r="N358" s="3016"/>
      <c r="O358" s="869"/>
      <c r="P358" s="683"/>
      <c r="Q358" s="684">
        <v>1</v>
      </c>
      <c r="R358" s="3229" t="s">
        <v>4168</v>
      </c>
      <c r="S358" s="684">
        <v>1500000</v>
      </c>
      <c r="T358" s="684" t="s">
        <v>4159</v>
      </c>
      <c r="U358" s="683"/>
      <c r="V358" s="684">
        <v>4</v>
      </c>
      <c r="W358" s="3229" t="s">
        <v>4169</v>
      </c>
      <c r="X358" s="686" t="s">
        <v>4160</v>
      </c>
      <c r="Y358" s="3110">
        <f>Q358*S358*V358/1000</f>
        <v>6000</v>
      </c>
      <c r="Z358" s="1690"/>
    </row>
    <row r="359" spans="1:30" ht="20.100000000000001" customHeight="1">
      <c r="A359" s="791"/>
      <c r="B359" s="675"/>
      <c r="C359" s="709"/>
      <c r="D359" s="693"/>
      <c r="E359" s="677"/>
      <c r="F359" s="3289"/>
      <c r="G359" s="1261"/>
      <c r="H359" s="733"/>
      <c r="I359" s="2060"/>
      <c r="J359" s="681" t="s">
        <v>4173</v>
      </c>
      <c r="K359" s="3016"/>
      <c r="L359" s="3016"/>
      <c r="M359" s="3016"/>
      <c r="N359" s="3016"/>
      <c r="O359" s="869"/>
      <c r="P359" s="683"/>
      <c r="Q359" s="684"/>
      <c r="R359" s="3229"/>
      <c r="S359" s="684">
        <v>68900000</v>
      </c>
      <c r="T359" s="684" t="s">
        <v>4159</v>
      </c>
      <c r="U359" s="683"/>
      <c r="V359" s="1262">
        <v>0.1</v>
      </c>
      <c r="W359" s="3229"/>
      <c r="X359" s="686" t="s">
        <v>4160</v>
      </c>
      <c r="Y359" s="3110">
        <f>S359*V359/1000</f>
        <v>6890</v>
      </c>
      <c r="Z359" s="1690"/>
    </row>
    <row r="360" spans="1:30" ht="20.100000000000001" customHeight="1">
      <c r="A360" s="791"/>
      <c r="B360" s="675"/>
      <c r="C360" s="709"/>
      <c r="D360" s="693"/>
      <c r="E360" s="677"/>
      <c r="F360" s="3289"/>
      <c r="G360" s="1261"/>
      <c r="H360" s="733"/>
      <c r="I360" s="2060"/>
      <c r="J360" s="681" t="s">
        <v>4174</v>
      </c>
      <c r="K360" s="3016"/>
      <c r="L360" s="3016"/>
      <c r="M360" s="3016"/>
      <c r="N360" s="3016"/>
      <c r="O360" s="869"/>
      <c r="P360" s="683"/>
      <c r="Q360" s="684"/>
      <c r="R360" s="3229"/>
      <c r="S360" s="684">
        <v>1850000</v>
      </c>
      <c r="T360" s="684" t="s">
        <v>4159</v>
      </c>
      <c r="U360" s="683"/>
      <c r="V360" s="3166">
        <v>2</v>
      </c>
      <c r="W360" s="3229" t="s">
        <v>4175</v>
      </c>
      <c r="X360" s="686" t="s">
        <v>4160</v>
      </c>
      <c r="Y360" s="3110">
        <f>+S360*V360/1000</f>
        <v>3700</v>
      </c>
      <c r="Z360" s="713"/>
    </row>
    <row r="361" spans="1:30" ht="20.100000000000001" customHeight="1">
      <c r="A361" s="791"/>
      <c r="B361" s="675"/>
      <c r="C361" s="709"/>
      <c r="D361" s="693"/>
      <c r="E361" s="677"/>
      <c r="F361" s="3289"/>
      <c r="G361" s="1261"/>
      <c r="H361" s="733"/>
      <c r="I361" s="2060"/>
      <c r="J361" s="681" t="s">
        <v>249</v>
      </c>
      <c r="K361" s="3016"/>
      <c r="L361" s="3016"/>
      <c r="M361" s="3016"/>
      <c r="N361" s="3016"/>
      <c r="O361" s="869"/>
      <c r="P361" s="683"/>
      <c r="Q361" s="684"/>
      <c r="R361" s="3229"/>
      <c r="S361" s="684">
        <v>861000</v>
      </c>
      <c r="T361" s="684" t="s">
        <v>0</v>
      </c>
      <c r="U361" s="683"/>
      <c r="V361" s="3166">
        <v>2</v>
      </c>
      <c r="W361" s="3229" t="s">
        <v>28</v>
      </c>
      <c r="X361" s="686" t="s">
        <v>1</v>
      </c>
      <c r="Y361" s="3110">
        <f>+S361*V361/1000</f>
        <v>1722</v>
      </c>
      <c r="Z361" s="713"/>
    </row>
    <row r="362" spans="1:30" ht="20.100000000000001" customHeight="1">
      <c r="A362" s="791"/>
      <c r="B362" s="675"/>
      <c r="C362" s="709"/>
      <c r="D362" s="693"/>
      <c r="E362" s="677" t="s">
        <v>4176</v>
      </c>
      <c r="F362" s="3289">
        <v>10500</v>
      </c>
      <c r="G362" s="1261">
        <v>10500</v>
      </c>
      <c r="H362" s="733"/>
      <c r="I362" s="2060"/>
      <c r="J362" s="681" t="s">
        <v>3364</v>
      </c>
      <c r="K362" s="3016"/>
      <c r="L362" s="3016"/>
      <c r="M362" s="3016"/>
      <c r="N362" s="3016"/>
      <c r="O362" s="869"/>
      <c r="P362" s="683"/>
      <c r="Q362" s="684"/>
      <c r="R362" s="3229"/>
      <c r="S362" s="684">
        <v>2625000</v>
      </c>
      <c r="T362" s="684" t="s">
        <v>37</v>
      </c>
      <c r="U362" s="683"/>
      <c r="V362" s="684">
        <v>4</v>
      </c>
      <c r="W362" s="3229" t="s">
        <v>233</v>
      </c>
      <c r="X362" s="686" t="s">
        <v>38</v>
      </c>
      <c r="Y362" s="3110">
        <f>S362*V362/1000</f>
        <v>10500</v>
      </c>
      <c r="Z362" s="713"/>
    </row>
    <row r="363" spans="1:30" ht="20.100000000000001" customHeight="1">
      <c r="A363" s="791"/>
      <c r="B363" s="675"/>
      <c r="C363" s="709"/>
      <c r="D363" s="693"/>
      <c r="E363" s="677" t="s">
        <v>4177</v>
      </c>
      <c r="F363" s="3289">
        <v>2660</v>
      </c>
      <c r="G363" s="1261">
        <v>2660</v>
      </c>
      <c r="H363" s="733"/>
      <c r="I363" s="2060"/>
      <c r="J363" s="681" t="s">
        <v>224</v>
      </c>
      <c r="K363" s="3016"/>
      <c r="L363" s="3016"/>
      <c r="M363" s="3016"/>
      <c r="N363" s="3016"/>
      <c r="O363" s="869"/>
      <c r="P363" s="683"/>
      <c r="Q363" s="684"/>
      <c r="R363" s="3229"/>
      <c r="S363" s="684"/>
      <c r="T363" s="684"/>
      <c r="U363" s="683"/>
      <c r="V363" s="684"/>
      <c r="W363" s="3229"/>
      <c r="X363" s="686"/>
      <c r="Y363" s="3110">
        <f>SUM(Y364:Y365)</f>
        <v>1160</v>
      </c>
      <c r="Z363" s="713"/>
    </row>
    <row r="364" spans="1:30" ht="20.100000000000001" customHeight="1">
      <c r="A364" s="791"/>
      <c r="B364" s="675"/>
      <c r="C364" s="709"/>
      <c r="D364" s="693"/>
      <c r="E364" s="677"/>
      <c r="F364" s="3289"/>
      <c r="G364" s="1261"/>
      <c r="H364" s="733"/>
      <c r="I364" s="2060"/>
      <c r="J364" s="681" t="s">
        <v>3365</v>
      </c>
      <c r="K364" s="3016"/>
      <c r="L364" s="3016"/>
      <c r="M364" s="3016"/>
      <c r="N364" s="3016"/>
      <c r="O364" s="869"/>
      <c r="P364" s="683"/>
      <c r="Q364" s="684">
        <v>1</v>
      </c>
      <c r="R364" s="3229" t="s">
        <v>525</v>
      </c>
      <c r="S364" s="684">
        <v>400000</v>
      </c>
      <c r="T364" s="684" t="s">
        <v>37</v>
      </c>
      <c r="U364" s="683"/>
      <c r="V364" s="684">
        <v>2</v>
      </c>
      <c r="W364" s="3229" t="s">
        <v>233</v>
      </c>
      <c r="X364" s="686" t="s">
        <v>38</v>
      </c>
      <c r="Y364" s="3110">
        <f>Q364*S364*V364/1000</f>
        <v>800</v>
      </c>
      <c r="Z364" s="713"/>
    </row>
    <row r="365" spans="1:30" ht="20.100000000000001" customHeight="1">
      <c r="A365" s="673"/>
      <c r="B365" s="674"/>
      <c r="C365" s="709"/>
      <c r="D365" s="693"/>
      <c r="E365" s="677"/>
      <c r="F365" s="3289"/>
      <c r="G365" s="1261"/>
      <c r="H365" s="733"/>
      <c r="I365" s="2060"/>
      <c r="J365" s="681" t="s">
        <v>3366</v>
      </c>
      <c r="K365" s="3016"/>
      <c r="L365" s="3016"/>
      <c r="M365" s="3016"/>
      <c r="N365" s="3016"/>
      <c r="O365" s="869"/>
      <c r="P365" s="683"/>
      <c r="Q365" s="684"/>
      <c r="R365" s="3229"/>
      <c r="S365" s="684">
        <v>30000</v>
      </c>
      <c r="T365" s="684" t="s">
        <v>37</v>
      </c>
      <c r="U365" s="683"/>
      <c r="V365" s="684">
        <v>12</v>
      </c>
      <c r="W365" s="3229" t="s">
        <v>231</v>
      </c>
      <c r="X365" s="686" t="s">
        <v>38</v>
      </c>
      <c r="Y365" s="3110">
        <f>S365*V365/1000</f>
        <v>360</v>
      </c>
      <c r="Z365" s="713"/>
    </row>
    <row r="366" spans="1:30" ht="20.100000000000001" customHeight="1">
      <c r="A366" s="673"/>
      <c r="B366" s="674"/>
      <c r="C366" s="709"/>
      <c r="D366" s="693"/>
      <c r="E366" s="677"/>
      <c r="F366" s="3289"/>
      <c r="G366" s="1261"/>
      <c r="H366" s="733"/>
      <c r="I366" s="2060"/>
      <c r="J366" s="681" t="s">
        <v>4186</v>
      </c>
      <c r="K366" s="3016"/>
      <c r="L366" s="3016"/>
      <c r="M366" s="3016"/>
      <c r="N366" s="3016"/>
      <c r="O366" s="869"/>
      <c r="P366" s="683"/>
      <c r="Q366" s="684"/>
      <c r="R366" s="3229"/>
      <c r="S366" s="684">
        <v>125000</v>
      </c>
      <c r="T366" s="684" t="s">
        <v>37</v>
      </c>
      <c r="U366" s="683"/>
      <c r="V366" s="684">
        <v>12</v>
      </c>
      <c r="W366" s="3229" t="s">
        <v>228</v>
      </c>
      <c r="X366" s="686" t="s">
        <v>38</v>
      </c>
      <c r="Y366" s="3110">
        <v>1500</v>
      </c>
      <c r="Z366" s="713"/>
    </row>
    <row r="367" spans="1:30" ht="20.100000000000001" customHeight="1">
      <c r="A367" s="673"/>
      <c r="B367" s="674"/>
      <c r="C367" s="709"/>
      <c r="D367" s="693"/>
      <c r="E367" s="677" t="s">
        <v>4178</v>
      </c>
      <c r="F367" s="3289">
        <f>Y367</f>
        <v>1200</v>
      </c>
      <c r="G367" s="1261">
        <v>1200</v>
      </c>
      <c r="H367" s="733"/>
      <c r="I367" s="2060"/>
      <c r="J367" s="681" t="s">
        <v>4158</v>
      </c>
      <c r="K367" s="3016"/>
      <c r="L367" s="3016"/>
      <c r="M367" s="3016"/>
      <c r="N367" s="3016"/>
      <c r="O367" s="869"/>
      <c r="P367" s="683"/>
      <c r="Q367" s="684"/>
      <c r="R367" s="3229"/>
      <c r="S367" s="684"/>
      <c r="T367" s="684"/>
      <c r="U367" s="683"/>
      <c r="V367" s="684"/>
      <c r="W367" s="3229"/>
      <c r="X367" s="686" t="s">
        <v>4160</v>
      </c>
      <c r="Y367" s="3110">
        <f>SUM(Y368:Y369)</f>
        <v>1200</v>
      </c>
      <c r="Z367" s="713"/>
    </row>
    <row r="368" spans="1:30" ht="20.100000000000001" customHeight="1">
      <c r="A368" s="791"/>
      <c r="B368" s="675"/>
      <c r="C368" s="709"/>
      <c r="D368" s="693"/>
      <c r="E368" s="677"/>
      <c r="F368" s="3289"/>
      <c r="G368" s="1261"/>
      <c r="H368" s="733"/>
      <c r="I368" s="2060"/>
      <c r="J368" s="681" t="s">
        <v>4179</v>
      </c>
      <c r="K368" s="3016"/>
      <c r="L368" s="3016"/>
      <c r="M368" s="3016"/>
      <c r="N368" s="3016"/>
      <c r="O368" s="869"/>
      <c r="P368" s="683"/>
      <c r="Q368" s="684"/>
      <c r="R368" s="3229"/>
      <c r="S368" s="684">
        <v>50000</v>
      </c>
      <c r="T368" s="684" t="s">
        <v>4159</v>
      </c>
      <c r="U368" s="683"/>
      <c r="V368" s="684">
        <v>12</v>
      </c>
      <c r="W368" s="3229" t="s">
        <v>4169</v>
      </c>
      <c r="X368" s="686" t="s">
        <v>4160</v>
      </c>
      <c r="Y368" s="3110">
        <f>S368*V368/1000</f>
        <v>600</v>
      </c>
      <c r="Z368" s="713"/>
    </row>
    <row r="369" spans="1:26" ht="20.100000000000001" customHeight="1">
      <c r="A369" s="791"/>
      <c r="B369" s="675"/>
      <c r="C369" s="709"/>
      <c r="D369" s="693"/>
      <c r="E369" s="677"/>
      <c r="F369" s="3289"/>
      <c r="G369" s="1261"/>
      <c r="H369" s="733"/>
      <c r="I369" s="2060"/>
      <c r="J369" s="681" t="s">
        <v>4180</v>
      </c>
      <c r="K369" s="3016"/>
      <c r="L369" s="3016"/>
      <c r="M369" s="3016"/>
      <c r="N369" s="3016"/>
      <c r="O369" s="869"/>
      <c r="P369" s="683"/>
      <c r="Q369" s="684"/>
      <c r="R369" s="3229"/>
      <c r="S369" s="684">
        <v>50000</v>
      </c>
      <c r="T369" s="684" t="s">
        <v>4159</v>
      </c>
      <c r="U369" s="683"/>
      <c r="V369" s="684">
        <v>12</v>
      </c>
      <c r="W369" s="3229" t="s">
        <v>4169</v>
      </c>
      <c r="X369" s="686" t="s">
        <v>4160</v>
      </c>
      <c r="Y369" s="3110">
        <f>S369*V369/1000</f>
        <v>600</v>
      </c>
      <c r="Z369" s="713"/>
    </row>
    <row r="370" spans="1:26" ht="20.100000000000001" customHeight="1">
      <c r="A370" s="791"/>
      <c r="B370" s="675"/>
      <c r="C370" s="709"/>
      <c r="D370" s="693"/>
      <c r="E370" s="677" t="s">
        <v>4163</v>
      </c>
      <c r="F370" s="3289">
        <f>Y370</f>
        <v>16428</v>
      </c>
      <c r="G370" s="1261">
        <v>16428</v>
      </c>
      <c r="H370" s="733"/>
      <c r="I370" s="2060"/>
      <c r="J370" s="681" t="s">
        <v>4181</v>
      </c>
      <c r="K370" s="3016"/>
      <c r="L370" s="3016"/>
      <c r="M370" s="3016"/>
      <c r="N370" s="3016"/>
      <c r="O370" s="869"/>
      <c r="P370" s="683"/>
      <c r="Q370" s="684">
        <v>1</v>
      </c>
      <c r="R370" s="3229" t="s">
        <v>4165</v>
      </c>
      <c r="S370" s="684">
        <v>16428000</v>
      </c>
      <c r="T370" s="684" t="s">
        <v>4159</v>
      </c>
      <c r="U370" s="683"/>
      <c r="V370" s="684">
        <v>1</v>
      </c>
      <c r="W370" s="3229" t="s">
        <v>4182</v>
      </c>
      <c r="X370" s="686" t="s">
        <v>4160</v>
      </c>
      <c r="Y370" s="3110">
        <f>S370*V370/1000</f>
        <v>16428</v>
      </c>
      <c r="Z370" s="713"/>
    </row>
    <row r="371" spans="1:26" ht="20.100000000000001" customHeight="1">
      <c r="A371" s="791"/>
      <c r="B371" s="675"/>
      <c r="C371" s="709"/>
      <c r="D371" s="693"/>
      <c r="E371" s="677" t="s">
        <v>4183</v>
      </c>
      <c r="F371" s="3289">
        <f>Y371</f>
        <v>48000</v>
      </c>
      <c r="G371" s="1261">
        <v>48000</v>
      </c>
      <c r="H371" s="733"/>
      <c r="I371" s="2060"/>
      <c r="J371" s="681" t="s">
        <v>4158</v>
      </c>
      <c r="K371" s="3016"/>
      <c r="L371" s="3016"/>
      <c r="M371" s="3016"/>
      <c r="N371" s="3016"/>
      <c r="O371" s="869"/>
      <c r="P371" s="683"/>
      <c r="Q371" s="684"/>
      <c r="R371" s="3229"/>
      <c r="S371" s="684"/>
      <c r="T371" s="684"/>
      <c r="U371" s="683"/>
      <c r="V371" s="684"/>
      <c r="W371" s="3229"/>
      <c r="X371" s="686"/>
      <c r="Y371" s="3110">
        <f>SUM(Y372:Y373)</f>
        <v>48000</v>
      </c>
      <c r="Z371" s="713"/>
    </row>
    <row r="372" spans="1:26" ht="20.100000000000001" customHeight="1">
      <c r="A372" s="1122"/>
      <c r="B372" s="675"/>
      <c r="C372" s="709"/>
      <c r="D372" s="693"/>
      <c r="E372" s="677"/>
      <c r="F372" s="3289"/>
      <c r="G372" s="1261"/>
      <c r="H372" s="733"/>
      <c r="I372" s="2060"/>
      <c r="J372" s="681" t="s">
        <v>4184</v>
      </c>
      <c r="K372" s="3016"/>
      <c r="L372" s="3016"/>
      <c r="M372" s="3016"/>
      <c r="N372" s="3016"/>
      <c r="O372" s="869"/>
      <c r="P372" s="683"/>
      <c r="Q372" s="684"/>
      <c r="R372" s="3229"/>
      <c r="S372" s="684">
        <v>2000000</v>
      </c>
      <c r="T372" s="684" t="s">
        <v>4159</v>
      </c>
      <c r="U372" s="683"/>
      <c r="V372" s="684">
        <v>12</v>
      </c>
      <c r="W372" s="3229" t="s">
        <v>4169</v>
      </c>
      <c r="X372" s="686" t="s">
        <v>4160</v>
      </c>
      <c r="Y372" s="3110">
        <f>S372*V372/1000</f>
        <v>24000</v>
      </c>
      <c r="Z372" s="713"/>
    </row>
    <row r="373" spans="1:26" ht="20.100000000000001" customHeight="1" thickBot="1">
      <c r="A373" s="916"/>
      <c r="B373" s="674"/>
      <c r="C373" s="709"/>
      <c r="D373" s="693"/>
      <c r="E373" s="1266"/>
      <c r="F373" s="3290"/>
      <c r="G373" s="1267"/>
      <c r="H373" s="3291"/>
      <c r="I373" s="2060"/>
      <c r="J373" s="1268" t="s">
        <v>4185</v>
      </c>
      <c r="K373" s="1269"/>
      <c r="L373" s="1269"/>
      <c r="M373" s="1269"/>
      <c r="N373" s="1269"/>
      <c r="O373" s="1270"/>
      <c r="P373" s="1271"/>
      <c r="Q373" s="1049"/>
      <c r="R373" s="1047"/>
      <c r="S373" s="1049">
        <v>2000000</v>
      </c>
      <c r="T373" s="1049" t="s">
        <v>4159</v>
      </c>
      <c r="U373" s="1271"/>
      <c r="V373" s="1049">
        <v>12</v>
      </c>
      <c r="W373" s="1047" t="s">
        <v>4169</v>
      </c>
      <c r="X373" s="1272" t="s">
        <v>4160</v>
      </c>
      <c r="Y373" s="3110">
        <f>S373*V373/1000</f>
        <v>24000</v>
      </c>
      <c r="Z373" s="713"/>
    </row>
  </sheetData>
  <autoFilter ref="A4:AE353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3">
    <mergeCell ref="D200:E200"/>
    <mergeCell ref="D213:E213"/>
    <mergeCell ref="D281:E281"/>
    <mergeCell ref="D221:E221"/>
    <mergeCell ref="D234:E234"/>
    <mergeCell ref="D251:E251"/>
    <mergeCell ref="D189:E189"/>
    <mergeCell ref="C7:E7"/>
    <mergeCell ref="C118:E118"/>
    <mergeCell ref="D120:E120"/>
    <mergeCell ref="D121:E121"/>
    <mergeCell ref="D137:E137"/>
    <mergeCell ref="C156:E156"/>
    <mergeCell ref="D157:E157"/>
    <mergeCell ref="D170:E170"/>
    <mergeCell ref="C188:E188"/>
    <mergeCell ref="D114:E114"/>
    <mergeCell ref="D8:E8"/>
    <mergeCell ref="A1:Y1"/>
    <mergeCell ref="A3:E3"/>
    <mergeCell ref="F3:F4"/>
    <mergeCell ref="G3:G4"/>
    <mergeCell ref="H3:H4"/>
    <mergeCell ref="J3:Y4"/>
    <mergeCell ref="D332:E332"/>
    <mergeCell ref="D353:E353"/>
    <mergeCell ref="D265:E265"/>
    <mergeCell ref="C280:E280"/>
    <mergeCell ref="D283:E283"/>
    <mergeCell ref="D293:E293"/>
    <mergeCell ref="D302:E302"/>
    <mergeCell ref="D276:E276"/>
    <mergeCell ref="D342:E342"/>
  </mergeCells>
  <phoneticPr fontId="15" type="noConversion"/>
  <printOptions horizontalCentered="1"/>
  <pageMargins left="0.59055118110236227" right="0.59055118110236227" top="0.51181102362204722" bottom="0.51181102362204722" header="0.31496062992125984" footer="0.31496062992125984"/>
  <pageSetup paperSize="9" scale="54" firstPageNumber="81" fitToHeight="100" orientation="landscape" useFirstPageNumber="1" r:id="rId1"/>
  <headerFooter scaleWithDoc="0" alignWithMargins="0"/>
  <rowBreaks count="7" manualBreakCount="7">
    <brk id="40" max="24" man="1"/>
    <brk id="80" max="24" man="1"/>
    <brk id="117" max="24" man="1"/>
    <brk id="155" max="24" man="1"/>
    <brk id="199" max="24" man="1"/>
    <brk id="244" max="24" man="1"/>
    <brk id="33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273"/>
  <sheetViews>
    <sheetView view="pageBreakPreview" zoomScale="70" zoomScaleNormal="55" zoomScaleSheetLayoutView="70" workbookViewId="0">
      <pane ySplit="6" topLeftCell="A7" activePane="bottomLeft" state="frozen"/>
      <selection activeCell="F663" sqref="F663:G663"/>
      <selection pane="bottomLeft" activeCell="A2" sqref="A2"/>
    </sheetView>
  </sheetViews>
  <sheetFormatPr defaultRowHeight="21.75" customHeight="1"/>
  <cols>
    <col min="1" max="1" width="6.77734375" style="763" customWidth="1"/>
    <col min="2" max="2" width="8" style="763" customWidth="1"/>
    <col min="3" max="4" width="6.77734375" style="763" customWidth="1"/>
    <col min="5" max="5" width="16" style="763" customWidth="1"/>
    <col min="6" max="7" width="13.77734375" style="1142" customWidth="1"/>
    <col min="8" max="8" width="13.77734375" style="887" customWidth="1"/>
    <col min="9" max="9" width="1.77734375" style="880" customWidth="1"/>
    <col min="10" max="10" width="18.88671875" style="1143" customWidth="1"/>
    <col min="11" max="11" width="2" style="1143" customWidth="1"/>
    <col min="12" max="12" width="2.5546875" style="1143" customWidth="1"/>
    <col min="13" max="13" width="8.77734375" style="1143" customWidth="1"/>
    <col min="14" max="14" width="10.77734375" style="1143" customWidth="1"/>
    <col min="15" max="16" width="7.77734375" style="1143" customWidth="1"/>
    <col min="17" max="17" width="9.5546875" style="1144" customWidth="1"/>
    <col min="18" max="18" width="6.88671875" style="763" customWidth="1"/>
    <col min="19" max="19" width="14.77734375" style="763" customWidth="1"/>
    <col min="20" max="21" width="6.88671875" style="763" customWidth="1"/>
    <col min="22" max="22" width="7.44140625" style="763" customWidth="1"/>
    <col min="23" max="23" width="6.88671875" style="763" customWidth="1"/>
    <col min="24" max="24" width="3" style="763" customWidth="1"/>
    <col min="25" max="25" width="14.77734375" style="1145" customWidth="1"/>
    <col min="26" max="26" width="15.77734375" style="763" customWidth="1"/>
    <col min="27" max="27" width="26.44140625" style="763" bestFit="1" customWidth="1"/>
    <col min="28" max="28" width="25.21875" style="565" bestFit="1" customWidth="1"/>
    <col min="29" max="29" width="13.77734375" style="565" bestFit="1" customWidth="1"/>
    <col min="30" max="30" width="14.21875" style="2033" bestFit="1" customWidth="1"/>
    <col min="31" max="31" width="13.21875" style="763" bestFit="1" customWidth="1"/>
    <col min="32" max="32" width="10" style="763" bestFit="1" customWidth="1"/>
    <col min="33" max="33" width="12.77734375" style="763" bestFit="1" customWidth="1"/>
    <col min="34" max="34" width="11.33203125" style="763" bestFit="1" customWidth="1"/>
    <col min="35" max="35" width="9.6640625" style="763" bestFit="1" customWidth="1"/>
    <col min="36" max="256" width="8.88671875" style="763"/>
    <col min="257" max="260" width="6.77734375" style="763" customWidth="1"/>
    <col min="261" max="261" width="16" style="763" customWidth="1"/>
    <col min="262" max="264" width="13.77734375" style="763" customWidth="1"/>
    <col min="265" max="265" width="1.77734375" style="763" customWidth="1"/>
    <col min="266" max="266" width="2.88671875" style="763" customWidth="1"/>
    <col min="267" max="267" width="2" style="763" customWidth="1"/>
    <col min="268" max="269" width="8.77734375" style="763" customWidth="1"/>
    <col min="270" max="270" width="10.77734375" style="763" customWidth="1"/>
    <col min="271" max="272" width="7.77734375" style="763" customWidth="1"/>
    <col min="273" max="273" width="8.109375" style="763" customWidth="1"/>
    <col min="274" max="274" width="6.88671875" style="763" customWidth="1"/>
    <col min="275" max="275" width="14.77734375" style="763" customWidth="1"/>
    <col min="276" max="277" width="6.88671875" style="763" customWidth="1"/>
    <col min="278" max="278" width="7.44140625" style="763" customWidth="1"/>
    <col min="279" max="279" width="6.88671875" style="763" customWidth="1"/>
    <col min="280" max="280" width="3" style="763" customWidth="1"/>
    <col min="281" max="281" width="14.77734375" style="763" customWidth="1"/>
    <col min="282" max="282" width="15.77734375" style="763" customWidth="1"/>
    <col min="283" max="283" width="15.44140625" style="763" bestFit="1" customWidth="1"/>
    <col min="284" max="284" width="17.5546875" style="763" bestFit="1" customWidth="1"/>
    <col min="285" max="285" width="12.21875" style="763" bestFit="1" customWidth="1"/>
    <col min="286" max="286" width="9" style="763" bestFit="1" customWidth="1"/>
    <col min="287" max="287" width="8.88671875" style="763"/>
    <col min="288" max="288" width="9.44140625" style="763" bestFit="1" customWidth="1"/>
    <col min="289" max="512" width="8.88671875" style="763"/>
    <col min="513" max="516" width="6.77734375" style="763" customWidth="1"/>
    <col min="517" max="517" width="16" style="763" customWidth="1"/>
    <col min="518" max="520" width="13.77734375" style="763" customWidth="1"/>
    <col min="521" max="521" width="1.77734375" style="763" customWidth="1"/>
    <col min="522" max="522" width="2.88671875" style="763" customWidth="1"/>
    <col min="523" max="523" width="2" style="763" customWidth="1"/>
    <col min="524" max="525" width="8.77734375" style="763" customWidth="1"/>
    <col min="526" max="526" width="10.77734375" style="763" customWidth="1"/>
    <col min="527" max="528" width="7.77734375" style="763" customWidth="1"/>
    <col min="529" max="529" width="8.109375" style="763" customWidth="1"/>
    <col min="530" max="530" width="6.88671875" style="763" customWidth="1"/>
    <col min="531" max="531" width="14.77734375" style="763" customWidth="1"/>
    <col min="532" max="533" width="6.88671875" style="763" customWidth="1"/>
    <col min="534" max="534" width="7.44140625" style="763" customWidth="1"/>
    <col min="535" max="535" width="6.88671875" style="763" customWidth="1"/>
    <col min="536" max="536" width="3" style="763" customWidth="1"/>
    <col min="537" max="537" width="14.77734375" style="763" customWidth="1"/>
    <col min="538" max="538" width="15.77734375" style="763" customWidth="1"/>
    <col min="539" max="539" width="15.44140625" style="763" bestFit="1" customWidth="1"/>
    <col min="540" max="540" width="17.5546875" style="763" bestFit="1" customWidth="1"/>
    <col min="541" max="541" width="12.21875" style="763" bestFit="1" customWidth="1"/>
    <col min="542" max="542" width="9" style="763" bestFit="1" customWidth="1"/>
    <col min="543" max="543" width="8.88671875" style="763"/>
    <col min="544" max="544" width="9.44140625" style="763" bestFit="1" customWidth="1"/>
    <col min="545" max="768" width="8.88671875" style="763"/>
    <col min="769" max="772" width="6.77734375" style="763" customWidth="1"/>
    <col min="773" max="773" width="16" style="763" customWidth="1"/>
    <col min="774" max="776" width="13.77734375" style="763" customWidth="1"/>
    <col min="777" max="777" width="1.77734375" style="763" customWidth="1"/>
    <col min="778" max="778" width="2.88671875" style="763" customWidth="1"/>
    <col min="779" max="779" width="2" style="763" customWidth="1"/>
    <col min="780" max="781" width="8.77734375" style="763" customWidth="1"/>
    <col min="782" max="782" width="10.77734375" style="763" customWidth="1"/>
    <col min="783" max="784" width="7.77734375" style="763" customWidth="1"/>
    <col min="785" max="785" width="8.109375" style="763" customWidth="1"/>
    <col min="786" max="786" width="6.88671875" style="763" customWidth="1"/>
    <col min="787" max="787" width="14.77734375" style="763" customWidth="1"/>
    <col min="788" max="789" width="6.88671875" style="763" customWidth="1"/>
    <col min="790" max="790" width="7.44140625" style="763" customWidth="1"/>
    <col min="791" max="791" width="6.88671875" style="763" customWidth="1"/>
    <col min="792" max="792" width="3" style="763" customWidth="1"/>
    <col min="793" max="793" width="14.77734375" style="763" customWidth="1"/>
    <col min="794" max="794" width="15.77734375" style="763" customWidth="1"/>
    <col min="795" max="795" width="15.44140625" style="763" bestFit="1" customWidth="1"/>
    <col min="796" max="796" width="17.5546875" style="763" bestFit="1" customWidth="1"/>
    <col min="797" max="797" width="12.21875" style="763" bestFit="1" customWidth="1"/>
    <col min="798" max="798" width="9" style="763" bestFit="1" customWidth="1"/>
    <col min="799" max="799" width="8.88671875" style="763"/>
    <col min="800" max="800" width="9.44140625" style="763" bestFit="1" customWidth="1"/>
    <col min="801" max="1024" width="8.88671875" style="763"/>
    <col min="1025" max="1028" width="6.77734375" style="763" customWidth="1"/>
    <col min="1029" max="1029" width="16" style="763" customWidth="1"/>
    <col min="1030" max="1032" width="13.77734375" style="763" customWidth="1"/>
    <col min="1033" max="1033" width="1.77734375" style="763" customWidth="1"/>
    <col min="1034" max="1034" width="2.88671875" style="763" customWidth="1"/>
    <col min="1035" max="1035" width="2" style="763" customWidth="1"/>
    <col min="1036" max="1037" width="8.77734375" style="763" customWidth="1"/>
    <col min="1038" max="1038" width="10.77734375" style="763" customWidth="1"/>
    <col min="1039" max="1040" width="7.77734375" style="763" customWidth="1"/>
    <col min="1041" max="1041" width="8.109375" style="763" customWidth="1"/>
    <col min="1042" max="1042" width="6.88671875" style="763" customWidth="1"/>
    <col min="1043" max="1043" width="14.77734375" style="763" customWidth="1"/>
    <col min="1044" max="1045" width="6.88671875" style="763" customWidth="1"/>
    <col min="1046" max="1046" width="7.44140625" style="763" customWidth="1"/>
    <col min="1047" max="1047" width="6.88671875" style="763" customWidth="1"/>
    <col min="1048" max="1048" width="3" style="763" customWidth="1"/>
    <col min="1049" max="1049" width="14.77734375" style="763" customWidth="1"/>
    <col min="1050" max="1050" width="15.77734375" style="763" customWidth="1"/>
    <col min="1051" max="1051" width="15.44140625" style="763" bestFit="1" customWidth="1"/>
    <col min="1052" max="1052" width="17.5546875" style="763" bestFit="1" customWidth="1"/>
    <col min="1053" max="1053" width="12.21875" style="763" bestFit="1" customWidth="1"/>
    <col min="1054" max="1054" width="9" style="763" bestFit="1" customWidth="1"/>
    <col min="1055" max="1055" width="8.88671875" style="763"/>
    <col min="1056" max="1056" width="9.44140625" style="763" bestFit="1" customWidth="1"/>
    <col min="1057" max="1280" width="8.88671875" style="763"/>
    <col min="1281" max="1284" width="6.77734375" style="763" customWidth="1"/>
    <col min="1285" max="1285" width="16" style="763" customWidth="1"/>
    <col min="1286" max="1288" width="13.77734375" style="763" customWidth="1"/>
    <col min="1289" max="1289" width="1.77734375" style="763" customWidth="1"/>
    <col min="1290" max="1290" width="2.88671875" style="763" customWidth="1"/>
    <col min="1291" max="1291" width="2" style="763" customWidth="1"/>
    <col min="1292" max="1293" width="8.77734375" style="763" customWidth="1"/>
    <col min="1294" max="1294" width="10.77734375" style="763" customWidth="1"/>
    <col min="1295" max="1296" width="7.77734375" style="763" customWidth="1"/>
    <col min="1297" max="1297" width="8.109375" style="763" customWidth="1"/>
    <col min="1298" max="1298" width="6.88671875" style="763" customWidth="1"/>
    <col min="1299" max="1299" width="14.77734375" style="763" customWidth="1"/>
    <col min="1300" max="1301" width="6.88671875" style="763" customWidth="1"/>
    <col min="1302" max="1302" width="7.44140625" style="763" customWidth="1"/>
    <col min="1303" max="1303" width="6.88671875" style="763" customWidth="1"/>
    <col min="1304" max="1304" width="3" style="763" customWidth="1"/>
    <col min="1305" max="1305" width="14.77734375" style="763" customWidth="1"/>
    <col min="1306" max="1306" width="15.77734375" style="763" customWidth="1"/>
    <col min="1307" max="1307" width="15.44140625" style="763" bestFit="1" customWidth="1"/>
    <col min="1308" max="1308" width="17.5546875" style="763" bestFit="1" customWidth="1"/>
    <col min="1309" max="1309" width="12.21875" style="763" bestFit="1" customWidth="1"/>
    <col min="1310" max="1310" width="9" style="763" bestFit="1" customWidth="1"/>
    <col min="1311" max="1311" width="8.88671875" style="763"/>
    <col min="1312" max="1312" width="9.44140625" style="763" bestFit="1" customWidth="1"/>
    <col min="1313" max="1536" width="8.88671875" style="763"/>
    <col min="1537" max="1540" width="6.77734375" style="763" customWidth="1"/>
    <col min="1541" max="1541" width="16" style="763" customWidth="1"/>
    <col min="1542" max="1544" width="13.77734375" style="763" customWidth="1"/>
    <col min="1545" max="1545" width="1.77734375" style="763" customWidth="1"/>
    <col min="1546" max="1546" width="2.88671875" style="763" customWidth="1"/>
    <col min="1547" max="1547" width="2" style="763" customWidth="1"/>
    <col min="1548" max="1549" width="8.77734375" style="763" customWidth="1"/>
    <col min="1550" max="1550" width="10.77734375" style="763" customWidth="1"/>
    <col min="1551" max="1552" width="7.77734375" style="763" customWidth="1"/>
    <col min="1553" max="1553" width="8.109375" style="763" customWidth="1"/>
    <col min="1554" max="1554" width="6.88671875" style="763" customWidth="1"/>
    <col min="1555" max="1555" width="14.77734375" style="763" customWidth="1"/>
    <col min="1556" max="1557" width="6.88671875" style="763" customWidth="1"/>
    <col min="1558" max="1558" width="7.44140625" style="763" customWidth="1"/>
    <col min="1559" max="1559" width="6.88671875" style="763" customWidth="1"/>
    <col min="1560" max="1560" width="3" style="763" customWidth="1"/>
    <col min="1561" max="1561" width="14.77734375" style="763" customWidth="1"/>
    <col min="1562" max="1562" width="15.77734375" style="763" customWidth="1"/>
    <col min="1563" max="1563" width="15.44140625" style="763" bestFit="1" customWidth="1"/>
    <col min="1564" max="1564" width="17.5546875" style="763" bestFit="1" customWidth="1"/>
    <col min="1565" max="1565" width="12.21875" style="763" bestFit="1" customWidth="1"/>
    <col min="1566" max="1566" width="9" style="763" bestFit="1" customWidth="1"/>
    <col min="1567" max="1567" width="8.88671875" style="763"/>
    <col min="1568" max="1568" width="9.44140625" style="763" bestFit="1" customWidth="1"/>
    <col min="1569" max="1792" width="8.88671875" style="763"/>
    <col min="1793" max="1796" width="6.77734375" style="763" customWidth="1"/>
    <col min="1797" max="1797" width="16" style="763" customWidth="1"/>
    <col min="1798" max="1800" width="13.77734375" style="763" customWidth="1"/>
    <col min="1801" max="1801" width="1.77734375" style="763" customWidth="1"/>
    <col min="1802" max="1802" width="2.88671875" style="763" customWidth="1"/>
    <col min="1803" max="1803" width="2" style="763" customWidth="1"/>
    <col min="1804" max="1805" width="8.77734375" style="763" customWidth="1"/>
    <col min="1806" max="1806" width="10.77734375" style="763" customWidth="1"/>
    <col min="1807" max="1808" width="7.77734375" style="763" customWidth="1"/>
    <col min="1809" max="1809" width="8.109375" style="763" customWidth="1"/>
    <col min="1810" max="1810" width="6.88671875" style="763" customWidth="1"/>
    <col min="1811" max="1811" width="14.77734375" style="763" customWidth="1"/>
    <col min="1812" max="1813" width="6.88671875" style="763" customWidth="1"/>
    <col min="1814" max="1814" width="7.44140625" style="763" customWidth="1"/>
    <col min="1815" max="1815" width="6.88671875" style="763" customWidth="1"/>
    <col min="1816" max="1816" width="3" style="763" customWidth="1"/>
    <col min="1817" max="1817" width="14.77734375" style="763" customWidth="1"/>
    <col min="1818" max="1818" width="15.77734375" style="763" customWidth="1"/>
    <col min="1819" max="1819" width="15.44140625" style="763" bestFit="1" customWidth="1"/>
    <col min="1820" max="1820" width="17.5546875" style="763" bestFit="1" customWidth="1"/>
    <col min="1821" max="1821" width="12.21875" style="763" bestFit="1" customWidth="1"/>
    <col min="1822" max="1822" width="9" style="763" bestFit="1" customWidth="1"/>
    <col min="1823" max="1823" width="8.88671875" style="763"/>
    <col min="1824" max="1824" width="9.44140625" style="763" bestFit="1" customWidth="1"/>
    <col min="1825" max="2048" width="8.88671875" style="763"/>
    <col min="2049" max="2052" width="6.77734375" style="763" customWidth="1"/>
    <col min="2053" max="2053" width="16" style="763" customWidth="1"/>
    <col min="2054" max="2056" width="13.77734375" style="763" customWidth="1"/>
    <col min="2057" max="2057" width="1.77734375" style="763" customWidth="1"/>
    <col min="2058" max="2058" width="2.88671875" style="763" customWidth="1"/>
    <col min="2059" max="2059" width="2" style="763" customWidth="1"/>
    <col min="2060" max="2061" width="8.77734375" style="763" customWidth="1"/>
    <col min="2062" max="2062" width="10.77734375" style="763" customWidth="1"/>
    <col min="2063" max="2064" width="7.77734375" style="763" customWidth="1"/>
    <col min="2065" max="2065" width="8.109375" style="763" customWidth="1"/>
    <col min="2066" max="2066" width="6.88671875" style="763" customWidth="1"/>
    <col min="2067" max="2067" width="14.77734375" style="763" customWidth="1"/>
    <col min="2068" max="2069" width="6.88671875" style="763" customWidth="1"/>
    <col min="2070" max="2070" width="7.44140625" style="763" customWidth="1"/>
    <col min="2071" max="2071" width="6.88671875" style="763" customWidth="1"/>
    <col min="2072" max="2072" width="3" style="763" customWidth="1"/>
    <col min="2073" max="2073" width="14.77734375" style="763" customWidth="1"/>
    <col min="2074" max="2074" width="15.77734375" style="763" customWidth="1"/>
    <col min="2075" max="2075" width="15.44140625" style="763" bestFit="1" customWidth="1"/>
    <col min="2076" max="2076" width="17.5546875" style="763" bestFit="1" customWidth="1"/>
    <col min="2077" max="2077" width="12.21875" style="763" bestFit="1" customWidth="1"/>
    <col min="2078" max="2078" width="9" style="763" bestFit="1" customWidth="1"/>
    <col min="2079" max="2079" width="8.88671875" style="763"/>
    <col min="2080" max="2080" width="9.44140625" style="763" bestFit="1" customWidth="1"/>
    <col min="2081" max="2304" width="8.88671875" style="763"/>
    <col min="2305" max="2308" width="6.77734375" style="763" customWidth="1"/>
    <col min="2309" max="2309" width="16" style="763" customWidth="1"/>
    <col min="2310" max="2312" width="13.77734375" style="763" customWidth="1"/>
    <col min="2313" max="2313" width="1.77734375" style="763" customWidth="1"/>
    <col min="2314" max="2314" width="2.88671875" style="763" customWidth="1"/>
    <col min="2315" max="2315" width="2" style="763" customWidth="1"/>
    <col min="2316" max="2317" width="8.77734375" style="763" customWidth="1"/>
    <col min="2318" max="2318" width="10.77734375" style="763" customWidth="1"/>
    <col min="2319" max="2320" width="7.77734375" style="763" customWidth="1"/>
    <col min="2321" max="2321" width="8.109375" style="763" customWidth="1"/>
    <col min="2322" max="2322" width="6.88671875" style="763" customWidth="1"/>
    <col min="2323" max="2323" width="14.77734375" style="763" customWidth="1"/>
    <col min="2324" max="2325" width="6.88671875" style="763" customWidth="1"/>
    <col min="2326" max="2326" width="7.44140625" style="763" customWidth="1"/>
    <col min="2327" max="2327" width="6.88671875" style="763" customWidth="1"/>
    <col min="2328" max="2328" width="3" style="763" customWidth="1"/>
    <col min="2329" max="2329" width="14.77734375" style="763" customWidth="1"/>
    <col min="2330" max="2330" width="15.77734375" style="763" customWidth="1"/>
    <col min="2331" max="2331" width="15.44140625" style="763" bestFit="1" customWidth="1"/>
    <col min="2332" max="2332" width="17.5546875" style="763" bestFit="1" customWidth="1"/>
    <col min="2333" max="2333" width="12.21875" style="763" bestFit="1" customWidth="1"/>
    <col min="2334" max="2334" width="9" style="763" bestFit="1" customWidth="1"/>
    <col min="2335" max="2335" width="8.88671875" style="763"/>
    <col min="2336" max="2336" width="9.44140625" style="763" bestFit="1" customWidth="1"/>
    <col min="2337" max="2560" width="8.88671875" style="763"/>
    <col min="2561" max="2564" width="6.77734375" style="763" customWidth="1"/>
    <col min="2565" max="2565" width="16" style="763" customWidth="1"/>
    <col min="2566" max="2568" width="13.77734375" style="763" customWidth="1"/>
    <col min="2569" max="2569" width="1.77734375" style="763" customWidth="1"/>
    <col min="2570" max="2570" width="2.88671875" style="763" customWidth="1"/>
    <col min="2571" max="2571" width="2" style="763" customWidth="1"/>
    <col min="2572" max="2573" width="8.77734375" style="763" customWidth="1"/>
    <col min="2574" max="2574" width="10.77734375" style="763" customWidth="1"/>
    <col min="2575" max="2576" width="7.77734375" style="763" customWidth="1"/>
    <col min="2577" max="2577" width="8.109375" style="763" customWidth="1"/>
    <col min="2578" max="2578" width="6.88671875" style="763" customWidth="1"/>
    <col min="2579" max="2579" width="14.77734375" style="763" customWidth="1"/>
    <col min="2580" max="2581" width="6.88671875" style="763" customWidth="1"/>
    <col min="2582" max="2582" width="7.44140625" style="763" customWidth="1"/>
    <col min="2583" max="2583" width="6.88671875" style="763" customWidth="1"/>
    <col min="2584" max="2584" width="3" style="763" customWidth="1"/>
    <col min="2585" max="2585" width="14.77734375" style="763" customWidth="1"/>
    <col min="2586" max="2586" width="15.77734375" style="763" customWidth="1"/>
    <col min="2587" max="2587" width="15.44140625" style="763" bestFit="1" customWidth="1"/>
    <col min="2588" max="2588" width="17.5546875" style="763" bestFit="1" customWidth="1"/>
    <col min="2589" max="2589" width="12.21875" style="763" bestFit="1" customWidth="1"/>
    <col min="2590" max="2590" width="9" style="763" bestFit="1" customWidth="1"/>
    <col min="2591" max="2591" width="8.88671875" style="763"/>
    <col min="2592" max="2592" width="9.44140625" style="763" bestFit="1" customWidth="1"/>
    <col min="2593" max="2816" width="8.88671875" style="763"/>
    <col min="2817" max="2820" width="6.77734375" style="763" customWidth="1"/>
    <col min="2821" max="2821" width="16" style="763" customWidth="1"/>
    <col min="2822" max="2824" width="13.77734375" style="763" customWidth="1"/>
    <col min="2825" max="2825" width="1.77734375" style="763" customWidth="1"/>
    <col min="2826" max="2826" width="2.88671875" style="763" customWidth="1"/>
    <col min="2827" max="2827" width="2" style="763" customWidth="1"/>
    <col min="2828" max="2829" width="8.77734375" style="763" customWidth="1"/>
    <col min="2830" max="2830" width="10.77734375" style="763" customWidth="1"/>
    <col min="2831" max="2832" width="7.77734375" style="763" customWidth="1"/>
    <col min="2833" max="2833" width="8.109375" style="763" customWidth="1"/>
    <col min="2834" max="2834" width="6.88671875" style="763" customWidth="1"/>
    <col min="2835" max="2835" width="14.77734375" style="763" customWidth="1"/>
    <col min="2836" max="2837" width="6.88671875" style="763" customWidth="1"/>
    <col min="2838" max="2838" width="7.44140625" style="763" customWidth="1"/>
    <col min="2839" max="2839" width="6.88671875" style="763" customWidth="1"/>
    <col min="2840" max="2840" width="3" style="763" customWidth="1"/>
    <col min="2841" max="2841" width="14.77734375" style="763" customWidth="1"/>
    <col min="2842" max="2842" width="15.77734375" style="763" customWidth="1"/>
    <col min="2843" max="2843" width="15.44140625" style="763" bestFit="1" customWidth="1"/>
    <col min="2844" max="2844" width="17.5546875" style="763" bestFit="1" customWidth="1"/>
    <col min="2845" max="2845" width="12.21875" style="763" bestFit="1" customWidth="1"/>
    <col min="2846" max="2846" width="9" style="763" bestFit="1" customWidth="1"/>
    <col min="2847" max="2847" width="8.88671875" style="763"/>
    <col min="2848" max="2848" width="9.44140625" style="763" bestFit="1" customWidth="1"/>
    <col min="2849" max="3072" width="8.88671875" style="763"/>
    <col min="3073" max="3076" width="6.77734375" style="763" customWidth="1"/>
    <col min="3077" max="3077" width="16" style="763" customWidth="1"/>
    <col min="3078" max="3080" width="13.77734375" style="763" customWidth="1"/>
    <col min="3081" max="3081" width="1.77734375" style="763" customWidth="1"/>
    <col min="3082" max="3082" width="2.88671875" style="763" customWidth="1"/>
    <col min="3083" max="3083" width="2" style="763" customWidth="1"/>
    <col min="3084" max="3085" width="8.77734375" style="763" customWidth="1"/>
    <col min="3086" max="3086" width="10.77734375" style="763" customWidth="1"/>
    <col min="3087" max="3088" width="7.77734375" style="763" customWidth="1"/>
    <col min="3089" max="3089" width="8.109375" style="763" customWidth="1"/>
    <col min="3090" max="3090" width="6.88671875" style="763" customWidth="1"/>
    <col min="3091" max="3091" width="14.77734375" style="763" customWidth="1"/>
    <col min="3092" max="3093" width="6.88671875" style="763" customWidth="1"/>
    <col min="3094" max="3094" width="7.44140625" style="763" customWidth="1"/>
    <col min="3095" max="3095" width="6.88671875" style="763" customWidth="1"/>
    <col min="3096" max="3096" width="3" style="763" customWidth="1"/>
    <col min="3097" max="3097" width="14.77734375" style="763" customWidth="1"/>
    <col min="3098" max="3098" width="15.77734375" style="763" customWidth="1"/>
    <col min="3099" max="3099" width="15.44140625" style="763" bestFit="1" customWidth="1"/>
    <col min="3100" max="3100" width="17.5546875" style="763" bestFit="1" customWidth="1"/>
    <col min="3101" max="3101" width="12.21875" style="763" bestFit="1" customWidth="1"/>
    <col min="3102" max="3102" width="9" style="763" bestFit="1" customWidth="1"/>
    <col min="3103" max="3103" width="8.88671875" style="763"/>
    <col min="3104" max="3104" width="9.44140625" style="763" bestFit="1" customWidth="1"/>
    <col min="3105" max="3328" width="8.88671875" style="763"/>
    <col min="3329" max="3332" width="6.77734375" style="763" customWidth="1"/>
    <col min="3333" max="3333" width="16" style="763" customWidth="1"/>
    <col min="3334" max="3336" width="13.77734375" style="763" customWidth="1"/>
    <col min="3337" max="3337" width="1.77734375" style="763" customWidth="1"/>
    <col min="3338" max="3338" width="2.88671875" style="763" customWidth="1"/>
    <col min="3339" max="3339" width="2" style="763" customWidth="1"/>
    <col min="3340" max="3341" width="8.77734375" style="763" customWidth="1"/>
    <col min="3342" max="3342" width="10.77734375" style="763" customWidth="1"/>
    <col min="3343" max="3344" width="7.77734375" style="763" customWidth="1"/>
    <col min="3345" max="3345" width="8.109375" style="763" customWidth="1"/>
    <col min="3346" max="3346" width="6.88671875" style="763" customWidth="1"/>
    <col min="3347" max="3347" width="14.77734375" style="763" customWidth="1"/>
    <col min="3348" max="3349" width="6.88671875" style="763" customWidth="1"/>
    <col min="3350" max="3350" width="7.44140625" style="763" customWidth="1"/>
    <col min="3351" max="3351" width="6.88671875" style="763" customWidth="1"/>
    <col min="3352" max="3352" width="3" style="763" customWidth="1"/>
    <col min="3353" max="3353" width="14.77734375" style="763" customWidth="1"/>
    <col min="3354" max="3354" width="15.77734375" style="763" customWidth="1"/>
    <col min="3355" max="3355" width="15.44140625" style="763" bestFit="1" customWidth="1"/>
    <col min="3356" max="3356" width="17.5546875" style="763" bestFit="1" customWidth="1"/>
    <col min="3357" max="3357" width="12.21875" style="763" bestFit="1" customWidth="1"/>
    <col min="3358" max="3358" width="9" style="763" bestFit="1" customWidth="1"/>
    <col min="3359" max="3359" width="8.88671875" style="763"/>
    <col min="3360" max="3360" width="9.44140625" style="763" bestFit="1" customWidth="1"/>
    <col min="3361" max="3584" width="8.88671875" style="763"/>
    <col min="3585" max="3588" width="6.77734375" style="763" customWidth="1"/>
    <col min="3589" max="3589" width="16" style="763" customWidth="1"/>
    <col min="3590" max="3592" width="13.77734375" style="763" customWidth="1"/>
    <col min="3593" max="3593" width="1.77734375" style="763" customWidth="1"/>
    <col min="3594" max="3594" width="2.88671875" style="763" customWidth="1"/>
    <col min="3595" max="3595" width="2" style="763" customWidth="1"/>
    <col min="3596" max="3597" width="8.77734375" style="763" customWidth="1"/>
    <col min="3598" max="3598" width="10.77734375" style="763" customWidth="1"/>
    <col min="3599" max="3600" width="7.77734375" style="763" customWidth="1"/>
    <col min="3601" max="3601" width="8.109375" style="763" customWidth="1"/>
    <col min="3602" max="3602" width="6.88671875" style="763" customWidth="1"/>
    <col min="3603" max="3603" width="14.77734375" style="763" customWidth="1"/>
    <col min="3604" max="3605" width="6.88671875" style="763" customWidth="1"/>
    <col min="3606" max="3606" width="7.44140625" style="763" customWidth="1"/>
    <col min="3607" max="3607" width="6.88671875" style="763" customWidth="1"/>
    <col min="3608" max="3608" width="3" style="763" customWidth="1"/>
    <col min="3609" max="3609" width="14.77734375" style="763" customWidth="1"/>
    <col min="3610" max="3610" width="15.77734375" style="763" customWidth="1"/>
    <col min="3611" max="3611" width="15.44140625" style="763" bestFit="1" customWidth="1"/>
    <col min="3612" max="3612" width="17.5546875" style="763" bestFit="1" customWidth="1"/>
    <col min="3613" max="3613" width="12.21875" style="763" bestFit="1" customWidth="1"/>
    <col min="3614" max="3614" width="9" style="763" bestFit="1" customWidth="1"/>
    <col min="3615" max="3615" width="8.88671875" style="763"/>
    <col min="3616" max="3616" width="9.44140625" style="763" bestFit="1" customWidth="1"/>
    <col min="3617" max="3840" width="8.88671875" style="763"/>
    <col min="3841" max="3844" width="6.77734375" style="763" customWidth="1"/>
    <col min="3845" max="3845" width="16" style="763" customWidth="1"/>
    <col min="3846" max="3848" width="13.77734375" style="763" customWidth="1"/>
    <col min="3849" max="3849" width="1.77734375" style="763" customWidth="1"/>
    <col min="3850" max="3850" width="2.88671875" style="763" customWidth="1"/>
    <col min="3851" max="3851" width="2" style="763" customWidth="1"/>
    <col min="3852" max="3853" width="8.77734375" style="763" customWidth="1"/>
    <col min="3854" max="3854" width="10.77734375" style="763" customWidth="1"/>
    <col min="3855" max="3856" width="7.77734375" style="763" customWidth="1"/>
    <col min="3857" max="3857" width="8.109375" style="763" customWidth="1"/>
    <col min="3858" max="3858" width="6.88671875" style="763" customWidth="1"/>
    <col min="3859" max="3859" width="14.77734375" style="763" customWidth="1"/>
    <col min="3860" max="3861" width="6.88671875" style="763" customWidth="1"/>
    <col min="3862" max="3862" width="7.44140625" style="763" customWidth="1"/>
    <col min="3863" max="3863" width="6.88671875" style="763" customWidth="1"/>
    <col min="3864" max="3864" width="3" style="763" customWidth="1"/>
    <col min="3865" max="3865" width="14.77734375" style="763" customWidth="1"/>
    <col min="3866" max="3866" width="15.77734375" style="763" customWidth="1"/>
    <col min="3867" max="3867" width="15.44140625" style="763" bestFit="1" customWidth="1"/>
    <col min="3868" max="3868" width="17.5546875" style="763" bestFit="1" customWidth="1"/>
    <col min="3869" max="3869" width="12.21875" style="763" bestFit="1" customWidth="1"/>
    <col min="3870" max="3870" width="9" style="763" bestFit="1" customWidth="1"/>
    <col min="3871" max="3871" width="8.88671875" style="763"/>
    <col min="3872" max="3872" width="9.44140625" style="763" bestFit="1" customWidth="1"/>
    <col min="3873" max="4096" width="8.88671875" style="763"/>
    <col min="4097" max="4100" width="6.77734375" style="763" customWidth="1"/>
    <col min="4101" max="4101" width="16" style="763" customWidth="1"/>
    <col min="4102" max="4104" width="13.77734375" style="763" customWidth="1"/>
    <col min="4105" max="4105" width="1.77734375" style="763" customWidth="1"/>
    <col min="4106" max="4106" width="2.88671875" style="763" customWidth="1"/>
    <col min="4107" max="4107" width="2" style="763" customWidth="1"/>
    <col min="4108" max="4109" width="8.77734375" style="763" customWidth="1"/>
    <col min="4110" max="4110" width="10.77734375" style="763" customWidth="1"/>
    <col min="4111" max="4112" width="7.77734375" style="763" customWidth="1"/>
    <col min="4113" max="4113" width="8.109375" style="763" customWidth="1"/>
    <col min="4114" max="4114" width="6.88671875" style="763" customWidth="1"/>
    <col min="4115" max="4115" width="14.77734375" style="763" customWidth="1"/>
    <col min="4116" max="4117" width="6.88671875" style="763" customWidth="1"/>
    <col min="4118" max="4118" width="7.44140625" style="763" customWidth="1"/>
    <col min="4119" max="4119" width="6.88671875" style="763" customWidth="1"/>
    <col min="4120" max="4120" width="3" style="763" customWidth="1"/>
    <col min="4121" max="4121" width="14.77734375" style="763" customWidth="1"/>
    <col min="4122" max="4122" width="15.77734375" style="763" customWidth="1"/>
    <col min="4123" max="4123" width="15.44140625" style="763" bestFit="1" customWidth="1"/>
    <col min="4124" max="4124" width="17.5546875" style="763" bestFit="1" customWidth="1"/>
    <col min="4125" max="4125" width="12.21875" style="763" bestFit="1" customWidth="1"/>
    <col min="4126" max="4126" width="9" style="763" bestFit="1" customWidth="1"/>
    <col min="4127" max="4127" width="8.88671875" style="763"/>
    <col min="4128" max="4128" width="9.44140625" style="763" bestFit="1" customWidth="1"/>
    <col min="4129" max="4352" width="8.88671875" style="763"/>
    <col min="4353" max="4356" width="6.77734375" style="763" customWidth="1"/>
    <col min="4357" max="4357" width="16" style="763" customWidth="1"/>
    <col min="4358" max="4360" width="13.77734375" style="763" customWidth="1"/>
    <col min="4361" max="4361" width="1.77734375" style="763" customWidth="1"/>
    <col min="4362" max="4362" width="2.88671875" style="763" customWidth="1"/>
    <col min="4363" max="4363" width="2" style="763" customWidth="1"/>
    <col min="4364" max="4365" width="8.77734375" style="763" customWidth="1"/>
    <col min="4366" max="4366" width="10.77734375" style="763" customWidth="1"/>
    <col min="4367" max="4368" width="7.77734375" style="763" customWidth="1"/>
    <col min="4369" max="4369" width="8.109375" style="763" customWidth="1"/>
    <col min="4370" max="4370" width="6.88671875" style="763" customWidth="1"/>
    <col min="4371" max="4371" width="14.77734375" style="763" customWidth="1"/>
    <col min="4372" max="4373" width="6.88671875" style="763" customWidth="1"/>
    <col min="4374" max="4374" width="7.44140625" style="763" customWidth="1"/>
    <col min="4375" max="4375" width="6.88671875" style="763" customWidth="1"/>
    <col min="4376" max="4376" width="3" style="763" customWidth="1"/>
    <col min="4377" max="4377" width="14.77734375" style="763" customWidth="1"/>
    <col min="4378" max="4378" width="15.77734375" style="763" customWidth="1"/>
    <col min="4379" max="4379" width="15.44140625" style="763" bestFit="1" customWidth="1"/>
    <col min="4380" max="4380" width="17.5546875" style="763" bestFit="1" customWidth="1"/>
    <col min="4381" max="4381" width="12.21875" style="763" bestFit="1" customWidth="1"/>
    <col min="4382" max="4382" width="9" style="763" bestFit="1" customWidth="1"/>
    <col min="4383" max="4383" width="8.88671875" style="763"/>
    <col min="4384" max="4384" width="9.44140625" style="763" bestFit="1" customWidth="1"/>
    <col min="4385" max="4608" width="8.88671875" style="763"/>
    <col min="4609" max="4612" width="6.77734375" style="763" customWidth="1"/>
    <col min="4613" max="4613" width="16" style="763" customWidth="1"/>
    <col min="4614" max="4616" width="13.77734375" style="763" customWidth="1"/>
    <col min="4617" max="4617" width="1.77734375" style="763" customWidth="1"/>
    <col min="4618" max="4618" width="2.88671875" style="763" customWidth="1"/>
    <col min="4619" max="4619" width="2" style="763" customWidth="1"/>
    <col min="4620" max="4621" width="8.77734375" style="763" customWidth="1"/>
    <col min="4622" max="4622" width="10.77734375" style="763" customWidth="1"/>
    <col min="4623" max="4624" width="7.77734375" style="763" customWidth="1"/>
    <col min="4625" max="4625" width="8.109375" style="763" customWidth="1"/>
    <col min="4626" max="4626" width="6.88671875" style="763" customWidth="1"/>
    <col min="4627" max="4627" width="14.77734375" style="763" customWidth="1"/>
    <col min="4628" max="4629" width="6.88671875" style="763" customWidth="1"/>
    <col min="4630" max="4630" width="7.44140625" style="763" customWidth="1"/>
    <col min="4631" max="4631" width="6.88671875" style="763" customWidth="1"/>
    <col min="4632" max="4632" width="3" style="763" customWidth="1"/>
    <col min="4633" max="4633" width="14.77734375" style="763" customWidth="1"/>
    <col min="4634" max="4634" width="15.77734375" style="763" customWidth="1"/>
    <col min="4635" max="4635" width="15.44140625" style="763" bestFit="1" customWidth="1"/>
    <col min="4636" max="4636" width="17.5546875" style="763" bestFit="1" customWidth="1"/>
    <col min="4637" max="4637" width="12.21875" style="763" bestFit="1" customWidth="1"/>
    <col min="4638" max="4638" width="9" style="763" bestFit="1" customWidth="1"/>
    <col min="4639" max="4639" width="8.88671875" style="763"/>
    <col min="4640" max="4640" width="9.44140625" style="763" bestFit="1" customWidth="1"/>
    <col min="4641" max="4864" width="8.88671875" style="763"/>
    <col min="4865" max="4868" width="6.77734375" style="763" customWidth="1"/>
    <col min="4869" max="4869" width="16" style="763" customWidth="1"/>
    <col min="4870" max="4872" width="13.77734375" style="763" customWidth="1"/>
    <col min="4873" max="4873" width="1.77734375" style="763" customWidth="1"/>
    <col min="4874" max="4874" width="2.88671875" style="763" customWidth="1"/>
    <col min="4875" max="4875" width="2" style="763" customWidth="1"/>
    <col min="4876" max="4877" width="8.77734375" style="763" customWidth="1"/>
    <col min="4878" max="4878" width="10.77734375" style="763" customWidth="1"/>
    <col min="4879" max="4880" width="7.77734375" style="763" customWidth="1"/>
    <col min="4881" max="4881" width="8.109375" style="763" customWidth="1"/>
    <col min="4882" max="4882" width="6.88671875" style="763" customWidth="1"/>
    <col min="4883" max="4883" width="14.77734375" style="763" customWidth="1"/>
    <col min="4884" max="4885" width="6.88671875" style="763" customWidth="1"/>
    <col min="4886" max="4886" width="7.44140625" style="763" customWidth="1"/>
    <col min="4887" max="4887" width="6.88671875" style="763" customWidth="1"/>
    <col min="4888" max="4888" width="3" style="763" customWidth="1"/>
    <col min="4889" max="4889" width="14.77734375" style="763" customWidth="1"/>
    <col min="4890" max="4890" width="15.77734375" style="763" customWidth="1"/>
    <col min="4891" max="4891" width="15.44140625" style="763" bestFit="1" customWidth="1"/>
    <col min="4892" max="4892" width="17.5546875" style="763" bestFit="1" customWidth="1"/>
    <col min="4893" max="4893" width="12.21875" style="763" bestFit="1" customWidth="1"/>
    <col min="4894" max="4894" width="9" style="763" bestFit="1" customWidth="1"/>
    <col min="4895" max="4895" width="8.88671875" style="763"/>
    <col min="4896" max="4896" width="9.44140625" style="763" bestFit="1" customWidth="1"/>
    <col min="4897" max="5120" width="8.88671875" style="763"/>
    <col min="5121" max="5124" width="6.77734375" style="763" customWidth="1"/>
    <col min="5125" max="5125" width="16" style="763" customWidth="1"/>
    <col min="5126" max="5128" width="13.77734375" style="763" customWidth="1"/>
    <col min="5129" max="5129" width="1.77734375" style="763" customWidth="1"/>
    <col min="5130" max="5130" width="2.88671875" style="763" customWidth="1"/>
    <col min="5131" max="5131" width="2" style="763" customWidth="1"/>
    <col min="5132" max="5133" width="8.77734375" style="763" customWidth="1"/>
    <col min="5134" max="5134" width="10.77734375" style="763" customWidth="1"/>
    <col min="5135" max="5136" width="7.77734375" style="763" customWidth="1"/>
    <col min="5137" max="5137" width="8.109375" style="763" customWidth="1"/>
    <col min="5138" max="5138" width="6.88671875" style="763" customWidth="1"/>
    <col min="5139" max="5139" width="14.77734375" style="763" customWidth="1"/>
    <col min="5140" max="5141" width="6.88671875" style="763" customWidth="1"/>
    <col min="5142" max="5142" width="7.44140625" style="763" customWidth="1"/>
    <col min="5143" max="5143" width="6.88671875" style="763" customWidth="1"/>
    <col min="5144" max="5144" width="3" style="763" customWidth="1"/>
    <col min="5145" max="5145" width="14.77734375" style="763" customWidth="1"/>
    <col min="5146" max="5146" width="15.77734375" style="763" customWidth="1"/>
    <col min="5147" max="5147" width="15.44140625" style="763" bestFit="1" customWidth="1"/>
    <col min="5148" max="5148" width="17.5546875" style="763" bestFit="1" customWidth="1"/>
    <col min="5149" max="5149" width="12.21875" style="763" bestFit="1" customWidth="1"/>
    <col min="5150" max="5150" width="9" style="763" bestFit="1" customWidth="1"/>
    <col min="5151" max="5151" width="8.88671875" style="763"/>
    <col min="5152" max="5152" width="9.44140625" style="763" bestFit="1" customWidth="1"/>
    <col min="5153" max="5376" width="8.88671875" style="763"/>
    <col min="5377" max="5380" width="6.77734375" style="763" customWidth="1"/>
    <col min="5381" max="5381" width="16" style="763" customWidth="1"/>
    <col min="5382" max="5384" width="13.77734375" style="763" customWidth="1"/>
    <col min="5385" max="5385" width="1.77734375" style="763" customWidth="1"/>
    <col min="5386" max="5386" width="2.88671875" style="763" customWidth="1"/>
    <col min="5387" max="5387" width="2" style="763" customWidth="1"/>
    <col min="5388" max="5389" width="8.77734375" style="763" customWidth="1"/>
    <col min="5390" max="5390" width="10.77734375" style="763" customWidth="1"/>
    <col min="5391" max="5392" width="7.77734375" style="763" customWidth="1"/>
    <col min="5393" max="5393" width="8.109375" style="763" customWidth="1"/>
    <col min="5394" max="5394" width="6.88671875" style="763" customWidth="1"/>
    <col min="5395" max="5395" width="14.77734375" style="763" customWidth="1"/>
    <col min="5396" max="5397" width="6.88671875" style="763" customWidth="1"/>
    <col min="5398" max="5398" width="7.44140625" style="763" customWidth="1"/>
    <col min="5399" max="5399" width="6.88671875" style="763" customWidth="1"/>
    <col min="5400" max="5400" width="3" style="763" customWidth="1"/>
    <col min="5401" max="5401" width="14.77734375" style="763" customWidth="1"/>
    <col min="5402" max="5402" width="15.77734375" style="763" customWidth="1"/>
    <col min="5403" max="5403" width="15.44140625" style="763" bestFit="1" customWidth="1"/>
    <col min="5404" max="5404" width="17.5546875" style="763" bestFit="1" customWidth="1"/>
    <col min="5405" max="5405" width="12.21875" style="763" bestFit="1" customWidth="1"/>
    <col min="5406" max="5406" width="9" style="763" bestFit="1" customWidth="1"/>
    <col min="5407" max="5407" width="8.88671875" style="763"/>
    <col min="5408" max="5408" width="9.44140625" style="763" bestFit="1" customWidth="1"/>
    <col min="5409" max="5632" width="8.88671875" style="763"/>
    <col min="5633" max="5636" width="6.77734375" style="763" customWidth="1"/>
    <col min="5637" max="5637" width="16" style="763" customWidth="1"/>
    <col min="5638" max="5640" width="13.77734375" style="763" customWidth="1"/>
    <col min="5641" max="5641" width="1.77734375" style="763" customWidth="1"/>
    <col min="5642" max="5642" width="2.88671875" style="763" customWidth="1"/>
    <col min="5643" max="5643" width="2" style="763" customWidth="1"/>
    <col min="5644" max="5645" width="8.77734375" style="763" customWidth="1"/>
    <col min="5646" max="5646" width="10.77734375" style="763" customWidth="1"/>
    <col min="5647" max="5648" width="7.77734375" style="763" customWidth="1"/>
    <col min="5649" max="5649" width="8.109375" style="763" customWidth="1"/>
    <col min="5650" max="5650" width="6.88671875" style="763" customWidth="1"/>
    <col min="5651" max="5651" width="14.77734375" style="763" customWidth="1"/>
    <col min="5652" max="5653" width="6.88671875" style="763" customWidth="1"/>
    <col min="5654" max="5654" width="7.44140625" style="763" customWidth="1"/>
    <col min="5655" max="5655" width="6.88671875" style="763" customWidth="1"/>
    <col min="5656" max="5656" width="3" style="763" customWidth="1"/>
    <col min="5657" max="5657" width="14.77734375" style="763" customWidth="1"/>
    <col min="5658" max="5658" width="15.77734375" style="763" customWidth="1"/>
    <col min="5659" max="5659" width="15.44140625" style="763" bestFit="1" customWidth="1"/>
    <col min="5660" max="5660" width="17.5546875" style="763" bestFit="1" customWidth="1"/>
    <col min="5661" max="5661" width="12.21875" style="763" bestFit="1" customWidth="1"/>
    <col min="5662" max="5662" width="9" style="763" bestFit="1" customWidth="1"/>
    <col min="5663" max="5663" width="8.88671875" style="763"/>
    <col min="5664" max="5664" width="9.44140625" style="763" bestFit="1" customWidth="1"/>
    <col min="5665" max="5888" width="8.88671875" style="763"/>
    <col min="5889" max="5892" width="6.77734375" style="763" customWidth="1"/>
    <col min="5893" max="5893" width="16" style="763" customWidth="1"/>
    <col min="5894" max="5896" width="13.77734375" style="763" customWidth="1"/>
    <col min="5897" max="5897" width="1.77734375" style="763" customWidth="1"/>
    <col min="5898" max="5898" width="2.88671875" style="763" customWidth="1"/>
    <col min="5899" max="5899" width="2" style="763" customWidth="1"/>
    <col min="5900" max="5901" width="8.77734375" style="763" customWidth="1"/>
    <col min="5902" max="5902" width="10.77734375" style="763" customWidth="1"/>
    <col min="5903" max="5904" width="7.77734375" style="763" customWidth="1"/>
    <col min="5905" max="5905" width="8.109375" style="763" customWidth="1"/>
    <col min="5906" max="5906" width="6.88671875" style="763" customWidth="1"/>
    <col min="5907" max="5907" width="14.77734375" style="763" customWidth="1"/>
    <col min="5908" max="5909" width="6.88671875" style="763" customWidth="1"/>
    <col min="5910" max="5910" width="7.44140625" style="763" customWidth="1"/>
    <col min="5911" max="5911" width="6.88671875" style="763" customWidth="1"/>
    <col min="5912" max="5912" width="3" style="763" customWidth="1"/>
    <col min="5913" max="5913" width="14.77734375" style="763" customWidth="1"/>
    <col min="5914" max="5914" width="15.77734375" style="763" customWidth="1"/>
    <col min="5915" max="5915" width="15.44140625" style="763" bestFit="1" customWidth="1"/>
    <col min="5916" max="5916" width="17.5546875" style="763" bestFit="1" customWidth="1"/>
    <col min="5917" max="5917" width="12.21875" style="763" bestFit="1" customWidth="1"/>
    <col min="5918" max="5918" width="9" style="763" bestFit="1" customWidth="1"/>
    <col min="5919" max="5919" width="8.88671875" style="763"/>
    <col min="5920" max="5920" width="9.44140625" style="763" bestFit="1" customWidth="1"/>
    <col min="5921" max="6144" width="8.88671875" style="763"/>
    <col min="6145" max="6148" width="6.77734375" style="763" customWidth="1"/>
    <col min="6149" max="6149" width="16" style="763" customWidth="1"/>
    <col min="6150" max="6152" width="13.77734375" style="763" customWidth="1"/>
    <col min="6153" max="6153" width="1.77734375" style="763" customWidth="1"/>
    <col min="6154" max="6154" width="2.88671875" style="763" customWidth="1"/>
    <col min="6155" max="6155" width="2" style="763" customWidth="1"/>
    <col min="6156" max="6157" width="8.77734375" style="763" customWidth="1"/>
    <col min="6158" max="6158" width="10.77734375" style="763" customWidth="1"/>
    <col min="6159" max="6160" width="7.77734375" style="763" customWidth="1"/>
    <col min="6161" max="6161" width="8.109375" style="763" customWidth="1"/>
    <col min="6162" max="6162" width="6.88671875" style="763" customWidth="1"/>
    <col min="6163" max="6163" width="14.77734375" style="763" customWidth="1"/>
    <col min="6164" max="6165" width="6.88671875" style="763" customWidth="1"/>
    <col min="6166" max="6166" width="7.44140625" style="763" customWidth="1"/>
    <col min="6167" max="6167" width="6.88671875" style="763" customWidth="1"/>
    <col min="6168" max="6168" width="3" style="763" customWidth="1"/>
    <col min="6169" max="6169" width="14.77734375" style="763" customWidth="1"/>
    <col min="6170" max="6170" width="15.77734375" style="763" customWidth="1"/>
    <col min="6171" max="6171" width="15.44140625" style="763" bestFit="1" customWidth="1"/>
    <col min="6172" max="6172" width="17.5546875" style="763" bestFit="1" customWidth="1"/>
    <col min="6173" max="6173" width="12.21875" style="763" bestFit="1" customWidth="1"/>
    <col min="6174" max="6174" width="9" style="763" bestFit="1" customWidth="1"/>
    <col min="6175" max="6175" width="8.88671875" style="763"/>
    <col min="6176" max="6176" width="9.44140625" style="763" bestFit="1" customWidth="1"/>
    <col min="6177" max="6400" width="8.88671875" style="763"/>
    <col min="6401" max="6404" width="6.77734375" style="763" customWidth="1"/>
    <col min="6405" max="6405" width="16" style="763" customWidth="1"/>
    <col min="6406" max="6408" width="13.77734375" style="763" customWidth="1"/>
    <col min="6409" max="6409" width="1.77734375" style="763" customWidth="1"/>
    <col min="6410" max="6410" width="2.88671875" style="763" customWidth="1"/>
    <col min="6411" max="6411" width="2" style="763" customWidth="1"/>
    <col min="6412" max="6413" width="8.77734375" style="763" customWidth="1"/>
    <col min="6414" max="6414" width="10.77734375" style="763" customWidth="1"/>
    <col min="6415" max="6416" width="7.77734375" style="763" customWidth="1"/>
    <col min="6417" max="6417" width="8.109375" style="763" customWidth="1"/>
    <col min="6418" max="6418" width="6.88671875" style="763" customWidth="1"/>
    <col min="6419" max="6419" width="14.77734375" style="763" customWidth="1"/>
    <col min="6420" max="6421" width="6.88671875" style="763" customWidth="1"/>
    <col min="6422" max="6422" width="7.44140625" style="763" customWidth="1"/>
    <col min="6423" max="6423" width="6.88671875" style="763" customWidth="1"/>
    <col min="6424" max="6424" width="3" style="763" customWidth="1"/>
    <col min="6425" max="6425" width="14.77734375" style="763" customWidth="1"/>
    <col min="6426" max="6426" width="15.77734375" style="763" customWidth="1"/>
    <col min="6427" max="6427" width="15.44140625" style="763" bestFit="1" customWidth="1"/>
    <col min="6428" max="6428" width="17.5546875" style="763" bestFit="1" customWidth="1"/>
    <col min="6429" max="6429" width="12.21875" style="763" bestFit="1" customWidth="1"/>
    <col min="6430" max="6430" width="9" style="763" bestFit="1" customWidth="1"/>
    <col min="6431" max="6431" width="8.88671875" style="763"/>
    <col min="6432" max="6432" width="9.44140625" style="763" bestFit="1" customWidth="1"/>
    <col min="6433" max="6656" width="8.88671875" style="763"/>
    <col min="6657" max="6660" width="6.77734375" style="763" customWidth="1"/>
    <col min="6661" max="6661" width="16" style="763" customWidth="1"/>
    <col min="6662" max="6664" width="13.77734375" style="763" customWidth="1"/>
    <col min="6665" max="6665" width="1.77734375" style="763" customWidth="1"/>
    <col min="6666" max="6666" width="2.88671875" style="763" customWidth="1"/>
    <col min="6667" max="6667" width="2" style="763" customWidth="1"/>
    <col min="6668" max="6669" width="8.77734375" style="763" customWidth="1"/>
    <col min="6670" max="6670" width="10.77734375" style="763" customWidth="1"/>
    <col min="6671" max="6672" width="7.77734375" style="763" customWidth="1"/>
    <col min="6673" max="6673" width="8.109375" style="763" customWidth="1"/>
    <col min="6674" max="6674" width="6.88671875" style="763" customWidth="1"/>
    <col min="6675" max="6675" width="14.77734375" style="763" customWidth="1"/>
    <col min="6676" max="6677" width="6.88671875" style="763" customWidth="1"/>
    <col min="6678" max="6678" width="7.44140625" style="763" customWidth="1"/>
    <col min="6679" max="6679" width="6.88671875" style="763" customWidth="1"/>
    <col min="6680" max="6680" width="3" style="763" customWidth="1"/>
    <col min="6681" max="6681" width="14.77734375" style="763" customWidth="1"/>
    <col min="6682" max="6682" width="15.77734375" style="763" customWidth="1"/>
    <col min="6683" max="6683" width="15.44140625" style="763" bestFit="1" customWidth="1"/>
    <col min="6684" max="6684" width="17.5546875" style="763" bestFit="1" customWidth="1"/>
    <col min="6685" max="6685" width="12.21875" style="763" bestFit="1" customWidth="1"/>
    <col min="6686" max="6686" width="9" style="763" bestFit="1" customWidth="1"/>
    <col min="6687" max="6687" width="8.88671875" style="763"/>
    <col min="6688" max="6688" width="9.44140625" style="763" bestFit="1" customWidth="1"/>
    <col min="6689" max="6912" width="8.88671875" style="763"/>
    <col min="6913" max="6916" width="6.77734375" style="763" customWidth="1"/>
    <col min="6917" max="6917" width="16" style="763" customWidth="1"/>
    <col min="6918" max="6920" width="13.77734375" style="763" customWidth="1"/>
    <col min="6921" max="6921" width="1.77734375" style="763" customWidth="1"/>
    <col min="6922" max="6922" width="2.88671875" style="763" customWidth="1"/>
    <col min="6923" max="6923" width="2" style="763" customWidth="1"/>
    <col min="6924" max="6925" width="8.77734375" style="763" customWidth="1"/>
    <col min="6926" max="6926" width="10.77734375" style="763" customWidth="1"/>
    <col min="6927" max="6928" width="7.77734375" style="763" customWidth="1"/>
    <col min="6929" max="6929" width="8.109375" style="763" customWidth="1"/>
    <col min="6930" max="6930" width="6.88671875" style="763" customWidth="1"/>
    <col min="6931" max="6931" width="14.77734375" style="763" customWidth="1"/>
    <col min="6932" max="6933" width="6.88671875" style="763" customWidth="1"/>
    <col min="6934" max="6934" width="7.44140625" style="763" customWidth="1"/>
    <col min="6935" max="6935" width="6.88671875" style="763" customWidth="1"/>
    <col min="6936" max="6936" width="3" style="763" customWidth="1"/>
    <col min="6937" max="6937" width="14.77734375" style="763" customWidth="1"/>
    <col min="6938" max="6938" width="15.77734375" style="763" customWidth="1"/>
    <col min="6939" max="6939" width="15.44140625" style="763" bestFit="1" customWidth="1"/>
    <col min="6940" max="6940" width="17.5546875" style="763" bestFit="1" customWidth="1"/>
    <col min="6941" max="6941" width="12.21875" style="763" bestFit="1" customWidth="1"/>
    <col min="6942" max="6942" width="9" style="763" bestFit="1" customWidth="1"/>
    <col min="6943" max="6943" width="8.88671875" style="763"/>
    <col min="6944" max="6944" width="9.44140625" style="763" bestFit="1" customWidth="1"/>
    <col min="6945" max="7168" width="8.88671875" style="763"/>
    <col min="7169" max="7172" width="6.77734375" style="763" customWidth="1"/>
    <col min="7173" max="7173" width="16" style="763" customWidth="1"/>
    <col min="7174" max="7176" width="13.77734375" style="763" customWidth="1"/>
    <col min="7177" max="7177" width="1.77734375" style="763" customWidth="1"/>
    <col min="7178" max="7178" width="2.88671875" style="763" customWidth="1"/>
    <col min="7179" max="7179" width="2" style="763" customWidth="1"/>
    <col min="7180" max="7181" width="8.77734375" style="763" customWidth="1"/>
    <col min="7182" max="7182" width="10.77734375" style="763" customWidth="1"/>
    <col min="7183" max="7184" width="7.77734375" style="763" customWidth="1"/>
    <col min="7185" max="7185" width="8.109375" style="763" customWidth="1"/>
    <col min="7186" max="7186" width="6.88671875" style="763" customWidth="1"/>
    <col min="7187" max="7187" width="14.77734375" style="763" customWidth="1"/>
    <col min="7188" max="7189" width="6.88671875" style="763" customWidth="1"/>
    <col min="7190" max="7190" width="7.44140625" style="763" customWidth="1"/>
    <col min="7191" max="7191" width="6.88671875" style="763" customWidth="1"/>
    <col min="7192" max="7192" width="3" style="763" customWidth="1"/>
    <col min="7193" max="7193" width="14.77734375" style="763" customWidth="1"/>
    <col min="7194" max="7194" width="15.77734375" style="763" customWidth="1"/>
    <col min="7195" max="7195" width="15.44140625" style="763" bestFit="1" customWidth="1"/>
    <col min="7196" max="7196" width="17.5546875" style="763" bestFit="1" customWidth="1"/>
    <col min="7197" max="7197" width="12.21875" style="763" bestFit="1" customWidth="1"/>
    <col min="7198" max="7198" width="9" style="763" bestFit="1" customWidth="1"/>
    <col min="7199" max="7199" width="8.88671875" style="763"/>
    <col min="7200" max="7200" width="9.44140625" style="763" bestFit="1" customWidth="1"/>
    <col min="7201" max="7424" width="8.88671875" style="763"/>
    <col min="7425" max="7428" width="6.77734375" style="763" customWidth="1"/>
    <col min="7429" max="7429" width="16" style="763" customWidth="1"/>
    <col min="7430" max="7432" width="13.77734375" style="763" customWidth="1"/>
    <col min="7433" max="7433" width="1.77734375" style="763" customWidth="1"/>
    <col min="7434" max="7434" width="2.88671875" style="763" customWidth="1"/>
    <col min="7435" max="7435" width="2" style="763" customWidth="1"/>
    <col min="7436" max="7437" width="8.77734375" style="763" customWidth="1"/>
    <col min="7438" max="7438" width="10.77734375" style="763" customWidth="1"/>
    <col min="7439" max="7440" width="7.77734375" style="763" customWidth="1"/>
    <col min="7441" max="7441" width="8.109375" style="763" customWidth="1"/>
    <col min="7442" max="7442" width="6.88671875" style="763" customWidth="1"/>
    <col min="7443" max="7443" width="14.77734375" style="763" customWidth="1"/>
    <col min="7444" max="7445" width="6.88671875" style="763" customWidth="1"/>
    <col min="7446" max="7446" width="7.44140625" style="763" customWidth="1"/>
    <col min="7447" max="7447" width="6.88671875" style="763" customWidth="1"/>
    <col min="7448" max="7448" width="3" style="763" customWidth="1"/>
    <col min="7449" max="7449" width="14.77734375" style="763" customWidth="1"/>
    <col min="7450" max="7450" width="15.77734375" style="763" customWidth="1"/>
    <col min="7451" max="7451" width="15.44140625" style="763" bestFit="1" customWidth="1"/>
    <col min="7452" max="7452" width="17.5546875" style="763" bestFit="1" customWidth="1"/>
    <col min="7453" max="7453" width="12.21875" style="763" bestFit="1" customWidth="1"/>
    <col min="7454" max="7454" width="9" style="763" bestFit="1" customWidth="1"/>
    <col min="7455" max="7455" width="8.88671875" style="763"/>
    <col min="7456" max="7456" width="9.44140625" style="763" bestFit="1" customWidth="1"/>
    <col min="7457" max="7680" width="8.88671875" style="763"/>
    <col min="7681" max="7684" width="6.77734375" style="763" customWidth="1"/>
    <col min="7685" max="7685" width="16" style="763" customWidth="1"/>
    <col min="7686" max="7688" width="13.77734375" style="763" customWidth="1"/>
    <col min="7689" max="7689" width="1.77734375" style="763" customWidth="1"/>
    <col min="7690" max="7690" width="2.88671875" style="763" customWidth="1"/>
    <col min="7691" max="7691" width="2" style="763" customWidth="1"/>
    <col min="7692" max="7693" width="8.77734375" style="763" customWidth="1"/>
    <col min="7694" max="7694" width="10.77734375" style="763" customWidth="1"/>
    <col min="7695" max="7696" width="7.77734375" style="763" customWidth="1"/>
    <col min="7697" max="7697" width="8.109375" style="763" customWidth="1"/>
    <col min="7698" max="7698" width="6.88671875" style="763" customWidth="1"/>
    <col min="7699" max="7699" width="14.77734375" style="763" customWidth="1"/>
    <col min="7700" max="7701" width="6.88671875" style="763" customWidth="1"/>
    <col min="7702" max="7702" width="7.44140625" style="763" customWidth="1"/>
    <col min="7703" max="7703" width="6.88671875" style="763" customWidth="1"/>
    <col min="7704" max="7704" width="3" style="763" customWidth="1"/>
    <col min="7705" max="7705" width="14.77734375" style="763" customWidth="1"/>
    <col min="7706" max="7706" width="15.77734375" style="763" customWidth="1"/>
    <col min="7707" max="7707" width="15.44140625" style="763" bestFit="1" customWidth="1"/>
    <col min="7708" max="7708" width="17.5546875" style="763" bestFit="1" customWidth="1"/>
    <col min="7709" max="7709" width="12.21875" style="763" bestFit="1" customWidth="1"/>
    <col min="7710" max="7710" width="9" style="763" bestFit="1" customWidth="1"/>
    <col min="7711" max="7711" width="8.88671875" style="763"/>
    <col min="7712" max="7712" width="9.44140625" style="763" bestFit="1" customWidth="1"/>
    <col min="7713" max="7936" width="8.88671875" style="763"/>
    <col min="7937" max="7940" width="6.77734375" style="763" customWidth="1"/>
    <col min="7941" max="7941" width="16" style="763" customWidth="1"/>
    <col min="7942" max="7944" width="13.77734375" style="763" customWidth="1"/>
    <col min="7945" max="7945" width="1.77734375" style="763" customWidth="1"/>
    <col min="7946" max="7946" width="2.88671875" style="763" customWidth="1"/>
    <col min="7947" max="7947" width="2" style="763" customWidth="1"/>
    <col min="7948" max="7949" width="8.77734375" style="763" customWidth="1"/>
    <col min="7950" max="7950" width="10.77734375" style="763" customWidth="1"/>
    <col min="7951" max="7952" width="7.77734375" style="763" customWidth="1"/>
    <col min="7953" max="7953" width="8.109375" style="763" customWidth="1"/>
    <col min="7954" max="7954" width="6.88671875" style="763" customWidth="1"/>
    <col min="7955" max="7955" width="14.77734375" style="763" customWidth="1"/>
    <col min="7956" max="7957" width="6.88671875" style="763" customWidth="1"/>
    <col min="7958" max="7958" width="7.44140625" style="763" customWidth="1"/>
    <col min="7959" max="7959" width="6.88671875" style="763" customWidth="1"/>
    <col min="7960" max="7960" width="3" style="763" customWidth="1"/>
    <col min="7961" max="7961" width="14.77734375" style="763" customWidth="1"/>
    <col min="7962" max="7962" width="15.77734375" style="763" customWidth="1"/>
    <col min="7963" max="7963" width="15.44140625" style="763" bestFit="1" customWidth="1"/>
    <col min="7964" max="7964" width="17.5546875" style="763" bestFit="1" customWidth="1"/>
    <col min="7965" max="7965" width="12.21875" style="763" bestFit="1" customWidth="1"/>
    <col min="7966" max="7966" width="9" style="763" bestFit="1" customWidth="1"/>
    <col min="7967" max="7967" width="8.88671875" style="763"/>
    <col min="7968" max="7968" width="9.44140625" style="763" bestFit="1" customWidth="1"/>
    <col min="7969" max="8192" width="8.88671875" style="763"/>
    <col min="8193" max="8196" width="6.77734375" style="763" customWidth="1"/>
    <col min="8197" max="8197" width="16" style="763" customWidth="1"/>
    <col min="8198" max="8200" width="13.77734375" style="763" customWidth="1"/>
    <col min="8201" max="8201" width="1.77734375" style="763" customWidth="1"/>
    <col min="8202" max="8202" width="2.88671875" style="763" customWidth="1"/>
    <col min="8203" max="8203" width="2" style="763" customWidth="1"/>
    <col min="8204" max="8205" width="8.77734375" style="763" customWidth="1"/>
    <col min="8206" max="8206" width="10.77734375" style="763" customWidth="1"/>
    <col min="8207" max="8208" width="7.77734375" style="763" customWidth="1"/>
    <col min="8209" max="8209" width="8.109375" style="763" customWidth="1"/>
    <col min="8210" max="8210" width="6.88671875" style="763" customWidth="1"/>
    <col min="8211" max="8211" width="14.77734375" style="763" customWidth="1"/>
    <col min="8212" max="8213" width="6.88671875" style="763" customWidth="1"/>
    <col min="8214" max="8214" width="7.44140625" style="763" customWidth="1"/>
    <col min="8215" max="8215" width="6.88671875" style="763" customWidth="1"/>
    <col min="8216" max="8216" width="3" style="763" customWidth="1"/>
    <col min="8217" max="8217" width="14.77734375" style="763" customWidth="1"/>
    <col min="8218" max="8218" width="15.77734375" style="763" customWidth="1"/>
    <col min="8219" max="8219" width="15.44140625" style="763" bestFit="1" customWidth="1"/>
    <col min="8220" max="8220" width="17.5546875" style="763" bestFit="1" customWidth="1"/>
    <col min="8221" max="8221" width="12.21875" style="763" bestFit="1" customWidth="1"/>
    <col min="8222" max="8222" width="9" style="763" bestFit="1" customWidth="1"/>
    <col min="8223" max="8223" width="8.88671875" style="763"/>
    <col min="8224" max="8224" width="9.44140625" style="763" bestFit="1" customWidth="1"/>
    <col min="8225" max="8448" width="8.88671875" style="763"/>
    <col min="8449" max="8452" width="6.77734375" style="763" customWidth="1"/>
    <col min="8453" max="8453" width="16" style="763" customWidth="1"/>
    <col min="8454" max="8456" width="13.77734375" style="763" customWidth="1"/>
    <col min="8457" max="8457" width="1.77734375" style="763" customWidth="1"/>
    <col min="8458" max="8458" width="2.88671875" style="763" customWidth="1"/>
    <col min="8459" max="8459" width="2" style="763" customWidth="1"/>
    <col min="8460" max="8461" width="8.77734375" style="763" customWidth="1"/>
    <col min="8462" max="8462" width="10.77734375" style="763" customWidth="1"/>
    <col min="8463" max="8464" width="7.77734375" style="763" customWidth="1"/>
    <col min="8465" max="8465" width="8.109375" style="763" customWidth="1"/>
    <col min="8466" max="8466" width="6.88671875" style="763" customWidth="1"/>
    <col min="8467" max="8467" width="14.77734375" style="763" customWidth="1"/>
    <col min="8468" max="8469" width="6.88671875" style="763" customWidth="1"/>
    <col min="8470" max="8470" width="7.44140625" style="763" customWidth="1"/>
    <col min="8471" max="8471" width="6.88671875" style="763" customWidth="1"/>
    <col min="8472" max="8472" width="3" style="763" customWidth="1"/>
    <col min="8473" max="8473" width="14.77734375" style="763" customWidth="1"/>
    <col min="8474" max="8474" width="15.77734375" style="763" customWidth="1"/>
    <col min="8475" max="8475" width="15.44140625" style="763" bestFit="1" customWidth="1"/>
    <col min="8476" max="8476" width="17.5546875" style="763" bestFit="1" customWidth="1"/>
    <col min="8477" max="8477" width="12.21875" style="763" bestFit="1" customWidth="1"/>
    <col min="8478" max="8478" width="9" style="763" bestFit="1" customWidth="1"/>
    <col min="8479" max="8479" width="8.88671875" style="763"/>
    <col min="8480" max="8480" width="9.44140625" style="763" bestFit="1" customWidth="1"/>
    <col min="8481" max="8704" width="8.88671875" style="763"/>
    <col min="8705" max="8708" width="6.77734375" style="763" customWidth="1"/>
    <col min="8709" max="8709" width="16" style="763" customWidth="1"/>
    <col min="8710" max="8712" width="13.77734375" style="763" customWidth="1"/>
    <col min="8713" max="8713" width="1.77734375" style="763" customWidth="1"/>
    <col min="8714" max="8714" width="2.88671875" style="763" customWidth="1"/>
    <col min="8715" max="8715" width="2" style="763" customWidth="1"/>
    <col min="8716" max="8717" width="8.77734375" style="763" customWidth="1"/>
    <col min="8718" max="8718" width="10.77734375" style="763" customWidth="1"/>
    <col min="8719" max="8720" width="7.77734375" style="763" customWidth="1"/>
    <col min="8721" max="8721" width="8.109375" style="763" customWidth="1"/>
    <col min="8722" max="8722" width="6.88671875" style="763" customWidth="1"/>
    <col min="8723" max="8723" width="14.77734375" style="763" customWidth="1"/>
    <col min="8724" max="8725" width="6.88671875" style="763" customWidth="1"/>
    <col min="8726" max="8726" width="7.44140625" style="763" customWidth="1"/>
    <col min="8727" max="8727" width="6.88671875" style="763" customWidth="1"/>
    <col min="8728" max="8728" width="3" style="763" customWidth="1"/>
    <col min="8729" max="8729" width="14.77734375" style="763" customWidth="1"/>
    <col min="8730" max="8730" width="15.77734375" style="763" customWidth="1"/>
    <col min="8731" max="8731" width="15.44140625" style="763" bestFit="1" customWidth="1"/>
    <col min="8732" max="8732" width="17.5546875" style="763" bestFit="1" customWidth="1"/>
    <col min="8733" max="8733" width="12.21875" style="763" bestFit="1" customWidth="1"/>
    <col min="8734" max="8734" width="9" style="763" bestFit="1" customWidth="1"/>
    <col min="8735" max="8735" width="8.88671875" style="763"/>
    <col min="8736" max="8736" width="9.44140625" style="763" bestFit="1" customWidth="1"/>
    <col min="8737" max="8960" width="8.88671875" style="763"/>
    <col min="8961" max="8964" width="6.77734375" style="763" customWidth="1"/>
    <col min="8965" max="8965" width="16" style="763" customWidth="1"/>
    <col min="8966" max="8968" width="13.77734375" style="763" customWidth="1"/>
    <col min="8969" max="8969" width="1.77734375" style="763" customWidth="1"/>
    <col min="8970" max="8970" width="2.88671875" style="763" customWidth="1"/>
    <col min="8971" max="8971" width="2" style="763" customWidth="1"/>
    <col min="8972" max="8973" width="8.77734375" style="763" customWidth="1"/>
    <col min="8974" max="8974" width="10.77734375" style="763" customWidth="1"/>
    <col min="8975" max="8976" width="7.77734375" style="763" customWidth="1"/>
    <col min="8977" max="8977" width="8.109375" style="763" customWidth="1"/>
    <col min="8978" max="8978" width="6.88671875" style="763" customWidth="1"/>
    <col min="8979" max="8979" width="14.77734375" style="763" customWidth="1"/>
    <col min="8980" max="8981" width="6.88671875" style="763" customWidth="1"/>
    <col min="8982" max="8982" width="7.44140625" style="763" customWidth="1"/>
    <col min="8983" max="8983" width="6.88671875" style="763" customWidth="1"/>
    <col min="8984" max="8984" width="3" style="763" customWidth="1"/>
    <col min="8985" max="8985" width="14.77734375" style="763" customWidth="1"/>
    <col min="8986" max="8986" width="15.77734375" style="763" customWidth="1"/>
    <col min="8987" max="8987" width="15.44140625" style="763" bestFit="1" customWidth="1"/>
    <col min="8988" max="8988" width="17.5546875" style="763" bestFit="1" customWidth="1"/>
    <col min="8989" max="8989" width="12.21875" style="763" bestFit="1" customWidth="1"/>
    <col min="8990" max="8990" width="9" style="763" bestFit="1" customWidth="1"/>
    <col min="8991" max="8991" width="8.88671875" style="763"/>
    <col min="8992" max="8992" width="9.44140625" style="763" bestFit="1" customWidth="1"/>
    <col min="8993" max="9216" width="8.88671875" style="763"/>
    <col min="9217" max="9220" width="6.77734375" style="763" customWidth="1"/>
    <col min="9221" max="9221" width="16" style="763" customWidth="1"/>
    <col min="9222" max="9224" width="13.77734375" style="763" customWidth="1"/>
    <col min="9225" max="9225" width="1.77734375" style="763" customWidth="1"/>
    <col min="9226" max="9226" width="2.88671875" style="763" customWidth="1"/>
    <col min="9227" max="9227" width="2" style="763" customWidth="1"/>
    <col min="9228" max="9229" width="8.77734375" style="763" customWidth="1"/>
    <col min="9230" max="9230" width="10.77734375" style="763" customWidth="1"/>
    <col min="9231" max="9232" width="7.77734375" style="763" customWidth="1"/>
    <col min="9233" max="9233" width="8.109375" style="763" customWidth="1"/>
    <col min="9234" max="9234" width="6.88671875" style="763" customWidth="1"/>
    <col min="9235" max="9235" width="14.77734375" style="763" customWidth="1"/>
    <col min="9236" max="9237" width="6.88671875" style="763" customWidth="1"/>
    <col min="9238" max="9238" width="7.44140625" style="763" customWidth="1"/>
    <col min="9239" max="9239" width="6.88671875" style="763" customWidth="1"/>
    <col min="9240" max="9240" width="3" style="763" customWidth="1"/>
    <col min="9241" max="9241" width="14.77734375" style="763" customWidth="1"/>
    <col min="9242" max="9242" width="15.77734375" style="763" customWidth="1"/>
    <col min="9243" max="9243" width="15.44140625" style="763" bestFit="1" customWidth="1"/>
    <col min="9244" max="9244" width="17.5546875" style="763" bestFit="1" customWidth="1"/>
    <col min="9245" max="9245" width="12.21875" style="763" bestFit="1" customWidth="1"/>
    <col min="9246" max="9246" width="9" style="763" bestFit="1" customWidth="1"/>
    <col min="9247" max="9247" width="8.88671875" style="763"/>
    <col min="9248" max="9248" width="9.44140625" style="763" bestFit="1" customWidth="1"/>
    <col min="9249" max="9472" width="8.88671875" style="763"/>
    <col min="9473" max="9476" width="6.77734375" style="763" customWidth="1"/>
    <col min="9477" max="9477" width="16" style="763" customWidth="1"/>
    <col min="9478" max="9480" width="13.77734375" style="763" customWidth="1"/>
    <col min="9481" max="9481" width="1.77734375" style="763" customWidth="1"/>
    <col min="9482" max="9482" width="2.88671875" style="763" customWidth="1"/>
    <col min="9483" max="9483" width="2" style="763" customWidth="1"/>
    <col min="9484" max="9485" width="8.77734375" style="763" customWidth="1"/>
    <col min="9486" max="9486" width="10.77734375" style="763" customWidth="1"/>
    <col min="9487" max="9488" width="7.77734375" style="763" customWidth="1"/>
    <col min="9489" max="9489" width="8.109375" style="763" customWidth="1"/>
    <col min="9490" max="9490" width="6.88671875" style="763" customWidth="1"/>
    <col min="9491" max="9491" width="14.77734375" style="763" customWidth="1"/>
    <col min="9492" max="9493" width="6.88671875" style="763" customWidth="1"/>
    <col min="9494" max="9494" width="7.44140625" style="763" customWidth="1"/>
    <col min="9495" max="9495" width="6.88671875" style="763" customWidth="1"/>
    <col min="9496" max="9496" width="3" style="763" customWidth="1"/>
    <col min="9497" max="9497" width="14.77734375" style="763" customWidth="1"/>
    <col min="9498" max="9498" width="15.77734375" style="763" customWidth="1"/>
    <col min="9499" max="9499" width="15.44140625" style="763" bestFit="1" customWidth="1"/>
    <col min="9500" max="9500" width="17.5546875" style="763" bestFit="1" customWidth="1"/>
    <col min="9501" max="9501" width="12.21875" style="763" bestFit="1" customWidth="1"/>
    <col min="9502" max="9502" width="9" style="763" bestFit="1" customWidth="1"/>
    <col min="9503" max="9503" width="8.88671875" style="763"/>
    <col min="9504" max="9504" width="9.44140625" style="763" bestFit="1" customWidth="1"/>
    <col min="9505" max="9728" width="8.88671875" style="763"/>
    <col min="9729" max="9732" width="6.77734375" style="763" customWidth="1"/>
    <col min="9733" max="9733" width="16" style="763" customWidth="1"/>
    <col min="9734" max="9736" width="13.77734375" style="763" customWidth="1"/>
    <col min="9737" max="9737" width="1.77734375" style="763" customWidth="1"/>
    <col min="9738" max="9738" width="2.88671875" style="763" customWidth="1"/>
    <col min="9739" max="9739" width="2" style="763" customWidth="1"/>
    <col min="9740" max="9741" width="8.77734375" style="763" customWidth="1"/>
    <col min="9742" max="9742" width="10.77734375" style="763" customWidth="1"/>
    <col min="9743" max="9744" width="7.77734375" style="763" customWidth="1"/>
    <col min="9745" max="9745" width="8.109375" style="763" customWidth="1"/>
    <col min="9746" max="9746" width="6.88671875" style="763" customWidth="1"/>
    <col min="9747" max="9747" width="14.77734375" style="763" customWidth="1"/>
    <col min="9748" max="9749" width="6.88671875" style="763" customWidth="1"/>
    <col min="9750" max="9750" width="7.44140625" style="763" customWidth="1"/>
    <col min="9751" max="9751" width="6.88671875" style="763" customWidth="1"/>
    <col min="9752" max="9752" width="3" style="763" customWidth="1"/>
    <col min="9753" max="9753" width="14.77734375" style="763" customWidth="1"/>
    <col min="9754" max="9754" width="15.77734375" style="763" customWidth="1"/>
    <col min="9755" max="9755" width="15.44140625" style="763" bestFit="1" customWidth="1"/>
    <col min="9756" max="9756" width="17.5546875" style="763" bestFit="1" customWidth="1"/>
    <col min="9757" max="9757" width="12.21875" style="763" bestFit="1" customWidth="1"/>
    <col min="9758" max="9758" width="9" style="763" bestFit="1" customWidth="1"/>
    <col min="9759" max="9759" width="8.88671875" style="763"/>
    <col min="9760" max="9760" width="9.44140625" style="763" bestFit="1" customWidth="1"/>
    <col min="9761" max="9984" width="8.88671875" style="763"/>
    <col min="9985" max="9988" width="6.77734375" style="763" customWidth="1"/>
    <col min="9989" max="9989" width="16" style="763" customWidth="1"/>
    <col min="9990" max="9992" width="13.77734375" style="763" customWidth="1"/>
    <col min="9993" max="9993" width="1.77734375" style="763" customWidth="1"/>
    <col min="9994" max="9994" width="2.88671875" style="763" customWidth="1"/>
    <col min="9995" max="9995" width="2" style="763" customWidth="1"/>
    <col min="9996" max="9997" width="8.77734375" style="763" customWidth="1"/>
    <col min="9998" max="9998" width="10.77734375" style="763" customWidth="1"/>
    <col min="9999" max="10000" width="7.77734375" style="763" customWidth="1"/>
    <col min="10001" max="10001" width="8.109375" style="763" customWidth="1"/>
    <col min="10002" max="10002" width="6.88671875" style="763" customWidth="1"/>
    <col min="10003" max="10003" width="14.77734375" style="763" customWidth="1"/>
    <col min="10004" max="10005" width="6.88671875" style="763" customWidth="1"/>
    <col min="10006" max="10006" width="7.44140625" style="763" customWidth="1"/>
    <col min="10007" max="10007" width="6.88671875" style="763" customWidth="1"/>
    <col min="10008" max="10008" width="3" style="763" customWidth="1"/>
    <col min="10009" max="10009" width="14.77734375" style="763" customWidth="1"/>
    <col min="10010" max="10010" width="15.77734375" style="763" customWidth="1"/>
    <col min="10011" max="10011" width="15.44140625" style="763" bestFit="1" customWidth="1"/>
    <col min="10012" max="10012" width="17.5546875" style="763" bestFit="1" customWidth="1"/>
    <col min="10013" max="10013" width="12.21875" style="763" bestFit="1" customWidth="1"/>
    <col min="10014" max="10014" width="9" style="763" bestFit="1" customWidth="1"/>
    <col min="10015" max="10015" width="8.88671875" style="763"/>
    <col min="10016" max="10016" width="9.44140625" style="763" bestFit="1" customWidth="1"/>
    <col min="10017" max="10240" width="8.88671875" style="763"/>
    <col min="10241" max="10244" width="6.77734375" style="763" customWidth="1"/>
    <col min="10245" max="10245" width="16" style="763" customWidth="1"/>
    <col min="10246" max="10248" width="13.77734375" style="763" customWidth="1"/>
    <col min="10249" max="10249" width="1.77734375" style="763" customWidth="1"/>
    <col min="10250" max="10250" width="2.88671875" style="763" customWidth="1"/>
    <col min="10251" max="10251" width="2" style="763" customWidth="1"/>
    <col min="10252" max="10253" width="8.77734375" style="763" customWidth="1"/>
    <col min="10254" max="10254" width="10.77734375" style="763" customWidth="1"/>
    <col min="10255" max="10256" width="7.77734375" style="763" customWidth="1"/>
    <col min="10257" max="10257" width="8.109375" style="763" customWidth="1"/>
    <col min="10258" max="10258" width="6.88671875" style="763" customWidth="1"/>
    <col min="10259" max="10259" width="14.77734375" style="763" customWidth="1"/>
    <col min="10260" max="10261" width="6.88671875" style="763" customWidth="1"/>
    <col min="10262" max="10262" width="7.44140625" style="763" customWidth="1"/>
    <col min="10263" max="10263" width="6.88671875" style="763" customWidth="1"/>
    <col min="10264" max="10264" width="3" style="763" customWidth="1"/>
    <col min="10265" max="10265" width="14.77734375" style="763" customWidth="1"/>
    <col min="10266" max="10266" width="15.77734375" style="763" customWidth="1"/>
    <col min="10267" max="10267" width="15.44140625" style="763" bestFit="1" customWidth="1"/>
    <col min="10268" max="10268" width="17.5546875" style="763" bestFit="1" customWidth="1"/>
    <col min="10269" max="10269" width="12.21875" style="763" bestFit="1" customWidth="1"/>
    <col min="10270" max="10270" width="9" style="763" bestFit="1" customWidth="1"/>
    <col min="10271" max="10271" width="8.88671875" style="763"/>
    <col min="10272" max="10272" width="9.44140625" style="763" bestFit="1" customWidth="1"/>
    <col min="10273" max="10496" width="8.88671875" style="763"/>
    <col min="10497" max="10500" width="6.77734375" style="763" customWidth="1"/>
    <col min="10501" max="10501" width="16" style="763" customWidth="1"/>
    <col min="10502" max="10504" width="13.77734375" style="763" customWidth="1"/>
    <col min="10505" max="10505" width="1.77734375" style="763" customWidth="1"/>
    <col min="10506" max="10506" width="2.88671875" style="763" customWidth="1"/>
    <col min="10507" max="10507" width="2" style="763" customWidth="1"/>
    <col min="10508" max="10509" width="8.77734375" style="763" customWidth="1"/>
    <col min="10510" max="10510" width="10.77734375" style="763" customWidth="1"/>
    <col min="10511" max="10512" width="7.77734375" style="763" customWidth="1"/>
    <col min="10513" max="10513" width="8.109375" style="763" customWidth="1"/>
    <col min="10514" max="10514" width="6.88671875" style="763" customWidth="1"/>
    <col min="10515" max="10515" width="14.77734375" style="763" customWidth="1"/>
    <col min="10516" max="10517" width="6.88671875" style="763" customWidth="1"/>
    <col min="10518" max="10518" width="7.44140625" style="763" customWidth="1"/>
    <col min="10519" max="10519" width="6.88671875" style="763" customWidth="1"/>
    <col min="10520" max="10520" width="3" style="763" customWidth="1"/>
    <col min="10521" max="10521" width="14.77734375" style="763" customWidth="1"/>
    <col min="10522" max="10522" width="15.77734375" style="763" customWidth="1"/>
    <col min="10523" max="10523" width="15.44140625" style="763" bestFit="1" customWidth="1"/>
    <col min="10524" max="10524" width="17.5546875" style="763" bestFit="1" customWidth="1"/>
    <col min="10525" max="10525" width="12.21875" style="763" bestFit="1" customWidth="1"/>
    <col min="10526" max="10526" width="9" style="763" bestFit="1" customWidth="1"/>
    <col min="10527" max="10527" width="8.88671875" style="763"/>
    <col min="10528" max="10528" width="9.44140625" style="763" bestFit="1" customWidth="1"/>
    <col min="10529" max="10752" width="8.88671875" style="763"/>
    <col min="10753" max="10756" width="6.77734375" style="763" customWidth="1"/>
    <col min="10757" max="10757" width="16" style="763" customWidth="1"/>
    <col min="10758" max="10760" width="13.77734375" style="763" customWidth="1"/>
    <col min="10761" max="10761" width="1.77734375" style="763" customWidth="1"/>
    <col min="10762" max="10762" width="2.88671875" style="763" customWidth="1"/>
    <col min="10763" max="10763" width="2" style="763" customWidth="1"/>
    <col min="10764" max="10765" width="8.77734375" style="763" customWidth="1"/>
    <col min="10766" max="10766" width="10.77734375" style="763" customWidth="1"/>
    <col min="10767" max="10768" width="7.77734375" style="763" customWidth="1"/>
    <col min="10769" max="10769" width="8.109375" style="763" customWidth="1"/>
    <col min="10770" max="10770" width="6.88671875" style="763" customWidth="1"/>
    <col min="10771" max="10771" width="14.77734375" style="763" customWidth="1"/>
    <col min="10772" max="10773" width="6.88671875" style="763" customWidth="1"/>
    <col min="10774" max="10774" width="7.44140625" style="763" customWidth="1"/>
    <col min="10775" max="10775" width="6.88671875" style="763" customWidth="1"/>
    <col min="10776" max="10776" width="3" style="763" customWidth="1"/>
    <col min="10777" max="10777" width="14.77734375" style="763" customWidth="1"/>
    <col min="10778" max="10778" width="15.77734375" style="763" customWidth="1"/>
    <col min="10779" max="10779" width="15.44140625" style="763" bestFit="1" customWidth="1"/>
    <col min="10780" max="10780" width="17.5546875" style="763" bestFit="1" customWidth="1"/>
    <col min="10781" max="10781" width="12.21875" style="763" bestFit="1" customWidth="1"/>
    <col min="10782" max="10782" width="9" style="763" bestFit="1" customWidth="1"/>
    <col min="10783" max="10783" width="8.88671875" style="763"/>
    <col min="10784" max="10784" width="9.44140625" style="763" bestFit="1" customWidth="1"/>
    <col min="10785" max="11008" width="8.88671875" style="763"/>
    <col min="11009" max="11012" width="6.77734375" style="763" customWidth="1"/>
    <col min="11013" max="11013" width="16" style="763" customWidth="1"/>
    <col min="11014" max="11016" width="13.77734375" style="763" customWidth="1"/>
    <col min="11017" max="11017" width="1.77734375" style="763" customWidth="1"/>
    <col min="11018" max="11018" width="2.88671875" style="763" customWidth="1"/>
    <col min="11019" max="11019" width="2" style="763" customWidth="1"/>
    <col min="11020" max="11021" width="8.77734375" style="763" customWidth="1"/>
    <col min="11022" max="11022" width="10.77734375" style="763" customWidth="1"/>
    <col min="11023" max="11024" width="7.77734375" style="763" customWidth="1"/>
    <col min="11025" max="11025" width="8.109375" style="763" customWidth="1"/>
    <col min="11026" max="11026" width="6.88671875" style="763" customWidth="1"/>
    <col min="11027" max="11027" width="14.77734375" style="763" customWidth="1"/>
    <col min="11028" max="11029" width="6.88671875" style="763" customWidth="1"/>
    <col min="11030" max="11030" width="7.44140625" style="763" customWidth="1"/>
    <col min="11031" max="11031" width="6.88671875" style="763" customWidth="1"/>
    <col min="11032" max="11032" width="3" style="763" customWidth="1"/>
    <col min="11033" max="11033" width="14.77734375" style="763" customWidth="1"/>
    <col min="11034" max="11034" width="15.77734375" style="763" customWidth="1"/>
    <col min="11035" max="11035" width="15.44140625" style="763" bestFit="1" customWidth="1"/>
    <col min="11036" max="11036" width="17.5546875" style="763" bestFit="1" customWidth="1"/>
    <col min="11037" max="11037" width="12.21875" style="763" bestFit="1" customWidth="1"/>
    <col min="11038" max="11038" width="9" style="763" bestFit="1" customWidth="1"/>
    <col min="11039" max="11039" width="8.88671875" style="763"/>
    <col min="11040" max="11040" width="9.44140625" style="763" bestFit="1" customWidth="1"/>
    <col min="11041" max="11264" width="8.88671875" style="763"/>
    <col min="11265" max="11268" width="6.77734375" style="763" customWidth="1"/>
    <col min="11269" max="11269" width="16" style="763" customWidth="1"/>
    <col min="11270" max="11272" width="13.77734375" style="763" customWidth="1"/>
    <col min="11273" max="11273" width="1.77734375" style="763" customWidth="1"/>
    <col min="11274" max="11274" width="2.88671875" style="763" customWidth="1"/>
    <col min="11275" max="11275" width="2" style="763" customWidth="1"/>
    <col min="11276" max="11277" width="8.77734375" style="763" customWidth="1"/>
    <col min="11278" max="11278" width="10.77734375" style="763" customWidth="1"/>
    <col min="11279" max="11280" width="7.77734375" style="763" customWidth="1"/>
    <col min="11281" max="11281" width="8.109375" style="763" customWidth="1"/>
    <col min="11282" max="11282" width="6.88671875" style="763" customWidth="1"/>
    <col min="11283" max="11283" width="14.77734375" style="763" customWidth="1"/>
    <col min="11284" max="11285" width="6.88671875" style="763" customWidth="1"/>
    <col min="11286" max="11286" width="7.44140625" style="763" customWidth="1"/>
    <col min="11287" max="11287" width="6.88671875" style="763" customWidth="1"/>
    <col min="11288" max="11288" width="3" style="763" customWidth="1"/>
    <col min="11289" max="11289" width="14.77734375" style="763" customWidth="1"/>
    <col min="11290" max="11290" width="15.77734375" style="763" customWidth="1"/>
    <col min="11291" max="11291" width="15.44140625" style="763" bestFit="1" customWidth="1"/>
    <col min="11292" max="11292" width="17.5546875" style="763" bestFit="1" customWidth="1"/>
    <col min="11293" max="11293" width="12.21875" style="763" bestFit="1" customWidth="1"/>
    <col min="11294" max="11294" width="9" style="763" bestFit="1" customWidth="1"/>
    <col min="11295" max="11295" width="8.88671875" style="763"/>
    <col min="11296" max="11296" width="9.44140625" style="763" bestFit="1" customWidth="1"/>
    <col min="11297" max="11520" width="8.88671875" style="763"/>
    <col min="11521" max="11524" width="6.77734375" style="763" customWidth="1"/>
    <col min="11525" max="11525" width="16" style="763" customWidth="1"/>
    <col min="11526" max="11528" width="13.77734375" style="763" customWidth="1"/>
    <col min="11529" max="11529" width="1.77734375" style="763" customWidth="1"/>
    <col min="11530" max="11530" width="2.88671875" style="763" customWidth="1"/>
    <col min="11531" max="11531" width="2" style="763" customWidth="1"/>
    <col min="11532" max="11533" width="8.77734375" style="763" customWidth="1"/>
    <col min="11534" max="11534" width="10.77734375" style="763" customWidth="1"/>
    <col min="11535" max="11536" width="7.77734375" style="763" customWidth="1"/>
    <col min="11537" max="11537" width="8.109375" style="763" customWidth="1"/>
    <col min="11538" max="11538" width="6.88671875" style="763" customWidth="1"/>
    <col min="11539" max="11539" width="14.77734375" style="763" customWidth="1"/>
    <col min="11540" max="11541" width="6.88671875" style="763" customWidth="1"/>
    <col min="11542" max="11542" width="7.44140625" style="763" customWidth="1"/>
    <col min="11543" max="11543" width="6.88671875" style="763" customWidth="1"/>
    <col min="11544" max="11544" width="3" style="763" customWidth="1"/>
    <col min="11545" max="11545" width="14.77734375" style="763" customWidth="1"/>
    <col min="11546" max="11546" width="15.77734375" style="763" customWidth="1"/>
    <col min="11547" max="11547" width="15.44140625" style="763" bestFit="1" customWidth="1"/>
    <col min="11548" max="11548" width="17.5546875" style="763" bestFit="1" customWidth="1"/>
    <col min="11549" max="11549" width="12.21875" style="763" bestFit="1" customWidth="1"/>
    <col min="11550" max="11550" width="9" style="763" bestFit="1" customWidth="1"/>
    <col min="11551" max="11551" width="8.88671875" style="763"/>
    <col min="11552" max="11552" width="9.44140625" style="763" bestFit="1" customWidth="1"/>
    <col min="11553" max="11776" width="8.88671875" style="763"/>
    <col min="11777" max="11780" width="6.77734375" style="763" customWidth="1"/>
    <col min="11781" max="11781" width="16" style="763" customWidth="1"/>
    <col min="11782" max="11784" width="13.77734375" style="763" customWidth="1"/>
    <col min="11785" max="11785" width="1.77734375" style="763" customWidth="1"/>
    <col min="11786" max="11786" width="2.88671875" style="763" customWidth="1"/>
    <col min="11787" max="11787" width="2" style="763" customWidth="1"/>
    <col min="11788" max="11789" width="8.77734375" style="763" customWidth="1"/>
    <col min="11790" max="11790" width="10.77734375" style="763" customWidth="1"/>
    <col min="11791" max="11792" width="7.77734375" style="763" customWidth="1"/>
    <col min="11793" max="11793" width="8.109375" style="763" customWidth="1"/>
    <col min="11794" max="11794" width="6.88671875" style="763" customWidth="1"/>
    <col min="11795" max="11795" width="14.77734375" style="763" customWidth="1"/>
    <col min="11796" max="11797" width="6.88671875" style="763" customWidth="1"/>
    <col min="11798" max="11798" width="7.44140625" style="763" customWidth="1"/>
    <col min="11799" max="11799" width="6.88671875" style="763" customWidth="1"/>
    <col min="11800" max="11800" width="3" style="763" customWidth="1"/>
    <col min="11801" max="11801" width="14.77734375" style="763" customWidth="1"/>
    <col min="11802" max="11802" width="15.77734375" style="763" customWidth="1"/>
    <col min="11803" max="11803" width="15.44140625" style="763" bestFit="1" customWidth="1"/>
    <col min="11804" max="11804" width="17.5546875" style="763" bestFit="1" customWidth="1"/>
    <col min="11805" max="11805" width="12.21875" style="763" bestFit="1" customWidth="1"/>
    <col min="11806" max="11806" width="9" style="763" bestFit="1" customWidth="1"/>
    <col min="11807" max="11807" width="8.88671875" style="763"/>
    <col min="11808" max="11808" width="9.44140625" style="763" bestFit="1" customWidth="1"/>
    <col min="11809" max="12032" width="8.88671875" style="763"/>
    <col min="12033" max="12036" width="6.77734375" style="763" customWidth="1"/>
    <col min="12037" max="12037" width="16" style="763" customWidth="1"/>
    <col min="12038" max="12040" width="13.77734375" style="763" customWidth="1"/>
    <col min="12041" max="12041" width="1.77734375" style="763" customWidth="1"/>
    <col min="12042" max="12042" width="2.88671875" style="763" customWidth="1"/>
    <col min="12043" max="12043" width="2" style="763" customWidth="1"/>
    <col min="12044" max="12045" width="8.77734375" style="763" customWidth="1"/>
    <col min="12046" max="12046" width="10.77734375" style="763" customWidth="1"/>
    <col min="12047" max="12048" width="7.77734375" style="763" customWidth="1"/>
    <col min="12049" max="12049" width="8.109375" style="763" customWidth="1"/>
    <col min="12050" max="12050" width="6.88671875" style="763" customWidth="1"/>
    <col min="12051" max="12051" width="14.77734375" style="763" customWidth="1"/>
    <col min="12052" max="12053" width="6.88671875" style="763" customWidth="1"/>
    <col min="12054" max="12054" width="7.44140625" style="763" customWidth="1"/>
    <col min="12055" max="12055" width="6.88671875" style="763" customWidth="1"/>
    <col min="12056" max="12056" width="3" style="763" customWidth="1"/>
    <col min="12057" max="12057" width="14.77734375" style="763" customWidth="1"/>
    <col min="12058" max="12058" width="15.77734375" style="763" customWidth="1"/>
    <col min="12059" max="12059" width="15.44140625" style="763" bestFit="1" customWidth="1"/>
    <col min="12060" max="12060" width="17.5546875" style="763" bestFit="1" customWidth="1"/>
    <col min="12061" max="12061" width="12.21875" style="763" bestFit="1" customWidth="1"/>
    <col min="12062" max="12062" width="9" style="763" bestFit="1" customWidth="1"/>
    <col min="12063" max="12063" width="8.88671875" style="763"/>
    <col min="12064" max="12064" width="9.44140625" style="763" bestFit="1" customWidth="1"/>
    <col min="12065" max="12288" width="8.88671875" style="763"/>
    <col min="12289" max="12292" width="6.77734375" style="763" customWidth="1"/>
    <col min="12293" max="12293" width="16" style="763" customWidth="1"/>
    <col min="12294" max="12296" width="13.77734375" style="763" customWidth="1"/>
    <col min="12297" max="12297" width="1.77734375" style="763" customWidth="1"/>
    <col min="12298" max="12298" width="2.88671875" style="763" customWidth="1"/>
    <col min="12299" max="12299" width="2" style="763" customWidth="1"/>
    <col min="12300" max="12301" width="8.77734375" style="763" customWidth="1"/>
    <col min="12302" max="12302" width="10.77734375" style="763" customWidth="1"/>
    <col min="12303" max="12304" width="7.77734375" style="763" customWidth="1"/>
    <col min="12305" max="12305" width="8.109375" style="763" customWidth="1"/>
    <col min="12306" max="12306" width="6.88671875" style="763" customWidth="1"/>
    <col min="12307" max="12307" width="14.77734375" style="763" customWidth="1"/>
    <col min="12308" max="12309" width="6.88671875" style="763" customWidth="1"/>
    <col min="12310" max="12310" width="7.44140625" style="763" customWidth="1"/>
    <col min="12311" max="12311" width="6.88671875" style="763" customWidth="1"/>
    <col min="12312" max="12312" width="3" style="763" customWidth="1"/>
    <col min="12313" max="12313" width="14.77734375" style="763" customWidth="1"/>
    <col min="12314" max="12314" width="15.77734375" style="763" customWidth="1"/>
    <col min="12315" max="12315" width="15.44140625" style="763" bestFit="1" customWidth="1"/>
    <col min="12316" max="12316" width="17.5546875" style="763" bestFit="1" customWidth="1"/>
    <col min="12317" max="12317" width="12.21875" style="763" bestFit="1" customWidth="1"/>
    <col min="12318" max="12318" width="9" style="763" bestFit="1" customWidth="1"/>
    <col min="12319" max="12319" width="8.88671875" style="763"/>
    <col min="12320" max="12320" width="9.44140625" style="763" bestFit="1" customWidth="1"/>
    <col min="12321" max="12544" width="8.88671875" style="763"/>
    <col min="12545" max="12548" width="6.77734375" style="763" customWidth="1"/>
    <col min="12549" max="12549" width="16" style="763" customWidth="1"/>
    <col min="12550" max="12552" width="13.77734375" style="763" customWidth="1"/>
    <col min="12553" max="12553" width="1.77734375" style="763" customWidth="1"/>
    <col min="12554" max="12554" width="2.88671875" style="763" customWidth="1"/>
    <col min="12555" max="12555" width="2" style="763" customWidth="1"/>
    <col min="12556" max="12557" width="8.77734375" style="763" customWidth="1"/>
    <col min="12558" max="12558" width="10.77734375" style="763" customWidth="1"/>
    <col min="12559" max="12560" width="7.77734375" style="763" customWidth="1"/>
    <col min="12561" max="12561" width="8.109375" style="763" customWidth="1"/>
    <col min="12562" max="12562" width="6.88671875" style="763" customWidth="1"/>
    <col min="12563" max="12563" width="14.77734375" style="763" customWidth="1"/>
    <col min="12564" max="12565" width="6.88671875" style="763" customWidth="1"/>
    <col min="12566" max="12566" width="7.44140625" style="763" customWidth="1"/>
    <col min="12567" max="12567" width="6.88671875" style="763" customWidth="1"/>
    <col min="12568" max="12568" width="3" style="763" customWidth="1"/>
    <col min="12569" max="12569" width="14.77734375" style="763" customWidth="1"/>
    <col min="12570" max="12570" width="15.77734375" style="763" customWidth="1"/>
    <col min="12571" max="12571" width="15.44140625" style="763" bestFit="1" customWidth="1"/>
    <col min="12572" max="12572" width="17.5546875" style="763" bestFit="1" customWidth="1"/>
    <col min="12573" max="12573" width="12.21875" style="763" bestFit="1" customWidth="1"/>
    <col min="12574" max="12574" width="9" style="763" bestFit="1" customWidth="1"/>
    <col min="12575" max="12575" width="8.88671875" style="763"/>
    <col min="12576" max="12576" width="9.44140625" style="763" bestFit="1" customWidth="1"/>
    <col min="12577" max="12800" width="8.88671875" style="763"/>
    <col min="12801" max="12804" width="6.77734375" style="763" customWidth="1"/>
    <col min="12805" max="12805" width="16" style="763" customWidth="1"/>
    <col min="12806" max="12808" width="13.77734375" style="763" customWidth="1"/>
    <col min="12809" max="12809" width="1.77734375" style="763" customWidth="1"/>
    <col min="12810" max="12810" width="2.88671875" style="763" customWidth="1"/>
    <col min="12811" max="12811" width="2" style="763" customWidth="1"/>
    <col min="12812" max="12813" width="8.77734375" style="763" customWidth="1"/>
    <col min="12814" max="12814" width="10.77734375" style="763" customWidth="1"/>
    <col min="12815" max="12816" width="7.77734375" style="763" customWidth="1"/>
    <col min="12817" max="12817" width="8.109375" style="763" customWidth="1"/>
    <col min="12818" max="12818" width="6.88671875" style="763" customWidth="1"/>
    <col min="12819" max="12819" width="14.77734375" style="763" customWidth="1"/>
    <col min="12820" max="12821" width="6.88671875" style="763" customWidth="1"/>
    <col min="12822" max="12822" width="7.44140625" style="763" customWidth="1"/>
    <col min="12823" max="12823" width="6.88671875" style="763" customWidth="1"/>
    <col min="12824" max="12824" width="3" style="763" customWidth="1"/>
    <col min="12825" max="12825" width="14.77734375" style="763" customWidth="1"/>
    <col min="12826" max="12826" width="15.77734375" style="763" customWidth="1"/>
    <col min="12827" max="12827" width="15.44140625" style="763" bestFit="1" customWidth="1"/>
    <col min="12828" max="12828" width="17.5546875" style="763" bestFit="1" customWidth="1"/>
    <col min="12829" max="12829" width="12.21875" style="763" bestFit="1" customWidth="1"/>
    <col min="12830" max="12830" width="9" style="763" bestFit="1" customWidth="1"/>
    <col min="12831" max="12831" width="8.88671875" style="763"/>
    <col min="12832" max="12832" width="9.44140625" style="763" bestFit="1" customWidth="1"/>
    <col min="12833" max="13056" width="8.88671875" style="763"/>
    <col min="13057" max="13060" width="6.77734375" style="763" customWidth="1"/>
    <col min="13061" max="13061" width="16" style="763" customWidth="1"/>
    <col min="13062" max="13064" width="13.77734375" style="763" customWidth="1"/>
    <col min="13065" max="13065" width="1.77734375" style="763" customWidth="1"/>
    <col min="13066" max="13066" width="2.88671875" style="763" customWidth="1"/>
    <col min="13067" max="13067" width="2" style="763" customWidth="1"/>
    <col min="13068" max="13069" width="8.77734375" style="763" customWidth="1"/>
    <col min="13070" max="13070" width="10.77734375" style="763" customWidth="1"/>
    <col min="13071" max="13072" width="7.77734375" style="763" customWidth="1"/>
    <col min="13073" max="13073" width="8.109375" style="763" customWidth="1"/>
    <col min="13074" max="13074" width="6.88671875" style="763" customWidth="1"/>
    <col min="13075" max="13075" width="14.77734375" style="763" customWidth="1"/>
    <col min="13076" max="13077" width="6.88671875" style="763" customWidth="1"/>
    <col min="13078" max="13078" width="7.44140625" style="763" customWidth="1"/>
    <col min="13079" max="13079" width="6.88671875" style="763" customWidth="1"/>
    <col min="13080" max="13080" width="3" style="763" customWidth="1"/>
    <col min="13081" max="13081" width="14.77734375" style="763" customWidth="1"/>
    <col min="13082" max="13082" width="15.77734375" style="763" customWidth="1"/>
    <col min="13083" max="13083" width="15.44140625" style="763" bestFit="1" customWidth="1"/>
    <col min="13084" max="13084" width="17.5546875" style="763" bestFit="1" customWidth="1"/>
    <col min="13085" max="13085" width="12.21875" style="763" bestFit="1" customWidth="1"/>
    <col min="13086" max="13086" width="9" style="763" bestFit="1" customWidth="1"/>
    <col min="13087" max="13087" width="8.88671875" style="763"/>
    <col min="13088" max="13088" width="9.44140625" style="763" bestFit="1" customWidth="1"/>
    <col min="13089" max="13312" width="8.88671875" style="763"/>
    <col min="13313" max="13316" width="6.77734375" style="763" customWidth="1"/>
    <col min="13317" max="13317" width="16" style="763" customWidth="1"/>
    <col min="13318" max="13320" width="13.77734375" style="763" customWidth="1"/>
    <col min="13321" max="13321" width="1.77734375" style="763" customWidth="1"/>
    <col min="13322" max="13322" width="2.88671875" style="763" customWidth="1"/>
    <col min="13323" max="13323" width="2" style="763" customWidth="1"/>
    <col min="13324" max="13325" width="8.77734375" style="763" customWidth="1"/>
    <col min="13326" max="13326" width="10.77734375" style="763" customWidth="1"/>
    <col min="13327" max="13328" width="7.77734375" style="763" customWidth="1"/>
    <col min="13329" max="13329" width="8.109375" style="763" customWidth="1"/>
    <col min="13330" max="13330" width="6.88671875" style="763" customWidth="1"/>
    <col min="13331" max="13331" width="14.77734375" style="763" customWidth="1"/>
    <col min="13332" max="13333" width="6.88671875" style="763" customWidth="1"/>
    <col min="13334" max="13334" width="7.44140625" style="763" customWidth="1"/>
    <col min="13335" max="13335" width="6.88671875" style="763" customWidth="1"/>
    <col min="13336" max="13336" width="3" style="763" customWidth="1"/>
    <col min="13337" max="13337" width="14.77734375" style="763" customWidth="1"/>
    <col min="13338" max="13338" width="15.77734375" style="763" customWidth="1"/>
    <col min="13339" max="13339" width="15.44140625" style="763" bestFit="1" customWidth="1"/>
    <col min="13340" max="13340" width="17.5546875" style="763" bestFit="1" customWidth="1"/>
    <col min="13341" max="13341" width="12.21875" style="763" bestFit="1" customWidth="1"/>
    <col min="13342" max="13342" width="9" style="763" bestFit="1" customWidth="1"/>
    <col min="13343" max="13343" width="8.88671875" style="763"/>
    <col min="13344" max="13344" width="9.44140625" style="763" bestFit="1" customWidth="1"/>
    <col min="13345" max="13568" width="8.88671875" style="763"/>
    <col min="13569" max="13572" width="6.77734375" style="763" customWidth="1"/>
    <col min="13573" max="13573" width="16" style="763" customWidth="1"/>
    <col min="13574" max="13576" width="13.77734375" style="763" customWidth="1"/>
    <col min="13577" max="13577" width="1.77734375" style="763" customWidth="1"/>
    <col min="13578" max="13578" width="2.88671875" style="763" customWidth="1"/>
    <col min="13579" max="13579" width="2" style="763" customWidth="1"/>
    <col min="13580" max="13581" width="8.77734375" style="763" customWidth="1"/>
    <col min="13582" max="13582" width="10.77734375" style="763" customWidth="1"/>
    <col min="13583" max="13584" width="7.77734375" style="763" customWidth="1"/>
    <col min="13585" max="13585" width="8.109375" style="763" customWidth="1"/>
    <col min="13586" max="13586" width="6.88671875" style="763" customWidth="1"/>
    <col min="13587" max="13587" width="14.77734375" style="763" customWidth="1"/>
    <col min="13588" max="13589" width="6.88671875" style="763" customWidth="1"/>
    <col min="13590" max="13590" width="7.44140625" style="763" customWidth="1"/>
    <col min="13591" max="13591" width="6.88671875" style="763" customWidth="1"/>
    <col min="13592" max="13592" width="3" style="763" customWidth="1"/>
    <col min="13593" max="13593" width="14.77734375" style="763" customWidth="1"/>
    <col min="13594" max="13594" width="15.77734375" style="763" customWidth="1"/>
    <col min="13595" max="13595" width="15.44140625" style="763" bestFit="1" customWidth="1"/>
    <col min="13596" max="13596" width="17.5546875" style="763" bestFit="1" customWidth="1"/>
    <col min="13597" max="13597" width="12.21875" style="763" bestFit="1" customWidth="1"/>
    <col min="13598" max="13598" width="9" style="763" bestFit="1" customWidth="1"/>
    <col min="13599" max="13599" width="8.88671875" style="763"/>
    <col min="13600" max="13600" width="9.44140625" style="763" bestFit="1" customWidth="1"/>
    <col min="13601" max="13824" width="8.88671875" style="763"/>
    <col min="13825" max="13828" width="6.77734375" style="763" customWidth="1"/>
    <col min="13829" max="13829" width="16" style="763" customWidth="1"/>
    <col min="13830" max="13832" width="13.77734375" style="763" customWidth="1"/>
    <col min="13833" max="13833" width="1.77734375" style="763" customWidth="1"/>
    <col min="13834" max="13834" width="2.88671875" style="763" customWidth="1"/>
    <col min="13835" max="13835" width="2" style="763" customWidth="1"/>
    <col min="13836" max="13837" width="8.77734375" style="763" customWidth="1"/>
    <col min="13838" max="13838" width="10.77734375" style="763" customWidth="1"/>
    <col min="13839" max="13840" width="7.77734375" style="763" customWidth="1"/>
    <col min="13841" max="13841" width="8.109375" style="763" customWidth="1"/>
    <col min="13842" max="13842" width="6.88671875" style="763" customWidth="1"/>
    <col min="13843" max="13843" width="14.77734375" style="763" customWidth="1"/>
    <col min="13844" max="13845" width="6.88671875" style="763" customWidth="1"/>
    <col min="13846" max="13846" width="7.44140625" style="763" customWidth="1"/>
    <col min="13847" max="13847" width="6.88671875" style="763" customWidth="1"/>
    <col min="13848" max="13848" width="3" style="763" customWidth="1"/>
    <col min="13849" max="13849" width="14.77734375" style="763" customWidth="1"/>
    <col min="13850" max="13850" width="15.77734375" style="763" customWidth="1"/>
    <col min="13851" max="13851" width="15.44140625" style="763" bestFit="1" customWidth="1"/>
    <col min="13852" max="13852" width="17.5546875" style="763" bestFit="1" customWidth="1"/>
    <col min="13853" max="13853" width="12.21875" style="763" bestFit="1" customWidth="1"/>
    <col min="13854" max="13854" width="9" style="763" bestFit="1" customWidth="1"/>
    <col min="13855" max="13855" width="8.88671875" style="763"/>
    <col min="13856" max="13856" width="9.44140625" style="763" bestFit="1" customWidth="1"/>
    <col min="13857" max="14080" width="8.88671875" style="763"/>
    <col min="14081" max="14084" width="6.77734375" style="763" customWidth="1"/>
    <col min="14085" max="14085" width="16" style="763" customWidth="1"/>
    <col min="14086" max="14088" width="13.77734375" style="763" customWidth="1"/>
    <col min="14089" max="14089" width="1.77734375" style="763" customWidth="1"/>
    <col min="14090" max="14090" width="2.88671875" style="763" customWidth="1"/>
    <col min="14091" max="14091" width="2" style="763" customWidth="1"/>
    <col min="14092" max="14093" width="8.77734375" style="763" customWidth="1"/>
    <col min="14094" max="14094" width="10.77734375" style="763" customWidth="1"/>
    <col min="14095" max="14096" width="7.77734375" style="763" customWidth="1"/>
    <col min="14097" max="14097" width="8.109375" style="763" customWidth="1"/>
    <col min="14098" max="14098" width="6.88671875" style="763" customWidth="1"/>
    <col min="14099" max="14099" width="14.77734375" style="763" customWidth="1"/>
    <col min="14100" max="14101" width="6.88671875" style="763" customWidth="1"/>
    <col min="14102" max="14102" width="7.44140625" style="763" customWidth="1"/>
    <col min="14103" max="14103" width="6.88671875" style="763" customWidth="1"/>
    <col min="14104" max="14104" width="3" style="763" customWidth="1"/>
    <col min="14105" max="14105" width="14.77734375" style="763" customWidth="1"/>
    <col min="14106" max="14106" width="15.77734375" style="763" customWidth="1"/>
    <col min="14107" max="14107" width="15.44140625" style="763" bestFit="1" customWidth="1"/>
    <col min="14108" max="14108" width="17.5546875" style="763" bestFit="1" customWidth="1"/>
    <col min="14109" max="14109" width="12.21875" style="763" bestFit="1" customWidth="1"/>
    <col min="14110" max="14110" width="9" style="763" bestFit="1" customWidth="1"/>
    <col min="14111" max="14111" width="8.88671875" style="763"/>
    <col min="14112" max="14112" width="9.44140625" style="763" bestFit="1" customWidth="1"/>
    <col min="14113" max="14336" width="8.88671875" style="763"/>
    <col min="14337" max="14340" width="6.77734375" style="763" customWidth="1"/>
    <col min="14341" max="14341" width="16" style="763" customWidth="1"/>
    <col min="14342" max="14344" width="13.77734375" style="763" customWidth="1"/>
    <col min="14345" max="14345" width="1.77734375" style="763" customWidth="1"/>
    <col min="14346" max="14346" width="2.88671875" style="763" customWidth="1"/>
    <col min="14347" max="14347" width="2" style="763" customWidth="1"/>
    <col min="14348" max="14349" width="8.77734375" style="763" customWidth="1"/>
    <col min="14350" max="14350" width="10.77734375" style="763" customWidth="1"/>
    <col min="14351" max="14352" width="7.77734375" style="763" customWidth="1"/>
    <col min="14353" max="14353" width="8.109375" style="763" customWidth="1"/>
    <col min="14354" max="14354" width="6.88671875" style="763" customWidth="1"/>
    <col min="14355" max="14355" width="14.77734375" style="763" customWidth="1"/>
    <col min="14356" max="14357" width="6.88671875" style="763" customWidth="1"/>
    <col min="14358" max="14358" width="7.44140625" style="763" customWidth="1"/>
    <col min="14359" max="14359" width="6.88671875" style="763" customWidth="1"/>
    <col min="14360" max="14360" width="3" style="763" customWidth="1"/>
    <col min="14361" max="14361" width="14.77734375" style="763" customWidth="1"/>
    <col min="14362" max="14362" width="15.77734375" style="763" customWidth="1"/>
    <col min="14363" max="14363" width="15.44140625" style="763" bestFit="1" customWidth="1"/>
    <col min="14364" max="14364" width="17.5546875" style="763" bestFit="1" customWidth="1"/>
    <col min="14365" max="14365" width="12.21875" style="763" bestFit="1" customWidth="1"/>
    <col min="14366" max="14366" width="9" style="763" bestFit="1" customWidth="1"/>
    <col min="14367" max="14367" width="8.88671875" style="763"/>
    <col min="14368" max="14368" width="9.44140625" style="763" bestFit="1" customWidth="1"/>
    <col min="14369" max="14592" width="8.88671875" style="763"/>
    <col min="14593" max="14596" width="6.77734375" style="763" customWidth="1"/>
    <col min="14597" max="14597" width="16" style="763" customWidth="1"/>
    <col min="14598" max="14600" width="13.77734375" style="763" customWidth="1"/>
    <col min="14601" max="14601" width="1.77734375" style="763" customWidth="1"/>
    <col min="14602" max="14602" width="2.88671875" style="763" customWidth="1"/>
    <col min="14603" max="14603" width="2" style="763" customWidth="1"/>
    <col min="14604" max="14605" width="8.77734375" style="763" customWidth="1"/>
    <col min="14606" max="14606" width="10.77734375" style="763" customWidth="1"/>
    <col min="14607" max="14608" width="7.77734375" style="763" customWidth="1"/>
    <col min="14609" max="14609" width="8.109375" style="763" customWidth="1"/>
    <col min="14610" max="14610" width="6.88671875" style="763" customWidth="1"/>
    <col min="14611" max="14611" width="14.77734375" style="763" customWidth="1"/>
    <col min="14612" max="14613" width="6.88671875" style="763" customWidth="1"/>
    <col min="14614" max="14614" width="7.44140625" style="763" customWidth="1"/>
    <col min="14615" max="14615" width="6.88671875" style="763" customWidth="1"/>
    <col min="14616" max="14616" width="3" style="763" customWidth="1"/>
    <col min="14617" max="14617" width="14.77734375" style="763" customWidth="1"/>
    <col min="14618" max="14618" width="15.77734375" style="763" customWidth="1"/>
    <col min="14619" max="14619" width="15.44140625" style="763" bestFit="1" customWidth="1"/>
    <col min="14620" max="14620" width="17.5546875" style="763" bestFit="1" customWidth="1"/>
    <col min="14621" max="14621" width="12.21875" style="763" bestFit="1" customWidth="1"/>
    <col min="14622" max="14622" width="9" style="763" bestFit="1" customWidth="1"/>
    <col min="14623" max="14623" width="8.88671875" style="763"/>
    <col min="14624" max="14624" width="9.44140625" style="763" bestFit="1" customWidth="1"/>
    <col min="14625" max="14848" width="8.88671875" style="763"/>
    <col min="14849" max="14852" width="6.77734375" style="763" customWidth="1"/>
    <col min="14853" max="14853" width="16" style="763" customWidth="1"/>
    <col min="14854" max="14856" width="13.77734375" style="763" customWidth="1"/>
    <col min="14857" max="14857" width="1.77734375" style="763" customWidth="1"/>
    <col min="14858" max="14858" width="2.88671875" style="763" customWidth="1"/>
    <col min="14859" max="14859" width="2" style="763" customWidth="1"/>
    <col min="14860" max="14861" width="8.77734375" style="763" customWidth="1"/>
    <col min="14862" max="14862" width="10.77734375" style="763" customWidth="1"/>
    <col min="14863" max="14864" width="7.77734375" style="763" customWidth="1"/>
    <col min="14865" max="14865" width="8.109375" style="763" customWidth="1"/>
    <col min="14866" max="14866" width="6.88671875" style="763" customWidth="1"/>
    <col min="14867" max="14867" width="14.77734375" style="763" customWidth="1"/>
    <col min="14868" max="14869" width="6.88671875" style="763" customWidth="1"/>
    <col min="14870" max="14870" width="7.44140625" style="763" customWidth="1"/>
    <col min="14871" max="14871" width="6.88671875" style="763" customWidth="1"/>
    <col min="14872" max="14872" width="3" style="763" customWidth="1"/>
    <col min="14873" max="14873" width="14.77734375" style="763" customWidth="1"/>
    <col min="14874" max="14874" width="15.77734375" style="763" customWidth="1"/>
    <col min="14875" max="14875" width="15.44140625" style="763" bestFit="1" customWidth="1"/>
    <col min="14876" max="14876" width="17.5546875" style="763" bestFit="1" customWidth="1"/>
    <col min="14877" max="14877" width="12.21875" style="763" bestFit="1" customWidth="1"/>
    <col min="14878" max="14878" width="9" style="763" bestFit="1" customWidth="1"/>
    <col min="14879" max="14879" width="8.88671875" style="763"/>
    <col min="14880" max="14880" width="9.44140625" style="763" bestFit="1" customWidth="1"/>
    <col min="14881" max="15104" width="8.88671875" style="763"/>
    <col min="15105" max="15108" width="6.77734375" style="763" customWidth="1"/>
    <col min="15109" max="15109" width="16" style="763" customWidth="1"/>
    <col min="15110" max="15112" width="13.77734375" style="763" customWidth="1"/>
    <col min="15113" max="15113" width="1.77734375" style="763" customWidth="1"/>
    <col min="15114" max="15114" width="2.88671875" style="763" customWidth="1"/>
    <col min="15115" max="15115" width="2" style="763" customWidth="1"/>
    <col min="15116" max="15117" width="8.77734375" style="763" customWidth="1"/>
    <col min="15118" max="15118" width="10.77734375" style="763" customWidth="1"/>
    <col min="15119" max="15120" width="7.77734375" style="763" customWidth="1"/>
    <col min="15121" max="15121" width="8.109375" style="763" customWidth="1"/>
    <col min="15122" max="15122" width="6.88671875" style="763" customWidth="1"/>
    <col min="15123" max="15123" width="14.77734375" style="763" customWidth="1"/>
    <col min="15124" max="15125" width="6.88671875" style="763" customWidth="1"/>
    <col min="15126" max="15126" width="7.44140625" style="763" customWidth="1"/>
    <col min="15127" max="15127" width="6.88671875" style="763" customWidth="1"/>
    <col min="15128" max="15128" width="3" style="763" customWidth="1"/>
    <col min="15129" max="15129" width="14.77734375" style="763" customWidth="1"/>
    <col min="15130" max="15130" width="15.77734375" style="763" customWidth="1"/>
    <col min="15131" max="15131" width="15.44140625" style="763" bestFit="1" customWidth="1"/>
    <col min="15132" max="15132" width="17.5546875" style="763" bestFit="1" customWidth="1"/>
    <col min="15133" max="15133" width="12.21875" style="763" bestFit="1" customWidth="1"/>
    <col min="15134" max="15134" width="9" style="763" bestFit="1" customWidth="1"/>
    <col min="15135" max="15135" width="8.88671875" style="763"/>
    <col min="15136" max="15136" width="9.44140625" style="763" bestFit="1" customWidth="1"/>
    <col min="15137" max="15360" width="8.88671875" style="763"/>
    <col min="15361" max="15364" width="6.77734375" style="763" customWidth="1"/>
    <col min="15365" max="15365" width="16" style="763" customWidth="1"/>
    <col min="15366" max="15368" width="13.77734375" style="763" customWidth="1"/>
    <col min="15369" max="15369" width="1.77734375" style="763" customWidth="1"/>
    <col min="15370" max="15370" width="2.88671875" style="763" customWidth="1"/>
    <col min="15371" max="15371" width="2" style="763" customWidth="1"/>
    <col min="15372" max="15373" width="8.77734375" style="763" customWidth="1"/>
    <col min="15374" max="15374" width="10.77734375" style="763" customWidth="1"/>
    <col min="15375" max="15376" width="7.77734375" style="763" customWidth="1"/>
    <col min="15377" max="15377" width="8.109375" style="763" customWidth="1"/>
    <col min="15378" max="15378" width="6.88671875" style="763" customWidth="1"/>
    <col min="15379" max="15379" width="14.77734375" style="763" customWidth="1"/>
    <col min="15380" max="15381" width="6.88671875" style="763" customWidth="1"/>
    <col min="15382" max="15382" width="7.44140625" style="763" customWidth="1"/>
    <col min="15383" max="15383" width="6.88671875" style="763" customWidth="1"/>
    <col min="15384" max="15384" width="3" style="763" customWidth="1"/>
    <col min="15385" max="15385" width="14.77734375" style="763" customWidth="1"/>
    <col min="15386" max="15386" width="15.77734375" style="763" customWidth="1"/>
    <col min="15387" max="15387" width="15.44140625" style="763" bestFit="1" customWidth="1"/>
    <col min="15388" max="15388" width="17.5546875" style="763" bestFit="1" customWidth="1"/>
    <col min="15389" max="15389" width="12.21875" style="763" bestFit="1" customWidth="1"/>
    <col min="15390" max="15390" width="9" style="763" bestFit="1" customWidth="1"/>
    <col min="15391" max="15391" width="8.88671875" style="763"/>
    <col min="15392" max="15392" width="9.44140625" style="763" bestFit="1" customWidth="1"/>
    <col min="15393" max="15616" width="8.88671875" style="763"/>
    <col min="15617" max="15620" width="6.77734375" style="763" customWidth="1"/>
    <col min="15621" max="15621" width="16" style="763" customWidth="1"/>
    <col min="15622" max="15624" width="13.77734375" style="763" customWidth="1"/>
    <col min="15625" max="15625" width="1.77734375" style="763" customWidth="1"/>
    <col min="15626" max="15626" width="2.88671875" style="763" customWidth="1"/>
    <col min="15627" max="15627" width="2" style="763" customWidth="1"/>
    <col min="15628" max="15629" width="8.77734375" style="763" customWidth="1"/>
    <col min="15630" max="15630" width="10.77734375" style="763" customWidth="1"/>
    <col min="15631" max="15632" width="7.77734375" style="763" customWidth="1"/>
    <col min="15633" max="15633" width="8.109375" style="763" customWidth="1"/>
    <col min="15634" max="15634" width="6.88671875" style="763" customWidth="1"/>
    <col min="15635" max="15635" width="14.77734375" style="763" customWidth="1"/>
    <col min="15636" max="15637" width="6.88671875" style="763" customWidth="1"/>
    <col min="15638" max="15638" width="7.44140625" style="763" customWidth="1"/>
    <col min="15639" max="15639" width="6.88671875" style="763" customWidth="1"/>
    <col min="15640" max="15640" width="3" style="763" customWidth="1"/>
    <col min="15641" max="15641" width="14.77734375" style="763" customWidth="1"/>
    <col min="15642" max="15642" width="15.77734375" style="763" customWidth="1"/>
    <col min="15643" max="15643" width="15.44140625" style="763" bestFit="1" customWidth="1"/>
    <col min="15644" max="15644" width="17.5546875" style="763" bestFit="1" customWidth="1"/>
    <col min="15645" max="15645" width="12.21875" style="763" bestFit="1" customWidth="1"/>
    <col min="15646" max="15646" width="9" style="763" bestFit="1" customWidth="1"/>
    <col min="15647" max="15647" width="8.88671875" style="763"/>
    <col min="15648" max="15648" width="9.44140625" style="763" bestFit="1" customWidth="1"/>
    <col min="15649" max="15872" width="8.88671875" style="763"/>
    <col min="15873" max="15876" width="6.77734375" style="763" customWidth="1"/>
    <col min="15877" max="15877" width="16" style="763" customWidth="1"/>
    <col min="15878" max="15880" width="13.77734375" style="763" customWidth="1"/>
    <col min="15881" max="15881" width="1.77734375" style="763" customWidth="1"/>
    <col min="15882" max="15882" width="2.88671875" style="763" customWidth="1"/>
    <col min="15883" max="15883" width="2" style="763" customWidth="1"/>
    <col min="15884" max="15885" width="8.77734375" style="763" customWidth="1"/>
    <col min="15886" max="15886" width="10.77734375" style="763" customWidth="1"/>
    <col min="15887" max="15888" width="7.77734375" style="763" customWidth="1"/>
    <col min="15889" max="15889" width="8.109375" style="763" customWidth="1"/>
    <col min="15890" max="15890" width="6.88671875" style="763" customWidth="1"/>
    <col min="15891" max="15891" width="14.77734375" style="763" customWidth="1"/>
    <col min="15892" max="15893" width="6.88671875" style="763" customWidth="1"/>
    <col min="15894" max="15894" width="7.44140625" style="763" customWidth="1"/>
    <col min="15895" max="15895" width="6.88671875" style="763" customWidth="1"/>
    <col min="15896" max="15896" width="3" style="763" customWidth="1"/>
    <col min="15897" max="15897" width="14.77734375" style="763" customWidth="1"/>
    <col min="15898" max="15898" width="15.77734375" style="763" customWidth="1"/>
    <col min="15899" max="15899" width="15.44140625" style="763" bestFit="1" customWidth="1"/>
    <col min="15900" max="15900" width="17.5546875" style="763" bestFit="1" customWidth="1"/>
    <col min="15901" max="15901" width="12.21875" style="763" bestFit="1" customWidth="1"/>
    <col min="15902" max="15902" width="9" style="763" bestFit="1" customWidth="1"/>
    <col min="15903" max="15903" width="8.88671875" style="763"/>
    <col min="15904" max="15904" width="9.44140625" style="763" bestFit="1" customWidth="1"/>
    <col min="15905" max="16128" width="8.88671875" style="763"/>
    <col min="16129" max="16132" width="6.77734375" style="763" customWidth="1"/>
    <col min="16133" max="16133" width="16" style="763" customWidth="1"/>
    <col min="16134" max="16136" width="13.77734375" style="763" customWidth="1"/>
    <col min="16137" max="16137" width="1.77734375" style="763" customWidth="1"/>
    <col min="16138" max="16138" width="2.88671875" style="763" customWidth="1"/>
    <col min="16139" max="16139" width="2" style="763" customWidth="1"/>
    <col min="16140" max="16141" width="8.77734375" style="763" customWidth="1"/>
    <col min="16142" max="16142" width="10.77734375" style="763" customWidth="1"/>
    <col min="16143" max="16144" width="7.77734375" style="763" customWidth="1"/>
    <col min="16145" max="16145" width="8.109375" style="763" customWidth="1"/>
    <col min="16146" max="16146" width="6.88671875" style="763" customWidth="1"/>
    <col min="16147" max="16147" width="14.77734375" style="763" customWidth="1"/>
    <col min="16148" max="16149" width="6.88671875" style="763" customWidth="1"/>
    <col min="16150" max="16150" width="7.44140625" style="763" customWidth="1"/>
    <col min="16151" max="16151" width="6.88671875" style="763" customWidth="1"/>
    <col min="16152" max="16152" width="3" style="763" customWidth="1"/>
    <col min="16153" max="16153" width="14.77734375" style="763" customWidth="1"/>
    <col min="16154" max="16154" width="15.77734375" style="763" customWidth="1"/>
    <col min="16155" max="16155" width="15.44140625" style="763" bestFit="1" customWidth="1"/>
    <col min="16156" max="16156" width="17.5546875" style="763" bestFit="1" customWidth="1"/>
    <col min="16157" max="16157" width="12.21875" style="763" bestFit="1" customWidth="1"/>
    <col min="16158" max="16158" width="9" style="763" bestFit="1" customWidth="1"/>
    <col min="16159" max="16159" width="8.88671875" style="763"/>
    <col min="16160" max="16160" width="9.44140625" style="763" bestFit="1" customWidth="1"/>
    <col min="16161" max="16384" width="8.88671875" style="763"/>
  </cols>
  <sheetData>
    <row r="1" spans="1:30" ht="27" customHeight="1">
      <c r="A1" s="3805" t="s">
        <v>6119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885"/>
      <c r="AA1" s="880"/>
    </row>
    <row r="2" spans="1:30" s="880" customFormat="1" ht="22.5" customHeight="1" thickBot="1">
      <c r="A2" s="886"/>
      <c r="B2" s="886"/>
      <c r="C2" s="886"/>
      <c r="D2" s="886" t="s">
        <v>378</v>
      </c>
      <c r="E2" s="886"/>
      <c r="F2" s="308"/>
      <c r="G2" s="299"/>
      <c r="H2" s="887" t="s">
        <v>194</v>
      </c>
      <c r="I2" s="1934"/>
      <c r="J2" s="886" t="s">
        <v>378</v>
      </c>
      <c r="K2" s="886"/>
      <c r="L2" s="888" t="s">
        <v>378</v>
      </c>
      <c r="M2" s="886"/>
      <c r="N2" s="886"/>
      <c r="O2" s="886"/>
      <c r="P2" s="889"/>
      <c r="Q2" s="890"/>
      <c r="R2" s="1934"/>
      <c r="S2" s="1934"/>
      <c r="T2" s="1934"/>
      <c r="U2" s="1934"/>
      <c r="V2" s="1934"/>
      <c r="W2" s="1934"/>
      <c r="X2" s="1934"/>
      <c r="Y2" s="488" t="s">
        <v>194</v>
      </c>
      <c r="Z2" s="488"/>
      <c r="AB2" s="308"/>
      <c r="AC2" s="308"/>
      <c r="AD2" s="308"/>
    </row>
    <row r="3" spans="1:30" ht="22.5" customHeight="1">
      <c r="A3" s="3806" t="s">
        <v>218</v>
      </c>
      <c r="B3" s="3807"/>
      <c r="C3" s="3807"/>
      <c r="D3" s="3807"/>
      <c r="E3" s="4027"/>
      <c r="F3" s="3809" t="s">
        <v>174</v>
      </c>
      <c r="G3" s="3811" t="s">
        <v>1077</v>
      </c>
      <c r="H3" s="3813" t="s">
        <v>11</v>
      </c>
      <c r="I3" s="634"/>
      <c r="J3" s="4030" t="s">
        <v>220</v>
      </c>
      <c r="K3" s="4041"/>
      <c r="L3" s="4041"/>
      <c r="M3" s="4041"/>
      <c r="N3" s="4041"/>
      <c r="O3" s="4041"/>
      <c r="P3" s="4041"/>
      <c r="Q3" s="4041"/>
      <c r="R3" s="4041"/>
      <c r="S3" s="4041"/>
      <c r="T3" s="4041"/>
      <c r="U3" s="4041"/>
      <c r="V3" s="4041"/>
      <c r="W3" s="4041"/>
      <c r="X3" s="4041"/>
      <c r="Y3" s="4042"/>
      <c r="Z3" s="891"/>
      <c r="AA3" s="880"/>
    </row>
    <row r="4" spans="1:30" s="897" customFormat="1" ht="22.5" customHeight="1" thickBot="1">
      <c r="A4" s="892" t="s">
        <v>252</v>
      </c>
      <c r="B4" s="893" t="s">
        <v>234</v>
      </c>
      <c r="C4" s="894" t="s">
        <v>221</v>
      </c>
      <c r="D4" s="894" t="s">
        <v>235</v>
      </c>
      <c r="E4" s="894" t="s">
        <v>49</v>
      </c>
      <c r="F4" s="3810"/>
      <c r="G4" s="3812"/>
      <c r="H4" s="3814"/>
      <c r="I4" s="895"/>
      <c r="J4" s="4043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  <c r="Y4" s="4045"/>
      <c r="Z4" s="896"/>
      <c r="AA4" s="503"/>
      <c r="AB4" s="565"/>
      <c r="AC4" s="565"/>
      <c r="AD4" s="2033"/>
    </row>
    <row r="5" spans="1:30" s="897" customFormat="1" ht="23.25" customHeight="1" thickBot="1">
      <c r="A5" s="3827" t="s">
        <v>237</v>
      </c>
      <c r="B5" s="3828"/>
      <c r="C5" s="3828"/>
      <c r="D5" s="3828"/>
      <c r="E5" s="3829"/>
      <c r="F5" s="898"/>
      <c r="G5" s="1935"/>
      <c r="H5" s="1936"/>
      <c r="I5" s="895"/>
      <c r="J5" s="1966"/>
      <c r="K5" s="1967"/>
      <c r="L5" s="1967"/>
      <c r="M5" s="1967"/>
      <c r="N5" s="1967"/>
      <c r="O5" s="1967"/>
      <c r="P5" s="1967"/>
      <c r="Q5" s="1967"/>
      <c r="R5" s="1967"/>
      <c r="S5" s="1967"/>
      <c r="T5" s="1967"/>
      <c r="U5" s="1967"/>
      <c r="V5" s="1967"/>
      <c r="W5" s="1967"/>
      <c r="X5" s="1967"/>
      <c r="Y5" s="1968"/>
      <c r="Z5" s="896"/>
      <c r="AA5" s="503"/>
      <c r="AB5" s="565"/>
      <c r="AC5" s="565"/>
      <c r="AD5" s="2033"/>
    </row>
    <row r="6" spans="1:30" s="709" customFormat="1" ht="23.1" customHeight="1" thickBot="1">
      <c r="A6" s="899"/>
      <c r="B6" s="900" t="s">
        <v>237</v>
      </c>
      <c r="C6" s="901"/>
      <c r="D6" s="901"/>
      <c r="E6" s="902"/>
      <c r="F6" s="903">
        <f>F7+F84</f>
        <v>3402950</v>
      </c>
      <c r="G6" s="903">
        <f>G7+G84</f>
        <v>3417949.9999999921</v>
      </c>
      <c r="H6" s="904">
        <f>+H7+H84</f>
        <v>-14999.999999992084</v>
      </c>
      <c r="I6" s="905"/>
      <c r="J6" s="906"/>
      <c r="K6" s="907"/>
      <c r="L6" s="907"/>
      <c r="M6" s="907"/>
      <c r="N6" s="907"/>
      <c r="O6" s="907"/>
      <c r="P6" s="908"/>
      <c r="Q6" s="909"/>
      <c r="R6" s="910"/>
      <c r="S6" s="911"/>
      <c r="T6" s="912"/>
      <c r="U6" s="911"/>
      <c r="V6" s="912"/>
      <c r="W6" s="912"/>
      <c r="X6" s="911"/>
      <c r="Y6" s="913"/>
      <c r="Z6" s="914"/>
      <c r="AB6" s="915"/>
      <c r="AC6" s="915"/>
      <c r="AD6" s="3166"/>
    </row>
    <row r="7" spans="1:30" s="931" customFormat="1" ht="21" customHeight="1">
      <c r="A7" s="916"/>
      <c r="B7" s="917"/>
      <c r="C7" s="4012" t="s">
        <v>201</v>
      </c>
      <c r="D7" s="4013"/>
      <c r="E7" s="4014"/>
      <c r="F7" s="918">
        <f>+F8+F20+F80</f>
        <v>2173450</v>
      </c>
      <c r="G7" s="918">
        <f>+G8+G20+G80</f>
        <v>2198450</v>
      </c>
      <c r="H7" s="919">
        <f>F7-G7</f>
        <v>-25000</v>
      </c>
      <c r="I7" s="920"/>
      <c r="J7" s="921"/>
      <c r="K7" s="922"/>
      <c r="L7" s="922"/>
      <c r="M7" s="922"/>
      <c r="N7" s="922"/>
      <c r="O7" s="922"/>
      <c r="P7" s="923"/>
      <c r="Q7" s="924"/>
      <c r="R7" s="925"/>
      <c r="S7" s="926"/>
      <c r="T7" s="927"/>
      <c r="U7" s="926"/>
      <c r="V7" s="927"/>
      <c r="W7" s="927"/>
      <c r="X7" s="926"/>
      <c r="Y7" s="928"/>
      <c r="Z7" s="929"/>
      <c r="AA7" s="709"/>
      <c r="AB7" s="930"/>
      <c r="AC7" s="930"/>
      <c r="AD7" s="930"/>
    </row>
    <row r="8" spans="1:30" s="931" customFormat="1" ht="21" customHeight="1">
      <c r="A8" s="916"/>
      <c r="B8" s="1982"/>
      <c r="C8" s="675"/>
      <c r="D8" s="4015" t="s">
        <v>278</v>
      </c>
      <c r="E8" s="4016"/>
      <c r="F8" s="932">
        <f>+F9+F16+F17</f>
        <v>787450</v>
      </c>
      <c r="G8" s="932">
        <f>SUM(G9:G19)</f>
        <v>812450</v>
      </c>
      <c r="H8" s="933">
        <f>+H9+H16+H17</f>
        <v>-25000</v>
      </c>
      <c r="I8" s="734"/>
      <c r="J8" s="934"/>
      <c r="K8" s="935"/>
      <c r="L8" s="935"/>
      <c r="M8" s="935"/>
      <c r="N8" s="935"/>
      <c r="O8" s="935"/>
      <c r="P8" s="936"/>
      <c r="Q8" s="937"/>
      <c r="R8" s="1969"/>
      <c r="S8" s="938"/>
      <c r="T8" s="1957"/>
      <c r="U8" s="938"/>
      <c r="V8" s="1957"/>
      <c r="W8" s="1957"/>
      <c r="X8" s="938"/>
      <c r="Y8" s="939"/>
      <c r="Z8" s="940"/>
      <c r="AA8" s="731"/>
      <c r="AB8" s="690"/>
      <c r="AC8" s="690"/>
      <c r="AD8" s="930"/>
    </row>
    <row r="9" spans="1:30" s="931" customFormat="1" ht="21" customHeight="1">
      <c r="A9" s="916"/>
      <c r="B9" s="1982"/>
      <c r="C9" s="675"/>
      <c r="D9" s="675"/>
      <c r="E9" s="852" t="s">
        <v>602</v>
      </c>
      <c r="F9" s="3173">
        <f>+Y9</f>
        <v>637750</v>
      </c>
      <c r="G9" s="3209">
        <v>657890</v>
      </c>
      <c r="H9" s="3169">
        <f>F9-G9</f>
        <v>-20140</v>
      </c>
      <c r="I9" s="3201"/>
      <c r="J9" s="1738" t="s">
        <v>224</v>
      </c>
      <c r="K9" s="1739"/>
      <c r="L9" s="1739"/>
      <c r="M9" s="1739"/>
      <c r="N9" s="1741"/>
      <c r="O9" s="1741"/>
      <c r="P9" s="1739"/>
      <c r="Q9" s="962"/>
      <c r="R9" s="857"/>
      <c r="S9" s="857"/>
      <c r="T9" s="857"/>
      <c r="U9" s="857"/>
      <c r="V9" s="857"/>
      <c r="W9" s="857"/>
      <c r="X9" s="857"/>
      <c r="Y9" s="861">
        <f t="shared" ref="Y9:Y19" si="0">+Z9/1000</f>
        <v>637750</v>
      </c>
      <c r="Z9" s="862">
        <f>+Z10+Z12+Z14</f>
        <v>637750000</v>
      </c>
      <c r="AA9" s="947"/>
      <c r="AB9" s="690"/>
      <c r="AC9" s="690"/>
      <c r="AD9" s="930">
        <f>AD11-AD10</f>
        <v>-20000000</v>
      </c>
    </row>
    <row r="10" spans="1:30" s="931" customFormat="1" ht="21" customHeight="1">
      <c r="A10" s="673"/>
      <c r="B10" s="674"/>
      <c r="C10" s="948"/>
      <c r="D10" s="675"/>
      <c r="E10" s="851"/>
      <c r="F10" s="941"/>
      <c r="G10" s="3209"/>
      <c r="H10" s="949"/>
      <c r="I10" s="3201"/>
      <c r="J10" s="1731" t="s">
        <v>269</v>
      </c>
      <c r="K10" s="1734"/>
      <c r="L10" s="1735"/>
      <c r="M10" s="1735"/>
      <c r="N10" s="1733"/>
      <c r="O10" s="1733"/>
      <c r="P10" s="1732"/>
      <c r="Q10" s="946" t="s">
        <v>265</v>
      </c>
      <c r="R10" s="3163" t="s">
        <v>378</v>
      </c>
      <c r="S10" s="952"/>
      <c r="T10" s="3163"/>
      <c r="U10" s="3163"/>
      <c r="V10" s="3163"/>
      <c r="W10" s="3163"/>
      <c r="X10" s="3163"/>
      <c r="Y10" s="871">
        <f t="shared" si="0"/>
        <v>540000</v>
      </c>
      <c r="Z10" s="872">
        <f>SUM(Z11:Z11)</f>
        <v>540000000</v>
      </c>
      <c r="AA10" s="947"/>
      <c r="AB10" s="690"/>
      <c r="AC10" s="690"/>
      <c r="AD10" s="930">
        <v>20000000</v>
      </c>
    </row>
    <row r="11" spans="1:30" s="931" customFormat="1" ht="21" customHeight="1">
      <c r="A11" s="673"/>
      <c r="B11" s="674"/>
      <c r="C11" s="948"/>
      <c r="D11" s="675"/>
      <c r="E11" s="851"/>
      <c r="F11" s="941"/>
      <c r="G11" s="3209"/>
      <c r="H11" s="949"/>
      <c r="I11" s="3201"/>
      <c r="J11" s="1731" t="s">
        <v>1793</v>
      </c>
      <c r="K11" s="1736"/>
      <c r="L11" s="1735"/>
      <c r="M11" s="1735"/>
      <c r="N11" s="1737"/>
      <c r="O11" s="1732"/>
      <c r="P11" s="1732"/>
      <c r="Q11" s="946" t="s">
        <v>907</v>
      </c>
      <c r="R11" s="3163" t="s">
        <v>227</v>
      </c>
      <c r="S11" s="3164">
        <v>3750000</v>
      </c>
      <c r="T11" s="3163" t="s">
        <v>37</v>
      </c>
      <c r="U11" s="3163"/>
      <c r="V11" s="3163">
        <v>12</v>
      </c>
      <c r="W11" s="3163" t="s">
        <v>228</v>
      </c>
      <c r="X11" s="3163" t="s">
        <v>38</v>
      </c>
      <c r="Y11" s="871">
        <f t="shared" si="0"/>
        <v>540000</v>
      </c>
      <c r="Z11" s="871">
        <f>S11*Q11*V11</f>
        <v>540000000</v>
      </c>
      <c r="AA11" s="947">
        <f>+Z11-19200000</f>
        <v>520800000</v>
      </c>
      <c r="AB11" s="690">
        <v>3750000</v>
      </c>
      <c r="AC11" s="690">
        <f>AB11*V11*Q11</f>
        <v>540000000</v>
      </c>
      <c r="AD11" s="930">
        <f>Z11-AC11</f>
        <v>0</v>
      </c>
    </row>
    <row r="12" spans="1:30" s="931" customFormat="1" ht="21" customHeight="1">
      <c r="A12" s="673"/>
      <c r="B12" s="674"/>
      <c r="C12" s="948"/>
      <c r="D12" s="675"/>
      <c r="E12" s="851"/>
      <c r="F12" s="941"/>
      <c r="G12" s="3209"/>
      <c r="H12" s="949"/>
      <c r="I12" s="3201"/>
      <c r="J12" s="1731" t="s">
        <v>719</v>
      </c>
      <c r="K12" s="1734"/>
      <c r="L12" s="1735"/>
      <c r="M12" s="1735"/>
      <c r="N12" s="1737"/>
      <c r="O12" s="1732"/>
      <c r="P12" s="1732"/>
      <c r="Q12" s="946"/>
      <c r="R12" s="3016"/>
      <c r="S12" s="3163"/>
      <c r="T12" s="3016"/>
      <c r="U12" s="3163"/>
      <c r="V12" s="3163"/>
      <c r="W12" s="3163"/>
      <c r="X12" s="3163"/>
      <c r="Y12" s="871">
        <f t="shared" si="0"/>
        <v>72000</v>
      </c>
      <c r="Z12" s="871">
        <f>SUM(Z13:Z13)</f>
        <v>72000000</v>
      </c>
      <c r="AA12" s="947"/>
      <c r="AB12" s="690"/>
      <c r="AC12" s="690"/>
      <c r="AD12" s="930"/>
    </row>
    <row r="13" spans="1:30" s="931" customFormat="1" ht="21" customHeight="1">
      <c r="A13" s="673"/>
      <c r="B13" s="674"/>
      <c r="C13" s="948"/>
      <c r="D13" s="675"/>
      <c r="E13" s="851"/>
      <c r="F13" s="941"/>
      <c r="G13" s="3209"/>
      <c r="H13" s="949"/>
      <c r="I13" s="3201"/>
      <c r="J13" s="1731" t="s">
        <v>1793</v>
      </c>
      <c r="K13" s="1736"/>
      <c r="L13" s="1735"/>
      <c r="M13" s="1735"/>
      <c r="N13" s="1737"/>
      <c r="O13" s="1732"/>
      <c r="P13" s="1732"/>
      <c r="Q13" s="946" t="s">
        <v>907</v>
      </c>
      <c r="R13" s="3163" t="s">
        <v>227</v>
      </c>
      <c r="S13" s="3164">
        <v>500000</v>
      </c>
      <c r="T13" s="3163" t="s">
        <v>37</v>
      </c>
      <c r="U13" s="3163"/>
      <c r="V13" s="3163">
        <v>12</v>
      </c>
      <c r="W13" s="3163" t="s">
        <v>228</v>
      </c>
      <c r="X13" s="3163" t="s">
        <v>38</v>
      </c>
      <c r="Y13" s="871">
        <f t="shared" si="0"/>
        <v>72000</v>
      </c>
      <c r="Z13" s="871">
        <f>ROUNDUP(S13*Q13*V13,-3)</f>
        <v>72000000</v>
      </c>
      <c r="AA13" s="947"/>
      <c r="AB13" s="690">
        <f>AD13/V13/Q13</f>
        <v>638888.88888888888</v>
      </c>
      <c r="AC13" s="690"/>
      <c r="AD13" s="930">
        <f>+Z13-AD9</f>
        <v>92000000</v>
      </c>
    </row>
    <row r="14" spans="1:30" s="931" customFormat="1" ht="21" customHeight="1">
      <c r="A14" s="673"/>
      <c r="B14" s="674"/>
      <c r="C14" s="948"/>
      <c r="D14" s="675"/>
      <c r="E14" s="851"/>
      <c r="F14" s="941"/>
      <c r="G14" s="3209"/>
      <c r="H14" s="949"/>
      <c r="I14" s="3201"/>
      <c r="J14" s="1731" t="s">
        <v>270</v>
      </c>
      <c r="K14" s="1734"/>
      <c r="L14" s="1735"/>
      <c r="M14" s="1735"/>
      <c r="N14" s="1737"/>
      <c r="O14" s="1732"/>
      <c r="P14" s="1732"/>
      <c r="Q14" s="946"/>
      <c r="R14" s="3016"/>
      <c r="S14" s="3163"/>
      <c r="T14" s="3016"/>
      <c r="U14" s="3163"/>
      <c r="V14" s="3163"/>
      <c r="W14" s="3163"/>
      <c r="X14" s="3163"/>
      <c r="Y14" s="871">
        <f t="shared" si="0"/>
        <v>25750</v>
      </c>
      <c r="Z14" s="871">
        <f>SUM(Z15:Z15)</f>
        <v>25750000</v>
      </c>
      <c r="AA14" s="947"/>
      <c r="AB14" s="690"/>
      <c r="AC14" s="690"/>
      <c r="AD14" s="930"/>
    </row>
    <row r="15" spans="1:30" s="931" customFormat="1" ht="21" customHeight="1">
      <c r="A15" s="673"/>
      <c r="B15" s="674"/>
      <c r="C15" s="948"/>
      <c r="D15" s="675"/>
      <c r="E15" s="851"/>
      <c r="F15" s="941"/>
      <c r="G15" s="3209"/>
      <c r="H15" s="949"/>
      <c r="I15" s="3201"/>
      <c r="J15" s="1731" t="s">
        <v>1793</v>
      </c>
      <c r="K15" s="1736"/>
      <c r="L15" s="1735"/>
      <c r="M15" s="1735"/>
      <c r="N15" s="1737"/>
      <c r="O15" s="1732"/>
      <c r="P15" s="1732"/>
      <c r="Q15" s="946" t="s">
        <v>907</v>
      </c>
      <c r="R15" s="3163" t="s">
        <v>227</v>
      </c>
      <c r="S15" s="3164">
        <v>2145833.3333333335</v>
      </c>
      <c r="T15" s="3163" t="s">
        <v>37</v>
      </c>
      <c r="U15" s="3163"/>
      <c r="V15" s="3163">
        <v>1</v>
      </c>
      <c r="W15" s="3163" t="s">
        <v>226</v>
      </c>
      <c r="X15" s="3163" t="s">
        <v>38</v>
      </c>
      <c r="Y15" s="871">
        <f t="shared" si="0"/>
        <v>25750</v>
      </c>
      <c r="Z15" s="871">
        <f>ROUNDUP(S15*Q15*V15,-3)</f>
        <v>25750000</v>
      </c>
      <c r="AA15" s="947">
        <f>+Z15+960000</f>
        <v>26710000</v>
      </c>
      <c r="AB15" s="690">
        <f>AA15/Q15</f>
        <v>2225833.3333333335</v>
      </c>
      <c r="AC15" s="690"/>
      <c r="AD15" s="930"/>
    </row>
    <row r="16" spans="1:30" s="931" customFormat="1" ht="21" customHeight="1">
      <c r="A16" s="673"/>
      <c r="B16" s="674"/>
      <c r="C16" s="948"/>
      <c r="D16" s="675"/>
      <c r="E16" s="851" t="s">
        <v>601</v>
      </c>
      <c r="F16" s="941">
        <f>Y16</f>
        <v>76500</v>
      </c>
      <c r="G16" s="3209">
        <v>79200</v>
      </c>
      <c r="H16" s="949">
        <f>F16-G16</f>
        <v>-2700</v>
      </c>
      <c r="I16" s="3201"/>
      <c r="J16" s="1731" t="s">
        <v>1668</v>
      </c>
      <c r="K16" s="1732"/>
      <c r="L16" s="1735"/>
      <c r="M16" s="1735"/>
      <c r="N16" s="1733"/>
      <c r="O16" s="1733"/>
      <c r="P16" s="1732"/>
      <c r="Q16" s="946"/>
      <c r="R16" s="3163"/>
      <c r="S16" s="3164">
        <f>+Z11+Z13</f>
        <v>612000000</v>
      </c>
      <c r="T16" s="3163" t="s">
        <v>600</v>
      </c>
      <c r="U16" s="3166">
        <v>12</v>
      </c>
      <c r="V16" s="3163" t="s">
        <v>599</v>
      </c>
      <c r="W16" s="3208">
        <v>1.5</v>
      </c>
      <c r="X16" s="3163" t="s">
        <v>38</v>
      </c>
      <c r="Y16" s="871">
        <f t="shared" si="0"/>
        <v>76500</v>
      </c>
      <c r="Z16" s="872">
        <f>+(S16/U16*W16)</f>
        <v>76500000</v>
      </c>
      <c r="AA16" s="947"/>
      <c r="AB16" s="690"/>
      <c r="AC16" s="690"/>
      <c r="AD16" s="930"/>
    </row>
    <row r="17" spans="1:30" s="931" customFormat="1" ht="21" customHeight="1">
      <c r="A17" s="673"/>
      <c r="B17" s="674"/>
      <c r="C17" s="948"/>
      <c r="D17" s="675"/>
      <c r="E17" s="851" t="s">
        <v>718</v>
      </c>
      <c r="F17" s="941">
        <f>Y17</f>
        <v>73200</v>
      </c>
      <c r="G17" s="3209">
        <v>75360</v>
      </c>
      <c r="H17" s="949">
        <f>F17-G17</f>
        <v>-2160</v>
      </c>
      <c r="I17" s="3201"/>
      <c r="J17" s="1731" t="s">
        <v>224</v>
      </c>
      <c r="K17" s="1732"/>
      <c r="L17" s="1732"/>
      <c r="M17" s="1732"/>
      <c r="N17" s="1733"/>
      <c r="O17" s="1733"/>
      <c r="P17" s="1732"/>
      <c r="Q17" s="946"/>
      <c r="R17" s="3163"/>
      <c r="S17" s="3163"/>
      <c r="T17" s="3163"/>
      <c r="U17" s="3163"/>
      <c r="V17" s="3163"/>
      <c r="W17" s="3163"/>
      <c r="X17" s="3163"/>
      <c r="Y17" s="871">
        <f t="shared" si="0"/>
        <v>73200</v>
      </c>
      <c r="Z17" s="872">
        <f>SUM(Z18:Z19)</f>
        <v>73200000</v>
      </c>
      <c r="AA17" s="947"/>
      <c r="AB17" s="690"/>
      <c r="AC17" s="690"/>
      <c r="AD17" s="930"/>
    </row>
    <row r="18" spans="1:30" s="967" customFormat="1" ht="21" customHeight="1">
      <c r="A18" s="866"/>
      <c r="B18" s="851"/>
      <c r="C18" s="968"/>
      <c r="D18" s="675"/>
      <c r="E18" s="851"/>
      <c r="F18" s="941"/>
      <c r="G18" s="3209"/>
      <c r="H18" s="949"/>
      <c r="I18" s="3201"/>
      <c r="J18" s="1731" t="s">
        <v>835</v>
      </c>
      <c r="K18" s="1732"/>
      <c r="L18" s="1732"/>
      <c r="M18" s="1732"/>
      <c r="N18" s="1733"/>
      <c r="O18" s="1732"/>
      <c r="P18" s="1732"/>
      <c r="Q18" s="946"/>
      <c r="R18" s="3163"/>
      <c r="S18" s="3164">
        <f>+S16</f>
        <v>612000000</v>
      </c>
      <c r="T18" s="3163" t="s">
        <v>37</v>
      </c>
      <c r="U18" s="3163"/>
      <c r="V18" s="969">
        <v>0.1</v>
      </c>
      <c r="W18" s="3163"/>
      <c r="X18" s="3163" t="s">
        <v>38</v>
      </c>
      <c r="Y18" s="871">
        <f t="shared" si="0"/>
        <v>61200</v>
      </c>
      <c r="Z18" s="872">
        <f>ROUNDUP(S18*V18,-3)</f>
        <v>61200000</v>
      </c>
      <c r="AA18" s="947"/>
      <c r="AB18" s="690"/>
      <c r="AC18" s="966"/>
      <c r="AD18" s="1055"/>
    </row>
    <row r="19" spans="1:30" s="931" customFormat="1" ht="21" customHeight="1">
      <c r="A19" s="673"/>
      <c r="B19" s="674"/>
      <c r="C19" s="948"/>
      <c r="D19" s="970"/>
      <c r="E19" s="971"/>
      <c r="F19" s="972"/>
      <c r="G19" s="3211"/>
      <c r="H19" s="2062"/>
      <c r="I19" s="3201"/>
      <c r="J19" s="1742" t="s">
        <v>367</v>
      </c>
      <c r="K19" s="1743"/>
      <c r="L19" s="1743"/>
      <c r="M19" s="1743"/>
      <c r="N19" s="1744"/>
      <c r="O19" s="1744"/>
      <c r="P19" s="1743"/>
      <c r="Q19" s="977"/>
      <c r="R19" s="978"/>
      <c r="S19" s="979">
        <v>1000000</v>
      </c>
      <c r="T19" s="978" t="s">
        <v>37</v>
      </c>
      <c r="U19" s="978"/>
      <c r="V19" s="980">
        <v>12</v>
      </c>
      <c r="W19" s="978" t="s">
        <v>259</v>
      </c>
      <c r="X19" s="978" t="s">
        <v>38</v>
      </c>
      <c r="Y19" s="981">
        <f t="shared" si="0"/>
        <v>12000</v>
      </c>
      <c r="Z19" s="982">
        <f>ROUNDUP(S19*V19,-3)</f>
        <v>12000000</v>
      </c>
      <c r="AA19" s="947"/>
      <c r="AB19" s="690"/>
      <c r="AC19" s="690"/>
      <c r="AD19" s="930"/>
    </row>
    <row r="20" spans="1:30" s="931" customFormat="1" ht="21" customHeight="1">
      <c r="A20" s="916"/>
      <c r="B20" s="1982"/>
      <c r="C20" s="675"/>
      <c r="D20" s="3955" t="s">
        <v>486</v>
      </c>
      <c r="E20" s="3883"/>
      <c r="F20" s="983">
        <f>SUM(F21:F79)</f>
        <v>1366000</v>
      </c>
      <c r="G20" s="983">
        <f>SUM(G21:G79)</f>
        <v>1366000</v>
      </c>
      <c r="H20" s="984">
        <f>F20-G20</f>
        <v>0</v>
      </c>
      <c r="I20" s="734"/>
      <c r="J20" s="1745"/>
      <c r="K20" s="1746"/>
      <c r="L20" s="1746"/>
      <c r="M20" s="1746"/>
      <c r="N20" s="1746"/>
      <c r="O20" s="1746"/>
      <c r="P20" s="1746"/>
      <c r="Q20" s="987"/>
      <c r="R20" s="988"/>
      <c r="S20" s="1976"/>
      <c r="T20" s="988"/>
      <c r="U20" s="1976"/>
      <c r="V20" s="988"/>
      <c r="W20" s="1976"/>
      <c r="X20" s="1976"/>
      <c r="Y20" s="981"/>
      <c r="Z20" s="929"/>
      <c r="AA20" s="947"/>
      <c r="AB20" s="690"/>
      <c r="AC20" s="930"/>
      <c r="AD20" s="930"/>
    </row>
    <row r="21" spans="1:30" s="967" customFormat="1" ht="21" customHeight="1">
      <c r="A21" s="916"/>
      <c r="B21" s="1982"/>
      <c r="C21" s="675"/>
      <c r="D21" s="675"/>
      <c r="E21" s="1034" t="s">
        <v>396</v>
      </c>
      <c r="F21" s="1921">
        <f>Y21</f>
        <v>3750</v>
      </c>
      <c r="G21" s="1921">
        <v>3750</v>
      </c>
      <c r="H21" s="854"/>
      <c r="I21" s="734"/>
      <c r="J21" s="1751" t="s">
        <v>1840</v>
      </c>
      <c r="K21" s="1740"/>
      <c r="L21" s="1740"/>
      <c r="M21" s="1740"/>
      <c r="N21" s="1740"/>
      <c r="O21" s="1740"/>
      <c r="P21" s="1740"/>
      <c r="Q21" s="1425"/>
      <c r="R21" s="3198"/>
      <c r="S21" s="3210">
        <v>250000</v>
      </c>
      <c r="T21" s="3202" t="s">
        <v>37</v>
      </c>
      <c r="U21" s="3210"/>
      <c r="V21" s="3202">
        <v>15</v>
      </c>
      <c r="W21" s="3202" t="s">
        <v>259</v>
      </c>
      <c r="X21" s="3210" t="s">
        <v>38</v>
      </c>
      <c r="Y21" s="861">
        <f t="shared" ref="Y21:Y41" si="1">+Z21/1000</f>
        <v>3750</v>
      </c>
      <c r="Z21" s="862">
        <f>S21*V21</f>
        <v>3750000</v>
      </c>
      <c r="AA21" s="947"/>
      <c r="AB21" s="690"/>
      <c r="AC21" s="930"/>
      <c r="AD21" s="1055"/>
    </row>
    <row r="22" spans="1:30" s="931" customFormat="1" ht="21" customHeight="1">
      <c r="A22" s="916"/>
      <c r="B22" s="1982"/>
      <c r="C22" s="675"/>
      <c r="D22" s="1981"/>
      <c r="E22" s="3160" t="s">
        <v>352</v>
      </c>
      <c r="F22" s="1020">
        <f>SUM(Y22)</f>
        <v>1200</v>
      </c>
      <c r="G22" s="1013">
        <v>1200</v>
      </c>
      <c r="H22" s="865"/>
      <c r="I22" s="734"/>
      <c r="J22" s="1731" t="s">
        <v>1792</v>
      </c>
      <c r="K22" s="1732"/>
      <c r="L22" s="1732"/>
      <c r="M22" s="1732"/>
      <c r="N22" s="1733"/>
      <c r="O22" s="1732"/>
      <c r="P22" s="1732"/>
      <c r="Q22" s="946"/>
      <c r="R22" s="3163"/>
      <c r="S22" s="3164">
        <v>100000</v>
      </c>
      <c r="T22" s="3163" t="s">
        <v>37</v>
      </c>
      <c r="U22" s="3163"/>
      <c r="V22" s="3163">
        <v>12</v>
      </c>
      <c r="W22" s="3163" t="s">
        <v>259</v>
      </c>
      <c r="X22" s="3163" t="s">
        <v>38</v>
      </c>
      <c r="Y22" s="871">
        <f t="shared" si="1"/>
        <v>1200</v>
      </c>
      <c r="Z22" s="872">
        <f>S22*V22</f>
        <v>1200000</v>
      </c>
      <c r="AA22" s="947"/>
      <c r="AB22" s="690"/>
      <c r="AC22" s="930"/>
      <c r="AD22" s="930"/>
    </row>
    <row r="23" spans="1:30" s="931" customFormat="1" ht="21" customHeight="1">
      <c r="A23" s="916"/>
      <c r="B23" s="1982"/>
      <c r="C23" s="675"/>
      <c r="D23" s="674"/>
      <c r="E23" s="851" t="s">
        <v>229</v>
      </c>
      <c r="F23" s="941">
        <f>ROUNDUP(+Z23/1000,0)</f>
        <v>2551</v>
      </c>
      <c r="G23" s="941">
        <v>2551</v>
      </c>
      <c r="H23" s="865"/>
      <c r="I23" s="734"/>
      <c r="J23" s="1749" t="s">
        <v>224</v>
      </c>
      <c r="K23" s="1732"/>
      <c r="L23" s="1732"/>
      <c r="M23" s="1732"/>
      <c r="N23" s="1733"/>
      <c r="O23" s="1732"/>
      <c r="P23" s="1732"/>
      <c r="Q23" s="946"/>
      <c r="R23" s="3163"/>
      <c r="S23" s="3164"/>
      <c r="T23" s="3163"/>
      <c r="U23" s="3163"/>
      <c r="V23" s="3163"/>
      <c r="W23" s="3163"/>
      <c r="X23" s="3163"/>
      <c r="Y23" s="871">
        <f t="shared" si="1"/>
        <v>2551</v>
      </c>
      <c r="Z23" s="872">
        <f>SUM(Z24:Z26)</f>
        <v>2551000</v>
      </c>
      <c r="AA23" s="947"/>
      <c r="AB23" s="690"/>
      <c r="AC23" s="930"/>
      <c r="AD23" s="930"/>
    </row>
    <row r="24" spans="1:30" s="931" customFormat="1" ht="21" customHeight="1">
      <c r="A24" s="916"/>
      <c r="B24" s="1982"/>
      <c r="C24" s="675"/>
      <c r="D24" s="674"/>
      <c r="E24" s="851"/>
      <c r="F24" s="941"/>
      <c r="G24" s="941"/>
      <c r="H24" s="949"/>
      <c r="I24" s="734"/>
      <c r="J24" s="1731" t="s">
        <v>490</v>
      </c>
      <c r="K24" s="1732"/>
      <c r="L24" s="1732"/>
      <c r="M24" s="1732"/>
      <c r="N24" s="1733"/>
      <c r="O24" s="1732"/>
      <c r="P24" s="1732"/>
      <c r="Q24" s="946"/>
      <c r="R24" s="3163"/>
      <c r="S24" s="3164">
        <v>1000000</v>
      </c>
      <c r="T24" s="3163" t="s">
        <v>37</v>
      </c>
      <c r="U24" s="3163"/>
      <c r="V24" s="3163">
        <v>1</v>
      </c>
      <c r="W24" s="3163" t="s">
        <v>243</v>
      </c>
      <c r="X24" s="3163" t="s">
        <v>38</v>
      </c>
      <c r="Y24" s="871">
        <f t="shared" si="1"/>
        <v>1000</v>
      </c>
      <c r="Z24" s="872">
        <f>S24*V24</f>
        <v>1000000</v>
      </c>
      <c r="AA24" s="947"/>
      <c r="AB24" s="690"/>
      <c r="AC24" s="930"/>
      <c r="AD24" s="930"/>
    </row>
    <row r="25" spans="1:30" s="931" customFormat="1" ht="21" customHeight="1">
      <c r="A25" s="916"/>
      <c r="B25" s="1982"/>
      <c r="C25" s="675"/>
      <c r="D25" s="674"/>
      <c r="E25" s="851"/>
      <c r="F25" s="941"/>
      <c r="G25" s="941"/>
      <c r="H25" s="949"/>
      <c r="I25" s="734"/>
      <c r="J25" s="1731" t="s">
        <v>491</v>
      </c>
      <c r="K25" s="1732"/>
      <c r="L25" s="1732"/>
      <c r="M25" s="1732"/>
      <c r="N25" s="1733"/>
      <c r="O25" s="1732"/>
      <c r="P25" s="1732"/>
      <c r="Q25" s="946"/>
      <c r="R25" s="3163"/>
      <c r="S25" s="3164">
        <v>1400000</v>
      </c>
      <c r="T25" s="3163" t="s">
        <v>37</v>
      </c>
      <c r="U25" s="3163"/>
      <c r="V25" s="3163">
        <v>1</v>
      </c>
      <c r="W25" s="3163" t="s">
        <v>243</v>
      </c>
      <c r="X25" s="3163" t="s">
        <v>38</v>
      </c>
      <c r="Y25" s="871">
        <f t="shared" si="1"/>
        <v>1400</v>
      </c>
      <c r="Z25" s="872">
        <f>S25*V25</f>
        <v>1400000</v>
      </c>
      <c r="AA25" s="947"/>
      <c r="AB25" s="690"/>
      <c r="AC25" s="930"/>
      <c r="AD25" s="930"/>
    </row>
    <row r="26" spans="1:30" s="931" customFormat="1" ht="21" customHeight="1">
      <c r="A26" s="916"/>
      <c r="B26" s="1982"/>
      <c r="C26" s="675"/>
      <c r="D26" s="674"/>
      <c r="E26" s="851"/>
      <c r="F26" s="941"/>
      <c r="G26" s="941"/>
      <c r="H26" s="949"/>
      <c r="I26" s="734"/>
      <c r="J26" s="1731" t="s">
        <v>492</v>
      </c>
      <c r="K26" s="1732"/>
      <c r="L26" s="1732"/>
      <c r="M26" s="1732"/>
      <c r="N26" s="1733"/>
      <c r="O26" s="1732"/>
      <c r="P26" s="1732"/>
      <c r="Q26" s="946"/>
      <c r="R26" s="3163"/>
      <c r="S26" s="3164">
        <v>151000</v>
      </c>
      <c r="T26" s="3163" t="s">
        <v>37</v>
      </c>
      <c r="U26" s="3163"/>
      <c r="V26" s="3163">
        <v>1</v>
      </c>
      <c r="W26" s="3163" t="s">
        <v>243</v>
      </c>
      <c r="X26" s="3163" t="s">
        <v>38</v>
      </c>
      <c r="Y26" s="871">
        <f t="shared" si="1"/>
        <v>151</v>
      </c>
      <c r="Z26" s="872">
        <f>S26*V26</f>
        <v>151000</v>
      </c>
      <c r="AA26" s="947"/>
      <c r="AB26" s="690"/>
      <c r="AC26" s="930"/>
      <c r="AD26" s="930"/>
    </row>
    <row r="27" spans="1:30" s="931" customFormat="1" ht="21" customHeight="1">
      <c r="A27" s="916"/>
      <c r="B27" s="1982"/>
      <c r="C27" s="675"/>
      <c r="D27" s="674"/>
      <c r="E27" s="851" t="s">
        <v>27</v>
      </c>
      <c r="F27" s="1020">
        <f>SUM(Y27)</f>
        <v>7000</v>
      </c>
      <c r="G27" s="1013">
        <v>7000</v>
      </c>
      <c r="H27" s="1021"/>
      <c r="I27" s="734"/>
      <c r="J27" s="1731" t="s">
        <v>1724</v>
      </c>
      <c r="K27" s="1732"/>
      <c r="L27" s="1732"/>
      <c r="M27" s="1732"/>
      <c r="N27" s="1733"/>
      <c r="O27" s="1732"/>
      <c r="P27" s="1732"/>
      <c r="Q27" s="946"/>
      <c r="R27" s="3163"/>
      <c r="S27" s="3164">
        <v>7000000</v>
      </c>
      <c r="T27" s="3163" t="s">
        <v>37</v>
      </c>
      <c r="U27" s="3163"/>
      <c r="V27" s="3163">
        <v>1</v>
      </c>
      <c r="W27" s="3163" t="s">
        <v>226</v>
      </c>
      <c r="X27" s="3163" t="s">
        <v>38</v>
      </c>
      <c r="Y27" s="871">
        <f t="shared" si="1"/>
        <v>7000</v>
      </c>
      <c r="Z27" s="872">
        <f>S27*V27</f>
        <v>7000000</v>
      </c>
      <c r="AA27" s="947"/>
      <c r="AB27" s="690"/>
      <c r="AC27" s="930"/>
      <c r="AD27" s="930"/>
    </row>
    <row r="28" spans="1:30" s="931" customFormat="1" ht="21" customHeight="1">
      <c r="A28" s="916"/>
      <c r="B28" s="1982"/>
      <c r="C28" s="675"/>
      <c r="D28" s="674"/>
      <c r="E28" s="851" t="s">
        <v>496</v>
      </c>
      <c r="F28" s="1020">
        <f>SUM(Y28)</f>
        <v>6000</v>
      </c>
      <c r="G28" s="1013">
        <v>6000</v>
      </c>
      <c r="H28" s="1021"/>
      <c r="I28" s="734"/>
      <c r="J28" s="1749" t="s">
        <v>224</v>
      </c>
      <c r="K28" s="1732"/>
      <c r="L28" s="1732"/>
      <c r="M28" s="1732"/>
      <c r="N28" s="1733"/>
      <c r="O28" s="1732"/>
      <c r="P28" s="1732"/>
      <c r="Q28" s="946"/>
      <c r="R28" s="3163"/>
      <c r="S28" s="3164"/>
      <c r="T28" s="3163"/>
      <c r="U28" s="3163"/>
      <c r="V28" s="3163"/>
      <c r="W28" s="3163"/>
      <c r="X28" s="3163"/>
      <c r="Y28" s="871">
        <f t="shared" si="1"/>
        <v>6000</v>
      </c>
      <c r="Z28" s="872">
        <f>SUM(Z29:Z30)</f>
        <v>6000000</v>
      </c>
      <c r="AA28" s="947"/>
      <c r="AB28" s="690"/>
      <c r="AC28" s="930"/>
      <c r="AD28" s="930"/>
    </row>
    <row r="29" spans="1:30" s="931" customFormat="1" ht="21" customHeight="1">
      <c r="A29" s="916"/>
      <c r="B29" s="1982"/>
      <c r="C29" s="675"/>
      <c r="D29" s="674"/>
      <c r="E29" s="851"/>
      <c r="F29" s="1013"/>
      <c r="G29" s="1013"/>
      <c r="H29" s="865"/>
      <c r="I29" s="734"/>
      <c r="J29" s="1731" t="s">
        <v>574</v>
      </c>
      <c r="K29" s="1732"/>
      <c r="L29" s="1732"/>
      <c r="M29" s="1732"/>
      <c r="N29" s="1733"/>
      <c r="O29" s="1732"/>
      <c r="P29" s="1732"/>
      <c r="Q29" s="946"/>
      <c r="R29" s="3163"/>
      <c r="S29" s="3164">
        <v>100000</v>
      </c>
      <c r="T29" s="3163" t="s">
        <v>37</v>
      </c>
      <c r="U29" s="3163"/>
      <c r="V29" s="3163">
        <v>12</v>
      </c>
      <c r="W29" s="3163" t="s">
        <v>228</v>
      </c>
      <c r="X29" s="3163" t="s">
        <v>38</v>
      </c>
      <c r="Y29" s="871">
        <f t="shared" si="1"/>
        <v>1200</v>
      </c>
      <c r="Z29" s="872">
        <f>+S29*V29</f>
        <v>1200000</v>
      </c>
      <c r="AA29" s="947"/>
      <c r="AB29" s="690"/>
      <c r="AC29" s="930"/>
      <c r="AD29" s="930"/>
    </row>
    <row r="30" spans="1:30" s="931" customFormat="1" ht="21" customHeight="1">
      <c r="A30" s="916"/>
      <c r="B30" s="1982"/>
      <c r="C30" s="675"/>
      <c r="D30" s="674"/>
      <c r="E30" s="851"/>
      <c r="F30" s="1013"/>
      <c r="G30" s="1013"/>
      <c r="H30" s="865"/>
      <c r="I30" s="734"/>
      <c r="J30" s="1731" t="s">
        <v>1124</v>
      </c>
      <c r="K30" s="1732"/>
      <c r="L30" s="1732"/>
      <c r="M30" s="1732"/>
      <c r="N30" s="1733"/>
      <c r="O30" s="1732"/>
      <c r="P30" s="1732"/>
      <c r="Q30" s="946" t="s">
        <v>520</v>
      </c>
      <c r="R30" s="3163" t="s">
        <v>715</v>
      </c>
      <c r="S30" s="3164">
        <v>200000</v>
      </c>
      <c r="T30" s="3163" t="s">
        <v>37</v>
      </c>
      <c r="U30" s="3163"/>
      <c r="V30" s="3163">
        <v>12</v>
      </c>
      <c r="W30" s="3163" t="s">
        <v>228</v>
      </c>
      <c r="X30" s="3163" t="s">
        <v>38</v>
      </c>
      <c r="Y30" s="871">
        <f t="shared" si="1"/>
        <v>4800</v>
      </c>
      <c r="Z30" s="872">
        <f>Q30*S30*V30</f>
        <v>4800000</v>
      </c>
      <c r="AA30" s="947"/>
      <c r="AB30" s="690"/>
      <c r="AC30" s="930"/>
      <c r="AD30" s="930"/>
    </row>
    <row r="31" spans="1:30" s="931" customFormat="1" ht="21" customHeight="1">
      <c r="A31" s="916"/>
      <c r="B31" s="1982"/>
      <c r="C31" s="675"/>
      <c r="D31" s="674"/>
      <c r="E31" s="851" t="s">
        <v>18</v>
      </c>
      <c r="F31" s="1020">
        <f>+Y31</f>
        <v>32255</v>
      </c>
      <c r="G31" s="1013">
        <v>32255</v>
      </c>
      <c r="H31" s="1021"/>
      <c r="I31" s="734"/>
      <c r="J31" s="1749" t="s">
        <v>224</v>
      </c>
      <c r="K31" s="1732"/>
      <c r="L31" s="1732"/>
      <c r="M31" s="1732"/>
      <c r="N31" s="1733"/>
      <c r="O31" s="1732"/>
      <c r="P31" s="1732"/>
      <c r="Q31" s="946"/>
      <c r="R31" s="3163"/>
      <c r="S31" s="3164"/>
      <c r="T31" s="3163"/>
      <c r="U31" s="3163"/>
      <c r="V31" s="3163"/>
      <c r="W31" s="3163"/>
      <c r="X31" s="3163"/>
      <c r="Y31" s="871">
        <f t="shared" si="1"/>
        <v>32255</v>
      </c>
      <c r="Z31" s="872">
        <f>SUM(Z32:Z35)</f>
        <v>32255000</v>
      </c>
      <c r="AA31" s="947"/>
      <c r="AB31" s="690"/>
      <c r="AC31" s="930"/>
      <c r="AD31" s="930"/>
    </row>
    <row r="32" spans="1:30" s="931" customFormat="1" ht="21" customHeight="1">
      <c r="A32" s="916"/>
      <c r="B32" s="1982"/>
      <c r="C32" s="675"/>
      <c r="D32" s="674"/>
      <c r="E32" s="851"/>
      <c r="F32" s="1013"/>
      <c r="G32" s="1013"/>
      <c r="H32" s="865"/>
      <c r="I32" s="734"/>
      <c r="J32" s="1731" t="s">
        <v>500</v>
      </c>
      <c r="K32" s="1732"/>
      <c r="L32" s="1732"/>
      <c r="M32" s="1732"/>
      <c r="N32" s="1733"/>
      <c r="O32" s="1732"/>
      <c r="P32" s="1732"/>
      <c r="Q32" s="946"/>
      <c r="R32" s="3163"/>
      <c r="S32" s="3164">
        <v>7000000</v>
      </c>
      <c r="T32" s="3163" t="s">
        <v>37</v>
      </c>
      <c r="U32" s="3163"/>
      <c r="V32" s="3163">
        <v>4</v>
      </c>
      <c r="W32" s="3163" t="s">
        <v>226</v>
      </c>
      <c r="X32" s="3163" t="s">
        <v>38</v>
      </c>
      <c r="Y32" s="871">
        <f t="shared" si="1"/>
        <v>28000</v>
      </c>
      <c r="Z32" s="872">
        <f>SUM(S32*V32)</f>
        <v>28000000</v>
      </c>
      <c r="AA32" s="947"/>
      <c r="AB32" s="690"/>
      <c r="AC32" s="930"/>
      <c r="AD32" s="930"/>
    </row>
    <row r="33" spans="1:30" s="931" customFormat="1" ht="21" customHeight="1">
      <c r="A33" s="916"/>
      <c r="B33" s="1982"/>
      <c r="C33" s="675"/>
      <c r="D33" s="674"/>
      <c r="E33" s="851"/>
      <c r="F33" s="1013"/>
      <c r="G33" s="1013"/>
      <c r="H33" s="865"/>
      <c r="I33" s="734"/>
      <c r="J33" s="1731" t="s">
        <v>714</v>
      </c>
      <c r="K33" s="1732"/>
      <c r="L33" s="1732"/>
      <c r="M33" s="1732"/>
      <c r="N33" s="1733"/>
      <c r="O33" s="1732"/>
      <c r="P33" s="1732"/>
      <c r="Q33" s="946"/>
      <c r="R33" s="3163"/>
      <c r="S33" s="3164">
        <v>1500000</v>
      </c>
      <c r="T33" s="3163" t="s">
        <v>37</v>
      </c>
      <c r="U33" s="3163"/>
      <c r="V33" s="3163">
        <v>2</v>
      </c>
      <c r="W33" s="3163" t="s">
        <v>39</v>
      </c>
      <c r="X33" s="3163" t="s">
        <v>38</v>
      </c>
      <c r="Y33" s="871">
        <f t="shared" si="1"/>
        <v>3000</v>
      </c>
      <c r="Z33" s="872">
        <f>SUM(S33*V33)</f>
        <v>3000000</v>
      </c>
      <c r="AA33" s="947"/>
      <c r="AB33" s="690"/>
      <c r="AC33" s="930"/>
      <c r="AD33" s="930"/>
    </row>
    <row r="34" spans="1:30" s="931" customFormat="1" ht="21" customHeight="1">
      <c r="A34" s="916"/>
      <c r="B34" s="1982"/>
      <c r="C34" s="675"/>
      <c r="D34" s="674"/>
      <c r="E34" s="851"/>
      <c r="F34" s="1013"/>
      <c r="G34" s="1013"/>
      <c r="H34" s="865"/>
      <c r="I34" s="734"/>
      <c r="J34" s="1731" t="s">
        <v>836</v>
      </c>
      <c r="K34" s="1732"/>
      <c r="L34" s="1732"/>
      <c r="M34" s="1732"/>
      <c r="N34" s="1733"/>
      <c r="O34" s="1732"/>
      <c r="P34" s="1732"/>
      <c r="Q34" s="946"/>
      <c r="R34" s="3163"/>
      <c r="S34" s="3164">
        <v>400000</v>
      </c>
      <c r="T34" s="3163" t="s">
        <v>37</v>
      </c>
      <c r="U34" s="3163"/>
      <c r="V34" s="3163">
        <v>1</v>
      </c>
      <c r="W34" s="3163" t="s">
        <v>226</v>
      </c>
      <c r="X34" s="3163" t="s">
        <v>38</v>
      </c>
      <c r="Y34" s="871">
        <f t="shared" si="1"/>
        <v>400</v>
      </c>
      <c r="Z34" s="872">
        <f>SUM(S34*V34)</f>
        <v>400000</v>
      </c>
      <c r="AA34" s="947"/>
      <c r="AB34" s="690"/>
      <c r="AC34" s="930"/>
      <c r="AD34" s="930"/>
    </row>
    <row r="35" spans="1:30" s="931" customFormat="1" ht="21" customHeight="1">
      <c r="A35" s="916"/>
      <c r="B35" s="1982"/>
      <c r="C35" s="675"/>
      <c r="D35" s="674"/>
      <c r="E35" s="851"/>
      <c r="F35" s="1013"/>
      <c r="G35" s="1013"/>
      <c r="H35" s="865"/>
      <c r="I35" s="734"/>
      <c r="J35" s="1731" t="s">
        <v>503</v>
      </c>
      <c r="K35" s="1732"/>
      <c r="L35" s="1732"/>
      <c r="M35" s="1732"/>
      <c r="N35" s="1733"/>
      <c r="O35" s="1732"/>
      <c r="P35" s="1732"/>
      <c r="Q35" s="946"/>
      <c r="R35" s="3163"/>
      <c r="S35" s="3164">
        <v>855000</v>
      </c>
      <c r="T35" s="3163" t="s">
        <v>37</v>
      </c>
      <c r="U35" s="3163"/>
      <c r="V35" s="3163">
        <v>1</v>
      </c>
      <c r="W35" s="3163" t="s">
        <v>39</v>
      </c>
      <c r="X35" s="3163" t="s">
        <v>38</v>
      </c>
      <c r="Y35" s="871">
        <f t="shared" si="1"/>
        <v>855</v>
      </c>
      <c r="Z35" s="872">
        <f>SUM(S35*V35)</f>
        <v>855000</v>
      </c>
      <c r="AA35" s="947"/>
      <c r="AB35" s="690"/>
      <c r="AC35" s="930"/>
      <c r="AD35" s="930"/>
    </row>
    <row r="36" spans="1:30" s="931" customFormat="1" ht="21" customHeight="1">
      <c r="A36" s="916"/>
      <c r="B36" s="1982"/>
      <c r="C36" s="675"/>
      <c r="D36" s="674"/>
      <c r="E36" s="851" t="s">
        <v>264</v>
      </c>
      <c r="F36" s="1020">
        <f>SUM(Y36)</f>
        <v>38000</v>
      </c>
      <c r="G36" s="1013">
        <v>38000</v>
      </c>
      <c r="H36" s="865"/>
      <c r="I36" s="734"/>
      <c r="J36" s="1749" t="s">
        <v>224</v>
      </c>
      <c r="K36" s="1732"/>
      <c r="L36" s="1732"/>
      <c r="M36" s="1732"/>
      <c r="N36" s="1733"/>
      <c r="O36" s="1733"/>
      <c r="P36" s="1732"/>
      <c r="Q36" s="869"/>
      <c r="R36" s="3163"/>
      <c r="S36" s="3163"/>
      <c r="T36" s="3163"/>
      <c r="U36" s="3163"/>
      <c r="V36" s="3163"/>
      <c r="W36" s="3163"/>
      <c r="X36" s="3163"/>
      <c r="Y36" s="871">
        <f t="shared" si="1"/>
        <v>38000</v>
      </c>
      <c r="Z36" s="1014">
        <f>SUM(Z37:Z41)</f>
        <v>38000000</v>
      </c>
      <c r="AA36" s="947"/>
      <c r="AB36" s="690"/>
      <c r="AC36" s="930"/>
      <c r="AD36" s="930"/>
    </row>
    <row r="37" spans="1:30" s="931" customFormat="1" ht="21" customHeight="1">
      <c r="A37" s="916"/>
      <c r="B37" s="1982"/>
      <c r="C37" s="675"/>
      <c r="D37" s="674"/>
      <c r="E37" s="851"/>
      <c r="F37" s="1013"/>
      <c r="G37" s="1013"/>
      <c r="H37" s="865"/>
      <c r="I37" s="734"/>
      <c r="J37" s="1731" t="s">
        <v>837</v>
      </c>
      <c r="K37" s="1732"/>
      <c r="L37" s="1732"/>
      <c r="M37" s="1732"/>
      <c r="N37" s="1733"/>
      <c r="O37" s="1732"/>
      <c r="P37" s="1732"/>
      <c r="Q37" s="869"/>
      <c r="R37" s="3163"/>
      <c r="S37" s="3164">
        <v>1916666.6666666667</v>
      </c>
      <c r="T37" s="3163" t="s">
        <v>37</v>
      </c>
      <c r="U37" s="3163"/>
      <c r="V37" s="3163">
        <v>12</v>
      </c>
      <c r="W37" s="3163" t="s">
        <v>228</v>
      </c>
      <c r="X37" s="3163" t="s">
        <v>38</v>
      </c>
      <c r="Y37" s="871">
        <f t="shared" si="1"/>
        <v>23000</v>
      </c>
      <c r="Z37" s="1014">
        <f>SUM(S37*V37)</f>
        <v>23000000</v>
      </c>
      <c r="AA37" s="947"/>
      <c r="AB37" s="690"/>
      <c r="AC37" s="930"/>
      <c r="AD37" s="930"/>
    </row>
    <row r="38" spans="1:30" s="931" customFormat="1" ht="21" customHeight="1">
      <c r="A38" s="916"/>
      <c r="B38" s="1982"/>
      <c r="C38" s="675"/>
      <c r="D38" s="674"/>
      <c r="E38" s="851"/>
      <c r="F38" s="1013"/>
      <c r="G38" s="1013"/>
      <c r="H38" s="865"/>
      <c r="I38" s="734"/>
      <c r="J38" s="1731" t="s">
        <v>838</v>
      </c>
      <c r="K38" s="1732"/>
      <c r="L38" s="1732"/>
      <c r="M38" s="1732"/>
      <c r="N38" s="1733"/>
      <c r="O38" s="1732"/>
      <c r="P38" s="1732"/>
      <c r="Q38" s="869">
        <v>200000</v>
      </c>
      <c r="R38" s="3163" t="s">
        <v>389</v>
      </c>
      <c r="S38" s="3164">
        <v>30</v>
      </c>
      <c r="T38" s="3163" t="s">
        <v>37</v>
      </c>
      <c r="U38" s="3163"/>
      <c r="V38" s="3163">
        <v>1</v>
      </c>
      <c r="W38" s="3163" t="s">
        <v>39</v>
      </c>
      <c r="X38" s="3163" t="s">
        <v>38</v>
      </c>
      <c r="Y38" s="871">
        <f t="shared" si="1"/>
        <v>6000</v>
      </c>
      <c r="Z38" s="1014">
        <f>SUM(Q38*S38*V38)</f>
        <v>6000000</v>
      </c>
      <c r="AA38" s="947"/>
      <c r="AB38" s="690"/>
      <c r="AC38" s="930"/>
      <c r="AD38" s="930"/>
    </row>
    <row r="39" spans="1:30" s="931" customFormat="1" ht="21" customHeight="1">
      <c r="A39" s="916"/>
      <c r="B39" s="1982"/>
      <c r="C39" s="675"/>
      <c r="D39" s="674"/>
      <c r="E39" s="851"/>
      <c r="F39" s="1013"/>
      <c r="G39" s="1013"/>
      <c r="H39" s="865"/>
      <c r="I39" s="734"/>
      <c r="J39" s="1752" t="s">
        <v>507</v>
      </c>
      <c r="K39" s="1736"/>
      <c r="L39" s="1736"/>
      <c r="M39" s="1736"/>
      <c r="N39" s="1753"/>
      <c r="O39" s="1732"/>
      <c r="P39" s="1732"/>
      <c r="Q39" s="3163">
        <v>60</v>
      </c>
      <c r="R39" s="3163" t="s">
        <v>508</v>
      </c>
      <c r="S39" s="3164">
        <v>5000</v>
      </c>
      <c r="T39" s="3163" t="s">
        <v>37</v>
      </c>
      <c r="U39" s="3163"/>
      <c r="V39" s="3163">
        <v>12</v>
      </c>
      <c r="W39" s="3163" t="s">
        <v>228</v>
      </c>
      <c r="X39" s="3163" t="s">
        <v>38</v>
      </c>
      <c r="Y39" s="871">
        <f t="shared" si="1"/>
        <v>3600</v>
      </c>
      <c r="Z39" s="1014">
        <f>SUM(Q39*S39*V39)</f>
        <v>3600000</v>
      </c>
      <c r="AA39" s="947"/>
      <c r="AB39" s="690"/>
      <c r="AC39" s="930"/>
      <c r="AD39" s="930"/>
    </row>
    <row r="40" spans="1:30" s="931" customFormat="1" ht="21" customHeight="1">
      <c r="A40" s="916"/>
      <c r="B40" s="1982"/>
      <c r="C40" s="675"/>
      <c r="D40" s="674"/>
      <c r="E40" s="851"/>
      <c r="F40" s="1013"/>
      <c r="G40" s="1013"/>
      <c r="H40" s="865"/>
      <c r="I40" s="734"/>
      <c r="J40" s="1752" t="s">
        <v>509</v>
      </c>
      <c r="K40" s="1736"/>
      <c r="L40" s="1736"/>
      <c r="M40" s="1736"/>
      <c r="N40" s="1753"/>
      <c r="O40" s="1732"/>
      <c r="P40" s="1732"/>
      <c r="Q40" s="3163">
        <v>10</v>
      </c>
      <c r="R40" s="3163" t="s">
        <v>510</v>
      </c>
      <c r="S40" s="3164">
        <v>120000</v>
      </c>
      <c r="T40" s="3163" t="s">
        <v>37</v>
      </c>
      <c r="U40" s="3163"/>
      <c r="V40" s="3163">
        <v>4</v>
      </c>
      <c r="W40" s="3163" t="s">
        <v>39</v>
      </c>
      <c r="X40" s="3163" t="s">
        <v>38</v>
      </c>
      <c r="Y40" s="871">
        <f t="shared" si="1"/>
        <v>4800</v>
      </c>
      <c r="Z40" s="1014">
        <f>SUM(Q40*S40*V40)</f>
        <v>4800000</v>
      </c>
      <c r="AA40" s="947"/>
      <c r="AB40" s="690"/>
      <c r="AC40" s="930"/>
      <c r="AD40" s="930"/>
    </row>
    <row r="41" spans="1:30" s="931" customFormat="1" ht="21" customHeight="1">
      <c r="A41" s="916"/>
      <c r="B41" s="1982"/>
      <c r="C41" s="675"/>
      <c r="D41" s="674"/>
      <c r="E41" s="851"/>
      <c r="F41" s="1013"/>
      <c r="G41" s="1013"/>
      <c r="H41" s="865"/>
      <c r="I41" s="734"/>
      <c r="J41" s="1731" t="s">
        <v>839</v>
      </c>
      <c r="K41" s="1732"/>
      <c r="L41" s="1732"/>
      <c r="M41" s="1732"/>
      <c r="N41" s="1733"/>
      <c r="O41" s="1733"/>
      <c r="P41" s="1732"/>
      <c r="Q41" s="869"/>
      <c r="R41" s="3163"/>
      <c r="S41" s="3163">
        <v>150000</v>
      </c>
      <c r="T41" s="3163" t="s">
        <v>37</v>
      </c>
      <c r="U41" s="3163"/>
      <c r="V41" s="3163">
        <v>4</v>
      </c>
      <c r="W41" s="3163" t="s">
        <v>39</v>
      </c>
      <c r="X41" s="3163" t="s">
        <v>38</v>
      </c>
      <c r="Y41" s="871">
        <f t="shared" si="1"/>
        <v>600</v>
      </c>
      <c r="Z41" s="1014">
        <f>SUM(S41*V41)</f>
        <v>600000</v>
      </c>
      <c r="AA41" s="947"/>
      <c r="AB41" s="690"/>
      <c r="AC41" s="930"/>
      <c r="AD41" s="930"/>
    </row>
    <row r="42" spans="1:30" s="709" customFormat="1" ht="21" customHeight="1">
      <c r="A42" s="916"/>
      <c r="B42" s="1982"/>
      <c r="C42" s="675"/>
      <c r="D42" s="674"/>
      <c r="E42" s="851" t="s">
        <v>511</v>
      </c>
      <c r="F42" s="1020">
        <f>SUM(Y42)</f>
        <v>302400</v>
      </c>
      <c r="G42" s="1013">
        <v>302400</v>
      </c>
      <c r="H42" s="1021"/>
      <c r="I42" s="734"/>
      <c r="J42" s="1749" t="s">
        <v>224</v>
      </c>
      <c r="K42" s="1732"/>
      <c r="L42" s="1732"/>
      <c r="M42" s="1732"/>
      <c r="N42" s="1733"/>
      <c r="O42" s="1733"/>
      <c r="P42" s="1732"/>
      <c r="Q42" s="946"/>
      <c r="R42" s="3163"/>
      <c r="S42" s="3163"/>
      <c r="T42" s="3163"/>
      <c r="U42" s="3163"/>
      <c r="V42" s="3163"/>
      <c r="W42" s="3163"/>
      <c r="X42" s="3165"/>
      <c r="Y42" s="1022">
        <f>SUM(Y43:Y45)</f>
        <v>302400</v>
      </c>
      <c r="Z42" s="732">
        <f>SUM(Z43:Z45)</f>
        <v>302400000</v>
      </c>
      <c r="AA42" s="947"/>
      <c r="AB42" s="690"/>
      <c r="AC42" s="930"/>
      <c r="AD42" s="3166"/>
    </row>
    <row r="43" spans="1:30" s="931" customFormat="1" ht="21" customHeight="1">
      <c r="A43" s="916"/>
      <c r="B43" s="1982"/>
      <c r="C43" s="675"/>
      <c r="D43" s="674"/>
      <c r="E43" s="851"/>
      <c r="F43" s="1013"/>
      <c r="G43" s="1013"/>
      <c r="H43" s="865"/>
      <c r="I43" s="734"/>
      <c r="J43" s="1731" t="s">
        <v>512</v>
      </c>
      <c r="K43" s="1732"/>
      <c r="L43" s="1732"/>
      <c r="M43" s="1732"/>
      <c r="N43" s="1733"/>
      <c r="O43" s="1732"/>
      <c r="P43" s="1732"/>
      <c r="Q43" s="946"/>
      <c r="R43" s="3163"/>
      <c r="S43" s="3164">
        <v>11550000</v>
      </c>
      <c r="T43" s="3163" t="s">
        <v>37</v>
      </c>
      <c r="U43" s="3163"/>
      <c r="V43" s="3163">
        <v>12</v>
      </c>
      <c r="W43" s="3163" t="s">
        <v>228</v>
      </c>
      <c r="X43" s="3165" t="s">
        <v>38</v>
      </c>
      <c r="Y43" s="1022">
        <f>+Z43/1000</f>
        <v>138600</v>
      </c>
      <c r="Z43" s="732">
        <f>+V43*S43</f>
        <v>138600000</v>
      </c>
      <c r="AA43" s="947"/>
      <c r="AB43" s="690"/>
      <c r="AC43" s="930"/>
      <c r="AD43" s="930"/>
    </row>
    <row r="44" spans="1:30" s="709" customFormat="1" ht="21" customHeight="1">
      <c r="A44" s="916"/>
      <c r="B44" s="1982"/>
      <c r="C44" s="675"/>
      <c r="D44" s="674"/>
      <c r="E44" s="851"/>
      <c r="F44" s="1013"/>
      <c r="G44" s="1013"/>
      <c r="H44" s="865"/>
      <c r="I44" s="734"/>
      <c r="J44" s="1731" t="s">
        <v>708</v>
      </c>
      <c r="K44" s="1732"/>
      <c r="L44" s="1732"/>
      <c r="M44" s="1732"/>
      <c r="N44" s="1733"/>
      <c r="O44" s="1732"/>
      <c r="P44" s="1732"/>
      <c r="Q44" s="946"/>
      <c r="R44" s="3163"/>
      <c r="S44" s="3164">
        <v>2625000</v>
      </c>
      <c r="T44" s="3163" t="s">
        <v>37</v>
      </c>
      <c r="U44" s="3163"/>
      <c r="V44" s="3163">
        <v>12</v>
      </c>
      <c r="W44" s="3163" t="s">
        <v>228</v>
      </c>
      <c r="X44" s="3165" t="s">
        <v>38</v>
      </c>
      <c r="Y44" s="1022">
        <f>+Z44/1000</f>
        <v>31500</v>
      </c>
      <c r="Z44" s="732">
        <f>+V44*S44</f>
        <v>31500000</v>
      </c>
      <c r="AA44" s="947"/>
      <c r="AB44" s="690"/>
      <c r="AC44" s="930"/>
      <c r="AD44" s="3166"/>
    </row>
    <row r="45" spans="1:30" s="1023" customFormat="1" ht="21" customHeight="1" thickBot="1">
      <c r="A45" s="916"/>
      <c r="B45" s="1982"/>
      <c r="C45" s="675"/>
      <c r="D45" s="674"/>
      <c r="E45" s="851"/>
      <c r="F45" s="1013"/>
      <c r="G45" s="1013"/>
      <c r="H45" s="865"/>
      <c r="I45" s="734"/>
      <c r="J45" s="1731" t="s">
        <v>606</v>
      </c>
      <c r="K45" s="1732"/>
      <c r="L45" s="1732"/>
      <c r="M45" s="1732"/>
      <c r="N45" s="1733"/>
      <c r="O45" s="1733"/>
      <c r="P45" s="1732"/>
      <c r="Q45" s="946"/>
      <c r="R45" s="3163"/>
      <c r="S45" s="3164">
        <v>11025000</v>
      </c>
      <c r="T45" s="3163" t="s">
        <v>37</v>
      </c>
      <c r="U45" s="3163"/>
      <c r="V45" s="3163">
        <v>12</v>
      </c>
      <c r="W45" s="3163" t="s">
        <v>228</v>
      </c>
      <c r="X45" s="3165" t="s">
        <v>38</v>
      </c>
      <c r="Y45" s="1022">
        <f>+Z45/1000</f>
        <v>132300</v>
      </c>
      <c r="Z45" s="732">
        <f>+V45*S45</f>
        <v>132300000</v>
      </c>
      <c r="AA45" s="947"/>
      <c r="AB45" s="690"/>
      <c r="AC45" s="930"/>
      <c r="AD45" s="1488"/>
    </row>
    <row r="46" spans="1:30" s="931" customFormat="1" ht="21" customHeight="1">
      <c r="A46" s="916"/>
      <c r="B46" s="1982"/>
      <c r="C46" s="675"/>
      <c r="D46" s="674"/>
      <c r="E46" s="851" t="s">
        <v>515</v>
      </c>
      <c r="F46" s="1020">
        <f>SUM(Y46)</f>
        <v>10336.999999999993</v>
      </c>
      <c r="G46" s="1013">
        <v>10336.999999999993</v>
      </c>
      <c r="H46" s="865"/>
      <c r="I46" s="734"/>
      <c r="J46" s="1749" t="s">
        <v>224</v>
      </c>
      <c r="K46" s="1732"/>
      <c r="L46" s="1732"/>
      <c r="M46" s="1732"/>
      <c r="N46" s="1733"/>
      <c r="O46" s="1733"/>
      <c r="P46" s="1732"/>
      <c r="Q46" s="946"/>
      <c r="R46" s="3163"/>
      <c r="S46" s="3164"/>
      <c r="T46" s="3163"/>
      <c r="U46" s="3163"/>
      <c r="V46" s="3163"/>
      <c r="W46" s="3163"/>
      <c r="X46" s="3165"/>
      <c r="Y46" s="1022">
        <f>SUM(Y47:Y48)</f>
        <v>10336.999999999993</v>
      </c>
      <c r="Z46" s="732">
        <f>SUM(Z47:Z48)</f>
        <v>10336999.999999993</v>
      </c>
      <c r="AA46" s="947"/>
      <c r="AB46" s="690"/>
      <c r="AC46" s="930"/>
      <c r="AD46" s="930"/>
    </row>
    <row r="47" spans="1:30" s="931" customFormat="1" ht="21" customHeight="1">
      <c r="A47" s="916"/>
      <c r="B47" s="1982"/>
      <c r="C47" s="675"/>
      <c r="D47" s="674"/>
      <c r="E47" s="851"/>
      <c r="F47" s="1013"/>
      <c r="G47" s="1013"/>
      <c r="H47" s="865"/>
      <c r="I47" s="734"/>
      <c r="J47" s="1731" t="s">
        <v>516</v>
      </c>
      <c r="K47" s="1732"/>
      <c r="L47" s="1732"/>
      <c r="M47" s="1732"/>
      <c r="N47" s="1733"/>
      <c r="O47" s="1733"/>
      <c r="P47" s="1732"/>
      <c r="Q47" s="946"/>
      <c r="R47" s="3163"/>
      <c r="S47" s="3164">
        <v>691666.66666666605</v>
      </c>
      <c r="T47" s="3163" t="s">
        <v>37</v>
      </c>
      <c r="U47" s="3163"/>
      <c r="V47" s="3163">
        <v>12</v>
      </c>
      <c r="W47" s="3163" t="s">
        <v>228</v>
      </c>
      <c r="X47" s="3165" t="s">
        <v>38</v>
      </c>
      <c r="Y47" s="1022">
        <f>SUM(Z47/1000)</f>
        <v>8299.9999999999927</v>
      </c>
      <c r="Z47" s="732">
        <f>S47*V47</f>
        <v>8299999.9999999925</v>
      </c>
      <c r="AA47" s="947"/>
      <c r="AB47" s="690"/>
      <c r="AC47" s="930"/>
      <c r="AD47" s="930"/>
    </row>
    <row r="48" spans="1:30" s="931" customFormat="1" ht="21" customHeight="1">
      <c r="A48" s="916"/>
      <c r="B48" s="1982"/>
      <c r="C48" s="675"/>
      <c r="D48" s="674"/>
      <c r="E48" s="851"/>
      <c r="F48" s="1013"/>
      <c r="G48" s="1013"/>
      <c r="H48" s="865"/>
      <c r="I48" s="734"/>
      <c r="J48" s="1731" t="s">
        <v>1789</v>
      </c>
      <c r="K48" s="1732"/>
      <c r="L48" s="1732"/>
      <c r="M48" s="1732"/>
      <c r="N48" s="1733"/>
      <c r="O48" s="1733"/>
      <c r="P48" s="1732"/>
      <c r="Q48" s="946"/>
      <c r="R48" s="3163"/>
      <c r="S48" s="3164">
        <v>2037000000</v>
      </c>
      <c r="T48" s="3163" t="s">
        <v>37</v>
      </c>
      <c r="U48" s="3163"/>
      <c r="V48" s="1447">
        <v>0.1</v>
      </c>
      <c r="W48" s="3163" t="s">
        <v>575</v>
      </c>
      <c r="X48" s="3165" t="s">
        <v>38</v>
      </c>
      <c r="Y48" s="1022">
        <f>SUM(Z48/1000)</f>
        <v>2037</v>
      </c>
      <c r="Z48" s="732">
        <f>SUM(S48*V48/100)</f>
        <v>2037000</v>
      </c>
      <c r="AA48" s="947"/>
      <c r="AB48" s="690"/>
      <c r="AC48" s="930"/>
      <c r="AD48" s="930"/>
    </row>
    <row r="49" spans="1:30" s="931" customFormat="1" ht="21" customHeight="1">
      <c r="A49" s="916"/>
      <c r="B49" s="1982"/>
      <c r="C49" s="675"/>
      <c r="D49" s="674"/>
      <c r="E49" s="851" t="s">
        <v>225</v>
      </c>
      <c r="F49" s="1020">
        <f>SUM(Y49)</f>
        <v>5628</v>
      </c>
      <c r="G49" s="1013">
        <v>5628</v>
      </c>
      <c r="H49" s="865"/>
      <c r="I49" s="734"/>
      <c r="J49" s="1749" t="s">
        <v>224</v>
      </c>
      <c r="K49" s="1732"/>
      <c r="L49" s="1732"/>
      <c r="M49" s="1732"/>
      <c r="N49" s="1733"/>
      <c r="O49" s="1733"/>
      <c r="P49" s="1732"/>
      <c r="Q49" s="946"/>
      <c r="R49" s="3163"/>
      <c r="S49" s="3164"/>
      <c r="T49" s="3163"/>
      <c r="U49" s="3163"/>
      <c r="V49" s="1027"/>
      <c r="W49" s="3163"/>
      <c r="X49" s="3165"/>
      <c r="Y49" s="1022">
        <f>SUM(Y50:Y52)</f>
        <v>5628</v>
      </c>
      <c r="Z49" s="732">
        <f>SUM(Z50:Z52)</f>
        <v>5628000</v>
      </c>
      <c r="AA49" s="947"/>
      <c r="AB49" s="690"/>
      <c r="AC49" s="930"/>
      <c r="AD49" s="930"/>
    </row>
    <row r="50" spans="1:30" s="931" customFormat="1" ht="21" customHeight="1">
      <c r="A50" s="916"/>
      <c r="B50" s="1982"/>
      <c r="C50" s="675"/>
      <c r="D50" s="674"/>
      <c r="E50" s="851"/>
      <c r="F50" s="1013"/>
      <c r="G50" s="1013"/>
      <c r="H50" s="865"/>
      <c r="I50" s="734"/>
      <c r="J50" s="1731" t="s">
        <v>268</v>
      </c>
      <c r="K50" s="1732"/>
      <c r="L50" s="1732"/>
      <c r="M50" s="1732"/>
      <c r="N50" s="1733"/>
      <c r="O50" s="1754" t="s">
        <v>840</v>
      </c>
      <c r="P50" s="1732" t="s">
        <v>227</v>
      </c>
      <c r="Q50" s="946" t="s">
        <v>520</v>
      </c>
      <c r="R50" s="3163" t="s">
        <v>232</v>
      </c>
      <c r="S50" s="3164">
        <v>20000</v>
      </c>
      <c r="T50" s="3163" t="s">
        <v>37</v>
      </c>
      <c r="U50" s="3163"/>
      <c r="V50" s="3163">
        <v>12</v>
      </c>
      <c r="W50" s="3163" t="s">
        <v>228</v>
      </c>
      <c r="X50" s="3165" t="s">
        <v>38</v>
      </c>
      <c r="Y50" s="1022">
        <f>SUM(Z50/1000)</f>
        <v>5280</v>
      </c>
      <c r="Z50" s="732">
        <f>SUM(O50*Q50*S50*V50)</f>
        <v>5280000</v>
      </c>
      <c r="AA50" s="947"/>
      <c r="AB50" s="690"/>
      <c r="AC50" s="930"/>
      <c r="AD50" s="930"/>
    </row>
    <row r="51" spans="1:30" s="931" customFormat="1" ht="21" customHeight="1">
      <c r="A51" s="916"/>
      <c r="B51" s="1982"/>
      <c r="C51" s="675"/>
      <c r="D51" s="674"/>
      <c r="E51" s="851"/>
      <c r="F51" s="1013"/>
      <c r="G51" s="1013"/>
      <c r="H51" s="865"/>
      <c r="I51" s="734"/>
      <c r="J51" s="1731" t="s">
        <v>519</v>
      </c>
      <c r="K51" s="1732"/>
      <c r="L51" s="1732"/>
      <c r="M51" s="1732"/>
      <c r="N51" s="1733"/>
      <c r="O51" s="1754" t="s">
        <v>576</v>
      </c>
      <c r="P51" s="1732" t="s">
        <v>521</v>
      </c>
      <c r="Q51" s="946" t="s">
        <v>520</v>
      </c>
      <c r="R51" s="3163" t="s">
        <v>232</v>
      </c>
      <c r="S51" s="3164">
        <v>2500</v>
      </c>
      <c r="T51" s="3163" t="s">
        <v>37</v>
      </c>
      <c r="U51" s="3163"/>
      <c r="V51" s="3163">
        <v>12</v>
      </c>
      <c r="W51" s="3163" t="s">
        <v>228</v>
      </c>
      <c r="X51" s="3165" t="s">
        <v>38</v>
      </c>
      <c r="Y51" s="1022">
        <f>+Z51/1000</f>
        <v>300</v>
      </c>
      <c r="Z51" s="732">
        <f>SUM(O51*Q51*S51*V51)</f>
        <v>300000</v>
      </c>
      <c r="AA51" s="947"/>
      <c r="AB51" s="690"/>
      <c r="AC51" s="930"/>
      <c r="AD51" s="930"/>
    </row>
    <row r="52" spans="1:30" s="931" customFormat="1" ht="21" customHeight="1">
      <c r="A52" s="673"/>
      <c r="B52" s="674"/>
      <c r="C52" s="675"/>
      <c r="D52" s="674"/>
      <c r="E52" s="851"/>
      <c r="F52" s="1013"/>
      <c r="G52" s="1013"/>
      <c r="H52" s="865"/>
      <c r="I52" s="734"/>
      <c r="J52" s="1731" t="s">
        <v>523</v>
      </c>
      <c r="K52" s="1732"/>
      <c r="L52" s="1732"/>
      <c r="M52" s="1732"/>
      <c r="N52" s="1733"/>
      <c r="O52" s="1754" t="s">
        <v>577</v>
      </c>
      <c r="P52" s="1732" t="s">
        <v>525</v>
      </c>
      <c r="Q52" s="946" t="s">
        <v>520</v>
      </c>
      <c r="R52" s="3163" t="s">
        <v>232</v>
      </c>
      <c r="S52" s="3164">
        <v>2000</v>
      </c>
      <c r="T52" s="3163" t="s">
        <v>37</v>
      </c>
      <c r="U52" s="3163"/>
      <c r="V52" s="3163">
        <v>12</v>
      </c>
      <c r="W52" s="3163" t="s">
        <v>39</v>
      </c>
      <c r="X52" s="3165" t="s">
        <v>38</v>
      </c>
      <c r="Y52" s="1022">
        <f>+Z52/1000</f>
        <v>48</v>
      </c>
      <c r="Z52" s="732">
        <f>SUM(O52*Q52*S52*V52)</f>
        <v>48000</v>
      </c>
      <c r="AA52" s="947"/>
      <c r="AB52" s="690"/>
      <c r="AC52" s="930"/>
      <c r="AD52" s="930"/>
    </row>
    <row r="53" spans="1:30" s="931" customFormat="1" ht="21" customHeight="1">
      <c r="A53" s="673"/>
      <c r="B53" s="674"/>
      <c r="C53" s="675"/>
      <c r="D53" s="674"/>
      <c r="E53" s="851" t="s">
        <v>379</v>
      </c>
      <c r="F53" s="1020">
        <f>SUM(Y53)</f>
        <v>107337</v>
      </c>
      <c r="G53" s="1013">
        <v>107337</v>
      </c>
      <c r="H53" s="1021"/>
      <c r="I53" s="734"/>
      <c r="J53" s="1749" t="s">
        <v>224</v>
      </c>
      <c r="K53" s="1732"/>
      <c r="L53" s="1732"/>
      <c r="M53" s="1732"/>
      <c r="N53" s="1733"/>
      <c r="O53" s="1732"/>
      <c r="P53" s="1732"/>
      <c r="Q53" s="869"/>
      <c r="R53" s="3163"/>
      <c r="S53" s="3164"/>
      <c r="T53" s="3163"/>
      <c r="U53" s="3163"/>
      <c r="V53" s="3163"/>
      <c r="W53" s="3163"/>
      <c r="X53" s="3165"/>
      <c r="Y53" s="1022">
        <f>SUM(Y54:Y55)</f>
        <v>107337</v>
      </c>
      <c r="Z53" s="732">
        <f>SUM(Z54:Z55)</f>
        <v>107337000</v>
      </c>
      <c r="AA53" s="947"/>
      <c r="AB53" s="690"/>
      <c r="AC53" s="930"/>
      <c r="AD53" s="930"/>
    </row>
    <row r="54" spans="1:30" s="709" customFormat="1" ht="21" customHeight="1">
      <c r="A54" s="673"/>
      <c r="B54" s="674"/>
      <c r="C54" s="675"/>
      <c r="D54" s="674"/>
      <c r="E54" s="851"/>
      <c r="F54" s="1013"/>
      <c r="G54" s="1013"/>
      <c r="H54" s="865"/>
      <c r="I54" s="734"/>
      <c r="J54" s="1731" t="s">
        <v>526</v>
      </c>
      <c r="K54" s="1732"/>
      <c r="L54" s="1732"/>
      <c r="M54" s="1732"/>
      <c r="N54" s="1733"/>
      <c r="O54" s="1732"/>
      <c r="P54" s="1732"/>
      <c r="Q54" s="869">
        <v>3986</v>
      </c>
      <c r="R54" s="3163" t="s">
        <v>23</v>
      </c>
      <c r="S54" s="3164">
        <v>12956.221776216758</v>
      </c>
      <c r="T54" s="3163" t="s">
        <v>37</v>
      </c>
      <c r="U54" s="3163"/>
      <c r="V54" s="3163">
        <v>2</v>
      </c>
      <c r="W54" s="3163" t="s">
        <v>39</v>
      </c>
      <c r="X54" s="3165" t="s">
        <v>38</v>
      </c>
      <c r="Y54" s="1022">
        <f>+Z54/1000</f>
        <v>103287</v>
      </c>
      <c r="Z54" s="732">
        <f>+Q54*S54*V54</f>
        <v>103287000</v>
      </c>
      <c r="AA54" s="947"/>
      <c r="AB54" s="690"/>
      <c r="AC54" s="930"/>
      <c r="AD54" s="3166"/>
    </row>
    <row r="55" spans="1:30" s="931" customFormat="1" ht="21" customHeight="1">
      <c r="A55" s="673"/>
      <c r="B55" s="674"/>
      <c r="C55" s="675"/>
      <c r="D55" s="674"/>
      <c r="E55" s="851"/>
      <c r="F55" s="1013"/>
      <c r="G55" s="1013"/>
      <c r="H55" s="865"/>
      <c r="I55" s="734"/>
      <c r="J55" s="1731" t="s">
        <v>1841</v>
      </c>
      <c r="K55" s="1732"/>
      <c r="L55" s="1732"/>
      <c r="M55" s="1732"/>
      <c r="N55" s="1733"/>
      <c r="O55" s="1732"/>
      <c r="P55" s="1732"/>
      <c r="Q55" s="869">
        <v>1</v>
      </c>
      <c r="R55" s="3163" t="s">
        <v>510</v>
      </c>
      <c r="S55" s="3164">
        <v>337500</v>
      </c>
      <c r="T55" s="3163" t="s">
        <v>529</v>
      </c>
      <c r="U55" s="3163"/>
      <c r="V55" s="3163">
        <v>12</v>
      </c>
      <c r="W55" s="3163" t="s">
        <v>231</v>
      </c>
      <c r="X55" s="3165" t="s">
        <v>489</v>
      </c>
      <c r="Y55" s="1022">
        <f>+Z55/1000</f>
        <v>4050</v>
      </c>
      <c r="Z55" s="732">
        <f>+Q55*S55*V55</f>
        <v>4050000</v>
      </c>
      <c r="AA55" s="947"/>
      <c r="AB55" s="690"/>
      <c r="AC55" s="930"/>
      <c r="AD55" s="930"/>
    </row>
    <row r="56" spans="1:30" s="931" customFormat="1" ht="21" customHeight="1">
      <c r="A56" s="673"/>
      <c r="B56" s="674"/>
      <c r="C56" s="675"/>
      <c r="D56" s="674"/>
      <c r="E56" s="851" t="s">
        <v>255</v>
      </c>
      <c r="F56" s="1020">
        <f>SUM(Y56)</f>
        <v>1040</v>
      </c>
      <c r="G56" s="1013">
        <v>1040</v>
      </c>
      <c r="H56" s="865"/>
      <c r="I56" s="734"/>
      <c r="J56" s="1749" t="s">
        <v>224</v>
      </c>
      <c r="K56" s="1732"/>
      <c r="L56" s="1732"/>
      <c r="M56" s="1732"/>
      <c r="N56" s="1733"/>
      <c r="O56" s="1733"/>
      <c r="P56" s="1732"/>
      <c r="Q56" s="946"/>
      <c r="R56" s="3163"/>
      <c r="S56" s="3164"/>
      <c r="T56" s="3163"/>
      <c r="U56" s="3163"/>
      <c r="V56" s="3163"/>
      <c r="W56" s="3163"/>
      <c r="X56" s="3165"/>
      <c r="Y56" s="1022">
        <f>SUM(Y57:Y58)</f>
        <v>1040</v>
      </c>
      <c r="Z56" s="732">
        <f>SUM(Z57:Z58)</f>
        <v>1040000</v>
      </c>
      <c r="AA56" s="947"/>
      <c r="AB56" s="690"/>
      <c r="AC56" s="930"/>
      <c r="AD56" s="930"/>
    </row>
    <row r="57" spans="1:30" s="931" customFormat="1" ht="21" customHeight="1">
      <c r="A57" s="673"/>
      <c r="B57" s="674"/>
      <c r="C57" s="675"/>
      <c r="D57" s="674"/>
      <c r="E57" s="851"/>
      <c r="F57" s="1013"/>
      <c r="G57" s="1013"/>
      <c r="H57" s="865"/>
      <c r="I57" s="734"/>
      <c r="J57" s="1731" t="s">
        <v>397</v>
      </c>
      <c r="K57" s="1732"/>
      <c r="L57" s="1732"/>
      <c r="M57" s="1732"/>
      <c r="N57" s="1733"/>
      <c r="O57" s="1733"/>
      <c r="P57" s="1732"/>
      <c r="Q57" s="946" t="s">
        <v>518</v>
      </c>
      <c r="R57" s="3163" t="s">
        <v>266</v>
      </c>
      <c r="S57" s="3164">
        <v>11750</v>
      </c>
      <c r="T57" s="3163" t="s">
        <v>37</v>
      </c>
      <c r="U57" s="3163"/>
      <c r="V57" s="3163">
        <v>12</v>
      </c>
      <c r="W57" s="3163" t="s">
        <v>228</v>
      </c>
      <c r="X57" s="3165" t="s">
        <v>38</v>
      </c>
      <c r="Y57" s="1022">
        <f>SUM(Z57/1000)</f>
        <v>564</v>
      </c>
      <c r="Z57" s="732">
        <f>SUM(Q57*S57*V57)</f>
        <v>564000</v>
      </c>
      <c r="AA57" s="947"/>
      <c r="AB57" s="690"/>
      <c r="AC57" s="930"/>
      <c r="AD57" s="930"/>
    </row>
    <row r="58" spans="1:30" s="931" customFormat="1" ht="21" customHeight="1">
      <c r="A58" s="673"/>
      <c r="B58" s="674"/>
      <c r="C58" s="675"/>
      <c r="D58" s="674"/>
      <c r="E58" s="851"/>
      <c r="F58" s="1013"/>
      <c r="G58" s="1013"/>
      <c r="H58" s="865"/>
      <c r="I58" s="734"/>
      <c r="J58" s="1731" t="s">
        <v>1842</v>
      </c>
      <c r="K58" s="1732"/>
      <c r="L58" s="1732"/>
      <c r="M58" s="1732"/>
      <c r="N58" s="1733"/>
      <c r="O58" s="1733"/>
      <c r="P58" s="1732"/>
      <c r="Q58" s="946" t="s">
        <v>522</v>
      </c>
      <c r="R58" s="3163" t="s">
        <v>578</v>
      </c>
      <c r="S58" s="3164">
        <v>47600</v>
      </c>
      <c r="T58" s="3163" t="s">
        <v>37</v>
      </c>
      <c r="U58" s="3163"/>
      <c r="V58" s="3163">
        <v>1</v>
      </c>
      <c r="W58" s="3163" t="s">
        <v>39</v>
      </c>
      <c r="X58" s="3165" t="s">
        <v>38</v>
      </c>
      <c r="Y58" s="1022">
        <f>SUM(Z58/1000)</f>
        <v>476</v>
      </c>
      <c r="Z58" s="732">
        <f>SUM(Q58*S58*V58)</f>
        <v>476000</v>
      </c>
      <c r="AA58" s="947"/>
      <c r="AB58" s="690"/>
      <c r="AC58" s="930"/>
      <c r="AD58" s="930"/>
    </row>
    <row r="59" spans="1:30" s="709" customFormat="1" ht="21" customHeight="1">
      <c r="A59" s="673"/>
      <c r="B59" s="674"/>
      <c r="C59" s="675"/>
      <c r="D59" s="674"/>
      <c r="E59" s="851" t="s">
        <v>380</v>
      </c>
      <c r="F59" s="1020">
        <f>SUM(Y59)</f>
        <v>46360</v>
      </c>
      <c r="G59" s="1013">
        <v>46360</v>
      </c>
      <c r="H59" s="865"/>
      <c r="I59" s="734"/>
      <c r="J59" s="1749" t="s">
        <v>224</v>
      </c>
      <c r="K59" s="1732"/>
      <c r="L59" s="1732"/>
      <c r="M59" s="1732"/>
      <c r="N59" s="1733"/>
      <c r="O59" s="1733"/>
      <c r="P59" s="1732"/>
      <c r="Q59" s="946"/>
      <c r="R59" s="3163"/>
      <c r="S59" s="3163"/>
      <c r="T59" s="3163"/>
      <c r="U59" s="3163"/>
      <c r="V59" s="3163"/>
      <c r="W59" s="3163"/>
      <c r="X59" s="3165"/>
      <c r="Y59" s="1022">
        <f>SUM(Y60:Y63)</f>
        <v>46360</v>
      </c>
      <c r="Z59" s="732">
        <f>SUM(Z60:Z63)</f>
        <v>46360000</v>
      </c>
      <c r="AA59" s="947"/>
      <c r="AB59" s="690"/>
      <c r="AC59" s="930"/>
      <c r="AD59" s="3166"/>
    </row>
    <row r="60" spans="1:30" s="709" customFormat="1" ht="21" customHeight="1">
      <c r="A60" s="673"/>
      <c r="B60" s="674"/>
      <c r="C60" s="675"/>
      <c r="D60" s="674"/>
      <c r="E60" s="851"/>
      <c r="F60" s="1020"/>
      <c r="G60" s="1013"/>
      <c r="H60" s="865"/>
      <c r="I60" s="734"/>
      <c r="J60" s="1731" t="s">
        <v>842</v>
      </c>
      <c r="K60" s="1732"/>
      <c r="L60" s="1732"/>
      <c r="M60" s="1732"/>
      <c r="N60" s="1733"/>
      <c r="O60" s="1732"/>
      <c r="P60" s="1732"/>
      <c r="Q60" s="946"/>
      <c r="R60" s="3163"/>
      <c r="S60" s="3164">
        <v>3000000</v>
      </c>
      <c r="T60" s="3163" t="s">
        <v>37</v>
      </c>
      <c r="U60" s="3163"/>
      <c r="V60" s="3163">
        <v>12</v>
      </c>
      <c r="W60" s="3163" t="s">
        <v>228</v>
      </c>
      <c r="X60" s="3165" t="s">
        <v>489</v>
      </c>
      <c r="Y60" s="1022">
        <f>+Z60/1000</f>
        <v>36000</v>
      </c>
      <c r="Z60" s="732">
        <f>S60*V60</f>
        <v>36000000</v>
      </c>
      <c r="AA60" s="947"/>
      <c r="AB60" s="690"/>
      <c r="AC60" s="930"/>
      <c r="AD60" s="3166"/>
    </row>
    <row r="61" spans="1:30" s="709" customFormat="1" ht="21" customHeight="1">
      <c r="A61" s="673"/>
      <c r="B61" s="674"/>
      <c r="C61" s="675"/>
      <c r="D61" s="674"/>
      <c r="E61" s="851"/>
      <c r="F61" s="1020"/>
      <c r="G61" s="1013"/>
      <c r="H61" s="865"/>
      <c r="I61" s="734"/>
      <c r="J61" s="1731" t="s">
        <v>843</v>
      </c>
      <c r="K61" s="1732"/>
      <c r="L61" s="1732"/>
      <c r="M61" s="1732"/>
      <c r="N61" s="1733"/>
      <c r="O61" s="1732"/>
      <c r="P61" s="1732"/>
      <c r="Q61" s="946">
        <v>1</v>
      </c>
      <c r="R61" s="3163" t="s">
        <v>844</v>
      </c>
      <c r="S61" s="3164">
        <v>4360000</v>
      </c>
      <c r="T61" s="3163" t="s">
        <v>37</v>
      </c>
      <c r="U61" s="3163"/>
      <c r="V61" s="3163">
        <v>1</v>
      </c>
      <c r="W61" s="3163" t="s">
        <v>233</v>
      </c>
      <c r="X61" s="3165" t="s">
        <v>489</v>
      </c>
      <c r="Y61" s="1022">
        <f>+Z61/1000</f>
        <v>4360</v>
      </c>
      <c r="Z61" s="732">
        <f>S61*Q61*V61</f>
        <v>4360000</v>
      </c>
      <c r="AA61" s="947"/>
      <c r="AB61" s="690"/>
      <c r="AC61" s="930"/>
      <c r="AD61" s="3166"/>
    </row>
    <row r="62" spans="1:30" s="709" customFormat="1" ht="21" customHeight="1">
      <c r="A62" s="673"/>
      <c r="B62" s="674"/>
      <c r="C62" s="675"/>
      <c r="D62" s="674"/>
      <c r="E62" s="851"/>
      <c r="F62" s="1020"/>
      <c r="G62" s="1013"/>
      <c r="H62" s="865"/>
      <c r="I62" s="734"/>
      <c r="J62" s="1731" t="s">
        <v>845</v>
      </c>
      <c r="K62" s="1732"/>
      <c r="L62" s="1732"/>
      <c r="M62" s="1732"/>
      <c r="N62" s="1733"/>
      <c r="O62" s="1732"/>
      <c r="P62" s="1732"/>
      <c r="Q62" s="869"/>
      <c r="R62" s="3163"/>
      <c r="S62" s="3164">
        <v>5000000</v>
      </c>
      <c r="T62" s="3163" t="s">
        <v>37</v>
      </c>
      <c r="U62" s="3163"/>
      <c r="V62" s="3163">
        <v>1</v>
      </c>
      <c r="W62" s="3163" t="s">
        <v>51</v>
      </c>
      <c r="X62" s="3165" t="s">
        <v>38</v>
      </c>
      <c r="Y62" s="1022">
        <f>+Z62/1000</f>
        <v>5000</v>
      </c>
      <c r="Z62" s="732">
        <f>+S62*V62</f>
        <v>5000000</v>
      </c>
      <c r="AA62" s="947"/>
      <c r="AB62" s="690"/>
      <c r="AC62" s="930"/>
      <c r="AD62" s="3166"/>
    </row>
    <row r="63" spans="1:30" s="931" customFormat="1" ht="21" customHeight="1">
      <c r="A63" s="673"/>
      <c r="B63" s="674"/>
      <c r="C63" s="675"/>
      <c r="D63" s="674"/>
      <c r="E63" s="851"/>
      <c r="F63" s="1013"/>
      <c r="G63" s="1013"/>
      <c r="H63" s="865"/>
      <c r="I63" s="734"/>
      <c r="J63" s="1731" t="s">
        <v>846</v>
      </c>
      <c r="K63" s="1732"/>
      <c r="L63" s="1732"/>
      <c r="M63" s="1732"/>
      <c r="N63" s="1733"/>
      <c r="O63" s="1732"/>
      <c r="P63" s="1732"/>
      <c r="Q63" s="946"/>
      <c r="R63" s="3163"/>
      <c r="S63" s="3164">
        <v>200000</v>
      </c>
      <c r="T63" s="3163" t="s">
        <v>37</v>
      </c>
      <c r="U63" s="3163"/>
      <c r="V63" s="3163">
        <v>5</v>
      </c>
      <c r="W63" s="3163" t="s">
        <v>651</v>
      </c>
      <c r="X63" s="3165" t="s">
        <v>489</v>
      </c>
      <c r="Y63" s="1022">
        <f>+Z63/1000</f>
        <v>1000</v>
      </c>
      <c r="Z63" s="732">
        <f>V63*S63</f>
        <v>1000000</v>
      </c>
      <c r="AA63" s="947"/>
      <c r="AB63" s="690"/>
      <c r="AC63" s="930"/>
      <c r="AD63" s="930"/>
    </row>
    <row r="64" spans="1:30" s="931" customFormat="1" ht="21" customHeight="1">
      <c r="A64" s="673"/>
      <c r="B64" s="674"/>
      <c r="C64" s="675"/>
      <c r="D64" s="674"/>
      <c r="E64" s="851" t="s">
        <v>431</v>
      </c>
      <c r="F64" s="1020">
        <f>SUM(Y64)</f>
        <v>749162</v>
      </c>
      <c r="G64" s="1013">
        <v>749162</v>
      </c>
      <c r="H64" s="1021"/>
      <c r="I64" s="734"/>
      <c r="J64" s="1749" t="s">
        <v>224</v>
      </c>
      <c r="K64" s="1732"/>
      <c r="L64" s="1732"/>
      <c r="M64" s="1732"/>
      <c r="N64" s="1733"/>
      <c r="O64" s="1733"/>
      <c r="P64" s="1732"/>
      <c r="Q64" s="946"/>
      <c r="R64" s="3163"/>
      <c r="S64" s="3163"/>
      <c r="T64" s="3163"/>
      <c r="U64" s="3163"/>
      <c r="V64" s="3163"/>
      <c r="W64" s="3163"/>
      <c r="X64" s="3165"/>
      <c r="Y64" s="2141">
        <f>SUM(Y65:Y67)</f>
        <v>749162</v>
      </c>
      <c r="Z64" s="732">
        <f>SUM(Z65:Z67)</f>
        <v>749162000</v>
      </c>
      <c r="AA64" s="947"/>
      <c r="AB64" s="690"/>
      <c r="AC64" s="930"/>
      <c r="AD64" s="930"/>
    </row>
    <row r="65" spans="1:30" s="931" customFormat="1" ht="21" customHeight="1">
      <c r="A65" s="673"/>
      <c r="B65" s="674"/>
      <c r="C65" s="675"/>
      <c r="D65" s="674"/>
      <c r="E65" s="851"/>
      <c r="F65" s="1013"/>
      <c r="G65" s="1013"/>
      <c r="H65" s="865"/>
      <c r="I65" s="3201"/>
      <c r="J65" s="1731" t="s">
        <v>847</v>
      </c>
      <c r="K65" s="1732"/>
      <c r="L65" s="1732"/>
      <c r="M65" s="1732"/>
      <c r="N65" s="1733"/>
      <c r="O65" s="1732"/>
      <c r="P65" s="1732"/>
      <c r="Q65" s="946"/>
      <c r="R65" s="3163"/>
      <c r="S65" s="3164">
        <v>704000000</v>
      </c>
      <c r="T65" s="3163" t="s">
        <v>37</v>
      </c>
      <c r="U65" s="3163"/>
      <c r="V65" s="3163">
        <v>1</v>
      </c>
      <c r="W65" s="3163" t="s">
        <v>226</v>
      </c>
      <c r="X65" s="3165" t="s">
        <v>38</v>
      </c>
      <c r="Y65" s="2141">
        <f>+Z65/1000</f>
        <v>704000</v>
      </c>
      <c r="Z65" s="732">
        <f>S65*V65</f>
        <v>704000000</v>
      </c>
      <c r="AA65" s="947"/>
      <c r="AB65" s="690"/>
      <c r="AC65" s="930"/>
      <c r="AD65" s="930"/>
    </row>
    <row r="66" spans="1:30" s="931" customFormat="1" ht="21" customHeight="1">
      <c r="A66" s="673"/>
      <c r="B66" s="674"/>
      <c r="C66" s="675"/>
      <c r="D66" s="674"/>
      <c r="E66" s="851"/>
      <c r="F66" s="1013"/>
      <c r="G66" s="1013"/>
      <c r="H66" s="865"/>
      <c r="I66" s="3201"/>
      <c r="J66" s="1731" t="s">
        <v>848</v>
      </c>
      <c r="K66" s="1732"/>
      <c r="L66" s="1732"/>
      <c r="M66" s="1732"/>
      <c r="N66" s="1732"/>
      <c r="O66" s="1732"/>
      <c r="P66" s="1732"/>
      <c r="Q66" s="946"/>
      <c r="R66" s="3163"/>
      <c r="S66" s="3164">
        <v>3346833.3333333302</v>
      </c>
      <c r="T66" s="3163" t="s">
        <v>37</v>
      </c>
      <c r="U66" s="3163"/>
      <c r="V66" s="3163">
        <v>12</v>
      </c>
      <c r="W66" s="3163" t="s">
        <v>228</v>
      </c>
      <c r="X66" s="3165" t="s">
        <v>38</v>
      </c>
      <c r="Y66" s="2141">
        <f>+Z66/1000</f>
        <v>40161.999999999964</v>
      </c>
      <c r="Z66" s="732">
        <f>S66*V66</f>
        <v>40161999.999999963</v>
      </c>
      <c r="AA66" s="947"/>
      <c r="AB66" s="690"/>
      <c r="AC66" s="930"/>
      <c r="AD66" s="930"/>
    </row>
    <row r="67" spans="1:30" s="931" customFormat="1" ht="21" customHeight="1">
      <c r="A67" s="673"/>
      <c r="B67" s="674"/>
      <c r="C67" s="675"/>
      <c r="D67" s="674"/>
      <c r="E67" s="851"/>
      <c r="F67" s="1013"/>
      <c r="G67" s="1013"/>
      <c r="H67" s="865"/>
      <c r="I67" s="3201"/>
      <c r="J67" s="1731" t="s">
        <v>849</v>
      </c>
      <c r="K67" s="1732"/>
      <c r="L67" s="1732"/>
      <c r="M67" s="1732"/>
      <c r="N67" s="1732"/>
      <c r="O67" s="1732"/>
      <c r="P67" s="1732"/>
      <c r="Q67" s="946"/>
      <c r="R67" s="3163"/>
      <c r="S67" s="3164">
        <v>2500000</v>
      </c>
      <c r="T67" s="3163" t="s">
        <v>37</v>
      </c>
      <c r="U67" s="3163"/>
      <c r="V67" s="3163">
        <v>2</v>
      </c>
      <c r="W67" s="3163" t="s">
        <v>39</v>
      </c>
      <c r="X67" s="3165" t="s">
        <v>38</v>
      </c>
      <c r="Y67" s="2141">
        <f>+Z67/1000</f>
        <v>5000</v>
      </c>
      <c r="Z67" s="732">
        <f>S67*V67</f>
        <v>5000000</v>
      </c>
      <c r="AA67" s="947"/>
      <c r="AB67" s="690"/>
      <c r="AC67" s="930"/>
      <c r="AD67" s="930"/>
    </row>
    <row r="68" spans="1:30" s="931" customFormat="1" ht="21" customHeight="1">
      <c r="A68" s="673"/>
      <c r="B68" s="674"/>
      <c r="C68" s="675"/>
      <c r="D68" s="674"/>
      <c r="E68" s="851" t="s">
        <v>262</v>
      </c>
      <c r="F68" s="1020">
        <f>SUM(Y68)</f>
        <v>16800</v>
      </c>
      <c r="G68" s="1013">
        <v>16800</v>
      </c>
      <c r="H68" s="1021"/>
      <c r="I68" s="3201"/>
      <c r="J68" s="1749" t="s">
        <v>224</v>
      </c>
      <c r="K68" s="1732"/>
      <c r="L68" s="1732"/>
      <c r="M68" s="1732"/>
      <c r="N68" s="1733"/>
      <c r="O68" s="1733"/>
      <c r="P68" s="1732"/>
      <c r="Q68" s="946"/>
      <c r="R68" s="3163"/>
      <c r="S68" s="3164"/>
      <c r="T68" s="3163"/>
      <c r="U68" s="3163"/>
      <c r="V68" s="3163"/>
      <c r="W68" s="3163"/>
      <c r="X68" s="3165"/>
      <c r="Y68" s="2141">
        <f>SUM(Y69:Y70)</f>
        <v>16800</v>
      </c>
      <c r="Z68" s="732">
        <f>SUM(Z69:Z70)</f>
        <v>16800000</v>
      </c>
      <c r="AA68" s="947"/>
      <c r="AB68" s="690"/>
      <c r="AC68" s="930"/>
      <c r="AD68" s="930"/>
    </row>
    <row r="69" spans="1:30" s="931" customFormat="1" ht="21" customHeight="1">
      <c r="A69" s="673"/>
      <c r="B69" s="674"/>
      <c r="C69" s="675"/>
      <c r="D69" s="674"/>
      <c r="E69" s="851"/>
      <c r="F69" s="1020"/>
      <c r="G69" s="1013"/>
      <c r="H69" s="1021"/>
      <c r="I69" s="3201"/>
      <c r="J69" s="1731" t="s">
        <v>1843</v>
      </c>
      <c r="K69" s="1732"/>
      <c r="L69" s="1732"/>
      <c r="M69" s="1732"/>
      <c r="N69" s="1733"/>
      <c r="O69" s="1733"/>
      <c r="P69" s="1732"/>
      <c r="Q69" s="946" t="s">
        <v>577</v>
      </c>
      <c r="R69" s="3163" t="s">
        <v>525</v>
      </c>
      <c r="S69" s="3164">
        <v>850000</v>
      </c>
      <c r="T69" s="3163" t="s">
        <v>37</v>
      </c>
      <c r="U69" s="3163"/>
      <c r="V69" s="3163">
        <v>12</v>
      </c>
      <c r="W69" s="3163" t="s">
        <v>228</v>
      </c>
      <c r="X69" s="3163" t="s">
        <v>38</v>
      </c>
      <c r="Y69" s="2518">
        <f>SUM(Z69/1000)</f>
        <v>10200</v>
      </c>
      <c r="Z69" s="872">
        <f>SUM(Q69*S69*V69)</f>
        <v>10200000</v>
      </c>
      <c r="AA69" s="947"/>
      <c r="AB69" s="690"/>
      <c r="AC69" s="930"/>
      <c r="AD69" s="930"/>
    </row>
    <row r="70" spans="1:30" s="931" customFormat="1" ht="21" customHeight="1">
      <c r="A70" s="673"/>
      <c r="B70" s="674"/>
      <c r="C70" s="675"/>
      <c r="D70" s="674"/>
      <c r="E70" s="851"/>
      <c r="F70" s="1020"/>
      <c r="G70" s="1013"/>
      <c r="H70" s="1021"/>
      <c r="I70" s="3201"/>
      <c r="J70" s="1731" t="s">
        <v>1844</v>
      </c>
      <c r="K70" s="1732"/>
      <c r="L70" s="1732"/>
      <c r="M70" s="1732"/>
      <c r="N70" s="1733"/>
      <c r="O70" s="1733"/>
      <c r="P70" s="1732"/>
      <c r="Q70" s="946" t="s">
        <v>577</v>
      </c>
      <c r="R70" s="3163" t="s">
        <v>525</v>
      </c>
      <c r="S70" s="3164">
        <v>550000</v>
      </c>
      <c r="T70" s="3163" t="s">
        <v>37</v>
      </c>
      <c r="U70" s="3163"/>
      <c r="V70" s="3163">
        <v>12</v>
      </c>
      <c r="W70" s="3163" t="s">
        <v>228</v>
      </c>
      <c r="X70" s="3163" t="s">
        <v>38</v>
      </c>
      <c r="Y70" s="2518">
        <f>SUM(Z70/1000)</f>
        <v>6600</v>
      </c>
      <c r="Z70" s="872">
        <f>SUM(Q70*S70*V70)</f>
        <v>6600000</v>
      </c>
      <c r="AA70" s="947"/>
      <c r="AB70" s="690"/>
      <c r="AC70" s="930"/>
      <c r="AD70" s="930"/>
    </row>
    <row r="71" spans="1:30" s="931" customFormat="1" ht="21" customHeight="1">
      <c r="A71" s="673"/>
      <c r="B71" s="674"/>
      <c r="C71" s="675"/>
      <c r="D71" s="674"/>
      <c r="E71" s="851" t="s">
        <v>549</v>
      </c>
      <c r="F71" s="1020">
        <f>SUM(Y71)</f>
        <v>13999.999999999993</v>
      </c>
      <c r="G71" s="1013">
        <v>13999.999999999993</v>
      </c>
      <c r="H71" s="865"/>
      <c r="I71" s="3201"/>
      <c r="J71" s="1749" t="s">
        <v>224</v>
      </c>
      <c r="K71" s="1732"/>
      <c r="L71" s="1732"/>
      <c r="M71" s="1732"/>
      <c r="N71" s="1733"/>
      <c r="O71" s="1733"/>
      <c r="P71" s="1732"/>
      <c r="Q71" s="946"/>
      <c r="R71" s="3163"/>
      <c r="S71" s="3164"/>
      <c r="T71" s="3163"/>
      <c r="U71" s="3163"/>
      <c r="V71" s="3163"/>
      <c r="W71" s="3163"/>
      <c r="X71" s="3163"/>
      <c r="Y71" s="2518">
        <f>SUM(Y72:Y73)</f>
        <v>13999.999999999993</v>
      </c>
      <c r="Z71" s="872">
        <f>SUM(Z72:Z73)</f>
        <v>13999999.999999993</v>
      </c>
      <c r="AA71" s="947"/>
      <c r="AB71" s="690"/>
      <c r="AC71" s="930"/>
      <c r="AD71" s="930"/>
    </row>
    <row r="72" spans="1:30" s="709" customFormat="1" ht="21" customHeight="1">
      <c r="A72" s="673"/>
      <c r="B72" s="674"/>
      <c r="C72" s="675"/>
      <c r="D72" s="674"/>
      <c r="E72" s="851"/>
      <c r="F72" s="1013"/>
      <c r="G72" s="1013"/>
      <c r="H72" s="865"/>
      <c r="I72" s="3201"/>
      <c r="J72" s="1731" t="s">
        <v>550</v>
      </c>
      <c r="K72" s="1732"/>
      <c r="L72" s="1732"/>
      <c r="M72" s="1732"/>
      <c r="N72" s="1733"/>
      <c r="O72" s="1733"/>
      <c r="P72" s="1732"/>
      <c r="Q72" s="946" t="s">
        <v>577</v>
      </c>
      <c r="R72" s="3163" t="s">
        <v>227</v>
      </c>
      <c r="S72" s="3164">
        <v>591666.66666666605</v>
      </c>
      <c r="T72" s="3163" t="s">
        <v>37</v>
      </c>
      <c r="U72" s="3163"/>
      <c r="V72" s="3163">
        <v>12</v>
      </c>
      <c r="W72" s="3163" t="s">
        <v>228</v>
      </c>
      <c r="X72" s="3163" t="s">
        <v>38</v>
      </c>
      <c r="Y72" s="2518">
        <f>SUM(Z72/1000)</f>
        <v>7099.9999999999927</v>
      </c>
      <c r="Z72" s="872">
        <f>SUM(Q72*S72*V72)</f>
        <v>7099999.9999999925</v>
      </c>
      <c r="AA72" s="947"/>
      <c r="AB72" s="690"/>
      <c r="AC72" s="930"/>
      <c r="AD72" s="3166"/>
    </row>
    <row r="73" spans="1:30" s="709" customFormat="1" ht="21" customHeight="1">
      <c r="A73" s="673"/>
      <c r="B73" s="674"/>
      <c r="C73" s="675"/>
      <c r="D73" s="674"/>
      <c r="E73" s="851"/>
      <c r="F73" s="1013"/>
      <c r="G73" s="1013"/>
      <c r="H73" s="865"/>
      <c r="I73" s="3201"/>
      <c r="J73" s="1731" t="s">
        <v>1074</v>
      </c>
      <c r="K73" s="1732"/>
      <c r="L73" s="1732"/>
      <c r="M73" s="1732"/>
      <c r="N73" s="1733"/>
      <c r="O73" s="1733"/>
      <c r="P73" s="1732"/>
      <c r="Q73" s="946" t="s">
        <v>520</v>
      </c>
      <c r="R73" s="3163" t="s">
        <v>227</v>
      </c>
      <c r="S73" s="3164">
        <v>287500</v>
      </c>
      <c r="T73" s="3163" t="s">
        <v>37</v>
      </c>
      <c r="U73" s="3163"/>
      <c r="V73" s="3163">
        <v>12</v>
      </c>
      <c r="W73" s="3163" t="s">
        <v>228</v>
      </c>
      <c r="X73" s="3163" t="s">
        <v>38</v>
      </c>
      <c r="Y73" s="2518">
        <f>SUM(Z73/1000)</f>
        <v>6900</v>
      </c>
      <c r="Z73" s="872">
        <f>ROUNDUP(S73*Q73*V73,-3)</f>
        <v>6900000</v>
      </c>
      <c r="AA73" s="947"/>
      <c r="AB73" s="690"/>
      <c r="AC73" s="930"/>
      <c r="AD73" s="3166"/>
    </row>
    <row r="74" spans="1:30" s="1023" customFormat="1" ht="21" customHeight="1" thickBot="1">
      <c r="A74" s="673"/>
      <c r="B74" s="674"/>
      <c r="C74" s="675"/>
      <c r="D74" s="674"/>
      <c r="E74" s="851" t="s">
        <v>17</v>
      </c>
      <c r="F74" s="1020">
        <f>SUM(Y74)</f>
        <v>20880</v>
      </c>
      <c r="G74" s="1013">
        <v>20880</v>
      </c>
      <c r="H74" s="865"/>
      <c r="I74" s="3201"/>
      <c r="J74" s="1749" t="s">
        <v>224</v>
      </c>
      <c r="K74" s="1732"/>
      <c r="L74" s="1732"/>
      <c r="M74" s="1732"/>
      <c r="N74" s="1733"/>
      <c r="O74" s="1732"/>
      <c r="P74" s="1732"/>
      <c r="Q74" s="946"/>
      <c r="R74" s="3163"/>
      <c r="S74" s="3164"/>
      <c r="T74" s="3163"/>
      <c r="U74" s="3163"/>
      <c r="V74" s="3163"/>
      <c r="W74" s="3163"/>
      <c r="X74" s="3163"/>
      <c r="Y74" s="2518">
        <f>SUM(Y75:Y78)</f>
        <v>20880</v>
      </c>
      <c r="Z74" s="872">
        <f>SUM(Z75:Z78)</f>
        <v>20880000</v>
      </c>
      <c r="AA74" s="947"/>
      <c r="AB74" s="690"/>
      <c r="AC74" s="930"/>
      <c r="AD74" s="1488"/>
    </row>
    <row r="75" spans="1:30" s="931" customFormat="1" ht="21" customHeight="1">
      <c r="A75" s="673"/>
      <c r="B75" s="674"/>
      <c r="C75" s="675"/>
      <c r="D75" s="674"/>
      <c r="E75" s="851"/>
      <c r="F75" s="1013"/>
      <c r="G75" s="1013"/>
      <c r="H75" s="865"/>
      <c r="I75" s="3201"/>
      <c r="J75" s="1731" t="s">
        <v>1845</v>
      </c>
      <c r="K75" s="1732"/>
      <c r="L75" s="1732"/>
      <c r="M75" s="1732"/>
      <c r="N75" s="1733"/>
      <c r="O75" s="1732"/>
      <c r="P75" s="1732"/>
      <c r="Q75" s="946"/>
      <c r="R75" s="3163"/>
      <c r="S75" s="3164">
        <v>1600000</v>
      </c>
      <c r="T75" s="3163" t="s">
        <v>37</v>
      </c>
      <c r="U75" s="3163"/>
      <c r="V75" s="3163">
        <v>12</v>
      </c>
      <c r="W75" s="3163" t="s">
        <v>228</v>
      </c>
      <c r="X75" s="3163" t="s">
        <v>38</v>
      </c>
      <c r="Y75" s="2518">
        <f t="shared" ref="Y75:Y79" si="2">+Z75/1000</f>
        <v>19200</v>
      </c>
      <c r="Z75" s="872">
        <f>S75*V75</f>
        <v>19200000</v>
      </c>
      <c r="AA75" s="947"/>
      <c r="AB75" s="690"/>
      <c r="AC75" s="930"/>
      <c r="AD75" s="930"/>
    </row>
    <row r="76" spans="1:30" s="931" customFormat="1" ht="21" customHeight="1">
      <c r="A76" s="673"/>
      <c r="B76" s="674"/>
      <c r="C76" s="675"/>
      <c r="D76" s="674"/>
      <c r="E76" s="851"/>
      <c r="F76" s="1013"/>
      <c r="G76" s="1013"/>
      <c r="H76" s="865"/>
      <c r="I76" s="3201"/>
      <c r="J76" s="1731" t="s">
        <v>1846</v>
      </c>
      <c r="K76" s="1732"/>
      <c r="L76" s="1732"/>
      <c r="M76" s="1732"/>
      <c r="N76" s="1733"/>
      <c r="O76" s="1732"/>
      <c r="P76" s="1732"/>
      <c r="Q76" s="946"/>
      <c r="R76" s="3163"/>
      <c r="S76" s="3164">
        <v>50000</v>
      </c>
      <c r="T76" s="3163" t="s">
        <v>37</v>
      </c>
      <c r="U76" s="3163"/>
      <c r="V76" s="3163">
        <v>12</v>
      </c>
      <c r="W76" s="3163" t="s">
        <v>228</v>
      </c>
      <c r="X76" s="3163" t="s">
        <v>38</v>
      </c>
      <c r="Y76" s="2518">
        <f t="shared" si="2"/>
        <v>600</v>
      </c>
      <c r="Z76" s="872">
        <f>S76*V76</f>
        <v>600000</v>
      </c>
      <c r="AA76" s="947"/>
      <c r="AB76" s="690"/>
      <c r="AC76" s="930"/>
      <c r="AD76" s="930"/>
    </row>
    <row r="77" spans="1:30" s="931" customFormat="1" ht="21" customHeight="1">
      <c r="A77" s="673"/>
      <c r="B77" s="674"/>
      <c r="C77" s="675"/>
      <c r="D77" s="674"/>
      <c r="E77" s="851"/>
      <c r="F77" s="1013"/>
      <c r="G77" s="1013"/>
      <c r="H77" s="865"/>
      <c r="I77" s="3201"/>
      <c r="J77" s="1731" t="s">
        <v>689</v>
      </c>
      <c r="K77" s="1732"/>
      <c r="L77" s="1732"/>
      <c r="M77" s="1732"/>
      <c r="N77" s="1733"/>
      <c r="O77" s="1732"/>
      <c r="P77" s="1732"/>
      <c r="Q77" s="946"/>
      <c r="R77" s="3163"/>
      <c r="S77" s="3164">
        <v>20000</v>
      </c>
      <c r="T77" s="3163" t="s">
        <v>37</v>
      </c>
      <c r="U77" s="3163"/>
      <c r="V77" s="3163">
        <v>12</v>
      </c>
      <c r="W77" s="3163" t="s">
        <v>228</v>
      </c>
      <c r="X77" s="3163" t="s">
        <v>38</v>
      </c>
      <c r="Y77" s="2518">
        <f t="shared" si="2"/>
        <v>240</v>
      </c>
      <c r="Z77" s="872">
        <f>S77*V77</f>
        <v>240000</v>
      </c>
      <c r="AA77" s="947"/>
      <c r="AB77" s="690"/>
      <c r="AC77" s="930"/>
      <c r="AD77" s="930"/>
    </row>
    <row r="78" spans="1:30" s="931" customFormat="1" ht="21" customHeight="1">
      <c r="A78" s="673"/>
      <c r="B78" s="674"/>
      <c r="C78" s="675"/>
      <c r="D78" s="674"/>
      <c r="E78" s="851"/>
      <c r="F78" s="1013"/>
      <c r="G78" s="1013"/>
      <c r="H78" s="865"/>
      <c r="I78" s="3201"/>
      <c r="J78" s="1731" t="s">
        <v>1847</v>
      </c>
      <c r="K78" s="1732"/>
      <c r="L78" s="1732" t="s">
        <v>378</v>
      </c>
      <c r="M78" s="1732"/>
      <c r="N78" s="1733"/>
      <c r="O78" s="1732"/>
      <c r="P78" s="1732"/>
      <c r="Q78" s="946" t="s">
        <v>520</v>
      </c>
      <c r="R78" s="3163" t="s">
        <v>525</v>
      </c>
      <c r="S78" s="3164">
        <v>35000</v>
      </c>
      <c r="T78" s="3163" t="s">
        <v>37</v>
      </c>
      <c r="U78" s="3163"/>
      <c r="V78" s="3163">
        <v>12</v>
      </c>
      <c r="W78" s="3163" t="s">
        <v>228</v>
      </c>
      <c r="X78" s="3163" t="s">
        <v>38</v>
      </c>
      <c r="Y78" s="2518">
        <f t="shared" si="2"/>
        <v>840</v>
      </c>
      <c r="Z78" s="872">
        <f>SUM(Q78*S78*V78)</f>
        <v>840000</v>
      </c>
      <c r="AA78" s="947"/>
      <c r="AB78" s="690"/>
      <c r="AC78" s="930"/>
      <c r="AD78" s="930"/>
    </row>
    <row r="79" spans="1:30" s="931" customFormat="1" ht="21" customHeight="1">
      <c r="A79" s="673"/>
      <c r="B79" s="674"/>
      <c r="C79" s="675"/>
      <c r="D79" s="674"/>
      <c r="E79" s="971" t="s">
        <v>384</v>
      </c>
      <c r="F79" s="1020">
        <f>SUM(Y79)</f>
        <v>1300</v>
      </c>
      <c r="G79" s="999">
        <v>1300</v>
      </c>
      <c r="H79" s="990"/>
      <c r="I79" s="3201"/>
      <c r="J79" s="1750" t="s">
        <v>1794</v>
      </c>
      <c r="K79" s="1743"/>
      <c r="L79" s="1743"/>
      <c r="M79" s="1743"/>
      <c r="N79" s="1744"/>
      <c r="O79" s="1743"/>
      <c r="P79" s="1743"/>
      <c r="Q79" s="977" t="s">
        <v>851</v>
      </c>
      <c r="R79" s="978" t="s">
        <v>232</v>
      </c>
      <c r="S79" s="979">
        <v>10000</v>
      </c>
      <c r="T79" s="978" t="s">
        <v>37</v>
      </c>
      <c r="U79" s="978"/>
      <c r="V79" s="978">
        <v>10</v>
      </c>
      <c r="W79" s="978" t="s">
        <v>259</v>
      </c>
      <c r="X79" s="978" t="s">
        <v>38</v>
      </c>
      <c r="Y79" s="2512">
        <f t="shared" si="2"/>
        <v>1300</v>
      </c>
      <c r="Z79" s="982">
        <f>SUM(Q79*S79*V79)</f>
        <v>1300000</v>
      </c>
      <c r="AA79" s="947"/>
      <c r="AB79" s="690"/>
      <c r="AC79" s="930"/>
      <c r="AD79" s="930"/>
    </row>
    <row r="80" spans="1:30" s="931" customFormat="1" ht="21" customHeight="1">
      <c r="A80" s="673"/>
      <c r="B80" s="674"/>
      <c r="C80" s="675"/>
      <c r="D80" s="3955" t="s">
        <v>567</v>
      </c>
      <c r="E80" s="3883"/>
      <c r="F80" s="1030">
        <f>F81</f>
        <v>20000</v>
      </c>
      <c r="G80" s="1030">
        <f>G81</f>
        <v>20000</v>
      </c>
      <c r="H80" s="854">
        <f>F80-G80</f>
        <v>0</v>
      </c>
      <c r="I80" s="734"/>
      <c r="J80" s="1755"/>
      <c r="K80" s="1756"/>
      <c r="L80" s="1756"/>
      <c r="M80" s="1756"/>
      <c r="N80" s="1756"/>
      <c r="O80" s="1756"/>
      <c r="P80" s="1756"/>
      <c r="Q80" s="937"/>
      <c r="R80" s="1033"/>
      <c r="S80" s="1973"/>
      <c r="T80" s="1033"/>
      <c r="U80" s="1973"/>
      <c r="V80" s="1033"/>
      <c r="W80" s="1973"/>
      <c r="X80" s="1973"/>
      <c r="Y80" s="939"/>
      <c r="Z80" s="940">
        <f>+Z82+Z83</f>
        <v>20000000</v>
      </c>
      <c r="AA80" s="947"/>
      <c r="AB80" s="690"/>
      <c r="AC80" s="930"/>
      <c r="AD80" s="930"/>
    </row>
    <row r="81" spans="1:36" s="709" customFormat="1" ht="21" customHeight="1">
      <c r="A81" s="673"/>
      <c r="B81" s="674"/>
      <c r="C81" s="675"/>
      <c r="D81" s="1034"/>
      <c r="E81" s="1034" t="s">
        <v>557</v>
      </c>
      <c r="F81" s="996">
        <f>Y81</f>
        <v>20000</v>
      </c>
      <c r="G81" s="995">
        <v>20000</v>
      </c>
      <c r="H81" s="854"/>
      <c r="I81" s="734"/>
      <c r="J81" s="1751" t="s">
        <v>224</v>
      </c>
      <c r="K81" s="1740"/>
      <c r="L81" s="1740"/>
      <c r="M81" s="1740"/>
      <c r="N81" s="1740"/>
      <c r="O81" s="1740"/>
      <c r="P81" s="1740"/>
      <c r="Q81" s="1035"/>
      <c r="R81" s="1035"/>
      <c r="S81" s="1035"/>
      <c r="T81" s="1035"/>
      <c r="U81" s="1035"/>
      <c r="V81" s="1035"/>
      <c r="W81" s="1035"/>
      <c r="X81" s="1035"/>
      <c r="Y81" s="1036">
        <f>+Z81/1000</f>
        <v>20000</v>
      </c>
      <c r="Z81" s="3212">
        <f>+Z82+Z83</f>
        <v>20000000</v>
      </c>
      <c r="AA81" s="947"/>
      <c r="AB81" s="690"/>
      <c r="AC81" s="930"/>
      <c r="AD81" s="3166"/>
    </row>
    <row r="82" spans="1:36" s="709" customFormat="1" ht="21" customHeight="1">
      <c r="A82" s="673"/>
      <c r="B82" s="674"/>
      <c r="C82" s="675"/>
      <c r="D82" s="675"/>
      <c r="E82" s="675"/>
      <c r="F82" s="1013"/>
      <c r="G82" s="1020"/>
      <c r="H82" s="865"/>
      <c r="I82" s="734"/>
      <c r="J82" s="1749" t="s">
        <v>1032</v>
      </c>
      <c r="K82" s="1736"/>
      <c r="L82" s="1736"/>
      <c r="M82" s="1736"/>
      <c r="N82" s="1735"/>
      <c r="O82" s="1735"/>
      <c r="P82" s="1735"/>
      <c r="Q82" s="992"/>
      <c r="R82" s="685"/>
      <c r="S82" s="1038">
        <v>17000000</v>
      </c>
      <c r="T82" s="684" t="s">
        <v>37</v>
      </c>
      <c r="U82" s="684" t="s">
        <v>265</v>
      </c>
      <c r="V82" s="684">
        <v>1</v>
      </c>
      <c r="W82" s="684" t="s">
        <v>579</v>
      </c>
      <c r="X82" s="867" t="s">
        <v>38</v>
      </c>
      <c r="Y82" s="1028">
        <f>+Z82/1000</f>
        <v>17000</v>
      </c>
      <c r="Z82" s="872">
        <f>S82*V82</f>
        <v>17000000</v>
      </c>
      <c r="AA82" s="947"/>
      <c r="AB82" s="690"/>
      <c r="AC82" s="930"/>
      <c r="AD82" s="3166"/>
    </row>
    <row r="83" spans="1:36" s="709" customFormat="1" ht="21" customHeight="1" thickBot="1">
      <c r="A83" s="673"/>
      <c r="B83" s="674"/>
      <c r="C83" s="1039"/>
      <c r="D83" s="1039"/>
      <c r="E83" s="1039"/>
      <c r="F83" s="1040"/>
      <c r="G83" s="1041"/>
      <c r="H83" s="1042"/>
      <c r="I83" s="734"/>
      <c r="J83" s="1757" t="s">
        <v>1033</v>
      </c>
      <c r="K83" s="1758"/>
      <c r="L83" s="1758"/>
      <c r="M83" s="1758"/>
      <c r="N83" s="1759"/>
      <c r="O83" s="1759"/>
      <c r="P83" s="1759"/>
      <c r="Q83" s="1046"/>
      <c r="R83" s="1047"/>
      <c r="S83" s="1048">
        <v>3000000</v>
      </c>
      <c r="T83" s="1049" t="s">
        <v>37</v>
      </c>
      <c r="U83" s="1049" t="s">
        <v>265</v>
      </c>
      <c r="V83" s="1049">
        <v>1</v>
      </c>
      <c r="W83" s="1049" t="s">
        <v>579</v>
      </c>
      <c r="X83" s="1050" t="s">
        <v>38</v>
      </c>
      <c r="Y83" s="1051">
        <f>+Z83/1000</f>
        <v>3000</v>
      </c>
      <c r="Z83" s="1052">
        <f>S83*V83</f>
        <v>3000000</v>
      </c>
      <c r="AA83" s="947"/>
      <c r="AB83" s="690"/>
      <c r="AC83" s="930"/>
      <c r="AD83" s="3166"/>
    </row>
    <row r="84" spans="1:36" s="967" customFormat="1" ht="21" customHeight="1" thickBot="1">
      <c r="A84" s="673"/>
      <c r="B84" s="674"/>
      <c r="C84" s="4019" t="s">
        <v>77</v>
      </c>
      <c r="D84" s="4020"/>
      <c r="E84" s="4021"/>
      <c r="F84" s="903">
        <f>+F85+F103+F143+F206+F257+F264</f>
        <v>1229500</v>
      </c>
      <c r="G84" s="903">
        <f>+G85+G103+G143+G206+G257+G264</f>
        <v>1219499.9999999921</v>
      </c>
      <c r="H84" s="904">
        <f>+F84-G84</f>
        <v>10000.000000007916</v>
      </c>
      <c r="I84" s="734"/>
      <c r="J84" s="1760"/>
      <c r="K84" s="1761"/>
      <c r="L84" s="1761"/>
      <c r="M84" s="1761"/>
      <c r="N84" s="1761"/>
      <c r="O84" s="1761"/>
      <c r="P84" s="1761"/>
      <c r="Q84" s="912"/>
      <c r="R84" s="1053"/>
      <c r="S84" s="1054"/>
      <c r="T84" s="912"/>
      <c r="U84" s="912"/>
      <c r="V84" s="1053"/>
      <c r="W84" s="912"/>
      <c r="X84" s="912"/>
      <c r="Y84" s="914"/>
      <c r="Z84" s="1728"/>
      <c r="AA84" s="947"/>
      <c r="AB84" s="690"/>
      <c r="AC84" s="1055"/>
      <c r="AD84" s="1055"/>
    </row>
    <row r="85" spans="1:36" s="967" customFormat="1" ht="21" customHeight="1">
      <c r="A85" s="673"/>
      <c r="B85" s="674"/>
      <c r="C85" s="3955" t="s">
        <v>852</v>
      </c>
      <c r="D85" s="4049"/>
      <c r="E85" s="3883"/>
      <c r="F85" s="1030">
        <f>F86+F93</f>
        <v>15000</v>
      </c>
      <c r="G85" s="1030">
        <f>G86+G93</f>
        <v>15000</v>
      </c>
      <c r="H85" s="1056">
        <f>F85-G85</f>
        <v>0</v>
      </c>
      <c r="I85" s="734"/>
      <c r="J85" s="1971"/>
      <c r="K85" s="1972"/>
      <c r="L85" s="1972"/>
      <c r="M85" s="1972"/>
      <c r="N85" s="1972"/>
      <c r="O85" s="1972"/>
      <c r="P85" s="1972"/>
      <c r="Q85" s="709"/>
      <c r="R85" s="736"/>
      <c r="S85" s="684"/>
      <c r="T85" s="709"/>
      <c r="U85" s="709"/>
      <c r="V85" s="736"/>
      <c r="W85" s="709"/>
      <c r="X85" s="709"/>
      <c r="Y85" s="688"/>
      <c r="Z85" s="1058"/>
      <c r="AA85" s="947"/>
      <c r="AB85" s="690"/>
      <c r="AC85" s="1055"/>
      <c r="AD85" s="1055"/>
    </row>
    <row r="86" spans="1:36" s="931" customFormat="1" ht="21" customHeight="1">
      <c r="A86" s="673"/>
      <c r="B86" s="674"/>
      <c r="C86" s="1981"/>
      <c r="D86" s="1956" t="s">
        <v>853</v>
      </c>
      <c r="E86" s="1958"/>
      <c r="F86" s="983">
        <f>SUM(F87:F92)</f>
        <v>10000</v>
      </c>
      <c r="G86" s="983">
        <f>SUM(G87:G92)</f>
        <v>10000</v>
      </c>
      <c r="H86" s="1059">
        <f>F86-G86</f>
        <v>0</v>
      </c>
      <c r="I86" s="734"/>
      <c r="J86" s="1762"/>
      <c r="K86" s="1763"/>
      <c r="L86" s="1763"/>
      <c r="M86" s="1763"/>
      <c r="N86" s="1763"/>
      <c r="O86" s="1763"/>
      <c r="P86" s="1763"/>
      <c r="Q86" s="1060"/>
      <c r="R86" s="1061"/>
      <c r="S86" s="1062"/>
      <c r="T86" s="1060"/>
      <c r="U86" s="1957"/>
      <c r="V86" s="1063"/>
      <c r="W86" s="1060"/>
      <c r="X86" s="1060"/>
      <c r="Y86" s="1064"/>
      <c r="Z86" s="862"/>
      <c r="AA86" s="947"/>
      <c r="AB86" s="690"/>
      <c r="AC86" s="930"/>
      <c r="AD86" s="930"/>
    </row>
    <row r="87" spans="1:36" s="931" customFormat="1" ht="21" customHeight="1">
      <c r="A87" s="673"/>
      <c r="B87" s="674"/>
      <c r="C87" s="1981"/>
      <c r="D87" s="1065"/>
      <c r="E87" s="948" t="s">
        <v>225</v>
      </c>
      <c r="F87" s="1020">
        <f>Y87</f>
        <v>7400</v>
      </c>
      <c r="G87" s="1020">
        <v>7400</v>
      </c>
      <c r="H87" s="1021"/>
      <c r="I87" s="734"/>
      <c r="J87" s="4051" t="s">
        <v>1795</v>
      </c>
      <c r="K87" s="4052"/>
      <c r="L87" s="4052"/>
      <c r="M87" s="4052"/>
      <c r="N87" s="4052"/>
      <c r="O87" s="4052"/>
      <c r="P87" s="4052"/>
      <c r="Q87" s="729">
        <v>1</v>
      </c>
      <c r="R87" s="1066" t="s">
        <v>232</v>
      </c>
      <c r="S87" s="1067">
        <v>3700000</v>
      </c>
      <c r="T87" s="729" t="s">
        <v>37</v>
      </c>
      <c r="U87" s="709"/>
      <c r="V87" s="730">
        <v>2</v>
      </c>
      <c r="W87" s="729" t="s">
        <v>39</v>
      </c>
      <c r="X87" s="729" t="s">
        <v>151</v>
      </c>
      <c r="Y87" s="1068">
        <f>Z87/1000</f>
        <v>7400</v>
      </c>
      <c r="Z87" s="872">
        <f t="shared" ref="Z87:Z92" si="3">Q87*S87*V87</f>
        <v>7400000</v>
      </c>
      <c r="AA87" s="947"/>
      <c r="AB87" s="690"/>
      <c r="AC87" s="930"/>
      <c r="AD87" s="930"/>
    </row>
    <row r="88" spans="1:36" s="678" customFormat="1" ht="21.95" customHeight="1">
      <c r="A88" s="673"/>
      <c r="B88" s="674"/>
      <c r="C88" s="675"/>
      <c r="D88" s="1977"/>
      <c r="E88" s="675" t="s">
        <v>380</v>
      </c>
      <c r="F88" s="1020">
        <f>Y88</f>
        <v>2200</v>
      </c>
      <c r="G88" s="678">
        <v>2200</v>
      </c>
      <c r="H88" s="1070"/>
      <c r="I88" s="734"/>
      <c r="J88" s="4051" t="s">
        <v>224</v>
      </c>
      <c r="K88" s="4052"/>
      <c r="L88" s="4052"/>
      <c r="M88" s="4052"/>
      <c r="N88" s="4052"/>
      <c r="O88" s="4052"/>
      <c r="P88" s="4052"/>
      <c r="Q88" s="729"/>
      <c r="R88" s="1066"/>
      <c r="S88" s="1067"/>
      <c r="T88" s="729"/>
      <c r="U88" s="709"/>
      <c r="V88" s="730"/>
      <c r="W88" s="729"/>
      <c r="X88" s="729"/>
      <c r="Y88" s="1068">
        <f>Y89+Y90</f>
        <v>2200</v>
      </c>
      <c r="Z88" s="1405"/>
      <c r="AA88" s="947"/>
      <c r="AB88" s="690"/>
      <c r="AC88" s="1055"/>
      <c r="AD88" s="1097"/>
      <c r="AE88" s="1072"/>
      <c r="AF88" s="675"/>
      <c r="AG88" s="1069"/>
      <c r="AH88" s="675"/>
      <c r="AI88" s="1020"/>
      <c r="AJ88" s="931"/>
    </row>
    <row r="89" spans="1:36" s="678" customFormat="1" ht="21.95" customHeight="1">
      <c r="A89" s="1071"/>
      <c r="B89" s="1072"/>
      <c r="C89" s="675"/>
      <c r="D89" s="1977"/>
      <c r="E89" s="675"/>
      <c r="F89" s="1020"/>
      <c r="H89" s="1070"/>
      <c r="I89" s="734"/>
      <c r="J89" s="4053" t="s">
        <v>854</v>
      </c>
      <c r="K89" s="4054"/>
      <c r="L89" s="4054"/>
      <c r="M89" s="4054"/>
      <c r="N89" s="4054"/>
      <c r="O89" s="4054"/>
      <c r="P89" s="4054"/>
      <c r="Q89" s="729">
        <v>1</v>
      </c>
      <c r="R89" s="1066" t="s">
        <v>232</v>
      </c>
      <c r="S89" s="1067">
        <v>700000</v>
      </c>
      <c r="T89" s="729" t="s">
        <v>37</v>
      </c>
      <c r="U89" s="709"/>
      <c r="V89" s="730">
        <v>2</v>
      </c>
      <c r="W89" s="729" t="s">
        <v>259</v>
      </c>
      <c r="X89" s="729" t="s">
        <v>151</v>
      </c>
      <c r="Y89" s="1068">
        <f t="shared" ref="Y89" si="4">Z89/1000</f>
        <v>1400</v>
      </c>
      <c r="Z89" s="1405">
        <f>Q89*S89*V89</f>
        <v>1400000</v>
      </c>
      <c r="AA89" s="947"/>
      <c r="AB89" s="690"/>
      <c r="AC89" s="1073"/>
      <c r="AD89" s="1097"/>
      <c r="AE89" s="1072"/>
      <c r="AF89" s="675"/>
      <c r="AG89" s="1069"/>
      <c r="AH89" s="675"/>
      <c r="AI89" s="1020"/>
      <c r="AJ89" s="931"/>
    </row>
    <row r="90" spans="1:36" s="678" customFormat="1" ht="21.95" customHeight="1">
      <c r="A90" s="1071"/>
      <c r="B90" s="1072"/>
      <c r="C90" s="675"/>
      <c r="D90" s="1977"/>
      <c r="E90" s="675"/>
      <c r="F90" s="1020"/>
      <c r="H90" s="1070"/>
      <c r="I90" s="734"/>
      <c r="J90" s="4051" t="s">
        <v>855</v>
      </c>
      <c r="K90" s="4052"/>
      <c r="L90" s="4052"/>
      <c r="M90" s="4052"/>
      <c r="N90" s="4052"/>
      <c r="O90" s="4052"/>
      <c r="P90" s="4052"/>
      <c r="Q90" s="729">
        <v>1</v>
      </c>
      <c r="R90" s="1066" t="s">
        <v>232</v>
      </c>
      <c r="S90" s="1067">
        <v>50000</v>
      </c>
      <c r="T90" s="729" t="s">
        <v>0</v>
      </c>
      <c r="U90" s="709"/>
      <c r="V90" s="730">
        <v>16</v>
      </c>
      <c r="W90" s="729" t="s">
        <v>856</v>
      </c>
      <c r="X90" s="729" t="s">
        <v>151</v>
      </c>
      <c r="Y90" s="1068">
        <f>Z90/1000</f>
        <v>800</v>
      </c>
      <c r="Z90" s="1405">
        <f>Q90*S90*V90</f>
        <v>800000</v>
      </c>
      <c r="AA90" s="947"/>
      <c r="AB90" s="690"/>
      <c r="AC90" s="1073"/>
      <c r="AD90" s="1097"/>
      <c r="AE90" s="1072"/>
      <c r="AF90" s="675"/>
      <c r="AG90" s="1069"/>
      <c r="AH90" s="675"/>
      <c r="AI90" s="1020"/>
      <c r="AJ90" s="931"/>
    </row>
    <row r="91" spans="1:36" s="931" customFormat="1" ht="21.95" customHeight="1">
      <c r="A91" s="673"/>
      <c r="B91" s="674"/>
      <c r="C91" s="1981"/>
      <c r="D91" s="1065"/>
      <c r="E91" s="948" t="s">
        <v>451</v>
      </c>
      <c r="F91" s="1020">
        <f>Y91</f>
        <v>200</v>
      </c>
      <c r="G91" s="1020">
        <v>200</v>
      </c>
      <c r="H91" s="1021"/>
      <c r="I91" s="734"/>
      <c r="J91" s="4051" t="s">
        <v>1796</v>
      </c>
      <c r="K91" s="4052"/>
      <c r="L91" s="4052"/>
      <c r="M91" s="4052"/>
      <c r="N91" s="4052"/>
      <c r="O91" s="4052"/>
      <c r="P91" s="4052"/>
      <c r="Q91" s="729">
        <v>1</v>
      </c>
      <c r="R91" s="1066" t="s">
        <v>232</v>
      </c>
      <c r="S91" s="1067">
        <v>200000</v>
      </c>
      <c r="T91" s="729" t="s">
        <v>0</v>
      </c>
      <c r="U91" s="709"/>
      <c r="V91" s="730">
        <v>1</v>
      </c>
      <c r="W91" s="729" t="s">
        <v>243</v>
      </c>
      <c r="X91" s="729" t="s">
        <v>151</v>
      </c>
      <c r="Y91" s="1068">
        <f>Z91/1000</f>
        <v>200</v>
      </c>
      <c r="Z91" s="1405">
        <f>Q91*S91*V91</f>
        <v>200000</v>
      </c>
      <c r="AA91" s="947"/>
      <c r="AB91" s="690"/>
      <c r="AC91" s="930"/>
      <c r="AD91" s="930"/>
    </row>
    <row r="92" spans="1:36" s="931" customFormat="1" ht="21.95" customHeight="1">
      <c r="A92" s="1071"/>
      <c r="B92" s="1072"/>
      <c r="C92" s="1981"/>
      <c r="D92" s="1065"/>
      <c r="E92" s="675" t="s">
        <v>384</v>
      </c>
      <c r="F92" s="1020">
        <f>Y92</f>
        <v>200</v>
      </c>
      <c r="G92" s="1020">
        <v>200</v>
      </c>
      <c r="H92" s="1021"/>
      <c r="I92" s="734"/>
      <c r="J92" s="4051" t="s">
        <v>1797</v>
      </c>
      <c r="K92" s="4052"/>
      <c r="L92" s="4052"/>
      <c r="M92" s="4052"/>
      <c r="N92" s="4052"/>
      <c r="O92" s="4052"/>
      <c r="P92" s="4052"/>
      <c r="Q92" s="729">
        <v>5</v>
      </c>
      <c r="R92" s="1066" t="s">
        <v>232</v>
      </c>
      <c r="S92" s="1067">
        <v>20000</v>
      </c>
      <c r="T92" s="729" t="s">
        <v>37</v>
      </c>
      <c r="U92" s="709"/>
      <c r="V92" s="730">
        <v>2</v>
      </c>
      <c r="W92" s="729" t="s">
        <v>259</v>
      </c>
      <c r="X92" s="729" t="s">
        <v>151</v>
      </c>
      <c r="Y92" s="1068">
        <f>Z92/1000</f>
        <v>200</v>
      </c>
      <c r="Z92" s="982">
        <f t="shared" si="3"/>
        <v>200000</v>
      </c>
      <c r="AA92" s="947"/>
      <c r="AB92" s="690"/>
      <c r="AC92" s="930"/>
      <c r="AD92" s="930"/>
    </row>
    <row r="93" spans="1:36" s="931" customFormat="1" ht="21.95" customHeight="1">
      <c r="A93" s="1071"/>
      <c r="B93" s="1072"/>
      <c r="C93" s="1981"/>
      <c r="D93" s="1956" t="s">
        <v>857</v>
      </c>
      <c r="E93" s="1956"/>
      <c r="F93" s="1030">
        <f>SUM(F94:F102)</f>
        <v>5000</v>
      </c>
      <c r="G93" s="1030">
        <f>SUM(G94:G102)</f>
        <v>5000</v>
      </c>
      <c r="H93" s="1056">
        <f>F93-G93</f>
        <v>0</v>
      </c>
      <c r="I93" s="734"/>
      <c r="J93" s="1762"/>
      <c r="K93" s="1763"/>
      <c r="L93" s="1763"/>
      <c r="M93" s="1763"/>
      <c r="N93" s="1763"/>
      <c r="O93" s="1763"/>
      <c r="P93" s="1763"/>
      <c r="Q93" s="1060"/>
      <c r="R93" s="1061"/>
      <c r="S93" s="1062"/>
      <c r="T93" s="1060"/>
      <c r="U93" s="1957"/>
      <c r="V93" s="1063"/>
      <c r="W93" s="1060"/>
      <c r="X93" s="1060"/>
      <c r="Y93" s="1064"/>
      <c r="Z93" s="982"/>
      <c r="AA93" s="947"/>
      <c r="AB93" s="690"/>
      <c r="AC93" s="930"/>
      <c r="AD93" s="930"/>
    </row>
    <row r="94" spans="1:36" s="931" customFormat="1" ht="21.95" customHeight="1">
      <c r="A94" s="1071"/>
      <c r="B94" s="1072"/>
      <c r="C94" s="3388"/>
      <c r="D94" s="1034"/>
      <c r="E94" s="1530" t="s">
        <v>65</v>
      </c>
      <c r="F94" s="1020">
        <f>Y94</f>
        <v>2900</v>
      </c>
      <c r="G94" s="1020">
        <v>1900</v>
      </c>
      <c r="H94" s="854">
        <f t="shared" ref="H94:H101" si="5">F94-G94</f>
        <v>1000</v>
      </c>
      <c r="I94" s="734"/>
      <c r="J94" s="681" t="s">
        <v>5371</v>
      </c>
      <c r="K94" s="3515"/>
      <c r="L94" s="3515"/>
      <c r="M94" s="3515"/>
      <c r="N94" s="3515"/>
      <c r="O94" s="3515"/>
      <c r="P94" s="3515"/>
      <c r="Q94" s="3515"/>
      <c r="R94" s="2127"/>
      <c r="S94" s="684"/>
      <c r="T94" s="684"/>
      <c r="U94" s="684"/>
      <c r="V94" s="684"/>
      <c r="W94" s="684"/>
      <c r="X94" s="684" t="s">
        <v>5343</v>
      </c>
      <c r="Y94" s="871">
        <f t="shared" ref="Y94:Y95" si="6">+Z94/1000</f>
        <v>2900</v>
      </c>
      <c r="Z94" s="732">
        <f>SUM(Z95:Z97)</f>
        <v>2900000</v>
      </c>
      <c r="AA94" s="947"/>
      <c r="AB94" s="690"/>
      <c r="AC94" s="930"/>
      <c r="AD94" s="930"/>
    </row>
    <row r="95" spans="1:36" s="931" customFormat="1" ht="21.95" customHeight="1">
      <c r="A95" s="1071"/>
      <c r="B95" s="1072"/>
      <c r="C95" s="3388"/>
      <c r="D95" s="675"/>
      <c r="E95" s="1530"/>
      <c r="F95" s="1020"/>
      <c r="G95" s="1020"/>
      <c r="H95" s="865"/>
      <c r="I95" s="734"/>
      <c r="J95" s="681" t="s">
        <v>5375</v>
      </c>
      <c r="K95" s="3515"/>
      <c r="L95" s="3515"/>
      <c r="M95" s="3515"/>
      <c r="N95" s="3515"/>
      <c r="O95" s="3515"/>
      <c r="P95" s="3515"/>
      <c r="Q95" s="3515"/>
      <c r="R95" s="2127"/>
      <c r="S95" s="3164">
        <v>60000</v>
      </c>
      <c r="T95" s="684" t="s">
        <v>5336</v>
      </c>
      <c r="U95" s="684"/>
      <c r="V95" s="684">
        <v>35</v>
      </c>
      <c r="W95" s="684" t="s">
        <v>5337</v>
      </c>
      <c r="X95" s="684" t="s">
        <v>5338</v>
      </c>
      <c r="Y95" s="871">
        <f t="shared" si="6"/>
        <v>2100</v>
      </c>
      <c r="Z95" s="732">
        <v>2100000</v>
      </c>
      <c r="AA95" s="947"/>
      <c r="AB95" s="690"/>
      <c r="AC95" s="930"/>
      <c r="AD95" s="930"/>
    </row>
    <row r="96" spans="1:36" s="931" customFormat="1" ht="21.95" customHeight="1">
      <c r="A96" s="1071"/>
      <c r="B96" s="1072"/>
      <c r="C96" s="3388"/>
      <c r="D96" s="675"/>
      <c r="E96" s="1530"/>
      <c r="F96" s="1020"/>
      <c r="G96" s="1020"/>
      <c r="H96" s="865"/>
      <c r="I96" s="734"/>
      <c r="J96" s="681" t="s">
        <v>5376</v>
      </c>
      <c r="K96" s="3515"/>
      <c r="L96" s="3515"/>
      <c r="M96" s="3515"/>
      <c r="N96" s="3515"/>
      <c r="O96" s="3515"/>
      <c r="P96" s="3515"/>
      <c r="Q96" s="684"/>
      <c r="R96" s="684"/>
      <c r="S96" s="684">
        <v>50000</v>
      </c>
      <c r="T96" s="684" t="s">
        <v>5336</v>
      </c>
      <c r="U96" s="684"/>
      <c r="V96" s="684">
        <v>4</v>
      </c>
      <c r="W96" s="684" t="s">
        <v>5341</v>
      </c>
      <c r="X96" s="684" t="s">
        <v>5338</v>
      </c>
      <c r="Y96" s="871">
        <f>Z96/1000</f>
        <v>200</v>
      </c>
      <c r="Z96" s="732">
        <f>S96*V96</f>
        <v>200000</v>
      </c>
      <c r="AA96" s="947"/>
      <c r="AB96" s="690"/>
      <c r="AC96" s="930"/>
      <c r="AD96" s="930"/>
    </row>
    <row r="97" spans="1:36" s="931" customFormat="1" ht="21.95" customHeight="1">
      <c r="A97" s="1071"/>
      <c r="B97" s="1072"/>
      <c r="C97" s="3388"/>
      <c r="D97" s="675"/>
      <c r="E97" s="1530"/>
      <c r="F97" s="1020"/>
      <c r="G97" s="1020"/>
      <c r="H97" s="865"/>
      <c r="I97" s="734"/>
      <c r="J97" s="681" t="s">
        <v>5377</v>
      </c>
      <c r="K97" s="3515"/>
      <c r="L97" s="3515"/>
      <c r="M97" s="3515"/>
      <c r="N97" s="3515"/>
      <c r="O97" s="3515"/>
      <c r="P97" s="3515"/>
      <c r="Q97" s="684"/>
      <c r="R97" s="684"/>
      <c r="S97" s="684">
        <v>60000</v>
      </c>
      <c r="T97" s="684" t="s">
        <v>5336</v>
      </c>
      <c r="U97" s="684"/>
      <c r="V97" s="684">
        <v>10</v>
      </c>
      <c r="W97" s="684" t="s">
        <v>5337</v>
      </c>
      <c r="X97" s="684" t="s">
        <v>5338</v>
      </c>
      <c r="Y97" s="871">
        <f>Z97/1000</f>
        <v>600</v>
      </c>
      <c r="Z97" s="732">
        <v>600000</v>
      </c>
      <c r="AA97" s="947"/>
      <c r="AB97" s="690"/>
      <c r="AC97" s="930"/>
      <c r="AD97" s="930"/>
    </row>
    <row r="98" spans="1:36" s="931" customFormat="1" ht="21.95" customHeight="1">
      <c r="A98" s="1071"/>
      <c r="B98" s="1072"/>
      <c r="C98" s="1981"/>
      <c r="D98" s="1065"/>
      <c r="E98" s="1530" t="s">
        <v>264</v>
      </c>
      <c r="F98" s="1020">
        <f>Y98</f>
        <v>2000</v>
      </c>
      <c r="G98" s="1020">
        <v>2000</v>
      </c>
      <c r="H98" s="865"/>
      <c r="I98" s="734"/>
      <c r="J98" s="681" t="s">
        <v>5371</v>
      </c>
      <c r="K98" s="3515"/>
      <c r="L98" s="3515"/>
      <c r="M98" s="3515"/>
      <c r="N98" s="3515"/>
      <c r="O98" s="3515"/>
      <c r="P98" s="3515"/>
      <c r="Q98" s="684"/>
      <c r="R98" s="684"/>
      <c r="S98" s="3163"/>
      <c r="T98" s="3163"/>
      <c r="U98" s="684"/>
      <c r="V98" s="684"/>
      <c r="W98" s="684"/>
      <c r="X98" s="684"/>
      <c r="Y98" s="871">
        <f t="shared" ref="Y98" si="7">Z98/1000</f>
        <v>2000</v>
      </c>
      <c r="Z98" s="732">
        <v>2000000</v>
      </c>
      <c r="AA98" s="947"/>
      <c r="AB98" s="690"/>
      <c r="AC98" s="930"/>
      <c r="AD98" s="930"/>
    </row>
    <row r="99" spans="1:36" s="931" customFormat="1" ht="21.95" customHeight="1">
      <c r="A99" s="1071"/>
      <c r="B99" s="1072"/>
      <c r="C99" s="1981"/>
      <c r="D99" s="1065"/>
      <c r="E99" s="1530"/>
      <c r="F99" s="1020"/>
      <c r="G99" s="1020"/>
      <c r="H99" s="865"/>
      <c r="I99" s="734"/>
      <c r="J99" s="681" t="s">
        <v>5378</v>
      </c>
      <c r="K99" s="3515"/>
      <c r="L99" s="3515"/>
      <c r="M99" s="3515"/>
      <c r="N99" s="3515"/>
      <c r="O99" s="3515"/>
      <c r="P99" s="3515"/>
      <c r="Q99" s="684"/>
      <c r="R99" s="684"/>
      <c r="S99" s="3164">
        <v>100000</v>
      </c>
      <c r="T99" s="684" t="s">
        <v>5336</v>
      </c>
      <c r="U99" s="684"/>
      <c r="V99" s="684">
        <v>10</v>
      </c>
      <c r="W99" s="684" t="s">
        <v>5372</v>
      </c>
      <c r="X99" s="684" t="s">
        <v>5338</v>
      </c>
      <c r="Y99" s="871">
        <f t="shared" ref="Y99:Y100" si="8">+Z99/1000</f>
        <v>1000</v>
      </c>
      <c r="Z99" s="732">
        <v>1000000</v>
      </c>
      <c r="AA99" s="947"/>
      <c r="AB99" s="690"/>
      <c r="AC99" s="930"/>
      <c r="AD99" s="930"/>
    </row>
    <row r="100" spans="1:36" s="931" customFormat="1" ht="21.95" customHeight="1">
      <c r="A100" s="1071"/>
      <c r="B100" s="1072"/>
      <c r="C100" s="3388"/>
      <c r="D100" s="1065"/>
      <c r="E100" s="1530"/>
      <c r="F100" s="1020"/>
      <c r="G100" s="1020"/>
      <c r="H100" s="865"/>
      <c r="I100" s="734"/>
      <c r="J100" s="681" t="s">
        <v>5379</v>
      </c>
      <c r="K100" s="3515"/>
      <c r="L100" s="3515"/>
      <c r="M100" s="3515"/>
      <c r="N100" s="3515"/>
      <c r="O100" s="3515"/>
      <c r="P100" s="3515"/>
      <c r="Q100" s="684"/>
      <c r="R100" s="684"/>
      <c r="S100" s="3164">
        <v>1000000</v>
      </c>
      <c r="T100" s="684" t="s">
        <v>5336</v>
      </c>
      <c r="U100" s="684"/>
      <c r="V100" s="684">
        <v>1</v>
      </c>
      <c r="W100" s="684" t="s">
        <v>5372</v>
      </c>
      <c r="X100" s="684" t="s">
        <v>5338</v>
      </c>
      <c r="Y100" s="871">
        <f t="shared" si="8"/>
        <v>1000</v>
      </c>
      <c r="Z100" s="732">
        <v>1000000</v>
      </c>
      <c r="AA100" s="947"/>
      <c r="AB100" s="690"/>
      <c r="AC100" s="930"/>
      <c r="AD100" s="930"/>
    </row>
    <row r="101" spans="1:36" s="931" customFormat="1" ht="21.95" customHeight="1">
      <c r="A101" s="1071"/>
      <c r="B101" s="1072"/>
      <c r="C101" s="1981"/>
      <c r="D101" s="1065"/>
      <c r="E101" s="1530" t="s">
        <v>16</v>
      </c>
      <c r="F101" s="1020">
        <f t="shared" ref="F101:F102" si="9">Y101</f>
        <v>0</v>
      </c>
      <c r="G101" s="1020">
        <v>1000</v>
      </c>
      <c r="H101" s="865">
        <f t="shared" si="5"/>
        <v>-1000</v>
      </c>
      <c r="I101" s="734"/>
      <c r="J101" s="681" t="s">
        <v>5755</v>
      </c>
      <c r="K101" s="3515"/>
      <c r="L101" s="3515"/>
      <c r="M101" s="3515"/>
      <c r="N101" s="3515"/>
      <c r="O101" s="3515"/>
      <c r="P101" s="3515"/>
      <c r="Q101" s="3515"/>
      <c r="R101" s="2127"/>
      <c r="S101" s="3164"/>
      <c r="T101" s="684"/>
      <c r="U101" s="684"/>
      <c r="V101" s="684"/>
      <c r="W101" s="684"/>
      <c r="X101" s="684"/>
      <c r="Y101" s="871"/>
      <c r="Z101" s="732"/>
      <c r="AA101" s="947"/>
      <c r="AB101" s="690"/>
      <c r="AC101" s="930"/>
      <c r="AD101" s="930"/>
    </row>
    <row r="102" spans="1:36" s="931" customFormat="1" ht="21.95" customHeight="1">
      <c r="A102" s="1071"/>
      <c r="B102" s="1072"/>
      <c r="C102" s="1981"/>
      <c r="D102" s="1065"/>
      <c r="E102" s="677" t="s">
        <v>14</v>
      </c>
      <c r="F102" s="1020">
        <f t="shared" si="9"/>
        <v>100</v>
      </c>
      <c r="G102" s="1020">
        <v>100</v>
      </c>
      <c r="H102" s="990"/>
      <c r="I102" s="734"/>
      <c r="J102" s="681" t="s">
        <v>5373</v>
      </c>
      <c r="K102" s="3515"/>
      <c r="L102" s="3515"/>
      <c r="M102" s="3515"/>
      <c r="N102" s="3515"/>
      <c r="O102" s="3515"/>
      <c r="P102" s="3515"/>
      <c r="Q102" s="869" t="s">
        <v>5374</v>
      </c>
      <c r="R102" s="2127" t="s">
        <v>5374</v>
      </c>
      <c r="S102" s="3164">
        <v>100000</v>
      </c>
      <c r="T102" s="684" t="s">
        <v>5336</v>
      </c>
      <c r="U102" s="684"/>
      <c r="V102" s="684">
        <v>1</v>
      </c>
      <c r="W102" s="684" t="s">
        <v>5372</v>
      </c>
      <c r="X102" s="3524" t="s">
        <v>5338</v>
      </c>
      <c r="Y102" s="1022">
        <f t="shared" ref="Y102" si="10">Z102/1000</f>
        <v>100</v>
      </c>
      <c r="Z102" s="732">
        <f t="shared" ref="Z102" si="11">S102*V102</f>
        <v>100000</v>
      </c>
      <c r="AA102" s="947"/>
      <c r="AB102" s="690"/>
      <c r="AC102" s="930"/>
      <c r="AD102" s="930"/>
    </row>
    <row r="103" spans="1:36" s="709" customFormat="1" ht="21.95" customHeight="1">
      <c r="A103" s="791"/>
      <c r="B103" s="675"/>
      <c r="C103" s="3955" t="s">
        <v>858</v>
      </c>
      <c r="D103" s="4049"/>
      <c r="E103" s="3883"/>
      <c r="F103" s="983">
        <f>F104+F122+F129+F131+F133</f>
        <v>941000</v>
      </c>
      <c r="G103" s="983">
        <f>G104+G122+G131+G129+G133</f>
        <v>940999.99999999208</v>
      </c>
      <c r="H103" s="1056">
        <f>F103-G103</f>
        <v>7.9162418842315674E-9</v>
      </c>
      <c r="I103" s="734"/>
      <c r="J103" s="3390"/>
      <c r="K103" s="3391"/>
      <c r="L103" s="3391"/>
      <c r="M103" s="3391"/>
      <c r="N103" s="3391"/>
      <c r="O103" s="3391"/>
      <c r="P103" s="3391"/>
      <c r="Q103" s="3392"/>
      <c r="R103" s="3393"/>
      <c r="S103" s="3147"/>
      <c r="T103" s="3394"/>
      <c r="U103" s="3394"/>
      <c r="V103" s="3394"/>
      <c r="W103" s="3394"/>
      <c r="X103" s="3395"/>
      <c r="Y103" s="3396"/>
      <c r="Z103" s="3149"/>
      <c r="AA103" s="947"/>
      <c r="AB103" s="690"/>
      <c r="AC103" s="915"/>
      <c r="AD103" s="3166"/>
    </row>
    <row r="104" spans="1:36" s="709" customFormat="1" ht="21.95" customHeight="1">
      <c r="A104" s="791"/>
      <c r="B104" s="678"/>
      <c r="C104" s="1981" t="s">
        <v>378</v>
      </c>
      <c r="D104" s="1951" t="s">
        <v>859</v>
      </c>
      <c r="E104" s="1076"/>
      <c r="F104" s="1077">
        <f>SUM(F105:F121)</f>
        <v>322000</v>
      </c>
      <c r="G104" s="1077">
        <f>SUM(G105:G121)</f>
        <v>321999.99999999203</v>
      </c>
      <c r="H104" s="1056">
        <f>F104-G104</f>
        <v>7.9744495451450348E-9</v>
      </c>
      <c r="I104" s="734"/>
      <c r="J104" s="1747"/>
      <c r="K104" s="1748"/>
      <c r="L104" s="1748"/>
      <c r="M104" s="1748"/>
      <c r="N104" s="1748"/>
      <c r="O104" s="1748"/>
      <c r="P104" s="1748"/>
      <c r="Q104" s="1973"/>
      <c r="R104" s="1973"/>
      <c r="S104" s="1973"/>
      <c r="T104" s="1957"/>
      <c r="U104" s="1957"/>
      <c r="V104" s="1075"/>
      <c r="W104" s="1957"/>
      <c r="X104" s="1973"/>
      <c r="Y104" s="1974"/>
      <c r="Z104" s="940"/>
      <c r="AA104" s="947"/>
      <c r="AB104" s="690"/>
      <c r="AC104" s="915"/>
      <c r="AD104" s="3166"/>
    </row>
    <row r="105" spans="1:36" s="683" customFormat="1" ht="21.95" customHeight="1">
      <c r="A105" s="1071"/>
      <c r="B105" s="1072"/>
      <c r="C105" s="675"/>
      <c r="D105" s="1977"/>
      <c r="E105" s="675" t="s">
        <v>278</v>
      </c>
      <c r="F105" s="1020">
        <f>Y105</f>
        <v>39000</v>
      </c>
      <c r="G105" s="1078">
        <v>39000</v>
      </c>
      <c r="H105" s="1070"/>
      <c r="I105" s="734"/>
      <c r="J105" s="4051" t="s">
        <v>224</v>
      </c>
      <c r="K105" s="4052"/>
      <c r="L105" s="4052"/>
      <c r="M105" s="4052"/>
      <c r="N105" s="4052"/>
      <c r="O105" s="4052"/>
      <c r="P105" s="4052"/>
      <c r="Y105" s="1068">
        <f t="shared" ref="Y105:Y106" si="12">Z105/1000</f>
        <v>39000</v>
      </c>
      <c r="Z105" s="3401">
        <f>+Z106+Z107</f>
        <v>39000000</v>
      </c>
      <c r="AA105" s="947"/>
      <c r="AB105" s="690"/>
      <c r="AC105" s="1080"/>
      <c r="AD105" s="3688"/>
      <c r="AE105" s="1080"/>
      <c r="AF105" s="1080"/>
      <c r="AG105" s="1080"/>
      <c r="AH105" s="1081"/>
      <c r="AI105" s="1082"/>
    </row>
    <row r="106" spans="1:36" s="683" customFormat="1" ht="21.95" customHeight="1">
      <c r="A106" s="1071"/>
      <c r="B106" s="1072"/>
      <c r="C106" s="675"/>
      <c r="D106" s="1977"/>
      <c r="E106" s="675"/>
      <c r="F106" s="1020"/>
      <c r="G106" s="1078"/>
      <c r="H106" s="1070"/>
      <c r="I106" s="734"/>
      <c r="J106" s="4051" t="s">
        <v>1018</v>
      </c>
      <c r="K106" s="4052"/>
      <c r="L106" s="4052"/>
      <c r="M106" s="4052"/>
      <c r="N106" s="4052"/>
      <c r="O106" s="4052"/>
      <c r="P106" s="4052"/>
      <c r="Q106" s="729">
        <v>1</v>
      </c>
      <c r="R106" s="1066" t="s">
        <v>227</v>
      </c>
      <c r="S106" s="1067">
        <v>2200000</v>
      </c>
      <c r="T106" s="729" t="s">
        <v>0</v>
      </c>
      <c r="U106" s="709"/>
      <c r="V106" s="730">
        <v>12</v>
      </c>
      <c r="W106" s="729" t="s">
        <v>228</v>
      </c>
      <c r="X106" s="729" t="s">
        <v>151</v>
      </c>
      <c r="Y106" s="1068">
        <f t="shared" si="12"/>
        <v>26400</v>
      </c>
      <c r="Z106" s="872">
        <f>Q106*S106*V106</f>
        <v>26400000</v>
      </c>
      <c r="AA106" s="947"/>
      <c r="AB106" s="690"/>
      <c r="AC106" s="1080"/>
      <c r="AD106" s="3688"/>
      <c r="AE106" s="1080"/>
      <c r="AF106" s="1080"/>
      <c r="AG106" s="1080"/>
      <c r="AH106" s="1081"/>
      <c r="AI106" s="1082"/>
    </row>
    <row r="107" spans="1:36" s="683" customFormat="1" ht="21.95" customHeight="1">
      <c r="A107" s="1071"/>
      <c r="B107" s="1072"/>
      <c r="C107" s="675"/>
      <c r="D107" s="1977"/>
      <c r="E107" s="675"/>
      <c r="F107" s="1020"/>
      <c r="G107" s="1078"/>
      <c r="H107" s="1070"/>
      <c r="I107" s="734"/>
      <c r="J107" s="4051" t="s">
        <v>1019</v>
      </c>
      <c r="K107" s="4052"/>
      <c r="L107" s="4052"/>
      <c r="M107" s="4052"/>
      <c r="N107" s="4052"/>
      <c r="O107" s="4052"/>
      <c r="P107" s="4052"/>
      <c r="Q107" s="729">
        <v>2</v>
      </c>
      <c r="R107" s="1066" t="s">
        <v>227</v>
      </c>
      <c r="S107" s="1067">
        <v>525000</v>
      </c>
      <c r="T107" s="729" t="s">
        <v>0</v>
      </c>
      <c r="U107" s="709"/>
      <c r="V107" s="730">
        <v>12</v>
      </c>
      <c r="W107" s="729" t="s">
        <v>228</v>
      </c>
      <c r="X107" s="729" t="s">
        <v>151</v>
      </c>
      <c r="Y107" s="1068">
        <f>+Q107*S107*V107/1000</f>
        <v>12600</v>
      </c>
      <c r="Z107" s="872">
        <f>Q107*S107*V107</f>
        <v>12600000</v>
      </c>
      <c r="AA107" s="947"/>
      <c r="AB107" s="690"/>
      <c r="AC107" s="1080"/>
      <c r="AD107" s="3688"/>
      <c r="AE107" s="1080"/>
      <c r="AF107" s="1080"/>
      <c r="AG107" s="1080"/>
      <c r="AH107" s="1081"/>
      <c r="AI107" s="1082"/>
    </row>
    <row r="108" spans="1:36" s="967" customFormat="1" ht="21.95" customHeight="1">
      <c r="A108" s="1071"/>
      <c r="B108" s="1072"/>
      <c r="C108" s="675"/>
      <c r="D108" s="692"/>
      <c r="E108" s="675" t="s">
        <v>57</v>
      </c>
      <c r="F108" s="1020">
        <f>Y108</f>
        <v>8000</v>
      </c>
      <c r="G108" s="678">
        <v>8000</v>
      </c>
      <c r="H108" s="1070"/>
      <c r="I108" s="734"/>
      <c r="J108" s="4051" t="s">
        <v>1798</v>
      </c>
      <c r="K108" s="4052"/>
      <c r="L108" s="4052"/>
      <c r="M108" s="4052"/>
      <c r="N108" s="4052"/>
      <c r="O108" s="4052"/>
      <c r="P108" s="4052"/>
      <c r="Q108" s="729">
        <v>4</v>
      </c>
      <c r="R108" s="1066" t="s">
        <v>31</v>
      </c>
      <c r="S108" s="1067">
        <v>500000</v>
      </c>
      <c r="T108" s="729" t="s">
        <v>0</v>
      </c>
      <c r="U108" s="709"/>
      <c r="V108" s="730">
        <v>4</v>
      </c>
      <c r="W108" s="729" t="s">
        <v>144</v>
      </c>
      <c r="X108" s="729" t="s">
        <v>151</v>
      </c>
      <c r="Y108" s="1068">
        <f t="shared" ref="Y108:Y121" si="13">Z108/1000</f>
        <v>8000</v>
      </c>
      <c r="Z108" s="872">
        <f>Q108*S108*V108</f>
        <v>8000000</v>
      </c>
      <c r="AA108" s="947"/>
      <c r="AB108" s="690"/>
      <c r="AC108" s="1055"/>
      <c r="AD108" s="1055"/>
    </row>
    <row r="109" spans="1:36" s="683" customFormat="1" ht="21.95" customHeight="1">
      <c r="A109" s="1071"/>
      <c r="B109" s="1072"/>
      <c r="C109" s="675"/>
      <c r="D109" s="692"/>
      <c r="E109" s="675" t="s">
        <v>264</v>
      </c>
      <c r="F109" s="1020">
        <f>Y109</f>
        <v>24000</v>
      </c>
      <c r="G109" s="678">
        <v>24000</v>
      </c>
      <c r="H109" s="1070"/>
      <c r="I109" s="734"/>
      <c r="J109" s="4051" t="s">
        <v>1799</v>
      </c>
      <c r="K109" s="4052"/>
      <c r="L109" s="4052"/>
      <c r="M109" s="4052"/>
      <c r="N109" s="4052"/>
      <c r="O109" s="4052"/>
      <c r="P109" s="4052"/>
      <c r="Q109" s="729">
        <v>10</v>
      </c>
      <c r="R109" s="1066" t="s">
        <v>860</v>
      </c>
      <c r="S109" s="1067">
        <v>200000</v>
      </c>
      <c r="T109" s="729" t="s">
        <v>0</v>
      </c>
      <c r="U109" s="709"/>
      <c r="V109" s="730">
        <v>12</v>
      </c>
      <c r="W109" s="729" t="s">
        <v>228</v>
      </c>
      <c r="X109" s="729" t="s">
        <v>151</v>
      </c>
      <c r="Y109" s="1068">
        <f t="shared" si="13"/>
        <v>24000</v>
      </c>
      <c r="Z109" s="872">
        <f>Q109*S109*V109</f>
        <v>24000000</v>
      </c>
      <c r="AA109" s="947"/>
      <c r="AB109" s="690"/>
      <c r="AC109" s="1073"/>
      <c r="AD109" s="1073"/>
    </row>
    <row r="110" spans="1:36" s="683" customFormat="1" ht="21.95" customHeight="1">
      <c r="A110" s="1071"/>
      <c r="B110" s="1072"/>
      <c r="C110" s="675"/>
      <c r="D110" s="692"/>
      <c r="E110" s="674" t="s">
        <v>225</v>
      </c>
      <c r="F110" s="1020">
        <f>Y110</f>
        <v>2000</v>
      </c>
      <c r="G110" s="678">
        <v>2000</v>
      </c>
      <c r="H110" s="1070"/>
      <c r="I110" s="734"/>
      <c r="J110" s="1764" t="s">
        <v>917</v>
      </c>
      <c r="K110" s="1765"/>
      <c r="L110" s="1765"/>
      <c r="M110" s="1765"/>
      <c r="N110" s="1735"/>
      <c r="O110" s="1735"/>
      <c r="P110" s="1735"/>
      <c r="Q110" s="729">
        <v>10</v>
      </c>
      <c r="R110" s="1066" t="s">
        <v>31</v>
      </c>
      <c r="S110" s="684">
        <v>20000</v>
      </c>
      <c r="T110" s="709" t="s">
        <v>0</v>
      </c>
      <c r="U110" s="709"/>
      <c r="V110" s="730">
        <v>10</v>
      </c>
      <c r="W110" s="709" t="s">
        <v>28</v>
      </c>
      <c r="X110" s="709" t="s">
        <v>151</v>
      </c>
      <c r="Y110" s="1068">
        <f t="shared" si="13"/>
        <v>2000</v>
      </c>
      <c r="Z110" s="872">
        <f>Q110*S110*V110</f>
        <v>2000000</v>
      </c>
      <c r="AA110" s="947"/>
      <c r="AB110" s="690"/>
      <c r="AC110" s="1073"/>
      <c r="AD110" s="1073"/>
    </row>
    <row r="111" spans="1:36" s="678" customFormat="1" ht="21.95" customHeight="1">
      <c r="A111" s="1071"/>
      <c r="B111" s="1072"/>
      <c r="C111" s="675"/>
      <c r="D111" s="1977"/>
      <c r="E111" s="675" t="s">
        <v>82</v>
      </c>
      <c r="F111" s="1020">
        <f>Y111</f>
        <v>237500</v>
      </c>
      <c r="G111" s="678">
        <v>237500</v>
      </c>
      <c r="H111" s="1070"/>
      <c r="I111" s="734"/>
      <c r="J111" s="4051" t="s">
        <v>224</v>
      </c>
      <c r="K111" s="4052"/>
      <c r="L111" s="4052"/>
      <c r="M111" s="4052"/>
      <c r="N111" s="4052"/>
      <c r="O111" s="4052"/>
      <c r="P111" s="4052"/>
      <c r="Q111" s="729"/>
      <c r="R111" s="1066"/>
      <c r="S111" s="1067"/>
      <c r="T111" s="729"/>
      <c r="U111" s="709"/>
      <c r="V111" s="730"/>
      <c r="W111" s="729"/>
      <c r="X111" s="729"/>
      <c r="Y111" s="1068">
        <f>SUM(Y112:Y116)</f>
        <v>237500</v>
      </c>
      <c r="Z111" s="872"/>
      <c r="AA111" s="947"/>
      <c r="AB111" s="690"/>
      <c r="AC111" s="1055"/>
      <c r="AD111" s="1097"/>
      <c r="AE111" s="1072"/>
      <c r="AF111" s="675"/>
      <c r="AG111" s="1069"/>
      <c r="AH111" s="675"/>
      <c r="AI111" s="1020"/>
      <c r="AJ111" s="931"/>
    </row>
    <row r="112" spans="1:36" s="678" customFormat="1" ht="21.95" customHeight="1">
      <c r="A112" s="1071"/>
      <c r="B112" s="1072"/>
      <c r="C112" s="675"/>
      <c r="D112" s="1977"/>
      <c r="E112" s="675"/>
      <c r="F112" s="1020"/>
      <c r="H112" s="1070"/>
      <c r="I112" s="734"/>
      <c r="J112" s="4053" t="s">
        <v>861</v>
      </c>
      <c r="K112" s="4054"/>
      <c r="L112" s="4054"/>
      <c r="M112" s="4054"/>
      <c r="N112" s="4054"/>
      <c r="O112" s="4054"/>
      <c r="P112" s="4054"/>
      <c r="Q112" s="729">
        <v>12</v>
      </c>
      <c r="R112" s="1066" t="s">
        <v>721</v>
      </c>
      <c r="S112" s="1067">
        <v>1381944.4444444445</v>
      </c>
      <c r="T112" s="729" t="s">
        <v>0</v>
      </c>
      <c r="U112" s="709"/>
      <c r="V112" s="730">
        <v>6</v>
      </c>
      <c r="W112" s="729" t="s">
        <v>243</v>
      </c>
      <c r="X112" s="729" t="s">
        <v>151</v>
      </c>
      <c r="Y112" s="1068">
        <f t="shared" si="13"/>
        <v>99500</v>
      </c>
      <c r="Z112" s="872">
        <f>Q112*S112*V112</f>
        <v>99500000</v>
      </c>
      <c r="AA112" s="947"/>
      <c r="AB112" s="690"/>
      <c r="AC112" s="1073"/>
      <c r="AD112" s="1097"/>
      <c r="AE112" s="1072"/>
      <c r="AF112" s="675"/>
      <c r="AG112" s="1069"/>
      <c r="AH112" s="675"/>
      <c r="AI112" s="1020"/>
      <c r="AJ112" s="931"/>
    </row>
    <row r="113" spans="1:36" s="678" customFormat="1" ht="21.95" customHeight="1">
      <c r="A113" s="1071"/>
      <c r="B113" s="1072"/>
      <c r="C113" s="675"/>
      <c r="D113" s="1977"/>
      <c r="E113" s="675"/>
      <c r="F113" s="1020"/>
      <c r="H113" s="1070"/>
      <c r="I113" s="734"/>
      <c r="J113" s="4051" t="s">
        <v>862</v>
      </c>
      <c r="K113" s="4052"/>
      <c r="L113" s="4052"/>
      <c r="M113" s="4052"/>
      <c r="N113" s="4052"/>
      <c r="O113" s="4052"/>
      <c r="P113" s="4052"/>
      <c r="Q113" s="729">
        <v>12</v>
      </c>
      <c r="R113" s="1066" t="s">
        <v>721</v>
      </c>
      <c r="S113" s="1067">
        <v>1000000</v>
      </c>
      <c r="T113" s="729" t="s">
        <v>0</v>
      </c>
      <c r="U113" s="709"/>
      <c r="V113" s="730">
        <v>6</v>
      </c>
      <c r="W113" s="729" t="s">
        <v>144</v>
      </c>
      <c r="X113" s="729" t="s">
        <v>151</v>
      </c>
      <c r="Y113" s="1068">
        <f>Z113/1000</f>
        <v>72000</v>
      </c>
      <c r="Z113" s="872">
        <f>Q113*S113*V113</f>
        <v>72000000</v>
      </c>
      <c r="AA113" s="947"/>
      <c r="AB113" s="690"/>
      <c r="AC113" s="1073"/>
      <c r="AD113" s="1097"/>
      <c r="AE113" s="1072"/>
      <c r="AF113" s="675"/>
      <c r="AG113" s="1069"/>
      <c r="AH113" s="675"/>
      <c r="AI113" s="1020"/>
      <c r="AJ113" s="931"/>
    </row>
    <row r="114" spans="1:36" s="683" customFormat="1" ht="21.95" customHeight="1">
      <c r="A114" s="1071"/>
      <c r="B114" s="1072"/>
      <c r="C114" s="692"/>
      <c r="D114" s="1083"/>
      <c r="E114" s="1978"/>
      <c r="F114" s="1020"/>
      <c r="G114" s="678"/>
      <c r="H114" s="1070"/>
      <c r="I114" s="734"/>
      <c r="J114" s="4051" t="s">
        <v>863</v>
      </c>
      <c r="K114" s="4052"/>
      <c r="L114" s="4052"/>
      <c r="M114" s="4052"/>
      <c r="N114" s="4052"/>
      <c r="O114" s="4052"/>
      <c r="P114" s="4052"/>
      <c r="Q114" s="729">
        <v>2</v>
      </c>
      <c r="R114" s="1066" t="s">
        <v>31</v>
      </c>
      <c r="S114" s="1067">
        <v>300000</v>
      </c>
      <c r="T114" s="729" t="s">
        <v>0</v>
      </c>
      <c r="U114" s="709"/>
      <c r="V114" s="730">
        <v>10</v>
      </c>
      <c r="W114" s="729" t="s">
        <v>144</v>
      </c>
      <c r="X114" s="729" t="s">
        <v>151</v>
      </c>
      <c r="Y114" s="1068">
        <f t="shared" si="13"/>
        <v>6000</v>
      </c>
      <c r="Z114" s="872">
        <f>Q114*S114*V114</f>
        <v>6000000</v>
      </c>
      <c r="AA114" s="947"/>
      <c r="AB114" s="690"/>
      <c r="AC114" s="1073"/>
      <c r="AD114" s="1073"/>
    </row>
    <row r="115" spans="1:36" s="683" customFormat="1" ht="21.95" customHeight="1">
      <c r="A115" s="1071"/>
      <c r="B115" s="1072"/>
      <c r="C115" s="675"/>
      <c r="D115" s="1977"/>
      <c r="E115" s="675"/>
      <c r="F115" s="1020"/>
      <c r="G115" s="678"/>
      <c r="H115" s="1070"/>
      <c r="I115" s="734"/>
      <c r="J115" s="4051" t="s">
        <v>864</v>
      </c>
      <c r="K115" s="4052"/>
      <c r="L115" s="4052"/>
      <c r="M115" s="4052"/>
      <c r="N115" s="4052"/>
      <c r="O115" s="4052"/>
      <c r="P115" s="4052"/>
      <c r="Q115" s="729"/>
      <c r="R115" s="1066"/>
      <c r="S115" s="1067">
        <v>20000000</v>
      </c>
      <c r="T115" s="729" t="s">
        <v>0</v>
      </c>
      <c r="U115" s="709"/>
      <c r="V115" s="730">
        <v>1</v>
      </c>
      <c r="W115" s="729" t="s">
        <v>226</v>
      </c>
      <c r="X115" s="729" t="s">
        <v>151</v>
      </c>
      <c r="Y115" s="1068">
        <f>Z115/1000</f>
        <v>20000</v>
      </c>
      <c r="Z115" s="872">
        <f>S115*V115</f>
        <v>20000000</v>
      </c>
      <c r="AA115" s="947"/>
      <c r="AB115" s="690"/>
      <c r="AC115" s="1073"/>
      <c r="AD115" s="1073"/>
    </row>
    <row r="116" spans="1:36" s="683" customFormat="1" ht="21.95" customHeight="1">
      <c r="A116" s="1071"/>
      <c r="B116" s="1072"/>
      <c r="C116" s="675"/>
      <c r="D116" s="1977"/>
      <c r="E116" s="675"/>
      <c r="F116" s="1020"/>
      <c r="G116" s="678"/>
      <c r="H116" s="1070"/>
      <c r="I116" s="734"/>
      <c r="J116" s="4051" t="s">
        <v>865</v>
      </c>
      <c r="K116" s="4052"/>
      <c r="L116" s="4052"/>
      <c r="M116" s="4052"/>
      <c r="N116" s="4052"/>
      <c r="O116" s="4052"/>
      <c r="P116" s="4052"/>
      <c r="Q116" s="729"/>
      <c r="R116" s="1066"/>
      <c r="S116" s="1067">
        <v>10000000</v>
      </c>
      <c r="T116" s="729" t="s">
        <v>0</v>
      </c>
      <c r="U116" s="709"/>
      <c r="V116" s="730">
        <v>4</v>
      </c>
      <c r="W116" s="729" t="s">
        <v>243</v>
      </c>
      <c r="X116" s="729" t="s">
        <v>151</v>
      </c>
      <c r="Y116" s="1068">
        <f>Z116/1000</f>
        <v>40000</v>
      </c>
      <c r="Z116" s="872">
        <f>S116*V116</f>
        <v>40000000</v>
      </c>
      <c r="AA116" s="947"/>
      <c r="AB116" s="690"/>
      <c r="AC116" s="1073"/>
      <c r="AD116" s="1073"/>
    </row>
    <row r="117" spans="1:36" s="683" customFormat="1" ht="21.95" customHeight="1">
      <c r="A117" s="1071"/>
      <c r="B117" s="1072"/>
      <c r="C117" s="692"/>
      <c r="D117" s="1083"/>
      <c r="E117" s="1083" t="s">
        <v>255</v>
      </c>
      <c r="F117" s="1020">
        <f>Y117</f>
        <v>2400</v>
      </c>
      <c r="G117" s="678">
        <v>2400</v>
      </c>
      <c r="H117" s="1070"/>
      <c r="I117" s="734"/>
      <c r="J117" s="4051" t="s">
        <v>1800</v>
      </c>
      <c r="K117" s="4052"/>
      <c r="L117" s="4052"/>
      <c r="M117" s="4052"/>
      <c r="N117" s="4052"/>
      <c r="O117" s="4052"/>
      <c r="P117" s="4052"/>
      <c r="Q117" s="729"/>
      <c r="R117" s="1066"/>
      <c r="S117" s="684">
        <v>300000</v>
      </c>
      <c r="T117" s="709" t="s">
        <v>0</v>
      </c>
      <c r="U117" s="709"/>
      <c r="V117" s="730">
        <v>8</v>
      </c>
      <c r="W117" s="709" t="s">
        <v>243</v>
      </c>
      <c r="X117" s="709" t="s">
        <v>151</v>
      </c>
      <c r="Y117" s="1068">
        <f t="shared" si="13"/>
        <v>2400</v>
      </c>
      <c r="Z117" s="872">
        <f>S117*V117</f>
        <v>2400000</v>
      </c>
      <c r="AA117" s="947"/>
      <c r="AB117" s="690"/>
      <c r="AC117" s="1073"/>
      <c r="AD117" s="1073"/>
    </row>
    <row r="118" spans="1:36" s="683" customFormat="1" ht="21.95" customHeight="1">
      <c r="A118" s="1071"/>
      <c r="B118" s="1072"/>
      <c r="C118" s="675"/>
      <c r="D118" s="692"/>
      <c r="E118" s="675" t="s">
        <v>380</v>
      </c>
      <c r="F118" s="1020">
        <f>Y118</f>
        <v>4000</v>
      </c>
      <c r="G118" s="678">
        <v>4000</v>
      </c>
      <c r="H118" s="1070"/>
      <c r="I118" s="734"/>
      <c r="J118" s="4051" t="s">
        <v>1848</v>
      </c>
      <c r="K118" s="4052"/>
      <c r="L118" s="4052"/>
      <c r="M118" s="4052"/>
      <c r="N118" s="4052"/>
      <c r="O118" s="4052"/>
      <c r="P118" s="4052"/>
      <c r="Q118" s="729">
        <v>2</v>
      </c>
      <c r="R118" s="1066" t="s">
        <v>232</v>
      </c>
      <c r="S118" s="1067">
        <v>200000</v>
      </c>
      <c r="T118" s="729" t="s">
        <v>0</v>
      </c>
      <c r="U118" s="709"/>
      <c r="V118" s="730">
        <v>10</v>
      </c>
      <c r="W118" s="729" t="s">
        <v>259</v>
      </c>
      <c r="X118" s="729" t="s">
        <v>151</v>
      </c>
      <c r="Y118" s="1068">
        <f t="shared" si="13"/>
        <v>4000</v>
      </c>
      <c r="Z118" s="872">
        <f>Q118*S118*V118</f>
        <v>4000000</v>
      </c>
      <c r="AA118" s="947"/>
      <c r="AB118" s="690"/>
      <c r="AC118" s="1073"/>
      <c r="AD118" s="1073"/>
    </row>
    <row r="119" spans="1:36" s="683" customFormat="1" ht="21.95" customHeight="1">
      <c r="A119" s="1071"/>
      <c r="B119" s="1072"/>
      <c r="C119" s="692"/>
      <c r="D119" s="1977"/>
      <c r="E119" s="675" t="s">
        <v>262</v>
      </c>
      <c r="F119" s="1020">
        <f>Y119</f>
        <v>900</v>
      </c>
      <c r="G119" s="678">
        <v>900</v>
      </c>
      <c r="H119" s="1070"/>
      <c r="I119" s="734"/>
      <c r="J119" s="4051" t="s">
        <v>1801</v>
      </c>
      <c r="K119" s="4052"/>
      <c r="L119" s="4052"/>
      <c r="M119" s="4052"/>
      <c r="N119" s="4052"/>
      <c r="O119" s="4052"/>
      <c r="P119" s="4052"/>
      <c r="Q119" s="729">
        <v>4</v>
      </c>
      <c r="R119" s="1066" t="s">
        <v>525</v>
      </c>
      <c r="S119" s="684">
        <v>18750</v>
      </c>
      <c r="T119" s="709" t="s">
        <v>0</v>
      </c>
      <c r="U119" s="709"/>
      <c r="V119" s="730">
        <v>12</v>
      </c>
      <c r="W119" s="709" t="s">
        <v>228</v>
      </c>
      <c r="X119" s="709" t="s">
        <v>151</v>
      </c>
      <c r="Y119" s="1068">
        <f t="shared" si="13"/>
        <v>900</v>
      </c>
      <c r="Z119" s="872">
        <f>Q119*S119*V119</f>
        <v>900000</v>
      </c>
      <c r="AA119" s="947"/>
      <c r="AB119" s="690"/>
      <c r="AC119" s="1073"/>
      <c r="AD119" s="1073"/>
    </row>
    <row r="120" spans="1:36" s="683" customFormat="1" ht="21.95" customHeight="1">
      <c r="A120" s="1071"/>
      <c r="B120" s="1072"/>
      <c r="C120" s="692"/>
      <c r="D120" s="1977"/>
      <c r="E120" s="675" t="s">
        <v>17</v>
      </c>
      <c r="F120" s="1020">
        <f>Y120</f>
        <v>200</v>
      </c>
      <c r="G120" s="678">
        <v>199.999999992</v>
      </c>
      <c r="H120" s="1070"/>
      <c r="I120" s="734"/>
      <c r="J120" s="4051" t="s">
        <v>1802</v>
      </c>
      <c r="K120" s="4052"/>
      <c r="L120" s="4052"/>
      <c r="M120" s="4052"/>
      <c r="N120" s="4052"/>
      <c r="O120" s="4052"/>
      <c r="P120" s="4052"/>
      <c r="Q120" s="729"/>
      <c r="R120" s="1066"/>
      <c r="S120" s="684">
        <v>20000</v>
      </c>
      <c r="T120" s="709" t="s">
        <v>0</v>
      </c>
      <c r="U120" s="709"/>
      <c r="V120" s="730">
        <v>10</v>
      </c>
      <c r="W120" s="709" t="s">
        <v>228</v>
      </c>
      <c r="X120" s="709" t="s">
        <v>151</v>
      </c>
      <c r="Y120" s="1068">
        <f t="shared" si="13"/>
        <v>200</v>
      </c>
      <c r="Z120" s="872">
        <f>S120*V120</f>
        <v>200000</v>
      </c>
      <c r="AA120" s="947"/>
      <c r="AB120" s="690"/>
      <c r="AC120" s="1073"/>
      <c r="AD120" s="1073"/>
    </row>
    <row r="121" spans="1:36" s="683" customFormat="1" ht="21.95" customHeight="1">
      <c r="A121" s="1071"/>
      <c r="B121" s="1072"/>
      <c r="C121" s="692"/>
      <c r="D121" s="692"/>
      <c r="E121" s="674" t="s">
        <v>61</v>
      </c>
      <c r="F121" s="1020">
        <f>Y121</f>
        <v>4000</v>
      </c>
      <c r="G121" s="1078">
        <v>4000</v>
      </c>
      <c r="H121" s="1070"/>
      <c r="I121" s="734"/>
      <c r="J121" s="4051" t="s">
        <v>1803</v>
      </c>
      <c r="K121" s="4052"/>
      <c r="L121" s="4052"/>
      <c r="M121" s="4052"/>
      <c r="N121" s="4052"/>
      <c r="O121" s="4052"/>
      <c r="P121" s="4052"/>
      <c r="Q121" s="729">
        <v>20</v>
      </c>
      <c r="R121" s="1066" t="s">
        <v>31</v>
      </c>
      <c r="S121" s="684">
        <v>20000</v>
      </c>
      <c r="T121" s="709" t="s">
        <v>0</v>
      </c>
      <c r="U121" s="709"/>
      <c r="V121" s="730">
        <v>10</v>
      </c>
      <c r="W121" s="709" t="s">
        <v>28</v>
      </c>
      <c r="X121" s="709" t="s">
        <v>151</v>
      </c>
      <c r="Y121" s="1068">
        <f t="shared" si="13"/>
        <v>4000</v>
      </c>
      <c r="Z121" s="872">
        <f>Q121*S121*V121</f>
        <v>4000000</v>
      </c>
      <c r="AA121" s="947"/>
      <c r="AB121" s="690"/>
      <c r="AC121" s="1073"/>
      <c r="AD121" s="1073"/>
    </row>
    <row r="122" spans="1:36" s="1086" customFormat="1" ht="21.95" customHeight="1">
      <c r="A122" s="1071"/>
      <c r="B122" s="1072"/>
      <c r="C122" s="675"/>
      <c r="D122" s="3840" t="s">
        <v>866</v>
      </c>
      <c r="E122" s="3904"/>
      <c r="F122" s="1077">
        <f>SUM(F123:F128)</f>
        <v>10000</v>
      </c>
      <c r="G122" s="1077">
        <f>SUM(G123:G128)</f>
        <v>10000</v>
      </c>
      <c r="H122" s="1056">
        <f>F122-G122</f>
        <v>0</v>
      </c>
      <c r="I122" s="734"/>
      <c r="J122" s="1766"/>
      <c r="K122" s="1767"/>
      <c r="L122" s="1767"/>
      <c r="M122" s="1767"/>
      <c r="N122" s="1748"/>
      <c r="O122" s="1748"/>
      <c r="P122" s="1748"/>
      <c r="Q122" s="1060"/>
      <c r="R122" s="1061"/>
      <c r="S122" s="1084"/>
      <c r="T122" s="1957"/>
      <c r="U122" s="1957"/>
      <c r="V122" s="1063"/>
      <c r="W122" s="1957"/>
      <c r="X122" s="1957"/>
      <c r="Y122" s="1064"/>
      <c r="Z122" s="1011"/>
      <c r="AA122" s="947"/>
      <c r="AB122" s="690"/>
      <c r="AC122" s="1085"/>
      <c r="AD122" s="1085"/>
    </row>
    <row r="123" spans="1:36" s="683" customFormat="1" ht="21.95" customHeight="1">
      <c r="A123" s="1071"/>
      <c r="B123" s="1072"/>
      <c r="C123" s="692"/>
      <c r="D123" s="1083"/>
      <c r="E123" s="1978" t="s">
        <v>225</v>
      </c>
      <c r="F123" s="1020">
        <f>Y123</f>
        <v>600</v>
      </c>
      <c r="G123" s="678">
        <v>600</v>
      </c>
      <c r="H123" s="1070"/>
      <c r="I123" s="734"/>
      <c r="J123" s="4051" t="s">
        <v>1723</v>
      </c>
      <c r="K123" s="4052"/>
      <c r="L123" s="4052"/>
      <c r="M123" s="4052"/>
      <c r="N123" s="4052"/>
      <c r="O123" s="4052"/>
      <c r="P123" s="4052"/>
      <c r="Q123" s="729">
        <v>10</v>
      </c>
      <c r="R123" s="1066" t="s">
        <v>232</v>
      </c>
      <c r="S123" s="1067">
        <v>20000</v>
      </c>
      <c r="T123" s="729" t="s">
        <v>0</v>
      </c>
      <c r="U123" s="709"/>
      <c r="V123" s="730">
        <v>3</v>
      </c>
      <c r="W123" s="729" t="s">
        <v>259</v>
      </c>
      <c r="X123" s="729" t="s">
        <v>151</v>
      </c>
      <c r="Y123" s="1087">
        <f t="shared" ref="Y123:Y128" si="14">Z123/1000</f>
        <v>600</v>
      </c>
      <c r="Z123" s="872">
        <f>Q123*S123*V123</f>
        <v>600000</v>
      </c>
      <c r="AA123" s="947"/>
      <c r="AB123" s="690"/>
      <c r="AC123" s="1073"/>
      <c r="AD123" s="1073"/>
    </row>
    <row r="124" spans="1:36" s="683" customFormat="1" ht="21.95" customHeight="1">
      <c r="A124" s="1071"/>
      <c r="B124" s="1072"/>
      <c r="C124" s="692"/>
      <c r="D124" s="1083"/>
      <c r="E124" s="1978" t="s">
        <v>379</v>
      </c>
      <c r="F124" s="1020">
        <f t="shared" ref="F124:F128" si="15">Y124</f>
        <v>4000</v>
      </c>
      <c r="G124" s="678">
        <v>4000</v>
      </c>
      <c r="H124" s="1070"/>
      <c r="I124" s="734"/>
      <c r="J124" s="4051" t="s">
        <v>1804</v>
      </c>
      <c r="K124" s="4052"/>
      <c r="L124" s="4052"/>
      <c r="M124" s="4052"/>
      <c r="N124" s="4052"/>
      <c r="O124" s="4052"/>
      <c r="P124" s="4052"/>
      <c r="Q124" s="729">
        <v>10</v>
      </c>
      <c r="R124" s="1066" t="s">
        <v>7</v>
      </c>
      <c r="S124" s="1067">
        <v>200000</v>
      </c>
      <c r="T124" s="729" t="s">
        <v>0</v>
      </c>
      <c r="U124" s="709"/>
      <c r="V124" s="730">
        <v>2</v>
      </c>
      <c r="W124" s="729" t="s">
        <v>3</v>
      </c>
      <c r="X124" s="729" t="s">
        <v>151</v>
      </c>
      <c r="Y124" s="1068">
        <f t="shared" si="14"/>
        <v>4000</v>
      </c>
      <c r="Z124" s="872">
        <f>Q124*S124*V124</f>
        <v>4000000</v>
      </c>
      <c r="AA124" s="947"/>
      <c r="AB124" s="690"/>
      <c r="AC124" s="1073"/>
      <c r="AD124" s="1073"/>
    </row>
    <row r="125" spans="1:36" s="683" customFormat="1" ht="21.95" customHeight="1">
      <c r="A125" s="1071"/>
      <c r="B125" s="1072"/>
      <c r="C125" s="692"/>
      <c r="D125" s="1083"/>
      <c r="E125" s="1978" t="s">
        <v>264</v>
      </c>
      <c r="F125" s="1020">
        <f t="shared" si="15"/>
        <v>1000</v>
      </c>
      <c r="G125" s="678">
        <v>1000</v>
      </c>
      <c r="H125" s="1070"/>
      <c r="I125" s="734"/>
      <c r="J125" s="4051" t="s">
        <v>1805</v>
      </c>
      <c r="K125" s="4052"/>
      <c r="L125" s="4052"/>
      <c r="M125" s="4052"/>
      <c r="N125" s="4052"/>
      <c r="O125" s="4052"/>
      <c r="P125" s="4052"/>
      <c r="Q125" s="729">
        <v>10</v>
      </c>
      <c r="R125" s="1066" t="s">
        <v>7</v>
      </c>
      <c r="S125" s="1067">
        <v>50000</v>
      </c>
      <c r="T125" s="729" t="s">
        <v>0</v>
      </c>
      <c r="U125" s="709"/>
      <c r="V125" s="730">
        <v>2</v>
      </c>
      <c r="W125" s="729" t="s">
        <v>3</v>
      </c>
      <c r="X125" s="729" t="s">
        <v>151</v>
      </c>
      <c r="Y125" s="1068">
        <f t="shared" si="14"/>
        <v>1000</v>
      </c>
      <c r="Z125" s="872">
        <f>Q125*S125*V125</f>
        <v>1000000</v>
      </c>
      <c r="AA125" s="947"/>
      <c r="AB125" s="690"/>
      <c r="AC125" s="1073"/>
      <c r="AD125" s="1073"/>
    </row>
    <row r="126" spans="1:36" s="683" customFormat="1" ht="21.95" customHeight="1">
      <c r="A126" s="1071"/>
      <c r="B126" s="1072"/>
      <c r="C126" s="692"/>
      <c r="D126" s="1083"/>
      <c r="E126" s="1978" t="s">
        <v>17</v>
      </c>
      <c r="F126" s="1020">
        <f t="shared" si="15"/>
        <v>100</v>
      </c>
      <c r="G126" s="678">
        <v>100</v>
      </c>
      <c r="H126" s="1070"/>
      <c r="I126" s="734"/>
      <c r="J126" s="4051" t="s">
        <v>1806</v>
      </c>
      <c r="K126" s="4052"/>
      <c r="L126" s="4052"/>
      <c r="M126" s="4052"/>
      <c r="N126" s="4052"/>
      <c r="O126" s="4052"/>
      <c r="P126" s="4052"/>
      <c r="Q126" s="729"/>
      <c r="R126" s="1066"/>
      <c r="S126" s="1067">
        <v>5000</v>
      </c>
      <c r="T126" s="729" t="s">
        <v>0</v>
      </c>
      <c r="U126" s="709"/>
      <c r="V126" s="730">
        <v>20</v>
      </c>
      <c r="W126" s="729" t="s">
        <v>3</v>
      </c>
      <c r="X126" s="729" t="s">
        <v>151</v>
      </c>
      <c r="Y126" s="1068">
        <f t="shared" si="14"/>
        <v>100</v>
      </c>
      <c r="Z126" s="872">
        <f>S126*V126</f>
        <v>100000</v>
      </c>
      <c r="AA126" s="947"/>
      <c r="AB126" s="690"/>
      <c r="AC126" s="1073"/>
      <c r="AD126" s="1073"/>
    </row>
    <row r="127" spans="1:36" s="683" customFormat="1" ht="21.95" customHeight="1">
      <c r="A127" s="1071"/>
      <c r="B127" s="1072"/>
      <c r="C127" s="692"/>
      <c r="D127" s="1083"/>
      <c r="E127" s="1978" t="s">
        <v>431</v>
      </c>
      <c r="F127" s="1020">
        <f t="shared" si="15"/>
        <v>4000</v>
      </c>
      <c r="G127" s="678">
        <v>4000</v>
      </c>
      <c r="H127" s="1070"/>
      <c r="I127" s="734"/>
      <c r="J127" s="4051" t="s">
        <v>1807</v>
      </c>
      <c r="K127" s="4052"/>
      <c r="L127" s="4052"/>
      <c r="M127" s="4052"/>
      <c r="N127" s="4052"/>
      <c r="O127" s="4052"/>
      <c r="P127" s="4052"/>
      <c r="Q127" s="729"/>
      <c r="R127" s="1066"/>
      <c r="S127" s="1067">
        <v>4000000</v>
      </c>
      <c r="T127" s="729" t="s">
        <v>0</v>
      </c>
      <c r="U127" s="709"/>
      <c r="V127" s="730">
        <v>1</v>
      </c>
      <c r="W127" s="729" t="s">
        <v>39</v>
      </c>
      <c r="X127" s="729" t="s">
        <v>151</v>
      </c>
      <c r="Y127" s="1068">
        <f t="shared" si="14"/>
        <v>4000</v>
      </c>
      <c r="Z127" s="872">
        <f>S127*V127</f>
        <v>4000000</v>
      </c>
      <c r="AA127" s="947"/>
      <c r="AB127" s="690"/>
      <c r="AC127" s="1073"/>
      <c r="AD127" s="1073"/>
    </row>
    <row r="128" spans="1:36" s="702" customFormat="1" ht="21.95" customHeight="1">
      <c r="A128" s="1071"/>
      <c r="B128" s="1072"/>
      <c r="C128" s="692"/>
      <c r="D128" s="1088"/>
      <c r="E128" s="1970" t="s">
        <v>61</v>
      </c>
      <c r="F128" s="998">
        <f t="shared" si="15"/>
        <v>300</v>
      </c>
      <c r="G128" s="697">
        <v>300</v>
      </c>
      <c r="H128" s="1089"/>
      <c r="I128" s="734"/>
      <c r="J128" s="4055" t="s">
        <v>1797</v>
      </c>
      <c r="K128" s="4056"/>
      <c r="L128" s="4056"/>
      <c r="M128" s="4056"/>
      <c r="N128" s="4056"/>
      <c r="O128" s="4056"/>
      <c r="P128" s="4056"/>
      <c r="Q128" s="1090">
        <v>5</v>
      </c>
      <c r="R128" s="1091" t="s">
        <v>142</v>
      </c>
      <c r="S128" s="1092">
        <v>20000</v>
      </c>
      <c r="T128" s="1090" t="s">
        <v>0</v>
      </c>
      <c r="U128" s="1093"/>
      <c r="V128" s="1094">
        <v>3</v>
      </c>
      <c r="W128" s="1090" t="s">
        <v>3</v>
      </c>
      <c r="X128" s="1090" t="s">
        <v>151</v>
      </c>
      <c r="Y128" s="1095">
        <f t="shared" si="14"/>
        <v>300</v>
      </c>
      <c r="Z128" s="982">
        <f>Q128*S128*V128</f>
        <v>300000</v>
      </c>
      <c r="AA128" s="947"/>
      <c r="AB128" s="690"/>
      <c r="AC128" s="1096"/>
      <c r="AD128" s="1096"/>
    </row>
    <row r="129" spans="1:34" s="1073" customFormat="1" ht="21.95" customHeight="1">
      <c r="A129" s="1097"/>
      <c r="B129" s="1098"/>
      <c r="C129" s="1099"/>
      <c r="D129" s="3840" t="s">
        <v>867</v>
      </c>
      <c r="E129" s="3904"/>
      <c r="F129" s="1100">
        <f>SUM(F130:F130)</f>
        <v>5000</v>
      </c>
      <c r="G129" s="1077">
        <f>SUM(G130)</f>
        <v>5000</v>
      </c>
      <c r="H129" s="1056">
        <f>F129-G129</f>
        <v>0</v>
      </c>
      <c r="I129" s="734"/>
      <c r="J129" s="1768"/>
      <c r="K129" s="1769"/>
      <c r="L129" s="1769"/>
      <c r="M129" s="1769"/>
      <c r="N129" s="1769"/>
      <c r="O129" s="1769"/>
      <c r="P129" s="1769"/>
      <c r="Q129" s="1101"/>
      <c r="R129" s="1102"/>
      <c r="S129" s="1103"/>
      <c r="T129" s="1103"/>
      <c r="U129" s="1103"/>
      <c r="V129" s="1101"/>
      <c r="W129" s="1103"/>
      <c r="X129" s="1103"/>
      <c r="Y129" s="1104"/>
      <c r="Z129" s="1105">
        <f>SUM(Z130:Z130)</f>
        <v>5000000</v>
      </c>
      <c r="AA129" s="947"/>
      <c r="AB129" s="690"/>
    </row>
    <row r="130" spans="1:34" s="1073" customFormat="1" ht="21.95" customHeight="1">
      <c r="A130" s="1097"/>
      <c r="B130" s="1098"/>
      <c r="C130" s="1099"/>
      <c r="D130" s="1106"/>
      <c r="E130" s="1107" t="s">
        <v>380</v>
      </c>
      <c r="F130" s="1108">
        <f>Y130</f>
        <v>5000</v>
      </c>
      <c r="G130" s="1077">
        <v>5000</v>
      </c>
      <c r="H130" s="1089"/>
      <c r="I130" s="734"/>
      <c r="J130" s="4055" t="s">
        <v>910</v>
      </c>
      <c r="K130" s="4056"/>
      <c r="L130" s="4056"/>
      <c r="M130" s="4056"/>
      <c r="N130" s="4056"/>
      <c r="O130" s="4056"/>
      <c r="P130" s="4056"/>
      <c r="Q130" s="1109">
        <v>1</v>
      </c>
      <c r="R130" s="1110" t="s">
        <v>227</v>
      </c>
      <c r="S130" s="1111">
        <v>100000</v>
      </c>
      <c r="T130" s="1090" t="s">
        <v>0</v>
      </c>
      <c r="U130" s="1111"/>
      <c r="V130" s="1112">
        <v>50</v>
      </c>
      <c r="W130" s="1111" t="s">
        <v>24</v>
      </c>
      <c r="X130" s="1090" t="s">
        <v>151</v>
      </c>
      <c r="Y130" s="1113">
        <f>Z130/1000</f>
        <v>5000</v>
      </c>
      <c r="Z130" s="1114">
        <f>Q130*S130*V130</f>
        <v>5000000</v>
      </c>
      <c r="AA130" s="947"/>
      <c r="AB130" s="690"/>
    </row>
    <row r="131" spans="1:34" s="1073" customFormat="1" ht="21.95" customHeight="1">
      <c r="A131" s="1097"/>
      <c r="B131" s="1098"/>
      <c r="C131" s="1099"/>
      <c r="D131" s="4057" t="s">
        <v>868</v>
      </c>
      <c r="E131" s="4058"/>
      <c r="F131" s="1100">
        <f>SUM(F132:F132)</f>
        <v>454000</v>
      </c>
      <c r="G131" s="1077">
        <f>G132</f>
        <v>454000</v>
      </c>
      <c r="H131" s="1056">
        <f>F131-G131</f>
        <v>0</v>
      </c>
      <c r="I131" s="734"/>
      <c r="J131" s="1768"/>
      <c r="K131" s="1769"/>
      <c r="L131" s="1769"/>
      <c r="M131" s="1769"/>
      <c r="N131" s="1769"/>
      <c r="O131" s="1769"/>
      <c r="P131" s="1769"/>
      <c r="Q131" s="1101"/>
      <c r="R131" s="1102"/>
      <c r="S131" s="1103"/>
      <c r="T131" s="1103"/>
      <c r="U131" s="1103"/>
      <c r="V131" s="1101"/>
      <c r="W131" s="1103"/>
      <c r="X131" s="1103"/>
      <c r="Y131" s="1104"/>
      <c r="Z131" s="1105">
        <f>SUM(Z132:Z132)</f>
        <v>454000000</v>
      </c>
      <c r="AA131" s="947"/>
      <c r="AB131" s="690"/>
    </row>
    <row r="132" spans="1:34" s="1073" customFormat="1" ht="21.95" customHeight="1">
      <c r="A132" s="1097"/>
      <c r="B132" s="1098"/>
      <c r="C132" s="1099"/>
      <c r="D132" s="1106"/>
      <c r="E132" s="1107" t="s">
        <v>431</v>
      </c>
      <c r="F132" s="1108">
        <f>Y132</f>
        <v>454000</v>
      </c>
      <c r="G132" s="1077">
        <v>454000</v>
      </c>
      <c r="H132" s="1089"/>
      <c r="I132" s="734"/>
      <c r="J132" s="4055" t="s">
        <v>1808</v>
      </c>
      <c r="K132" s="4056"/>
      <c r="L132" s="4056"/>
      <c r="M132" s="4056"/>
      <c r="N132" s="4056"/>
      <c r="O132" s="4056"/>
      <c r="P132" s="4056"/>
      <c r="Q132" s="1112"/>
      <c r="R132" s="1110"/>
      <c r="S132" s="1111">
        <v>37833333.333333336</v>
      </c>
      <c r="T132" s="1090" t="s">
        <v>0</v>
      </c>
      <c r="U132" s="1111"/>
      <c r="V132" s="1112">
        <v>12</v>
      </c>
      <c r="W132" s="1111" t="s">
        <v>228</v>
      </c>
      <c r="X132" s="1090" t="s">
        <v>151</v>
      </c>
      <c r="Y132" s="1113">
        <f>Z132/1000</f>
        <v>454000</v>
      </c>
      <c r="Z132" s="1114">
        <f>S132*V132</f>
        <v>454000000</v>
      </c>
      <c r="AA132" s="947"/>
      <c r="AB132" s="690"/>
    </row>
    <row r="133" spans="1:34" s="744" customFormat="1" ht="21.95" customHeight="1">
      <c r="A133" s="738"/>
      <c r="B133" s="739"/>
      <c r="C133" s="536"/>
      <c r="D133" s="3825" t="s">
        <v>1266</v>
      </c>
      <c r="E133" s="3826"/>
      <c r="F133" s="740">
        <f>SUM(F134:F142)</f>
        <v>150000</v>
      </c>
      <c r="G133" s="740">
        <f>SUM(G134:G142)</f>
        <v>150000</v>
      </c>
      <c r="H133" s="586">
        <f>F133-G133</f>
        <v>0</v>
      </c>
      <c r="I133" s="634"/>
      <c r="J133" s="1770"/>
      <c r="K133" s="1771"/>
      <c r="L133" s="1771"/>
      <c r="M133" s="1771"/>
      <c r="N133" s="1771"/>
      <c r="O133" s="1771"/>
      <c r="P133" s="1771"/>
      <c r="Q133" s="741"/>
      <c r="R133" s="742"/>
      <c r="S133" s="743"/>
      <c r="T133" s="743"/>
      <c r="U133" s="743"/>
      <c r="V133" s="741"/>
      <c r="W133" s="743"/>
      <c r="X133" s="743"/>
      <c r="Y133" s="587"/>
      <c r="Z133" s="622"/>
      <c r="AA133" s="947"/>
      <c r="AB133" s="690"/>
    </row>
    <row r="134" spans="1:34" s="744" customFormat="1" ht="21.95" customHeight="1">
      <c r="A134" s="738"/>
      <c r="B134" s="739"/>
      <c r="C134" s="536"/>
      <c r="D134" s="745"/>
      <c r="E134" s="746" t="s">
        <v>278</v>
      </c>
      <c r="F134" s="747">
        <v>1200</v>
      </c>
      <c r="G134" s="747">
        <v>1200</v>
      </c>
      <c r="H134" s="748"/>
      <c r="I134" s="634"/>
      <c r="J134" s="4059" t="s">
        <v>1809</v>
      </c>
      <c r="K134" s="4060"/>
      <c r="L134" s="4060"/>
      <c r="M134" s="4060"/>
      <c r="N134" s="4060"/>
      <c r="O134" s="4060"/>
      <c r="P134" s="4060"/>
      <c r="Q134" s="749">
        <v>1</v>
      </c>
      <c r="R134" s="547" t="s">
        <v>227</v>
      </c>
      <c r="S134" s="750">
        <v>60000</v>
      </c>
      <c r="T134" s="625" t="s">
        <v>0</v>
      </c>
      <c r="U134" s="308"/>
      <c r="V134" s="751">
        <v>20</v>
      </c>
      <c r="W134" s="308" t="s">
        <v>24</v>
      </c>
      <c r="X134" s="625" t="s">
        <v>151</v>
      </c>
      <c r="Y134" s="1729">
        <v>1200</v>
      </c>
      <c r="Z134" s="555">
        <v>1200000</v>
      </c>
      <c r="AA134" s="947"/>
      <c r="AB134" s="690"/>
    </row>
    <row r="135" spans="1:34" s="744" customFormat="1" ht="21.95" customHeight="1">
      <c r="A135" s="738"/>
      <c r="B135" s="739"/>
      <c r="C135" s="536"/>
      <c r="D135" s="745"/>
      <c r="E135" s="745" t="s">
        <v>225</v>
      </c>
      <c r="F135" s="747">
        <v>500</v>
      </c>
      <c r="G135" s="747">
        <v>500</v>
      </c>
      <c r="H135" s="554"/>
      <c r="I135" s="754"/>
      <c r="J135" s="4059" t="s">
        <v>1723</v>
      </c>
      <c r="K135" s="4062"/>
      <c r="L135" s="4062"/>
      <c r="M135" s="4062"/>
      <c r="N135" s="4062"/>
      <c r="O135" s="4062"/>
      <c r="P135" s="4062"/>
      <c r="Q135" s="625">
        <v>25</v>
      </c>
      <c r="R135" s="752" t="s">
        <v>232</v>
      </c>
      <c r="S135" s="308">
        <v>20000</v>
      </c>
      <c r="T135" s="625" t="s">
        <v>0</v>
      </c>
      <c r="V135" s="504">
        <v>1</v>
      </c>
      <c r="W135" s="625" t="s">
        <v>226</v>
      </c>
      <c r="X135" s="625" t="s">
        <v>151</v>
      </c>
      <c r="Y135" s="753">
        <v>500</v>
      </c>
      <c r="Z135" s="753">
        <v>500000</v>
      </c>
      <c r="AA135" s="947"/>
      <c r="AB135" s="690"/>
    </row>
    <row r="136" spans="1:34" s="744" customFormat="1" ht="21.95" customHeight="1">
      <c r="A136" s="738"/>
      <c r="B136" s="739"/>
      <c r="C136" s="536"/>
      <c r="D136" s="745"/>
      <c r="E136" s="468" t="s">
        <v>379</v>
      </c>
      <c r="F136" s="1654">
        <v>8000</v>
      </c>
      <c r="G136" s="747">
        <v>8000</v>
      </c>
      <c r="H136" s="554"/>
      <c r="I136" s="754"/>
      <c r="J136" s="4059" t="s">
        <v>1810</v>
      </c>
      <c r="K136" s="4062"/>
      <c r="L136" s="4062"/>
      <c r="M136" s="4062"/>
      <c r="N136" s="4062"/>
      <c r="O136" s="4062"/>
      <c r="P136" s="4062"/>
      <c r="Q136" s="625">
        <v>1</v>
      </c>
      <c r="R136" s="752" t="s">
        <v>545</v>
      </c>
      <c r="S136" s="308">
        <v>2000000</v>
      </c>
      <c r="T136" s="625" t="s">
        <v>0</v>
      </c>
      <c r="V136" s="504">
        <v>4</v>
      </c>
      <c r="W136" s="625" t="s">
        <v>39</v>
      </c>
      <c r="X136" s="625" t="s">
        <v>151</v>
      </c>
      <c r="Y136" s="753">
        <v>8000</v>
      </c>
      <c r="Z136" s="753">
        <v>8000000</v>
      </c>
      <c r="AA136" s="947"/>
      <c r="AB136" s="690"/>
    </row>
    <row r="137" spans="1:34" s="744" customFormat="1" ht="21.95" customHeight="1">
      <c r="A137" s="738"/>
      <c r="B137" s="739"/>
      <c r="C137" s="536"/>
      <c r="D137" s="745"/>
      <c r="E137" s="746" t="s">
        <v>380</v>
      </c>
      <c r="F137" s="747">
        <v>40000</v>
      </c>
      <c r="G137" s="747">
        <v>40000</v>
      </c>
      <c r="H137" s="554"/>
      <c r="I137" s="634"/>
      <c r="J137" s="4059" t="s">
        <v>224</v>
      </c>
      <c r="K137" s="4060"/>
      <c r="L137" s="4060"/>
      <c r="M137" s="4060"/>
      <c r="N137" s="4060"/>
      <c r="O137" s="4060"/>
      <c r="P137" s="4060"/>
      <c r="Q137" s="751"/>
      <c r="R137" s="547"/>
      <c r="S137" s="308"/>
      <c r="T137" s="308"/>
      <c r="U137" s="308"/>
      <c r="V137" s="751"/>
      <c r="W137" s="308"/>
      <c r="X137" s="308"/>
      <c r="Y137" s="753">
        <v>40000</v>
      </c>
      <c r="Z137" s="555">
        <v>40000000</v>
      </c>
      <c r="AA137" s="947"/>
      <c r="AB137" s="690"/>
    </row>
    <row r="138" spans="1:34" s="744" customFormat="1" ht="21.95" customHeight="1">
      <c r="A138" s="738"/>
      <c r="B138" s="739"/>
      <c r="C138" s="536"/>
      <c r="D138" s="746"/>
      <c r="E138" s="745"/>
      <c r="F138" s="747"/>
      <c r="G138" s="747"/>
      <c r="H138" s="643"/>
      <c r="I138" s="634"/>
      <c r="J138" s="4059" t="s">
        <v>1267</v>
      </c>
      <c r="K138" s="4062"/>
      <c r="L138" s="4062"/>
      <c r="M138" s="4062"/>
      <c r="N138" s="4062"/>
      <c r="O138" s="4062"/>
      <c r="P138" s="4062"/>
      <c r="Q138" s="625">
        <v>1</v>
      </c>
      <c r="R138" s="752" t="s">
        <v>545</v>
      </c>
      <c r="S138" s="308">
        <v>25000000</v>
      </c>
      <c r="T138" s="625" t="s">
        <v>0</v>
      </c>
      <c r="U138" s="308"/>
      <c r="V138" s="504">
        <v>1</v>
      </c>
      <c r="W138" s="625" t="s">
        <v>51</v>
      </c>
      <c r="X138" s="625" t="s">
        <v>151</v>
      </c>
      <c r="Y138" s="1729">
        <v>25000</v>
      </c>
      <c r="Z138" s="555">
        <v>25000000</v>
      </c>
      <c r="AA138" s="947"/>
      <c r="AB138" s="690"/>
    </row>
    <row r="139" spans="1:34" s="744" customFormat="1" ht="21.95" customHeight="1">
      <c r="A139" s="738"/>
      <c r="B139" s="739"/>
      <c r="C139" s="536"/>
      <c r="D139" s="745"/>
      <c r="E139" s="745"/>
      <c r="F139" s="747"/>
      <c r="G139" s="747"/>
      <c r="H139" s="643"/>
      <c r="I139" s="634"/>
      <c r="J139" s="4059" t="s">
        <v>1268</v>
      </c>
      <c r="K139" s="4062"/>
      <c r="L139" s="4062"/>
      <c r="M139" s="4062"/>
      <c r="N139" s="4062"/>
      <c r="O139" s="4062"/>
      <c r="P139" s="4062"/>
      <c r="Q139" s="625">
        <v>2</v>
      </c>
      <c r="R139" s="752" t="s">
        <v>25</v>
      </c>
      <c r="S139" s="308">
        <v>7500000</v>
      </c>
      <c r="T139" s="625" t="s">
        <v>0</v>
      </c>
      <c r="U139" s="308"/>
      <c r="V139" s="504">
        <v>1</v>
      </c>
      <c r="W139" s="625" t="s">
        <v>51</v>
      </c>
      <c r="X139" s="625" t="s">
        <v>151</v>
      </c>
      <c r="Y139" s="1729">
        <v>15000</v>
      </c>
      <c r="Z139" s="555">
        <v>15000000</v>
      </c>
      <c r="AA139" s="947"/>
      <c r="AB139" s="690"/>
    </row>
    <row r="140" spans="1:34" s="744" customFormat="1" ht="21.95" customHeight="1">
      <c r="A140" s="738"/>
      <c r="B140" s="739"/>
      <c r="C140" s="536"/>
      <c r="D140" s="745"/>
      <c r="E140" s="745" t="s">
        <v>431</v>
      </c>
      <c r="F140" s="747">
        <v>57700</v>
      </c>
      <c r="G140" s="747">
        <v>57700</v>
      </c>
      <c r="H140" s="554"/>
      <c r="I140" s="634"/>
      <c r="J140" s="4059" t="s">
        <v>1811</v>
      </c>
      <c r="K140" s="4060"/>
      <c r="L140" s="4060"/>
      <c r="M140" s="4060"/>
      <c r="N140" s="4060"/>
      <c r="O140" s="4060"/>
      <c r="P140" s="4060"/>
      <c r="Q140" s="625">
        <v>1</v>
      </c>
      <c r="R140" s="752" t="s">
        <v>545</v>
      </c>
      <c r="S140" s="308">
        <v>57700000</v>
      </c>
      <c r="T140" s="625" t="s">
        <v>0</v>
      </c>
      <c r="U140" s="308"/>
      <c r="V140" s="504">
        <v>1</v>
      </c>
      <c r="W140" s="625" t="s">
        <v>51</v>
      </c>
      <c r="X140" s="625" t="s">
        <v>151</v>
      </c>
      <c r="Y140" s="753">
        <v>57700</v>
      </c>
      <c r="Z140" s="753">
        <v>57700000</v>
      </c>
      <c r="AA140" s="947"/>
      <c r="AB140" s="690"/>
    </row>
    <row r="141" spans="1:34" s="744" customFormat="1" ht="21.95" customHeight="1">
      <c r="A141" s="738"/>
      <c r="B141" s="739"/>
      <c r="C141" s="536"/>
      <c r="D141" s="745"/>
      <c r="E141" s="745" t="s">
        <v>262</v>
      </c>
      <c r="F141" s="747">
        <v>42000</v>
      </c>
      <c r="G141" s="747">
        <v>42000</v>
      </c>
      <c r="H141" s="554"/>
      <c r="I141" s="754"/>
      <c r="J141" s="4059" t="s">
        <v>1812</v>
      </c>
      <c r="K141" s="4062"/>
      <c r="L141" s="4062"/>
      <c r="M141" s="4062"/>
      <c r="N141" s="4062"/>
      <c r="O141" s="4062"/>
      <c r="P141" s="4062"/>
      <c r="Q141" s="625">
        <v>1</v>
      </c>
      <c r="R141" s="752" t="s">
        <v>545</v>
      </c>
      <c r="S141" s="308">
        <v>42000000</v>
      </c>
      <c r="T141" s="625" t="s">
        <v>0</v>
      </c>
      <c r="V141" s="504">
        <v>1</v>
      </c>
      <c r="W141" s="625" t="s">
        <v>51</v>
      </c>
      <c r="X141" s="625" t="s">
        <v>151</v>
      </c>
      <c r="Y141" s="753">
        <v>42000</v>
      </c>
      <c r="Z141" s="753">
        <v>42000000</v>
      </c>
      <c r="AA141" s="947"/>
      <c r="AB141" s="690"/>
    </row>
    <row r="142" spans="1:34" s="744" customFormat="1" ht="21.95" customHeight="1">
      <c r="A142" s="738"/>
      <c r="B142" s="739"/>
      <c r="C142" s="536"/>
      <c r="D142" s="755"/>
      <c r="E142" s="755" t="s">
        <v>384</v>
      </c>
      <c r="F142" s="1656">
        <v>600</v>
      </c>
      <c r="G142" s="1656">
        <v>600</v>
      </c>
      <c r="H142" s="756"/>
      <c r="I142" s="754"/>
      <c r="J142" s="4063" t="s">
        <v>1813</v>
      </c>
      <c r="K142" s="4064"/>
      <c r="L142" s="4064"/>
      <c r="M142" s="4064"/>
      <c r="N142" s="4064"/>
      <c r="O142" s="4064"/>
      <c r="P142" s="4064"/>
      <c r="Q142" s="726">
        <v>20</v>
      </c>
      <c r="R142" s="757" t="s">
        <v>232</v>
      </c>
      <c r="S142" s="758">
        <v>30000</v>
      </c>
      <c r="T142" s="726" t="s">
        <v>0</v>
      </c>
      <c r="U142" s="759"/>
      <c r="V142" s="500">
        <v>1</v>
      </c>
      <c r="W142" s="726" t="s">
        <v>226</v>
      </c>
      <c r="X142" s="726" t="s">
        <v>151</v>
      </c>
      <c r="Y142" s="760">
        <v>600</v>
      </c>
      <c r="Z142" s="760">
        <v>600000</v>
      </c>
      <c r="AA142" s="947"/>
      <c r="AB142" s="690"/>
    </row>
    <row r="143" spans="1:34" s="967" customFormat="1" ht="21.95" customHeight="1">
      <c r="A143" s="791"/>
      <c r="B143" s="675"/>
      <c r="C143" s="3955" t="s">
        <v>869</v>
      </c>
      <c r="D143" s="4065"/>
      <c r="E143" s="4025"/>
      <c r="F143" s="998">
        <f>F144+F161+F170+F177+F189</f>
        <v>157000</v>
      </c>
      <c r="G143" s="1655">
        <f>G144+G161+G170+G177+G189</f>
        <v>147000</v>
      </c>
      <c r="H143" s="1026">
        <f>F143-G143</f>
        <v>10000</v>
      </c>
      <c r="I143" s="734"/>
      <c r="J143" s="1772"/>
      <c r="K143" s="1773"/>
      <c r="L143" s="1773"/>
      <c r="M143" s="1773"/>
      <c r="N143" s="1773"/>
      <c r="O143" s="1773"/>
      <c r="P143" s="1773"/>
      <c r="Q143" s="4066"/>
      <c r="R143" s="4066"/>
      <c r="S143" s="4066"/>
      <c r="T143" s="1093"/>
      <c r="U143" s="1093"/>
      <c r="V143" s="1116"/>
      <c r="W143" s="1093"/>
      <c r="X143" s="4066"/>
      <c r="Y143" s="4067"/>
      <c r="Z143" s="1117"/>
      <c r="AA143" s="947"/>
      <c r="AB143" s="690"/>
      <c r="AC143" s="1055"/>
      <c r="AD143" s="1055"/>
    </row>
    <row r="144" spans="1:34" s="683" customFormat="1" ht="21.95" customHeight="1">
      <c r="A144" s="791"/>
      <c r="B144" s="1118"/>
      <c r="C144" s="675"/>
      <c r="D144" s="3840" t="s">
        <v>152</v>
      </c>
      <c r="E144" s="3904"/>
      <c r="F144" s="983">
        <f>SUM(F145:F160)</f>
        <v>92000</v>
      </c>
      <c r="G144" s="983">
        <f>SUM(G145:G160)</f>
        <v>92000</v>
      </c>
      <c r="H144" s="1056">
        <f>F144-G144</f>
        <v>0</v>
      </c>
      <c r="I144" s="734"/>
      <c r="J144" s="1747"/>
      <c r="K144" s="1748"/>
      <c r="L144" s="1748"/>
      <c r="M144" s="1748"/>
      <c r="N144" s="1748"/>
      <c r="O144" s="1748"/>
      <c r="P144" s="1748"/>
      <c r="Q144" s="3235"/>
      <c r="R144" s="1119"/>
      <c r="S144" s="3235"/>
      <c r="T144" s="3235"/>
      <c r="U144" s="3235"/>
      <c r="V144" s="1075"/>
      <c r="W144" s="3235"/>
      <c r="X144" s="3235"/>
      <c r="Y144" s="1064"/>
      <c r="Z144" s="1011"/>
      <c r="AA144" s="947"/>
      <c r="AB144" s="690"/>
      <c r="AC144" s="720"/>
      <c r="AD144" s="720"/>
      <c r="AE144" s="720"/>
      <c r="AF144" s="720"/>
      <c r="AG144" s="720"/>
      <c r="AH144" s="715"/>
    </row>
    <row r="145" spans="1:36" s="491" customFormat="1" ht="21.95" customHeight="1">
      <c r="A145" s="3039"/>
      <c r="B145" s="3040"/>
      <c r="C145" s="2013"/>
      <c r="D145" s="588"/>
      <c r="E145" s="484" t="s">
        <v>81</v>
      </c>
      <c r="F145" s="1140">
        <f>Y145</f>
        <v>52320</v>
      </c>
      <c r="G145" s="2031">
        <v>52320</v>
      </c>
      <c r="H145" s="643"/>
      <c r="I145" s="634"/>
      <c r="J145" s="4068" t="s">
        <v>4007</v>
      </c>
      <c r="K145" s="4069"/>
      <c r="L145" s="4069"/>
      <c r="M145" s="4069"/>
      <c r="N145" s="4069"/>
      <c r="O145" s="4069"/>
      <c r="P145" s="4069"/>
      <c r="Q145" s="625">
        <v>2</v>
      </c>
      <c r="R145" s="752" t="s">
        <v>25</v>
      </c>
      <c r="S145" s="750">
        <v>2180000</v>
      </c>
      <c r="T145" s="625" t="s">
        <v>0</v>
      </c>
      <c r="U145" s="2075"/>
      <c r="V145" s="504">
        <v>12</v>
      </c>
      <c r="W145" s="625" t="s">
        <v>2</v>
      </c>
      <c r="X145" s="625" t="s">
        <v>151</v>
      </c>
      <c r="Y145" s="1139">
        <f>Z145/1000</f>
        <v>52320</v>
      </c>
      <c r="Z145" s="489">
        <f>Q145*S145*V145</f>
        <v>52320000</v>
      </c>
      <c r="AA145" s="3041"/>
      <c r="AB145" s="669"/>
      <c r="AC145" s="3042"/>
      <c r="AD145" s="3042"/>
      <c r="AE145" s="3042"/>
      <c r="AF145" s="3042"/>
      <c r="AG145" s="3042"/>
      <c r="AH145" s="3043"/>
      <c r="AI145" s="1305"/>
      <c r="AJ145" s="1305"/>
    </row>
    <row r="146" spans="1:36" s="491" customFormat="1" ht="21.95" customHeight="1">
      <c r="A146" s="3039"/>
      <c r="B146" s="3040"/>
      <c r="C146" s="2013"/>
      <c r="D146" s="588"/>
      <c r="E146" s="2013" t="s">
        <v>4008</v>
      </c>
      <c r="F146" s="1140">
        <f>Y146</f>
        <v>5000</v>
      </c>
      <c r="G146" s="2031">
        <v>5000</v>
      </c>
      <c r="H146" s="643"/>
      <c r="I146" s="634"/>
      <c r="J146" s="4059" t="s">
        <v>4009</v>
      </c>
      <c r="K146" s="4061"/>
      <c r="L146" s="4061"/>
      <c r="M146" s="4061"/>
      <c r="N146" s="4061"/>
      <c r="O146" s="4061"/>
      <c r="P146" s="4061"/>
      <c r="Q146" s="625">
        <v>1</v>
      </c>
      <c r="R146" s="752" t="s">
        <v>4010</v>
      </c>
      <c r="S146" s="750">
        <v>5000000</v>
      </c>
      <c r="T146" s="625" t="s">
        <v>0</v>
      </c>
      <c r="U146" s="2075"/>
      <c r="V146" s="504">
        <v>1</v>
      </c>
      <c r="W146" s="625" t="s">
        <v>4011</v>
      </c>
      <c r="X146" s="625" t="s">
        <v>151</v>
      </c>
      <c r="Y146" s="1139">
        <f t="shared" ref="Y146:Y150" si="16">Z146/1000</f>
        <v>5000</v>
      </c>
      <c r="Z146" s="489">
        <f>Q146*S146*V146</f>
        <v>5000000</v>
      </c>
      <c r="AA146" s="3041"/>
      <c r="AB146" s="669"/>
      <c r="AC146" s="3044"/>
      <c r="AD146" s="3044"/>
      <c r="AE146" s="3044"/>
      <c r="AF146" s="3044"/>
      <c r="AG146" s="3044"/>
      <c r="AH146" s="1241"/>
    </row>
    <row r="147" spans="1:36" s="491" customFormat="1" ht="21.95" customHeight="1">
      <c r="A147" s="3039"/>
      <c r="B147" s="3045"/>
      <c r="C147" s="2013"/>
      <c r="D147" s="588"/>
      <c r="E147" s="2013" t="s">
        <v>80</v>
      </c>
      <c r="F147" s="1140">
        <f>+Y147</f>
        <v>12880</v>
      </c>
      <c r="G147" s="2031">
        <v>12880</v>
      </c>
      <c r="H147" s="643"/>
      <c r="I147" s="634"/>
      <c r="J147" s="4059" t="s">
        <v>4012</v>
      </c>
      <c r="K147" s="4061"/>
      <c r="L147" s="4061"/>
      <c r="M147" s="4061"/>
      <c r="N147" s="4061"/>
      <c r="O147" s="4061"/>
      <c r="P147" s="4061"/>
      <c r="Q147" s="625"/>
      <c r="R147" s="752"/>
      <c r="S147" s="750"/>
      <c r="T147" s="625"/>
      <c r="U147" s="2075"/>
      <c r="V147" s="504"/>
      <c r="W147" s="625"/>
      <c r="X147" s="625"/>
      <c r="Y147" s="1139">
        <f>SUM(Y148:Y150)</f>
        <v>12880</v>
      </c>
      <c r="Z147" s="489">
        <f>SUM(Z148:Z150)</f>
        <v>12880000</v>
      </c>
      <c r="AA147" s="3041"/>
      <c r="AB147" s="669"/>
      <c r="AC147" s="492"/>
      <c r="AD147" s="492"/>
    </row>
    <row r="148" spans="1:36" s="3026" customFormat="1" ht="21.95" customHeight="1">
      <c r="A148" s="3039"/>
      <c r="B148" s="3045"/>
      <c r="C148" s="2013"/>
      <c r="D148" s="588"/>
      <c r="E148" s="2013"/>
      <c r="F148" s="1140"/>
      <c r="G148" s="3292"/>
      <c r="H148" s="643"/>
      <c r="I148" s="634"/>
      <c r="J148" s="4059" t="s">
        <v>4013</v>
      </c>
      <c r="K148" s="4061"/>
      <c r="L148" s="4061"/>
      <c r="M148" s="4061"/>
      <c r="N148" s="4061"/>
      <c r="O148" s="4061"/>
      <c r="P148" s="4061"/>
      <c r="Q148" s="625">
        <v>2</v>
      </c>
      <c r="R148" s="752" t="s">
        <v>4014</v>
      </c>
      <c r="S148" s="750">
        <v>500000</v>
      </c>
      <c r="T148" s="625" t="s">
        <v>0</v>
      </c>
      <c r="U148" s="2075"/>
      <c r="V148" s="504">
        <v>7</v>
      </c>
      <c r="W148" s="625" t="s">
        <v>3</v>
      </c>
      <c r="X148" s="625" t="s">
        <v>151</v>
      </c>
      <c r="Y148" s="1139">
        <f t="shared" si="16"/>
        <v>7000</v>
      </c>
      <c r="Z148" s="489">
        <f>Q148*S148*V148</f>
        <v>7000000</v>
      </c>
      <c r="AA148" s="3041"/>
      <c r="AB148" s="669"/>
      <c r="AC148" s="480"/>
      <c r="AD148" s="480"/>
    </row>
    <row r="149" spans="1:36" s="2075" customFormat="1" ht="21.95" customHeight="1">
      <c r="A149" s="3039"/>
      <c r="B149" s="3045"/>
      <c r="C149" s="2013"/>
      <c r="D149" s="588"/>
      <c r="E149" s="2013"/>
      <c r="F149" s="1140"/>
      <c r="G149" s="3292"/>
      <c r="H149" s="643"/>
      <c r="I149" s="634"/>
      <c r="J149" s="4059" t="s">
        <v>4015</v>
      </c>
      <c r="K149" s="4061"/>
      <c r="L149" s="4061"/>
      <c r="M149" s="4061"/>
      <c r="N149" s="4061"/>
      <c r="O149" s="4061"/>
      <c r="P149" s="4061"/>
      <c r="Q149" s="625">
        <v>1</v>
      </c>
      <c r="R149" s="752" t="s">
        <v>4014</v>
      </c>
      <c r="S149" s="750">
        <v>300000</v>
      </c>
      <c r="T149" s="625" t="s">
        <v>0</v>
      </c>
      <c r="V149" s="504">
        <v>7</v>
      </c>
      <c r="W149" s="625" t="s">
        <v>3</v>
      </c>
      <c r="X149" s="625" t="s">
        <v>151</v>
      </c>
      <c r="Y149" s="1139">
        <f t="shared" si="16"/>
        <v>2100</v>
      </c>
      <c r="Z149" s="489">
        <f>S149*V149</f>
        <v>2100000</v>
      </c>
      <c r="AA149" s="3041"/>
      <c r="AB149" s="669"/>
      <c r="AC149" s="308"/>
      <c r="AD149" s="308"/>
    </row>
    <row r="150" spans="1:36" s="491" customFormat="1" ht="21.95" customHeight="1">
      <c r="A150" s="3039"/>
      <c r="B150" s="3045"/>
      <c r="C150" s="2013"/>
      <c r="D150" s="588"/>
      <c r="E150" s="2013"/>
      <c r="F150" s="1140"/>
      <c r="G150" s="3292"/>
      <c r="H150" s="643"/>
      <c r="I150" s="634"/>
      <c r="J150" s="4059" t="s">
        <v>4016</v>
      </c>
      <c r="K150" s="4061"/>
      <c r="L150" s="4061"/>
      <c r="M150" s="4061"/>
      <c r="N150" s="4061"/>
      <c r="O150" s="4061"/>
      <c r="P150" s="4061"/>
      <c r="Q150" s="625">
        <v>1</v>
      </c>
      <c r="R150" s="752" t="s">
        <v>4010</v>
      </c>
      <c r="S150" s="750">
        <v>540000</v>
      </c>
      <c r="T150" s="625" t="s">
        <v>0</v>
      </c>
      <c r="U150" s="2075"/>
      <c r="V150" s="504">
        <v>7</v>
      </c>
      <c r="W150" s="625" t="s">
        <v>4011</v>
      </c>
      <c r="X150" s="625" t="s">
        <v>4017</v>
      </c>
      <c r="Y150" s="1139">
        <f t="shared" si="16"/>
        <v>3780</v>
      </c>
      <c r="Z150" s="489">
        <f>Q150*S150*V150</f>
        <v>3780000</v>
      </c>
      <c r="AA150" s="3041"/>
      <c r="AB150" s="669"/>
      <c r="AC150" s="492"/>
      <c r="AD150" s="492"/>
    </row>
    <row r="151" spans="1:36" s="491" customFormat="1" ht="21.95" customHeight="1">
      <c r="A151" s="3039"/>
      <c r="B151" s="3045"/>
      <c r="C151" s="2013"/>
      <c r="D151" s="2013"/>
      <c r="E151" s="2035" t="s">
        <v>95</v>
      </c>
      <c r="F151" s="1140">
        <f t="shared" ref="F151:F160" si="17">+Y151</f>
        <v>800</v>
      </c>
      <c r="G151" s="3292">
        <v>800</v>
      </c>
      <c r="H151" s="643"/>
      <c r="I151" s="634"/>
      <c r="J151" s="3293" t="s">
        <v>4018</v>
      </c>
      <c r="K151" s="3294"/>
      <c r="L151" s="3294"/>
      <c r="M151" s="3294"/>
      <c r="N151" s="3295"/>
      <c r="O151" s="3295"/>
      <c r="P151" s="3295"/>
      <c r="Q151" s="2075">
        <v>2</v>
      </c>
      <c r="R151" s="752" t="s">
        <v>25</v>
      </c>
      <c r="S151" s="3241">
        <v>25000</v>
      </c>
      <c r="T151" s="2075" t="s">
        <v>0</v>
      </c>
      <c r="U151" s="2075"/>
      <c r="V151" s="504">
        <v>16</v>
      </c>
      <c r="W151" s="2075" t="s">
        <v>3</v>
      </c>
      <c r="X151" s="625" t="s">
        <v>151</v>
      </c>
      <c r="Y151" s="1139">
        <f>Z151/1000</f>
        <v>800</v>
      </c>
      <c r="Z151" s="489">
        <f>Q151*S151*V151</f>
        <v>800000</v>
      </c>
      <c r="AA151" s="3041"/>
      <c r="AB151" s="669"/>
      <c r="AC151" s="492"/>
      <c r="AD151" s="492"/>
    </row>
    <row r="152" spans="1:36" s="491" customFormat="1" ht="21.95" customHeight="1">
      <c r="A152" s="481"/>
      <c r="B152" s="2013"/>
      <c r="C152" s="2013"/>
      <c r="D152" s="588"/>
      <c r="E152" s="2013" t="s">
        <v>58</v>
      </c>
      <c r="F152" s="1140">
        <f t="shared" si="17"/>
        <v>18900</v>
      </c>
      <c r="G152" s="2031">
        <v>18900</v>
      </c>
      <c r="H152" s="643"/>
      <c r="I152" s="634"/>
      <c r="J152" s="4059" t="s">
        <v>4012</v>
      </c>
      <c r="K152" s="4061"/>
      <c r="L152" s="4061"/>
      <c r="M152" s="4061"/>
      <c r="N152" s="4061"/>
      <c r="O152" s="4061"/>
      <c r="P152" s="4061"/>
      <c r="Q152" s="625"/>
      <c r="R152" s="752"/>
      <c r="S152" s="750"/>
      <c r="T152" s="625"/>
      <c r="U152" s="2075"/>
      <c r="V152" s="504"/>
      <c r="W152" s="625"/>
      <c r="X152" s="625"/>
      <c r="Y152" s="1139">
        <f>SUM(Y153:Y158)</f>
        <v>18900</v>
      </c>
      <c r="Z152" s="489"/>
      <c r="AA152" s="3041"/>
      <c r="AB152" s="669"/>
      <c r="AC152" s="492"/>
      <c r="AD152" s="492"/>
    </row>
    <row r="153" spans="1:36" s="491" customFormat="1" ht="21.95" customHeight="1">
      <c r="A153" s="3039"/>
      <c r="B153" s="3045"/>
      <c r="C153" s="2013"/>
      <c r="D153" s="588"/>
      <c r="E153" s="2013"/>
      <c r="F153" s="1140"/>
      <c r="G153" s="2031"/>
      <c r="H153" s="643"/>
      <c r="I153" s="634"/>
      <c r="J153" s="4059" t="s">
        <v>4019</v>
      </c>
      <c r="K153" s="4061"/>
      <c r="L153" s="4061"/>
      <c r="M153" s="4061"/>
      <c r="N153" s="4061"/>
      <c r="O153" s="4061"/>
      <c r="P153" s="4061"/>
      <c r="Q153" s="625">
        <v>2</v>
      </c>
      <c r="R153" s="752" t="s">
        <v>25</v>
      </c>
      <c r="S153" s="750">
        <v>100000</v>
      </c>
      <c r="T153" s="625" t="s">
        <v>0</v>
      </c>
      <c r="U153" s="2075"/>
      <c r="V153" s="504">
        <v>35</v>
      </c>
      <c r="W153" s="625" t="s">
        <v>3</v>
      </c>
      <c r="X153" s="625" t="s">
        <v>151</v>
      </c>
      <c r="Y153" s="1139">
        <f t="shared" ref="Y153:Y160" si="18">Z153/1000</f>
        <v>7000</v>
      </c>
      <c r="Z153" s="489">
        <f t="shared" ref="Z153:Z160" si="19">Q153*S153*V153</f>
        <v>7000000</v>
      </c>
      <c r="AA153" s="3041"/>
      <c r="AB153" s="669"/>
      <c r="AC153" s="492"/>
      <c r="AD153" s="492"/>
    </row>
    <row r="154" spans="1:36" s="3026" customFormat="1" ht="21.95" customHeight="1">
      <c r="A154" s="3039"/>
      <c r="B154" s="3045"/>
      <c r="C154" s="2013"/>
      <c r="D154" s="588"/>
      <c r="E154" s="2013"/>
      <c r="F154" s="1140"/>
      <c r="G154" s="3292"/>
      <c r="H154" s="643"/>
      <c r="I154" s="634"/>
      <c r="J154" s="4059" t="s">
        <v>4020</v>
      </c>
      <c r="K154" s="4061"/>
      <c r="L154" s="4061"/>
      <c r="M154" s="4061"/>
      <c r="N154" s="4061"/>
      <c r="O154" s="4061"/>
      <c r="P154" s="4061"/>
      <c r="Q154" s="625">
        <v>1</v>
      </c>
      <c r="R154" s="752" t="s">
        <v>25</v>
      </c>
      <c r="S154" s="750">
        <v>50000</v>
      </c>
      <c r="T154" s="625" t="s">
        <v>0</v>
      </c>
      <c r="U154" s="2075"/>
      <c r="V154" s="504">
        <v>70</v>
      </c>
      <c r="W154" s="625" t="s">
        <v>3</v>
      </c>
      <c r="X154" s="625" t="s">
        <v>151</v>
      </c>
      <c r="Y154" s="1139">
        <f t="shared" si="18"/>
        <v>3500</v>
      </c>
      <c r="Z154" s="489">
        <f t="shared" si="19"/>
        <v>3500000</v>
      </c>
      <c r="AA154" s="3041"/>
      <c r="AB154" s="669"/>
      <c r="AC154" s="480"/>
      <c r="AD154" s="480"/>
    </row>
    <row r="155" spans="1:36" s="3026" customFormat="1" ht="21.95" customHeight="1">
      <c r="A155" s="3039"/>
      <c r="B155" s="3045"/>
      <c r="C155" s="2050"/>
      <c r="D155" s="588"/>
      <c r="E155" s="2013"/>
      <c r="F155" s="1140"/>
      <c r="G155" s="3292"/>
      <c r="H155" s="643"/>
      <c r="I155" s="634"/>
      <c r="J155" s="4059" t="s">
        <v>4021</v>
      </c>
      <c r="K155" s="4061"/>
      <c r="L155" s="4061"/>
      <c r="M155" s="4061"/>
      <c r="N155" s="4061"/>
      <c r="O155" s="4061"/>
      <c r="P155" s="4061"/>
      <c r="Q155" s="625">
        <v>1</v>
      </c>
      <c r="R155" s="752" t="s">
        <v>25</v>
      </c>
      <c r="S155" s="750">
        <v>100000</v>
      </c>
      <c r="T155" s="625" t="s">
        <v>0</v>
      </c>
      <c r="U155" s="2075"/>
      <c r="V155" s="504">
        <v>31</v>
      </c>
      <c r="W155" s="625" t="s">
        <v>3</v>
      </c>
      <c r="X155" s="625" t="s">
        <v>151</v>
      </c>
      <c r="Y155" s="1139">
        <f t="shared" si="18"/>
        <v>3100</v>
      </c>
      <c r="Z155" s="489">
        <f t="shared" si="19"/>
        <v>3100000</v>
      </c>
      <c r="AA155" s="3041"/>
      <c r="AB155" s="669"/>
      <c r="AC155" s="480"/>
      <c r="AD155" s="480"/>
    </row>
    <row r="156" spans="1:36" s="3026" customFormat="1" ht="21.95" customHeight="1">
      <c r="A156" s="3039"/>
      <c r="B156" s="3045"/>
      <c r="C156" s="2050"/>
      <c r="D156" s="588"/>
      <c r="E156" s="2013"/>
      <c r="F156" s="1140"/>
      <c r="G156" s="3292"/>
      <c r="H156" s="643"/>
      <c r="I156" s="634"/>
      <c r="J156" s="4059" t="s">
        <v>4022</v>
      </c>
      <c r="K156" s="4061"/>
      <c r="L156" s="4061"/>
      <c r="M156" s="4061"/>
      <c r="N156" s="4061"/>
      <c r="O156" s="4061"/>
      <c r="P156" s="4061"/>
      <c r="Q156" s="625">
        <v>1</v>
      </c>
      <c r="R156" s="752" t="s">
        <v>4023</v>
      </c>
      <c r="S156" s="750">
        <v>50000</v>
      </c>
      <c r="T156" s="625" t="s">
        <v>4024</v>
      </c>
      <c r="U156" s="2075"/>
      <c r="V156" s="504">
        <v>31</v>
      </c>
      <c r="W156" s="625" t="s">
        <v>4025</v>
      </c>
      <c r="X156" s="625" t="s">
        <v>151</v>
      </c>
      <c r="Y156" s="1139">
        <f t="shared" si="18"/>
        <v>1550</v>
      </c>
      <c r="Z156" s="489">
        <f t="shared" si="19"/>
        <v>1550000</v>
      </c>
      <c r="AA156" s="3041"/>
      <c r="AB156" s="669"/>
      <c r="AC156" s="480"/>
      <c r="AD156" s="480"/>
    </row>
    <row r="157" spans="1:36" s="3026" customFormat="1" ht="21.95" customHeight="1">
      <c r="A157" s="3039"/>
      <c r="B157" s="3045"/>
      <c r="C157" s="2050"/>
      <c r="D157" s="588"/>
      <c r="E157" s="2013"/>
      <c r="F157" s="1140"/>
      <c r="G157" s="3292"/>
      <c r="H157" s="643"/>
      <c r="I157" s="634"/>
      <c r="J157" s="4059" t="s">
        <v>4026</v>
      </c>
      <c r="K157" s="4062"/>
      <c r="L157" s="4062"/>
      <c r="M157" s="4062"/>
      <c r="N157" s="3296"/>
      <c r="O157" s="3296"/>
      <c r="P157" s="3296"/>
      <c r="Q157" s="625">
        <v>2</v>
      </c>
      <c r="R157" s="752" t="s">
        <v>4023</v>
      </c>
      <c r="S157" s="750">
        <v>100000</v>
      </c>
      <c r="T157" s="625" t="s">
        <v>4024</v>
      </c>
      <c r="U157" s="2075"/>
      <c r="V157" s="504">
        <v>15</v>
      </c>
      <c r="W157" s="625" t="s">
        <v>4025</v>
      </c>
      <c r="X157" s="625"/>
      <c r="Y157" s="1139">
        <f t="shared" si="18"/>
        <v>3000</v>
      </c>
      <c r="Z157" s="489">
        <f t="shared" si="19"/>
        <v>3000000</v>
      </c>
      <c r="AA157" s="3041"/>
      <c r="AB157" s="669"/>
      <c r="AC157" s="480"/>
      <c r="AD157" s="480"/>
    </row>
    <row r="158" spans="1:36" s="3026" customFormat="1" ht="21.95" customHeight="1">
      <c r="A158" s="3039"/>
      <c r="B158" s="3045"/>
      <c r="C158" s="2050"/>
      <c r="D158" s="588"/>
      <c r="E158" s="2013"/>
      <c r="F158" s="1140"/>
      <c r="G158" s="3292"/>
      <c r="H158" s="643"/>
      <c r="I158" s="634"/>
      <c r="J158" s="4059" t="s">
        <v>4027</v>
      </c>
      <c r="K158" s="4061"/>
      <c r="L158" s="4061"/>
      <c r="M158" s="4061"/>
      <c r="N158" s="4061"/>
      <c r="O158" s="4061"/>
      <c r="P158" s="4061"/>
      <c r="Q158" s="625">
        <v>1</v>
      </c>
      <c r="R158" s="752" t="s">
        <v>4023</v>
      </c>
      <c r="S158" s="750">
        <v>50000</v>
      </c>
      <c r="T158" s="625" t="s">
        <v>4024</v>
      </c>
      <c r="U158" s="2075"/>
      <c r="V158" s="504">
        <v>15</v>
      </c>
      <c r="W158" s="625" t="s">
        <v>4025</v>
      </c>
      <c r="X158" s="625" t="s">
        <v>151</v>
      </c>
      <c r="Y158" s="1139">
        <f t="shared" si="18"/>
        <v>750</v>
      </c>
      <c r="Z158" s="489">
        <f t="shared" si="19"/>
        <v>750000</v>
      </c>
      <c r="AA158" s="3041"/>
      <c r="AB158" s="669"/>
      <c r="AC158" s="480"/>
      <c r="AD158" s="480"/>
    </row>
    <row r="159" spans="1:36" s="3026" customFormat="1" ht="21.95" customHeight="1">
      <c r="A159" s="3039"/>
      <c r="B159" s="3045"/>
      <c r="C159" s="2050"/>
      <c r="D159" s="588"/>
      <c r="E159" s="2013" t="s">
        <v>62</v>
      </c>
      <c r="F159" s="1140">
        <f t="shared" si="17"/>
        <v>1000</v>
      </c>
      <c r="G159" s="3292">
        <v>1000</v>
      </c>
      <c r="H159" s="643"/>
      <c r="I159" s="634"/>
      <c r="J159" s="4059" t="s">
        <v>4028</v>
      </c>
      <c r="K159" s="4061"/>
      <c r="L159" s="4061"/>
      <c r="M159" s="4061"/>
      <c r="N159" s="4061"/>
      <c r="O159" s="4061"/>
      <c r="P159" s="4061"/>
      <c r="Q159" s="625">
        <v>1</v>
      </c>
      <c r="R159" s="752" t="s">
        <v>4029</v>
      </c>
      <c r="S159" s="750">
        <v>100000</v>
      </c>
      <c r="T159" s="625" t="s">
        <v>4024</v>
      </c>
      <c r="U159" s="2075"/>
      <c r="V159" s="504">
        <v>10</v>
      </c>
      <c r="W159" s="625" t="s">
        <v>4025</v>
      </c>
      <c r="X159" s="625" t="s">
        <v>151</v>
      </c>
      <c r="Y159" s="1139">
        <f t="shared" si="18"/>
        <v>1000</v>
      </c>
      <c r="Z159" s="489">
        <f t="shared" si="19"/>
        <v>1000000</v>
      </c>
      <c r="AA159" s="3041"/>
      <c r="AB159" s="669"/>
      <c r="AC159" s="480"/>
      <c r="AD159" s="480"/>
    </row>
    <row r="160" spans="1:36" s="3026" customFormat="1" ht="21.95" customHeight="1">
      <c r="A160" s="3039"/>
      <c r="B160" s="3045"/>
      <c r="C160" s="2050"/>
      <c r="D160" s="588"/>
      <c r="E160" s="2013" t="s">
        <v>61</v>
      </c>
      <c r="F160" s="1140">
        <f t="shared" si="17"/>
        <v>1100</v>
      </c>
      <c r="G160" s="3292">
        <v>1100</v>
      </c>
      <c r="H160" s="643"/>
      <c r="I160" s="634"/>
      <c r="J160" s="4063" t="s">
        <v>4030</v>
      </c>
      <c r="K160" s="4070"/>
      <c r="L160" s="4070"/>
      <c r="M160" s="4070"/>
      <c r="N160" s="4070"/>
      <c r="O160" s="4070"/>
      <c r="P160" s="4070"/>
      <c r="Q160" s="625">
        <v>5</v>
      </c>
      <c r="R160" s="752" t="s">
        <v>4023</v>
      </c>
      <c r="S160" s="750">
        <v>10000</v>
      </c>
      <c r="T160" s="625" t="s">
        <v>4024</v>
      </c>
      <c r="U160" s="2075"/>
      <c r="V160" s="504">
        <v>22</v>
      </c>
      <c r="W160" s="625" t="s">
        <v>4025</v>
      </c>
      <c r="X160" s="625"/>
      <c r="Y160" s="1139">
        <f t="shared" si="18"/>
        <v>1100</v>
      </c>
      <c r="Z160" s="489">
        <f t="shared" si="19"/>
        <v>1100000</v>
      </c>
      <c r="AA160" s="3041"/>
      <c r="AB160" s="669"/>
      <c r="AC160" s="480"/>
      <c r="AD160" s="480"/>
    </row>
    <row r="161" spans="1:30" s="683" customFormat="1" ht="21.95" customHeight="1">
      <c r="A161" s="791"/>
      <c r="B161" s="675"/>
      <c r="C161" s="674"/>
      <c r="D161" s="1076" t="s">
        <v>872</v>
      </c>
      <c r="E161" s="1952"/>
      <c r="F161" s="1077">
        <f>SUM(F162:F169)</f>
        <v>10000</v>
      </c>
      <c r="G161" s="1077">
        <f>SUM(G162:G169)</f>
        <v>10000</v>
      </c>
      <c r="H161" s="1059">
        <f>F161-G161</f>
        <v>0</v>
      </c>
      <c r="I161" s="734"/>
      <c r="J161" s="1762"/>
      <c r="K161" s="1763"/>
      <c r="L161" s="1763"/>
      <c r="M161" s="1763"/>
      <c r="N161" s="1763"/>
      <c r="O161" s="1763"/>
      <c r="P161" s="1763"/>
      <c r="Q161" s="1060"/>
      <c r="R161" s="1061"/>
      <c r="S161" s="1084"/>
      <c r="T161" s="1957"/>
      <c r="U161" s="1957"/>
      <c r="V161" s="1063"/>
      <c r="W161" s="1957"/>
      <c r="X161" s="1957"/>
      <c r="Y161" s="1064"/>
      <c r="Z161" s="940">
        <f>SUM(Z166:Z169)</f>
        <v>5700000</v>
      </c>
      <c r="AA161" s="947"/>
      <c r="AB161" s="690"/>
      <c r="AC161" s="1073"/>
      <c r="AD161" s="1073"/>
    </row>
    <row r="162" spans="1:30" s="967" customFormat="1" ht="21.95" customHeight="1">
      <c r="A162" s="791"/>
      <c r="B162" s="675"/>
      <c r="C162" s="1981"/>
      <c r="D162" s="1083"/>
      <c r="E162" s="1978" t="s">
        <v>229</v>
      </c>
      <c r="F162" s="1020">
        <f>+Y162</f>
        <v>1650</v>
      </c>
      <c r="G162" s="678">
        <v>1650</v>
      </c>
      <c r="H162" s="1070"/>
      <c r="I162" s="734"/>
      <c r="J162" s="4051" t="s">
        <v>1814</v>
      </c>
      <c r="K162" s="4052"/>
      <c r="L162" s="4052"/>
      <c r="M162" s="4052"/>
      <c r="N162" s="4052"/>
      <c r="O162" s="4052"/>
      <c r="P162" s="4052"/>
      <c r="Q162" s="729">
        <v>1</v>
      </c>
      <c r="R162" s="1066" t="s">
        <v>31</v>
      </c>
      <c r="S162" s="1067">
        <v>1650000</v>
      </c>
      <c r="T162" s="729" t="s">
        <v>0</v>
      </c>
      <c r="U162" s="709"/>
      <c r="V162" s="730">
        <v>1</v>
      </c>
      <c r="W162" s="729" t="s">
        <v>6</v>
      </c>
      <c r="X162" s="729" t="s">
        <v>151</v>
      </c>
      <c r="Y162" s="1068">
        <f t="shared" ref="Y162:Y169" si="20">Z162/1000</f>
        <v>1650</v>
      </c>
      <c r="Z162" s="872">
        <f>Q162*S162*V162</f>
        <v>1650000</v>
      </c>
      <c r="AA162" s="947"/>
      <c r="AB162" s="690"/>
      <c r="AC162" s="1055"/>
      <c r="AD162" s="1055"/>
    </row>
    <row r="163" spans="1:30" s="967" customFormat="1" ht="21.95" customHeight="1">
      <c r="A163" s="791"/>
      <c r="B163" s="675"/>
      <c r="C163" s="1981"/>
      <c r="D163" s="1083"/>
      <c r="E163" s="1978" t="s">
        <v>264</v>
      </c>
      <c r="F163" s="1020">
        <f>+Y163</f>
        <v>2250</v>
      </c>
      <c r="G163" s="678">
        <v>2250</v>
      </c>
      <c r="H163" s="1070"/>
      <c r="I163" s="734"/>
      <c r="J163" s="4051" t="s">
        <v>1815</v>
      </c>
      <c r="K163" s="4052"/>
      <c r="L163" s="4052"/>
      <c r="M163" s="4052"/>
      <c r="N163" s="4052"/>
      <c r="O163" s="4052"/>
      <c r="P163" s="4052"/>
      <c r="Q163" s="729">
        <v>15</v>
      </c>
      <c r="R163" s="1066" t="s">
        <v>31</v>
      </c>
      <c r="S163" s="1067">
        <v>150000</v>
      </c>
      <c r="T163" s="729" t="s">
        <v>0</v>
      </c>
      <c r="U163" s="709"/>
      <c r="V163" s="730">
        <v>1</v>
      </c>
      <c r="W163" s="729" t="s">
        <v>6</v>
      </c>
      <c r="X163" s="729" t="s">
        <v>151</v>
      </c>
      <c r="Y163" s="1068">
        <f t="shared" si="20"/>
        <v>2250</v>
      </c>
      <c r="Z163" s="872">
        <f>Q163*S163*V163</f>
        <v>2250000</v>
      </c>
      <c r="AA163" s="947"/>
      <c r="AB163" s="690"/>
      <c r="AC163" s="1055"/>
      <c r="AD163" s="1055"/>
    </row>
    <row r="164" spans="1:30" s="967" customFormat="1" ht="21.95" customHeight="1">
      <c r="A164" s="791"/>
      <c r="B164" s="675"/>
      <c r="C164" s="1981"/>
      <c r="D164" s="1083"/>
      <c r="E164" s="1978" t="s">
        <v>225</v>
      </c>
      <c r="F164" s="1020">
        <f>+Y164</f>
        <v>400</v>
      </c>
      <c r="G164" s="678">
        <v>400</v>
      </c>
      <c r="H164" s="1070"/>
      <c r="I164" s="734"/>
      <c r="J164" s="4051" t="s">
        <v>1816</v>
      </c>
      <c r="K164" s="4052"/>
      <c r="L164" s="4052"/>
      <c r="M164" s="4052"/>
      <c r="N164" s="4052"/>
      <c r="O164" s="4052"/>
      <c r="P164" s="4052"/>
      <c r="Q164" s="729">
        <v>2</v>
      </c>
      <c r="R164" s="1066" t="s">
        <v>25</v>
      </c>
      <c r="S164" s="1067">
        <v>20000</v>
      </c>
      <c r="T164" s="729" t="s">
        <v>0</v>
      </c>
      <c r="U164" s="709"/>
      <c r="V164" s="730">
        <v>10</v>
      </c>
      <c r="W164" s="729" t="s">
        <v>3</v>
      </c>
      <c r="X164" s="729" t="s">
        <v>870</v>
      </c>
      <c r="Y164" s="1068">
        <f t="shared" si="20"/>
        <v>400</v>
      </c>
      <c r="Z164" s="872">
        <f>Q164*S164*V164</f>
        <v>400000</v>
      </c>
      <c r="AA164" s="947"/>
      <c r="AB164" s="690"/>
      <c r="AC164" s="1055"/>
      <c r="AD164" s="1055"/>
    </row>
    <row r="165" spans="1:30" s="967" customFormat="1" ht="21.95" customHeight="1">
      <c r="A165" s="791"/>
      <c r="B165" s="675"/>
      <c r="C165" s="1981"/>
      <c r="D165" s="1083"/>
      <c r="E165" s="1978" t="s">
        <v>380</v>
      </c>
      <c r="F165" s="1020">
        <f>+Y165</f>
        <v>3900</v>
      </c>
      <c r="G165" s="678">
        <v>3900</v>
      </c>
      <c r="H165" s="1070"/>
      <c r="I165" s="734"/>
      <c r="J165" s="4051" t="s">
        <v>224</v>
      </c>
      <c r="K165" s="4052"/>
      <c r="L165" s="4052"/>
      <c r="M165" s="4052"/>
      <c r="N165" s="4052"/>
      <c r="O165" s="4052"/>
      <c r="P165" s="4052"/>
      <c r="Q165" s="683"/>
      <c r="R165" s="683"/>
      <c r="S165" s="683"/>
      <c r="T165" s="683"/>
      <c r="U165" s="683"/>
      <c r="V165" s="683"/>
      <c r="W165" s="683"/>
      <c r="X165" s="683"/>
      <c r="Y165" s="1068">
        <f t="shared" si="20"/>
        <v>3900</v>
      </c>
      <c r="Z165" s="1121">
        <f>SUM(Z166:Z167)</f>
        <v>3900000</v>
      </c>
      <c r="AA165" s="947"/>
      <c r="AB165" s="690"/>
      <c r="AC165" s="1055"/>
      <c r="AD165" s="1055"/>
    </row>
    <row r="166" spans="1:30" s="967" customFormat="1" ht="21.95" customHeight="1">
      <c r="A166" s="791"/>
      <c r="B166" s="675"/>
      <c r="C166" s="1981"/>
      <c r="D166" s="1083"/>
      <c r="E166" s="1978"/>
      <c r="F166" s="1020"/>
      <c r="G166" s="678"/>
      <c r="H166" s="1070"/>
      <c r="I166" s="734"/>
      <c r="J166" s="4051" t="s">
        <v>1849</v>
      </c>
      <c r="K166" s="4052"/>
      <c r="L166" s="4052"/>
      <c r="M166" s="4052"/>
      <c r="N166" s="4052"/>
      <c r="O166" s="4052"/>
      <c r="P166" s="4052"/>
      <c r="Q166" s="729">
        <v>1</v>
      </c>
      <c r="R166" s="1066" t="s">
        <v>25</v>
      </c>
      <c r="S166" s="1067">
        <v>200000</v>
      </c>
      <c r="T166" s="729" t="s">
        <v>0</v>
      </c>
      <c r="U166" s="709"/>
      <c r="V166" s="730">
        <v>15</v>
      </c>
      <c r="W166" s="729" t="s">
        <v>3</v>
      </c>
      <c r="X166" s="729" t="s">
        <v>151</v>
      </c>
      <c r="Y166" s="1068">
        <f t="shared" si="20"/>
        <v>3000</v>
      </c>
      <c r="Z166" s="872">
        <f>Q166*S166*V166</f>
        <v>3000000</v>
      </c>
      <c r="AA166" s="947"/>
      <c r="AB166" s="690"/>
      <c r="AC166" s="1055"/>
      <c r="AD166" s="1055"/>
    </row>
    <row r="167" spans="1:30" s="967" customFormat="1" ht="21.95" customHeight="1">
      <c r="A167" s="791"/>
      <c r="B167" s="675"/>
      <c r="C167" s="1981"/>
      <c r="D167" s="1083"/>
      <c r="E167" s="1978"/>
      <c r="F167" s="1020"/>
      <c r="G167" s="678"/>
      <c r="H167" s="1070"/>
      <c r="I167" s="734"/>
      <c r="J167" s="4051" t="s">
        <v>1850</v>
      </c>
      <c r="K167" s="4052"/>
      <c r="L167" s="4052"/>
      <c r="M167" s="4052"/>
      <c r="N167" s="4052"/>
      <c r="O167" s="4052"/>
      <c r="P167" s="4052"/>
      <c r="Q167" s="729">
        <v>1</v>
      </c>
      <c r="R167" s="1066" t="s">
        <v>25</v>
      </c>
      <c r="S167" s="1067">
        <v>60000</v>
      </c>
      <c r="T167" s="729" t="s">
        <v>0</v>
      </c>
      <c r="U167" s="709"/>
      <c r="V167" s="730">
        <v>15</v>
      </c>
      <c r="W167" s="729" t="s">
        <v>3</v>
      </c>
      <c r="X167" s="729" t="s">
        <v>870</v>
      </c>
      <c r="Y167" s="1068">
        <f t="shared" si="20"/>
        <v>900</v>
      </c>
      <c r="Z167" s="872">
        <f>Q167*S167*V167</f>
        <v>900000</v>
      </c>
      <c r="AA167" s="947"/>
      <c r="AB167" s="690"/>
      <c r="AC167" s="1055"/>
      <c r="AD167" s="1055"/>
    </row>
    <row r="168" spans="1:30" s="967" customFormat="1" ht="21.95" customHeight="1">
      <c r="A168" s="791"/>
      <c r="B168" s="675"/>
      <c r="C168" s="1981"/>
      <c r="D168" s="1083"/>
      <c r="E168" s="1978" t="s">
        <v>431</v>
      </c>
      <c r="F168" s="1020">
        <f>Y168</f>
        <v>1500</v>
      </c>
      <c r="G168" s="678">
        <v>1500</v>
      </c>
      <c r="H168" s="1070"/>
      <c r="I168" s="734"/>
      <c r="J168" s="4051" t="s">
        <v>1817</v>
      </c>
      <c r="K168" s="4052"/>
      <c r="L168" s="4052"/>
      <c r="M168" s="4052"/>
      <c r="N168" s="4052"/>
      <c r="O168" s="4052"/>
      <c r="P168" s="4052"/>
      <c r="Q168" s="729">
        <v>1</v>
      </c>
      <c r="R168" s="1066" t="s">
        <v>7</v>
      </c>
      <c r="S168" s="1067">
        <v>1500000</v>
      </c>
      <c r="T168" s="729" t="s">
        <v>0</v>
      </c>
      <c r="U168" s="709"/>
      <c r="V168" s="730">
        <v>1</v>
      </c>
      <c r="W168" s="729" t="s">
        <v>6</v>
      </c>
      <c r="X168" s="729" t="s">
        <v>151</v>
      </c>
      <c r="Y168" s="1068">
        <f t="shared" si="20"/>
        <v>1500</v>
      </c>
      <c r="Z168" s="872">
        <f>Q168*S168*V168</f>
        <v>1500000</v>
      </c>
      <c r="AA168" s="947"/>
      <c r="AB168" s="690"/>
      <c r="AC168" s="1055"/>
      <c r="AD168" s="1055"/>
    </row>
    <row r="169" spans="1:30" s="967" customFormat="1" ht="21.95" customHeight="1">
      <c r="A169" s="791"/>
      <c r="B169" s="675"/>
      <c r="C169" s="1981"/>
      <c r="D169" s="1088"/>
      <c r="E169" s="1978" t="s">
        <v>384</v>
      </c>
      <c r="F169" s="1020">
        <f>+Y169</f>
        <v>300</v>
      </c>
      <c r="G169" s="678">
        <v>300</v>
      </c>
      <c r="H169" s="1070"/>
      <c r="I169" s="734"/>
      <c r="J169" s="4051" t="s">
        <v>1818</v>
      </c>
      <c r="K169" s="4052"/>
      <c r="L169" s="4052"/>
      <c r="M169" s="4052"/>
      <c r="N169" s="4052"/>
      <c r="O169" s="4052"/>
      <c r="P169" s="4052"/>
      <c r="Q169" s="729">
        <v>3</v>
      </c>
      <c r="R169" s="1066" t="s">
        <v>267</v>
      </c>
      <c r="S169" s="1067">
        <v>50000</v>
      </c>
      <c r="T169" s="729" t="s">
        <v>0</v>
      </c>
      <c r="U169" s="709"/>
      <c r="V169" s="730">
        <v>2</v>
      </c>
      <c r="W169" s="729" t="s">
        <v>39</v>
      </c>
      <c r="X169" s="729" t="s">
        <v>151</v>
      </c>
      <c r="Y169" s="1068">
        <f t="shared" si="20"/>
        <v>300</v>
      </c>
      <c r="Z169" s="872">
        <f>Q169*S169*V169</f>
        <v>300000</v>
      </c>
      <c r="AA169" s="947"/>
      <c r="AB169" s="690"/>
      <c r="AC169" s="1055"/>
      <c r="AD169" s="1055"/>
    </row>
    <row r="170" spans="1:30" s="967" customFormat="1" ht="21.95" customHeight="1">
      <c r="A170" s="791"/>
      <c r="B170" s="675"/>
      <c r="C170" s="1981"/>
      <c r="D170" s="1076" t="s">
        <v>874</v>
      </c>
      <c r="E170" s="1952"/>
      <c r="F170" s="1077">
        <f>SUM(F171:F176)</f>
        <v>5000</v>
      </c>
      <c r="G170" s="1077">
        <f>SUM(G171:G176)</f>
        <v>5000</v>
      </c>
      <c r="H170" s="1059">
        <f>F170-G170</f>
        <v>0</v>
      </c>
      <c r="I170" s="734"/>
      <c r="J170" s="1762"/>
      <c r="K170" s="1763"/>
      <c r="L170" s="1763"/>
      <c r="M170" s="1763"/>
      <c r="N170" s="1763"/>
      <c r="O170" s="1763"/>
      <c r="P170" s="1763"/>
      <c r="Q170" s="1060">
        <v>3</v>
      </c>
      <c r="R170" s="1061"/>
      <c r="S170" s="1084"/>
      <c r="T170" s="1957"/>
      <c r="U170" s="1957"/>
      <c r="V170" s="1063"/>
      <c r="W170" s="1957"/>
      <c r="X170" s="1957"/>
      <c r="Y170" s="1064"/>
      <c r="Z170" s="940"/>
      <c r="AA170" s="947"/>
      <c r="AB170" s="690"/>
      <c r="AC170" s="1055"/>
      <c r="AD170" s="1055"/>
    </row>
    <row r="171" spans="1:30" s="931" customFormat="1" ht="21.95" customHeight="1">
      <c r="A171" s="791"/>
      <c r="B171" s="675"/>
      <c r="C171" s="1981"/>
      <c r="D171" s="1083"/>
      <c r="E171" s="1083" t="s">
        <v>264</v>
      </c>
      <c r="F171" s="1020">
        <f t="shared" ref="F171:F176" si="21">+Y171</f>
        <v>1700</v>
      </c>
      <c r="G171" s="678">
        <v>1700</v>
      </c>
      <c r="H171" s="1070"/>
      <c r="I171" s="734"/>
      <c r="J171" s="4071" t="s">
        <v>1819</v>
      </c>
      <c r="K171" s="4072"/>
      <c r="L171" s="4072"/>
      <c r="M171" s="4072"/>
      <c r="N171" s="4072"/>
      <c r="O171" s="4072"/>
      <c r="P171" s="4072"/>
      <c r="Q171" s="729">
        <v>10</v>
      </c>
      <c r="R171" s="1066" t="s">
        <v>721</v>
      </c>
      <c r="S171" s="1067">
        <v>170000</v>
      </c>
      <c r="T171" s="729" t="s">
        <v>37</v>
      </c>
      <c r="U171" s="709"/>
      <c r="V171" s="730">
        <v>1</v>
      </c>
      <c r="W171" s="729" t="s">
        <v>226</v>
      </c>
      <c r="X171" s="729" t="s">
        <v>151</v>
      </c>
      <c r="Y171" s="1068">
        <f>Z171/1000</f>
        <v>1700</v>
      </c>
      <c r="Z171" s="872">
        <f t="shared" ref="Z171:Z176" si="22">Q171*S171*V171</f>
        <v>1700000</v>
      </c>
      <c r="AA171" s="947"/>
      <c r="AB171" s="690"/>
      <c r="AC171" s="930"/>
      <c r="AD171" s="930"/>
    </row>
    <row r="172" spans="1:30" s="967" customFormat="1" ht="21.95" customHeight="1">
      <c r="A172" s="791"/>
      <c r="B172" s="675"/>
      <c r="C172" s="1981"/>
      <c r="D172" s="1083"/>
      <c r="E172" s="1978" t="s">
        <v>225</v>
      </c>
      <c r="F172" s="1020">
        <f t="shared" si="21"/>
        <v>200</v>
      </c>
      <c r="G172" s="678">
        <v>200</v>
      </c>
      <c r="H172" s="1070"/>
      <c r="I172" s="734"/>
      <c r="J172" s="4051" t="s">
        <v>1816</v>
      </c>
      <c r="K172" s="4052"/>
      <c r="L172" s="4052"/>
      <c r="M172" s="4052"/>
      <c r="N172" s="4052"/>
      <c r="O172" s="4052"/>
      <c r="P172" s="4052"/>
      <c r="Q172" s="729">
        <v>2</v>
      </c>
      <c r="R172" s="1066" t="s">
        <v>25</v>
      </c>
      <c r="S172" s="1067">
        <v>20000</v>
      </c>
      <c r="T172" s="729" t="s">
        <v>0</v>
      </c>
      <c r="U172" s="709"/>
      <c r="V172" s="730">
        <v>5</v>
      </c>
      <c r="W172" s="729" t="s">
        <v>3</v>
      </c>
      <c r="X172" s="729" t="s">
        <v>870</v>
      </c>
      <c r="Y172" s="1068">
        <f t="shared" ref="Y172" si="23">Z172/1000</f>
        <v>200</v>
      </c>
      <c r="Z172" s="872">
        <f t="shared" si="22"/>
        <v>200000</v>
      </c>
      <c r="AA172" s="947"/>
      <c r="AB172" s="690"/>
      <c r="AC172" s="1055"/>
      <c r="AD172" s="1055"/>
    </row>
    <row r="173" spans="1:30" s="931" customFormat="1" ht="21.95" customHeight="1">
      <c r="A173" s="791"/>
      <c r="B173" s="675"/>
      <c r="C173" s="1981"/>
      <c r="D173" s="1083"/>
      <c r="E173" s="1083" t="s">
        <v>380</v>
      </c>
      <c r="F173" s="1020">
        <f t="shared" si="21"/>
        <v>1200</v>
      </c>
      <c r="G173" s="678">
        <v>1200</v>
      </c>
      <c r="H173" s="1070"/>
      <c r="I173" s="734"/>
      <c r="J173" s="4051" t="s">
        <v>1820</v>
      </c>
      <c r="K173" s="4052"/>
      <c r="L173" s="4052"/>
      <c r="M173" s="4052"/>
      <c r="N173" s="4052"/>
      <c r="O173" s="4052"/>
      <c r="P173" s="4052"/>
      <c r="Q173" s="729">
        <v>2</v>
      </c>
      <c r="R173" s="1066" t="s">
        <v>227</v>
      </c>
      <c r="S173" s="1067">
        <v>60000</v>
      </c>
      <c r="T173" s="729" t="s">
        <v>0</v>
      </c>
      <c r="U173" s="709"/>
      <c r="V173" s="730">
        <v>10</v>
      </c>
      <c r="W173" s="729" t="s">
        <v>39</v>
      </c>
      <c r="X173" s="729" t="s">
        <v>151</v>
      </c>
      <c r="Y173" s="1068">
        <f>Z173/1000</f>
        <v>1200</v>
      </c>
      <c r="Z173" s="872">
        <f t="shared" si="22"/>
        <v>1200000</v>
      </c>
      <c r="AA173" s="947"/>
      <c r="AB173" s="690"/>
      <c r="AC173" s="930"/>
      <c r="AD173" s="930"/>
    </row>
    <row r="174" spans="1:30" s="709" customFormat="1" ht="21.95" customHeight="1">
      <c r="A174" s="1122"/>
      <c r="C174" s="1981"/>
      <c r="D174" s="1083"/>
      <c r="E174" s="1083" t="s">
        <v>262</v>
      </c>
      <c r="F174" s="1020">
        <f t="shared" si="21"/>
        <v>1500</v>
      </c>
      <c r="G174" s="678">
        <v>1500</v>
      </c>
      <c r="H174" s="1070"/>
      <c r="I174" s="734"/>
      <c r="J174" s="4051" t="s">
        <v>1821</v>
      </c>
      <c r="K174" s="4052"/>
      <c r="L174" s="4052"/>
      <c r="M174" s="4052"/>
      <c r="N174" s="4052"/>
      <c r="O174" s="4052"/>
      <c r="P174" s="4052"/>
      <c r="Q174" s="729">
        <v>6</v>
      </c>
      <c r="R174" s="1066" t="s">
        <v>232</v>
      </c>
      <c r="S174" s="1067">
        <v>250000</v>
      </c>
      <c r="T174" s="729" t="s">
        <v>391</v>
      </c>
      <c r="V174" s="730">
        <v>1</v>
      </c>
      <c r="W174" s="729" t="s">
        <v>226</v>
      </c>
      <c r="X174" s="729" t="s">
        <v>151</v>
      </c>
      <c r="Y174" s="1068">
        <f>Z174/1000</f>
        <v>1500</v>
      </c>
      <c r="Z174" s="872">
        <f t="shared" si="22"/>
        <v>1500000</v>
      </c>
      <c r="AA174" s="947"/>
      <c r="AB174" s="690"/>
      <c r="AC174" s="915"/>
      <c r="AD174" s="3166"/>
    </row>
    <row r="175" spans="1:30" s="931" customFormat="1" ht="21.95" customHeight="1">
      <c r="A175" s="1122"/>
      <c r="B175" s="709"/>
      <c r="C175" s="1981"/>
      <c r="D175" s="1083"/>
      <c r="E175" s="1083" t="s">
        <v>451</v>
      </c>
      <c r="F175" s="1020">
        <f t="shared" si="21"/>
        <v>250</v>
      </c>
      <c r="G175" s="678">
        <v>250</v>
      </c>
      <c r="H175" s="1070"/>
      <c r="I175" s="734"/>
      <c r="J175" s="4051" t="s">
        <v>1822</v>
      </c>
      <c r="K175" s="4052"/>
      <c r="L175" s="4052"/>
      <c r="M175" s="4052"/>
      <c r="N175" s="4052"/>
      <c r="O175" s="4052"/>
      <c r="P175" s="4052"/>
      <c r="Q175" s="729">
        <v>2</v>
      </c>
      <c r="R175" s="1066" t="s">
        <v>232</v>
      </c>
      <c r="S175" s="1067">
        <v>25000</v>
      </c>
      <c r="T175" s="729" t="s">
        <v>391</v>
      </c>
      <c r="U175" s="709"/>
      <c r="V175" s="730">
        <v>5</v>
      </c>
      <c r="W175" s="729" t="s">
        <v>226</v>
      </c>
      <c r="X175" s="729" t="s">
        <v>151</v>
      </c>
      <c r="Y175" s="1068">
        <f>Z175/1000</f>
        <v>250</v>
      </c>
      <c r="Z175" s="872">
        <f t="shared" si="22"/>
        <v>250000</v>
      </c>
      <c r="AA175" s="947"/>
      <c r="AB175" s="690"/>
      <c r="AC175" s="930"/>
      <c r="AD175" s="930"/>
    </row>
    <row r="176" spans="1:30" s="931" customFormat="1" ht="21.95" customHeight="1">
      <c r="A176" s="1122"/>
      <c r="B176" s="709"/>
      <c r="C176" s="1981"/>
      <c r="D176" s="1083"/>
      <c r="E176" s="1083" t="s">
        <v>384</v>
      </c>
      <c r="F176" s="1020">
        <f t="shared" si="21"/>
        <v>150</v>
      </c>
      <c r="G176" s="678">
        <v>150</v>
      </c>
      <c r="H176" s="1070"/>
      <c r="I176" s="734"/>
      <c r="J176" s="4051" t="s">
        <v>1818</v>
      </c>
      <c r="K176" s="4052"/>
      <c r="L176" s="4052"/>
      <c r="M176" s="4052"/>
      <c r="N176" s="4052"/>
      <c r="O176" s="4052"/>
      <c r="P176" s="4052"/>
      <c r="Q176" s="729">
        <v>2</v>
      </c>
      <c r="R176" s="1066" t="s">
        <v>227</v>
      </c>
      <c r="S176" s="1067">
        <v>15000</v>
      </c>
      <c r="T176" s="729" t="s">
        <v>391</v>
      </c>
      <c r="U176" s="709"/>
      <c r="V176" s="730">
        <v>5</v>
      </c>
      <c r="W176" s="729" t="s">
        <v>39</v>
      </c>
      <c r="X176" s="729" t="s">
        <v>151</v>
      </c>
      <c r="Y176" s="1068">
        <f>Z176/1000</f>
        <v>150</v>
      </c>
      <c r="Z176" s="872">
        <f t="shared" si="22"/>
        <v>150000</v>
      </c>
      <c r="AA176" s="947"/>
      <c r="AB176" s="690"/>
      <c r="AC176" s="930"/>
      <c r="AD176" s="930"/>
    </row>
    <row r="177" spans="1:30" s="683" customFormat="1" ht="21.95" customHeight="1">
      <c r="A177" s="1122"/>
      <c r="B177" s="709"/>
      <c r="C177" s="1981"/>
      <c r="D177" s="1076" t="s">
        <v>875</v>
      </c>
      <c r="E177" s="1952"/>
      <c r="F177" s="1077">
        <f>SUM(F178:F188)</f>
        <v>40000</v>
      </c>
      <c r="G177" s="1077">
        <f>SUM(G178:G188)</f>
        <v>40000</v>
      </c>
      <c r="H177" s="1059">
        <f>F177-G177</f>
        <v>0</v>
      </c>
      <c r="I177" s="734"/>
      <c r="J177" s="1762"/>
      <c r="K177" s="1763"/>
      <c r="L177" s="1763"/>
      <c r="M177" s="1763"/>
      <c r="N177" s="1763"/>
      <c r="O177" s="1763"/>
      <c r="P177" s="1763"/>
      <c r="Q177" s="1060"/>
      <c r="R177" s="1061"/>
      <c r="S177" s="1084"/>
      <c r="T177" s="1957"/>
      <c r="U177" s="1957"/>
      <c r="V177" s="1063"/>
      <c r="W177" s="1957"/>
      <c r="X177" s="1957"/>
      <c r="Y177" s="1064"/>
      <c r="Z177" s="940">
        <f>SUM(Z188:Z188)</f>
        <v>734000</v>
      </c>
      <c r="AA177" s="947"/>
      <c r="AB177" s="690"/>
      <c r="AC177" s="1073"/>
      <c r="AD177" s="1073"/>
    </row>
    <row r="178" spans="1:30" s="967" customFormat="1" ht="21.95" customHeight="1">
      <c r="A178" s="1122"/>
      <c r="B178" s="709"/>
      <c r="C178" s="1981"/>
      <c r="D178" s="1083"/>
      <c r="E178" s="1978" t="s">
        <v>229</v>
      </c>
      <c r="F178" s="1020">
        <f>Y178</f>
        <v>2000</v>
      </c>
      <c r="G178" s="678">
        <v>2000</v>
      </c>
      <c r="H178" s="1070"/>
      <c r="I178" s="734"/>
      <c r="J178" s="4052" t="s">
        <v>4348</v>
      </c>
      <c r="K178" s="4052"/>
      <c r="L178" s="4052"/>
      <c r="M178" s="4052"/>
      <c r="N178" s="4052"/>
      <c r="O178" s="4052"/>
      <c r="P178" s="4052"/>
      <c r="Q178" s="729"/>
      <c r="R178" s="1066"/>
      <c r="S178" s="1067"/>
      <c r="T178" s="729"/>
      <c r="U178" s="3228"/>
      <c r="V178" s="730"/>
      <c r="W178" s="729"/>
      <c r="X178" s="729"/>
      <c r="Y178" s="735">
        <f>SUM(Y179:Y180)</f>
        <v>2000</v>
      </c>
      <c r="Z178" s="862">
        <f>SUM(Z179:Z180)</f>
        <v>2000000</v>
      </c>
      <c r="AA178" s="947"/>
      <c r="AB178" s="690"/>
      <c r="AC178" s="1055"/>
      <c r="AD178" s="1055"/>
    </row>
    <row r="179" spans="1:30" s="967" customFormat="1" ht="21.95" customHeight="1">
      <c r="A179" s="1122"/>
      <c r="B179" s="709"/>
      <c r="C179" s="1981"/>
      <c r="D179" s="1083"/>
      <c r="E179" s="1978"/>
      <c r="F179" s="1020"/>
      <c r="G179" s="678"/>
      <c r="H179" s="1070"/>
      <c r="I179" s="734"/>
      <c r="J179" s="4052" t="s">
        <v>4349</v>
      </c>
      <c r="K179" s="4052"/>
      <c r="L179" s="4052"/>
      <c r="M179" s="4052"/>
      <c r="N179" s="4052"/>
      <c r="O179" s="4052"/>
      <c r="P179" s="4052"/>
      <c r="Q179" s="729">
        <v>1</v>
      </c>
      <c r="R179" s="1066" t="s">
        <v>4350</v>
      </c>
      <c r="S179" s="1067">
        <v>100</v>
      </c>
      <c r="T179" s="729" t="s">
        <v>0</v>
      </c>
      <c r="U179" s="3228"/>
      <c r="V179" s="730">
        <v>4000</v>
      </c>
      <c r="W179" s="729" t="s">
        <v>4351</v>
      </c>
      <c r="X179" s="729" t="s">
        <v>151</v>
      </c>
      <c r="Y179" s="735">
        <f>Z179/1000</f>
        <v>400</v>
      </c>
      <c r="Z179" s="872">
        <f>Q179*S179*V179</f>
        <v>400000</v>
      </c>
      <c r="AA179" s="947"/>
      <c r="AB179" s="690"/>
      <c r="AC179" s="1055"/>
      <c r="AD179" s="1055"/>
    </row>
    <row r="180" spans="1:30" s="967" customFormat="1" ht="21.95" customHeight="1">
      <c r="A180" s="1122"/>
      <c r="B180" s="709"/>
      <c r="C180" s="1981"/>
      <c r="D180" s="1083"/>
      <c r="E180" s="1978"/>
      <c r="F180" s="1020"/>
      <c r="G180" s="678"/>
      <c r="H180" s="1070"/>
      <c r="I180" s="734"/>
      <c r="J180" s="4052" t="s">
        <v>4352</v>
      </c>
      <c r="K180" s="4052"/>
      <c r="L180" s="4052"/>
      <c r="M180" s="4052"/>
      <c r="N180" s="4052"/>
      <c r="O180" s="4052"/>
      <c r="P180" s="4052"/>
      <c r="Q180" s="729">
        <v>2</v>
      </c>
      <c r="R180" s="1066" t="s">
        <v>4350</v>
      </c>
      <c r="S180" s="1067">
        <v>800000</v>
      </c>
      <c r="T180" s="729" t="s">
        <v>0</v>
      </c>
      <c r="U180" s="3228"/>
      <c r="V180" s="730">
        <v>1</v>
      </c>
      <c r="W180" s="729" t="s">
        <v>4353</v>
      </c>
      <c r="X180" s="729" t="s">
        <v>151</v>
      </c>
      <c r="Y180" s="735">
        <f>Z180/1000</f>
        <v>1600</v>
      </c>
      <c r="Z180" s="872">
        <f>Q180*S180*V180</f>
        <v>1600000</v>
      </c>
      <c r="AA180" s="947"/>
      <c r="AB180" s="690"/>
      <c r="AC180" s="1055"/>
      <c r="AD180" s="1055"/>
    </row>
    <row r="181" spans="1:30" s="967" customFormat="1" ht="21.95" customHeight="1">
      <c r="A181" s="791"/>
      <c r="B181" s="675"/>
      <c r="C181" s="1981"/>
      <c r="D181" s="1083"/>
      <c r="E181" s="1978" t="s">
        <v>264</v>
      </c>
      <c r="F181" s="1020">
        <f>Y181</f>
        <v>10450</v>
      </c>
      <c r="G181" s="678">
        <v>10450</v>
      </c>
      <c r="H181" s="643"/>
      <c r="I181" s="734"/>
      <c r="J181" s="4052" t="s">
        <v>4354</v>
      </c>
      <c r="K181" s="4052"/>
      <c r="L181" s="4052"/>
      <c r="M181" s="4052"/>
      <c r="N181" s="4052"/>
      <c r="O181" s="4052"/>
      <c r="P181" s="4052"/>
      <c r="Q181" s="729">
        <v>10</v>
      </c>
      <c r="R181" s="1066" t="s">
        <v>4350</v>
      </c>
      <c r="S181" s="1067">
        <v>1045000</v>
      </c>
      <c r="T181" s="729" t="s">
        <v>0</v>
      </c>
      <c r="U181" s="3228"/>
      <c r="V181" s="730">
        <v>1</v>
      </c>
      <c r="W181" s="729" t="s">
        <v>4353</v>
      </c>
      <c r="X181" s="729" t="s">
        <v>151</v>
      </c>
      <c r="Y181" s="735">
        <f>Z181/1000</f>
        <v>10450</v>
      </c>
      <c r="Z181" s="872">
        <f>Q181*S181*V181</f>
        <v>10450000</v>
      </c>
      <c r="AA181" s="947"/>
      <c r="AB181" s="690"/>
      <c r="AC181" s="1055"/>
      <c r="AD181" s="1055"/>
    </row>
    <row r="182" spans="1:30" s="967" customFormat="1" ht="21.95" customHeight="1">
      <c r="A182" s="791"/>
      <c r="B182" s="675"/>
      <c r="C182" s="1981"/>
      <c r="D182" s="1083"/>
      <c r="E182" s="1978" t="s">
        <v>225</v>
      </c>
      <c r="F182" s="1020">
        <f>+Y182</f>
        <v>300</v>
      </c>
      <c r="G182" s="678">
        <v>300</v>
      </c>
      <c r="H182" s="1070"/>
      <c r="I182" s="734"/>
      <c r="J182" s="4052" t="s">
        <v>4355</v>
      </c>
      <c r="K182" s="4052"/>
      <c r="L182" s="4052"/>
      <c r="M182" s="4052"/>
      <c r="N182" s="4052"/>
      <c r="O182" s="4052"/>
      <c r="P182" s="4052"/>
      <c r="Q182" s="729">
        <v>4</v>
      </c>
      <c r="R182" s="1066" t="s">
        <v>25</v>
      </c>
      <c r="S182" s="1067">
        <v>25000</v>
      </c>
      <c r="T182" s="729" t="s">
        <v>0</v>
      </c>
      <c r="U182" s="3228"/>
      <c r="V182" s="730">
        <v>3</v>
      </c>
      <c r="W182" s="729" t="s">
        <v>3</v>
      </c>
      <c r="X182" s="729" t="s">
        <v>4356</v>
      </c>
      <c r="Y182" s="735">
        <f t="shared" ref="Y182" si="24">Z182/1000</f>
        <v>300</v>
      </c>
      <c r="Z182" s="872">
        <f>Q182*S182*V182</f>
        <v>300000</v>
      </c>
      <c r="AA182" s="947"/>
      <c r="AB182" s="690"/>
      <c r="AC182" s="1055"/>
      <c r="AD182" s="1055"/>
    </row>
    <row r="183" spans="1:30" s="967" customFormat="1" ht="21.95" customHeight="1">
      <c r="A183" s="791"/>
      <c r="B183" s="675"/>
      <c r="C183" s="1981"/>
      <c r="D183" s="1083"/>
      <c r="E183" s="1978" t="s">
        <v>380</v>
      </c>
      <c r="F183" s="1020">
        <f>+Y183</f>
        <v>23000</v>
      </c>
      <c r="G183" s="678">
        <v>23000</v>
      </c>
      <c r="H183" s="643"/>
      <c r="I183" s="734"/>
      <c r="J183" s="4052" t="s">
        <v>4348</v>
      </c>
      <c r="K183" s="4052"/>
      <c r="L183" s="4052"/>
      <c r="M183" s="4052"/>
      <c r="N183" s="4052"/>
      <c r="O183" s="4052"/>
      <c r="P183" s="4052"/>
      <c r="Q183" s="729"/>
      <c r="R183" s="1066"/>
      <c r="S183" s="1067"/>
      <c r="T183" s="729"/>
      <c r="U183" s="3228"/>
      <c r="V183" s="730"/>
      <c r="W183" s="729"/>
      <c r="X183" s="729"/>
      <c r="Y183" s="735">
        <f>SUM(Y184:Y185)</f>
        <v>23000</v>
      </c>
      <c r="Z183" s="872">
        <f>SUM(Z184:Z185)</f>
        <v>23000000</v>
      </c>
      <c r="AA183" s="947"/>
      <c r="AB183" s="690"/>
      <c r="AC183" s="1055"/>
      <c r="AD183" s="1055"/>
    </row>
    <row r="184" spans="1:30" s="967" customFormat="1" ht="21.95" customHeight="1">
      <c r="A184" s="791"/>
      <c r="B184" s="675"/>
      <c r="C184" s="1981"/>
      <c r="D184" s="1083"/>
      <c r="E184" s="1978"/>
      <c r="F184" s="1020"/>
      <c r="G184" s="678"/>
      <c r="H184" s="1070"/>
      <c r="I184" s="734"/>
      <c r="J184" s="4052" t="s">
        <v>4357</v>
      </c>
      <c r="K184" s="4052"/>
      <c r="L184" s="4052"/>
      <c r="M184" s="4052"/>
      <c r="N184" s="4052"/>
      <c r="O184" s="4052"/>
      <c r="P184" s="4052"/>
      <c r="Q184" s="729">
        <v>5</v>
      </c>
      <c r="R184" s="1066" t="s">
        <v>4358</v>
      </c>
      <c r="S184" s="1067">
        <v>100000</v>
      </c>
      <c r="T184" s="729" t="s">
        <v>0</v>
      </c>
      <c r="U184" s="3228"/>
      <c r="V184" s="730">
        <v>22</v>
      </c>
      <c r="W184" s="729" t="s">
        <v>3</v>
      </c>
      <c r="X184" s="729" t="s">
        <v>151</v>
      </c>
      <c r="Y184" s="735">
        <f>Z184/1000</f>
        <v>11000</v>
      </c>
      <c r="Z184" s="872">
        <f>Q184*S184*V184</f>
        <v>11000000</v>
      </c>
      <c r="AA184" s="947"/>
      <c r="AB184" s="690"/>
      <c r="AC184" s="1055"/>
      <c r="AD184" s="1055"/>
    </row>
    <row r="185" spans="1:30" s="967" customFormat="1" ht="21.95" customHeight="1">
      <c r="A185" s="791"/>
      <c r="B185" s="675"/>
      <c r="C185" s="1981"/>
      <c r="D185" s="1083"/>
      <c r="E185" s="1978"/>
      <c r="F185" s="1020"/>
      <c r="G185" s="678"/>
      <c r="H185" s="1070"/>
      <c r="I185" s="734"/>
      <c r="J185" s="4052" t="s">
        <v>4359</v>
      </c>
      <c r="K185" s="4052"/>
      <c r="L185" s="4052"/>
      <c r="M185" s="4052"/>
      <c r="N185" s="4052"/>
      <c r="O185" s="4052"/>
      <c r="P185" s="4052"/>
      <c r="Q185" s="729">
        <v>10</v>
      </c>
      <c r="R185" s="1066" t="s">
        <v>4358</v>
      </c>
      <c r="S185" s="1067">
        <v>60000</v>
      </c>
      <c r="T185" s="729" t="s">
        <v>0</v>
      </c>
      <c r="U185" s="3228"/>
      <c r="V185" s="730">
        <v>20</v>
      </c>
      <c r="W185" s="729" t="s">
        <v>3</v>
      </c>
      <c r="X185" s="729" t="s">
        <v>151</v>
      </c>
      <c r="Y185" s="735">
        <f>Z185/1000</f>
        <v>12000</v>
      </c>
      <c r="Z185" s="872">
        <f>Q185*S185*V185</f>
        <v>12000000</v>
      </c>
      <c r="AA185" s="947"/>
      <c r="AB185" s="690"/>
      <c r="AC185" s="1055"/>
      <c r="AD185" s="1055"/>
    </row>
    <row r="186" spans="1:30" s="967" customFormat="1" ht="21.95" customHeight="1">
      <c r="A186" s="791"/>
      <c r="B186" s="675"/>
      <c r="C186" s="1981"/>
      <c r="D186" s="1083"/>
      <c r="E186" s="1978" t="s">
        <v>431</v>
      </c>
      <c r="F186" s="1020">
        <f>+Y186</f>
        <v>2550</v>
      </c>
      <c r="G186" s="678">
        <v>2550</v>
      </c>
      <c r="H186" s="643"/>
      <c r="I186" s="734"/>
      <c r="J186" s="4052" t="s">
        <v>4360</v>
      </c>
      <c r="K186" s="4052"/>
      <c r="L186" s="4052"/>
      <c r="M186" s="4052"/>
      <c r="N186" s="4052"/>
      <c r="O186" s="4052"/>
      <c r="P186" s="4052"/>
      <c r="Q186" s="729">
        <v>2</v>
      </c>
      <c r="R186" s="1066" t="s">
        <v>4350</v>
      </c>
      <c r="S186" s="1067">
        <v>1275000</v>
      </c>
      <c r="T186" s="729" t="s">
        <v>4361</v>
      </c>
      <c r="U186" s="683"/>
      <c r="V186" s="730">
        <v>1</v>
      </c>
      <c r="W186" s="729" t="s">
        <v>4353</v>
      </c>
      <c r="X186" s="729" t="s">
        <v>151</v>
      </c>
      <c r="Y186" s="735">
        <f>Z186/1000</f>
        <v>2550</v>
      </c>
      <c r="Z186" s="872">
        <f>Q186*S186*V186</f>
        <v>2550000</v>
      </c>
      <c r="AA186" s="947"/>
      <c r="AB186" s="690"/>
      <c r="AC186" s="1055"/>
      <c r="AD186" s="1055"/>
    </row>
    <row r="187" spans="1:30" s="967" customFormat="1" ht="21.95" customHeight="1">
      <c r="A187" s="791"/>
      <c r="B187" s="675"/>
      <c r="C187" s="1981"/>
      <c r="D187" s="1083"/>
      <c r="E187" s="1978" t="s">
        <v>451</v>
      </c>
      <c r="F187" s="1020">
        <f>+Y187</f>
        <v>966</v>
      </c>
      <c r="G187" s="678">
        <v>966</v>
      </c>
      <c r="H187" s="643"/>
      <c r="I187" s="734"/>
      <c r="J187" s="4052" t="s">
        <v>4362</v>
      </c>
      <c r="K187" s="4052"/>
      <c r="L187" s="4052"/>
      <c r="M187" s="4052"/>
      <c r="N187" s="4052"/>
      <c r="O187" s="4052"/>
      <c r="P187" s="4052"/>
      <c r="Q187" s="729">
        <v>2</v>
      </c>
      <c r="R187" s="1066" t="s">
        <v>4350</v>
      </c>
      <c r="S187" s="1067">
        <v>483000</v>
      </c>
      <c r="T187" s="729" t="s">
        <v>4361</v>
      </c>
      <c r="U187" s="683"/>
      <c r="V187" s="730">
        <v>1</v>
      </c>
      <c r="W187" s="729" t="s">
        <v>4353</v>
      </c>
      <c r="X187" s="729" t="s">
        <v>151</v>
      </c>
      <c r="Y187" s="735">
        <f>Z187/1000</f>
        <v>966</v>
      </c>
      <c r="Z187" s="872">
        <f>Q187*S187*V187</f>
        <v>966000</v>
      </c>
      <c r="AA187" s="947"/>
      <c r="AB187" s="690"/>
      <c r="AC187" s="1055"/>
      <c r="AD187" s="1055"/>
    </row>
    <row r="188" spans="1:30" s="967" customFormat="1" ht="21.95" customHeight="1">
      <c r="A188" s="791"/>
      <c r="B188" s="675"/>
      <c r="C188" s="1981"/>
      <c r="D188" s="1083"/>
      <c r="E188" s="1978" t="s">
        <v>384</v>
      </c>
      <c r="F188" s="1020">
        <f>Y188</f>
        <v>734</v>
      </c>
      <c r="G188" s="678">
        <v>734</v>
      </c>
      <c r="H188" s="643"/>
      <c r="I188" s="734"/>
      <c r="J188" s="4055" t="s">
        <v>4363</v>
      </c>
      <c r="K188" s="4056"/>
      <c r="L188" s="4056"/>
      <c r="M188" s="4056"/>
      <c r="N188" s="4056"/>
      <c r="O188" s="4056"/>
      <c r="P188" s="4056"/>
      <c r="Q188" s="3230">
        <v>10</v>
      </c>
      <c r="R188" s="1091" t="s">
        <v>4364</v>
      </c>
      <c r="S188" s="1092">
        <v>36700</v>
      </c>
      <c r="T188" s="3230" t="s">
        <v>0</v>
      </c>
      <c r="U188" s="1093"/>
      <c r="V188" s="1094">
        <v>2</v>
      </c>
      <c r="W188" s="3230" t="s">
        <v>4365</v>
      </c>
      <c r="X188" s="3230" t="s">
        <v>151</v>
      </c>
      <c r="Y188" s="1187">
        <f>Z188/1000</f>
        <v>734</v>
      </c>
      <c r="Z188" s="982">
        <f>Q188*S188*V188</f>
        <v>734000</v>
      </c>
      <c r="AA188" s="947"/>
      <c r="AB188" s="690"/>
      <c r="AC188" s="1055"/>
      <c r="AD188" s="1055"/>
    </row>
    <row r="189" spans="1:30" s="967" customFormat="1" ht="21.95" customHeight="1">
      <c r="A189" s="791"/>
      <c r="B189" s="675"/>
      <c r="C189" s="3417"/>
      <c r="D189" s="3407" t="s">
        <v>5480</v>
      </c>
      <c r="E189" s="3408"/>
      <c r="F189" s="1077">
        <f>SUM(F190:F205)</f>
        <v>10000</v>
      </c>
      <c r="G189" s="1077">
        <f>SUM(G190:G205)</f>
        <v>0</v>
      </c>
      <c r="H189" s="1059">
        <f>F189-G189</f>
        <v>10000</v>
      </c>
      <c r="I189" s="734"/>
      <c r="J189" s="1762"/>
      <c r="K189" s="1763"/>
      <c r="L189" s="1763"/>
      <c r="M189" s="1763"/>
      <c r="N189" s="1763"/>
      <c r="O189" s="1763"/>
      <c r="P189" s="1763"/>
      <c r="Q189" s="1060"/>
      <c r="R189" s="1061"/>
      <c r="S189" s="1084"/>
      <c r="T189" s="3410"/>
      <c r="U189" s="3410"/>
      <c r="V189" s="1063"/>
      <c r="W189" s="3410"/>
      <c r="X189" s="3410"/>
      <c r="Y189" s="1064"/>
      <c r="Z189" s="940">
        <f>SUM(Z205:Z205)</f>
        <v>120000</v>
      </c>
      <c r="AA189" s="947"/>
      <c r="AB189" s="690"/>
      <c r="AC189" s="1055"/>
      <c r="AD189" s="1055"/>
    </row>
    <row r="190" spans="1:30" s="967" customFormat="1" ht="21.95" customHeight="1">
      <c r="A190" s="791"/>
      <c r="B190" s="675"/>
      <c r="C190" s="3460"/>
      <c r="D190" s="1083"/>
      <c r="E190" s="3459" t="s">
        <v>229</v>
      </c>
      <c r="F190" s="1020">
        <f>Y190</f>
        <v>1200</v>
      </c>
      <c r="G190" s="678">
        <v>0</v>
      </c>
      <c r="H190" s="643">
        <f t="shared" ref="H190:H205" si="25">F190-G190</f>
        <v>1200</v>
      </c>
      <c r="I190" s="734"/>
      <c r="J190" s="4052" t="s">
        <v>224</v>
      </c>
      <c r="K190" s="4052"/>
      <c r="L190" s="4052"/>
      <c r="M190" s="4052"/>
      <c r="N190" s="4052"/>
      <c r="O190" s="4052"/>
      <c r="P190" s="4052"/>
      <c r="Q190" s="729"/>
      <c r="R190" s="1066"/>
      <c r="S190" s="1067"/>
      <c r="T190" s="729"/>
      <c r="U190" s="3454"/>
      <c r="V190" s="730"/>
      <c r="W190" s="729"/>
      <c r="X190" s="729"/>
      <c r="Y190" s="735">
        <f>SUM(Y191:Y192)</f>
        <v>1200</v>
      </c>
      <c r="Z190" s="862">
        <f>SUM(Z191:Z192)</f>
        <v>1200000</v>
      </c>
      <c r="AA190" s="947"/>
      <c r="AB190" s="690"/>
      <c r="AC190" s="1055"/>
      <c r="AD190" s="1055"/>
    </row>
    <row r="191" spans="1:30" s="967" customFormat="1" ht="21.95" customHeight="1">
      <c r="A191" s="791"/>
      <c r="B191" s="675"/>
      <c r="C191" s="3460"/>
      <c r="D191" s="1083"/>
      <c r="E191" s="3459"/>
      <c r="F191" s="1020"/>
      <c r="G191" s="678"/>
      <c r="H191" s="643"/>
      <c r="I191" s="734"/>
      <c r="J191" s="4052" t="s">
        <v>5481</v>
      </c>
      <c r="K191" s="4052"/>
      <c r="L191" s="4052"/>
      <c r="M191" s="4052"/>
      <c r="N191" s="4052"/>
      <c r="O191" s="4052"/>
      <c r="P191" s="4052"/>
      <c r="Q191" s="729"/>
      <c r="R191" s="1066"/>
      <c r="S191" s="1067">
        <v>700000</v>
      </c>
      <c r="T191" s="729" t="s">
        <v>0</v>
      </c>
      <c r="U191" s="3454"/>
      <c r="V191" s="730">
        <v>1</v>
      </c>
      <c r="W191" s="729" t="s">
        <v>226</v>
      </c>
      <c r="X191" s="729" t="s">
        <v>151</v>
      </c>
      <c r="Y191" s="735">
        <f>Z191/1000</f>
        <v>700</v>
      </c>
      <c r="Z191" s="872">
        <f t="shared" ref="Z191:Z192" si="26">S191*V191</f>
        <v>700000</v>
      </c>
      <c r="AA191" s="947"/>
      <c r="AB191" s="690"/>
      <c r="AC191" s="1055"/>
      <c r="AD191" s="1055"/>
    </row>
    <row r="192" spans="1:30" s="967" customFormat="1" ht="21.95" customHeight="1">
      <c r="A192" s="791"/>
      <c r="B192" s="675"/>
      <c r="C192" s="3460"/>
      <c r="D192" s="1083"/>
      <c r="E192" s="3459"/>
      <c r="F192" s="1020"/>
      <c r="G192" s="678"/>
      <c r="H192" s="643"/>
      <c r="I192" s="734"/>
      <c r="J192" s="4052" t="s">
        <v>5482</v>
      </c>
      <c r="K192" s="4052"/>
      <c r="L192" s="4052"/>
      <c r="M192" s="4052"/>
      <c r="N192" s="4052"/>
      <c r="O192" s="4052"/>
      <c r="P192" s="4052"/>
      <c r="Q192" s="729"/>
      <c r="R192" s="1066"/>
      <c r="S192" s="1067">
        <v>500000</v>
      </c>
      <c r="T192" s="729" t="s">
        <v>0</v>
      </c>
      <c r="U192" s="3454"/>
      <c r="V192" s="730">
        <v>1</v>
      </c>
      <c r="W192" s="729" t="s">
        <v>226</v>
      </c>
      <c r="X192" s="729" t="s">
        <v>151</v>
      </c>
      <c r="Y192" s="735">
        <f>Z192/1000</f>
        <v>500</v>
      </c>
      <c r="Z192" s="872">
        <f t="shared" si="26"/>
        <v>500000</v>
      </c>
      <c r="AA192" s="947"/>
      <c r="AB192" s="690"/>
      <c r="AC192" s="1055"/>
      <c r="AD192" s="1055"/>
    </row>
    <row r="193" spans="1:30" s="967" customFormat="1" ht="21.95" customHeight="1">
      <c r="A193" s="791"/>
      <c r="B193" s="675"/>
      <c r="C193" s="3460"/>
      <c r="D193" s="1083"/>
      <c r="E193" s="3459" t="s">
        <v>15</v>
      </c>
      <c r="F193" s="1020">
        <f>Y193</f>
        <v>6140</v>
      </c>
      <c r="G193" s="678">
        <v>0</v>
      </c>
      <c r="H193" s="643">
        <f t="shared" si="25"/>
        <v>6140</v>
      </c>
      <c r="I193" s="734"/>
      <c r="J193" s="4052" t="s">
        <v>224</v>
      </c>
      <c r="K193" s="4052"/>
      <c r="L193" s="4052"/>
      <c r="M193" s="4052"/>
      <c r="N193" s="4052"/>
      <c r="O193" s="4052"/>
      <c r="P193" s="4052"/>
      <c r="Q193" s="729"/>
      <c r="R193" s="1066"/>
      <c r="S193" s="1067"/>
      <c r="T193" s="729"/>
      <c r="U193" s="3454"/>
      <c r="V193" s="730"/>
      <c r="W193" s="729"/>
      <c r="X193" s="729"/>
      <c r="Y193" s="735">
        <f>SUM(Y194:Y197)</f>
        <v>6140</v>
      </c>
      <c r="Z193" s="872">
        <f>SUM(Z194:Z197)</f>
        <v>6140000</v>
      </c>
      <c r="AA193" s="947"/>
      <c r="AB193" s="690"/>
      <c r="AC193" s="1055"/>
      <c r="AD193" s="1055"/>
    </row>
    <row r="194" spans="1:30" s="967" customFormat="1" ht="21.95" customHeight="1">
      <c r="A194" s="791"/>
      <c r="B194" s="675"/>
      <c r="C194" s="3460"/>
      <c r="D194" s="1083"/>
      <c r="E194" s="3459"/>
      <c r="F194" s="1020"/>
      <c r="G194" s="678"/>
      <c r="H194" s="643"/>
      <c r="I194" s="734"/>
      <c r="J194" s="4052" t="s">
        <v>5483</v>
      </c>
      <c r="K194" s="4052"/>
      <c r="L194" s="4052"/>
      <c r="M194" s="4052"/>
      <c r="N194" s="4052"/>
      <c r="O194" s="4052"/>
      <c r="P194" s="4052"/>
      <c r="Q194" s="729">
        <v>3</v>
      </c>
      <c r="R194" s="1066" t="s">
        <v>5486</v>
      </c>
      <c r="S194" s="1067">
        <v>70000</v>
      </c>
      <c r="T194" s="729" t="s">
        <v>0</v>
      </c>
      <c r="U194" s="3454"/>
      <c r="V194" s="730">
        <v>4</v>
      </c>
      <c r="W194" s="729" t="s">
        <v>3</v>
      </c>
      <c r="X194" s="729" t="s">
        <v>151</v>
      </c>
      <c r="Y194" s="735">
        <f>Z194/1000</f>
        <v>840</v>
      </c>
      <c r="Z194" s="872">
        <f>Q194*S194*V194</f>
        <v>840000</v>
      </c>
      <c r="AA194" s="947"/>
      <c r="AB194" s="690"/>
      <c r="AC194" s="1055"/>
      <c r="AD194" s="1055"/>
    </row>
    <row r="195" spans="1:30" s="967" customFormat="1" ht="21.95" customHeight="1">
      <c r="A195" s="791"/>
      <c r="B195" s="675"/>
      <c r="C195" s="3460"/>
      <c r="D195" s="1083"/>
      <c r="E195" s="3459"/>
      <c r="F195" s="1020"/>
      <c r="G195" s="678"/>
      <c r="H195" s="643"/>
      <c r="I195" s="734"/>
      <c r="J195" s="4052" t="s">
        <v>5484</v>
      </c>
      <c r="K195" s="4052"/>
      <c r="L195" s="4052"/>
      <c r="M195" s="4052"/>
      <c r="N195" s="4052"/>
      <c r="O195" s="4052"/>
      <c r="P195" s="4052"/>
      <c r="Q195" s="729">
        <v>3</v>
      </c>
      <c r="R195" s="1066" t="s">
        <v>5486</v>
      </c>
      <c r="S195" s="1067">
        <v>700000</v>
      </c>
      <c r="T195" s="729" t="s">
        <v>0</v>
      </c>
      <c r="U195" s="3454"/>
      <c r="V195" s="730">
        <v>1</v>
      </c>
      <c r="W195" s="729" t="s">
        <v>3</v>
      </c>
      <c r="X195" s="729" t="s">
        <v>151</v>
      </c>
      <c r="Y195" s="735">
        <f>Z195/1000</f>
        <v>2100</v>
      </c>
      <c r="Z195" s="872">
        <f>Q195*S195*V195</f>
        <v>2100000</v>
      </c>
      <c r="AA195" s="947"/>
      <c r="AB195" s="690"/>
      <c r="AC195" s="1055"/>
      <c r="AD195" s="1055"/>
    </row>
    <row r="196" spans="1:30" s="967" customFormat="1" ht="21.95" customHeight="1">
      <c r="A196" s="791"/>
      <c r="B196" s="675"/>
      <c r="C196" s="3460"/>
      <c r="D196" s="1083"/>
      <c r="E196" s="3459"/>
      <c r="F196" s="1020"/>
      <c r="G196" s="678"/>
      <c r="H196" s="643"/>
      <c r="I196" s="734"/>
      <c r="J196" s="4052" t="s">
        <v>5485</v>
      </c>
      <c r="K196" s="4052"/>
      <c r="L196" s="4052"/>
      <c r="M196" s="4052"/>
      <c r="N196" s="4052"/>
      <c r="O196" s="4052"/>
      <c r="P196" s="4052"/>
      <c r="Q196" s="729">
        <v>3</v>
      </c>
      <c r="R196" s="1066" t="s">
        <v>5486</v>
      </c>
      <c r="S196" s="1067">
        <v>500000</v>
      </c>
      <c r="T196" s="729" t="s">
        <v>0</v>
      </c>
      <c r="U196" s="3454"/>
      <c r="V196" s="730">
        <v>2</v>
      </c>
      <c r="W196" s="729" t="s">
        <v>3</v>
      </c>
      <c r="X196" s="729" t="s">
        <v>151</v>
      </c>
      <c r="Y196" s="735">
        <f t="shared" ref="Y196:Y197" si="27">Z196/1000</f>
        <v>3000</v>
      </c>
      <c r="Z196" s="872">
        <f t="shared" ref="Z196" si="28">Q196*S196*V196</f>
        <v>3000000</v>
      </c>
      <c r="AA196" s="947"/>
      <c r="AB196" s="690"/>
      <c r="AC196" s="1055"/>
      <c r="AD196" s="1055"/>
    </row>
    <row r="197" spans="1:30" s="967" customFormat="1" ht="21.95" customHeight="1">
      <c r="A197" s="791"/>
      <c r="B197" s="675"/>
      <c r="C197" s="3460"/>
      <c r="D197" s="1083"/>
      <c r="E197" s="3459"/>
      <c r="F197" s="1020"/>
      <c r="G197" s="678"/>
      <c r="H197" s="643"/>
      <c r="I197" s="734"/>
      <c r="J197" s="4052" t="s">
        <v>5487</v>
      </c>
      <c r="K197" s="4052"/>
      <c r="L197" s="4052"/>
      <c r="M197" s="4052"/>
      <c r="N197" s="4052"/>
      <c r="O197" s="4052"/>
      <c r="P197" s="4052"/>
      <c r="Q197" s="729"/>
      <c r="R197" s="1066"/>
      <c r="S197" s="1067">
        <v>200000</v>
      </c>
      <c r="T197" s="729" t="s">
        <v>0</v>
      </c>
      <c r="U197" s="3454"/>
      <c r="V197" s="729">
        <v>1</v>
      </c>
      <c r="W197" s="1066" t="s">
        <v>545</v>
      </c>
      <c r="X197" s="729" t="s">
        <v>151</v>
      </c>
      <c r="Y197" s="735">
        <f t="shared" si="27"/>
        <v>200</v>
      </c>
      <c r="Z197" s="872">
        <f t="shared" ref="Z197" si="29">S197*V197</f>
        <v>200000</v>
      </c>
      <c r="AA197" s="947"/>
      <c r="AB197" s="690"/>
      <c r="AC197" s="1055"/>
      <c r="AD197" s="1055"/>
    </row>
    <row r="198" spans="1:30" s="967" customFormat="1" ht="21.95" customHeight="1">
      <c r="A198" s="791"/>
      <c r="B198" s="675"/>
      <c r="C198" s="3460"/>
      <c r="D198" s="1083"/>
      <c r="E198" s="3459" t="s">
        <v>5488</v>
      </c>
      <c r="F198" s="1020">
        <f>Y198</f>
        <v>1640</v>
      </c>
      <c r="G198" s="678">
        <v>0</v>
      </c>
      <c r="H198" s="643">
        <f t="shared" si="25"/>
        <v>1640</v>
      </c>
      <c r="I198" s="734"/>
      <c r="J198" s="4052" t="s">
        <v>224</v>
      </c>
      <c r="K198" s="4052"/>
      <c r="L198" s="4052"/>
      <c r="M198" s="4052"/>
      <c r="N198" s="4052"/>
      <c r="O198" s="4052"/>
      <c r="P198" s="4052"/>
      <c r="Q198" s="729"/>
      <c r="R198" s="1066"/>
      <c r="S198" s="1067"/>
      <c r="T198" s="729"/>
      <c r="U198" s="3454"/>
      <c r="V198" s="730"/>
      <c r="W198" s="729"/>
      <c r="X198" s="729"/>
      <c r="Y198" s="735">
        <f>SUM(Y199:Y200)</f>
        <v>1640</v>
      </c>
      <c r="Z198" s="872">
        <f>SUM(Z199:Z200)</f>
        <v>1640000</v>
      </c>
      <c r="AA198" s="947"/>
      <c r="AB198" s="690"/>
      <c r="AC198" s="1055"/>
      <c r="AD198" s="1055"/>
    </row>
    <row r="199" spans="1:30" s="967" customFormat="1" ht="21.95" customHeight="1">
      <c r="A199" s="791"/>
      <c r="B199" s="675"/>
      <c r="C199" s="3460"/>
      <c r="D199" s="1083"/>
      <c r="E199" s="3459"/>
      <c r="F199" s="1020"/>
      <c r="G199" s="678"/>
      <c r="H199" s="643"/>
      <c r="I199" s="734"/>
      <c r="J199" s="4052" t="s">
        <v>5489</v>
      </c>
      <c r="K199" s="4052"/>
      <c r="L199" s="4052"/>
      <c r="M199" s="4052"/>
      <c r="N199" s="4052"/>
      <c r="O199" s="4052"/>
      <c r="P199" s="4052"/>
      <c r="Q199" s="729"/>
      <c r="R199" s="1066"/>
      <c r="S199" s="1067">
        <v>172500</v>
      </c>
      <c r="T199" s="729" t="s">
        <v>0</v>
      </c>
      <c r="U199" s="3454"/>
      <c r="V199" s="730">
        <v>4</v>
      </c>
      <c r="W199" s="729" t="s">
        <v>39</v>
      </c>
      <c r="X199" s="729" t="s">
        <v>151</v>
      </c>
      <c r="Y199" s="735">
        <f>Z199/1000</f>
        <v>690</v>
      </c>
      <c r="Z199" s="872">
        <f t="shared" ref="Z199:Z200" si="30">S199*V199</f>
        <v>690000</v>
      </c>
      <c r="AA199" s="947"/>
      <c r="AB199" s="690"/>
      <c r="AC199" s="1055"/>
      <c r="AD199" s="1055"/>
    </row>
    <row r="200" spans="1:30" s="967" customFormat="1" ht="21.95" customHeight="1">
      <c r="A200" s="791"/>
      <c r="B200" s="675"/>
      <c r="C200" s="3460"/>
      <c r="D200" s="1083"/>
      <c r="E200" s="3459"/>
      <c r="F200" s="1020"/>
      <c r="G200" s="678"/>
      <c r="H200" s="643"/>
      <c r="I200" s="734"/>
      <c r="J200" s="4052" t="s">
        <v>5490</v>
      </c>
      <c r="K200" s="4052"/>
      <c r="L200" s="4052"/>
      <c r="M200" s="4052"/>
      <c r="N200" s="4052"/>
      <c r="O200" s="4052"/>
      <c r="P200" s="4052"/>
      <c r="Q200" s="729"/>
      <c r="R200" s="1066"/>
      <c r="S200" s="1067">
        <v>475000</v>
      </c>
      <c r="T200" s="729" t="s">
        <v>0</v>
      </c>
      <c r="U200" s="3454"/>
      <c r="V200" s="730">
        <v>2</v>
      </c>
      <c r="W200" s="729" t="s">
        <v>50</v>
      </c>
      <c r="X200" s="729" t="s">
        <v>151</v>
      </c>
      <c r="Y200" s="735">
        <f>Z200/1000</f>
        <v>950</v>
      </c>
      <c r="Z200" s="872">
        <f t="shared" si="30"/>
        <v>950000</v>
      </c>
      <c r="AA200" s="947"/>
      <c r="AB200" s="690"/>
      <c r="AC200" s="1055"/>
      <c r="AD200" s="1055"/>
    </row>
    <row r="201" spans="1:30" s="967" customFormat="1" ht="21.95" customHeight="1">
      <c r="A201" s="791"/>
      <c r="B201" s="675"/>
      <c r="C201" s="3460"/>
      <c r="D201" s="1083"/>
      <c r="E201" s="3459" t="s">
        <v>5491</v>
      </c>
      <c r="F201" s="1020">
        <f>Y201</f>
        <v>900</v>
      </c>
      <c r="G201" s="678">
        <v>0</v>
      </c>
      <c r="H201" s="643">
        <f t="shared" si="25"/>
        <v>900</v>
      </c>
      <c r="I201" s="734"/>
      <c r="J201" s="4052" t="s">
        <v>224</v>
      </c>
      <c r="K201" s="4052"/>
      <c r="L201" s="4052"/>
      <c r="M201" s="4052"/>
      <c r="N201" s="4052"/>
      <c r="O201" s="4052"/>
      <c r="P201" s="4052"/>
      <c r="Q201" s="729"/>
      <c r="R201" s="1066"/>
      <c r="S201" s="1067"/>
      <c r="T201" s="729"/>
      <c r="U201" s="3454"/>
      <c r="V201" s="730"/>
      <c r="W201" s="729"/>
      <c r="X201" s="729"/>
      <c r="Y201" s="735">
        <f>SUM(Y202:Y204)</f>
        <v>900</v>
      </c>
      <c r="Z201" s="872">
        <f>SUM(Z202:Z204)</f>
        <v>900000</v>
      </c>
      <c r="AA201" s="947"/>
      <c r="AB201" s="690"/>
      <c r="AC201" s="1055"/>
      <c r="AD201" s="1055"/>
    </row>
    <row r="202" spans="1:30" s="967" customFormat="1" ht="21.95" customHeight="1">
      <c r="A202" s="791"/>
      <c r="B202" s="675"/>
      <c r="C202" s="3460"/>
      <c r="D202" s="1083"/>
      <c r="E202" s="3459"/>
      <c r="F202" s="1020"/>
      <c r="G202" s="678"/>
      <c r="H202" s="643"/>
      <c r="I202" s="734"/>
      <c r="J202" s="4052" t="s">
        <v>5492</v>
      </c>
      <c r="K202" s="4052"/>
      <c r="L202" s="4052"/>
      <c r="M202" s="4052"/>
      <c r="N202" s="4052"/>
      <c r="O202" s="4052"/>
      <c r="P202" s="4052"/>
      <c r="Q202" s="729">
        <v>3</v>
      </c>
      <c r="R202" s="1066" t="s">
        <v>5486</v>
      </c>
      <c r="S202" s="1067">
        <v>16000</v>
      </c>
      <c r="T202" s="729" t="s">
        <v>0</v>
      </c>
      <c r="U202" s="3454"/>
      <c r="V202" s="730">
        <v>10</v>
      </c>
      <c r="W202" s="729" t="s">
        <v>3</v>
      </c>
      <c r="X202" s="729" t="s">
        <v>151</v>
      </c>
      <c r="Y202" s="735">
        <f>Z202/1000</f>
        <v>480</v>
      </c>
      <c r="Z202" s="872">
        <f>Q202*S202*V202</f>
        <v>480000</v>
      </c>
      <c r="AA202" s="947"/>
      <c r="AB202" s="690"/>
      <c r="AC202" s="1055"/>
      <c r="AD202" s="1055"/>
    </row>
    <row r="203" spans="1:30" s="967" customFormat="1" ht="21.95" customHeight="1">
      <c r="A203" s="791"/>
      <c r="B203" s="675"/>
      <c r="C203" s="3460"/>
      <c r="D203" s="1083"/>
      <c r="E203" s="3459"/>
      <c r="F203" s="1020"/>
      <c r="G203" s="678"/>
      <c r="H203" s="643"/>
      <c r="I203" s="734"/>
      <c r="J203" s="4052" t="s">
        <v>5493</v>
      </c>
      <c r="K203" s="4052"/>
      <c r="L203" s="4052"/>
      <c r="M203" s="4052"/>
      <c r="N203" s="4052"/>
      <c r="O203" s="4052"/>
      <c r="P203" s="4052"/>
      <c r="Q203" s="729"/>
      <c r="R203" s="1066"/>
      <c r="S203" s="1067">
        <v>120000</v>
      </c>
      <c r="T203" s="729" t="s">
        <v>0</v>
      </c>
      <c r="U203" s="3454"/>
      <c r="V203" s="730">
        <v>1</v>
      </c>
      <c r="W203" s="729" t="s">
        <v>226</v>
      </c>
      <c r="X203" s="729" t="s">
        <v>151</v>
      </c>
      <c r="Y203" s="735">
        <f>Z203/1000</f>
        <v>120</v>
      </c>
      <c r="Z203" s="872">
        <f t="shared" ref="Z203:Z204" si="31">S203*V203</f>
        <v>120000</v>
      </c>
      <c r="AA203" s="947"/>
      <c r="AB203" s="690"/>
      <c r="AC203" s="1055"/>
      <c r="AD203" s="1055"/>
    </row>
    <row r="204" spans="1:30" s="967" customFormat="1" ht="21.95" customHeight="1">
      <c r="A204" s="791"/>
      <c r="B204" s="675"/>
      <c r="C204" s="3460"/>
      <c r="D204" s="1083"/>
      <c r="E204" s="3459"/>
      <c r="F204" s="1020"/>
      <c r="G204" s="678"/>
      <c r="H204" s="643"/>
      <c r="I204" s="734"/>
      <c r="J204" s="4052" t="s">
        <v>5494</v>
      </c>
      <c r="K204" s="4052"/>
      <c r="L204" s="4052"/>
      <c r="M204" s="4052"/>
      <c r="N204" s="4052"/>
      <c r="O204" s="4052"/>
      <c r="P204" s="4052"/>
      <c r="Q204" s="729"/>
      <c r="R204" s="1066"/>
      <c r="S204" s="1067">
        <v>100000</v>
      </c>
      <c r="T204" s="729" t="s">
        <v>0</v>
      </c>
      <c r="U204" s="3454"/>
      <c r="V204" s="730">
        <v>3</v>
      </c>
      <c r="W204" s="729" t="s">
        <v>39</v>
      </c>
      <c r="X204" s="729" t="s">
        <v>151</v>
      </c>
      <c r="Y204" s="735">
        <f t="shared" ref="Y204" si="32">Z204/1000</f>
        <v>300</v>
      </c>
      <c r="Z204" s="872">
        <f t="shared" si="31"/>
        <v>300000</v>
      </c>
      <c r="AA204" s="947"/>
      <c r="AB204" s="690"/>
      <c r="AC204" s="1055"/>
      <c r="AD204" s="1055"/>
    </row>
    <row r="205" spans="1:30" s="967" customFormat="1" ht="21.95" customHeight="1">
      <c r="A205" s="791"/>
      <c r="B205" s="675"/>
      <c r="C205" s="3460"/>
      <c r="D205" s="1083"/>
      <c r="E205" s="3459" t="s">
        <v>14</v>
      </c>
      <c r="F205" s="1020">
        <f>Y205</f>
        <v>120</v>
      </c>
      <c r="G205" s="678">
        <v>0</v>
      </c>
      <c r="H205" s="643">
        <f t="shared" si="25"/>
        <v>120</v>
      </c>
      <c r="I205" s="734"/>
      <c r="J205" s="4055" t="s">
        <v>1818</v>
      </c>
      <c r="K205" s="4056"/>
      <c r="L205" s="4056"/>
      <c r="M205" s="4056"/>
      <c r="N205" s="4056"/>
      <c r="O205" s="4056"/>
      <c r="P205" s="4056"/>
      <c r="Q205" s="3455">
        <v>4</v>
      </c>
      <c r="R205" s="1091" t="s">
        <v>267</v>
      </c>
      <c r="S205" s="1092">
        <v>10000</v>
      </c>
      <c r="T205" s="3455" t="s">
        <v>0</v>
      </c>
      <c r="U205" s="1093"/>
      <c r="V205" s="1094">
        <v>3</v>
      </c>
      <c r="W205" s="3455" t="s">
        <v>39</v>
      </c>
      <c r="X205" s="3455" t="s">
        <v>151</v>
      </c>
      <c r="Y205" s="1187">
        <f>Z205/1000</f>
        <v>120</v>
      </c>
      <c r="Z205" s="982">
        <f>Q205*S205*V205</f>
        <v>120000</v>
      </c>
      <c r="AA205" s="947"/>
      <c r="AB205" s="690"/>
      <c r="AC205" s="1055"/>
      <c r="AD205" s="1055"/>
    </row>
    <row r="206" spans="1:30" s="931" customFormat="1" ht="24" customHeight="1">
      <c r="A206" s="1071"/>
      <c r="B206" s="1072"/>
      <c r="C206" s="3955" t="s">
        <v>256</v>
      </c>
      <c r="D206" s="4049"/>
      <c r="E206" s="3883"/>
      <c r="F206" s="1030">
        <f>F207+F220+F231+F245</f>
        <v>58500</v>
      </c>
      <c r="G206" s="1030">
        <f>G207+G220+G231+G245</f>
        <v>58500</v>
      </c>
      <c r="H206" s="1059">
        <f>F206-G206</f>
        <v>0</v>
      </c>
      <c r="I206" s="734"/>
      <c r="J206" s="3142"/>
      <c r="K206" s="3143"/>
      <c r="L206" s="3143"/>
      <c r="M206" s="3143"/>
      <c r="N206" s="3143"/>
      <c r="O206" s="3143"/>
      <c r="P206" s="3143"/>
      <c r="Q206" s="3140"/>
      <c r="R206" s="1091"/>
      <c r="S206" s="1092"/>
      <c r="T206" s="3140"/>
      <c r="U206" s="1093"/>
      <c r="V206" s="1094"/>
      <c r="W206" s="3140"/>
      <c r="X206" s="3140"/>
      <c r="Y206" s="1095"/>
      <c r="Z206" s="982"/>
      <c r="AA206" s="947"/>
      <c r="AB206" s="690"/>
      <c r="AC206" s="930"/>
      <c r="AD206" s="930"/>
    </row>
    <row r="207" spans="1:30" s="931" customFormat="1" ht="24" customHeight="1">
      <c r="A207" s="1071"/>
      <c r="B207" s="1072"/>
      <c r="C207" s="1981"/>
      <c r="D207" s="4073" t="s">
        <v>876</v>
      </c>
      <c r="E207" s="4074"/>
      <c r="F207" s="1013">
        <f>SUM(F208:F219)</f>
        <v>17500</v>
      </c>
      <c r="G207" s="1013">
        <f>SUM(G208:G219)</f>
        <v>17500</v>
      </c>
      <c r="H207" s="1021">
        <f>F207-G207</f>
        <v>0</v>
      </c>
      <c r="I207" s="734"/>
      <c r="J207" s="1971"/>
      <c r="K207" s="1972"/>
      <c r="L207" s="1972"/>
      <c r="M207" s="1972"/>
      <c r="N207" s="1972"/>
      <c r="O207" s="1972"/>
      <c r="P207" s="1972"/>
      <c r="Q207" s="729"/>
      <c r="R207" s="1066"/>
      <c r="S207" s="1067"/>
      <c r="T207" s="729"/>
      <c r="U207" s="709"/>
      <c r="V207" s="730"/>
      <c r="W207" s="729"/>
      <c r="X207" s="729"/>
      <c r="Y207" s="1068"/>
      <c r="Z207" s="862"/>
      <c r="AA207" s="947"/>
      <c r="AB207" s="690"/>
      <c r="AC207" s="930"/>
      <c r="AD207" s="930"/>
    </row>
    <row r="208" spans="1:30" s="931" customFormat="1" ht="24" customHeight="1">
      <c r="A208" s="1123"/>
      <c r="B208" s="1124"/>
      <c r="C208" s="1981"/>
      <c r="D208" s="1125"/>
      <c r="E208" s="1034" t="s">
        <v>877</v>
      </c>
      <c r="F208" s="995">
        <f>Y208</f>
        <v>1300</v>
      </c>
      <c r="G208" s="995">
        <v>1300</v>
      </c>
      <c r="H208" s="1004"/>
      <c r="I208" s="734"/>
      <c r="J208" s="4071" t="s">
        <v>1823</v>
      </c>
      <c r="K208" s="4072"/>
      <c r="L208" s="4072"/>
      <c r="M208" s="4072"/>
      <c r="N208" s="4072"/>
      <c r="O208" s="4072"/>
      <c r="P208" s="4072"/>
      <c r="Q208" s="1126">
        <v>1</v>
      </c>
      <c r="R208" s="1127" t="s">
        <v>878</v>
      </c>
      <c r="S208" s="1128">
        <v>65000</v>
      </c>
      <c r="T208" s="1126" t="s">
        <v>0</v>
      </c>
      <c r="U208" s="1035"/>
      <c r="V208" s="1129">
        <v>20</v>
      </c>
      <c r="W208" s="1126" t="s">
        <v>24</v>
      </c>
      <c r="X208" s="1126" t="s">
        <v>151</v>
      </c>
      <c r="Y208" s="1087">
        <f t="shared" ref="Y208:Y218" si="33">Z208/1000</f>
        <v>1300</v>
      </c>
      <c r="Z208" s="862">
        <f>Q208*S208*V208</f>
        <v>1300000</v>
      </c>
      <c r="AA208" s="947"/>
      <c r="AB208" s="690"/>
      <c r="AC208" s="930"/>
      <c r="AD208" s="930"/>
    </row>
    <row r="209" spans="1:30" s="931" customFormat="1" ht="24" customHeight="1">
      <c r="A209" s="1123"/>
      <c r="B209" s="1124"/>
      <c r="C209" s="1981"/>
      <c r="D209" s="675"/>
      <c r="E209" s="675" t="s">
        <v>229</v>
      </c>
      <c r="F209" s="1020">
        <f>Y209</f>
        <v>3000</v>
      </c>
      <c r="G209" s="1020">
        <v>3000</v>
      </c>
      <c r="H209" s="1021"/>
      <c r="I209" s="734"/>
      <c r="J209" s="4051" t="s">
        <v>224</v>
      </c>
      <c r="K209" s="4052"/>
      <c r="L209" s="4052"/>
      <c r="M209" s="4052"/>
      <c r="N209" s="4052"/>
      <c r="O209" s="4052"/>
      <c r="P209" s="4052"/>
      <c r="Q209" s="729"/>
      <c r="R209" s="1066"/>
      <c r="S209" s="1067"/>
      <c r="T209" s="729"/>
      <c r="U209" s="709"/>
      <c r="V209" s="730"/>
      <c r="W209" s="729"/>
      <c r="X209" s="729"/>
      <c r="Y209" s="1068">
        <f t="shared" si="33"/>
        <v>3000</v>
      </c>
      <c r="Z209" s="872">
        <f>SUM(Z210:Z210)</f>
        <v>3000000</v>
      </c>
      <c r="AA209" s="947"/>
      <c r="AB209" s="690"/>
      <c r="AC209" s="930"/>
      <c r="AD209" s="930"/>
    </row>
    <row r="210" spans="1:30" s="931" customFormat="1" ht="24" customHeight="1">
      <c r="A210" s="1123"/>
      <c r="B210" s="1124"/>
      <c r="C210" s="1981"/>
      <c r="D210" s="1065"/>
      <c r="E210" s="675"/>
      <c r="F210" s="1020"/>
      <c r="G210" s="1020"/>
      <c r="H210" s="1021"/>
      <c r="I210" s="734"/>
      <c r="J210" s="4051" t="s">
        <v>879</v>
      </c>
      <c r="K210" s="4052"/>
      <c r="L210" s="4052"/>
      <c r="M210" s="4052"/>
      <c r="N210" s="4052"/>
      <c r="O210" s="4052"/>
      <c r="P210" s="4052"/>
      <c r="Q210" s="729"/>
      <c r="R210" s="1066"/>
      <c r="S210" s="1067">
        <v>150</v>
      </c>
      <c r="T210" s="729" t="s">
        <v>0</v>
      </c>
      <c r="U210" s="709"/>
      <c r="V210" s="1130">
        <v>20000</v>
      </c>
      <c r="W210" s="729" t="s">
        <v>254</v>
      </c>
      <c r="X210" s="729" t="s">
        <v>151</v>
      </c>
      <c r="Y210" s="1068">
        <f t="shared" si="33"/>
        <v>3000</v>
      </c>
      <c r="Z210" s="872">
        <f>S210*V210</f>
        <v>3000000</v>
      </c>
      <c r="AA210" s="947"/>
      <c r="AB210" s="690"/>
      <c r="AC210" s="930"/>
      <c r="AD210" s="930"/>
    </row>
    <row r="211" spans="1:30" s="931" customFormat="1" ht="24" customHeight="1">
      <c r="A211" s="1123"/>
      <c r="B211" s="1124"/>
      <c r="C211" s="1981"/>
      <c r="D211" s="1065"/>
      <c r="E211" s="675" t="s">
        <v>264</v>
      </c>
      <c r="F211" s="1020">
        <f>Y211</f>
        <v>1500</v>
      </c>
      <c r="G211" s="1020">
        <v>1500</v>
      </c>
      <c r="H211" s="1021"/>
      <c r="I211" s="734"/>
      <c r="J211" s="4051" t="s">
        <v>1824</v>
      </c>
      <c r="K211" s="4052"/>
      <c r="L211" s="4052"/>
      <c r="M211" s="4052"/>
      <c r="N211" s="4052"/>
      <c r="O211" s="4052"/>
      <c r="P211" s="4052"/>
      <c r="Q211" s="729"/>
      <c r="R211" s="1066"/>
      <c r="S211" s="1067">
        <v>1500000</v>
      </c>
      <c r="T211" s="729" t="s">
        <v>0</v>
      </c>
      <c r="U211" s="709"/>
      <c r="V211" s="730">
        <v>1</v>
      </c>
      <c r="W211" s="729" t="s">
        <v>644</v>
      </c>
      <c r="X211" s="729" t="s">
        <v>151</v>
      </c>
      <c r="Y211" s="1068">
        <f t="shared" si="33"/>
        <v>1500</v>
      </c>
      <c r="Z211" s="872">
        <f>S211*V211</f>
        <v>1500000</v>
      </c>
      <c r="AA211" s="947"/>
      <c r="AB211" s="690"/>
      <c r="AC211" s="930"/>
      <c r="AD211" s="930"/>
    </row>
    <row r="212" spans="1:30" s="931" customFormat="1" ht="24" customHeight="1">
      <c r="A212" s="1123"/>
      <c r="B212" s="1124"/>
      <c r="C212" s="1981"/>
      <c r="D212" s="1065"/>
      <c r="E212" s="675" t="s">
        <v>880</v>
      </c>
      <c r="F212" s="1020">
        <f>Y212</f>
        <v>3000</v>
      </c>
      <c r="G212" s="1020">
        <v>3000</v>
      </c>
      <c r="H212" s="1021"/>
      <c r="I212" s="734"/>
      <c r="J212" s="4051" t="s">
        <v>224</v>
      </c>
      <c r="K212" s="4052"/>
      <c r="L212" s="4052"/>
      <c r="M212" s="4052"/>
      <c r="N212" s="4052"/>
      <c r="O212" s="4052"/>
      <c r="P212" s="4052"/>
      <c r="Q212" s="729"/>
      <c r="R212" s="1066"/>
      <c r="S212" s="1067"/>
      <c r="T212" s="729"/>
      <c r="U212" s="709"/>
      <c r="V212" s="730"/>
      <c r="W212" s="729"/>
      <c r="X212" s="729"/>
      <c r="Y212" s="1068">
        <f t="shared" si="33"/>
        <v>3000</v>
      </c>
      <c r="Z212" s="872">
        <f>SUM(Z213:Z214)</f>
        <v>3000000</v>
      </c>
      <c r="AA212" s="947"/>
      <c r="AB212" s="690"/>
      <c r="AC212" s="930"/>
      <c r="AD212" s="930"/>
    </row>
    <row r="213" spans="1:30" s="931" customFormat="1" ht="24" customHeight="1">
      <c r="A213" s="1123"/>
      <c r="B213" s="1124"/>
      <c r="C213" s="1981"/>
      <c r="D213" s="1065"/>
      <c r="E213" s="675"/>
      <c r="F213" s="1020"/>
      <c r="G213" s="1020"/>
      <c r="H213" s="1021"/>
      <c r="I213" s="734"/>
      <c r="J213" s="4051" t="s">
        <v>881</v>
      </c>
      <c r="K213" s="4052"/>
      <c r="L213" s="4052"/>
      <c r="M213" s="4052"/>
      <c r="N213" s="4052"/>
      <c r="O213" s="4052"/>
      <c r="P213" s="4052"/>
      <c r="Q213" s="729">
        <v>1</v>
      </c>
      <c r="R213" s="1066" t="s">
        <v>545</v>
      </c>
      <c r="S213" s="1067">
        <v>200000</v>
      </c>
      <c r="T213" s="729" t="s">
        <v>0</v>
      </c>
      <c r="U213" s="709"/>
      <c r="V213" s="730">
        <v>5</v>
      </c>
      <c r="W213" s="729" t="s">
        <v>51</v>
      </c>
      <c r="X213" s="729" t="s">
        <v>151</v>
      </c>
      <c r="Y213" s="1068">
        <f t="shared" si="33"/>
        <v>1000</v>
      </c>
      <c r="Z213" s="872">
        <f>Q213*S213*V213</f>
        <v>1000000</v>
      </c>
      <c r="AA213" s="947"/>
      <c r="AB213" s="690"/>
      <c r="AC213" s="930"/>
      <c r="AD213" s="930"/>
    </row>
    <row r="214" spans="1:30" s="931" customFormat="1" ht="24" customHeight="1">
      <c r="A214" s="1123"/>
      <c r="B214" s="1124"/>
      <c r="C214" s="1981"/>
      <c r="D214" s="1065"/>
      <c r="E214" s="675"/>
      <c r="F214" s="1020"/>
      <c r="G214" s="1020"/>
      <c r="H214" s="1021"/>
      <c r="I214" s="734"/>
      <c r="J214" s="4051" t="s">
        <v>882</v>
      </c>
      <c r="K214" s="4052"/>
      <c r="L214" s="4052"/>
      <c r="M214" s="4052"/>
      <c r="N214" s="4052"/>
      <c r="O214" s="4052"/>
      <c r="P214" s="4052"/>
      <c r="Q214" s="729">
        <v>1</v>
      </c>
      <c r="R214" s="1066" t="s">
        <v>545</v>
      </c>
      <c r="S214" s="1067">
        <v>1000000</v>
      </c>
      <c r="T214" s="729" t="s">
        <v>0</v>
      </c>
      <c r="U214" s="709"/>
      <c r="V214" s="730">
        <v>2</v>
      </c>
      <c r="W214" s="729" t="s">
        <v>51</v>
      </c>
      <c r="X214" s="729" t="s">
        <v>151</v>
      </c>
      <c r="Y214" s="1068">
        <f t="shared" si="33"/>
        <v>2000</v>
      </c>
      <c r="Z214" s="872">
        <f>Q214*S214*V214</f>
        <v>2000000</v>
      </c>
      <c r="AA214" s="947"/>
      <c r="AB214" s="690"/>
      <c r="AC214" s="930"/>
      <c r="AD214" s="930"/>
    </row>
    <row r="215" spans="1:30" s="931" customFormat="1" ht="24" customHeight="1">
      <c r="A215" s="1123"/>
      <c r="B215" s="1124"/>
      <c r="C215" s="1981"/>
      <c r="D215" s="1065"/>
      <c r="E215" s="675" t="s">
        <v>883</v>
      </c>
      <c r="F215" s="1020">
        <f>Y215</f>
        <v>100</v>
      </c>
      <c r="G215" s="1020">
        <v>100</v>
      </c>
      <c r="H215" s="1021"/>
      <c r="I215" s="734"/>
      <c r="J215" s="4051" t="s">
        <v>664</v>
      </c>
      <c r="K215" s="4052"/>
      <c r="L215" s="4052"/>
      <c r="M215" s="4052"/>
      <c r="N215" s="4052"/>
      <c r="O215" s="4052"/>
      <c r="P215" s="4052"/>
      <c r="Q215" s="729"/>
      <c r="R215" s="1066"/>
      <c r="S215" s="1067">
        <v>5000</v>
      </c>
      <c r="T215" s="729" t="s">
        <v>0</v>
      </c>
      <c r="U215" s="709"/>
      <c r="V215" s="730">
        <v>20</v>
      </c>
      <c r="W215" s="729" t="s">
        <v>39</v>
      </c>
      <c r="X215" s="729" t="s">
        <v>151</v>
      </c>
      <c r="Y215" s="1068">
        <f t="shared" si="33"/>
        <v>100</v>
      </c>
      <c r="Z215" s="872">
        <f>S215*V215</f>
        <v>100000</v>
      </c>
      <c r="AA215" s="947"/>
      <c r="AB215" s="690"/>
      <c r="AC215" s="930"/>
      <c r="AD215" s="930"/>
    </row>
    <row r="216" spans="1:30" s="931" customFormat="1" ht="24" customHeight="1">
      <c r="A216" s="1123"/>
      <c r="B216" s="1124"/>
      <c r="C216" s="1981"/>
      <c r="D216" s="1065"/>
      <c r="E216" s="675" t="s">
        <v>884</v>
      </c>
      <c r="F216" s="1020">
        <f>Y216</f>
        <v>1500</v>
      </c>
      <c r="G216" s="1020">
        <v>1500</v>
      </c>
      <c r="H216" s="1021"/>
      <c r="I216" s="734"/>
      <c r="J216" s="4051" t="s">
        <v>1825</v>
      </c>
      <c r="K216" s="4052"/>
      <c r="L216" s="4052"/>
      <c r="M216" s="4052"/>
      <c r="N216" s="4052"/>
      <c r="O216" s="4052"/>
      <c r="P216" s="4052"/>
      <c r="Q216" s="729">
        <v>1</v>
      </c>
      <c r="R216" s="1066" t="s">
        <v>545</v>
      </c>
      <c r="S216" s="1067">
        <v>1500</v>
      </c>
      <c r="T216" s="729" t="s">
        <v>0</v>
      </c>
      <c r="U216" s="709"/>
      <c r="V216" s="730">
        <v>1000</v>
      </c>
      <c r="W216" s="729" t="s">
        <v>457</v>
      </c>
      <c r="X216" s="729" t="s">
        <v>151</v>
      </c>
      <c r="Y216" s="1068">
        <f t="shared" si="33"/>
        <v>1500</v>
      </c>
      <c r="Z216" s="872">
        <f>Q216*S216*V216</f>
        <v>1500000</v>
      </c>
      <c r="AA216" s="947"/>
      <c r="AB216" s="690"/>
      <c r="AC216" s="930"/>
      <c r="AD216" s="930"/>
    </row>
    <row r="217" spans="1:30" s="931" customFormat="1" ht="24" customHeight="1">
      <c r="A217" s="1123"/>
      <c r="B217" s="1124"/>
      <c r="C217" s="1981"/>
      <c r="D217" s="1065"/>
      <c r="E217" s="675" t="s">
        <v>71</v>
      </c>
      <c r="F217" s="1131">
        <f>Y217</f>
        <v>1325</v>
      </c>
      <c r="G217" s="1131">
        <v>1325</v>
      </c>
      <c r="H217" s="1021"/>
      <c r="I217" s="734"/>
      <c r="J217" s="4051" t="s">
        <v>1826</v>
      </c>
      <c r="K217" s="4052"/>
      <c r="L217" s="4052"/>
      <c r="M217" s="4052"/>
      <c r="N217" s="4052"/>
      <c r="O217" s="4052"/>
      <c r="P217" s="4052"/>
      <c r="Q217" s="729">
        <v>1</v>
      </c>
      <c r="R217" s="1066" t="s">
        <v>92</v>
      </c>
      <c r="S217" s="1067">
        <v>1325000</v>
      </c>
      <c r="T217" s="729" t="s">
        <v>0</v>
      </c>
      <c r="U217" s="709"/>
      <c r="V217" s="730">
        <v>1</v>
      </c>
      <c r="W217" s="729" t="s">
        <v>3</v>
      </c>
      <c r="X217" s="729"/>
      <c r="Y217" s="1068">
        <f t="shared" si="33"/>
        <v>1325</v>
      </c>
      <c r="Z217" s="872">
        <f>Q217*S217*V217</f>
        <v>1325000</v>
      </c>
      <c r="AA217" s="947"/>
      <c r="AB217" s="690"/>
      <c r="AC217" s="930"/>
      <c r="AD217" s="930"/>
    </row>
    <row r="218" spans="1:30" s="931" customFormat="1" ht="24" customHeight="1">
      <c r="A218" s="1123"/>
      <c r="B218" s="1124"/>
      <c r="C218" s="1981"/>
      <c r="D218" s="1065"/>
      <c r="E218" s="675" t="s">
        <v>451</v>
      </c>
      <c r="F218" s="1131">
        <f>Y218</f>
        <v>5175</v>
      </c>
      <c r="G218" s="1131">
        <v>5175</v>
      </c>
      <c r="H218" s="1021"/>
      <c r="I218" s="734"/>
      <c r="J218" s="4051" t="s">
        <v>1827</v>
      </c>
      <c r="K218" s="4052"/>
      <c r="L218" s="4052"/>
      <c r="M218" s="4052"/>
      <c r="N218" s="4052"/>
      <c r="O218" s="4052"/>
      <c r="P218" s="4052"/>
      <c r="Q218" s="729">
        <v>5</v>
      </c>
      <c r="R218" s="1066" t="s">
        <v>92</v>
      </c>
      <c r="S218" s="1067">
        <v>1035000</v>
      </c>
      <c r="T218" s="729" t="s">
        <v>0</v>
      </c>
      <c r="U218" s="709"/>
      <c r="V218" s="730">
        <v>1</v>
      </c>
      <c r="W218" s="729" t="s">
        <v>3</v>
      </c>
      <c r="X218" s="729"/>
      <c r="Y218" s="1068">
        <f t="shared" si="33"/>
        <v>5175</v>
      </c>
      <c r="Z218" s="872">
        <f>Q218*S218*V218</f>
        <v>5175000</v>
      </c>
      <c r="AA218" s="947"/>
      <c r="AB218" s="690"/>
      <c r="AC218" s="930"/>
      <c r="AD218" s="930"/>
    </row>
    <row r="219" spans="1:30" s="931" customFormat="1" ht="24" customHeight="1">
      <c r="A219" s="1123"/>
      <c r="B219" s="1124"/>
      <c r="C219" s="1981"/>
      <c r="D219" s="1132"/>
      <c r="E219" s="970" t="s">
        <v>809</v>
      </c>
      <c r="F219" s="998">
        <v>600</v>
      </c>
      <c r="G219" s="998">
        <v>600</v>
      </c>
      <c r="H219" s="1000"/>
      <c r="I219" s="734"/>
      <c r="J219" s="4055" t="s">
        <v>1828</v>
      </c>
      <c r="K219" s="4056"/>
      <c r="L219" s="4056"/>
      <c r="M219" s="4056"/>
      <c r="N219" s="4056"/>
      <c r="O219" s="4056"/>
      <c r="P219" s="4056"/>
      <c r="Q219" s="1090">
        <v>15</v>
      </c>
      <c r="R219" s="1091" t="s">
        <v>227</v>
      </c>
      <c r="S219" s="1092">
        <v>20000</v>
      </c>
      <c r="T219" s="1090" t="s">
        <v>0</v>
      </c>
      <c r="U219" s="1093"/>
      <c r="V219" s="1094">
        <v>2</v>
      </c>
      <c r="W219" s="1090" t="s">
        <v>39</v>
      </c>
      <c r="X219" s="1090" t="s">
        <v>151</v>
      </c>
      <c r="Y219" s="1095">
        <f>Z219/1000</f>
        <v>600</v>
      </c>
      <c r="Z219" s="982">
        <f>Q219*S219*V219</f>
        <v>600000</v>
      </c>
      <c r="AA219" s="947"/>
      <c r="AB219" s="690"/>
      <c r="AC219" s="930"/>
      <c r="AD219" s="930"/>
    </row>
    <row r="220" spans="1:30" s="931" customFormat="1" ht="24" customHeight="1">
      <c r="A220" s="1123"/>
      <c r="B220" s="1124"/>
      <c r="C220" s="1981"/>
      <c r="D220" s="3955" t="s">
        <v>885</v>
      </c>
      <c r="E220" s="3883"/>
      <c r="F220" s="983">
        <f>SUM(F221:F230)</f>
        <v>30000</v>
      </c>
      <c r="G220" s="983">
        <f>SUM(G221:G230)</f>
        <v>30000</v>
      </c>
      <c r="H220" s="1059">
        <v>0</v>
      </c>
      <c r="I220" s="734"/>
      <c r="J220" s="1762"/>
      <c r="K220" s="1763"/>
      <c r="L220" s="1763"/>
      <c r="M220" s="1763"/>
      <c r="N220" s="1763"/>
      <c r="O220" s="1763"/>
      <c r="P220" s="1763"/>
      <c r="Q220" s="1060"/>
      <c r="R220" s="1061"/>
      <c r="S220" s="1062"/>
      <c r="T220" s="1060"/>
      <c r="U220" s="1957"/>
      <c r="V220" s="1063"/>
      <c r="W220" s="1060"/>
      <c r="X220" s="1060"/>
      <c r="Y220" s="1064"/>
      <c r="Z220" s="1011"/>
      <c r="AA220" s="947"/>
      <c r="AB220" s="690"/>
      <c r="AC220" s="930"/>
      <c r="AD220" s="930"/>
    </row>
    <row r="221" spans="1:30" s="931" customFormat="1" ht="24" customHeight="1">
      <c r="A221" s="1123"/>
      <c r="B221" s="1124"/>
      <c r="C221" s="1981"/>
      <c r="D221" s="1034"/>
      <c r="E221" s="994" t="s">
        <v>877</v>
      </c>
      <c r="F221" s="995">
        <f>Y221</f>
        <v>25360</v>
      </c>
      <c r="G221" s="995">
        <v>25360</v>
      </c>
      <c r="H221" s="1004"/>
      <c r="I221" s="734"/>
      <c r="J221" s="4071" t="s">
        <v>224</v>
      </c>
      <c r="K221" s="4072"/>
      <c r="L221" s="4072"/>
      <c r="M221" s="4072"/>
      <c r="N221" s="4072"/>
      <c r="O221" s="4072"/>
      <c r="P221" s="4072"/>
      <c r="Q221" s="1126"/>
      <c r="R221" s="1127"/>
      <c r="S221" s="1128"/>
      <c r="T221" s="1126"/>
      <c r="U221" s="1035"/>
      <c r="V221" s="1129"/>
      <c r="W221" s="1126"/>
      <c r="X221" s="1126"/>
      <c r="Y221" s="862">
        <f>SUM(Y222:Y223)</f>
        <v>25360</v>
      </c>
      <c r="Z221" s="862">
        <f>SUM(Z222:Z223)</f>
        <v>25360000</v>
      </c>
      <c r="AA221" s="947"/>
      <c r="AB221" s="690"/>
      <c r="AC221" s="930"/>
      <c r="AD221" s="930"/>
    </row>
    <row r="222" spans="1:30" s="931" customFormat="1" ht="24" customHeight="1">
      <c r="A222" s="1123"/>
      <c r="B222" s="1124"/>
      <c r="C222" s="1981"/>
      <c r="D222" s="675"/>
      <c r="E222" s="674"/>
      <c r="F222" s="1020"/>
      <c r="G222" s="1020"/>
      <c r="H222" s="1021"/>
      <c r="I222" s="734"/>
      <c r="J222" s="4051" t="s">
        <v>886</v>
      </c>
      <c r="K222" s="4052"/>
      <c r="L222" s="4052"/>
      <c r="M222" s="4052"/>
      <c r="N222" s="4052"/>
      <c r="O222" s="4052"/>
      <c r="P222" s="4052"/>
      <c r="Q222" s="729">
        <v>3</v>
      </c>
      <c r="R222" s="1066" t="s">
        <v>227</v>
      </c>
      <c r="S222" s="1067">
        <v>12000</v>
      </c>
      <c r="T222" s="729" t="s">
        <v>0</v>
      </c>
      <c r="U222" s="709"/>
      <c r="V222" s="730">
        <v>251</v>
      </c>
      <c r="W222" s="729" t="s">
        <v>24</v>
      </c>
      <c r="X222" s="729" t="s">
        <v>870</v>
      </c>
      <c r="Y222" s="1068">
        <f t="shared" ref="Y222:Y227" si="34">Z222/1000</f>
        <v>9036</v>
      </c>
      <c r="Z222" s="872">
        <f>Q222*S222*V222</f>
        <v>9036000</v>
      </c>
      <c r="AA222" s="947"/>
      <c r="AB222" s="690"/>
      <c r="AC222" s="930"/>
      <c r="AD222" s="930"/>
    </row>
    <row r="223" spans="1:30" s="931" customFormat="1" ht="24" customHeight="1">
      <c r="A223" s="1123"/>
      <c r="B223" s="1124"/>
      <c r="C223" s="1981"/>
      <c r="D223" s="675"/>
      <c r="E223" s="674"/>
      <c r="F223" s="1020"/>
      <c r="G223" s="1020"/>
      <c r="H223" s="1021"/>
      <c r="I223" s="734"/>
      <c r="J223" s="4051" t="s">
        <v>887</v>
      </c>
      <c r="K223" s="4052"/>
      <c r="L223" s="4052"/>
      <c r="M223" s="4052"/>
      <c r="N223" s="4052"/>
      <c r="O223" s="4052"/>
      <c r="P223" s="4052"/>
      <c r="Q223" s="729">
        <v>7</v>
      </c>
      <c r="R223" s="1066" t="s">
        <v>227</v>
      </c>
      <c r="S223" s="1067">
        <v>22000</v>
      </c>
      <c r="T223" s="729" t="s">
        <v>0</v>
      </c>
      <c r="U223" s="709"/>
      <c r="V223" s="730">
        <v>106</v>
      </c>
      <c r="W223" s="729" t="s">
        <v>24</v>
      </c>
      <c r="X223" s="729" t="s">
        <v>870</v>
      </c>
      <c r="Y223" s="1068">
        <f t="shared" si="34"/>
        <v>16324</v>
      </c>
      <c r="Z223" s="872">
        <f>Q223*S223*V223</f>
        <v>16324000</v>
      </c>
      <c r="AA223" s="947"/>
      <c r="AB223" s="690"/>
      <c r="AC223" s="930"/>
      <c r="AD223" s="930"/>
    </row>
    <row r="224" spans="1:30" s="931" customFormat="1" ht="24" customHeight="1">
      <c r="A224" s="916"/>
      <c r="B224" s="917"/>
      <c r="C224" s="1133"/>
      <c r="D224" s="675"/>
      <c r="E224" s="948" t="s">
        <v>445</v>
      </c>
      <c r="F224" s="1020">
        <f t="shared" ref="F224:F229" si="35">Y224</f>
        <v>60</v>
      </c>
      <c r="G224" s="1020">
        <v>60</v>
      </c>
      <c r="H224" s="1021"/>
      <c r="I224" s="734"/>
      <c r="J224" s="4051" t="s">
        <v>1829</v>
      </c>
      <c r="K224" s="4052"/>
      <c r="L224" s="4052"/>
      <c r="M224" s="4052"/>
      <c r="N224" s="4052"/>
      <c r="O224" s="4052"/>
      <c r="P224" s="4052"/>
      <c r="Q224" s="729">
        <v>1</v>
      </c>
      <c r="R224" s="1066" t="s">
        <v>232</v>
      </c>
      <c r="S224" s="1067">
        <v>60000</v>
      </c>
      <c r="T224" s="729" t="s">
        <v>37</v>
      </c>
      <c r="U224" s="709"/>
      <c r="V224" s="730">
        <v>1</v>
      </c>
      <c r="W224" s="729" t="s">
        <v>39</v>
      </c>
      <c r="X224" s="1134" t="s">
        <v>38</v>
      </c>
      <c r="Y224" s="1068">
        <f>Z224/1000</f>
        <v>60</v>
      </c>
      <c r="Z224" s="872">
        <f>Q224*S224*V224</f>
        <v>60000</v>
      </c>
      <c r="AA224" s="947"/>
      <c r="AB224" s="690"/>
      <c r="AC224" s="930"/>
      <c r="AD224" s="930"/>
    </row>
    <row r="225" spans="1:30" s="931" customFormat="1" ht="24" customHeight="1">
      <c r="A225" s="1123"/>
      <c r="B225" s="1124"/>
      <c r="C225" s="1981"/>
      <c r="D225" s="675"/>
      <c r="E225" s="674" t="s">
        <v>264</v>
      </c>
      <c r="F225" s="1020">
        <f t="shared" si="35"/>
        <v>1500</v>
      </c>
      <c r="G225" s="1020">
        <v>1500</v>
      </c>
      <c r="H225" s="1021"/>
      <c r="I225" s="734"/>
      <c r="J225" s="4051" t="s">
        <v>1830</v>
      </c>
      <c r="K225" s="4052"/>
      <c r="L225" s="4052"/>
      <c r="M225" s="4052"/>
      <c r="N225" s="4052"/>
      <c r="O225" s="4052"/>
      <c r="P225" s="4052"/>
      <c r="Q225" s="729"/>
      <c r="R225" s="1066"/>
      <c r="S225" s="1067">
        <v>250000</v>
      </c>
      <c r="T225" s="729" t="s">
        <v>0</v>
      </c>
      <c r="U225" s="709"/>
      <c r="V225" s="729">
        <v>6</v>
      </c>
      <c r="W225" s="1066" t="s">
        <v>39</v>
      </c>
      <c r="X225" s="729" t="s">
        <v>151</v>
      </c>
      <c r="Y225" s="1068">
        <f>Z225/1000</f>
        <v>1500</v>
      </c>
      <c r="Z225" s="872">
        <f>S225*V225</f>
        <v>1500000</v>
      </c>
      <c r="AA225" s="947"/>
      <c r="AB225" s="690"/>
      <c r="AC225" s="930"/>
      <c r="AD225" s="930"/>
    </row>
    <row r="226" spans="1:30" s="931" customFormat="1" ht="24" customHeight="1">
      <c r="A226" s="1123"/>
      <c r="B226" s="1124"/>
      <c r="C226" s="1981"/>
      <c r="D226" s="675"/>
      <c r="E226" s="674" t="s">
        <v>379</v>
      </c>
      <c r="F226" s="1020">
        <f t="shared" si="35"/>
        <v>280</v>
      </c>
      <c r="G226" s="1020">
        <v>280</v>
      </c>
      <c r="H226" s="1021"/>
      <c r="I226" s="734"/>
      <c r="J226" s="4051" t="s">
        <v>1831</v>
      </c>
      <c r="K226" s="4052"/>
      <c r="L226" s="4052"/>
      <c r="M226" s="4052"/>
      <c r="N226" s="4052"/>
      <c r="O226" s="4052"/>
      <c r="P226" s="4052"/>
      <c r="Q226" s="729">
        <v>2</v>
      </c>
      <c r="R226" s="1066" t="s">
        <v>31</v>
      </c>
      <c r="S226" s="1067">
        <v>7000</v>
      </c>
      <c r="T226" s="729" t="s">
        <v>0</v>
      </c>
      <c r="U226" s="709"/>
      <c r="V226" s="730">
        <v>20</v>
      </c>
      <c r="W226" s="729" t="s">
        <v>888</v>
      </c>
      <c r="X226" s="729" t="s">
        <v>151</v>
      </c>
      <c r="Y226" s="1068">
        <f t="shared" si="34"/>
        <v>280</v>
      </c>
      <c r="Z226" s="872">
        <f>Q226*S226*V226</f>
        <v>280000</v>
      </c>
      <c r="AA226" s="947"/>
      <c r="AB226" s="690"/>
      <c r="AC226" s="930"/>
      <c r="AD226" s="930"/>
    </row>
    <row r="227" spans="1:30" s="931" customFormat="1" ht="21.75" customHeight="1">
      <c r="A227" s="916"/>
      <c r="B227" s="1982"/>
      <c r="C227" s="1065"/>
      <c r="D227" s="675"/>
      <c r="E227" s="692" t="s">
        <v>380</v>
      </c>
      <c r="F227" s="1020">
        <f t="shared" si="35"/>
        <v>600</v>
      </c>
      <c r="G227" s="1020">
        <v>600</v>
      </c>
      <c r="H227" s="1021"/>
      <c r="I227" s="734"/>
      <c r="J227" s="4051" t="s">
        <v>1832</v>
      </c>
      <c r="K227" s="4052"/>
      <c r="L227" s="4052"/>
      <c r="M227" s="4052"/>
      <c r="N227" s="4052"/>
      <c r="O227" s="4052"/>
      <c r="P227" s="4052"/>
      <c r="Q227" s="729">
        <v>2</v>
      </c>
      <c r="R227" s="1066" t="s">
        <v>31</v>
      </c>
      <c r="S227" s="1067">
        <v>300000</v>
      </c>
      <c r="T227" s="729" t="s">
        <v>0</v>
      </c>
      <c r="U227" s="709"/>
      <c r="V227" s="730">
        <v>1</v>
      </c>
      <c r="W227" s="729" t="s">
        <v>259</v>
      </c>
      <c r="X227" s="729" t="s">
        <v>870</v>
      </c>
      <c r="Y227" s="1068">
        <f t="shared" si="34"/>
        <v>600</v>
      </c>
      <c r="Z227" s="872">
        <f>Q227*S227*V227</f>
        <v>600000</v>
      </c>
      <c r="AA227" s="947"/>
      <c r="AB227" s="690"/>
      <c r="AC227" s="930"/>
      <c r="AD227" s="930"/>
    </row>
    <row r="228" spans="1:30" s="931" customFormat="1" ht="21.75" customHeight="1">
      <c r="A228" s="1123"/>
      <c r="B228" s="1124"/>
      <c r="C228" s="1981"/>
      <c r="D228" s="675"/>
      <c r="E228" s="692" t="s">
        <v>451</v>
      </c>
      <c r="F228" s="1020">
        <f t="shared" si="35"/>
        <v>1000</v>
      </c>
      <c r="G228" s="1020">
        <v>1000</v>
      </c>
      <c r="H228" s="1021"/>
      <c r="I228" s="734"/>
      <c r="J228" s="4051" t="s">
        <v>1833</v>
      </c>
      <c r="K228" s="4052"/>
      <c r="L228" s="4052"/>
      <c r="M228" s="4052"/>
      <c r="N228" s="4052"/>
      <c r="O228" s="4052"/>
      <c r="P228" s="4052"/>
      <c r="Q228" s="729">
        <v>2</v>
      </c>
      <c r="R228" s="1066" t="s">
        <v>31</v>
      </c>
      <c r="S228" s="1067">
        <v>500000</v>
      </c>
      <c r="T228" s="729" t="s">
        <v>0</v>
      </c>
      <c r="U228" s="709"/>
      <c r="V228" s="730">
        <v>1</v>
      </c>
      <c r="W228" s="729" t="s">
        <v>226</v>
      </c>
      <c r="X228" s="729" t="s">
        <v>151</v>
      </c>
      <c r="Y228" s="1068">
        <f>Z228/1000</f>
        <v>1000</v>
      </c>
      <c r="Z228" s="872">
        <f>Q228*S228*V228</f>
        <v>1000000</v>
      </c>
      <c r="AA228" s="947"/>
      <c r="AB228" s="690"/>
      <c r="AC228" s="930"/>
      <c r="AD228" s="930"/>
    </row>
    <row r="229" spans="1:30" s="709" customFormat="1" ht="21.75" customHeight="1">
      <c r="A229" s="1123"/>
      <c r="B229" s="1124"/>
      <c r="C229" s="1981"/>
      <c r="D229" s="675"/>
      <c r="E229" s="674" t="s">
        <v>809</v>
      </c>
      <c r="F229" s="1020">
        <f t="shared" si="35"/>
        <v>600</v>
      </c>
      <c r="G229" s="1020">
        <v>600</v>
      </c>
      <c r="H229" s="1021"/>
      <c r="I229" s="734"/>
      <c r="J229" s="4051" t="s">
        <v>1741</v>
      </c>
      <c r="K229" s="4052"/>
      <c r="L229" s="4052"/>
      <c r="M229" s="4052"/>
      <c r="N229" s="4052"/>
      <c r="O229" s="4052"/>
      <c r="P229" s="4052"/>
      <c r="Q229" s="729">
        <v>20</v>
      </c>
      <c r="R229" s="1066" t="s">
        <v>227</v>
      </c>
      <c r="S229" s="1067">
        <v>15000</v>
      </c>
      <c r="T229" s="729" t="s">
        <v>0</v>
      </c>
      <c r="V229" s="730">
        <v>2</v>
      </c>
      <c r="W229" s="729" t="s">
        <v>39</v>
      </c>
      <c r="X229" s="729" t="s">
        <v>151</v>
      </c>
      <c r="Y229" s="1068">
        <f>Z229/1000</f>
        <v>600</v>
      </c>
      <c r="Z229" s="982">
        <f>Q229*S229*V229</f>
        <v>600000</v>
      </c>
      <c r="AA229" s="947"/>
      <c r="AB229" s="690"/>
      <c r="AC229" s="915"/>
      <c r="AD229" s="3166"/>
    </row>
    <row r="230" spans="1:30" s="931" customFormat="1" ht="21.75" customHeight="1">
      <c r="A230" s="1123"/>
      <c r="B230" s="1124"/>
      <c r="C230" s="1981"/>
      <c r="D230" s="970"/>
      <c r="E230" s="1953" t="s">
        <v>889</v>
      </c>
      <c r="F230" s="998">
        <f>Y230</f>
        <v>600</v>
      </c>
      <c r="G230" s="998">
        <v>600</v>
      </c>
      <c r="H230" s="1000"/>
      <c r="I230" s="734"/>
      <c r="J230" s="4055" t="s">
        <v>1834</v>
      </c>
      <c r="K230" s="4056"/>
      <c r="L230" s="4056"/>
      <c r="M230" s="4056"/>
      <c r="N230" s="4056"/>
      <c r="O230" s="4056"/>
      <c r="P230" s="4056"/>
      <c r="Q230" s="1090">
        <v>10</v>
      </c>
      <c r="R230" s="1091" t="s">
        <v>227</v>
      </c>
      <c r="S230" s="1092">
        <v>30000</v>
      </c>
      <c r="T230" s="1090" t="s">
        <v>0</v>
      </c>
      <c r="U230" s="1093"/>
      <c r="V230" s="1094">
        <v>2</v>
      </c>
      <c r="W230" s="1090" t="s">
        <v>243</v>
      </c>
      <c r="X230" s="1090" t="s">
        <v>151</v>
      </c>
      <c r="Y230" s="1095">
        <f>Z230/1000</f>
        <v>600</v>
      </c>
      <c r="Z230" s="872">
        <f>Q230*S230*V230</f>
        <v>600000</v>
      </c>
      <c r="AA230" s="947"/>
      <c r="AB230" s="690"/>
      <c r="AC230" s="930"/>
      <c r="AD230" s="930"/>
    </row>
    <row r="231" spans="1:30" s="931" customFormat="1" ht="21.75" customHeight="1">
      <c r="A231" s="1123"/>
      <c r="B231" s="1124"/>
      <c r="C231" s="1981"/>
      <c r="D231" s="4073" t="s">
        <v>890</v>
      </c>
      <c r="E231" s="4074"/>
      <c r="F231" s="1013">
        <f>SUM(F232:F244)</f>
        <v>6000</v>
      </c>
      <c r="G231" s="1013">
        <f>SUM(G232:G244)</f>
        <v>6000</v>
      </c>
      <c r="H231" s="1021">
        <f>F231-G231</f>
        <v>0</v>
      </c>
      <c r="I231" s="734"/>
      <c r="J231" s="4051"/>
      <c r="K231" s="4052"/>
      <c r="L231" s="4052"/>
      <c r="M231" s="4052"/>
      <c r="N231" s="4052"/>
      <c r="O231" s="4052"/>
      <c r="P231" s="4052"/>
      <c r="Q231" s="729"/>
      <c r="R231" s="1066"/>
      <c r="S231" s="1067"/>
      <c r="T231" s="729"/>
      <c r="U231" s="709"/>
      <c r="V231" s="730"/>
      <c r="W231" s="729"/>
      <c r="X231" s="729"/>
      <c r="Y231" s="1068"/>
      <c r="Z231" s="872"/>
      <c r="AA231" s="947"/>
      <c r="AB231" s="690"/>
      <c r="AC231" s="930"/>
      <c r="AD231" s="930"/>
    </row>
    <row r="232" spans="1:30" s="931" customFormat="1" ht="21.75" customHeight="1">
      <c r="A232" s="1123"/>
      <c r="B232" s="1124"/>
      <c r="C232" s="1981"/>
      <c r="D232" s="1034"/>
      <c r="E232" s="994" t="s">
        <v>264</v>
      </c>
      <c r="F232" s="995">
        <v>2210</v>
      </c>
      <c r="G232" s="995">
        <v>2210</v>
      </c>
      <c r="H232" s="1199"/>
      <c r="I232" s="734"/>
      <c r="J232" s="4071" t="s">
        <v>224</v>
      </c>
      <c r="K232" s="4072"/>
      <c r="L232" s="4072"/>
      <c r="M232" s="4072"/>
      <c r="N232" s="4072"/>
      <c r="O232" s="4072"/>
      <c r="P232" s="4072"/>
      <c r="Q232" s="1126"/>
      <c r="R232" s="1127"/>
      <c r="S232" s="1128"/>
      <c r="T232" s="1126"/>
      <c r="U232" s="1035"/>
      <c r="V232" s="1129"/>
      <c r="W232" s="1126"/>
      <c r="X232" s="1126"/>
      <c r="Y232" s="2614">
        <f t="shared" ref="Y232:Y244" si="36">Z232/1000</f>
        <v>2210</v>
      </c>
      <c r="Z232" s="862">
        <f>SUM(Z233:Z234)</f>
        <v>2210000</v>
      </c>
      <c r="AA232" s="947"/>
      <c r="AB232" s="690"/>
      <c r="AC232" s="930"/>
      <c r="AD232" s="930"/>
    </row>
    <row r="233" spans="1:30" s="931" customFormat="1" ht="21.75" customHeight="1">
      <c r="A233" s="1123"/>
      <c r="B233" s="1124"/>
      <c r="C233" s="1981"/>
      <c r="D233" s="675"/>
      <c r="E233" s="674"/>
      <c r="F233" s="1020"/>
      <c r="G233" s="1020"/>
      <c r="H233" s="1021"/>
      <c r="I233" s="734"/>
      <c r="J233" s="4051" t="s">
        <v>891</v>
      </c>
      <c r="K233" s="4052"/>
      <c r="L233" s="4052"/>
      <c r="M233" s="4052"/>
      <c r="N233" s="4052"/>
      <c r="O233" s="4052"/>
      <c r="P233" s="4052"/>
      <c r="Q233" s="729"/>
      <c r="R233" s="1066"/>
      <c r="S233" s="1067">
        <v>240000</v>
      </c>
      <c r="T233" s="729" t="s">
        <v>0</v>
      </c>
      <c r="U233" s="709"/>
      <c r="V233" s="730">
        <v>4</v>
      </c>
      <c r="W233" s="729" t="s">
        <v>39</v>
      </c>
      <c r="X233" s="729" t="s">
        <v>151</v>
      </c>
      <c r="Y233" s="2615">
        <f t="shared" si="36"/>
        <v>960</v>
      </c>
      <c r="Z233" s="872">
        <f>S233*V233</f>
        <v>960000</v>
      </c>
      <c r="AA233" s="947"/>
      <c r="AB233" s="690"/>
      <c r="AC233" s="930"/>
      <c r="AD233" s="930"/>
    </row>
    <row r="234" spans="1:30" s="931" customFormat="1" ht="21.75" customHeight="1">
      <c r="A234" s="1123"/>
      <c r="B234" s="1124"/>
      <c r="C234" s="1981"/>
      <c r="D234" s="675"/>
      <c r="E234" s="674"/>
      <c r="F234" s="1020"/>
      <c r="G234" s="1020"/>
      <c r="H234" s="1021"/>
      <c r="I234" s="734"/>
      <c r="J234" s="4051" t="s">
        <v>892</v>
      </c>
      <c r="K234" s="4052"/>
      <c r="L234" s="4052"/>
      <c r="M234" s="4052"/>
      <c r="N234" s="4052"/>
      <c r="O234" s="4052"/>
      <c r="P234" s="4052"/>
      <c r="Q234" s="729"/>
      <c r="R234" s="1066"/>
      <c r="S234" s="1067">
        <v>50000</v>
      </c>
      <c r="T234" s="729" t="s">
        <v>0</v>
      </c>
      <c r="U234" s="709"/>
      <c r="V234" s="730">
        <v>25</v>
      </c>
      <c r="W234" s="729" t="s">
        <v>644</v>
      </c>
      <c r="X234" s="729" t="s">
        <v>151</v>
      </c>
      <c r="Y234" s="2615">
        <f t="shared" si="36"/>
        <v>1250</v>
      </c>
      <c r="Z234" s="872">
        <f>S234*V234</f>
        <v>1250000</v>
      </c>
      <c r="AA234" s="947"/>
      <c r="AB234" s="690"/>
      <c r="AC234" s="930"/>
      <c r="AD234" s="930"/>
    </row>
    <row r="235" spans="1:30" s="931" customFormat="1" ht="21.75" customHeight="1">
      <c r="A235" s="1123"/>
      <c r="B235" s="1124"/>
      <c r="C235" s="1981"/>
      <c r="D235" s="675"/>
      <c r="E235" s="692" t="s">
        <v>801</v>
      </c>
      <c r="F235" s="1020">
        <f>Y235</f>
        <v>160</v>
      </c>
      <c r="G235" s="1020">
        <v>160</v>
      </c>
      <c r="H235" s="1021"/>
      <c r="I235" s="734"/>
      <c r="J235" s="4051" t="s">
        <v>917</v>
      </c>
      <c r="K235" s="4052"/>
      <c r="L235" s="4052"/>
      <c r="M235" s="4052"/>
      <c r="N235" s="4052"/>
      <c r="O235" s="4052"/>
      <c r="P235" s="4052"/>
      <c r="Q235" s="729">
        <v>4</v>
      </c>
      <c r="R235" s="1066" t="s">
        <v>227</v>
      </c>
      <c r="S235" s="1067">
        <v>20000</v>
      </c>
      <c r="T235" s="729" t="s">
        <v>0</v>
      </c>
      <c r="U235" s="709"/>
      <c r="V235" s="730">
        <v>2</v>
      </c>
      <c r="W235" s="729" t="s">
        <v>39</v>
      </c>
      <c r="X235" s="729" t="s">
        <v>151</v>
      </c>
      <c r="Y235" s="2615">
        <f t="shared" si="36"/>
        <v>160</v>
      </c>
      <c r="Z235" s="872">
        <f>Q235*S235*V235</f>
        <v>160000</v>
      </c>
      <c r="AA235" s="947"/>
      <c r="AB235" s="690"/>
      <c r="AC235" s="930"/>
      <c r="AD235" s="930"/>
    </row>
    <row r="236" spans="1:30" s="931" customFormat="1" ht="21.75" customHeight="1">
      <c r="A236" s="1123"/>
      <c r="B236" s="1135"/>
      <c r="C236" s="674"/>
      <c r="D236" s="675"/>
      <c r="E236" s="674" t="s">
        <v>893</v>
      </c>
      <c r="F236" s="1020">
        <f>Y236</f>
        <v>150</v>
      </c>
      <c r="G236" s="1020">
        <v>150</v>
      </c>
      <c r="H236" s="1021"/>
      <c r="I236" s="734"/>
      <c r="J236" s="4051" t="s">
        <v>1835</v>
      </c>
      <c r="K236" s="4052"/>
      <c r="L236" s="4052"/>
      <c r="M236" s="4052"/>
      <c r="N236" s="4052"/>
      <c r="O236" s="4052"/>
      <c r="P236" s="4052"/>
      <c r="Q236" s="729"/>
      <c r="R236" s="1066"/>
      <c r="S236" s="1067">
        <v>15000</v>
      </c>
      <c r="T236" s="729" t="s">
        <v>0</v>
      </c>
      <c r="U236" s="709"/>
      <c r="V236" s="730">
        <v>10</v>
      </c>
      <c r="W236" s="729" t="s">
        <v>634</v>
      </c>
      <c r="X236" s="729" t="s">
        <v>151</v>
      </c>
      <c r="Y236" s="2615">
        <f t="shared" si="36"/>
        <v>150</v>
      </c>
      <c r="Z236" s="872">
        <f>S236*V236</f>
        <v>150000</v>
      </c>
      <c r="AA236" s="947"/>
      <c r="AB236" s="690"/>
      <c r="AC236" s="930"/>
      <c r="AD236" s="930"/>
    </row>
    <row r="237" spans="1:30" s="931" customFormat="1" ht="21.75" customHeight="1">
      <c r="A237" s="1123"/>
      <c r="B237" s="1135"/>
      <c r="C237" s="674"/>
      <c r="D237" s="675"/>
      <c r="E237" s="674" t="s">
        <v>880</v>
      </c>
      <c r="F237" s="1020">
        <f>Y237</f>
        <v>2220</v>
      </c>
      <c r="G237" s="1020">
        <v>2220</v>
      </c>
      <c r="H237" s="1190"/>
      <c r="I237" s="734"/>
      <c r="J237" s="4051" t="s">
        <v>224</v>
      </c>
      <c r="K237" s="4052"/>
      <c r="L237" s="4052"/>
      <c r="M237" s="4052"/>
      <c r="N237" s="4052"/>
      <c r="O237" s="4052"/>
      <c r="P237" s="4052"/>
      <c r="Q237" s="729"/>
      <c r="R237" s="1066"/>
      <c r="S237" s="1067"/>
      <c r="T237" s="729"/>
      <c r="U237" s="709"/>
      <c r="V237" s="730"/>
      <c r="W237" s="729"/>
      <c r="X237" s="729"/>
      <c r="Y237" s="2615">
        <f t="shared" si="36"/>
        <v>2220</v>
      </c>
      <c r="Z237" s="872">
        <f>SUM(Z238:Z239)</f>
        <v>2220000</v>
      </c>
      <c r="AA237" s="947"/>
      <c r="AB237" s="690"/>
      <c r="AC237" s="930"/>
      <c r="AD237" s="930"/>
    </row>
    <row r="238" spans="1:30" s="931" customFormat="1" ht="21.75" customHeight="1">
      <c r="A238" s="1123"/>
      <c r="B238" s="1135"/>
      <c r="C238" s="674"/>
      <c r="D238" s="675"/>
      <c r="E238" s="674"/>
      <c r="F238" s="1020"/>
      <c r="G238" s="1020"/>
      <c r="H238" s="1021"/>
      <c r="I238" s="734"/>
      <c r="J238" s="4051" t="s">
        <v>895</v>
      </c>
      <c r="K238" s="4052"/>
      <c r="L238" s="4052"/>
      <c r="M238" s="4052"/>
      <c r="N238" s="4052"/>
      <c r="O238" s="4052"/>
      <c r="P238" s="4052"/>
      <c r="Q238" s="729">
        <v>1</v>
      </c>
      <c r="R238" s="1066" t="s">
        <v>25</v>
      </c>
      <c r="S238" s="1067">
        <v>250000</v>
      </c>
      <c r="T238" s="729" t="s">
        <v>0</v>
      </c>
      <c r="U238" s="709"/>
      <c r="V238" s="730">
        <v>6</v>
      </c>
      <c r="W238" s="729" t="s">
        <v>39</v>
      </c>
      <c r="X238" s="729" t="s">
        <v>151</v>
      </c>
      <c r="Y238" s="2615">
        <f t="shared" si="36"/>
        <v>1500</v>
      </c>
      <c r="Z238" s="872">
        <f>S238*V238*Q238</f>
        <v>1500000</v>
      </c>
      <c r="AA238" s="947"/>
      <c r="AB238" s="690"/>
      <c r="AC238" s="930"/>
      <c r="AD238" s="930"/>
    </row>
    <row r="239" spans="1:30" s="931" customFormat="1" ht="21.75" customHeight="1">
      <c r="A239" s="1123"/>
      <c r="B239" s="1135"/>
      <c r="C239" s="674"/>
      <c r="D239" s="675"/>
      <c r="E239" s="674"/>
      <c r="F239" s="1020"/>
      <c r="G239" s="1020"/>
      <c r="H239" s="1021"/>
      <c r="I239" s="734"/>
      <c r="J239" s="4051" t="s">
        <v>896</v>
      </c>
      <c r="K239" s="4052"/>
      <c r="L239" s="4052"/>
      <c r="M239" s="4052"/>
      <c r="N239" s="4052"/>
      <c r="O239" s="4052"/>
      <c r="P239" s="4052"/>
      <c r="Q239" s="729">
        <v>2</v>
      </c>
      <c r="R239" s="1066" t="s">
        <v>25</v>
      </c>
      <c r="S239" s="1067">
        <v>60000</v>
      </c>
      <c r="T239" s="729" t="s">
        <v>0</v>
      </c>
      <c r="U239" s="709"/>
      <c r="V239" s="730">
        <v>6</v>
      </c>
      <c r="W239" s="729" t="s">
        <v>39</v>
      </c>
      <c r="X239" s="729" t="s">
        <v>151</v>
      </c>
      <c r="Y239" s="2615">
        <f t="shared" si="36"/>
        <v>720</v>
      </c>
      <c r="Z239" s="872">
        <f>S239*V239*Q239</f>
        <v>720000</v>
      </c>
      <c r="AA239" s="947"/>
      <c r="AB239" s="690"/>
      <c r="AC239" s="930"/>
      <c r="AD239" s="930"/>
    </row>
    <row r="240" spans="1:30" s="931" customFormat="1" ht="21.75" customHeight="1">
      <c r="A240" s="1122"/>
      <c r="B240" s="948"/>
      <c r="C240" s="1072"/>
      <c r="D240" s="2116"/>
      <c r="E240" s="674" t="s">
        <v>451</v>
      </c>
      <c r="F240" s="1020">
        <f>Y240</f>
        <v>1140</v>
      </c>
      <c r="G240" s="1020">
        <v>1140</v>
      </c>
      <c r="H240" s="1190"/>
      <c r="I240" s="734"/>
      <c r="J240" s="4051" t="s">
        <v>224</v>
      </c>
      <c r="K240" s="4052"/>
      <c r="L240" s="4052"/>
      <c r="M240" s="4052"/>
      <c r="N240" s="4052"/>
      <c r="O240" s="4052"/>
      <c r="P240" s="4052"/>
      <c r="Q240" s="729"/>
      <c r="R240" s="1066"/>
      <c r="S240" s="1067"/>
      <c r="T240" s="729"/>
      <c r="U240" s="709"/>
      <c r="V240" s="730"/>
      <c r="W240" s="729"/>
      <c r="X240" s="729"/>
      <c r="Y240" s="2615">
        <f t="shared" si="36"/>
        <v>1140</v>
      </c>
      <c r="Z240" s="872">
        <f>SUM(Z241:Z243)</f>
        <v>1140000</v>
      </c>
      <c r="AA240" s="947"/>
      <c r="AB240" s="690"/>
      <c r="AC240" s="930"/>
      <c r="AD240" s="930"/>
    </row>
    <row r="241" spans="1:30" s="931" customFormat="1" ht="21.75" customHeight="1">
      <c r="A241" s="1122"/>
      <c r="B241" s="709"/>
      <c r="C241" s="1136"/>
      <c r="D241" s="2116"/>
      <c r="E241" s="674"/>
      <c r="F241" s="1020"/>
      <c r="G241" s="1020"/>
      <c r="H241" s="1021"/>
      <c r="I241" s="734"/>
      <c r="J241" s="4051" t="s">
        <v>897</v>
      </c>
      <c r="K241" s="4052"/>
      <c r="L241" s="4052"/>
      <c r="M241" s="4052"/>
      <c r="N241" s="4052"/>
      <c r="O241" s="4052"/>
      <c r="P241" s="4052"/>
      <c r="Q241" s="729"/>
      <c r="R241" s="1066"/>
      <c r="S241" s="1067">
        <v>75000</v>
      </c>
      <c r="T241" s="729" t="s">
        <v>0</v>
      </c>
      <c r="U241" s="709"/>
      <c r="V241" s="730">
        <v>1</v>
      </c>
      <c r="W241" s="729" t="s">
        <v>243</v>
      </c>
      <c r="X241" s="729" t="s">
        <v>151</v>
      </c>
      <c r="Y241" s="2615">
        <f t="shared" si="36"/>
        <v>75</v>
      </c>
      <c r="Z241" s="872">
        <f>S241*V241</f>
        <v>75000</v>
      </c>
      <c r="AA241" s="947"/>
      <c r="AB241" s="690"/>
      <c r="AC241" s="930"/>
      <c r="AD241" s="930"/>
    </row>
    <row r="242" spans="1:30" s="931" customFormat="1" ht="21.75" customHeight="1">
      <c r="A242" s="1123"/>
      <c r="B242" s="1124"/>
      <c r="C242" s="692"/>
      <c r="D242" s="675"/>
      <c r="E242" s="674"/>
      <c r="F242" s="1020"/>
      <c r="G242" s="1020"/>
      <c r="H242" s="1021"/>
      <c r="I242" s="734"/>
      <c r="J242" s="4051" t="s">
        <v>898</v>
      </c>
      <c r="K242" s="4052"/>
      <c r="L242" s="4052"/>
      <c r="M242" s="4052"/>
      <c r="N242" s="4052"/>
      <c r="O242" s="4052"/>
      <c r="P242" s="4052"/>
      <c r="Q242" s="729">
        <v>30</v>
      </c>
      <c r="R242" s="1066" t="s">
        <v>25</v>
      </c>
      <c r="S242" s="1067">
        <v>4000</v>
      </c>
      <c r="T242" s="729" t="s">
        <v>0</v>
      </c>
      <c r="U242" s="709"/>
      <c r="V242" s="730">
        <v>1</v>
      </c>
      <c r="W242" s="729" t="s">
        <v>39</v>
      </c>
      <c r="X242" s="729" t="s">
        <v>151</v>
      </c>
      <c r="Y242" s="2615">
        <f t="shared" si="36"/>
        <v>120</v>
      </c>
      <c r="Z242" s="872">
        <f>S242*V242*Q242</f>
        <v>120000</v>
      </c>
      <c r="AA242" s="947"/>
      <c r="AB242" s="690"/>
      <c r="AC242" s="930"/>
      <c r="AD242" s="930"/>
    </row>
    <row r="243" spans="1:30" s="931" customFormat="1" ht="21.75" customHeight="1">
      <c r="A243" s="1123"/>
      <c r="B243" s="1124"/>
      <c r="C243" s="692"/>
      <c r="D243" s="675"/>
      <c r="E243" s="674"/>
      <c r="F243" s="1020"/>
      <c r="G243" s="1020"/>
      <c r="H243" s="1021"/>
      <c r="I243" s="734"/>
      <c r="J243" s="4051" t="s">
        <v>899</v>
      </c>
      <c r="K243" s="4052"/>
      <c r="L243" s="4052"/>
      <c r="M243" s="4052"/>
      <c r="N243" s="4052"/>
      <c r="O243" s="4052"/>
      <c r="P243" s="4052"/>
      <c r="Q243" s="729">
        <v>30</v>
      </c>
      <c r="R243" s="1066" t="s">
        <v>25</v>
      </c>
      <c r="S243" s="1067">
        <v>4500</v>
      </c>
      <c r="T243" s="729" t="s">
        <v>0</v>
      </c>
      <c r="U243" s="709"/>
      <c r="V243" s="730">
        <v>7</v>
      </c>
      <c r="W243" s="729" t="s">
        <v>39</v>
      </c>
      <c r="X243" s="729" t="s">
        <v>151</v>
      </c>
      <c r="Y243" s="2615">
        <f t="shared" si="36"/>
        <v>945</v>
      </c>
      <c r="Z243" s="872">
        <f>S243*V243*Q243</f>
        <v>945000</v>
      </c>
      <c r="AA243" s="947"/>
      <c r="AB243" s="690"/>
      <c r="AC243" s="930"/>
      <c r="AD243" s="930"/>
    </row>
    <row r="244" spans="1:30" s="931" customFormat="1" ht="21.75" customHeight="1">
      <c r="A244" s="1123"/>
      <c r="B244" s="1135"/>
      <c r="C244" s="674"/>
      <c r="D244" s="675"/>
      <c r="E244" s="674" t="s">
        <v>809</v>
      </c>
      <c r="F244" s="1020">
        <f>Y244</f>
        <v>120</v>
      </c>
      <c r="G244" s="1020">
        <v>120</v>
      </c>
      <c r="H244" s="1021"/>
      <c r="I244" s="734"/>
      <c r="J244" s="4051" t="s">
        <v>1818</v>
      </c>
      <c r="K244" s="4052"/>
      <c r="L244" s="4052"/>
      <c r="M244" s="4052"/>
      <c r="N244" s="4052"/>
      <c r="O244" s="4052"/>
      <c r="P244" s="4052"/>
      <c r="Q244" s="729">
        <v>4</v>
      </c>
      <c r="R244" s="1066" t="s">
        <v>267</v>
      </c>
      <c r="S244" s="1067">
        <v>10000</v>
      </c>
      <c r="T244" s="729" t="s">
        <v>0</v>
      </c>
      <c r="U244" s="709"/>
      <c r="V244" s="730">
        <v>3</v>
      </c>
      <c r="W244" s="729" t="s">
        <v>39</v>
      </c>
      <c r="X244" s="729" t="s">
        <v>151</v>
      </c>
      <c r="Y244" s="2615">
        <f t="shared" si="36"/>
        <v>120</v>
      </c>
      <c r="Z244" s="872">
        <f>Q244*S244*V244</f>
        <v>120000</v>
      </c>
      <c r="AA244" s="947"/>
      <c r="AB244" s="690"/>
      <c r="AC244" s="930"/>
      <c r="AD244" s="930"/>
    </row>
    <row r="245" spans="1:30" s="931" customFormat="1" ht="21.75" customHeight="1">
      <c r="A245" s="1123"/>
      <c r="B245" s="1124"/>
      <c r="C245" s="2009"/>
      <c r="D245" s="4075" t="s">
        <v>2513</v>
      </c>
      <c r="E245" s="4076"/>
      <c r="F245" s="2616">
        <f>SUM(F246:F256)</f>
        <v>5000</v>
      </c>
      <c r="G245" s="2616">
        <f>SUM(G246:G256)</f>
        <v>5000</v>
      </c>
      <c r="H245" s="2617">
        <f>F245-G245</f>
        <v>0</v>
      </c>
      <c r="I245" s="2618"/>
      <c r="J245" s="2619"/>
      <c r="K245" s="2620"/>
      <c r="L245" s="2620"/>
      <c r="M245" s="2620"/>
      <c r="N245" s="2620"/>
      <c r="O245" s="2620"/>
      <c r="P245" s="2620"/>
      <c r="Q245" s="2621"/>
      <c r="R245" s="2622"/>
      <c r="S245" s="2623"/>
      <c r="T245" s="2621"/>
      <c r="U245" s="2624"/>
      <c r="V245" s="2625"/>
      <c r="W245" s="2621"/>
      <c r="X245" s="2621"/>
      <c r="Y245" s="2626"/>
      <c r="Z245" s="2627"/>
      <c r="AA245" s="947"/>
      <c r="AB245" s="690"/>
      <c r="AC245" s="930"/>
      <c r="AD245" s="930"/>
    </row>
    <row r="246" spans="1:30" s="931" customFormat="1" ht="21.75" customHeight="1">
      <c r="A246" s="1123"/>
      <c r="B246" s="1124"/>
      <c r="C246" s="2009"/>
      <c r="D246" s="2628"/>
      <c r="E246" s="2117" t="s">
        <v>877</v>
      </c>
      <c r="F246" s="2629">
        <v>1040</v>
      </c>
      <c r="G246" s="2630">
        <v>1040</v>
      </c>
      <c r="H246" s="1190"/>
      <c r="I246" s="734"/>
      <c r="J246" s="4051" t="s">
        <v>2514</v>
      </c>
      <c r="K246" s="4052"/>
      <c r="L246" s="4052"/>
      <c r="M246" s="4052"/>
      <c r="N246" s="4052"/>
      <c r="O246" s="4052"/>
      <c r="P246" s="4052"/>
      <c r="Q246" s="729">
        <v>2</v>
      </c>
      <c r="R246" s="1066" t="s">
        <v>545</v>
      </c>
      <c r="S246" s="1067">
        <v>52000</v>
      </c>
      <c r="T246" s="729" t="s">
        <v>0</v>
      </c>
      <c r="U246" s="709"/>
      <c r="V246" s="730">
        <v>10</v>
      </c>
      <c r="W246" s="729" t="s">
        <v>24</v>
      </c>
      <c r="X246" s="729" t="s">
        <v>151</v>
      </c>
      <c r="Y246" s="1068">
        <v>1040</v>
      </c>
      <c r="Z246" s="2631">
        <v>1040000</v>
      </c>
      <c r="AA246" s="947"/>
      <c r="AB246" s="690"/>
      <c r="AC246" s="930"/>
      <c r="AD246" s="930"/>
    </row>
    <row r="247" spans="1:30" s="931" customFormat="1" ht="21.75" customHeight="1">
      <c r="A247" s="1123"/>
      <c r="B247" s="1124"/>
      <c r="C247" s="2009"/>
      <c r="D247" s="2632"/>
      <c r="E247" s="674" t="s">
        <v>380</v>
      </c>
      <c r="F247" s="2630">
        <v>1500</v>
      </c>
      <c r="G247" s="2630">
        <v>1500</v>
      </c>
      <c r="H247" s="1190"/>
      <c r="I247" s="734"/>
      <c r="J247" s="4051" t="s">
        <v>224</v>
      </c>
      <c r="K247" s="4052"/>
      <c r="L247" s="4052"/>
      <c r="M247" s="4052"/>
      <c r="N247" s="4052"/>
      <c r="O247" s="4052"/>
      <c r="P247" s="4052"/>
      <c r="Q247" s="729"/>
      <c r="R247" s="1066"/>
      <c r="S247" s="1067"/>
      <c r="T247" s="729"/>
      <c r="U247" s="709"/>
      <c r="V247" s="730"/>
      <c r="W247" s="729"/>
      <c r="X247" s="729"/>
      <c r="Y247" s="1068">
        <f>Z247/1000</f>
        <v>1500</v>
      </c>
      <c r="Z247" s="2631">
        <f>SUM(Z248:Z249)</f>
        <v>1500000</v>
      </c>
      <c r="AA247" s="947"/>
      <c r="AB247" s="690"/>
      <c r="AC247" s="930"/>
      <c r="AD247" s="930"/>
    </row>
    <row r="248" spans="1:30" s="931" customFormat="1" ht="21.75" customHeight="1">
      <c r="A248" s="1123"/>
      <c r="B248" s="1124"/>
      <c r="C248" s="2009"/>
      <c r="D248" s="2632"/>
      <c r="E248" s="674"/>
      <c r="F248" s="2630"/>
      <c r="G248" s="2630"/>
      <c r="H248" s="1022"/>
      <c r="I248" s="734"/>
      <c r="J248" s="4051" t="s">
        <v>2515</v>
      </c>
      <c r="K248" s="4052"/>
      <c r="L248" s="4052"/>
      <c r="M248" s="4052"/>
      <c r="N248" s="4052"/>
      <c r="O248" s="4052"/>
      <c r="P248" s="4052"/>
      <c r="Q248" s="729">
        <v>5</v>
      </c>
      <c r="R248" s="1066" t="s">
        <v>25</v>
      </c>
      <c r="S248" s="1067">
        <v>200000</v>
      </c>
      <c r="T248" s="729" t="s">
        <v>0</v>
      </c>
      <c r="U248" s="709"/>
      <c r="V248" s="730">
        <v>1</v>
      </c>
      <c r="W248" s="729" t="s">
        <v>39</v>
      </c>
      <c r="X248" s="729" t="s">
        <v>151</v>
      </c>
      <c r="Y248" s="1068">
        <f>Z248/1000</f>
        <v>1000</v>
      </c>
      <c r="Z248" s="2631">
        <f>S248*V248*Q248</f>
        <v>1000000</v>
      </c>
      <c r="AA248" s="947"/>
      <c r="AB248" s="690"/>
      <c r="AC248" s="930"/>
      <c r="AD248" s="930"/>
    </row>
    <row r="249" spans="1:30" s="931" customFormat="1" ht="21.75" customHeight="1">
      <c r="A249" s="1123"/>
      <c r="B249" s="1124"/>
      <c r="C249" s="2009"/>
      <c r="D249" s="2632"/>
      <c r="E249" s="674"/>
      <c r="F249" s="2630"/>
      <c r="G249" s="2630"/>
      <c r="H249" s="1022"/>
      <c r="I249" s="734"/>
      <c r="J249" s="4051" t="s">
        <v>2516</v>
      </c>
      <c r="K249" s="4052"/>
      <c r="L249" s="4052"/>
      <c r="M249" s="4052"/>
      <c r="N249" s="4052"/>
      <c r="O249" s="4052"/>
      <c r="P249" s="4052"/>
      <c r="Q249" s="729">
        <v>2</v>
      </c>
      <c r="R249" s="1066" t="s">
        <v>545</v>
      </c>
      <c r="S249" s="1067">
        <v>50000</v>
      </c>
      <c r="T249" s="729" t="s">
        <v>0</v>
      </c>
      <c r="U249" s="709"/>
      <c r="V249" s="730">
        <v>5</v>
      </c>
      <c r="W249" s="729" t="s">
        <v>39</v>
      </c>
      <c r="X249" s="729" t="s">
        <v>151</v>
      </c>
      <c r="Y249" s="1068">
        <f>Z249/1000</f>
        <v>500</v>
      </c>
      <c r="Z249" s="2631">
        <f>S249*V249*Q249</f>
        <v>500000</v>
      </c>
      <c r="AA249" s="947"/>
      <c r="AB249" s="690"/>
      <c r="AC249" s="930"/>
      <c r="AD249" s="930"/>
    </row>
    <row r="250" spans="1:30" s="931" customFormat="1" ht="21.75" customHeight="1">
      <c r="A250" s="1123"/>
      <c r="B250" s="1124"/>
      <c r="C250" s="2009"/>
      <c r="D250" s="2632"/>
      <c r="E250" s="674" t="s">
        <v>431</v>
      </c>
      <c r="F250" s="2630">
        <v>300</v>
      </c>
      <c r="G250" s="2630">
        <v>300</v>
      </c>
      <c r="H250" s="1190"/>
      <c r="I250" s="734"/>
      <c r="J250" s="4051" t="s">
        <v>2517</v>
      </c>
      <c r="K250" s="4052"/>
      <c r="L250" s="4052"/>
      <c r="M250" s="4052"/>
      <c r="N250" s="4052"/>
      <c r="O250" s="4052"/>
      <c r="P250" s="4052"/>
      <c r="Q250" s="729">
        <v>1</v>
      </c>
      <c r="R250" s="1066" t="s">
        <v>92</v>
      </c>
      <c r="S250" s="1067">
        <v>300000</v>
      </c>
      <c r="T250" s="729" t="s">
        <v>0</v>
      </c>
      <c r="U250" s="709"/>
      <c r="V250" s="730">
        <v>1</v>
      </c>
      <c r="W250" s="729" t="s">
        <v>3</v>
      </c>
      <c r="X250" s="729" t="s">
        <v>151</v>
      </c>
      <c r="Y250" s="1068">
        <v>300</v>
      </c>
      <c r="Z250" s="2631">
        <f>S250*V250*Q250</f>
        <v>300000</v>
      </c>
      <c r="AA250" s="947"/>
      <c r="AB250" s="690"/>
      <c r="AC250" s="930"/>
      <c r="AD250" s="930"/>
    </row>
    <row r="251" spans="1:30" s="931" customFormat="1" ht="21.75" customHeight="1">
      <c r="A251" s="1123"/>
      <c r="B251" s="1124"/>
      <c r="C251" s="2009"/>
      <c r="D251" s="2632"/>
      <c r="E251" s="674" t="s">
        <v>384</v>
      </c>
      <c r="F251" s="1020">
        <v>460</v>
      </c>
      <c r="G251" s="1020">
        <v>460</v>
      </c>
      <c r="H251" s="1190"/>
      <c r="I251" s="734"/>
      <c r="J251" s="4051" t="s">
        <v>2518</v>
      </c>
      <c r="K251" s="4052"/>
      <c r="L251" s="4052"/>
      <c r="M251" s="4052"/>
      <c r="N251" s="4052"/>
      <c r="O251" s="4052"/>
      <c r="P251" s="4052"/>
      <c r="Q251" s="729">
        <v>7</v>
      </c>
      <c r="R251" s="1066" t="s">
        <v>227</v>
      </c>
      <c r="S251" s="1067">
        <v>20000</v>
      </c>
      <c r="T251" s="729" t="s">
        <v>0</v>
      </c>
      <c r="U251" s="709"/>
      <c r="V251" s="730">
        <v>1</v>
      </c>
      <c r="W251" s="729" t="s">
        <v>3</v>
      </c>
      <c r="X251" s="729" t="s">
        <v>151</v>
      </c>
      <c r="Y251" s="1068">
        <f t="shared" ref="Y251" si="37">Z251/1000</f>
        <v>140</v>
      </c>
      <c r="Z251" s="2631">
        <f>Q251*S251*V251</f>
        <v>140000</v>
      </c>
      <c r="AA251" s="947"/>
      <c r="AB251" s="690"/>
      <c r="AC251" s="930"/>
      <c r="AD251" s="930"/>
    </row>
    <row r="252" spans="1:30" s="931" customFormat="1" ht="21.75" customHeight="1">
      <c r="A252" s="1123"/>
      <c r="B252" s="1124"/>
      <c r="C252" s="2009"/>
      <c r="D252" s="2632"/>
      <c r="E252" s="674"/>
      <c r="F252" s="2630"/>
      <c r="G252" s="2630"/>
      <c r="H252" s="1022"/>
      <c r="I252" s="734"/>
      <c r="J252" s="4051" t="s">
        <v>2519</v>
      </c>
      <c r="K252" s="4052"/>
      <c r="L252" s="4052"/>
      <c r="M252" s="2111"/>
      <c r="N252" s="2111"/>
      <c r="O252" s="2111"/>
      <c r="P252" s="2111"/>
      <c r="Q252" s="729">
        <v>8</v>
      </c>
      <c r="R252" s="1066" t="s">
        <v>227</v>
      </c>
      <c r="S252" s="1067">
        <v>10000</v>
      </c>
      <c r="T252" s="729" t="s">
        <v>0</v>
      </c>
      <c r="U252" s="709"/>
      <c r="V252" s="730">
        <v>4</v>
      </c>
      <c r="W252" s="729" t="s">
        <v>39</v>
      </c>
      <c r="X252" s="729" t="s">
        <v>151</v>
      </c>
      <c r="Y252" s="1068">
        <v>320</v>
      </c>
      <c r="Z252" s="2631">
        <v>320000</v>
      </c>
      <c r="AA252" s="947"/>
      <c r="AB252" s="690"/>
      <c r="AC252" s="930"/>
      <c r="AD252" s="930"/>
    </row>
    <row r="253" spans="1:30" s="931" customFormat="1" ht="21.75" customHeight="1">
      <c r="A253" s="1123"/>
      <c r="B253" s="1135"/>
      <c r="C253" s="2009"/>
      <c r="D253" s="2632"/>
      <c r="E253" s="674" t="s">
        <v>451</v>
      </c>
      <c r="F253" s="2630">
        <v>1700</v>
      </c>
      <c r="G253" s="2630">
        <v>1700</v>
      </c>
      <c r="H253" s="1190"/>
      <c r="I253" s="734"/>
      <c r="J253" s="4051" t="s">
        <v>224</v>
      </c>
      <c r="K253" s="4052"/>
      <c r="L253" s="4052"/>
      <c r="M253" s="4052"/>
      <c r="N253" s="4052"/>
      <c r="O253" s="4052"/>
      <c r="P253" s="4052"/>
      <c r="Q253" s="729"/>
      <c r="R253" s="1066"/>
      <c r="S253" s="1067"/>
      <c r="T253" s="729"/>
      <c r="U253" s="709"/>
      <c r="V253" s="730"/>
      <c r="W253" s="729"/>
      <c r="X253" s="729"/>
      <c r="Y253" s="1068"/>
      <c r="Z253" s="2631"/>
      <c r="AA253" s="947"/>
      <c r="AB253" s="690"/>
      <c r="AC253" s="930"/>
      <c r="AD253" s="930"/>
    </row>
    <row r="254" spans="1:30" s="931" customFormat="1" ht="21.75" customHeight="1">
      <c r="A254" s="1123"/>
      <c r="B254" s="1135"/>
      <c r="C254" s="2009"/>
      <c r="D254" s="2632"/>
      <c r="E254" s="675"/>
      <c r="F254" s="948"/>
      <c r="G254" s="948"/>
      <c r="H254" s="1022"/>
      <c r="I254" s="734"/>
      <c r="J254" s="4051" t="s">
        <v>2520</v>
      </c>
      <c r="K254" s="4052"/>
      <c r="L254" s="4052"/>
      <c r="M254" s="4052"/>
      <c r="N254" s="4052"/>
      <c r="O254" s="4052"/>
      <c r="P254" s="4052"/>
      <c r="Q254" s="729">
        <v>8</v>
      </c>
      <c r="R254" s="1066" t="s">
        <v>92</v>
      </c>
      <c r="S254" s="1067">
        <v>50000</v>
      </c>
      <c r="T254" s="729" t="s">
        <v>0</v>
      </c>
      <c r="U254" s="709"/>
      <c r="V254" s="730">
        <v>1</v>
      </c>
      <c r="W254" s="729" t="s">
        <v>3</v>
      </c>
      <c r="X254" s="729" t="s">
        <v>151</v>
      </c>
      <c r="Y254" s="1068">
        <f>Z254/1000</f>
        <v>400</v>
      </c>
      <c r="Z254" s="2631">
        <f>Q254*S254*V254</f>
        <v>400000</v>
      </c>
      <c r="AA254" s="947"/>
      <c r="AB254" s="690"/>
      <c r="AC254" s="930"/>
      <c r="AD254" s="930"/>
    </row>
    <row r="255" spans="1:30" s="931" customFormat="1" ht="21.75" customHeight="1">
      <c r="A255" s="1123"/>
      <c r="B255" s="1135"/>
      <c r="C255" s="2009"/>
      <c r="D255" s="2632"/>
      <c r="E255" s="674"/>
      <c r="F255" s="2630"/>
      <c r="G255" s="2630"/>
      <c r="H255" s="1022"/>
      <c r="I255" s="734"/>
      <c r="J255" s="4051" t="s">
        <v>2521</v>
      </c>
      <c r="K255" s="4052"/>
      <c r="L255" s="4052"/>
      <c r="M255" s="4052"/>
      <c r="N255" s="4052"/>
      <c r="O255" s="4052"/>
      <c r="P255" s="4052"/>
      <c r="Q255" s="729">
        <v>1</v>
      </c>
      <c r="R255" s="1066" t="s">
        <v>92</v>
      </c>
      <c r="S255" s="1067">
        <v>800000</v>
      </c>
      <c r="T255" s="729" t="s">
        <v>0</v>
      </c>
      <c r="U255" s="709"/>
      <c r="V255" s="730">
        <v>1</v>
      </c>
      <c r="W255" s="729" t="s">
        <v>3</v>
      </c>
      <c r="X255" s="729" t="s">
        <v>151</v>
      </c>
      <c r="Y255" s="1068">
        <v>800</v>
      </c>
      <c r="Z255" s="2631">
        <v>800000</v>
      </c>
      <c r="AA255" s="947"/>
      <c r="AB255" s="690"/>
      <c r="AC255" s="930"/>
      <c r="AD255" s="930"/>
    </row>
    <row r="256" spans="1:30" s="931" customFormat="1" ht="21.75" customHeight="1">
      <c r="A256" s="1123"/>
      <c r="B256" s="1135"/>
      <c r="C256" s="2009"/>
      <c r="D256" s="2633"/>
      <c r="E256" s="2634" t="s">
        <v>378</v>
      </c>
      <c r="F256" s="2635" t="s">
        <v>378</v>
      </c>
      <c r="G256" s="2635" t="s">
        <v>378</v>
      </c>
      <c r="H256" s="2636"/>
      <c r="I256" s="2637"/>
      <c r="J256" s="4077" t="s">
        <v>2522</v>
      </c>
      <c r="K256" s="4078"/>
      <c r="L256" s="4078"/>
      <c r="M256" s="4078"/>
      <c r="N256" s="4078"/>
      <c r="O256" s="4078"/>
      <c r="P256" s="4078"/>
      <c r="Q256" s="2638">
        <v>1</v>
      </c>
      <c r="R256" s="2639" t="s">
        <v>92</v>
      </c>
      <c r="S256" s="2640">
        <v>250000</v>
      </c>
      <c r="T256" s="2638" t="s">
        <v>0</v>
      </c>
      <c r="U256" s="2641"/>
      <c r="V256" s="2642">
        <v>2</v>
      </c>
      <c r="W256" s="2638" t="s">
        <v>3</v>
      </c>
      <c r="X256" s="2638" t="s">
        <v>151</v>
      </c>
      <c r="Y256" s="2643">
        <f>Z256/1000</f>
        <v>500</v>
      </c>
      <c r="Z256" s="2644">
        <f>Q256*S256*V256</f>
        <v>500000</v>
      </c>
      <c r="AA256" s="947"/>
      <c r="AB256" s="690"/>
      <c r="AC256" s="930"/>
      <c r="AD256" s="930"/>
    </row>
    <row r="257" spans="1:30" ht="21.75" customHeight="1">
      <c r="A257" s="761"/>
      <c r="B257" s="762"/>
      <c r="C257" s="3834" t="s">
        <v>1265</v>
      </c>
      <c r="D257" s="3915"/>
      <c r="E257" s="3916"/>
      <c r="F257" s="2010">
        <f>+F258</f>
        <v>18000</v>
      </c>
      <c r="G257" s="2010">
        <f>+G258</f>
        <v>18000</v>
      </c>
      <c r="H257" s="2011">
        <f>F257-G257</f>
        <v>0</v>
      </c>
      <c r="I257" s="634"/>
      <c r="J257" s="2007"/>
      <c r="K257" s="2008"/>
      <c r="L257" s="2008"/>
      <c r="M257" s="2008"/>
      <c r="N257" s="2008"/>
      <c r="O257" s="2008"/>
      <c r="P257" s="2008"/>
      <c r="Q257" s="726"/>
      <c r="R257" s="757"/>
      <c r="S257" s="765"/>
      <c r="T257" s="726"/>
      <c r="U257" s="1652"/>
      <c r="V257" s="500"/>
      <c r="W257" s="726"/>
      <c r="X257" s="726"/>
      <c r="Y257" s="766"/>
      <c r="Z257" s="501"/>
      <c r="AA257" s="947"/>
      <c r="AB257" s="690"/>
    </row>
    <row r="258" spans="1:30" ht="21.75" customHeight="1">
      <c r="A258" s="761"/>
      <c r="B258" s="762"/>
      <c r="C258" s="630"/>
      <c r="D258" s="1949" t="s">
        <v>1265</v>
      </c>
      <c r="E258" s="1930"/>
      <c r="F258" s="764">
        <f>SUM(F259:F263)</f>
        <v>18000</v>
      </c>
      <c r="G258" s="764">
        <f>SUM(G259:G263)</f>
        <v>18000</v>
      </c>
      <c r="H258" s="531">
        <f>F258-G258</f>
        <v>0</v>
      </c>
      <c r="I258" s="634"/>
      <c r="J258" s="1979"/>
      <c r="K258" s="1980"/>
      <c r="L258" s="1980"/>
      <c r="M258" s="1980"/>
      <c r="N258" s="1980"/>
      <c r="O258" s="1980"/>
      <c r="P258" s="1980"/>
      <c r="Q258" s="726"/>
      <c r="R258" s="757"/>
      <c r="S258" s="765"/>
      <c r="T258" s="726"/>
      <c r="U258" s="1652"/>
      <c r="V258" s="500"/>
      <c r="W258" s="726"/>
      <c r="X258" s="726"/>
      <c r="Y258" s="766"/>
      <c r="Z258" s="501"/>
      <c r="AA258" s="947"/>
      <c r="AB258" s="690"/>
    </row>
    <row r="259" spans="1:30" ht="21.75" customHeight="1">
      <c r="A259" s="761"/>
      <c r="B259" s="1137"/>
      <c r="C259" s="630"/>
      <c r="D259" s="468"/>
      <c r="E259" s="630" t="s">
        <v>379</v>
      </c>
      <c r="F259" s="1140">
        <f>Y259</f>
        <v>2900</v>
      </c>
      <c r="G259" s="1140">
        <v>2900</v>
      </c>
      <c r="H259" s="554"/>
      <c r="I259" s="634"/>
      <c r="J259" s="4059" t="s">
        <v>1836</v>
      </c>
      <c r="K259" s="4062"/>
      <c r="L259" s="4062"/>
      <c r="M259" s="4062"/>
      <c r="N259" s="4062"/>
      <c r="O259" s="4062"/>
      <c r="P259" s="4062"/>
      <c r="Q259" s="625"/>
      <c r="R259" s="752"/>
      <c r="S259" s="750">
        <v>1450000</v>
      </c>
      <c r="T259" s="625" t="s">
        <v>0</v>
      </c>
      <c r="U259" s="1934"/>
      <c r="V259" s="504">
        <v>2</v>
      </c>
      <c r="W259" s="625" t="s">
        <v>3</v>
      </c>
      <c r="X259" s="625" t="s">
        <v>151</v>
      </c>
      <c r="Y259" s="1139">
        <f>Z259/1000</f>
        <v>2900</v>
      </c>
      <c r="Z259" s="489">
        <f>S259*V259</f>
        <v>2900000</v>
      </c>
      <c r="AA259" s="947"/>
      <c r="AB259" s="690"/>
    </row>
    <row r="260" spans="1:30" ht="21.75" customHeight="1">
      <c r="A260" s="761"/>
      <c r="B260" s="1137"/>
      <c r="C260" s="630"/>
      <c r="D260" s="468"/>
      <c r="E260" s="630" t="s">
        <v>431</v>
      </c>
      <c r="F260" s="1138">
        <f>Y260</f>
        <v>15000</v>
      </c>
      <c r="G260" s="1138">
        <v>15000</v>
      </c>
      <c r="H260" s="554"/>
      <c r="I260" s="634"/>
      <c r="J260" s="4059" t="s">
        <v>224</v>
      </c>
      <c r="K260" s="4062"/>
      <c r="L260" s="4062"/>
      <c r="M260" s="4062"/>
      <c r="N260" s="4062"/>
      <c r="O260" s="4062"/>
      <c r="P260" s="4062"/>
      <c r="Q260" s="625"/>
      <c r="R260" s="752"/>
      <c r="S260" s="750"/>
      <c r="T260" s="625"/>
      <c r="U260" s="1934"/>
      <c r="V260" s="504"/>
      <c r="W260" s="625"/>
      <c r="X260" s="625"/>
      <c r="Y260" s="1139">
        <f t="shared" ref="Y260:Y262" si="38">Z260/1000</f>
        <v>15000</v>
      </c>
      <c r="Z260" s="489">
        <f>SUM(Z261:Z262)</f>
        <v>15000000</v>
      </c>
      <c r="AA260" s="947"/>
      <c r="AB260" s="690"/>
    </row>
    <row r="261" spans="1:30" ht="21.75" customHeight="1">
      <c r="A261" s="761"/>
      <c r="B261" s="1137"/>
      <c r="C261" s="630"/>
      <c r="D261" s="468"/>
      <c r="E261" s="630"/>
      <c r="F261" s="1138"/>
      <c r="G261" s="1138"/>
      <c r="H261" s="554"/>
      <c r="I261" s="634"/>
      <c r="J261" s="4059" t="s">
        <v>1269</v>
      </c>
      <c r="K261" s="4062"/>
      <c r="L261" s="4062"/>
      <c r="M261" s="4062"/>
      <c r="N261" s="4062"/>
      <c r="O261" s="4062"/>
      <c r="P261" s="4062"/>
      <c r="Q261" s="625"/>
      <c r="R261" s="752"/>
      <c r="S261" s="750">
        <v>10000000</v>
      </c>
      <c r="T261" s="625" t="s">
        <v>0</v>
      </c>
      <c r="U261" s="1934"/>
      <c r="V261" s="504">
        <v>1</v>
      </c>
      <c r="W261" s="625" t="s">
        <v>39</v>
      </c>
      <c r="X261" s="625" t="s">
        <v>151</v>
      </c>
      <c r="Y261" s="1139">
        <f t="shared" si="38"/>
        <v>10000</v>
      </c>
      <c r="Z261" s="489">
        <f>S261*V261</f>
        <v>10000000</v>
      </c>
      <c r="AA261" s="947"/>
      <c r="AB261" s="690"/>
    </row>
    <row r="262" spans="1:30" ht="21.75" customHeight="1">
      <c r="A262" s="761"/>
      <c r="B262" s="1137"/>
      <c r="C262" s="630"/>
      <c r="D262" s="468"/>
      <c r="E262" s="630"/>
      <c r="F262" s="1138"/>
      <c r="G262" s="1138"/>
      <c r="H262" s="554"/>
      <c r="I262" s="634"/>
      <c r="J262" s="4059" t="s">
        <v>1270</v>
      </c>
      <c r="K262" s="4062"/>
      <c r="L262" s="4062"/>
      <c r="M262" s="4062"/>
      <c r="N262" s="4062"/>
      <c r="O262" s="4062"/>
      <c r="P262" s="4062"/>
      <c r="Q262" s="625"/>
      <c r="R262" s="752"/>
      <c r="S262" s="750">
        <v>5000000</v>
      </c>
      <c r="T262" s="625" t="s">
        <v>0</v>
      </c>
      <c r="U262" s="1934"/>
      <c r="V262" s="504">
        <v>1</v>
      </c>
      <c r="W262" s="625" t="s">
        <v>39</v>
      </c>
      <c r="X262" s="625" t="s">
        <v>151</v>
      </c>
      <c r="Y262" s="1139">
        <f t="shared" si="38"/>
        <v>5000</v>
      </c>
      <c r="Z262" s="489">
        <f>S262*V262</f>
        <v>5000000</v>
      </c>
      <c r="AA262" s="947"/>
      <c r="AB262" s="690"/>
    </row>
    <row r="263" spans="1:30" ht="21.75" customHeight="1">
      <c r="A263" s="761"/>
      <c r="B263" s="762"/>
      <c r="C263" s="630"/>
      <c r="D263" s="493"/>
      <c r="E263" s="1358" t="s">
        <v>384</v>
      </c>
      <c r="F263" s="1141">
        <f>Y263</f>
        <v>100</v>
      </c>
      <c r="G263" s="1141">
        <v>100</v>
      </c>
      <c r="H263" s="756"/>
      <c r="I263" s="634"/>
      <c r="J263" s="4063" t="s">
        <v>1837</v>
      </c>
      <c r="K263" s="4064"/>
      <c r="L263" s="4064"/>
      <c r="M263" s="4064"/>
      <c r="N263" s="4064"/>
      <c r="O263" s="4064"/>
      <c r="P263" s="4064"/>
      <c r="Q263" s="726">
        <v>1</v>
      </c>
      <c r="R263" s="757" t="s">
        <v>92</v>
      </c>
      <c r="S263" s="765">
        <v>50000</v>
      </c>
      <c r="T263" s="726" t="s">
        <v>0</v>
      </c>
      <c r="U263" s="1652"/>
      <c r="V263" s="500">
        <v>2</v>
      </c>
      <c r="W263" s="726" t="s">
        <v>3</v>
      </c>
      <c r="X263" s="726" t="s">
        <v>151</v>
      </c>
      <c r="Y263" s="766">
        <f>Z263/1000</f>
        <v>100</v>
      </c>
      <c r="Z263" s="501">
        <f>Q263*S263*V263</f>
        <v>100000</v>
      </c>
      <c r="AA263" s="947"/>
      <c r="AB263" s="690"/>
    </row>
    <row r="264" spans="1:30" s="668" customFormat="1" ht="21.75" customHeight="1">
      <c r="A264" s="1931"/>
      <c r="B264" s="630"/>
      <c r="C264" s="4000" t="s">
        <v>918</v>
      </c>
      <c r="D264" s="4022"/>
      <c r="E264" s="4023"/>
      <c r="F264" s="722">
        <f>F265</f>
        <v>40000</v>
      </c>
      <c r="G264" s="722">
        <f>G265</f>
        <v>40000</v>
      </c>
      <c r="H264" s="495">
        <f t="shared" ref="H264:H265" si="39">F264-G264</f>
        <v>0</v>
      </c>
      <c r="I264" s="471"/>
      <c r="J264" s="1774"/>
      <c r="K264" s="1775"/>
      <c r="L264" s="1775"/>
      <c r="M264" s="1775"/>
      <c r="N264" s="1775"/>
      <c r="O264" s="1775"/>
      <c r="P264" s="1776"/>
      <c r="Q264" s="618"/>
      <c r="R264" s="616"/>
      <c r="S264" s="618"/>
      <c r="T264" s="618"/>
      <c r="U264" s="499"/>
      <c r="V264" s="618"/>
      <c r="W264" s="618"/>
      <c r="X264" s="619"/>
      <c r="Y264" s="767"/>
      <c r="Z264" s="667"/>
      <c r="AA264" s="947"/>
      <c r="AB264" s="690"/>
      <c r="AC264" s="793"/>
      <c r="AD264" s="793"/>
    </row>
    <row r="265" spans="1:30" s="668" customFormat="1" ht="21.75" customHeight="1">
      <c r="A265" s="1931"/>
      <c r="B265" s="630"/>
      <c r="C265" s="468"/>
      <c r="D265" s="3823" t="s">
        <v>1271</v>
      </c>
      <c r="E265" s="3824"/>
      <c r="F265" s="768">
        <f>SUM(F266:F273)</f>
        <v>40000</v>
      </c>
      <c r="G265" s="768">
        <f>SUM(G266:G273)</f>
        <v>40000</v>
      </c>
      <c r="H265" s="769">
        <f t="shared" si="39"/>
        <v>0</v>
      </c>
      <c r="I265" s="471"/>
      <c r="J265" s="1774"/>
      <c r="K265" s="1777"/>
      <c r="L265" s="1777"/>
      <c r="M265" s="1777"/>
      <c r="N265" s="1777"/>
      <c r="O265" s="1777"/>
      <c r="P265" s="1777"/>
      <c r="Q265" s="1652"/>
      <c r="R265" s="499"/>
      <c r="S265" s="497"/>
      <c r="T265" s="1652"/>
      <c r="U265" s="1652"/>
      <c r="V265" s="497"/>
      <c r="W265" s="1652"/>
      <c r="X265" s="770"/>
      <c r="Y265" s="771"/>
      <c r="Z265" s="667">
        <f>AB265</f>
        <v>0</v>
      </c>
      <c r="AA265" s="947"/>
      <c r="AB265" s="690"/>
      <c r="AC265" s="793"/>
      <c r="AD265" s="793"/>
    </row>
    <row r="266" spans="1:30" s="668" customFormat="1" ht="21.75" customHeight="1">
      <c r="A266" s="1931"/>
      <c r="B266" s="630"/>
      <c r="C266" s="468"/>
      <c r="D266" s="670"/>
      <c r="E266" s="535" t="s">
        <v>388</v>
      </c>
      <c r="F266" s="558">
        <f>+Y266</f>
        <v>23000</v>
      </c>
      <c r="G266" s="550">
        <v>23000</v>
      </c>
      <c r="H266" s="655"/>
      <c r="I266" s="471"/>
      <c r="J266" s="1778" t="s">
        <v>920</v>
      </c>
      <c r="K266" s="1779"/>
      <c r="L266" s="1779"/>
      <c r="M266" s="1779"/>
      <c r="N266" s="1779"/>
      <c r="O266" s="1779"/>
      <c r="P266" s="1780"/>
      <c r="Q266" s="1965">
        <v>1</v>
      </c>
      <c r="R266" s="1948" t="s">
        <v>25</v>
      </c>
      <c r="S266" s="1965">
        <v>2300000</v>
      </c>
      <c r="T266" s="1965" t="s">
        <v>0</v>
      </c>
      <c r="U266" s="479"/>
      <c r="V266" s="1965">
        <v>10</v>
      </c>
      <c r="W266" s="1965" t="s">
        <v>29</v>
      </c>
      <c r="X266" s="553" t="s">
        <v>1</v>
      </c>
      <c r="Y266" s="560">
        <f t="shared" ref="Y266:Y273" si="40">+Z266/1000</f>
        <v>23000</v>
      </c>
      <c r="Z266" s="658">
        <f>Q266*S266*V266</f>
        <v>23000000</v>
      </c>
      <c r="AA266" s="947"/>
      <c r="AB266" s="690"/>
      <c r="AC266" s="793"/>
      <c r="AD266" s="793"/>
    </row>
    <row r="267" spans="1:30" s="635" customFormat="1" ht="21.75" customHeight="1">
      <c r="A267" s="1931"/>
      <c r="B267" s="630"/>
      <c r="C267" s="468"/>
      <c r="D267" s="505"/>
      <c r="E267" s="535" t="s">
        <v>264</v>
      </c>
      <c r="F267" s="558">
        <f>+Y267</f>
        <v>1000</v>
      </c>
      <c r="G267" s="550">
        <v>1000</v>
      </c>
      <c r="H267" s="655"/>
      <c r="I267" s="471"/>
      <c r="J267" s="1778" t="s">
        <v>1838</v>
      </c>
      <c r="K267" s="1779"/>
      <c r="L267" s="1779"/>
      <c r="M267" s="1779"/>
      <c r="N267" s="1779"/>
      <c r="O267" s="1779"/>
      <c r="P267" s="1780"/>
      <c r="Q267" s="1965"/>
      <c r="R267" s="1948"/>
      <c r="S267" s="1965">
        <v>500000</v>
      </c>
      <c r="T267" s="1965" t="s">
        <v>0</v>
      </c>
      <c r="U267" s="479"/>
      <c r="V267" s="1965">
        <v>2</v>
      </c>
      <c r="W267" s="1948" t="s">
        <v>3</v>
      </c>
      <c r="X267" s="553" t="s">
        <v>1</v>
      </c>
      <c r="Y267" s="560">
        <f>+Z267/1000</f>
        <v>1000</v>
      </c>
      <c r="Z267" s="658">
        <f t="shared" ref="Z267:Z273" si="41">S267*V267</f>
        <v>1000000</v>
      </c>
      <c r="AA267" s="947"/>
      <c r="AB267" s="690"/>
      <c r="AC267" s="794"/>
      <c r="AD267" s="794"/>
    </row>
    <row r="268" spans="1:30" s="635" customFormat="1" ht="21.75" customHeight="1">
      <c r="A268" s="1931"/>
      <c r="B268" s="630"/>
      <c r="C268" s="468"/>
      <c r="D268" s="505"/>
      <c r="E268" s="535" t="s">
        <v>225</v>
      </c>
      <c r="F268" s="558">
        <f>+Y268</f>
        <v>600</v>
      </c>
      <c r="G268" s="550">
        <v>600</v>
      </c>
      <c r="H268" s="655"/>
      <c r="I268" s="471"/>
      <c r="J268" s="1778" t="s">
        <v>1272</v>
      </c>
      <c r="K268" s="1779"/>
      <c r="L268" s="1779"/>
      <c r="M268" s="1779"/>
      <c r="N268" s="1779"/>
      <c r="O268" s="1779"/>
      <c r="P268" s="1780"/>
      <c r="Q268" s="1965">
        <v>2</v>
      </c>
      <c r="R268" s="1948" t="s">
        <v>227</v>
      </c>
      <c r="S268" s="1965">
        <v>30000</v>
      </c>
      <c r="T268" s="1965" t="s">
        <v>0</v>
      </c>
      <c r="U268" s="479"/>
      <c r="V268" s="1965">
        <v>20</v>
      </c>
      <c r="W268" s="1948" t="s">
        <v>39</v>
      </c>
      <c r="X268" s="553" t="s">
        <v>1</v>
      </c>
      <c r="Y268" s="560">
        <f>+Z268/1000</f>
        <v>600</v>
      </c>
      <c r="Z268" s="658">
        <f>S268*V268</f>
        <v>600000</v>
      </c>
      <c r="AA268" s="947"/>
      <c r="AB268" s="690"/>
      <c r="AC268" s="794"/>
      <c r="AD268" s="794"/>
    </row>
    <row r="269" spans="1:30" s="668" customFormat="1" ht="21.75" customHeight="1">
      <c r="A269" s="1931"/>
      <c r="B269" s="630"/>
      <c r="C269" s="716"/>
      <c r="D269" s="596"/>
      <c r="E269" s="535" t="s">
        <v>906</v>
      </c>
      <c r="F269" s="558">
        <f>+Y269</f>
        <v>12000</v>
      </c>
      <c r="G269" s="550">
        <v>12000</v>
      </c>
      <c r="H269" s="655"/>
      <c r="I269" s="471"/>
      <c r="J269" s="1778" t="s">
        <v>1839</v>
      </c>
      <c r="K269" s="1779"/>
      <c r="L269" s="1779"/>
      <c r="M269" s="1779"/>
      <c r="N269" s="1779"/>
      <c r="O269" s="1779"/>
      <c r="P269" s="1780"/>
      <c r="Q269" s="1965"/>
      <c r="R269" s="1948"/>
      <c r="S269" s="1965">
        <v>1200000</v>
      </c>
      <c r="T269" s="1965" t="s">
        <v>0</v>
      </c>
      <c r="U269" s="479"/>
      <c r="V269" s="1965">
        <v>10</v>
      </c>
      <c r="W269" s="1965" t="s">
        <v>230</v>
      </c>
      <c r="X269" s="553" t="s">
        <v>38</v>
      </c>
      <c r="Y269" s="560">
        <f>+Z269/1000</f>
        <v>12000</v>
      </c>
      <c r="Z269" s="658">
        <f>S269*V269</f>
        <v>12000000</v>
      </c>
      <c r="AA269" s="947"/>
      <c r="AB269" s="690"/>
      <c r="AC269" s="793"/>
      <c r="AD269" s="793"/>
    </row>
    <row r="270" spans="1:30" s="635" customFormat="1" ht="21.75" customHeight="1">
      <c r="A270" s="1931"/>
      <c r="B270" s="630"/>
      <c r="C270" s="468"/>
      <c r="D270" s="505"/>
      <c r="E270" s="535" t="s">
        <v>380</v>
      </c>
      <c r="F270" s="558">
        <f>+Y270</f>
        <v>400</v>
      </c>
      <c r="G270" s="550">
        <v>400</v>
      </c>
      <c r="H270" s="655"/>
      <c r="I270" s="471"/>
      <c r="J270" s="1778" t="s">
        <v>922</v>
      </c>
      <c r="K270" s="1779"/>
      <c r="L270" s="1779"/>
      <c r="M270" s="1779"/>
      <c r="N270" s="1779"/>
      <c r="O270" s="1779"/>
      <c r="P270" s="1780"/>
      <c r="Q270" s="1965"/>
      <c r="R270" s="1948"/>
      <c r="S270" s="1965">
        <v>400000</v>
      </c>
      <c r="T270" s="1965" t="s">
        <v>0</v>
      </c>
      <c r="U270" s="479"/>
      <c r="V270" s="1965">
        <v>1</v>
      </c>
      <c r="W270" s="1948" t="s">
        <v>3</v>
      </c>
      <c r="X270" s="553" t="s">
        <v>1</v>
      </c>
      <c r="Y270" s="560">
        <f>+Z270/1000</f>
        <v>400</v>
      </c>
      <c r="Z270" s="658">
        <f>S270*V270</f>
        <v>400000</v>
      </c>
      <c r="AA270" s="947"/>
      <c r="AB270" s="690"/>
      <c r="AC270" s="794"/>
      <c r="AD270" s="794"/>
    </row>
    <row r="271" spans="1:30" s="635" customFormat="1" ht="21.75" customHeight="1">
      <c r="A271" s="1931"/>
      <c r="B271" s="630"/>
      <c r="C271" s="468"/>
      <c r="D271" s="505"/>
      <c r="E271" s="535" t="s">
        <v>262</v>
      </c>
      <c r="F271" s="558">
        <f t="shared" ref="F271:F273" si="42">+Y271</f>
        <v>1000</v>
      </c>
      <c r="G271" s="550">
        <v>1000</v>
      </c>
      <c r="H271" s="655"/>
      <c r="I271" s="471"/>
      <c r="J271" s="1778" t="s">
        <v>921</v>
      </c>
      <c r="K271" s="1779"/>
      <c r="L271" s="1779"/>
      <c r="M271" s="1779"/>
      <c r="N271" s="1779"/>
      <c r="O271" s="1779"/>
      <c r="P271" s="1780"/>
      <c r="Q271" s="1965"/>
      <c r="R271" s="1948"/>
      <c r="S271" s="1965">
        <v>1000000</v>
      </c>
      <c r="T271" s="1965" t="s">
        <v>0</v>
      </c>
      <c r="U271" s="479"/>
      <c r="V271" s="1965">
        <v>1</v>
      </c>
      <c r="W271" s="1965" t="s">
        <v>39</v>
      </c>
      <c r="X271" s="553" t="s">
        <v>1</v>
      </c>
      <c r="Y271" s="560">
        <f t="shared" si="40"/>
        <v>1000</v>
      </c>
      <c r="Z271" s="658">
        <f t="shared" si="41"/>
        <v>1000000</v>
      </c>
      <c r="AA271" s="947"/>
      <c r="AB271" s="690"/>
      <c r="AC271" s="794"/>
      <c r="AD271" s="794"/>
    </row>
    <row r="272" spans="1:30" s="635" customFormat="1" ht="21.75" customHeight="1">
      <c r="A272" s="1931"/>
      <c r="B272" s="630"/>
      <c r="C272" s="468"/>
      <c r="D272" s="505"/>
      <c r="E272" s="535" t="s">
        <v>17</v>
      </c>
      <c r="F272" s="558">
        <f t="shared" si="42"/>
        <v>1000</v>
      </c>
      <c r="G272" s="550">
        <v>1000</v>
      </c>
      <c r="H272" s="655"/>
      <c r="I272" s="471"/>
      <c r="J272" s="1778" t="s">
        <v>923</v>
      </c>
      <c r="K272" s="1779"/>
      <c r="L272" s="1779"/>
      <c r="M272" s="1779"/>
      <c r="N272" s="1779"/>
      <c r="O272" s="1779"/>
      <c r="P272" s="1780"/>
      <c r="Q272" s="1965"/>
      <c r="R272" s="1948"/>
      <c r="S272" s="1965">
        <v>100000</v>
      </c>
      <c r="T272" s="1965" t="s">
        <v>0</v>
      </c>
      <c r="U272" s="479"/>
      <c r="V272" s="1965">
        <v>10</v>
      </c>
      <c r="W272" s="1948" t="s">
        <v>3</v>
      </c>
      <c r="X272" s="553" t="s">
        <v>1</v>
      </c>
      <c r="Y272" s="560">
        <f t="shared" si="40"/>
        <v>1000</v>
      </c>
      <c r="Z272" s="658">
        <f t="shared" si="41"/>
        <v>1000000</v>
      </c>
      <c r="AA272" s="947"/>
      <c r="AB272" s="690"/>
      <c r="AC272" s="794"/>
      <c r="AD272" s="794"/>
    </row>
    <row r="273" spans="1:30" s="635" customFormat="1" ht="21.75" customHeight="1" thickBot="1">
      <c r="A273" s="772"/>
      <c r="B273" s="637"/>
      <c r="C273" s="519"/>
      <c r="D273" s="1387"/>
      <c r="E273" s="774" t="s">
        <v>384</v>
      </c>
      <c r="F273" s="775">
        <f t="shared" si="42"/>
        <v>1000</v>
      </c>
      <c r="G273" s="776">
        <v>1000</v>
      </c>
      <c r="H273" s="777"/>
      <c r="I273" s="471"/>
      <c r="J273" s="1781" t="s">
        <v>924</v>
      </c>
      <c r="K273" s="1782"/>
      <c r="L273" s="1782"/>
      <c r="M273" s="1782"/>
      <c r="N273" s="1782"/>
      <c r="O273" s="1782"/>
      <c r="P273" s="1783"/>
      <c r="Q273" s="778"/>
      <c r="R273" s="779"/>
      <c r="S273" s="778">
        <v>200000</v>
      </c>
      <c r="T273" s="778" t="s">
        <v>0</v>
      </c>
      <c r="U273" s="521"/>
      <c r="V273" s="778">
        <v>5</v>
      </c>
      <c r="W273" s="779" t="s">
        <v>3</v>
      </c>
      <c r="X273" s="780" t="s">
        <v>1</v>
      </c>
      <c r="Y273" s="781">
        <f t="shared" si="40"/>
        <v>1000</v>
      </c>
      <c r="Z273" s="782">
        <f t="shared" si="41"/>
        <v>1000000</v>
      </c>
      <c r="AA273" s="947"/>
      <c r="AB273" s="690"/>
      <c r="AC273" s="794"/>
      <c r="AD273" s="794"/>
    </row>
  </sheetData>
  <autoFilter ref="A4:AJ256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77">
    <mergeCell ref="J256:P256"/>
    <mergeCell ref="C257:E257"/>
    <mergeCell ref="J260:P260"/>
    <mergeCell ref="J261:P261"/>
    <mergeCell ref="J262:P262"/>
    <mergeCell ref="J259:P259"/>
    <mergeCell ref="J263:P263"/>
    <mergeCell ref="C264:E264"/>
    <mergeCell ref="D265:E265"/>
    <mergeCell ref="J250:P250"/>
    <mergeCell ref="J251:P251"/>
    <mergeCell ref="J254:P254"/>
    <mergeCell ref="J255:P255"/>
    <mergeCell ref="D231:E231"/>
    <mergeCell ref="J231:P231"/>
    <mergeCell ref="J232:P232"/>
    <mergeCell ref="J233:P233"/>
    <mergeCell ref="J234:P234"/>
    <mergeCell ref="J235:P235"/>
    <mergeCell ref="J236:P236"/>
    <mergeCell ref="J237:P237"/>
    <mergeCell ref="J253:P253"/>
    <mergeCell ref="J238:P238"/>
    <mergeCell ref="J239:P239"/>
    <mergeCell ref="J240:P240"/>
    <mergeCell ref="J241:P241"/>
    <mergeCell ref="J242:P242"/>
    <mergeCell ref="J243:P243"/>
    <mergeCell ref="J244:P244"/>
    <mergeCell ref="J248:P248"/>
    <mergeCell ref="J249:P249"/>
    <mergeCell ref="J252:L252"/>
    <mergeCell ref="J230:P230"/>
    <mergeCell ref="J215:P215"/>
    <mergeCell ref="J216:P216"/>
    <mergeCell ref="J217:P217"/>
    <mergeCell ref="J218:P218"/>
    <mergeCell ref="J219:P219"/>
    <mergeCell ref="D245:E245"/>
    <mergeCell ref="J246:P246"/>
    <mergeCell ref="J247:P247"/>
    <mergeCell ref="D220:E220"/>
    <mergeCell ref="J227:P227"/>
    <mergeCell ref="J228:P228"/>
    <mergeCell ref="J229:P229"/>
    <mergeCell ref="J222:P222"/>
    <mergeCell ref="J223:P223"/>
    <mergeCell ref="J224:P224"/>
    <mergeCell ref="J225:P225"/>
    <mergeCell ref="J226:P226"/>
    <mergeCell ref="C206:E206"/>
    <mergeCell ref="D207:E207"/>
    <mergeCell ref="J208:P208"/>
    <mergeCell ref="J209:P209"/>
    <mergeCell ref="J187:P187"/>
    <mergeCell ref="J188:P188"/>
    <mergeCell ref="J213:P213"/>
    <mergeCell ref="J214:P214"/>
    <mergeCell ref="J221:P221"/>
    <mergeCell ref="J190:P190"/>
    <mergeCell ref="J191:P191"/>
    <mergeCell ref="J192:P192"/>
    <mergeCell ref="J193:P193"/>
    <mergeCell ref="J194:P194"/>
    <mergeCell ref="J195:P195"/>
    <mergeCell ref="J205:P205"/>
    <mergeCell ref="J196:P196"/>
    <mergeCell ref="J197:P197"/>
    <mergeCell ref="J198:P198"/>
    <mergeCell ref="J199:P199"/>
    <mergeCell ref="J181:P181"/>
    <mergeCell ref="J182:P182"/>
    <mergeCell ref="J183:P183"/>
    <mergeCell ref="J184:P184"/>
    <mergeCell ref="J185:P185"/>
    <mergeCell ref="J186:P186"/>
    <mergeCell ref="J210:P210"/>
    <mergeCell ref="J211:P211"/>
    <mergeCell ref="J212:P212"/>
    <mergeCell ref="J200:P200"/>
    <mergeCell ref="J201:P201"/>
    <mergeCell ref="J202:P202"/>
    <mergeCell ref="J203:P203"/>
    <mergeCell ref="J204:P204"/>
    <mergeCell ref="J174:P174"/>
    <mergeCell ref="J175:P175"/>
    <mergeCell ref="J176:P176"/>
    <mergeCell ref="J178:P178"/>
    <mergeCell ref="J179:P179"/>
    <mergeCell ref="J180:P180"/>
    <mergeCell ref="J167:P167"/>
    <mergeCell ref="J168:P168"/>
    <mergeCell ref="J169:P169"/>
    <mergeCell ref="J171:P171"/>
    <mergeCell ref="J172:P172"/>
    <mergeCell ref="J173:P173"/>
    <mergeCell ref="J162:P162"/>
    <mergeCell ref="J163:P163"/>
    <mergeCell ref="J164:P164"/>
    <mergeCell ref="J165:P165"/>
    <mergeCell ref="J166:P166"/>
    <mergeCell ref="J153:P153"/>
    <mergeCell ref="J154:P154"/>
    <mergeCell ref="J155:P155"/>
    <mergeCell ref="J158:P158"/>
    <mergeCell ref="J156:P156"/>
    <mergeCell ref="J157:M157"/>
    <mergeCell ref="J159:P159"/>
    <mergeCell ref="J160:P160"/>
    <mergeCell ref="J148:P148"/>
    <mergeCell ref="J149:P149"/>
    <mergeCell ref="J150:P150"/>
    <mergeCell ref="J152:P152"/>
    <mergeCell ref="C143:E143"/>
    <mergeCell ref="Q143:S143"/>
    <mergeCell ref="X143:Y143"/>
    <mergeCell ref="D144:E144"/>
    <mergeCell ref="J145:P145"/>
    <mergeCell ref="D129:E129"/>
    <mergeCell ref="J130:P130"/>
    <mergeCell ref="D131:E131"/>
    <mergeCell ref="J132:P132"/>
    <mergeCell ref="D133:E133"/>
    <mergeCell ref="J134:P134"/>
    <mergeCell ref="J137:P137"/>
    <mergeCell ref="J146:P146"/>
    <mergeCell ref="J147:P147"/>
    <mergeCell ref="J138:P138"/>
    <mergeCell ref="J139:P139"/>
    <mergeCell ref="J140:P140"/>
    <mergeCell ref="J141:P141"/>
    <mergeCell ref="J142:P142"/>
    <mergeCell ref="J135:P135"/>
    <mergeCell ref="J136:P136"/>
    <mergeCell ref="J105:P105"/>
    <mergeCell ref="J111:P111"/>
    <mergeCell ref="J112:P112"/>
    <mergeCell ref="J113:P113"/>
    <mergeCell ref="J114:P114"/>
    <mergeCell ref="J115:P115"/>
    <mergeCell ref="J116:P116"/>
    <mergeCell ref="J106:P106"/>
    <mergeCell ref="J107:P107"/>
    <mergeCell ref="J108:P108"/>
    <mergeCell ref="J109:P109"/>
    <mergeCell ref="J127:P127"/>
    <mergeCell ref="J128:P128"/>
    <mergeCell ref="D122:E122"/>
    <mergeCell ref="J123:P123"/>
    <mergeCell ref="J124:P124"/>
    <mergeCell ref="J125:P125"/>
    <mergeCell ref="J126:P126"/>
    <mergeCell ref="J117:P117"/>
    <mergeCell ref="J118:P118"/>
    <mergeCell ref="J119:P119"/>
    <mergeCell ref="J120:P120"/>
    <mergeCell ref="J121:P121"/>
    <mergeCell ref="A1:Y1"/>
    <mergeCell ref="A3:E3"/>
    <mergeCell ref="F3:F4"/>
    <mergeCell ref="G3:G4"/>
    <mergeCell ref="H3:H4"/>
    <mergeCell ref="J3:Y4"/>
    <mergeCell ref="D8:E8"/>
    <mergeCell ref="C103:E103"/>
    <mergeCell ref="C85:E85"/>
    <mergeCell ref="J91:P91"/>
    <mergeCell ref="J87:P87"/>
    <mergeCell ref="J88:P88"/>
    <mergeCell ref="J89:P89"/>
    <mergeCell ref="J90:P90"/>
    <mergeCell ref="A5:E5"/>
    <mergeCell ref="C7:E7"/>
    <mergeCell ref="D20:E20"/>
    <mergeCell ref="D80:E80"/>
    <mergeCell ref="C84:E84"/>
    <mergeCell ref="J92:P92"/>
  </mergeCells>
  <phoneticPr fontId="15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  <rowBreaks count="4" manualBreakCount="4">
    <brk id="41" max="24" man="1"/>
    <brk id="83" max="24" man="1"/>
    <brk id="128" max="24" man="1"/>
    <brk id="169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F663" sqref="F663:G663"/>
      <selection pane="bottomLeft" activeCell="A2" sqref="A2"/>
    </sheetView>
  </sheetViews>
  <sheetFormatPr defaultRowHeight="21.75" customHeight="1"/>
  <cols>
    <col min="1" max="1" width="6.77734375" style="18" customWidth="1"/>
    <col min="2" max="2" width="8" style="18" customWidth="1"/>
    <col min="3" max="4" width="6.77734375" style="18" customWidth="1"/>
    <col min="5" max="5" width="16" style="18" customWidth="1"/>
    <col min="6" max="7" width="13.77734375" style="146" customWidth="1"/>
    <col min="8" max="8" width="13.77734375" style="8" customWidth="1"/>
    <col min="9" max="9" width="1.77734375" style="85" customWidth="1"/>
    <col min="10" max="10" width="18.88671875" style="105" customWidth="1"/>
    <col min="11" max="11" width="2" style="105" customWidth="1"/>
    <col min="12" max="12" width="2.5546875" style="105" customWidth="1"/>
    <col min="13" max="13" width="8.77734375" style="105" customWidth="1"/>
    <col min="14" max="14" width="10.77734375" style="105" customWidth="1"/>
    <col min="15" max="16" width="7.77734375" style="105" customWidth="1"/>
    <col min="17" max="17" width="9.5546875" style="106" customWidth="1"/>
    <col min="18" max="18" width="6.88671875" style="18" customWidth="1"/>
    <col min="19" max="19" width="14.77734375" style="18" customWidth="1"/>
    <col min="20" max="21" width="6.88671875" style="18" customWidth="1"/>
    <col min="22" max="22" width="7.44140625" style="18" customWidth="1"/>
    <col min="23" max="23" width="6.88671875" style="18" customWidth="1"/>
    <col min="24" max="24" width="3" style="18" customWidth="1"/>
    <col min="25" max="25" width="14.77734375" style="107" customWidth="1"/>
    <col min="26" max="26" width="15.77734375" style="18" customWidth="1"/>
    <col min="27" max="27" width="15.44140625" style="18" bestFit="1" customWidth="1"/>
    <col min="28" max="28" width="17.5546875" style="14" bestFit="1" customWidth="1"/>
    <col min="29" max="29" width="12.77734375" style="18" bestFit="1" customWidth="1"/>
    <col min="30" max="30" width="14.21875" style="18" bestFit="1" customWidth="1"/>
    <col min="31" max="31" width="12.77734375" style="18" bestFit="1" customWidth="1"/>
    <col min="32" max="32" width="10" style="18" bestFit="1" customWidth="1"/>
    <col min="33" max="33" width="12.77734375" style="18" bestFit="1" customWidth="1"/>
    <col min="34" max="34" width="11.33203125" style="18" bestFit="1" customWidth="1"/>
    <col min="35" max="35" width="9.6640625" style="18" bestFit="1" customWidth="1"/>
    <col min="36" max="256" width="8.88671875" style="18"/>
    <col min="257" max="260" width="6.77734375" style="18" customWidth="1"/>
    <col min="261" max="261" width="16" style="18" customWidth="1"/>
    <col min="262" max="264" width="13.77734375" style="18" customWidth="1"/>
    <col min="265" max="265" width="1.77734375" style="18" customWidth="1"/>
    <col min="266" max="266" width="2.88671875" style="18" customWidth="1"/>
    <col min="267" max="267" width="2" style="18" customWidth="1"/>
    <col min="268" max="269" width="8.77734375" style="18" customWidth="1"/>
    <col min="270" max="270" width="10.77734375" style="18" customWidth="1"/>
    <col min="271" max="272" width="7.77734375" style="18" customWidth="1"/>
    <col min="273" max="273" width="8.109375" style="18" customWidth="1"/>
    <col min="274" max="274" width="6.88671875" style="18" customWidth="1"/>
    <col min="275" max="275" width="14.77734375" style="18" customWidth="1"/>
    <col min="276" max="277" width="6.88671875" style="18" customWidth="1"/>
    <col min="278" max="278" width="7.44140625" style="18" customWidth="1"/>
    <col min="279" max="279" width="6.88671875" style="18" customWidth="1"/>
    <col min="280" max="280" width="3" style="18" customWidth="1"/>
    <col min="281" max="281" width="14.77734375" style="18" customWidth="1"/>
    <col min="282" max="282" width="15.77734375" style="18" customWidth="1"/>
    <col min="283" max="283" width="15.44140625" style="18" bestFit="1" customWidth="1"/>
    <col min="284" max="284" width="17.5546875" style="18" bestFit="1" customWidth="1"/>
    <col min="285" max="285" width="12.21875" style="18" bestFit="1" customWidth="1"/>
    <col min="286" max="286" width="9" style="18" bestFit="1" customWidth="1"/>
    <col min="287" max="287" width="8.88671875" style="18"/>
    <col min="288" max="288" width="9.44140625" style="18" bestFit="1" customWidth="1"/>
    <col min="289" max="512" width="8.88671875" style="18"/>
    <col min="513" max="516" width="6.77734375" style="18" customWidth="1"/>
    <col min="517" max="517" width="16" style="18" customWidth="1"/>
    <col min="518" max="520" width="13.77734375" style="18" customWidth="1"/>
    <col min="521" max="521" width="1.77734375" style="18" customWidth="1"/>
    <col min="522" max="522" width="2.88671875" style="18" customWidth="1"/>
    <col min="523" max="523" width="2" style="18" customWidth="1"/>
    <col min="524" max="525" width="8.77734375" style="18" customWidth="1"/>
    <col min="526" max="526" width="10.77734375" style="18" customWidth="1"/>
    <col min="527" max="528" width="7.77734375" style="18" customWidth="1"/>
    <col min="529" max="529" width="8.109375" style="18" customWidth="1"/>
    <col min="530" max="530" width="6.88671875" style="18" customWidth="1"/>
    <col min="531" max="531" width="14.77734375" style="18" customWidth="1"/>
    <col min="532" max="533" width="6.88671875" style="18" customWidth="1"/>
    <col min="534" max="534" width="7.44140625" style="18" customWidth="1"/>
    <col min="535" max="535" width="6.88671875" style="18" customWidth="1"/>
    <col min="536" max="536" width="3" style="18" customWidth="1"/>
    <col min="537" max="537" width="14.77734375" style="18" customWidth="1"/>
    <col min="538" max="538" width="15.77734375" style="18" customWidth="1"/>
    <col min="539" max="539" width="15.44140625" style="18" bestFit="1" customWidth="1"/>
    <col min="540" max="540" width="17.5546875" style="18" bestFit="1" customWidth="1"/>
    <col min="541" max="541" width="12.21875" style="18" bestFit="1" customWidth="1"/>
    <col min="542" max="542" width="9" style="18" bestFit="1" customWidth="1"/>
    <col min="543" max="543" width="8.88671875" style="18"/>
    <col min="544" max="544" width="9.44140625" style="18" bestFit="1" customWidth="1"/>
    <col min="545" max="768" width="8.88671875" style="18"/>
    <col min="769" max="772" width="6.77734375" style="18" customWidth="1"/>
    <col min="773" max="773" width="16" style="18" customWidth="1"/>
    <col min="774" max="776" width="13.77734375" style="18" customWidth="1"/>
    <col min="777" max="777" width="1.77734375" style="18" customWidth="1"/>
    <col min="778" max="778" width="2.88671875" style="18" customWidth="1"/>
    <col min="779" max="779" width="2" style="18" customWidth="1"/>
    <col min="780" max="781" width="8.77734375" style="18" customWidth="1"/>
    <col min="782" max="782" width="10.77734375" style="18" customWidth="1"/>
    <col min="783" max="784" width="7.77734375" style="18" customWidth="1"/>
    <col min="785" max="785" width="8.109375" style="18" customWidth="1"/>
    <col min="786" max="786" width="6.88671875" style="18" customWidth="1"/>
    <col min="787" max="787" width="14.77734375" style="18" customWidth="1"/>
    <col min="788" max="789" width="6.88671875" style="18" customWidth="1"/>
    <col min="790" max="790" width="7.44140625" style="18" customWidth="1"/>
    <col min="791" max="791" width="6.88671875" style="18" customWidth="1"/>
    <col min="792" max="792" width="3" style="18" customWidth="1"/>
    <col min="793" max="793" width="14.77734375" style="18" customWidth="1"/>
    <col min="794" max="794" width="15.77734375" style="18" customWidth="1"/>
    <col min="795" max="795" width="15.44140625" style="18" bestFit="1" customWidth="1"/>
    <col min="796" max="796" width="17.5546875" style="18" bestFit="1" customWidth="1"/>
    <col min="797" max="797" width="12.21875" style="18" bestFit="1" customWidth="1"/>
    <col min="798" max="798" width="9" style="18" bestFit="1" customWidth="1"/>
    <col min="799" max="799" width="8.88671875" style="18"/>
    <col min="800" max="800" width="9.44140625" style="18" bestFit="1" customWidth="1"/>
    <col min="801" max="1024" width="8.88671875" style="18"/>
    <col min="1025" max="1028" width="6.77734375" style="18" customWidth="1"/>
    <col min="1029" max="1029" width="16" style="18" customWidth="1"/>
    <col min="1030" max="1032" width="13.77734375" style="18" customWidth="1"/>
    <col min="1033" max="1033" width="1.77734375" style="18" customWidth="1"/>
    <col min="1034" max="1034" width="2.88671875" style="18" customWidth="1"/>
    <col min="1035" max="1035" width="2" style="18" customWidth="1"/>
    <col min="1036" max="1037" width="8.77734375" style="18" customWidth="1"/>
    <col min="1038" max="1038" width="10.77734375" style="18" customWidth="1"/>
    <col min="1039" max="1040" width="7.77734375" style="18" customWidth="1"/>
    <col min="1041" max="1041" width="8.109375" style="18" customWidth="1"/>
    <col min="1042" max="1042" width="6.88671875" style="18" customWidth="1"/>
    <col min="1043" max="1043" width="14.77734375" style="18" customWidth="1"/>
    <col min="1044" max="1045" width="6.88671875" style="18" customWidth="1"/>
    <col min="1046" max="1046" width="7.44140625" style="18" customWidth="1"/>
    <col min="1047" max="1047" width="6.88671875" style="18" customWidth="1"/>
    <col min="1048" max="1048" width="3" style="18" customWidth="1"/>
    <col min="1049" max="1049" width="14.77734375" style="18" customWidth="1"/>
    <col min="1050" max="1050" width="15.77734375" style="18" customWidth="1"/>
    <col min="1051" max="1051" width="15.44140625" style="18" bestFit="1" customWidth="1"/>
    <col min="1052" max="1052" width="17.5546875" style="18" bestFit="1" customWidth="1"/>
    <col min="1053" max="1053" width="12.21875" style="18" bestFit="1" customWidth="1"/>
    <col min="1054" max="1054" width="9" style="18" bestFit="1" customWidth="1"/>
    <col min="1055" max="1055" width="8.88671875" style="18"/>
    <col min="1056" max="1056" width="9.44140625" style="18" bestFit="1" customWidth="1"/>
    <col min="1057" max="1280" width="8.88671875" style="18"/>
    <col min="1281" max="1284" width="6.77734375" style="18" customWidth="1"/>
    <col min="1285" max="1285" width="16" style="18" customWidth="1"/>
    <col min="1286" max="1288" width="13.77734375" style="18" customWidth="1"/>
    <col min="1289" max="1289" width="1.77734375" style="18" customWidth="1"/>
    <col min="1290" max="1290" width="2.88671875" style="18" customWidth="1"/>
    <col min="1291" max="1291" width="2" style="18" customWidth="1"/>
    <col min="1292" max="1293" width="8.77734375" style="18" customWidth="1"/>
    <col min="1294" max="1294" width="10.77734375" style="18" customWidth="1"/>
    <col min="1295" max="1296" width="7.77734375" style="18" customWidth="1"/>
    <col min="1297" max="1297" width="8.109375" style="18" customWidth="1"/>
    <col min="1298" max="1298" width="6.88671875" style="18" customWidth="1"/>
    <col min="1299" max="1299" width="14.77734375" style="18" customWidth="1"/>
    <col min="1300" max="1301" width="6.88671875" style="18" customWidth="1"/>
    <col min="1302" max="1302" width="7.44140625" style="18" customWidth="1"/>
    <col min="1303" max="1303" width="6.88671875" style="18" customWidth="1"/>
    <col min="1304" max="1304" width="3" style="18" customWidth="1"/>
    <col min="1305" max="1305" width="14.77734375" style="18" customWidth="1"/>
    <col min="1306" max="1306" width="15.77734375" style="18" customWidth="1"/>
    <col min="1307" max="1307" width="15.44140625" style="18" bestFit="1" customWidth="1"/>
    <col min="1308" max="1308" width="17.5546875" style="18" bestFit="1" customWidth="1"/>
    <col min="1309" max="1309" width="12.21875" style="18" bestFit="1" customWidth="1"/>
    <col min="1310" max="1310" width="9" style="18" bestFit="1" customWidth="1"/>
    <col min="1311" max="1311" width="8.88671875" style="18"/>
    <col min="1312" max="1312" width="9.44140625" style="18" bestFit="1" customWidth="1"/>
    <col min="1313" max="1536" width="8.88671875" style="18"/>
    <col min="1537" max="1540" width="6.77734375" style="18" customWidth="1"/>
    <col min="1541" max="1541" width="16" style="18" customWidth="1"/>
    <col min="1542" max="1544" width="13.77734375" style="18" customWidth="1"/>
    <col min="1545" max="1545" width="1.77734375" style="18" customWidth="1"/>
    <col min="1546" max="1546" width="2.88671875" style="18" customWidth="1"/>
    <col min="1547" max="1547" width="2" style="18" customWidth="1"/>
    <col min="1548" max="1549" width="8.77734375" style="18" customWidth="1"/>
    <col min="1550" max="1550" width="10.77734375" style="18" customWidth="1"/>
    <col min="1551" max="1552" width="7.77734375" style="18" customWidth="1"/>
    <col min="1553" max="1553" width="8.109375" style="18" customWidth="1"/>
    <col min="1554" max="1554" width="6.88671875" style="18" customWidth="1"/>
    <col min="1555" max="1555" width="14.77734375" style="18" customWidth="1"/>
    <col min="1556" max="1557" width="6.88671875" style="18" customWidth="1"/>
    <col min="1558" max="1558" width="7.44140625" style="18" customWidth="1"/>
    <col min="1559" max="1559" width="6.88671875" style="18" customWidth="1"/>
    <col min="1560" max="1560" width="3" style="18" customWidth="1"/>
    <col min="1561" max="1561" width="14.77734375" style="18" customWidth="1"/>
    <col min="1562" max="1562" width="15.77734375" style="18" customWidth="1"/>
    <col min="1563" max="1563" width="15.44140625" style="18" bestFit="1" customWidth="1"/>
    <col min="1564" max="1564" width="17.5546875" style="18" bestFit="1" customWidth="1"/>
    <col min="1565" max="1565" width="12.21875" style="18" bestFit="1" customWidth="1"/>
    <col min="1566" max="1566" width="9" style="18" bestFit="1" customWidth="1"/>
    <col min="1567" max="1567" width="8.88671875" style="18"/>
    <col min="1568" max="1568" width="9.44140625" style="18" bestFit="1" customWidth="1"/>
    <col min="1569" max="1792" width="8.88671875" style="18"/>
    <col min="1793" max="1796" width="6.77734375" style="18" customWidth="1"/>
    <col min="1797" max="1797" width="16" style="18" customWidth="1"/>
    <col min="1798" max="1800" width="13.77734375" style="18" customWidth="1"/>
    <col min="1801" max="1801" width="1.77734375" style="18" customWidth="1"/>
    <col min="1802" max="1802" width="2.88671875" style="18" customWidth="1"/>
    <col min="1803" max="1803" width="2" style="18" customWidth="1"/>
    <col min="1804" max="1805" width="8.77734375" style="18" customWidth="1"/>
    <col min="1806" max="1806" width="10.77734375" style="18" customWidth="1"/>
    <col min="1807" max="1808" width="7.77734375" style="18" customWidth="1"/>
    <col min="1809" max="1809" width="8.109375" style="18" customWidth="1"/>
    <col min="1810" max="1810" width="6.88671875" style="18" customWidth="1"/>
    <col min="1811" max="1811" width="14.77734375" style="18" customWidth="1"/>
    <col min="1812" max="1813" width="6.88671875" style="18" customWidth="1"/>
    <col min="1814" max="1814" width="7.44140625" style="18" customWidth="1"/>
    <col min="1815" max="1815" width="6.88671875" style="18" customWidth="1"/>
    <col min="1816" max="1816" width="3" style="18" customWidth="1"/>
    <col min="1817" max="1817" width="14.77734375" style="18" customWidth="1"/>
    <col min="1818" max="1818" width="15.77734375" style="18" customWidth="1"/>
    <col min="1819" max="1819" width="15.44140625" style="18" bestFit="1" customWidth="1"/>
    <col min="1820" max="1820" width="17.5546875" style="18" bestFit="1" customWidth="1"/>
    <col min="1821" max="1821" width="12.21875" style="18" bestFit="1" customWidth="1"/>
    <col min="1822" max="1822" width="9" style="18" bestFit="1" customWidth="1"/>
    <col min="1823" max="1823" width="8.88671875" style="18"/>
    <col min="1824" max="1824" width="9.44140625" style="18" bestFit="1" customWidth="1"/>
    <col min="1825" max="2048" width="8.88671875" style="18"/>
    <col min="2049" max="2052" width="6.77734375" style="18" customWidth="1"/>
    <col min="2053" max="2053" width="16" style="18" customWidth="1"/>
    <col min="2054" max="2056" width="13.77734375" style="18" customWidth="1"/>
    <col min="2057" max="2057" width="1.77734375" style="18" customWidth="1"/>
    <col min="2058" max="2058" width="2.88671875" style="18" customWidth="1"/>
    <col min="2059" max="2059" width="2" style="18" customWidth="1"/>
    <col min="2060" max="2061" width="8.77734375" style="18" customWidth="1"/>
    <col min="2062" max="2062" width="10.77734375" style="18" customWidth="1"/>
    <col min="2063" max="2064" width="7.77734375" style="18" customWidth="1"/>
    <col min="2065" max="2065" width="8.109375" style="18" customWidth="1"/>
    <col min="2066" max="2066" width="6.88671875" style="18" customWidth="1"/>
    <col min="2067" max="2067" width="14.77734375" style="18" customWidth="1"/>
    <col min="2068" max="2069" width="6.88671875" style="18" customWidth="1"/>
    <col min="2070" max="2070" width="7.44140625" style="18" customWidth="1"/>
    <col min="2071" max="2071" width="6.88671875" style="18" customWidth="1"/>
    <col min="2072" max="2072" width="3" style="18" customWidth="1"/>
    <col min="2073" max="2073" width="14.77734375" style="18" customWidth="1"/>
    <col min="2074" max="2074" width="15.77734375" style="18" customWidth="1"/>
    <col min="2075" max="2075" width="15.44140625" style="18" bestFit="1" customWidth="1"/>
    <col min="2076" max="2076" width="17.5546875" style="18" bestFit="1" customWidth="1"/>
    <col min="2077" max="2077" width="12.21875" style="18" bestFit="1" customWidth="1"/>
    <col min="2078" max="2078" width="9" style="18" bestFit="1" customWidth="1"/>
    <col min="2079" max="2079" width="8.88671875" style="18"/>
    <col min="2080" max="2080" width="9.44140625" style="18" bestFit="1" customWidth="1"/>
    <col min="2081" max="2304" width="8.88671875" style="18"/>
    <col min="2305" max="2308" width="6.77734375" style="18" customWidth="1"/>
    <col min="2309" max="2309" width="16" style="18" customWidth="1"/>
    <col min="2310" max="2312" width="13.77734375" style="18" customWidth="1"/>
    <col min="2313" max="2313" width="1.77734375" style="18" customWidth="1"/>
    <col min="2314" max="2314" width="2.88671875" style="18" customWidth="1"/>
    <col min="2315" max="2315" width="2" style="18" customWidth="1"/>
    <col min="2316" max="2317" width="8.77734375" style="18" customWidth="1"/>
    <col min="2318" max="2318" width="10.77734375" style="18" customWidth="1"/>
    <col min="2319" max="2320" width="7.77734375" style="18" customWidth="1"/>
    <col min="2321" max="2321" width="8.109375" style="18" customWidth="1"/>
    <col min="2322" max="2322" width="6.88671875" style="18" customWidth="1"/>
    <col min="2323" max="2323" width="14.77734375" style="18" customWidth="1"/>
    <col min="2324" max="2325" width="6.88671875" style="18" customWidth="1"/>
    <col min="2326" max="2326" width="7.44140625" style="18" customWidth="1"/>
    <col min="2327" max="2327" width="6.88671875" style="18" customWidth="1"/>
    <col min="2328" max="2328" width="3" style="18" customWidth="1"/>
    <col min="2329" max="2329" width="14.77734375" style="18" customWidth="1"/>
    <col min="2330" max="2330" width="15.77734375" style="18" customWidth="1"/>
    <col min="2331" max="2331" width="15.44140625" style="18" bestFit="1" customWidth="1"/>
    <col min="2332" max="2332" width="17.5546875" style="18" bestFit="1" customWidth="1"/>
    <col min="2333" max="2333" width="12.21875" style="18" bestFit="1" customWidth="1"/>
    <col min="2334" max="2334" width="9" style="18" bestFit="1" customWidth="1"/>
    <col min="2335" max="2335" width="8.88671875" style="18"/>
    <col min="2336" max="2336" width="9.44140625" style="18" bestFit="1" customWidth="1"/>
    <col min="2337" max="2560" width="8.88671875" style="18"/>
    <col min="2561" max="2564" width="6.77734375" style="18" customWidth="1"/>
    <col min="2565" max="2565" width="16" style="18" customWidth="1"/>
    <col min="2566" max="2568" width="13.77734375" style="18" customWidth="1"/>
    <col min="2569" max="2569" width="1.77734375" style="18" customWidth="1"/>
    <col min="2570" max="2570" width="2.88671875" style="18" customWidth="1"/>
    <col min="2571" max="2571" width="2" style="18" customWidth="1"/>
    <col min="2572" max="2573" width="8.77734375" style="18" customWidth="1"/>
    <col min="2574" max="2574" width="10.77734375" style="18" customWidth="1"/>
    <col min="2575" max="2576" width="7.77734375" style="18" customWidth="1"/>
    <col min="2577" max="2577" width="8.109375" style="18" customWidth="1"/>
    <col min="2578" max="2578" width="6.88671875" style="18" customWidth="1"/>
    <col min="2579" max="2579" width="14.77734375" style="18" customWidth="1"/>
    <col min="2580" max="2581" width="6.88671875" style="18" customWidth="1"/>
    <col min="2582" max="2582" width="7.44140625" style="18" customWidth="1"/>
    <col min="2583" max="2583" width="6.88671875" style="18" customWidth="1"/>
    <col min="2584" max="2584" width="3" style="18" customWidth="1"/>
    <col min="2585" max="2585" width="14.77734375" style="18" customWidth="1"/>
    <col min="2586" max="2586" width="15.77734375" style="18" customWidth="1"/>
    <col min="2587" max="2587" width="15.44140625" style="18" bestFit="1" customWidth="1"/>
    <col min="2588" max="2588" width="17.5546875" style="18" bestFit="1" customWidth="1"/>
    <col min="2589" max="2589" width="12.21875" style="18" bestFit="1" customWidth="1"/>
    <col min="2590" max="2590" width="9" style="18" bestFit="1" customWidth="1"/>
    <col min="2591" max="2591" width="8.88671875" style="18"/>
    <col min="2592" max="2592" width="9.44140625" style="18" bestFit="1" customWidth="1"/>
    <col min="2593" max="2816" width="8.88671875" style="18"/>
    <col min="2817" max="2820" width="6.77734375" style="18" customWidth="1"/>
    <col min="2821" max="2821" width="16" style="18" customWidth="1"/>
    <col min="2822" max="2824" width="13.77734375" style="18" customWidth="1"/>
    <col min="2825" max="2825" width="1.77734375" style="18" customWidth="1"/>
    <col min="2826" max="2826" width="2.88671875" style="18" customWidth="1"/>
    <col min="2827" max="2827" width="2" style="18" customWidth="1"/>
    <col min="2828" max="2829" width="8.77734375" style="18" customWidth="1"/>
    <col min="2830" max="2830" width="10.77734375" style="18" customWidth="1"/>
    <col min="2831" max="2832" width="7.77734375" style="18" customWidth="1"/>
    <col min="2833" max="2833" width="8.109375" style="18" customWidth="1"/>
    <col min="2834" max="2834" width="6.88671875" style="18" customWidth="1"/>
    <col min="2835" max="2835" width="14.77734375" style="18" customWidth="1"/>
    <col min="2836" max="2837" width="6.88671875" style="18" customWidth="1"/>
    <col min="2838" max="2838" width="7.44140625" style="18" customWidth="1"/>
    <col min="2839" max="2839" width="6.88671875" style="18" customWidth="1"/>
    <col min="2840" max="2840" width="3" style="18" customWidth="1"/>
    <col min="2841" max="2841" width="14.77734375" style="18" customWidth="1"/>
    <col min="2842" max="2842" width="15.77734375" style="18" customWidth="1"/>
    <col min="2843" max="2843" width="15.44140625" style="18" bestFit="1" customWidth="1"/>
    <col min="2844" max="2844" width="17.5546875" style="18" bestFit="1" customWidth="1"/>
    <col min="2845" max="2845" width="12.21875" style="18" bestFit="1" customWidth="1"/>
    <col min="2846" max="2846" width="9" style="18" bestFit="1" customWidth="1"/>
    <col min="2847" max="2847" width="8.88671875" style="18"/>
    <col min="2848" max="2848" width="9.44140625" style="18" bestFit="1" customWidth="1"/>
    <col min="2849" max="3072" width="8.88671875" style="18"/>
    <col min="3073" max="3076" width="6.77734375" style="18" customWidth="1"/>
    <col min="3077" max="3077" width="16" style="18" customWidth="1"/>
    <col min="3078" max="3080" width="13.77734375" style="18" customWidth="1"/>
    <col min="3081" max="3081" width="1.77734375" style="18" customWidth="1"/>
    <col min="3082" max="3082" width="2.88671875" style="18" customWidth="1"/>
    <col min="3083" max="3083" width="2" style="18" customWidth="1"/>
    <col min="3084" max="3085" width="8.77734375" style="18" customWidth="1"/>
    <col min="3086" max="3086" width="10.77734375" style="18" customWidth="1"/>
    <col min="3087" max="3088" width="7.77734375" style="18" customWidth="1"/>
    <col min="3089" max="3089" width="8.109375" style="18" customWidth="1"/>
    <col min="3090" max="3090" width="6.88671875" style="18" customWidth="1"/>
    <col min="3091" max="3091" width="14.77734375" style="18" customWidth="1"/>
    <col min="3092" max="3093" width="6.88671875" style="18" customWidth="1"/>
    <col min="3094" max="3094" width="7.44140625" style="18" customWidth="1"/>
    <col min="3095" max="3095" width="6.88671875" style="18" customWidth="1"/>
    <col min="3096" max="3096" width="3" style="18" customWidth="1"/>
    <col min="3097" max="3097" width="14.77734375" style="18" customWidth="1"/>
    <col min="3098" max="3098" width="15.77734375" style="18" customWidth="1"/>
    <col min="3099" max="3099" width="15.44140625" style="18" bestFit="1" customWidth="1"/>
    <col min="3100" max="3100" width="17.5546875" style="18" bestFit="1" customWidth="1"/>
    <col min="3101" max="3101" width="12.21875" style="18" bestFit="1" customWidth="1"/>
    <col min="3102" max="3102" width="9" style="18" bestFit="1" customWidth="1"/>
    <col min="3103" max="3103" width="8.88671875" style="18"/>
    <col min="3104" max="3104" width="9.44140625" style="18" bestFit="1" customWidth="1"/>
    <col min="3105" max="3328" width="8.88671875" style="18"/>
    <col min="3329" max="3332" width="6.77734375" style="18" customWidth="1"/>
    <col min="3333" max="3333" width="16" style="18" customWidth="1"/>
    <col min="3334" max="3336" width="13.77734375" style="18" customWidth="1"/>
    <col min="3337" max="3337" width="1.77734375" style="18" customWidth="1"/>
    <col min="3338" max="3338" width="2.88671875" style="18" customWidth="1"/>
    <col min="3339" max="3339" width="2" style="18" customWidth="1"/>
    <col min="3340" max="3341" width="8.77734375" style="18" customWidth="1"/>
    <col min="3342" max="3342" width="10.77734375" style="18" customWidth="1"/>
    <col min="3343" max="3344" width="7.77734375" style="18" customWidth="1"/>
    <col min="3345" max="3345" width="8.109375" style="18" customWidth="1"/>
    <col min="3346" max="3346" width="6.88671875" style="18" customWidth="1"/>
    <col min="3347" max="3347" width="14.77734375" style="18" customWidth="1"/>
    <col min="3348" max="3349" width="6.88671875" style="18" customWidth="1"/>
    <col min="3350" max="3350" width="7.44140625" style="18" customWidth="1"/>
    <col min="3351" max="3351" width="6.88671875" style="18" customWidth="1"/>
    <col min="3352" max="3352" width="3" style="18" customWidth="1"/>
    <col min="3353" max="3353" width="14.77734375" style="18" customWidth="1"/>
    <col min="3354" max="3354" width="15.77734375" style="18" customWidth="1"/>
    <col min="3355" max="3355" width="15.44140625" style="18" bestFit="1" customWidth="1"/>
    <col min="3356" max="3356" width="17.5546875" style="18" bestFit="1" customWidth="1"/>
    <col min="3357" max="3357" width="12.21875" style="18" bestFit="1" customWidth="1"/>
    <col min="3358" max="3358" width="9" style="18" bestFit="1" customWidth="1"/>
    <col min="3359" max="3359" width="8.88671875" style="18"/>
    <col min="3360" max="3360" width="9.44140625" style="18" bestFit="1" customWidth="1"/>
    <col min="3361" max="3584" width="8.88671875" style="18"/>
    <col min="3585" max="3588" width="6.77734375" style="18" customWidth="1"/>
    <col min="3589" max="3589" width="16" style="18" customWidth="1"/>
    <col min="3590" max="3592" width="13.77734375" style="18" customWidth="1"/>
    <col min="3593" max="3593" width="1.77734375" style="18" customWidth="1"/>
    <col min="3594" max="3594" width="2.88671875" style="18" customWidth="1"/>
    <col min="3595" max="3595" width="2" style="18" customWidth="1"/>
    <col min="3596" max="3597" width="8.77734375" style="18" customWidth="1"/>
    <col min="3598" max="3598" width="10.77734375" style="18" customWidth="1"/>
    <col min="3599" max="3600" width="7.77734375" style="18" customWidth="1"/>
    <col min="3601" max="3601" width="8.109375" style="18" customWidth="1"/>
    <col min="3602" max="3602" width="6.88671875" style="18" customWidth="1"/>
    <col min="3603" max="3603" width="14.77734375" style="18" customWidth="1"/>
    <col min="3604" max="3605" width="6.88671875" style="18" customWidth="1"/>
    <col min="3606" max="3606" width="7.44140625" style="18" customWidth="1"/>
    <col min="3607" max="3607" width="6.88671875" style="18" customWidth="1"/>
    <col min="3608" max="3608" width="3" style="18" customWidth="1"/>
    <col min="3609" max="3609" width="14.77734375" style="18" customWidth="1"/>
    <col min="3610" max="3610" width="15.77734375" style="18" customWidth="1"/>
    <col min="3611" max="3611" width="15.44140625" style="18" bestFit="1" customWidth="1"/>
    <col min="3612" max="3612" width="17.5546875" style="18" bestFit="1" customWidth="1"/>
    <col min="3613" max="3613" width="12.21875" style="18" bestFit="1" customWidth="1"/>
    <col min="3614" max="3614" width="9" style="18" bestFit="1" customWidth="1"/>
    <col min="3615" max="3615" width="8.88671875" style="18"/>
    <col min="3616" max="3616" width="9.44140625" style="18" bestFit="1" customWidth="1"/>
    <col min="3617" max="3840" width="8.88671875" style="18"/>
    <col min="3841" max="3844" width="6.77734375" style="18" customWidth="1"/>
    <col min="3845" max="3845" width="16" style="18" customWidth="1"/>
    <col min="3846" max="3848" width="13.77734375" style="18" customWidth="1"/>
    <col min="3849" max="3849" width="1.77734375" style="18" customWidth="1"/>
    <col min="3850" max="3850" width="2.88671875" style="18" customWidth="1"/>
    <col min="3851" max="3851" width="2" style="18" customWidth="1"/>
    <col min="3852" max="3853" width="8.77734375" style="18" customWidth="1"/>
    <col min="3854" max="3854" width="10.77734375" style="18" customWidth="1"/>
    <col min="3855" max="3856" width="7.77734375" style="18" customWidth="1"/>
    <col min="3857" max="3857" width="8.109375" style="18" customWidth="1"/>
    <col min="3858" max="3858" width="6.88671875" style="18" customWidth="1"/>
    <col min="3859" max="3859" width="14.77734375" style="18" customWidth="1"/>
    <col min="3860" max="3861" width="6.88671875" style="18" customWidth="1"/>
    <col min="3862" max="3862" width="7.44140625" style="18" customWidth="1"/>
    <col min="3863" max="3863" width="6.88671875" style="18" customWidth="1"/>
    <col min="3864" max="3864" width="3" style="18" customWidth="1"/>
    <col min="3865" max="3865" width="14.77734375" style="18" customWidth="1"/>
    <col min="3866" max="3866" width="15.77734375" style="18" customWidth="1"/>
    <col min="3867" max="3867" width="15.44140625" style="18" bestFit="1" customWidth="1"/>
    <col min="3868" max="3868" width="17.5546875" style="18" bestFit="1" customWidth="1"/>
    <col min="3869" max="3869" width="12.21875" style="18" bestFit="1" customWidth="1"/>
    <col min="3870" max="3870" width="9" style="18" bestFit="1" customWidth="1"/>
    <col min="3871" max="3871" width="8.88671875" style="18"/>
    <col min="3872" max="3872" width="9.44140625" style="18" bestFit="1" customWidth="1"/>
    <col min="3873" max="4096" width="8.88671875" style="18"/>
    <col min="4097" max="4100" width="6.77734375" style="18" customWidth="1"/>
    <col min="4101" max="4101" width="16" style="18" customWidth="1"/>
    <col min="4102" max="4104" width="13.77734375" style="18" customWidth="1"/>
    <col min="4105" max="4105" width="1.77734375" style="18" customWidth="1"/>
    <col min="4106" max="4106" width="2.88671875" style="18" customWidth="1"/>
    <col min="4107" max="4107" width="2" style="18" customWidth="1"/>
    <col min="4108" max="4109" width="8.77734375" style="18" customWidth="1"/>
    <col min="4110" max="4110" width="10.77734375" style="18" customWidth="1"/>
    <col min="4111" max="4112" width="7.77734375" style="18" customWidth="1"/>
    <col min="4113" max="4113" width="8.109375" style="18" customWidth="1"/>
    <col min="4114" max="4114" width="6.88671875" style="18" customWidth="1"/>
    <col min="4115" max="4115" width="14.77734375" style="18" customWidth="1"/>
    <col min="4116" max="4117" width="6.88671875" style="18" customWidth="1"/>
    <col min="4118" max="4118" width="7.44140625" style="18" customWidth="1"/>
    <col min="4119" max="4119" width="6.88671875" style="18" customWidth="1"/>
    <col min="4120" max="4120" width="3" style="18" customWidth="1"/>
    <col min="4121" max="4121" width="14.77734375" style="18" customWidth="1"/>
    <col min="4122" max="4122" width="15.77734375" style="18" customWidth="1"/>
    <col min="4123" max="4123" width="15.44140625" style="18" bestFit="1" customWidth="1"/>
    <col min="4124" max="4124" width="17.5546875" style="18" bestFit="1" customWidth="1"/>
    <col min="4125" max="4125" width="12.21875" style="18" bestFit="1" customWidth="1"/>
    <col min="4126" max="4126" width="9" style="18" bestFit="1" customWidth="1"/>
    <col min="4127" max="4127" width="8.88671875" style="18"/>
    <col min="4128" max="4128" width="9.44140625" style="18" bestFit="1" customWidth="1"/>
    <col min="4129" max="4352" width="8.88671875" style="18"/>
    <col min="4353" max="4356" width="6.77734375" style="18" customWidth="1"/>
    <col min="4357" max="4357" width="16" style="18" customWidth="1"/>
    <col min="4358" max="4360" width="13.77734375" style="18" customWidth="1"/>
    <col min="4361" max="4361" width="1.77734375" style="18" customWidth="1"/>
    <col min="4362" max="4362" width="2.88671875" style="18" customWidth="1"/>
    <col min="4363" max="4363" width="2" style="18" customWidth="1"/>
    <col min="4364" max="4365" width="8.77734375" style="18" customWidth="1"/>
    <col min="4366" max="4366" width="10.77734375" style="18" customWidth="1"/>
    <col min="4367" max="4368" width="7.77734375" style="18" customWidth="1"/>
    <col min="4369" max="4369" width="8.109375" style="18" customWidth="1"/>
    <col min="4370" max="4370" width="6.88671875" style="18" customWidth="1"/>
    <col min="4371" max="4371" width="14.77734375" style="18" customWidth="1"/>
    <col min="4372" max="4373" width="6.88671875" style="18" customWidth="1"/>
    <col min="4374" max="4374" width="7.44140625" style="18" customWidth="1"/>
    <col min="4375" max="4375" width="6.88671875" style="18" customWidth="1"/>
    <col min="4376" max="4376" width="3" style="18" customWidth="1"/>
    <col min="4377" max="4377" width="14.77734375" style="18" customWidth="1"/>
    <col min="4378" max="4378" width="15.77734375" style="18" customWidth="1"/>
    <col min="4379" max="4379" width="15.44140625" style="18" bestFit="1" customWidth="1"/>
    <col min="4380" max="4380" width="17.5546875" style="18" bestFit="1" customWidth="1"/>
    <col min="4381" max="4381" width="12.21875" style="18" bestFit="1" customWidth="1"/>
    <col min="4382" max="4382" width="9" style="18" bestFit="1" customWidth="1"/>
    <col min="4383" max="4383" width="8.88671875" style="18"/>
    <col min="4384" max="4384" width="9.44140625" style="18" bestFit="1" customWidth="1"/>
    <col min="4385" max="4608" width="8.88671875" style="18"/>
    <col min="4609" max="4612" width="6.77734375" style="18" customWidth="1"/>
    <col min="4613" max="4613" width="16" style="18" customWidth="1"/>
    <col min="4614" max="4616" width="13.77734375" style="18" customWidth="1"/>
    <col min="4617" max="4617" width="1.77734375" style="18" customWidth="1"/>
    <col min="4618" max="4618" width="2.88671875" style="18" customWidth="1"/>
    <col min="4619" max="4619" width="2" style="18" customWidth="1"/>
    <col min="4620" max="4621" width="8.77734375" style="18" customWidth="1"/>
    <col min="4622" max="4622" width="10.77734375" style="18" customWidth="1"/>
    <col min="4623" max="4624" width="7.77734375" style="18" customWidth="1"/>
    <col min="4625" max="4625" width="8.109375" style="18" customWidth="1"/>
    <col min="4626" max="4626" width="6.88671875" style="18" customWidth="1"/>
    <col min="4627" max="4627" width="14.77734375" style="18" customWidth="1"/>
    <col min="4628" max="4629" width="6.88671875" style="18" customWidth="1"/>
    <col min="4630" max="4630" width="7.44140625" style="18" customWidth="1"/>
    <col min="4631" max="4631" width="6.88671875" style="18" customWidth="1"/>
    <col min="4632" max="4632" width="3" style="18" customWidth="1"/>
    <col min="4633" max="4633" width="14.77734375" style="18" customWidth="1"/>
    <col min="4634" max="4634" width="15.77734375" style="18" customWidth="1"/>
    <col min="4635" max="4635" width="15.44140625" style="18" bestFit="1" customWidth="1"/>
    <col min="4636" max="4636" width="17.5546875" style="18" bestFit="1" customWidth="1"/>
    <col min="4637" max="4637" width="12.21875" style="18" bestFit="1" customWidth="1"/>
    <col min="4638" max="4638" width="9" style="18" bestFit="1" customWidth="1"/>
    <col min="4639" max="4639" width="8.88671875" style="18"/>
    <col min="4640" max="4640" width="9.44140625" style="18" bestFit="1" customWidth="1"/>
    <col min="4641" max="4864" width="8.88671875" style="18"/>
    <col min="4865" max="4868" width="6.77734375" style="18" customWidth="1"/>
    <col min="4869" max="4869" width="16" style="18" customWidth="1"/>
    <col min="4870" max="4872" width="13.77734375" style="18" customWidth="1"/>
    <col min="4873" max="4873" width="1.77734375" style="18" customWidth="1"/>
    <col min="4874" max="4874" width="2.88671875" style="18" customWidth="1"/>
    <col min="4875" max="4875" width="2" style="18" customWidth="1"/>
    <col min="4876" max="4877" width="8.77734375" style="18" customWidth="1"/>
    <col min="4878" max="4878" width="10.77734375" style="18" customWidth="1"/>
    <col min="4879" max="4880" width="7.77734375" style="18" customWidth="1"/>
    <col min="4881" max="4881" width="8.109375" style="18" customWidth="1"/>
    <col min="4882" max="4882" width="6.88671875" style="18" customWidth="1"/>
    <col min="4883" max="4883" width="14.77734375" style="18" customWidth="1"/>
    <col min="4884" max="4885" width="6.88671875" style="18" customWidth="1"/>
    <col min="4886" max="4886" width="7.44140625" style="18" customWidth="1"/>
    <col min="4887" max="4887" width="6.88671875" style="18" customWidth="1"/>
    <col min="4888" max="4888" width="3" style="18" customWidth="1"/>
    <col min="4889" max="4889" width="14.77734375" style="18" customWidth="1"/>
    <col min="4890" max="4890" width="15.77734375" style="18" customWidth="1"/>
    <col min="4891" max="4891" width="15.44140625" style="18" bestFit="1" customWidth="1"/>
    <col min="4892" max="4892" width="17.5546875" style="18" bestFit="1" customWidth="1"/>
    <col min="4893" max="4893" width="12.21875" style="18" bestFit="1" customWidth="1"/>
    <col min="4894" max="4894" width="9" style="18" bestFit="1" customWidth="1"/>
    <col min="4895" max="4895" width="8.88671875" style="18"/>
    <col min="4896" max="4896" width="9.44140625" style="18" bestFit="1" customWidth="1"/>
    <col min="4897" max="5120" width="8.88671875" style="18"/>
    <col min="5121" max="5124" width="6.77734375" style="18" customWidth="1"/>
    <col min="5125" max="5125" width="16" style="18" customWidth="1"/>
    <col min="5126" max="5128" width="13.77734375" style="18" customWidth="1"/>
    <col min="5129" max="5129" width="1.77734375" style="18" customWidth="1"/>
    <col min="5130" max="5130" width="2.88671875" style="18" customWidth="1"/>
    <col min="5131" max="5131" width="2" style="18" customWidth="1"/>
    <col min="5132" max="5133" width="8.77734375" style="18" customWidth="1"/>
    <col min="5134" max="5134" width="10.77734375" style="18" customWidth="1"/>
    <col min="5135" max="5136" width="7.77734375" style="18" customWidth="1"/>
    <col min="5137" max="5137" width="8.109375" style="18" customWidth="1"/>
    <col min="5138" max="5138" width="6.88671875" style="18" customWidth="1"/>
    <col min="5139" max="5139" width="14.77734375" style="18" customWidth="1"/>
    <col min="5140" max="5141" width="6.88671875" style="18" customWidth="1"/>
    <col min="5142" max="5142" width="7.44140625" style="18" customWidth="1"/>
    <col min="5143" max="5143" width="6.88671875" style="18" customWidth="1"/>
    <col min="5144" max="5144" width="3" style="18" customWidth="1"/>
    <col min="5145" max="5145" width="14.77734375" style="18" customWidth="1"/>
    <col min="5146" max="5146" width="15.77734375" style="18" customWidth="1"/>
    <col min="5147" max="5147" width="15.44140625" style="18" bestFit="1" customWidth="1"/>
    <col min="5148" max="5148" width="17.5546875" style="18" bestFit="1" customWidth="1"/>
    <col min="5149" max="5149" width="12.21875" style="18" bestFit="1" customWidth="1"/>
    <col min="5150" max="5150" width="9" style="18" bestFit="1" customWidth="1"/>
    <col min="5151" max="5151" width="8.88671875" style="18"/>
    <col min="5152" max="5152" width="9.44140625" style="18" bestFit="1" customWidth="1"/>
    <col min="5153" max="5376" width="8.88671875" style="18"/>
    <col min="5377" max="5380" width="6.77734375" style="18" customWidth="1"/>
    <col min="5381" max="5381" width="16" style="18" customWidth="1"/>
    <col min="5382" max="5384" width="13.77734375" style="18" customWidth="1"/>
    <col min="5385" max="5385" width="1.77734375" style="18" customWidth="1"/>
    <col min="5386" max="5386" width="2.88671875" style="18" customWidth="1"/>
    <col min="5387" max="5387" width="2" style="18" customWidth="1"/>
    <col min="5388" max="5389" width="8.77734375" style="18" customWidth="1"/>
    <col min="5390" max="5390" width="10.77734375" style="18" customWidth="1"/>
    <col min="5391" max="5392" width="7.77734375" style="18" customWidth="1"/>
    <col min="5393" max="5393" width="8.109375" style="18" customWidth="1"/>
    <col min="5394" max="5394" width="6.88671875" style="18" customWidth="1"/>
    <col min="5395" max="5395" width="14.77734375" style="18" customWidth="1"/>
    <col min="5396" max="5397" width="6.88671875" style="18" customWidth="1"/>
    <col min="5398" max="5398" width="7.44140625" style="18" customWidth="1"/>
    <col min="5399" max="5399" width="6.88671875" style="18" customWidth="1"/>
    <col min="5400" max="5400" width="3" style="18" customWidth="1"/>
    <col min="5401" max="5401" width="14.77734375" style="18" customWidth="1"/>
    <col min="5402" max="5402" width="15.77734375" style="18" customWidth="1"/>
    <col min="5403" max="5403" width="15.44140625" style="18" bestFit="1" customWidth="1"/>
    <col min="5404" max="5404" width="17.5546875" style="18" bestFit="1" customWidth="1"/>
    <col min="5405" max="5405" width="12.21875" style="18" bestFit="1" customWidth="1"/>
    <col min="5406" max="5406" width="9" style="18" bestFit="1" customWidth="1"/>
    <col min="5407" max="5407" width="8.88671875" style="18"/>
    <col min="5408" max="5408" width="9.44140625" style="18" bestFit="1" customWidth="1"/>
    <col min="5409" max="5632" width="8.88671875" style="18"/>
    <col min="5633" max="5636" width="6.77734375" style="18" customWidth="1"/>
    <col min="5637" max="5637" width="16" style="18" customWidth="1"/>
    <col min="5638" max="5640" width="13.77734375" style="18" customWidth="1"/>
    <col min="5641" max="5641" width="1.77734375" style="18" customWidth="1"/>
    <col min="5642" max="5642" width="2.88671875" style="18" customWidth="1"/>
    <col min="5643" max="5643" width="2" style="18" customWidth="1"/>
    <col min="5644" max="5645" width="8.77734375" style="18" customWidth="1"/>
    <col min="5646" max="5646" width="10.77734375" style="18" customWidth="1"/>
    <col min="5647" max="5648" width="7.77734375" style="18" customWidth="1"/>
    <col min="5649" max="5649" width="8.109375" style="18" customWidth="1"/>
    <col min="5650" max="5650" width="6.88671875" style="18" customWidth="1"/>
    <col min="5651" max="5651" width="14.77734375" style="18" customWidth="1"/>
    <col min="5652" max="5653" width="6.88671875" style="18" customWidth="1"/>
    <col min="5654" max="5654" width="7.44140625" style="18" customWidth="1"/>
    <col min="5655" max="5655" width="6.88671875" style="18" customWidth="1"/>
    <col min="5656" max="5656" width="3" style="18" customWidth="1"/>
    <col min="5657" max="5657" width="14.77734375" style="18" customWidth="1"/>
    <col min="5658" max="5658" width="15.77734375" style="18" customWidth="1"/>
    <col min="5659" max="5659" width="15.44140625" style="18" bestFit="1" customWidth="1"/>
    <col min="5660" max="5660" width="17.5546875" style="18" bestFit="1" customWidth="1"/>
    <col min="5661" max="5661" width="12.21875" style="18" bestFit="1" customWidth="1"/>
    <col min="5662" max="5662" width="9" style="18" bestFit="1" customWidth="1"/>
    <col min="5663" max="5663" width="8.88671875" style="18"/>
    <col min="5664" max="5664" width="9.44140625" style="18" bestFit="1" customWidth="1"/>
    <col min="5665" max="5888" width="8.88671875" style="18"/>
    <col min="5889" max="5892" width="6.77734375" style="18" customWidth="1"/>
    <col min="5893" max="5893" width="16" style="18" customWidth="1"/>
    <col min="5894" max="5896" width="13.77734375" style="18" customWidth="1"/>
    <col min="5897" max="5897" width="1.77734375" style="18" customWidth="1"/>
    <col min="5898" max="5898" width="2.88671875" style="18" customWidth="1"/>
    <col min="5899" max="5899" width="2" style="18" customWidth="1"/>
    <col min="5900" max="5901" width="8.77734375" style="18" customWidth="1"/>
    <col min="5902" max="5902" width="10.77734375" style="18" customWidth="1"/>
    <col min="5903" max="5904" width="7.77734375" style="18" customWidth="1"/>
    <col min="5905" max="5905" width="8.109375" style="18" customWidth="1"/>
    <col min="5906" max="5906" width="6.88671875" style="18" customWidth="1"/>
    <col min="5907" max="5907" width="14.77734375" style="18" customWidth="1"/>
    <col min="5908" max="5909" width="6.88671875" style="18" customWidth="1"/>
    <col min="5910" max="5910" width="7.44140625" style="18" customWidth="1"/>
    <col min="5911" max="5911" width="6.88671875" style="18" customWidth="1"/>
    <col min="5912" max="5912" width="3" style="18" customWidth="1"/>
    <col min="5913" max="5913" width="14.77734375" style="18" customWidth="1"/>
    <col min="5914" max="5914" width="15.77734375" style="18" customWidth="1"/>
    <col min="5915" max="5915" width="15.44140625" style="18" bestFit="1" customWidth="1"/>
    <col min="5916" max="5916" width="17.5546875" style="18" bestFit="1" customWidth="1"/>
    <col min="5917" max="5917" width="12.21875" style="18" bestFit="1" customWidth="1"/>
    <col min="5918" max="5918" width="9" style="18" bestFit="1" customWidth="1"/>
    <col min="5919" max="5919" width="8.88671875" style="18"/>
    <col min="5920" max="5920" width="9.44140625" style="18" bestFit="1" customWidth="1"/>
    <col min="5921" max="6144" width="8.88671875" style="18"/>
    <col min="6145" max="6148" width="6.77734375" style="18" customWidth="1"/>
    <col min="6149" max="6149" width="16" style="18" customWidth="1"/>
    <col min="6150" max="6152" width="13.77734375" style="18" customWidth="1"/>
    <col min="6153" max="6153" width="1.77734375" style="18" customWidth="1"/>
    <col min="6154" max="6154" width="2.88671875" style="18" customWidth="1"/>
    <col min="6155" max="6155" width="2" style="18" customWidth="1"/>
    <col min="6156" max="6157" width="8.77734375" style="18" customWidth="1"/>
    <col min="6158" max="6158" width="10.77734375" style="18" customWidth="1"/>
    <col min="6159" max="6160" width="7.77734375" style="18" customWidth="1"/>
    <col min="6161" max="6161" width="8.109375" style="18" customWidth="1"/>
    <col min="6162" max="6162" width="6.88671875" style="18" customWidth="1"/>
    <col min="6163" max="6163" width="14.77734375" style="18" customWidth="1"/>
    <col min="6164" max="6165" width="6.88671875" style="18" customWidth="1"/>
    <col min="6166" max="6166" width="7.44140625" style="18" customWidth="1"/>
    <col min="6167" max="6167" width="6.88671875" style="18" customWidth="1"/>
    <col min="6168" max="6168" width="3" style="18" customWidth="1"/>
    <col min="6169" max="6169" width="14.77734375" style="18" customWidth="1"/>
    <col min="6170" max="6170" width="15.77734375" style="18" customWidth="1"/>
    <col min="6171" max="6171" width="15.44140625" style="18" bestFit="1" customWidth="1"/>
    <col min="6172" max="6172" width="17.5546875" style="18" bestFit="1" customWidth="1"/>
    <col min="6173" max="6173" width="12.21875" style="18" bestFit="1" customWidth="1"/>
    <col min="6174" max="6174" width="9" style="18" bestFit="1" customWidth="1"/>
    <col min="6175" max="6175" width="8.88671875" style="18"/>
    <col min="6176" max="6176" width="9.44140625" style="18" bestFit="1" customWidth="1"/>
    <col min="6177" max="6400" width="8.88671875" style="18"/>
    <col min="6401" max="6404" width="6.77734375" style="18" customWidth="1"/>
    <col min="6405" max="6405" width="16" style="18" customWidth="1"/>
    <col min="6406" max="6408" width="13.77734375" style="18" customWidth="1"/>
    <col min="6409" max="6409" width="1.77734375" style="18" customWidth="1"/>
    <col min="6410" max="6410" width="2.88671875" style="18" customWidth="1"/>
    <col min="6411" max="6411" width="2" style="18" customWidth="1"/>
    <col min="6412" max="6413" width="8.77734375" style="18" customWidth="1"/>
    <col min="6414" max="6414" width="10.77734375" style="18" customWidth="1"/>
    <col min="6415" max="6416" width="7.77734375" style="18" customWidth="1"/>
    <col min="6417" max="6417" width="8.109375" style="18" customWidth="1"/>
    <col min="6418" max="6418" width="6.88671875" style="18" customWidth="1"/>
    <col min="6419" max="6419" width="14.77734375" style="18" customWidth="1"/>
    <col min="6420" max="6421" width="6.88671875" style="18" customWidth="1"/>
    <col min="6422" max="6422" width="7.44140625" style="18" customWidth="1"/>
    <col min="6423" max="6423" width="6.88671875" style="18" customWidth="1"/>
    <col min="6424" max="6424" width="3" style="18" customWidth="1"/>
    <col min="6425" max="6425" width="14.77734375" style="18" customWidth="1"/>
    <col min="6426" max="6426" width="15.77734375" style="18" customWidth="1"/>
    <col min="6427" max="6427" width="15.44140625" style="18" bestFit="1" customWidth="1"/>
    <col min="6428" max="6428" width="17.5546875" style="18" bestFit="1" customWidth="1"/>
    <col min="6429" max="6429" width="12.21875" style="18" bestFit="1" customWidth="1"/>
    <col min="6430" max="6430" width="9" style="18" bestFit="1" customWidth="1"/>
    <col min="6431" max="6431" width="8.88671875" style="18"/>
    <col min="6432" max="6432" width="9.44140625" style="18" bestFit="1" customWidth="1"/>
    <col min="6433" max="6656" width="8.88671875" style="18"/>
    <col min="6657" max="6660" width="6.77734375" style="18" customWidth="1"/>
    <col min="6661" max="6661" width="16" style="18" customWidth="1"/>
    <col min="6662" max="6664" width="13.77734375" style="18" customWidth="1"/>
    <col min="6665" max="6665" width="1.77734375" style="18" customWidth="1"/>
    <col min="6666" max="6666" width="2.88671875" style="18" customWidth="1"/>
    <col min="6667" max="6667" width="2" style="18" customWidth="1"/>
    <col min="6668" max="6669" width="8.77734375" style="18" customWidth="1"/>
    <col min="6670" max="6670" width="10.77734375" style="18" customWidth="1"/>
    <col min="6671" max="6672" width="7.77734375" style="18" customWidth="1"/>
    <col min="6673" max="6673" width="8.109375" style="18" customWidth="1"/>
    <col min="6674" max="6674" width="6.88671875" style="18" customWidth="1"/>
    <col min="6675" max="6675" width="14.77734375" style="18" customWidth="1"/>
    <col min="6676" max="6677" width="6.88671875" style="18" customWidth="1"/>
    <col min="6678" max="6678" width="7.44140625" style="18" customWidth="1"/>
    <col min="6679" max="6679" width="6.88671875" style="18" customWidth="1"/>
    <col min="6680" max="6680" width="3" style="18" customWidth="1"/>
    <col min="6681" max="6681" width="14.77734375" style="18" customWidth="1"/>
    <col min="6682" max="6682" width="15.77734375" style="18" customWidth="1"/>
    <col min="6683" max="6683" width="15.44140625" style="18" bestFit="1" customWidth="1"/>
    <col min="6684" max="6684" width="17.5546875" style="18" bestFit="1" customWidth="1"/>
    <col min="6685" max="6685" width="12.21875" style="18" bestFit="1" customWidth="1"/>
    <col min="6686" max="6686" width="9" style="18" bestFit="1" customWidth="1"/>
    <col min="6687" max="6687" width="8.88671875" style="18"/>
    <col min="6688" max="6688" width="9.44140625" style="18" bestFit="1" customWidth="1"/>
    <col min="6689" max="6912" width="8.88671875" style="18"/>
    <col min="6913" max="6916" width="6.77734375" style="18" customWidth="1"/>
    <col min="6917" max="6917" width="16" style="18" customWidth="1"/>
    <col min="6918" max="6920" width="13.77734375" style="18" customWidth="1"/>
    <col min="6921" max="6921" width="1.77734375" style="18" customWidth="1"/>
    <col min="6922" max="6922" width="2.88671875" style="18" customWidth="1"/>
    <col min="6923" max="6923" width="2" style="18" customWidth="1"/>
    <col min="6924" max="6925" width="8.77734375" style="18" customWidth="1"/>
    <col min="6926" max="6926" width="10.77734375" style="18" customWidth="1"/>
    <col min="6927" max="6928" width="7.77734375" style="18" customWidth="1"/>
    <col min="6929" max="6929" width="8.109375" style="18" customWidth="1"/>
    <col min="6930" max="6930" width="6.88671875" style="18" customWidth="1"/>
    <col min="6931" max="6931" width="14.77734375" style="18" customWidth="1"/>
    <col min="6932" max="6933" width="6.88671875" style="18" customWidth="1"/>
    <col min="6934" max="6934" width="7.44140625" style="18" customWidth="1"/>
    <col min="6935" max="6935" width="6.88671875" style="18" customWidth="1"/>
    <col min="6936" max="6936" width="3" style="18" customWidth="1"/>
    <col min="6937" max="6937" width="14.77734375" style="18" customWidth="1"/>
    <col min="6938" max="6938" width="15.77734375" style="18" customWidth="1"/>
    <col min="6939" max="6939" width="15.44140625" style="18" bestFit="1" customWidth="1"/>
    <col min="6940" max="6940" width="17.5546875" style="18" bestFit="1" customWidth="1"/>
    <col min="6941" max="6941" width="12.21875" style="18" bestFit="1" customWidth="1"/>
    <col min="6942" max="6942" width="9" style="18" bestFit="1" customWidth="1"/>
    <col min="6943" max="6943" width="8.88671875" style="18"/>
    <col min="6944" max="6944" width="9.44140625" style="18" bestFit="1" customWidth="1"/>
    <col min="6945" max="7168" width="8.88671875" style="18"/>
    <col min="7169" max="7172" width="6.77734375" style="18" customWidth="1"/>
    <col min="7173" max="7173" width="16" style="18" customWidth="1"/>
    <col min="7174" max="7176" width="13.77734375" style="18" customWidth="1"/>
    <col min="7177" max="7177" width="1.77734375" style="18" customWidth="1"/>
    <col min="7178" max="7178" width="2.88671875" style="18" customWidth="1"/>
    <col min="7179" max="7179" width="2" style="18" customWidth="1"/>
    <col min="7180" max="7181" width="8.77734375" style="18" customWidth="1"/>
    <col min="7182" max="7182" width="10.77734375" style="18" customWidth="1"/>
    <col min="7183" max="7184" width="7.77734375" style="18" customWidth="1"/>
    <col min="7185" max="7185" width="8.109375" style="18" customWidth="1"/>
    <col min="7186" max="7186" width="6.88671875" style="18" customWidth="1"/>
    <col min="7187" max="7187" width="14.77734375" style="18" customWidth="1"/>
    <col min="7188" max="7189" width="6.88671875" style="18" customWidth="1"/>
    <col min="7190" max="7190" width="7.44140625" style="18" customWidth="1"/>
    <col min="7191" max="7191" width="6.88671875" style="18" customWidth="1"/>
    <col min="7192" max="7192" width="3" style="18" customWidth="1"/>
    <col min="7193" max="7193" width="14.77734375" style="18" customWidth="1"/>
    <col min="7194" max="7194" width="15.77734375" style="18" customWidth="1"/>
    <col min="7195" max="7195" width="15.44140625" style="18" bestFit="1" customWidth="1"/>
    <col min="7196" max="7196" width="17.5546875" style="18" bestFit="1" customWidth="1"/>
    <col min="7197" max="7197" width="12.21875" style="18" bestFit="1" customWidth="1"/>
    <col min="7198" max="7198" width="9" style="18" bestFit="1" customWidth="1"/>
    <col min="7199" max="7199" width="8.88671875" style="18"/>
    <col min="7200" max="7200" width="9.44140625" style="18" bestFit="1" customWidth="1"/>
    <col min="7201" max="7424" width="8.88671875" style="18"/>
    <col min="7425" max="7428" width="6.77734375" style="18" customWidth="1"/>
    <col min="7429" max="7429" width="16" style="18" customWidth="1"/>
    <col min="7430" max="7432" width="13.77734375" style="18" customWidth="1"/>
    <col min="7433" max="7433" width="1.77734375" style="18" customWidth="1"/>
    <col min="7434" max="7434" width="2.88671875" style="18" customWidth="1"/>
    <col min="7435" max="7435" width="2" style="18" customWidth="1"/>
    <col min="7436" max="7437" width="8.77734375" style="18" customWidth="1"/>
    <col min="7438" max="7438" width="10.77734375" style="18" customWidth="1"/>
    <col min="7439" max="7440" width="7.77734375" style="18" customWidth="1"/>
    <col min="7441" max="7441" width="8.109375" style="18" customWidth="1"/>
    <col min="7442" max="7442" width="6.88671875" style="18" customWidth="1"/>
    <col min="7443" max="7443" width="14.77734375" style="18" customWidth="1"/>
    <col min="7444" max="7445" width="6.88671875" style="18" customWidth="1"/>
    <col min="7446" max="7446" width="7.44140625" style="18" customWidth="1"/>
    <col min="7447" max="7447" width="6.88671875" style="18" customWidth="1"/>
    <col min="7448" max="7448" width="3" style="18" customWidth="1"/>
    <col min="7449" max="7449" width="14.77734375" style="18" customWidth="1"/>
    <col min="7450" max="7450" width="15.77734375" style="18" customWidth="1"/>
    <col min="7451" max="7451" width="15.44140625" style="18" bestFit="1" customWidth="1"/>
    <col min="7452" max="7452" width="17.5546875" style="18" bestFit="1" customWidth="1"/>
    <col min="7453" max="7453" width="12.21875" style="18" bestFit="1" customWidth="1"/>
    <col min="7454" max="7454" width="9" style="18" bestFit="1" customWidth="1"/>
    <col min="7455" max="7455" width="8.88671875" style="18"/>
    <col min="7456" max="7456" width="9.44140625" style="18" bestFit="1" customWidth="1"/>
    <col min="7457" max="7680" width="8.88671875" style="18"/>
    <col min="7681" max="7684" width="6.77734375" style="18" customWidth="1"/>
    <col min="7685" max="7685" width="16" style="18" customWidth="1"/>
    <col min="7686" max="7688" width="13.77734375" style="18" customWidth="1"/>
    <col min="7689" max="7689" width="1.77734375" style="18" customWidth="1"/>
    <col min="7690" max="7690" width="2.88671875" style="18" customWidth="1"/>
    <col min="7691" max="7691" width="2" style="18" customWidth="1"/>
    <col min="7692" max="7693" width="8.77734375" style="18" customWidth="1"/>
    <col min="7694" max="7694" width="10.77734375" style="18" customWidth="1"/>
    <col min="7695" max="7696" width="7.77734375" style="18" customWidth="1"/>
    <col min="7697" max="7697" width="8.109375" style="18" customWidth="1"/>
    <col min="7698" max="7698" width="6.88671875" style="18" customWidth="1"/>
    <col min="7699" max="7699" width="14.77734375" style="18" customWidth="1"/>
    <col min="7700" max="7701" width="6.88671875" style="18" customWidth="1"/>
    <col min="7702" max="7702" width="7.44140625" style="18" customWidth="1"/>
    <col min="7703" max="7703" width="6.88671875" style="18" customWidth="1"/>
    <col min="7704" max="7704" width="3" style="18" customWidth="1"/>
    <col min="7705" max="7705" width="14.77734375" style="18" customWidth="1"/>
    <col min="7706" max="7706" width="15.77734375" style="18" customWidth="1"/>
    <col min="7707" max="7707" width="15.44140625" style="18" bestFit="1" customWidth="1"/>
    <col min="7708" max="7708" width="17.5546875" style="18" bestFit="1" customWidth="1"/>
    <col min="7709" max="7709" width="12.21875" style="18" bestFit="1" customWidth="1"/>
    <col min="7710" max="7710" width="9" style="18" bestFit="1" customWidth="1"/>
    <col min="7711" max="7711" width="8.88671875" style="18"/>
    <col min="7712" max="7712" width="9.44140625" style="18" bestFit="1" customWidth="1"/>
    <col min="7713" max="7936" width="8.88671875" style="18"/>
    <col min="7937" max="7940" width="6.77734375" style="18" customWidth="1"/>
    <col min="7941" max="7941" width="16" style="18" customWidth="1"/>
    <col min="7942" max="7944" width="13.77734375" style="18" customWidth="1"/>
    <col min="7945" max="7945" width="1.77734375" style="18" customWidth="1"/>
    <col min="7946" max="7946" width="2.88671875" style="18" customWidth="1"/>
    <col min="7947" max="7947" width="2" style="18" customWidth="1"/>
    <col min="7948" max="7949" width="8.77734375" style="18" customWidth="1"/>
    <col min="7950" max="7950" width="10.77734375" style="18" customWidth="1"/>
    <col min="7951" max="7952" width="7.77734375" style="18" customWidth="1"/>
    <col min="7953" max="7953" width="8.109375" style="18" customWidth="1"/>
    <col min="7954" max="7954" width="6.88671875" style="18" customWidth="1"/>
    <col min="7955" max="7955" width="14.77734375" style="18" customWidth="1"/>
    <col min="7956" max="7957" width="6.88671875" style="18" customWidth="1"/>
    <col min="7958" max="7958" width="7.44140625" style="18" customWidth="1"/>
    <col min="7959" max="7959" width="6.88671875" style="18" customWidth="1"/>
    <col min="7960" max="7960" width="3" style="18" customWidth="1"/>
    <col min="7961" max="7961" width="14.77734375" style="18" customWidth="1"/>
    <col min="7962" max="7962" width="15.77734375" style="18" customWidth="1"/>
    <col min="7963" max="7963" width="15.44140625" style="18" bestFit="1" customWidth="1"/>
    <col min="7964" max="7964" width="17.5546875" style="18" bestFit="1" customWidth="1"/>
    <col min="7965" max="7965" width="12.21875" style="18" bestFit="1" customWidth="1"/>
    <col min="7966" max="7966" width="9" style="18" bestFit="1" customWidth="1"/>
    <col min="7967" max="7967" width="8.88671875" style="18"/>
    <col min="7968" max="7968" width="9.44140625" style="18" bestFit="1" customWidth="1"/>
    <col min="7969" max="8192" width="8.88671875" style="18"/>
    <col min="8193" max="8196" width="6.77734375" style="18" customWidth="1"/>
    <col min="8197" max="8197" width="16" style="18" customWidth="1"/>
    <col min="8198" max="8200" width="13.77734375" style="18" customWidth="1"/>
    <col min="8201" max="8201" width="1.77734375" style="18" customWidth="1"/>
    <col min="8202" max="8202" width="2.88671875" style="18" customWidth="1"/>
    <col min="8203" max="8203" width="2" style="18" customWidth="1"/>
    <col min="8204" max="8205" width="8.77734375" style="18" customWidth="1"/>
    <col min="8206" max="8206" width="10.77734375" style="18" customWidth="1"/>
    <col min="8207" max="8208" width="7.77734375" style="18" customWidth="1"/>
    <col min="8209" max="8209" width="8.109375" style="18" customWidth="1"/>
    <col min="8210" max="8210" width="6.88671875" style="18" customWidth="1"/>
    <col min="8211" max="8211" width="14.77734375" style="18" customWidth="1"/>
    <col min="8212" max="8213" width="6.88671875" style="18" customWidth="1"/>
    <col min="8214" max="8214" width="7.44140625" style="18" customWidth="1"/>
    <col min="8215" max="8215" width="6.88671875" style="18" customWidth="1"/>
    <col min="8216" max="8216" width="3" style="18" customWidth="1"/>
    <col min="8217" max="8217" width="14.77734375" style="18" customWidth="1"/>
    <col min="8218" max="8218" width="15.77734375" style="18" customWidth="1"/>
    <col min="8219" max="8219" width="15.44140625" style="18" bestFit="1" customWidth="1"/>
    <col min="8220" max="8220" width="17.5546875" style="18" bestFit="1" customWidth="1"/>
    <col min="8221" max="8221" width="12.21875" style="18" bestFit="1" customWidth="1"/>
    <col min="8222" max="8222" width="9" style="18" bestFit="1" customWidth="1"/>
    <col min="8223" max="8223" width="8.88671875" style="18"/>
    <col min="8224" max="8224" width="9.44140625" style="18" bestFit="1" customWidth="1"/>
    <col min="8225" max="8448" width="8.88671875" style="18"/>
    <col min="8449" max="8452" width="6.77734375" style="18" customWidth="1"/>
    <col min="8453" max="8453" width="16" style="18" customWidth="1"/>
    <col min="8454" max="8456" width="13.77734375" style="18" customWidth="1"/>
    <col min="8457" max="8457" width="1.77734375" style="18" customWidth="1"/>
    <col min="8458" max="8458" width="2.88671875" style="18" customWidth="1"/>
    <col min="8459" max="8459" width="2" style="18" customWidth="1"/>
    <col min="8460" max="8461" width="8.77734375" style="18" customWidth="1"/>
    <col min="8462" max="8462" width="10.77734375" style="18" customWidth="1"/>
    <col min="8463" max="8464" width="7.77734375" style="18" customWidth="1"/>
    <col min="8465" max="8465" width="8.109375" style="18" customWidth="1"/>
    <col min="8466" max="8466" width="6.88671875" style="18" customWidth="1"/>
    <col min="8467" max="8467" width="14.77734375" style="18" customWidth="1"/>
    <col min="8468" max="8469" width="6.88671875" style="18" customWidth="1"/>
    <col min="8470" max="8470" width="7.44140625" style="18" customWidth="1"/>
    <col min="8471" max="8471" width="6.88671875" style="18" customWidth="1"/>
    <col min="8472" max="8472" width="3" style="18" customWidth="1"/>
    <col min="8473" max="8473" width="14.77734375" style="18" customWidth="1"/>
    <col min="8474" max="8474" width="15.77734375" style="18" customWidth="1"/>
    <col min="8475" max="8475" width="15.44140625" style="18" bestFit="1" customWidth="1"/>
    <col min="8476" max="8476" width="17.5546875" style="18" bestFit="1" customWidth="1"/>
    <col min="8477" max="8477" width="12.21875" style="18" bestFit="1" customWidth="1"/>
    <col min="8478" max="8478" width="9" style="18" bestFit="1" customWidth="1"/>
    <col min="8479" max="8479" width="8.88671875" style="18"/>
    <col min="8480" max="8480" width="9.44140625" style="18" bestFit="1" customWidth="1"/>
    <col min="8481" max="8704" width="8.88671875" style="18"/>
    <col min="8705" max="8708" width="6.77734375" style="18" customWidth="1"/>
    <col min="8709" max="8709" width="16" style="18" customWidth="1"/>
    <col min="8710" max="8712" width="13.77734375" style="18" customWidth="1"/>
    <col min="8713" max="8713" width="1.77734375" style="18" customWidth="1"/>
    <col min="8714" max="8714" width="2.88671875" style="18" customWidth="1"/>
    <col min="8715" max="8715" width="2" style="18" customWidth="1"/>
    <col min="8716" max="8717" width="8.77734375" style="18" customWidth="1"/>
    <col min="8718" max="8718" width="10.77734375" style="18" customWidth="1"/>
    <col min="8719" max="8720" width="7.77734375" style="18" customWidth="1"/>
    <col min="8721" max="8721" width="8.109375" style="18" customWidth="1"/>
    <col min="8722" max="8722" width="6.88671875" style="18" customWidth="1"/>
    <col min="8723" max="8723" width="14.77734375" style="18" customWidth="1"/>
    <col min="8724" max="8725" width="6.88671875" style="18" customWidth="1"/>
    <col min="8726" max="8726" width="7.44140625" style="18" customWidth="1"/>
    <col min="8727" max="8727" width="6.88671875" style="18" customWidth="1"/>
    <col min="8728" max="8728" width="3" style="18" customWidth="1"/>
    <col min="8729" max="8729" width="14.77734375" style="18" customWidth="1"/>
    <col min="8730" max="8730" width="15.77734375" style="18" customWidth="1"/>
    <col min="8731" max="8731" width="15.44140625" style="18" bestFit="1" customWidth="1"/>
    <col min="8732" max="8732" width="17.5546875" style="18" bestFit="1" customWidth="1"/>
    <col min="8733" max="8733" width="12.21875" style="18" bestFit="1" customWidth="1"/>
    <col min="8734" max="8734" width="9" style="18" bestFit="1" customWidth="1"/>
    <col min="8735" max="8735" width="8.88671875" style="18"/>
    <col min="8736" max="8736" width="9.44140625" style="18" bestFit="1" customWidth="1"/>
    <col min="8737" max="8960" width="8.88671875" style="18"/>
    <col min="8961" max="8964" width="6.77734375" style="18" customWidth="1"/>
    <col min="8965" max="8965" width="16" style="18" customWidth="1"/>
    <col min="8966" max="8968" width="13.77734375" style="18" customWidth="1"/>
    <col min="8969" max="8969" width="1.77734375" style="18" customWidth="1"/>
    <col min="8970" max="8970" width="2.88671875" style="18" customWidth="1"/>
    <col min="8971" max="8971" width="2" style="18" customWidth="1"/>
    <col min="8972" max="8973" width="8.77734375" style="18" customWidth="1"/>
    <col min="8974" max="8974" width="10.77734375" style="18" customWidth="1"/>
    <col min="8975" max="8976" width="7.77734375" style="18" customWidth="1"/>
    <col min="8977" max="8977" width="8.109375" style="18" customWidth="1"/>
    <col min="8978" max="8978" width="6.88671875" style="18" customWidth="1"/>
    <col min="8979" max="8979" width="14.77734375" style="18" customWidth="1"/>
    <col min="8980" max="8981" width="6.88671875" style="18" customWidth="1"/>
    <col min="8982" max="8982" width="7.44140625" style="18" customWidth="1"/>
    <col min="8983" max="8983" width="6.88671875" style="18" customWidth="1"/>
    <col min="8984" max="8984" width="3" style="18" customWidth="1"/>
    <col min="8985" max="8985" width="14.77734375" style="18" customWidth="1"/>
    <col min="8986" max="8986" width="15.77734375" style="18" customWidth="1"/>
    <col min="8987" max="8987" width="15.44140625" style="18" bestFit="1" customWidth="1"/>
    <col min="8988" max="8988" width="17.5546875" style="18" bestFit="1" customWidth="1"/>
    <col min="8989" max="8989" width="12.21875" style="18" bestFit="1" customWidth="1"/>
    <col min="8990" max="8990" width="9" style="18" bestFit="1" customWidth="1"/>
    <col min="8991" max="8991" width="8.88671875" style="18"/>
    <col min="8992" max="8992" width="9.44140625" style="18" bestFit="1" customWidth="1"/>
    <col min="8993" max="9216" width="8.88671875" style="18"/>
    <col min="9217" max="9220" width="6.77734375" style="18" customWidth="1"/>
    <col min="9221" max="9221" width="16" style="18" customWidth="1"/>
    <col min="9222" max="9224" width="13.77734375" style="18" customWidth="1"/>
    <col min="9225" max="9225" width="1.77734375" style="18" customWidth="1"/>
    <col min="9226" max="9226" width="2.88671875" style="18" customWidth="1"/>
    <col min="9227" max="9227" width="2" style="18" customWidth="1"/>
    <col min="9228" max="9229" width="8.77734375" style="18" customWidth="1"/>
    <col min="9230" max="9230" width="10.77734375" style="18" customWidth="1"/>
    <col min="9231" max="9232" width="7.77734375" style="18" customWidth="1"/>
    <col min="9233" max="9233" width="8.109375" style="18" customWidth="1"/>
    <col min="9234" max="9234" width="6.88671875" style="18" customWidth="1"/>
    <col min="9235" max="9235" width="14.77734375" style="18" customWidth="1"/>
    <col min="9236" max="9237" width="6.88671875" style="18" customWidth="1"/>
    <col min="9238" max="9238" width="7.44140625" style="18" customWidth="1"/>
    <col min="9239" max="9239" width="6.88671875" style="18" customWidth="1"/>
    <col min="9240" max="9240" width="3" style="18" customWidth="1"/>
    <col min="9241" max="9241" width="14.77734375" style="18" customWidth="1"/>
    <col min="9242" max="9242" width="15.77734375" style="18" customWidth="1"/>
    <col min="9243" max="9243" width="15.44140625" style="18" bestFit="1" customWidth="1"/>
    <col min="9244" max="9244" width="17.5546875" style="18" bestFit="1" customWidth="1"/>
    <col min="9245" max="9245" width="12.21875" style="18" bestFit="1" customWidth="1"/>
    <col min="9246" max="9246" width="9" style="18" bestFit="1" customWidth="1"/>
    <col min="9247" max="9247" width="8.88671875" style="18"/>
    <col min="9248" max="9248" width="9.44140625" style="18" bestFit="1" customWidth="1"/>
    <col min="9249" max="9472" width="8.88671875" style="18"/>
    <col min="9473" max="9476" width="6.77734375" style="18" customWidth="1"/>
    <col min="9477" max="9477" width="16" style="18" customWidth="1"/>
    <col min="9478" max="9480" width="13.77734375" style="18" customWidth="1"/>
    <col min="9481" max="9481" width="1.77734375" style="18" customWidth="1"/>
    <col min="9482" max="9482" width="2.88671875" style="18" customWidth="1"/>
    <col min="9483" max="9483" width="2" style="18" customWidth="1"/>
    <col min="9484" max="9485" width="8.77734375" style="18" customWidth="1"/>
    <col min="9486" max="9486" width="10.77734375" style="18" customWidth="1"/>
    <col min="9487" max="9488" width="7.77734375" style="18" customWidth="1"/>
    <col min="9489" max="9489" width="8.109375" style="18" customWidth="1"/>
    <col min="9490" max="9490" width="6.88671875" style="18" customWidth="1"/>
    <col min="9491" max="9491" width="14.77734375" style="18" customWidth="1"/>
    <col min="9492" max="9493" width="6.88671875" style="18" customWidth="1"/>
    <col min="9494" max="9494" width="7.44140625" style="18" customWidth="1"/>
    <col min="9495" max="9495" width="6.88671875" style="18" customWidth="1"/>
    <col min="9496" max="9496" width="3" style="18" customWidth="1"/>
    <col min="9497" max="9497" width="14.77734375" style="18" customWidth="1"/>
    <col min="9498" max="9498" width="15.77734375" style="18" customWidth="1"/>
    <col min="9499" max="9499" width="15.44140625" style="18" bestFit="1" customWidth="1"/>
    <col min="9500" max="9500" width="17.5546875" style="18" bestFit="1" customWidth="1"/>
    <col min="9501" max="9501" width="12.21875" style="18" bestFit="1" customWidth="1"/>
    <col min="9502" max="9502" width="9" style="18" bestFit="1" customWidth="1"/>
    <col min="9503" max="9503" width="8.88671875" style="18"/>
    <col min="9504" max="9504" width="9.44140625" style="18" bestFit="1" customWidth="1"/>
    <col min="9505" max="9728" width="8.88671875" style="18"/>
    <col min="9729" max="9732" width="6.77734375" style="18" customWidth="1"/>
    <col min="9733" max="9733" width="16" style="18" customWidth="1"/>
    <col min="9734" max="9736" width="13.77734375" style="18" customWidth="1"/>
    <col min="9737" max="9737" width="1.77734375" style="18" customWidth="1"/>
    <col min="9738" max="9738" width="2.88671875" style="18" customWidth="1"/>
    <col min="9739" max="9739" width="2" style="18" customWidth="1"/>
    <col min="9740" max="9741" width="8.77734375" style="18" customWidth="1"/>
    <col min="9742" max="9742" width="10.77734375" style="18" customWidth="1"/>
    <col min="9743" max="9744" width="7.77734375" style="18" customWidth="1"/>
    <col min="9745" max="9745" width="8.109375" style="18" customWidth="1"/>
    <col min="9746" max="9746" width="6.88671875" style="18" customWidth="1"/>
    <col min="9747" max="9747" width="14.77734375" style="18" customWidth="1"/>
    <col min="9748" max="9749" width="6.88671875" style="18" customWidth="1"/>
    <col min="9750" max="9750" width="7.44140625" style="18" customWidth="1"/>
    <col min="9751" max="9751" width="6.88671875" style="18" customWidth="1"/>
    <col min="9752" max="9752" width="3" style="18" customWidth="1"/>
    <col min="9753" max="9753" width="14.77734375" style="18" customWidth="1"/>
    <col min="9754" max="9754" width="15.77734375" style="18" customWidth="1"/>
    <col min="9755" max="9755" width="15.44140625" style="18" bestFit="1" customWidth="1"/>
    <col min="9756" max="9756" width="17.5546875" style="18" bestFit="1" customWidth="1"/>
    <col min="9757" max="9757" width="12.21875" style="18" bestFit="1" customWidth="1"/>
    <col min="9758" max="9758" width="9" style="18" bestFit="1" customWidth="1"/>
    <col min="9759" max="9759" width="8.88671875" style="18"/>
    <col min="9760" max="9760" width="9.44140625" style="18" bestFit="1" customWidth="1"/>
    <col min="9761" max="9984" width="8.88671875" style="18"/>
    <col min="9985" max="9988" width="6.77734375" style="18" customWidth="1"/>
    <col min="9989" max="9989" width="16" style="18" customWidth="1"/>
    <col min="9990" max="9992" width="13.77734375" style="18" customWidth="1"/>
    <col min="9993" max="9993" width="1.77734375" style="18" customWidth="1"/>
    <col min="9994" max="9994" width="2.88671875" style="18" customWidth="1"/>
    <col min="9995" max="9995" width="2" style="18" customWidth="1"/>
    <col min="9996" max="9997" width="8.77734375" style="18" customWidth="1"/>
    <col min="9998" max="9998" width="10.77734375" style="18" customWidth="1"/>
    <col min="9999" max="10000" width="7.77734375" style="18" customWidth="1"/>
    <col min="10001" max="10001" width="8.109375" style="18" customWidth="1"/>
    <col min="10002" max="10002" width="6.88671875" style="18" customWidth="1"/>
    <col min="10003" max="10003" width="14.77734375" style="18" customWidth="1"/>
    <col min="10004" max="10005" width="6.88671875" style="18" customWidth="1"/>
    <col min="10006" max="10006" width="7.44140625" style="18" customWidth="1"/>
    <col min="10007" max="10007" width="6.88671875" style="18" customWidth="1"/>
    <col min="10008" max="10008" width="3" style="18" customWidth="1"/>
    <col min="10009" max="10009" width="14.77734375" style="18" customWidth="1"/>
    <col min="10010" max="10010" width="15.77734375" style="18" customWidth="1"/>
    <col min="10011" max="10011" width="15.44140625" style="18" bestFit="1" customWidth="1"/>
    <col min="10012" max="10012" width="17.5546875" style="18" bestFit="1" customWidth="1"/>
    <col min="10013" max="10013" width="12.21875" style="18" bestFit="1" customWidth="1"/>
    <col min="10014" max="10014" width="9" style="18" bestFit="1" customWidth="1"/>
    <col min="10015" max="10015" width="8.88671875" style="18"/>
    <col min="10016" max="10016" width="9.44140625" style="18" bestFit="1" customWidth="1"/>
    <col min="10017" max="10240" width="8.88671875" style="18"/>
    <col min="10241" max="10244" width="6.77734375" style="18" customWidth="1"/>
    <col min="10245" max="10245" width="16" style="18" customWidth="1"/>
    <col min="10246" max="10248" width="13.77734375" style="18" customWidth="1"/>
    <col min="10249" max="10249" width="1.77734375" style="18" customWidth="1"/>
    <col min="10250" max="10250" width="2.88671875" style="18" customWidth="1"/>
    <col min="10251" max="10251" width="2" style="18" customWidth="1"/>
    <col min="10252" max="10253" width="8.77734375" style="18" customWidth="1"/>
    <col min="10254" max="10254" width="10.77734375" style="18" customWidth="1"/>
    <col min="10255" max="10256" width="7.77734375" style="18" customWidth="1"/>
    <col min="10257" max="10257" width="8.109375" style="18" customWidth="1"/>
    <col min="10258" max="10258" width="6.88671875" style="18" customWidth="1"/>
    <col min="10259" max="10259" width="14.77734375" style="18" customWidth="1"/>
    <col min="10260" max="10261" width="6.88671875" style="18" customWidth="1"/>
    <col min="10262" max="10262" width="7.44140625" style="18" customWidth="1"/>
    <col min="10263" max="10263" width="6.88671875" style="18" customWidth="1"/>
    <col min="10264" max="10264" width="3" style="18" customWidth="1"/>
    <col min="10265" max="10265" width="14.77734375" style="18" customWidth="1"/>
    <col min="10266" max="10266" width="15.77734375" style="18" customWidth="1"/>
    <col min="10267" max="10267" width="15.44140625" style="18" bestFit="1" customWidth="1"/>
    <col min="10268" max="10268" width="17.5546875" style="18" bestFit="1" customWidth="1"/>
    <col min="10269" max="10269" width="12.21875" style="18" bestFit="1" customWidth="1"/>
    <col min="10270" max="10270" width="9" style="18" bestFit="1" customWidth="1"/>
    <col min="10271" max="10271" width="8.88671875" style="18"/>
    <col min="10272" max="10272" width="9.44140625" style="18" bestFit="1" customWidth="1"/>
    <col min="10273" max="10496" width="8.88671875" style="18"/>
    <col min="10497" max="10500" width="6.77734375" style="18" customWidth="1"/>
    <col min="10501" max="10501" width="16" style="18" customWidth="1"/>
    <col min="10502" max="10504" width="13.77734375" style="18" customWidth="1"/>
    <col min="10505" max="10505" width="1.77734375" style="18" customWidth="1"/>
    <col min="10506" max="10506" width="2.88671875" style="18" customWidth="1"/>
    <col min="10507" max="10507" width="2" style="18" customWidth="1"/>
    <col min="10508" max="10509" width="8.77734375" style="18" customWidth="1"/>
    <col min="10510" max="10510" width="10.77734375" style="18" customWidth="1"/>
    <col min="10511" max="10512" width="7.77734375" style="18" customWidth="1"/>
    <col min="10513" max="10513" width="8.109375" style="18" customWidth="1"/>
    <col min="10514" max="10514" width="6.88671875" style="18" customWidth="1"/>
    <col min="10515" max="10515" width="14.77734375" style="18" customWidth="1"/>
    <col min="10516" max="10517" width="6.88671875" style="18" customWidth="1"/>
    <col min="10518" max="10518" width="7.44140625" style="18" customWidth="1"/>
    <col min="10519" max="10519" width="6.88671875" style="18" customWidth="1"/>
    <col min="10520" max="10520" width="3" style="18" customWidth="1"/>
    <col min="10521" max="10521" width="14.77734375" style="18" customWidth="1"/>
    <col min="10522" max="10522" width="15.77734375" style="18" customWidth="1"/>
    <col min="10523" max="10523" width="15.44140625" style="18" bestFit="1" customWidth="1"/>
    <col min="10524" max="10524" width="17.5546875" style="18" bestFit="1" customWidth="1"/>
    <col min="10525" max="10525" width="12.21875" style="18" bestFit="1" customWidth="1"/>
    <col min="10526" max="10526" width="9" style="18" bestFit="1" customWidth="1"/>
    <col min="10527" max="10527" width="8.88671875" style="18"/>
    <col min="10528" max="10528" width="9.44140625" style="18" bestFit="1" customWidth="1"/>
    <col min="10529" max="10752" width="8.88671875" style="18"/>
    <col min="10753" max="10756" width="6.77734375" style="18" customWidth="1"/>
    <col min="10757" max="10757" width="16" style="18" customWidth="1"/>
    <col min="10758" max="10760" width="13.77734375" style="18" customWidth="1"/>
    <col min="10761" max="10761" width="1.77734375" style="18" customWidth="1"/>
    <col min="10762" max="10762" width="2.88671875" style="18" customWidth="1"/>
    <col min="10763" max="10763" width="2" style="18" customWidth="1"/>
    <col min="10764" max="10765" width="8.77734375" style="18" customWidth="1"/>
    <col min="10766" max="10766" width="10.77734375" style="18" customWidth="1"/>
    <col min="10767" max="10768" width="7.77734375" style="18" customWidth="1"/>
    <col min="10769" max="10769" width="8.109375" style="18" customWidth="1"/>
    <col min="10770" max="10770" width="6.88671875" style="18" customWidth="1"/>
    <col min="10771" max="10771" width="14.77734375" style="18" customWidth="1"/>
    <col min="10772" max="10773" width="6.88671875" style="18" customWidth="1"/>
    <col min="10774" max="10774" width="7.44140625" style="18" customWidth="1"/>
    <col min="10775" max="10775" width="6.88671875" style="18" customWidth="1"/>
    <col min="10776" max="10776" width="3" style="18" customWidth="1"/>
    <col min="10777" max="10777" width="14.77734375" style="18" customWidth="1"/>
    <col min="10778" max="10778" width="15.77734375" style="18" customWidth="1"/>
    <col min="10779" max="10779" width="15.44140625" style="18" bestFit="1" customWidth="1"/>
    <col min="10780" max="10780" width="17.5546875" style="18" bestFit="1" customWidth="1"/>
    <col min="10781" max="10781" width="12.21875" style="18" bestFit="1" customWidth="1"/>
    <col min="10782" max="10782" width="9" style="18" bestFit="1" customWidth="1"/>
    <col min="10783" max="10783" width="8.88671875" style="18"/>
    <col min="10784" max="10784" width="9.44140625" style="18" bestFit="1" customWidth="1"/>
    <col min="10785" max="11008" width="8.88671875" style="18"/>
    <col min="11009" max="11012" width="6.77734375" style="18" customWidth="1"/>
    <col min="11013" max="11013" width="16" style="18" customWidth="1"/>
    <col min="11014" max="11016" width="13.77734375" style="18" customWidth="1"/>
    <col min="11017" max="11017" width="1.77734375" style="18" customWidth="1"/>
    <col min="11018" max="11018" width="2.88671875" style="18" customWidth="1"/>
    <col min="11019" max="11019" width="2" style="18" customWidth="1"/>
    <col min="11020" max="11021" width="8.77734375" style="18" customWidth="1"/>
    <col min="11022" max="11022" width="10.77734375" style="18" customWidth="1"/>
    <col min="11023" max="11024" width="7.77734375" style="18" customWidth="1"/>
    <col min="11025" max="11025" width="8.109375" style="18" customWidth="1"/>
    <col min="11026" max="11026" width="6.88671875" style="18" customWidth="1"/>
    <col min="11027" max="11027" width="14.77734375" style="18" customWidth="1"/>
    <col min="11028" max="11029" width="6.88671875" style="18" customWidth="1"/>
    <col min="11030" max="11030" width="7.44140625" style="18" customWidth="1"/>
    <col min="11031" max="11031" width="6.88671875" style="18" customWidth="1"/>
    <col min="11032" max="11032" width="3" style="18" customWidth="1"/>
    <col min="11033" max="11033" width="14.77734375" style="18" customWidth="1"/>
    <col min="11034" max="11034" width="15.77734375" style="18" customWidth="1"/>
    <col min="11035" max="11035" width="15.44140625" style="18" bestFit="1" customWidth="1"/>
    <col min="11036" max="11036" width="17.5546875" style="18" bestFit="1" customWidth="1"/>
    <col min="11037" max="11037" width="12.21875" style="18" bestFit="1" customWidth="1"/>
    <col min="11038" max="11038" width="9" style="18" bestFit="1" customWidth="1"/>
    <col min="11039" max="11039" width="8.88671875" style="18"/>
    <col min="11040" max="11040" width="9.44140625" style="18" bestFit="1" customWidth="1"/>
    <col min="11041" max="11264" width="8.88671875" style="18"/>
    <col min="11265" max="11268" width="6.77734375" style="18" customWidth="1"/>
    <col min="11269" max="11269" width="16" style="18" customWidth="1"/>
    <col min="11270" max="11272" width="13.77734375" style="18" customWidth="1"/>
    <col min="11273" max="11273" width="1.77734375" style="18" customWidth="1"/>
    <col min="11274" max="11274" width="2.88671875" style="18" customWidth="1"/>
    <col min="11275" max="11275" width="2" style="18" customWidth="1"/>
    <col min="11276" max="11277" width="8.77734375" style="18" customWidth="1"/>
    <col min="11278" max="11278" width="10.77734375" style="18" customWidth="1"/>
    <col min="11279" max="11280" width="7.77734375" style="18" customWidth="1"/>
    <col min="11281" max="11281" width="8.109375" style="18" customWidth="1"/>
    <col min="11282" max="11282" width="6.88671875" style="18" customWidth="1"/>
    <col min="11283" max="11283" width="14.77734375" style="18" customWidth="1"/>
    <col min="11284" max="11285" width="6.88671875" style="18" customWidth="1"/>
    <col min="11286" max="11286" width="7.44140625" style="18" customWidth="1"/>
    <col min="11287" max="11287" width="6.88671875" style="18" customWidth="1"/>
    <col min="11288" max="11288" width="3" style="18" customWidth="1"/>
    <col min="11289" max="11289" width="14.77734375" style="18" customWidth="1"/>
    <col min="11290" max="11290" width="15.77734375" style="18" customWidth="1"/>
    <col min="11291" max="11291" width="15.44140625" style="18" bestFit="1" customWidth="1"/>
    <col min="11292" max="11292" width="17.5546875" style="18" bestFit="1" customWidth="1"/>
    <col min="11293" max="11293" width="12.21875" style="18" bestFit="1" customWidth="1"/>
    <col min="11294" max="11294" width="9" style="18" bestFit="1" customWidth="1"/>
    <col min="11295" max="11295" width="8.88671875" style="18"/>
    <col min="11296" max="11296" width="9.44140625" style="18" bestFit="1" customWidth="1"/>
    <col min="11297" max="11520" width="8.88671875" style="18"/>
    <col min="11521" max="11524" width="6.77734375" style="18" customWidth="1"/>
    <col min="11525" max="11525" width="16" style="18" customWidth="1"/>
    <col min="11526" max="11528" width="13.77734375" style="18" customWidth="1"/>
    <col min="11529" max="11529" width="1.77734375" style="18" customWidth="1"/>
    <col min="11530" max="11530" width="2.88671875" style="18" customWidth="1"/>
    <col min="11531" max="11531" width="2" style="18" customWidth="1"/>
    <col min="11532" max="11533" width="8.77734375" style="18" customWidth="1"/>
    <col min="11534" max="11534" width="10.77734375" style="18" customWidth="1"/>
    <col min="11535" max="11536" width="7.77734375" style="18" customWidth="1"/>
    <col min="11537" max="11537" width="8.109375" style="18" customWidth="1"/>
    <col min="11538" max="11538" width="6.88671875" style="18" customWidth="1"/>
    <col min="11539" max="11539" width="14.77734375" style="18" customWidth="1"/>
    <col min="11540" max="11541" width="6.88671875" style="18" customWidth="1"/>
    <col min="11542" max="11542" width="7.44140625" style="18" customWidth="1"/>
    <col min="11543" max="11543" width="6.88671875" style="18" customWidth="1"/>
    <col min="11544" max="11544" width="3" style="18" customWidth="1"/>
    <col min="11545" max="11545" width="14.77734375" style="18" customWidth="1"/>
    <col min="11546" max="11546" width="15.77734375" style="18" customWidth="1"/>
    <col min="11547" max="11547" width="15.44140625" style="18" bestFit="1" customWidth="1"/>
    <col min="11548" max="11548" width="17.5546875" style="18" bestFit="1" customWidth="1"/>
    <col min="11549" max="11549" width="12.21875" style="18" bestFit="1" customWidth="1"/>
    <col min="11550" max="11550" width="9" style="18" bestFit="1" customWidth="1"/>
    <col min="11551" max="11551" width="8.88671875" style="18"/>
    <col min="11552" max="11552" width="9.44140625" style="18" bestFit="1" customWidth="1"/>
    <col min="11553" max="11776" width="8.88671875" style="18"/>
    <col min="11777" max="11780" width="6.77734375" style="18" customWidth="1"/>
    <col min="11781" max="11781" width="16" style="18" customWidth="1"/>
    <col min="11782" max="11784" width="13.77734375" style="18" customWidth="1"/>
    <col min="11785" max="11785" width="1.77734375" style="18" customWidth="1"/>
    <col min="11786" max="11786" width="2.88671875" style="18" customWidth="1"/>
    <col min="11787" max="11787" width="2" style="18" customWidth="1"/>
    <col min="11788" max="11789" width="8.77734375" style="18" customWidth="1"/>
    <col min="11790" max="11790" width="10.77734375" style="18" customWidth="1"/>
    <col min="11791" max="11792" width="7.77734375" style="18" customWidth="1"/>
    <col min="11793" max="11793" width="8.109375" style="18" customWidth="1"/>
    <col min="11794" max="11794" width="6.88671875" style="18" customWidth="1"/>
    <col min="11795" max="11795" width="14.77734375" style="18" customWidth="1"/>
    <col min="11796" max="11797" width="6.88671875" style="18" customWidth="1"/>
    <col min="11798" max="11798" width="7.44140625" style="18" customWidth="1"/>
    <col min="11799" max="11799" width="6.88671875" style="18" customWidth="1"/>
    <col min="11800" max="11800" width="3" style="18" customWidth="1"/>
    <col min="11801" max="11801" width="14.77734375" style="18" customWidth="1"/>
    <col min="11802" max="11802" width="15.77734375" style="18" customWidth="1"/>
    <col min="11803" max="11803" width="15.44140625" style="18" bestFit="1" customWidth="1"/>
    <col min="11804" max="11804" width="17.5546875" style="18" bestFit="1" customWidth="1"/>
    <col min="11805" max="11805" width="12.21875" style="18" bestFit="1" customWidth="1"/>
    <col min="11806" max="11806" width="9" style="18" bestFit="1" customWidth="1"/>
    <col min="11807" max="11807" width="8.88671875" style="18"/>
    <col min="11808" max="11808" width="9.44140625" style="18" bestFit="1" customWidth="1"/>
    <col min="11809" max="12032" width="8.88671875" style="18"/>
    <col min="12033" max="12036" width="6.77734375" style="18" customWidth="1"/>
    <col min="12037" max="12037" width="16" style="18" customWidth="1"/>
    <col min="12038" max="12040" width="13.77734375" style="18" customWidth="1"/>
    <col min="12041" max="12041" width="1.77734375" style="18" customWidth="1"/>
    <col min="12042" max="12042" width="2.88671875" style="18" customWidth="1"/>
    <col min="12043" max="12043" width="2" style="18" customWidth="1"/>
    <col min="12044" max="12045" width="8.77734375" style="18" customWidth="1"/>
    <col min="12046" max="12046" width="10.77734375" style="18" customWidth="1"/>
    <col min="12047" max="12048" width="7.77734375" style="18" customWidth="1"/>
    <col min="12049" max="12049" width="8.109375" style="18" customWidth="1"/>
    <col min="12050" max="12050" width="6.88671875" style="18" customWidth="1"/>
    <col min="12051" max="12051" width="14.77734375" style="18" customWidth="1"/>
    <col min="12052" max="12053" width="6.88671875" style="18" customWidth="1"/>
    <col min="12054" max="12054" width="7.44140625" style="18" customWidth="1"/>
    <col min="12055" max="12055" width="6.88671875" style="18" customWidth="1"/>
    <col min="12056" max="12056" width="3" style="18" customWidth="1"/>
    <col min="12057" max="12057" width="14.77734375" style="18" customWidth="1"/>
    <col min="12058" max="12058" width="15.77734375" style="18" customWidth="1"/>
    <col min="12059" max="12059" width="15.44140625" style="18" bestFit="1" customWidth="1"/>
    <col min="12060" max="12060" width="17.5546875" style="18" bestFit="1" customWidth="1"/>
    <col min="12061" max="12061" width="12.21875" style="18" bestFit="1" customWidth="1"/>
    <col min="12062" max="12062" width="9" style="18" bestFit="1" customWidth="1"/>
    <col min="12063" max="12063" width="8.88671875" style="18"/>
    <col min="12064" max="12064" width="9.44140625" style="18" bestFit="1" customWidth="1"/>
    <col min="12065" max="12288" width="8.88671875" style="18"/>
    <col min="12289" max="12292" width="6.77734375" style="18" customWidth="1"/>
    <col min="12293" max="12293" width="16" style="18" customWidth="1"/>
    <col min="12294" max="12296" width="13.77734375" style="18" customWidth="1"/>
    <col min="12297" max="12297" width="1.77734375" style="18" customWidth="1"/>
    <col min="12298" max="12298" width="2.88671875" style="18" customWidth="1"/>
    <col min="12299" max="12299" width="2" style="18" customWidth="1"/>
    <col min="12300" max="12301" width="8.77734375" style="18" customWidth="1"/>
    <col min="12302" max="12302" width="10.77734375" style="18" customWidth="1"/>
    <col min="12303" max="12304" width="7.77734375" style="18" customWidth="1"/>
    <col min="12305" max="12305" width="8.109375" style="18" customWidth="1"/>
    <col min="12306" max="12306" width="6.88671875" style="18" customWidth="1"/>
    <col min="12307" max="12307" width="14.77734375" style="18" customWidth="1"/>
    <col min="12308" max="12309" width="6.88671875" style="18" customWidth="1"/>
    <col min="12310" max="12310" width="7.44140625" style="18" customWidth="1"/>
    <col min="12311" max="12311" width="6.88671875" style="18" customWidth="1"/>
    <col min="12312" max="12312" width="3" style="18" customWidth="1"/>
    <col min="12313" max="12313" width="14.77734375" style="18" customWidth="1"/>
    <col min="12314" max="12314" width="15.77734375" style="18" customWidth="1"/>
    <col min="12315" max="12315" width="15.44140625" style="18" bestFit="1" customWidth="1"/>
    <col min="12316" max="12316" width="17.5546875" style="18" bestFit="1" customWidth="1"/>
    <col min="12317" max="12317" width="12.21875" style="18" bestFit="1" customWidth="1"/>
    <col min="12318" max="12318" width="9" style="18" bestFit="1" customWidth="1"/>
    <col min="12319" max="12319" width="8.88671875" style="18"/>
    <col min="12320" max="12320" width="9.44140625" style="18" bestFit="1" customWidth="1"/>
    <col min="12321" max="12544" width="8.88671875" style="18"/>
    <col min="12545" max="12548" width="6.77734375" style="18" customWidth="1"/>
    <col min="12549" max="12549" width="16" style="18" customWidth="1"/>
    <col min="12550" max="12552" width="13.77734375" style="18" customWidth="1"/>
    <col min="12553" max="12553" width="1.77734375" style="18" customWidth="1"/>
    <col min="12554" max="12554" width="2.88671875" style="18" customWidth="1"/>
    <col min="12555" max="12555" width="2" style="18" customWidth="1"/>
    <col min="12556" max="12557" width="8.77734375" style="18" customWidth="1"/>
    <col min="12558" max="12558" width="10.77734375" style="18" customWidth="1"/>
    <col min="12559" max="12560" width="7.77734375" style="18" customWidth="1"/>
    <col min="12561" max="12561" width="8.109375" style="18" customWidth="1"/>
    <col min="12562" max="12562" width="6.88671875" style="18" customWidth="1"/>
    <col min="12563" max="12563" width="14.77734375" style="18" customWidth="1"/>
    <col min="12564" max="12565" width="6.88671875" style="18" customWidth="1"/>
    <col min="12566" max="12566" width="7.44140625" style="18" customWidth="1"/>
    <col min="12567" max="12567" width="6.88671875" style="18" customWidth="1"/>
    <col min="12568" max="12568" width="3" style="18" customWidth="1"/>
    <col min="12569" max="12569" width="14.77734375" style="18" customWidth="1"/>
    <col min="12570" max="12570" width="15.77734375" style="18" customWidth="1"/>
    <col min="12571" max="12571" width="15.44140625" style="18" bestFit="1" customWidth="1"/>
    <col min="12572" max="12572" width="17.5546875" style="18" bestFit="1" customWidth="1"/>
    <col min="12573" max="12573" width="12.21875" style="18" bestFit="1" customWidth="1"/>
    <col min="12574" max="12574" width="9" style="18" bestFit="1" customWidth="1"/>
    <col min="12575" max="12575" width="8.88671875" style="18"/>
    <col min="12576" max="12576" width="9.44140625" style="18" bestFit="1" customWidth="1"/>
    <col min="12577" max="12800" width="8.88671875" style="18"/>
    <col min="12801" max="12804" width="6.77734375" style="18" customWidth="1"/>
    <col min="12805" max="12805" width="16" style="18" customWidth="1"/>
    <col min="12806" max="12808" width="13.77734375" style="18" customWidth="1"/>
    <col min="12809" max="12809" width="1.77734375" style="18" customWidth="1"/>
    <col min="12810" max="12810" width="2.88671875" style="18" customWidth="1"/>
    <col min="12811" max="12811" width="2" style="18" customWidth="1"/>
    <col min="12812" max="12813" width="8.77734375" style="18" customWidth="1"/>
    <col min="12814" max="12814" width="10.77734375" style="18" customWidth="1"/>
    <col min="12815" max="12816" width="7.77734375" style="18" customWidth="1"/>
    <col min="12817" max="12817" width="8.109375" style="18" customWidth="1"/>
    <col min="12818" max="12818" width="6.88671875" style="18" customWidth="1"/>
    <col min="12819" max="12819" width="14.77734375" style="18" customWidth="1"/>
    <col min="12820" max="12821" width="6.88671875" style="18" customWidth="1"/>
    <col min="12822" max="12822" width="7.44140625" style="18" customWidth="1"/>
    <col min="12823" max="12823" width="6.88671875" style="18" customWidth="1"/>
    <col min="12824" max="12824" width="3" style="18" customWidth="1"/>
    <col min="12825" max="12825" width="14.77734375" style="18" customWidth="1"/>
    <col min="12826" max="12826" width="15.77734375" style="18" customWidth="1"/>
    <col min="12827" max="12827" width="15.44140625" style="18" bestFit="1" customWidth="1"/>
    <col min="12828" max="12828" width="17.5546875" style="18" bestFit="1" customWidth="1"/>
    <col min="12829" max="12829" width="12.21875" style="18" bestFit="1" customWidth="1"/>
    <col min="12830" max="12830" width="9" style="18" bestFit="1" customWidth="1"/>
    <col min="12831" max="12831" width="8.88671875" style="18"/>
    <col min="12832" max="12832" width="9.44140625" style="18" bestFit="1" customWidth="1"/>
    <col min="12833" max="13056" width="8.88671875" style="18"/>
    <col min="13057" max="13060" width="6.77734375" style="18" customWidth="1"/>
    <col min="13061" max="13061" width="16" style="18" customWidth="1"/>
    <col min="13062" max="13064" width="13.77734375" style="18" customWidth="1"/>
    <col min="13065" max="13065" width="1.77734375" style="18" customWidth="1"/>
    <col min="13066" max="13066" width="2.88671875" style="18" customWidth="1"/>
    <col min="13067" max="13067" width="2" style="18" customWidth="1"/>
    <col min="13068" max="13069" width="8.77734375" style="18" customWidth="1"/>
    <col min="13070" max="13070" width="10.77734375" style="18" customWidth="1"/>
    <col min="13071" max="13072" width="7.77734375" style="18" customWidth="1"/>
    <col min="13073" max="13073" width="8.109375" style="18" customWidth="1"/>
    <col min="13074" max="13074" width="6.88671875" style="18" customWidth="1"/>
    <col min="13075" max="13075" width="14.77734375" style="18" customWidth="1"/>
    <col min="13076" max="13077" width="6.88671875" style="18" customWidth="1"/>
    <col min="13078" max="13078" width="7.44140625" style="18" customWidth="1"/>
    <col min="13079" max="13079" width="6.88671875" style="18" customWidth="1"/>
    <col min="13080" max="13080" width="3" style="18" customWidth="1"/>
    <col min="13081" max="13081" width="14.77734375" style="18" customWidth="1"/>
    <col min="13082" max="13082" width="15.77734375" style="18" customWidth="1"/>
    <col min="13083" max="13083" width="15.44140625" style="18" bestFit="1" customWidth="1"/>
    <col min="13084" max="13084" width="17.5546875" style="18" bestFit="1" customWidth="1"/>
    <col min="13085" max="13085" width="12.21875" style="18" bestFit="1" customWidth="1"/>
    <col min="13086" max="13086" width="9" style="18" bestFit="1" customWidth="1"/>
    <col min="13087" max="13087" width="8.88671875" style="18"/>
    <col min="13088" max="13088" width="9.44140625" style="18" bestFit="1" customWidth="1"/>
    <col min="13089" max="13312" width="8.88671875" style="18"/>
    <col min="13313" max="13316" width="6.77734375" style="18" customWidth="1"/>
    <col min="13317" max="13317" width="16" style="18" customWidth="1"/>
    <col min="13318" max="13320" width="13.77734375" style="18" customWidth="1"/>
    <col min="13321" max="13321" width="1.77734375" style="18" customWidth="1"/>
    <col min="13322" max="13322" width="2.88671875" style="18" customWidth="1"/>
    <col min="13323" max="13323" width="2" style="18" customWidth="1"/>
    <col min="13324" max="13325" width="8.77734375" style="18" customWidth="1"/>
    <col min="13326" max="13326" width="10.77734375" style="18" customWidth="1"/>
    <col min="13327" max="13328" width="7.77734375" style="18" customWidth="1"/>
    <col min="13329" max="13329" width="8.109375" style="18" customWidth="1"/>
    <col min="13330" max="13330" width="6.88671875" style="18" customWidth="1"/>
    <col min="13331" max="13331" width="14.77734375" style="18" customWidth="1"/>
    <col min="13332" max="13333" width="6.88671875" style="18" customWidth="1"/>
    <col min="13334" max="13334" width="7.44140625" style="18" customWidth="1"/>
    <col min="13335" max="13335" width="6.88671875" style="18" customWidth="1"/>
    <col min="13336" max="13336" width="3" style="18" customWidth="1"/>
    <col min="13337" max="13337" width="14.77734375" style="18" customWidth="1"/>
    <col min="13338" max="13338" width="15.77734375" style="18" customWidth="1"/>
    <col min="13339" max="13339" width="15.44140625" style="18" bestFit="1" customWidth="1"/>
    <col min="13340" max="13340" width="17.5546875" style="18" bestFit="1" customWidth="1"/>
    <col min="13341" max="13341" width="12.21875" style="18" bestFit="1" customWidth="1"/>
    <col min="13342" max="13342" width="9" style="18" bestFit="1" customWidth="1"/>
    <col min="13343" max="13343" width="8.88671875" style="18"/>
    <col min="13344" max="13344" width="9.44140625" style="18" bestFit="1" customWidth="1"/>
    <col min="13345" max="13568" width="8.88671875" style="18"/>
    <col min="13569" max="13572" width="6.77734375" style="18" customWidth="1"/>
    <col min="13573" max="13573" width="16" style="18" customWidth="1"/>
    <col min="13574" max="13576" width="13.77734375" style="18" customWidth="1"/>
    <col min="13577" max="13577" width="1.77734375" style="18" customWidth="1"/>
    <col min="13578" max="13578" width="2.88671875" style="18" customWidth="1"/>
    <col min="13579" max="13579" width="2" style="18" customWidth="1"/>
    <col min="13580" max="13581" width="8.77734375" style="18" customWidth="1"/>
    <col min="13582" max="13582" width="10.77734375" style="18" customWidth="1"/>
    <col min="13583" max="13584" width="7.77734375" style="18" customWidth="1"/>
    <col min="13585" max="13585" width="8.109375" style="18" customWidth="1"/>
    <col min="13586" max="13586" width="6.88671875" style="18" customWidth="1"/>
    <col min="13587" max="13587" width="14.77734375" style="18" customWidth="1"/>
    <col min="13588" max="13589" width="6.88671875" style="18" customWidth="1"/>
    <col min="13590" max="13590" width="7.44140625" style="18" customWidth="1"/>
    <col min="13591" max="13591" width="6.88671875" style="18" customWidth="1"/>
    <col min="13592" max="13592" width="3" style="18" customWidth="1"/>
    <col min="13593" max="13593" width="14.77734375" style="18" customWidth="1"/>
    <col min="13594" max="13594" width="15.77734375" style="18" customWidth="1"/>
    <col min="13595" max="13595" width="15.44140625" style="18" bestFit="1" customWidth="1"/>
    <col min="13596" max="13596" width="17.5546875" style="18" bestFit="1" customWidth="1"/>
    <col min="13597" max="13597" width="12.21875" style="18" bestFit="1" customWidth="1"/>
    <col min="13598" max="13598" width="9" style="18" bestFit="1" customWidth="1"/>
    <col min="13599" max="13599" width="8.88671875" style="18"/>
    <col min="13600" max="13600" width="9.44140625" style="18" bestFit="1" customWidth="1"/>
    <col min="13601" max="13824" width="8.88671875" style="18"/>
    <col min="13825" max="13828" width="6.77734375" style="18" customWidth="1"/>
    <col min="13829" max="13829" width="16" style="18" customWidth="1"/>
    <col min="13830" max="13832" width="13.77734375" style="18" customWidth="1"/>
    <col min="13833" max="13833" width="1.77734375" style="18" customWidth="1"/>
    <col min="13834" max="13834" width="2.88671875" style="18" customWidth="1"/>
    <col min="13835" max="13835" width="2" style="18" customWidth="1"/>
    <col min="13836" max="13837" width="8.77734375" style="18" customWidth="1"/>
    <col min="13838" max="13838" width="10.77734375" style="18" customWidth="1"/>
    <col min="13839" max="13840" width="7.77734375" style="18" customWidth="1"/>
    <col min="13841" max="13841" width="8.109375" style="18" customWidth="1"/>
    <col min="13842" max="13842" width="6.88671875" style="18" customWidth="1"/>
    <col min="13843" max="13843" width="14.77734375" style="18" customWidth="1"/>
    <col min="13844" max="13845" width="6.88671875" style="18" customWidth="1"/>
    <col min="13846" max="13846" width="7.44140625" style="18" customWidth="1"/>
    <col min="13847" max="13847" width="6.88671875" style="18" customWidth="1"/>
    <col min="13848" max="13848" width="3" style="18" customWidth="1"/>
    <col min="13849" max="13849" width="14.77734375" style="18" customWidth="1"/>
    <col min="13850" max="13850" width="15.77734375" style="18" customWidth="1"/>
    <col min="13851" max="13851" width="15.44140625" style="18" bestFit="1" customWidth="1"/>
    <col min="13852" max="13852" width="17.5546875" style="18" bestFit="1" customWidth="1"/>
    <col min="13853" max="13853" width="12.21875" style="18" bestFit="1" customWidth="1"/>
    <col min="13854" max="13854" width="9" style="18" bestFit="1" customWidth="1"/>
    <col min="13855" max="13855" width="8.88671875" style="18"/>
    <col min="13856" max="13856" width="9.44140625" style="18" bestFit="1" customWidth="1"/>
    <col min="13857" max="14080" width="8.88671875" style="18"/>
    <col min="14081" max="14084" width="6.77734375" style="18" customWidth="1"/>
    <col min="14085" max="14085" width="16" style="18" customWidth="1"/>
    <col min="14086" max="14088" width="13.77734375" style="18" customWidth="1"/>
    <col min="14089" max="14089" width="1.77734375" style="18" customWidth="1"/>
    <col min="14090" max="14090" width="2.88671875" style="18" customWidth="1"/>
    <col min="14091" max="14091" width="2" style="18" customWidth="1"/>
    <col min="14092" max="14093" width="8.77734375" style="18" customWidth="1"/>
    <col min="14094" max="14094" width="10.77734375" style="18" customWidth="1"/>
    <col min="14095" max="14096" width="7.77734375" style="18" customWidth="1"/>
    <col min="14097" max="14097" width="8.109375" style="18" customWidth="1"/>
    <col min="14098" max="14098" width="6.88671875" style="18" customWidth="1"/>
    <col min="14099" max="14099" width="14.77734375" style="18" customWidth="1"/>
    <col min="14100" max="14101" width="6.88671875" style="18" customWidth="1"/>
    <col min="14102" max="14102" width="7.44140625" style="18" customWidth="1"/>
    <col min="14103" max="14103" width="6.88671875" style="18" customWidth="1"/>
    <col min="14104" max="14104" width="3" style="18" customWidth="1"/>
    <col min="14105" max="14105" width="14.77734375" style="18" customWidth="1"/>
    <col min="14106" max="14106" width="15.77734375" style="18" customWidth="1"/>
    <col min="14107" max="14107" width="15.44140625" style="18" bestFit="1" customWidth="1"/>
    <col min="14108" max="14108" width="17.5546875" style="18" bestFit="1" customWidth="1"/>
    <col min="14109" max="14109" width="12.21875" style="18" bestFit="1" customWidth="1"/>
    <col min="14110" max="14110" width="9" style="18" bestFit="1" customWidth="1"/>
    <col min="14111" max="14111" width="8.88671875" style="18"/>
    <col min="14112" max="14112" width="9.44140625" style="18" bestFit="1" customWidth="1"/>
    <col min="14113" max="14336" width="8.88671875" style="18"/>
    <col min="14337" max="14340" width="6.77734375" style="18" customWidth="1"/>
    <col min="14341" max="14341" width="16" style="18" customWidth="1"/>
    <col min="14342" max="14344" width="13.77734375" style="18" customWidth="1"/>
    <col min="14345" max="14345" width="1.77734375" style="18" customWidth="1"/>
    <col min="14346" max="14346" width="2.88671875" style="18" customWidth="1"/>
    <col min="14347" max="14347" width="2" style="18" customWidth="1"/>
    <col min="14348" max="14349" width="8.77734375" style="18" customWidth="1"/>
    <col min="14350" max="14350" width="10.77734375" style="18" customWidth="1"/>
    <col min="14351" max="14352" width="7.77734375" style="18" customWidth="1"/>
    <col min="14353" max="14353" width="8.109375" style="18" customWidth="1"/>
    <col min="14354" max="14354" width="6.88671875" style="18" customWidth="1"/>
    <col min="14355" max="14355" width="14.77734375" style="18" customWidth="1"/>
    <col min="14356" max="14357" width="6.88671875" style="18" customWidth="1"/>
    <col min="14358" max="14358" width="7.44140625" style="18" customWidth="1"/>
    <col min="14359" max="14359" width="6.88671875" style="18" customWidth="1"/>
    <col min="14360" max="14360" width="3" style="18" customWidth="1"/>
    <col min="14361" max="14361" width="14.77734375" style="18" customWidth="1"/>
    <col min="14362" max="14362" width="15.77734375" style="18" customWidth="1"/>
    <col min="14363" max="14363" width="15.44140625" style="18" bestFit="1" customWidth="1"/>
    <col min="14364" max="14364" width="17.5546875" style="18" bestFit="1" customWidth="1"/>
    <col min="14365" max="14365" width="12.21875" style="18" bestFit="1" customWidth="1"/>
    <col min="14366" max="14366" width="9" style="18" bestFit="1" customWidth="1"/>
    <col min="14367" max="14367" width="8.88671875" style="18"/>
    <col min="14368" max="14368" width="9.44140625" style="18" bestFit="1" customWidth="1"/>
    <col min="14369" max="14592" width="8.88671875" style="18"/>
    <col min="14593" max="14596" width="6.77734375" style="18" customWidth="1"/>
    <col min="14597" max="14597" width="16" style="18" customWidth="1"/>
    <col min="14598" max="14600" width="13.77734375" style="18" customWidth="1"/>
    <col min="14601" max="14601" width="1.77734375" style="18" customWidth="1"/>
    <col min="14602" max="14602" width="2.88671875" style="18" customWidth="1"/>
    <col min="14603" max="14603" width="2" style="18" customWidth="1"/>
    <col min="14604" max="14605" width="8.77734375" style="18" customWidth="1"/>
    <col min="14606" max="14606" width="10.77734375" style="18" customWidth="1"/>
    <col min="14607" max="14608" width="7.77734375" style="18" customWidth="1"/>
    <col min="14609" max="14609" width="8.109375" style="18" customWidth="1"/>
    <col min="14610" max="14610" width="6.88671875" style="18" customWidth="1"/>
    <col min="14611" max="14611" width="14.77734375" style="18" customWidth="1"/>
    <col min="14612" max="14613" width="6.88671875" style="18" customWidth="1"/>
    <col min="14614" max="14614" width="7.44140625" style="18" customWidth="1"/>
    <col min="14615" max="14615" width="6.88671875" style="18" customWidth="1"/>
    <col min="14616" max="14616" width="3" style="18" customWidth="1"/>
    <col min="14617" max="14617" width="14.77734375" style="18" customWidth="1"/>
    <col min="14618" max="14618" width="15.77734375" style="18" customWidth="1"/>
    <col min="14619" max="14619" width="15.44140625" style="18" bestFit="1" customWidth="1"/>
    <col min="14620" max="14620" width="17.5546875" style="18" bestFit="1" customWidth="1"/>
    <col min="14621" max="14621" width="12.21875" style="18" bestFit="1" customWidth="1"/>
    <col min="14622" max="14622" width="9" style="18" bestFit="1" customWidth="1"/>
    <col min="14623" max="14623" width="8.88671875" style="18"/>
    <col min="14624" max="14624" width="9.44140625" style="18" bestFit="1" customWidth="1"/>
    <col min="14625" max="14848" width="8.88671875" style="18"/>
    <col min="14849" max="14852" width="6.77734375" style="18" customWidth="1"/>
    <col min="14853" max="14853" width="16" style="18" customWidth="1"/>
    <col min="14854" max="14856" width="13.77734375" style="18" customWidth="1"/>
    <col min="14857" max="14857" width="1.77734375" style="18" customWidth="1"/>
    <col min="14858" max="14858" width="2.88671875" style="18" customWidth="1"/>
    <col min="14859" max="14859" width="2" style="18" customWidth="1"/>
    <col min="14860" max="14861" width="8.77734375" style="18" customWidth="1"/>
    <col min="14862" max="14862" width="10.77734375" style="18" customWidth="1"/>
    <col min="14863" max="14864" width="7.77734375" style="18" customWidth="1"/>
    <col min="14865" max="14865" width="8.109375" style="18" customWidth="1"/>
    <col min="14866" max="14866" width="6.88671875" style="18" customWidth="1"/>
    <col min="14867" max="14867" width="14.77734375" style="18" customWidth="1"/>
    <col min="14868" max="14869" width="6.88671875" style="18" customWidth="1"/>
    <col min="14870" max="14870" width="7.44140625" style="18" customWidth="1"/>
    <col min="14871" max="14871" width="6.88671875" style="18" customWidth="1"/>
    <col min="14872" max="14872" width="3" style="18" customWidth="1"/>
    <col min="14873" max="14873" width="14.77734375" style="18" customWidth="1"/>
    <col min="14874" max="14874" width="15.77734375" style="18" customWidth="1"/>
    <col min="14875" max="14875" width="15.44140625" style="18" bestFit="1" customWidth="1"/>
    <col min="14876" max="14876" width="17.5546875" style="18" bestFit="1" customWidth="1"/>
    <col min="14877" max="14877" width="12.21875" style="18" bestFit="1" customWidth="1"/>
    <col min="14878" max="14878" width="9" style="18" bestFit="1" customWidth="1"/>
    <col min="14879" max="14879" width="8.88671875" style="18"/>
    <col min="14880" max="14880" width="9.44140625" style="18" bestFit="1" customWidth="1"/>
    <col min="14881" max="15104" width="8.88671875" style="18"/>
    <col min="15105" max="15108" width="6.77734375" style="18" customWidth="1"/>
    <col min="15109" max="15109" width="16" style="18" customWidth="1"/>
    <col min="15110" max="15112" width="13.77734375" style="18" customWidth="1"/>
    <col min="15113" max="15113" width="1.77734375" style="18" customWidth="1"/>
    <col min="15114" max="15114" width="2.88671875" style="18" customWidth="1"/>
    <col min="15115" max="15115" width="2" style="18" customWidth="1"/>
    <col min="15116" max="15117" width="8.77734375" style="18" customWidth="1"/>
    <col min="15118" max="15118" width="10.77734375" style="18" customWidth="1"/>
    <col min="15119" max="15120" width="7.77734375" style="18" customWidth="1"/>
    <col min="15121" max="15121" width="8.109375" style="18" customWidth="1"/>
    <col min="15122" max="15122" width="6.88671875" style="18" customWidth="1"/>
    <col min="15123" max="15123" width="14.77734375" style="18" customWidth="1"/>
    <col min="15124" max="15125" width="6.88671875" style="18" customWidth="1"/>
    <col min="15126" max="15126" width="7.44140625" style="18" customWidth="1"/>
    <col min="15127" max="15127" width="6.88671875" style="18" customWidth="1"/>
    <col min="15128" max="15128" width="3" style="18" customWidth="1"/>
    <col min="15129" max="15129" width="14.77734375" style="18" customWidth="1"/>
    <col min="15130" max="15130" width="15.77734375" style="18" customWidth="1"/>
    <col min="15131" max="15131" width="15.44140625" style="18" bestFit="1" customWidth="1"/>
    <col min="15132" max="15132" width="17.5546875" style="18" bestFit="1" customWidth="1"/>
    <col min="15133" max="15133" width="12.21875" style="18" bestFit="1" customWidth="1"/>
    <col min="15134" max="15134" width="9" style="18" bestFit="1" customWidth="1"/>
    <col min="15135" max="15135" width="8.88671875" style="18"/>
    <col min="15136" max="15136" width="9.44140625" style="18" bestFit="1" customWidth="1"/>
    <col min="15137" max="15360" width="8.88671875" style="18"/>
    <col min="15361" max="15364" width="6.77734375" style="18" customWidth="1"/>
    <col min="15365" max="15365" width="16" style="18" customWidth="1"/>
    <col min="15366" max="15368" width="13.77734375" style="18" customWidth="1"/>
    <col min="15369" max="15369" width="1.77734375" style="18" customWidth="1"/>
    <col min="15370" max="15370" width="2.88671875" style="18" customWidth="1"/>
    <col min="15371" max="15371" width="2" style="18" customWidth="1"/>
    <col min="15372" max="15373" width="8.77734375" style="18" customWidth="1"/>
    <col min="15374" max="15374" width="10.77734375" style="18" customWidth="1"/>
    <col min="15375" max="15376" width="7.77734375" style="18" customWidth="1"/>
    <col min="15377" max="15377" width="8.109375" style="18" customWidth="1"/>
    <col min="15378" max="15378" width="6.88671875" style="18" customWidth="1"/>
    <col min="15379" max="15379" width="14.77734375" style="18" customWidth="1"/>
    <col min="15380" max="15381" width="6.88671875" style="18" customWidth="1"/>
    <col min="15382" max="15382" width="7.44140625" style="18" customWidth="1"/>
    <col min="15383" max="15383" width="6.88671875" style="18" customWidth="1"/>
    <col min="15384" max="15384" width="3" style="18" customWidth="1"/>
    <col min="15385" max="15385" width="14.77734375" style="18" customWidth="1"/>
    <col min="15386" max="15386" width="15.77734375" style="18" customWidth="1"/>
    <col min="15387" max="15387" width="15.44140625" style="18" bestFit="1" customWidth="1"/>
    <col min="15388" max="15388" width="17.5546875" style="18" bestFit="1" customWidth="1"/>
    <col min="15389" max="15389" width="12.21875" style="18" bestFit="1" customWidth="1"/>
    <col min="15390" max="15390" width="9" style="18" bestFit="1" customWidth="1"/>
    <col min="15391" max="15391" width="8.88671875" style="18"/>
    <col min="15392" max="15392" width="9.44140625" style="18" bestFit="1" customWidth="1"/>
    <col min="15393" max="15616" width="8.88671875" style="18"/>
    <col min="15617" max="15620" width="6.77734375" style="18" customWidth="1"/>
    <col min="15621" max="15621" width="16" style="18" customWidth="1"/>
    <col min="15622" max="15624" width="13.77734375" style="18" customWidth="1"/>
    <col min="15625" max="15625" width="1.77734375" style="18" customWidth="1"/>
    <col min="15626" max="15626" width="2.88671875" style="18" customWidth="1"/>
    <col min="15627" max="15627" width="2" style="18" customWidth="1"/>
    <col min="15628" max="15629" width="8.77734375" style="18" customWidth="1"/>
    <col min="15630" max="15630" width="10.77734375" style="18" customWidth="1"/>
    <col min="15631" max="15632" width="7.77734375" style="18" customWidth="1"/>
    <col min="15633" max="15633" width="8.109375" style="18" customWidth="1"/>
    <col min="15634" max="15634" width="6.88671875" style="18" customWidth="1"/>
    <col min="15635" max="15635" width="14.77734375" style="18" customWidth="1"/>
    <col min="15636" max="15637" width="6.88671875" style="18" customWidth="1"/>
    <col min="15638" max="15638" width="7.44140625" style="18" customWidth="1"/>
    <col min="15639" max="15639" width="6.88671875" style="18" customWidth="1"/>
    <col min="15640" max="15640" width="3" style="18" customWidth="1"/>
    <col min="15641" max="15641" width="14.77734375" style="18" customWidth="1"/>
    <col min="15642" max="15642" width="15.77734375" style="18" customWidth="1"/>
    <col min="15643" max="15643" width="15.44140625" style="18" bestFit="1" customWidth="1"/>
    <col min="15644" max="15644" width="17.5546875" style="18" bestFit="1" customWidth="1"/>
    <col min="15645" max="15645" width="12.21875" style="18" bestFit="1" customWidth="1"/>
    <col min="15646" max="15646" width="9" style="18" bestFit="1" customWidth="1"/>
    <col min="15647" max="15647" width="8.88671875" style="18"/>
    <col min="15648" max="15648" width="9.44140625" style="18" bestFit="1" customWidth="1"/>
    <col min="15649" max="15872" width="8.88671875" style="18"/>
    <col min="15873" max="15876" width="6.77734375" style="18" customWidth="1"/>
    <col min="15877" max="15877" width="16" style="18" customWidth="1"/>
    <col min="15878" max="15880" width="13.77734375" style="18" customWidth="1"/>
    <col min="15881" max="15881" width="1.77734375" style="18" customWidth="1"/>
    <col min="15882" max="15882" width="2.88671875" style="18" customWidth="1"/>
    <col min="15883" max="15883" width="2" style="18" customWidth="1"/>
    <col min="15884" max="15885" width="8.77734375" style="18" customWidth="1"/>
    <col min="15886" max="15886" width="10.77734375" style="18" customWidth="1"/>
    <col min="15887" max="15888" width="7.77734375" style="18" customWidth="1"/>
    <col min="15889" max="15889" width="8.109375" style="18" customWidth="1"/>
    <col min="15890" max="15890" width="6.88671875" style="18" customWidth="1"/>
    <col min="15891" max="15891" width="14.77734375" style="18" customWidth="1"/>
    <col min="15892" max="15893" width="6.88671875" style="18" customWidth="1"/>
    <col min="15894" max="15894" width="7.44140625" style="18" customWidth="1"/>
    <col min="15895" max="15895" width="6.88671875" style="18" customWidth="1"/>
    <col min="15896" max="15896" width="3" style="18" customWidth="1"/>
    <col min="15897" max="15897" width="14.77734375" style="18" customWidth="1"/>
    <col min="15898" max="15898" width="15.77734375" style="18" customWidth="1"/>
    <col min="15899" max="15899" width="15.44140625" style="18" bestFit="1" customWidth="1"/>
    <col min="15900" max="15900" width="17.5546875" style="18" bestFit="1" customWidth="1"/>
    <col min="15901" max="15901" width="12.21875" style="18" bestFit="1" customWidth="1"/>
    <col min="15902" max="15902" width="9" style="18" bestFit="1" customWidth="1"/>
    <col min="15903" max="15903" width="8.88671875" style="18"/>
    <col min="15904" max="15904" width="9.44140625" style="18" bestFit="1" customWidth="1"/>
    <col min="15905" max="16128" width="8.88671875" style="18"/>
    <col min="16129" max="16132" width="6.77734375" style="18" customWidth="1"/>
    <col min="16133" max="16133" width="16" style="18" customWidth="1"/>
    <col min="16134" max="16136" width="13.77734375" style="18" customWidth="1"/>
    <col min="16137" max="16137" width="1.77734375" style="18" customWidth="1"/>
    <col min="16138" max="16138" width="2.88671875" style="18" customWidth="1"/>
    <col min="16139" max="16139" width="2" style="18" customWidth="1"/>
    <col min="16140" max="16141" width="8.77734375" style="18" customWidth="1"/>
    <col min="16142" max="16142" width="10.77734375" style="18" customWidth="1"/>
    <col min="16143" max="16144" width="7.77734375" style="18" customWidth="1"/>
    <col min="16145" max="16145" width="8.109375" style="18" customWidth="1"/>
    <col min="16146" max="16146" width="6.88671875" style="18" customWidth="1"/>
    <col min="16147" max="16147" width="14.77734375" style="18" customWidth="1"/>
    <col min="16148" max="16149" width="6.88671875" style="18" customWidth="1"/>
    <col min="16150" max="16150" width="7.44140625" style="18" customWidth="1"/>
    <col min="16151" max="16151" width="6.88671875" style="18" customWidth="1"/>
    <col min="16152" max="16152" width="3" style="18" customWidth="1"/>
    <col min="16153" max="16153" width="14.77734375" style="18" customWidth="1"/>
    <col min="16154" max="16154" width="15.77734375" style="18" customWidth="1"/>
    <col min="16155" max="16155" width="15.44140625" style="18" bestFit="1" customWidth="1"/>
    <col min="16156" max="16156" width="17.5546875" style="18" bestFit="1" customWidth="1"/>
    <col min="16157" max="16157" width="12.21875" style="18" bestFit="1" customWidth="1"/>
    <col min="16158" max="16158" width="9" style="18" bestFit="1" customWidth="1"/>
    <col min="16159" max="16159" width="8.88671875" style="18"/>
    <col min="16160" max="16160" width="9.44140625" style="18" bestFit="1" customWidth="1"/>
    <col min="16161" max="16384" width="8.88671875" style="18"/>
  </cols>
  <sheetData>
    <row r="1" spans="1:29" ht="27" customHeight="1">
      <c r="A1" s="3805" t="s">
        <v>6120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885"/>
      <c r="AA1" s="85"/>
    </row>
    <row r="2" spans="1:29" s="85" customFormat="1" ht="22.5" customHeight="1" thickBot="1">
      <c r="A2" s="886"/>
      <c r="B2" s="886"/>
      <c r="C2" s="886"/>
      <c r="D2" s="886" t="s">
        <v>48</v>
      </c>
      <c r="E2" s="886"/>
      <c r="F2" s="308"/>
      <c r="G2" s="299"/>
      <c r="H2" s="887" t="s">
        <v>194</v>
      </c>
      <c r="I2" s="2075"/>
      <c r="J2" s="886" t="s">
        <v>48</v>
      </c>
      <c r="K2" s="886"/>
      <c r="L2" s="888" t="s">
        <v>48</v>
      </c>
      <c r="M2" s="886"/>
      <c r="N2" s="886"/>
      <c r="O2" s="886"/>
      <c r="P2" s="889"/>
      <c r="Q2" s="890"/>
      <c r="R2" s="2075"/>
      <c r="S2" s="2075"/>
      <c r="T2" s="2075"/>
      <c r="U2" s="2075"/>
      <c r="V2" s="2075"/>
      <c r="W2" s="2075"/>
      <c r="X2" s="2075"/>
      <c r="Y2" s="488" t="s">
        <v>194</v>
      </c>
      <c r="Z2" s="488"/>
      <c r="AB2" s="6"/>
    </row>
    <row r="3" spans="1:29" ht="22.5" customHeight="1">
      <c r="A3" s="3806" t="s">
        <v>218</v>
      </c>
      <c r="B3" s="3807"/>
      <c r="C3" s="3807"/>
      <c r="D3" s="3807"/>
      <c r="E3" s="4027"/>
      <c r="F3" s="3809" t="s">
        <v>174</v>
      </c>
      <c r="G3" s="3811" t="s">
        <v>1077</v>
      </c>
      <c r="H3" s="3813" t="s">
        <v>11</v>
      </c>
      <c r="I3" s="634"/>
      <c r="J3" s="4030" t="s">
        <v>220</v>
      </c>
      <c r="K3" s="4041"/>
      <c r="L3" s="4041"/>
      <c r="M3" s="4041"/>
      <c r="N3" s="4041"/>
      <c r="O3" s="4041"/>
      <c r="P3" s="4041"/>
      <c r="Q3" s="4041"/>
      <c r="R3" s="4041"/>
      <c r="S3" s="4041"/>
      <c r="T3" s="4041"/>
      <c r="U3" s="4041"/>
      <c r="V3" s="4041"/>
      <c r="W3" s="4041"/>
      <c r="X3" s="4041"/>
      <c r="Y3" s="4042"/>
      <c r="Z3" s="891"/>
      <c r="AA3" s="85"/>
    </row>
    <row r="4" spans="1:29" s="90" customFormat="1" ht="22.5" customHeight="1" thickBot="1">
      <c r="A4" s="892" t="s">
        <v>12</v>
      </c>
      <c r="B4" s="893" t="s">
        <v>1385</v>
      </c>
      <c r="C4" s="894" t="s">
        <v>1386</v>
      </c>
      <c r="D4" s="894" t="s">
        <v>1387</v>
      </c>
      <c r="E4" s="894" t="s">
        <v>49</v>
      </c>
      <c r="F4" s="3810"/>
      <c r="G4" s="3812"/>
      <c r="H4" s="3814"/>
      <c r="I4" s="895"/>
      <c r="J4" s="4043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  <c r="Y4" s="4045"/>
      <c r="Z4" s="896"/>
      <c r="AA4" s="396"/>
      <c r="AB4" s="14"/>
    </row>
    <row r="5" spans="1:29" s="90" customFormat="1" ht="21.75" customHeight="1" thickBot="1">
      <c r="A5" s="3827" t="s">
        <v>205</v>
      </c>
      <c r="B5" s="3828"/>
      <c r="C5" s="3828"/>
      <c r="D5" s="3828"/>
      <c r="E5" s="3829"/>
      <c r="F5" s="898"/>
      <c r="G5" s="2088"/>
      <c r="H5" s="2089"/>
      <c r="I5" s="895"/>
      <c r="J5" s="2107"/>
      <c r="K5" s="2108"/>
      <c r="L5" s="2108"/>
      <c r="M5" s="2108"/>
      <c r="N5" s="2108"/>
      <c r="O5" s="2108"/>
      <c r="P5" s="2108"/>
      <c r="Q5" s="2108"/>
      <c r="R5" s="2108"/>
      <c r="S5" s="2108"/>
      <c r="T5" s="2108"/>
      <c r="U5" s="2108"/>
      <c r="V5" s="2108"/>
      <c r="W5" s="2108"/>
      <c r="X5" s="2108"/>
      <c r="Y5" s="2109"/>
      <c r="Z5" s="896"/>
      <c r="AA5" s="396"/>
      <c r="AB5" s="14"/>
    </row>
    <row r="6" spans="1:29" s="208" customFormat="1" ht="21.75" customHeight="1" thickBot="1">
      <c r="A6" s="899"/>
      <c r="B6" s="900" t="s">
        <v>205</v>
      </c>
      <c r="C6" s="901"/>
      <c r="D6" s="901"/>
      <c r="E6" s="902"/>
      <c r="F6" s="903">
        <f>+F7</f>
        <v>50000</v>
      </c>
      <c r="G6" s="903">
        <f>+G7</f>
        <v>50000</v>
      </c>
      <c r="H6" s="904">
        <f>+H7</f>
        <v>0</v>
      </c>
      <c r="I6" s="905"/>
      <c r="J6" s="906"/>
      <c r="K6" s="907"/>
      <c r="L6" s="907"/>
      <c r="M6" s="907"/>
      <c r="N6" s="907"/>
      <c r="O6" s="907"/>
      <c r="P6" s="908"/>
      <c r="Q6" s="909"/>
      <c r="R6" s="910"/>
      <c r="S6" s="911"/>
      <c r="T6" s="912"/>
      <c r="U6" s="911"/>
      <c r="V6" s="912"/>
      <c r="W6" s="912"/>
      <c r="X6" s="911"/>
      <c r="Y6" s="913"/>
      <c r="Z6" s="914"/>
      <c r="AB6" s="232"/>
    </row>
    <row r="7" spans="1:29" s="221" customFormat="1" ht="21.75" hidden="1" customHeight="1">
      <c r="A7" s="916"/>
      <c r="B7" s="917"/>
      <c r="C7" s="4012" t="s">
        <v>205</v>
      </c>
      <c r="D7" s="4013"/>
      <c r="E7" s="4014"/>
      <c r="F7" s="918">
        <f>+F8</f>
        <v>50000</v>
      </c>
      <c r="G7" s="918">
        <f>+G8</f>
        <v>50000</v>
      </c>
      <c r="H7" s="919">
        <f>F7-G7</f>
        <v>0</v>
      </c>
      <c r="I7" s="2060"/>
      <c r="J7" s="921"/>
      <c r="K7" s="922"/>
      <c r="L7" s="922"/>
      <c r="M7" s="922"/>
      <c r="N7" s="922"/>
      <c r="O7" s="922"/>
      <c r="P7" s="923"/>
      <c r="Q7" s="924"/>
      <c r="R7" s="925"/>
      <c r="S7" s="926"/>
      <c r="T7" s="927"/>
      <c r="U7" s="926"/>
      <c r="V7" s="927"/>
      <c r="W7" s="927"/>
      <c r="X7" s="926"/>
      <c r="Y7" s="928"/>
      <c r="Z7" s="929"/>
      <c r="AA7" s="208"/>
      <c r="AB7" s="222"/>
    </row>
    <row r="8" spans="1:29" s="221" customFormat="1" ht="21.75" hidden="1" customHeight="1">
      <c r="A8" s="916"/>
      <c r="B8" s="2117"/>
      <c r="C8" s="675"/>
      <c r="D8" s="4015" t="s">
        <v>205</v>
      </c>
      <c r="E8" s="4016"/>
      <c r="F8" s="2061">
        <f>+F9</f>
        <v>50000</v>
      </c>
      <c r="G8" s="2061">
        <f>+G9</f>
        <v>50000</v>
      </c>
      <c r="H8" s="933">
        <f>+H9</f>
        <v>0</v>
      </c>
      <c r="I8" s="734"/>
      <c r="J8" s="934"/>
      <c r="K8" s="935"/>
      <c r="L8" s="935"/>
      <c r="M8" s="935"/>
      <c r="N8" s="935"/>
      <c r="O8" s="935"/>
      <c r="P8" s="936"/>
      <c r="Q8" s="937"/>
      <c r="R8" s="2110"/>
      <c r="S8" s="938"/>
      <c r="T8" s="2094"/>
      <c r="U8" s="938"/>
      <c r="V8" s="2094"/>
      <c r="W8" s="2094"/>
      <c r="X8" s="938"/>
      <c r="Y8" s="939"/>
      <c r="Z8" s="940"/>
      <c r="AA8" s="226"/>
      <c r="AB8" s="291"/>
      <c r="AC8" s="292"/>
    </row>
    <row r="9" spans="1:29" s="221" customFormat="1" ht="21.75" hidden="1" customHeight="1" thickBot="1">
      <c r="A9" s="1263"/>
      <c r="B9" s="2645"/>
      <c r="C9" s="1039"/>
      <c r="D9" s="1039"/>
      <c r="E9" s="1427" t="s">
        <v>205</v>
      </c>
      <c r="F9" s="1428">
        <f>+Y9</f>
        <v>50000</v>
      </c>
      <c r="G9" s="1428">
        <v>50000</v>
      </c>
      <c r="H9" s="2646">
        <f>F9-G9</f>
        <v>0</v>
      </c>
      <c r="I9" s="734"/>
      <c r="J9" s="2647" t="s">
        <v>1037</v>
      </c>
      <c r="K9" s="2648"/>
      <c r="L9" s="2648"/>
      <c r="M9" s="2648"/>
      <c r="N9" s="2649"/>
      <c r="O9" s="2649"/>
      <c r="P9" s="2648"/>
      <c r="Q9" s="2650"/>
      <c r="R9" s="1050"/>
      <c r="S9" s="1050"/>
      <c r="T9" s="1050"/>
      <c r="U9" s="1050"/>
      <c r="V9" s="1050"/>
      <c r="W9" s="1050"/>
      <c r="X9" s="2195" t="s">
        <v>5</v>
      </c>
      <c r="Y9" s="2000">
        <v>50000</v>
      </c>
      <c r="Z9" s="872" t="e">
        <f>+#REF!+#REF!+#REF!</f>
        <v>#REF!</v>
      </c>
      <c r="AA9" s="293"/>
      <c r="AB9" s="291"/>
      <c r="AC9" s="292"/>
    </row>
    <row r="10" spans="1:29" ht="21.75" hidden="1" customHeight="1"/>
    <row r="11" spans="1:29" ht="21.75" hidden="1" customHeight="1"/>
    <row r="12" spans="1:29" ht="21.75" hidden="1" customHeight="1"/>
    <row r="13" spans="1:29" ht="21.75" hidden="1" customHeight="1"/>
    <row r="14" spans="1:29" ht="21.75" hidden="1" customHeight="1"/>
    <row r="15" spans="1:29" ht="21.75" hidden="1" customHeight="1"/>
    <row r="16" spans="1:29" ht="21.75" hidden="1" customHeight="1"/>
    <row r="17" ht="21.75" hidden="1" customHeight="1"/>
    <row r="18" ht="21.75" hidden="1" customHeight="1"/>
    <row r="19" ht="21.75" hidden="1" customHeight="1"/>
    <row r="20" ht="21.75" hidden="1" customHeight="1"/>
    <row r="21" ht="21.75" hidden="1" customHeight="1"/>
    <row r="22" ht="21.75" hidden="1" customHeight="1"/>
    <row r="23" ht="21.75" hidden="1" customHeight="1"/>
    <row r="24" ht="21.75" hidden="1" customHeight="1"/>
    <row r="25" ht="21.75" hidden="1" customHeight="1"/>
    <row r="26" ht="21.75" hidden="1" customHeight="1"/>
    <row r="27" ht="21.75" hidden="1" customHeight="1"/>
    <row r="28" ht="21.75" hidden="1" customHeight="1"/>
    <row r="29" ht="21.75" hidden="1" customHeight="1"/>
    <row r="30" ht="21.75" hidden="1" customHeight="1"/>
    <row r="31" ht="21.75" hidden="1" customHeight="1"/>
    <row r="32" ht="21.75" hidden="1" customHeight="1"/>
    <row r="33" ht="21.75" hidden="1" customHeight="1"/>
    <row r="34" ht="21.75" hidden="1" customHeight="1"/>
    <row r="35" ht="21.75" hidden="1" customHeight="1"/>
    <row r="36" ht="21.75" hidden="1" customHeight="1"/>
    <row r="37" ht="21.75" hidden="1" customHeight="1"/>
    <row r="38" ht="21.75" hidden="1" customHeight="1"/>
    <row r="39" ht="21.75" hidden="1" customHeight="1"/>
    <row r="40" ht="21.75" hidden="1" customHeight="1"/>
    <row r="41" ht="21.75" hidden="1" customHeight="1"/>
    <row r="42" ht="21.75" hidden="1" customHeight="1"/>
    <row r="43" ht="21.75" hidden="1" customHeight="1"/>
    <row r="44" ht="21.75" hidden="1" customHeight="1"/>
    <row r="45" ht="21.75" hidden="1" customHeight="1"/>
    <row r="47" ht="21.75" hidden="1" customHeight="1"/>
    <row r="48" ht="21.75" hidden="1" customHeight="1"/>
    <row r="49" ht="21.75" hidden="1" customHeight="1"/>
    <row r="50" ht="21.75" hidden="1" customHeight="1"/>
    <row r="51" ht="21.75" hidden="1" customHeight="1"/>
    <row r="52" ht="21.75" hidden="1" customHeight="1"/>
    <row r="53" ht="21.75" hidden="1" customHeight="1"/>
    <row r="54" ht="21.75" hidden="1" customHeight="1"/>
    <row r="55" ht="21.75" hidden="1" customHeight="1"/>
    <row r="56" ht="21.75" hidden="1" customHeight="1"/>
    <row r="57" ht="21.75" hidden="1" customHeight="1"/>
    <row r="58" ht="21.75" hidden="1" customHeight="1"/>
    <row r="59" ht="21.75" hidden="1" customHeight="1"/>
    <row r="60" ht="21.75" hidden="1" customHeight="1"/>
    <row r="61" ht="21.75" hidden="1" customHeight="1"/>
    <row r="62" ht="21.75" hidden="1" customHeight="1"/>
    <row r="63" ht="21.75" hidden="1" customHeight="1"/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5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Z668"/>
  <sheetViews>
    <sheetView view="pageBreakPreview" topLeftCell="C1" zoomScale="60" zoomScaleNormal="70" workbookViewId="0">
      <selection activeCell="X9" sqref="X9"/>
    </sheetView>
  </sheetViews>
  <sheetFormatPr defaultRowHeight="18.75"/>
  <cols>
    <col min="1" max="2" width="8.33203125" style="15" customWidth="1"/>
    <col min="3" max="3" width="7" style="15" customWidth="1"/>
    <col min="4" max="4" width="42.109375" style="15" bestFit="1" customWidth="1"/>
    <col min="5" max="6" width="16" style="158" customWidth="1"/>
    <col min="7" max="7" width="16" style="178" customWidth="1"/>
    <col min="8" max="8" width="1.5546875" style="15" customWidth="1"/>
    <col min="9" max="9" width="19.6640625" style="15" customWidth="1"/>
    <col min="10" max="10" width="24.109375" style="15" customWidth="1"/>
    <col min="11" max="11" width="5.5546875" style="15" customWidth="1"/>
    <col min="12" max="12" width="18" style="15" customWidth="1"/>
    <col min="13" max="13" width="7.21875" style="15" customWidth="1"/>
    <col min="14" max="14" width="8.6640625" style="15" customWidth="1"/>
    <col min="15" max="15" width="7.44140625" style="15" customWidth="1"/>
    <col min="16" max="16" width="9.109375" style="15" customWidth="1"/>
    <col min="17" max="17" width="9.6640625" style="15" customWidth="1"/>
    <col min="18" max="18" width="19.33203125" style="15" customWidth="1"/>
    <col min="19" max="19" width="3.5546875" style="15" customWidth="1"/>
    <col min="20" max="20" width="18.5546875" style="15" customWidth="1"/>
    <col min="21" max="21" width="5.109375" style="15" customWidth="1"/>
    <col min="22" max="22" width="17.6640625" style="15" bestFit="1" customWidth="1"/>
    <col min="23" max="24" width="17.6640625" style="313" bestFit="1" customWidth="1"/>
    <col min="25" max="25" width="16.21875" style="313" bestFit="1" customWidth="1"/>
    <col min="26" max="26" width="13.77734375" style="313" bestFit="1" customWidth="1"/>
    <col min="27" max="16384" width="8.88671875" style="425"/>
  </cols>
  <sheetData>
    <row r="1" spans="1:26" ht="23.1" customHeight="1">
      <c r="A1" s="4080" t="s">
        <v>5937</v>
      </c>
      <c r="B1" s="4080"/>
      <c r="C1" s="4081"/>
      <c r="D1" s="4081"/>
      <c r="E1" s="4081"/>
      <c r="F1" s="4081"/>
      <c r="G1" s="4081"/>
      <c r="H1" s="4081"/>
      <c r="I1" s="4081"/>
      <c r="J1" s="4081"/>
      <c r="K1" s="4081"/>
      <c r="L1" s="4081"/>
      <c r="M1" s="4081"/>
      <c r="N1" s="4081"/>
      <c r="O1" s="4081"/>
      <c r="P1" s="4081"/>
      <c r="Q1" s="4081"/>
      <c r="R1" s="4081"/>
      <c r="S1" s="4081"/>
      <c r="T1" s="4081"/>
      <c r="U1" s="783"/>
      <c r="V1" s="3713"/>
      <c r="W1" s="783"/>
      <c r="X1" s="783"/>
      <c r="Y1" s="3713"/>
      <c r="Z1" s="783"/>
    </row>
    <row r="2" spans="1:26" ht="23.1" customHeight="1">
      <c r="A2" s="4081"/>
      <c r="B2" s="4081"/>
      <c r="C2" s="4081"/>
      <c r="D2" s="4081"/>
      <c r="E2" s="4081"/>
      <c r="F2" s="4081"/>
      <c r="G2" s="4081"/>
      <c r="H2" s="4081"/>
      <c r="I2" s="4081"/>
      <c r="J2" s="4081"/>
      <c r="K2" s="4081"/>
      <c r="L2" s="4081"/>
      <c r="M2" s="4081"/>
      <c r="N2" s="4081"/>
      <c r="O2" s="4081"/>
      <c r="P2" s="4081"/>
      <c r="Q2" s="4081"/>
      <c r="R2" s="4081"/>
      <c r="S2" s="4081"/>
      <c r="T2" s="4081"/>
      <c r="U2" s="783"/>
      <c r="V2" s="4079" t="s">
        <v>1340</v>
      </c>
      <c r="W2" s="4079"/>
      <c r="X2" s="4079"/>
      <c r="Y2" s="4079"/>
      <c r="Z2" s="4079"/>
    </row>
    <row r="3" spans="1:26" ht="23.1" customHeight="1" thickBot="1">
      <c r="A3" s="36"/>
      <c r="B3" s="36"/>
      <c r="C3" s="36"/>
      <c r="D3" s="36" t="s">
        <v>1280</v>
      </c>
      <c r="F3" s="37"/>
      <c r="G3" s="38" t="s">
        <v>1281</v>
      </c>
      <c r="H3" s="36" t="s">
        <v>1280</v>
      </c>
      <c r="I3" s="39" t="s">
        <v>1280</v>
      </c>
      <c r="J3" s="36"/>
      <c r="K3" s="36"/>
      <c r="L3" s="36"/>
      <c r="M3" s="40"/>
      <c r="N3" s="36"/>
      <c r="O3" s="36"/>
      <c r="P3" s="36"/>
      <c r="Q3" s="36"/>
      <c r="R3" s="36"/>
      <c r="S3" s="36"/>
      <c r="T3" s="37" t="s">
        <v>1281</v>
      </c>
      <c r="U3" s="37"/>
      <c r="V3" s="798" t="s">
        <v>6180</v>
      </c>
      <c r="W3" s="798" t="s">
        <v>1283</v>
      </c>
      <c r="X3" s="798" t="s">
        <v>1282</v>
      </c>
      <c r="Y3" s="798" t="s">
        <v>6179</v>
      </c>
      <c r="Z3" s="798" t="s">
        <v>1284</v>
      </c>
    </row>
    <row r="4" spans="1:26" ht="23.1" customHeight="1">
      <c r="A4" s="4082" t="s">
        <v>218</v>
      </c>
      <c r="B4" s="4083"/>
      <c r="C4" s="4083"/>
      <c r="D4" s="4084"/>
      <c r="E4" s="4085" t="s">
        <v>174</v>
      </c>
      <c r="F4" s="4087" t="s">
        <v>1077</v>
      </c>
      <c r="G4" s="4089" t="s">
        <v>219</v>
      </c>
      <c r="H4" s="159"/>
      <c r="I4" s="4091" t="s">
        <v>220</v>
      </c>
      <c r="J4" s="4092"/>
      <c r="K4" s="4092"/>
      <c r="L4" s="4092"/>
      <c r="M4" s="4092"/>
      <c r="N4" s="4092"/>
      <c r="O4" s="4092"/>
      <c r="P4" s="4092"/>
      <c r="Q4" s="4092"/>
      <c r="R4" s="4092"/>
      <c r="S4" s="4092"/>
      <c r="T4" s="4093"/>
      <c r="U4" s="784"/>
      <c r="V4" s="3714">
        <f>SUM(W4:Z4)</f>
        <v>0</v>
      </c>
      <c r="W4" s="3714"/>
      <c r="X4" s="3714"/>
      <c r="Y4" s="3714"/>
      <c r="Z4" s="3714"/>
    </row>
    <row r="5" spans="1:26" ht="23.1" customHeight="1" thickBot="1">
      <c r="A5" s="160" t="s">
        <v>252</v>
      </c>
      <c r="B5" s="1639" t="s">
        <v>1380</v>
      </c>
      <c r="C5" s="161" t="s">
        <v>221</v>
      </c>
      <c r="D5" s="161" t="s">
        <v>1387</v>
      </c>
      <c r="E5" s="4086"/>
      <c r="F5" s="4088"/>
      <c r="G5" s="4090"/>
      <c r="H5" s="159"/>
      <c r="I5" s="4094"/>
      <c r="J5" s="4095"/>
      <c r="K5" s="4095"/>
      <c r="L5" s="4095"/>
      <c r="M5" s="4095"/>
      <c r="N5" s="4095"/>
      <c r="O5" s="4095"/>
      <c r="P5" s="4095"/>
      <c r="Q5" s="4095"/>
      <c r="R5" s="4095"/>
      <c r="S5" s="4095"/>
      <c r="T5" s="4096"/>
      <c r="U5" s="784"/>
      <c r="V5" s="3714">
        <f t="shared" ref="V5:V64" si="0">SUM(W5:Z5)</f>
        <v>0</v>
      </c>
      <c r="W5" s="3714"/>
      <c r="X5" s="3714"/>
      <c r="Y5" s="3714"/>
      <c r="Z5" s="3714"/>
    </row>
    <row r="6" spans="1:26" s="104" customFormat="1" ht="23.1" customHeight="1" thickBot="1">
      <c r="A6" s="45" t="s">
        <v>1384</v>
      </c>
      <c r="B6" s="876"/>
      <c r="C6" s="876"/>
      <c r="D6" s="877" t="s">
        <v>1404</v>
      </c>
      <c r="E6" s="451">
        <f>+E7+E41+E48+E58</f>
        <v>40937220.924999997</v>
      </c>
      <c r="F6" s="451">
        <f>+F7+F41+F48+F58</f>
        <v>40471413</v>
      </c>
      <c r="G6" s="803">
        <f>+E6-F6</f>
        <v>465807.92499999702</v>
      </c>
      <c r="H6" s="802"/>
      <c r="I6" s="41"/>
      <c r="J6" s="42"/>
      <c r="K6" s="42"/>
      <c r="L6" s="43"/>
      <c r="M6" s="43"/>
      <c r="N6" s="43"/>
      <c r="O6" s="43"/>
      <c r="P6" s="43"/>
      <c r="Q6" s="43"/>
      <c r="R6" s="43"/>
      <c r="S6" s="43"/>
      <c r="T6" s="44"/>
      <c r="U6" s="800"/>
      <c r="V6" s="799">
        <f>+V7+V41+V48+V58</f>
        <v>40937220.924999997</v>
      </c>
      <c r="W6" s="799">
        <f t="shared" ref="W6:Z6" si="1">+W7+W41+W48+W58</f>
        <v>18545273</v>
      </c>
      <c r="X6" s="799">
        <f t="shared" si="1"/>
        <v>15097450</v>
      </c>
      <c r="Y6" s="799">
        <f t="shared" si="1"/>
        <v>6962550</v>
      </c>
      <c r="Z6" s="799">
        <f t="shared" si="1"/>
        <v>331947.92499999999</v>
      </c>
    </row>
    <row r="7" spans="1:26" s="104" customFormat="1" ht="23.1" customHeight="1" thickBot="1">
      <c r="A7" s="1638"/>
      <c r="B7" s="45" t="s">
        <v>1407</v>
      </c>
      <c r="C7" s="876"/>
      <c r="D7" s="877"/>
      <c r="E7" s="451">
        <f>SUM(E8:E40)</f>
        <v>18763273</v>
      </c>
      <c r="F7" s="451">
        <f>SUM(F8:F40)</f>
        <v>18403273</v>
      </c>
      <c r="G7" s="803">
        <f>+E7-F7</f>
        <v>360000</v>
      </c>
      <c r="H7" s="802"/>
      <c r="I7" s="41"/>
      <c r="J7" s="42"/>
      <c r="K7" s="42"/>
      <c r="L7" s="43"/>
      <c r="M7" s="43"/>
      <c r="N7" s="43"/>
      <c r="O7" s="43"/>
      <c r="P7" s="43"/>
      <c r="Q7" s="43"/>
      <c r="R7" s="43"/>
      <c r="S7" s="43"/>
      <c r="T7" s="44"/>
      <c r="U7" s="800"/>
      <c r="V7" s="799">
        <f t="shared" si="0"/>
        <v>18763273</v>
      </c>
      <c r="W7" s="799">
        <f>SUM(W8:W40)</f>
        <v>4920273</v>
      </c>
      <c r="X7" s="799">
        <f t="shared" ref="X7:Z7" si="2">SUM(X8:X40)</f>
        <v>11378000</v>
      </c>
      <c r="Y7" s="799">
        <f t="shared" si="2"/>
        <v>2465000</v>
      </c>
      <c r="Z7" s="799">
        <f t="shared" si="2"/>
        <v>0</v>
      </c>
    </row>
    <row r="8" spans="1:26" ht="23.1" customHeight="1">
      <c r="A8" s="46"/>
      <c r="B8" s="36"/>
      <c r="C8" s="1643" t="s">
        <v>1938</v>
      </c>
      <c r="D8" s="1684"/>
      <c r="E8" s="48">
        <f t="shared" ref="E8:E9" si="3">+T8</f>
        <v>100000</v>
      </c>
      <c r="F8" s="164">
        <v>100000</v>
      </c>
      <c r="G8" s="165">
        <f>E8-F8</f>
        <v>0</v>
      </c>
      <c r="H8" s="47"/>
      <c r="I8" s="1840" t="s">
        <v>1939</v>
      </c>
      <c r="J8" s="166"/>
      <c r="K8" s="1685"/>
      <c r="L8" s="1685"/>
      <c r="M8" s="1685"/>
      <c r="N8" s="40"/>
      <c r="O8" s="40"/>
      <c r="P8" s="40"/>
      <c r="Q8" s="40"/>
      <c r="R8" s="40"/>
      <c r="S8" s="169" t="s">
        <v>370</v>
      </c>
      <c r="T8" s="163">
        <v>100000</v>
      </c>
      <c r="U8" s="785"/>
      <c r="V8" s="3714">
        <f t="shared" si="0"/>
        <v>100000</v>
      </c>
      <c r="W8" s="3714"/>
      <c r="X8" s="3714">
        <v>100000</v>
      </c>
      <c r="Y8" s="3714"/>
      <c r="Z8" s="3714"/>
    </row>
    <row r="9" spans="1:26" ht="23.1" customHeight="1">
      <c r="A9" s="46"/>
      <c r="B9" s="36"/>
      <c r="C9" s="1643" t="s">
        <v>1940</v>
      </c>
      <c r="D9" s="1840"/>
      <c r="E9" s="48">
        <f t="shared" si="3"/>
        <v>100000</v>
      </c>
      <c r="F9" s="164">
        <v>100000</v>
      </c>
      <c r="G9" s="165">
        <f>E9-F9</f>
        <v>0</v>
      </c>
      <c r="H9" s="47"/>
      <c r="I9" s="2012" t="s">
        <v>4033</v>
      </c>
      <c r="J9" s="166"/>
      <c r="K9" s="1841"/>
      <c r="L9" s="1841"/>
      <c r="M9" s="1841"/>
      <c r="N9" s="40"/>
      <c r="O9" s="40"/>
      <c r="P9" s="40"/>
      <c r="Q9" s="40"/>
      <c r="R9" s="40"/>
      <c r="S9" s="169" t="s">
        <v>1941</v>
      </c>
      <c r="T9" s="163">
        <v>100000</v>
      </c>
      <c r="U9" s="1841"/>
      <c r="V9" s="3714">
        <f t="shared" si="0"/>
        <v>100000</v>
      </c>
      <c r="W9" s="3714"/>
      <c r="X9" s="3714">
        <v>100000</v>
      </c>
      <c r="Y9" s="3714"/>
      <c r="Z9" s="3714"/>
    </row>
    <row r="10" spans="1:26" ht="23.1" customHeight="1">
      <c r="A10" s="46"/>
      <c r="B10" s="36"/>
      <c r="C10" s="1643" t="s">
        <v>6098</v>
      </c>
      <c r="D10" s="2012"/>
      <c r="E10" s="48">
        <f>T10</f>
        <v>200000</v>
      </c>
      <c r="F10" s="164">
        <v>0</v>
      </c>
      <c r="G10" s="165">
        <f>E10-F10</f>
        <v>200000</v>
      </c>
      <c r="H10" s="47"/>
      <c r="I10" s="2012" t="s">
        <v>6099</v>
      </c>
      <c r="J10" s="166"/>
      <c r="K10" s="1864"/>
      <c r="L10" s="1864"/>
      <c r="M10" s="1864"/>
      <c r="N10" s="40"/>
      <c r="O10" s="40"/>
      <c r="P10" s="40"/>
      <c r="Q10" s="40"/>
      <c r="R10" s="40"/>
      <c r="S10" s="169" t="s">
        <v>5</v>
      </c>
      <c r="T10" s="163">
        <v>200000</v>
      </c>
      <c r="U10" s="1864"/>
      <c r="V10" s="3714">
        <f t="shared" si="0"/>
        <v>200000</v>
      </c>
      <c r="W10" s="3714"/>
      <c r="X10" s="3714">
        <v>200000</v>
      </c>
      <c r="Y10" s="3714"/>
      <c r="Z10" s="3714"/>
    </row>
    <row r="11" spans="1:26" ht="23.1" customHeight="1">
      <c r="A11" s="46"/>
      <c r="B11" s="36"/>
      <c r="C11" s="1643" t="s">
        <v>1400</v>
      </c>
      <c r="D11" s="1840"/>
      <c r="E11" s="48">
        <f>+T11</f>
        <v>2966000</v>
      </c>
      <c r="F11" s="164">
        <v>2966000</v>
      </c>
      <c r="G11" s="165">
        <f>E11-F11</f>
        <v>0</v>
      </c>
      <c r="H11" s="47"/>
      <c r="I11" s="1863" t="s">
        <v>2033</v>
      </c>
      <c r="J11" s="166"/>
      <c r="K11" s="1841"/>
      <c r="L11" s="1841"/>
      <c r="M11" s="1841"/>
      <c r="N11" s="40"/>
      <c r="O11" s="40"/>
      <c r="P11" s="40"/>
      <c r="Q11" s="40"/>
      <c r="R11" s="40"/>
      <c r="S11" s="169" t="s">
        <v>5</v>
      </c>
      <c r="T11" s="163">
        <v>2966000</v>
      </c>
      <c r="U11" s="1841"/>
      <c r="V11" s="3714">
        <f t="shared" si="0"/>
        <v>2966000</v>
      </c>
      <c r="W11" s="3714">
        <v>1483000</v>
      </c>
      <c r="X11" s="3714">
        <v>1483000</v>
      </c>
      <c r="Y11" s="3714"/>
      <c r="Z11" s="3714"/>
    </row>
    <row r="12" spans="1:26" ht="23.1" customHeight="1">
      <c r="A12" s="46"/>
      <c r="B12" s="36"/>
      <c r="C12" s="1643" t="s">
        <v>1394</v>
      </c>
      <c r="D12" s="1684"/>
      <c r="E12" s="48">
        <f>+T12</f>
        <v>1276000</v>
      </c>
      <c r="F12" s="164">
        <v>1276000</v>
      </c>
      <c r="G12" s="165">
        <f>E12-F12</f>
        <v>0</v>
      </c>
      <c r="H12" s="47"/>
      <c r="I12" s="1863" t="s">
        <v>2034</v>
      </c>
      <c r="J12" s="166"/>
      <c r="K12" s="1685"/>
      <c r="L12" s="1685"/>
      <c r="M12" s="1685"/>
      <c r="N12" s="40"/>
      <c r="O12" s="40"/>
      <c r="P12" s="40"/>
      <c r="Q12" s="40"/>
      <c r="R12" s="40"/>
      <c r="S12" s="169" t="s">
        <v>370</v>
      </c>
      <c r="T12" s="163">
        <v>1276000</v>
      </c>
      <c r="U12" s="785"/>
      <c r="V12" s="3714">
        <f t="shared" si="0"/>
        <v>1276000</v>
      </c>
      <c r="W12" s="3714">
        <v>638000</v>
      </c>
      <c r="X12" s="3714">
        <v>638000</v>
      </c>
      <c r="Y12" s="3714"/>
      <c r="Z12" s="3714"/>
    </row>
    <row r="13" spans="1:26" ht="23.1" customHeight="1">
      <c r="A13" s="46"/>
      <c r="B13" s="36"/>
      <c r="C13" s="1643" t="s">
        <v>1395</v>
      </c>
      <c r="D13" s="1684"/>
      <c r="E13" s="48">
        <f t="shared" ref="E13:E38" si="4">+T13</f>
        <v>52273</v>
      </c>
      <c r="F13" s="164">
        <v>52273</v>
      </c>
      <c r="G13" s="165">
        <f t="shared" ref="G13:G35" si="5">E13-F13</f>
        <v>0</v>
      </c>
      <c r="H13" s="47"/>
      <c r="I13" s="1863" t="s">
        <v>2035</v>
      </c>
      <c r="J13" s="166"/>
      <c r="K13" s="1685"/>
      <c r="L13" s="1685"/>
      <c r="M13" s="1685"/>
      <c r="N13" s="40"/>
      <c r="O13" s="40"/>
      <c r="P13" s="40"/>
      <c r="Q13" s="40"/>
      <c r="R13" s="40"/>
      <c r="S13" s="169" t="s">
        <v>370</v>
      </c>
      <c r="T13" s="163">
        <v>52273</v>
      </c>
      <c r="U13" s="785"/>
      <c r="V13" s="3714">
        <f t="shared" si="0"/>
        <v>52273</v>
      </c>
      <c r="W13" s="3714">
        <v>52273</v>
      </c>
      <c r="X13" s="3714"/>
      <c r="Y13" s="3714"/>
      <c r="Z13" s="3714"/>
    </row>
    <row r="14" spans="1:26" ht="23.1" customHeight="1">
      <c r="A14" s="46"/>
      <c r="B14" s="36"/>
      <c r="C14" s="1643" t="s">
        <v>1396</v>
      </c>
      <c r="D14" s="1684"/>
      <c r="E14" s="48">
        <f t="shared" si="4"/>
        <v>300000</v>
      </c>
      <c r="F14" s="164">
        <v>300000</v>
      </c>
      <c r="G14" s="165">
        <f t="shared" si="5"/>
        <v>0</v>
      </c>
      <c r="H14" s="47"/>
      <c r="I14" s="1863" t="s">
        <v>2036</v>
      </c>
      <c r="J14" s="166"/>
      <c r="K14" s="1685"/>
      <c r="L14" s="1685"/>
      <c r="M14" s="1685"/>
      <c r="N14" s="40"/>
      <c r="O14" s="40"/>
      <c r="P14" s="40"/>
      <c r="Q14" s="40"/>
      <c r="R14" s="40"/>
      <c r="S14" s="169" t="s">
        <v>370</v>
      </c>
      <c r="T14" s="163">
        <v>300000</v>
      </c>
      <c r="U14" s="785"/>
      <c r="V14" s="3714">
        <f t="shared" si="0"/>
        <v>300000</v>
      </c>
      <c r="W14" s="3714">
        <v>150000</v>
      </c>
      <c r="X14" s="3714">
        <v>150000</v>
      </c>
      <c r="Y14" s="3714"/>
      <c r="Z14" s="3714"/>
    </row>
    <row r="15" spans="1:26" ht="23.1" customHeight="1">
      <c r="A15" s="46"/>
      <c r="B15" s="36"/>
      <c r="C15" s="1643" t="s">
        <v>1397</v>
      </c>
      <c r="D15" s="1684"/>
      <c r="E15" s="48">
        <f t="shared" si="4"/>
        <v>468000</v>
      </c>
      <c r="F15" s="164">
        <v>468000</v>
      </c>
      <c r="G15" s="165">
        <f t="shared" si="5"/>
        <v>0</v>
      </c>
      <c r="H15" s="47"/>
      <c r="I15" s="1863" t="s">
        <v>2037</v>
      </c>
      <c r="J15" s="166"/>
      <c r="K15" s="1685"/>
      <c r="L15" s="1685"/>
      <c r="M15" s="1685"/>
      <c r="N15" s="40"/>
      <c r="O15" s="40"/>
      <c r="P15" s="40"/>
      <c r="Q15" s="40"/>
      <c r="R15" s="40"/>
      <c r="S15" s="169" t="s">
        <v>370</v>
      </c>
      <c r="T15" s="163">
        <v>468000</v>
      </c>
      <c r="U15" s="785"/>
      <c r="V15" s="3714">
        <f t="shared" si="0"/>
        <v>468000</v>
      </c>
      <c r="W15" s="3714">
        <v>234000</v>
      </c>
      <c r="X15" s="3714">
        <v>234000</v>
      </c>
      <c r="Y15" s="3714"/>
      <c r="Z15" s="3714"/>
    </row>
    <row r="16" spans="1:26" ht="23.1" customHeight="1">
      <c r="A16" s="46"/>
      <c r="B16" s="36"/>
      <c r="C16" s="1643" t="s">
        <v>1118</v>
      </c>
      <c r="D16" s="1684"/>
      <c r="E16" s="48">
        <f t="shared" si="4"/>
        <v>1606000</v>
      </c>
      <c r="F16" s="164">
        <v>1606000</v>
      </c>
      <c r="G16" s="165">
        <f t="shared" si="5"/>
        <v>0</v>
      </c>
      <c r="H16" s="47"/>
      <c r="I16" s="1863" t="s">
        <v>2038</v>
      </c>
      <c r="J16" s="166"/>
      <c r="K16" s="1685"/>
      <c r="L16" s="1685"/>
      <c r="M16" s="1685"/>
      <c r="N16" s="40"/>
      <c r="O16" s="40"/>
      <c r="P16" s="40"/>
      <c r="Q16" s="40"/>
      <c r="R16" s="40"/>
      <c r="S16" s="169" t="s">
        <v>370</v>
      </c>
      <c r="T16" s="163">
        <v>1606000</v>
      </c>
      <c r="U16" s="785"/>
      <c r="V16" s="3714">
        <f t="shared" si="0"/>
        <v>1606000</v>
      </c>
      <c r="W16" s="3714">
        <v>803000</v>
      </c>
      <c r="X16" s="3714">
        <v>803000</v>
      </c>
      <c r="Y16" s="3714"/>
      <c r="Z16" s="3714"/>
    </row>
    <row r="17" spans="1:26" ht="23.1" customHeight="1">
      <c r="A17" s="46"/>
      <c r="B17" s="36"/>
      <c r="C17" s="1643" t="s">
        <v>1942</v>
      </c>
      <c r="D17" s="1840"/>
      <c r="E17" s="48">
        <f>+T17</f>
        <v>530000</v>
      </c>
      <c r="F17" s="164">
        <v>530000</v>
      </c>
      <c r="G17" s="165">
        <f>E17-F17</f>
        <v>0</v>
      </c>
      <c r="H17" s="47"/>
      <c r="I17" s="2012" t="s">
        <v>2039</v>
      </c>
      <c r="J17" s="166"/>
      <c r="K17" s="1841"/>
      <c r="L17" s="1841"/>
      <c r="M17" s="1841"/>
      <c r="N17" s="1839"/>
      <c r="O17" s="1839"/>
      <c r="P17" s="1839"/>
      <c r="Q17" s="1839"/>
      <c r="R17" s="1839"/>
      <c r="S17" s="169" t="s">
        <v>5</v>
      </c>
      <c r="T17" s="163">
        <v>530000</v>
      </c>
      <c r="U17" s="1841"/>
      <c r="V17" s="3714">
        <f t="shared" si="0"/>
        <v>530000</v>
      </c>
      <c r="W17" s="3714"/>
      <c r="X17" s="3714">
        <v>530000</v>
      </c>
      <c r="Y17" s="3714"/>
      <c r="Z17" s="3714"/>
    </row>
    <row r="18" spans="1:26" ht="23.1" customHeight="1">
      <c r="A18" s="46"/>
      <c r="B18" s="36"/>
      <c r="C18" s="1643" t="s">
        <v>5589</v>
      </c>
      <c r="D18" s="2012"/>
      <c r="E18" s="48">
        <f>+T18</f>
        <v>10000</v>
      </c>
      <c r="F18" s="164">
        <v>10000</v>
      </c>
      <c r="G18" s="165">
        <f>E18-F18</f>
        <v>0</v>
      </c>
      <c r="H18" s="47"/>
      <c r="I18" s="2012" t="s">
        <v>5590</v>
      </c>
      <c r="J18" s="166"/>
      <c r="K18" s="1864"/>
      <c r="L18" s="1864"/>
      <c r="M18" s="1864"/>
      <c r="N18" s="1839"/>
      <c r="O18" s="1839"/>
      <c r="P18" s="1839"/>
      <c r="Q18" s="1839"/>
      <c r="R18" s="1839"/>
      <c r="S18" s="169" t="s">
        <v>5593</v>
      </c>
      <c r="T18" s="163">
        <v>10000</v>
      </c>
      <c r="U18" s="1864"/>
      <c r="V18" s="3714">
        <f t="shared" si="0"/>
        <v>10000</v>
      </c>
      <c r="W18" s="3714"/>
      <c r="X18" s="3714">
        <v>10000</v>
      </c>
      <c r="Y18" s="3714"/>
      <c r="Z18" s="3714"/>
    </row>
    <row r="19" spans="1:26" ht="23.1" customHeight="1">
      <c r="A19" s="46"/>
      <c r="B19" s="36"/>
      <c r="C19" s="1643" t="s">
        <v>6182</v>
      </c>
      <c r="D19" s="1684"/>
      <c r="E19" s="48">
        <f t="shared" si="4"/>
        <v>2800000</v>
      </c>
      <c r="F19" s="164">
        <v>2800000</v>
      </c>
      <c r="G19" s="165">
        <f t="shared" si="5"/>
        <v>0</v>
      </c>
      <c r="H19" s="47"/>
      <c r="I19" s="2012" t="s">
        <v>5599</v>
      </c>
      <c r="J19" s="166"/>
      <c r="K19" s="1685"/>
      <c r="L19" s="1685"/>
      <c r="M19" s="1685"/>
      <c r="N19" s="40"/>
      <c r="O19" s="40"/>
      <c r="P19" s="40"/>
      <c r="Q19" s="40"/>
      <c r="R19" s="40"/>
      <c r="S19" s="169" t="s">
        <v>370</v>
      </c>
      <c r="T19" s="163">
        <v>2800000</v>
      </c>
      <c r="U19" s="785"/>
      <c r="V19" s="3714">
        <f t="shared" si="0"/>
        <v>2800000</v>
      </c>
      <c r="W19" s="3714"/>
      <c r="X19" s="3714">
        <v>2800000</v>
      </c>
      <c r="Y19" s="3714"/>
      <c r="Z19" s="3714"/>
    </row>
    <row r="20" spans="1:26" ht="23.1" customHeight="1">
      <c r="A20" s="46"/>
      <c r="B20" s="36"/>
      <c r="C20" s="1643" t="s">
        <v>6181</v>
      </c>
      <c r="D20" s="1684"/>
      <c r="E20" s="48">
        <f t="shared" si="4"/>
        <v>2800000</v>
      </c>
      <c r="F20" s="164">
        <v>2800000</v>
      </c>
      <c r="G20" s="165">
        <f t="shared" si="5"/>
        <v>0</v>
      </c>
      <c r="H20" s="47"/>
      <c r="I20" s="2012" t="s">
        <v>5600</v>
      </c>
      <c r="J20" s="166"/>
      <c r="K20" s="1685"/>
      <c r="L20" s="1685"/>
      <c r="M20" s="1685"/>
      <c r="N20" s="1683"/>
      <c r="O20" s="1683"/>
      <c r="P20" s="1683"/>
      <c r="Q20" s="1683"/>
      <c r="R20" s="1683"/>
      <c r="S20" s="169" t="s">
        <v>5</v>
      </c>
      <c r="T20" s="163">
        <v>2800000</v>
      </c>
      <c r="U20" s="785"/>
      <c r="V20" s="3714">
        <f t="shared" si="0"/>
        <v>2800000</v>
      </c>
      <c r="W20" s="3714">
        <v>1400000</v>
      </c>
      <c r="X20" s="3714">
        <v>1400000</v>
      </c>
      <c r="Y20" s="3714"/>
      <c r="Z20" s="3714"/>
    </row>
    <row r="21" spans="1:26" ht="23.1" customHeight="1">
      <c r="A21" s="46"/>
      <c r="B21" s="36"/>
      <c r="C21" s="1643" t="s">
        <v>1943</v>
      </c>
      <c r="D21" s="1840"/>
      <c r="E21" s="48">
        <f t="shared" si="4"/>
        <v>200000</v>
      </c>
      <c r="F21" s="164">
        <v>200000</v>
      </c>
      <c r="G21" s="165">
        <f t="shared" si="5"/>
        <v>0</v>
      </c>
      <c r="H21" s="47"/>
      <c r="I21" s="2012" t="s">
        <v>3480</v>
      </c>
      <c r="J21" s="166"/>
      <c r="K21" s="1841"/>
      <c r="L21" s="1841"/>
      <c r="M21" s="1841"/>
      <c r="N21" s="1839"/>
      <c r="O21" s="1839"/>
      <c r="P21" s="1839"/>
      <c r="Q21" s="1839"/>
      <c r="R21" s="1839"/>
      <c r="S21" s="169" t="s">
        <v>5</v>
      </c>
      <c r="T21" s="163">
        <v>200000</v>
      </c>
      <c r="U21" s="1841"/>
      <c r="V21" s="3714">
        <f t="shared" si="0"/>
        <v>200000</v>
      </c>
      <c r="W21" s="3714"/>
      <c r="X21" s="3714"/>
      <c r="Y21" s="3714">
        <v>200000</v>
      </c>
      <c r="Z21" s="3714"/>
    </row>
    <row r="22" spans="1:26" ht="23.1" customHeight="1">
      <c r="A22" s="46"/>
      <c r="B22" s="36"/>
      <c r="C22" s="1643" t="s">
        <v>2032</v>
      </c>
      <c r="D22" s="1863"/>
      <c r="E22" s="48">
        <v>60000</v>
      </c>
      <c r="F22" s="164">
        <v>60000</v>
      </c>
      <c r="G22" s="165">
        <f t="shared" si="5"/>
        <v>0</v>
      </c>
      <c r="H22" s="47"/>
      <c r="I22" s="1863" t="s">
        <v>2049</v>
      </c>
      <c r="J22" s="166"/>
      <c r="K22" s="1864"/>
      <c r="L22" s="1864"/>
      <c r="M22" s="1864"/>
      <c r="N22" s="1839"/>
      <c r="O22" s="1839"/>
      <c r="P22" s="1839"/>
      <c r="Q22" s="1839"/>
      <c r="R22" s="1839"/>
      <c r="S22" s="169" t="s">
        <v>5</v>
      </c>
      <c r="T22" s="163">
        <v>60000</v>
      </c>
      <c r="U22" s="1864"/>
      <c r="V22" s="3714">
        <f t="shared" si="0"/>
        <v>60000</v>
      </c>
      <c r="W22" s="3714"/>
      <c r="X22" s="3714">
        <v>60000</v>
      </c>
      <c r="Y22" s="3714"/>
      <c r="Z22" s="3714"/>
    </row>
    <row r="23" spans="1:26" ht="23.1" customHeight="1">
      <c r="A23" s="46"/>
      <c r="B23" s="36"/>
      <c r="C23" s="1643" t="s">
        <v>1944</v>
      </c>
      <c r="D23" s="1840"/>
      <c r="E23" s="48">
        <f t="shared" si="4"/>
        <v>950000</v>
      </c>
      <c r="F23" s="164">
        <v>950000</v>
      </c>
      <c r="G23" s="165">
        <f t="shared" si="5"/>
        <v>0</v>
      </c>
      <c r="H23" s="47"/>
      <c r="I23" s="1863" t="s">
        <v>2040</v>
      </c>
      <c r="J23" s="166"/>
      <c r="K23" s="1841"/>
      <c r="L23" s="1841"/>
      <c r="M23" s="1841"/>
      <c r="N23" s="1839"/>
      <c r="O23" s="1839"/>
      <c r="P23" s="1839"/>
      <c r="Q23" s="1839"/>
      <c r="R23" s="1839"/>
      <c r="S23" s="169" t="s">
        <v>5</v>
      </c>
      <c r="T23" s="163">
        <v>950000</v>
      </c>
      <c r="U23" s="1841"/>
      <c r="V23" s="3714">
        <f t="shared" si="0"/>
        <v>950000</v>
      </c>
      <c r="W23" s="3714"/>
      <c r="X23" s="3714">
        <v>950000</v>
      </c>
      <c r="Y23" s="3714"/>
      <c r="Z23" s="3714"/>
    </row>
    <row r="24" spans="1:26" ht="23.1" customHeight="1">
      <c r="A24" s="46"/>
      <c r="B24" s="36"/>
      <c r="C24" s="1643" t="s">
        <v>1945</v>
      </c>
      <c r="D24" s="1840"/>
      <c r="E24" s="48">
        <f t="shared" si="4"/>
        <v>650000</v>
      </c>
      <c r="F24" s="164">
        <v>650000</v>
      </c>
      <c r="G24" s="165">
        <f t="shared" si="5"/>
        <v>0</v>
      </c>
      <c r="H24" s="47"/>
      <c r="I24" s="1863" t="s">
        <v>2041</v>
      </c>
      <c r="J24" s="166"/>
      <c r="K24" s="1841"/>
      <c r="L24" s="1841"/>
      <c r="M24" s="1841"/>
      <c r="N24" s="1839"/>
      <c r="O24" s="1839"/>
      <c r="P24" s="1839"/>
      <c r="Q24" s="1839"/>
      <c r="R24" s="1839"/>
      <c r="S24" s="169" t="s">
        <v>5</v>
      </c>
      <c r="T24" s="163">
        <v>650000</v>
      </c>
      <c r="U24" s="1841"/>
      <c r="V24" s="3714">
        <f t="shared" si="0"/>
        <v>650000</v>
      </c>
      <c r="W24" s="3714"/>
      <c r="X24" s="3714"/>
      <c r="Y24" s="3714">
        <v>650000</v>
      </c>
      <c r="Z24" s="3714"/>
    </row>
    <row r="25" spans="1:26" ht="23.1" customHeight="1">
      <c r="A25" s="46"/>
      <c r="B25" s="36"/>
      <c r="C25" s="1643" t="s">
        <v>1946</v>
      </c>
      <c r="D25" s="1840"/>
      <c r="E25" s="48">
        <f t="shared" si="4"/>
        <v>75000</v>
      </c>
      <c r="F25" s="164">
        <v>75000</v>
      </c>
      <c r="G25" s="165">
        <f t="shared" si="5"/>
        <v>0</v>
      </c>
      <c r="H25" s="47"/>
      <c r="I25" s="1863" t="s">
        <v>2042</v>
      </c>
      <c r="J25" s="166"/>
      <c r="K25" s="1841"/>
      <c r="L25" s="1841"/>
      <c r="M25" s="1841"/>
      <c r="N25" s="1839"/>
      <c r="O25" s="1839"/>
      <c r="P25" s="1839"/>
      <c r="Q25" s="1839"/>
      <c r="R25" s="1839"/>
      <c r="S25" s="169" t="s">
        <v>5</v>
      </c>
      <c r="T25" s="163">
        <v>75000</v>
      </c>
      <c r="U25" s="1841"/>
      <c r="V25" s="3714">
        <f t="shared" si="0"/>
        <v>75000</v>
      </c>
      <c r="W25" s="3714"/>
      <c r="X25" s="3714"/>
      <c r="Y25" s="3714">
        <v>75000</v>
      </c>
      <c r="Z25" s="3714"/>
    </row>
    <row r="26" spans="1:26" ht="23.1" customHeight="1">
      <c r="A26" s="46"/>
      <c r="B26" s="36"/>
      <c r="C26" s="1643" t="s">
        <v>2046</v>
      </c>
      <c r="D26" s="1863"/>
      <c r="E26" s="48">
        <f t="shared" si="4"/>
        <v>40000</v>
      </c>
      <c r="F26" s="164">
        <v>40000</v>
      </c>
      <c r="G26" s="165">
        <f t="shared" si="5"/>
        <v>0</v>
      </c>
      <c r="H26" s="47"/>
      <c r="I26" s="1863" t="s">
        <v>2045</v>
      </c>
      <c r="J26" s="166"/>
      <c r="K26" s="1864"/>
      <c r="L26" s="1864"/>
      <c r="M26" s="1864"/>
      <c r="N26" s="1839"/>
      <c r="O26" s="1839"/>
      <c r="P26" s="1839"/>
      <c r="Q26" s="1839"/>
      <c r="R26" s="1839"/>
      <c r="S26" s="169" t="s">
        <v>5</v>
      </c>
      <c r="T26" s="163">
        <v>40000</v>
      </c>
      <c r="U26" s="1864"/>
      <c r="V26" s="3714">
        <f t="shared" si="0"/>
        <v>40000</v>
      </c>
      <c r="W26" s="3714"/>
      <c r="X26" s="3714"/>
      <c r="Y26" s="3714">
        <v>40000</v>
      </c>
      <c r="Z26" s="3714"/>
    </row>
    <row r="27" spans="1:26" ht="23.1" customHeight="1">
      <c r="A27" s="46"/>
      <c r="B27" s="36"/>
      <c r="C27" s="1643" t="s">
        <v>1947</v>
      </c>
      <c r="D27" s="1840"/>
      <c r="E27" s="48">
        <f t="shared" si="4"/>
        <v>500000</v>
      </c>
      <c r="F27" s="164">
        <v>500000</v>
      </c>
      <c r="G27" s="165">
        <f t="shared" si="5"/>
        <v>0</v>
      </c>
      <c r="H27" s="47"/>
      <c r="I27" s="1863" t="s">
        <v>2043</v>
      </c>
      <c r="J27" s="166"/>
      <c r="K27" s="1841"/>
      <c r="L27" s="1841"/>
      <c r="M27" s="1841"/>
      <c r="N27" s="1839"/>
      <c r="O27" s="1839"/>
      <c r="P27" s="1839"/>
      <c r="Q27" s="1839"/>
      <c r="R27" s="1839"/>
      <c r="S27" s="169" t="s">
        <v>1941</v>
      </c>
      <c r="T27" s="163">
        <v>500000</v>
      </c>
      <c r="U27" s="1841"/>
      <c r="V27" s="3714">
        <f t="shared" si="0"/>
        <v>500000</v>
      </c>
      <c r="W27" s="3714"/>
      <c r="X27" s="3714">
        <v>500000</v>
      </c>
      <c r="Y27" s="3714"/>
      <c r="Z27" s="3714"/>
    </row>
    <row r="28" spans="1:26" ht="23.1" customHeight="1">
      <c r="A28" s="46"/>
      <c r="B28" s="36"/>
      <c r="C28" s="1643" t="s">
        <v>1948</v>
      </c>
      <c r="D28" s="1840"/>
      <c r="E28" s="48">
        <f t="shared" si="4"/>
        <v>450000</v>
      </c>
      <c r="F28" s="164">
        <v>450000</v>
      </c>
      <c r="G28" s="165">
        <f t="shared" si="5"/>
        <v>0</v>
      </c>
      <c r="H28" s="47"/>
      <c r="I28" s="1863" t="s">
        <v>2044</v>
      </c>
      <c r="J28" s="166"/>
      <c r="K28" s="1841"/>
      <c r="L28" s="1841"/>
      <c r="M28" s="1841"/>
      <c r="N28" s="1839"/>
      <c r="O28" s="1839"/>
      <c r="P28" s="1839"/>
      <c r="Q28" s="1839"/>
      <c r="R28" s="1839"/>
      <c r="S28" s="169" t="s">
        <v>1941</v>
      </c>
      <c r="T28" s="163">
        <v>450000</v>
      </c>
      <c r="U28" s="1841"/>
      <c r="V28" s="3714">
        <f t="shared" si="0"/>
        <v>450000</v>
      </c>
      <c r="W28" s="3714"/>
      <c r="X28" s="3714">
        <v>450000</v>
      </c>
      <c r="Y28" s="3714"/>
      <c r="Z28" s="3714"/>
    </row>
    <row r="29" spans="1:26" ht="23.1" customHeight="1">
      <c r="A29" s="46"/>
      <c r="B29" s="36"/>
      <c r="C29" s="1643" t="s">
        <v>1949</v>
      </c>
      <c r="D29" s="1840"/>
      <c r="E29" s="48">
        <f t="shared" si="4"/>
        <v>200000</v>
      </c>
      <c r="F29" s="164">
        <v>200000</v>
      </c>
      <c r="G29" s="165">
        <f t="shared" ref="G29:G30" si="6">E29-F29</f>
        <v>0</v>
      </c>
      <c r="H29" s="47"/>
      <c r="I29" s="1840" t="s">
        <v>1950</v>
      </c>
      <c r="J29" s="166"/>
      <c r="K29" s="1841"/>
      <c r="L29" s="1841"/>
      <c r="M29" s="1841"/>
      <c r="N29" s="1839"/>
      <c r="O29" s="1839"/>
      <c r="P29" s="1839"/>
      <c r="Q29" s="1839"/>
      <c r="R29" s="1839"/>
      <c r="S29" s="169" t="s">
        <v>1941</v>
      </c>
      <c r="T29" s="163">
        <v>200000</v>
      </c>
      <c r="U29" s="1841"/>
      <c r="V29" s="3714">
        <f t="shared" si="0"/>
        <v>200000</v>
      </c>
      <c r="W29" s="3714"/>
      <c r="X29" s="3714">
        <v>200000</v>
      </c>
      <c r="Y29" s="3714"/>
      <c r="Z29" s="3714"/>
    </row>
    <row r="30" spans="1:26" ht="23.1" customHeight="1">
      <c r="A30" s="46"/>
      <c r="B30" s="36"/>
      <c r="C30" s="1643" t="s">
        <v>1951</v>
      </c>
      <c r="D30" s="1840"/>
      <c r="E30" s="48">
        <f t="shared" si="4"/>
        <v>200000</v>
      </c>
      <c r="F30" s="164">
        <v>200000</v>
      </c>
      <c r="G30" s="165">
        <f t="shared" si="6"/>
        <v>0</v>
      </c>
      <c r="H30" s="47"/>
      <c r="I30" s="1840" t="s">
        <v>1952</v>
      </c>
      <c r="J30" s="166"/>
      <c r="K30" s="1841"/>
      <c r="L30" s="1841"/>
      <c r="M30" s="1841"/>
      <c r="N30" s="1839"/>
      <c r="O30" s="1839"/>
      <c r="P30" s="1839"/>
      <c r="Q30" s="1839"/>
      <c r="R30" s="1839"/>
      <c r="S30" s="169" t="s">
        <v>1941</v>
      </c>
      <c r="T30" s="163">
        <v>200000</v>
      </c>
      <c r="U30" s="1841"/>
      <c r="V30" s="3714">
        <f t="shared" si="0"/>
        <v>200000</v>
      </c>
      <c r="W30" s="3714"/>
      <c r="X30" s="3714">
        <v>200000</v>
      </c>
      <c r="Y30" s="3714"/>
      <c r="Z30" s="3714"/>
    </row>
    <row r="31" spans="1:26" ht="23.1" customHeight="1">
      <c r="A31" s="46"/>
      <c r="B31" s="36"/>
      <c r="C31" s="1643" t="s">
        <v>1953</v>
      </c>
      <c r="D31" s="1840"/>
      <c r="E31" s="48">
        <f t="shared" si="4"/>
        <v>230000</v>
      </c>
      <c r="F31" s="164">
        <v>230000</v>
      </c>
      <c r="G31" s="165">
        <f t="shared" ref="G31:G32" si="7">E31-F31</f>
        <v>0</v>
      </c>
      <c r="H31" s="47"/>
      <c r="I31" s="1840" t="s">
        <v>1954</v>
      </c>
      <c r="J31" s="166"/>
      <c r="K31" s="1841"/>
      <c r="L31" s="1841"/>
      <c r="M31" s="1841"/>
      <c r="N31" s="1839"/>
      <c r="O31" s="1839"/>
      <c r="P31" s="1839"/>
      <c r="Q31" s="1839"/>
      <c r="R31" s="1839"/>
      <c r="S31" s="169" t="s">
        <v>1941</v>
      </c>
      <c r="T31" s="163">
        <v>230000</v>
      </c>
      <c r="U31" s="1841"/>
      <c r="V31" s="3714">
        <f t="shared" si="0"/>
        <v>230000</v>
      </c>
      <c r="W31" s="3714"/>
      <c r="X31" s="3714">
        <v>230000</v>
      </c>
      <c r="Y31" s="3714"/>
      <c r="Z31" s="3714"/>
    </row>
    <row r="32" spans="1:26" ht="23.1" customHeight="1">
      <c r="A32" s="46"/>
      <c r="B32" s="36"/>
      <c r="C32" s="1643" t="s">
        <v>1955</v>
      </c>
      <c r="D32" s="1840"/>
      <c r="E32" s="48">
        <f t="shared" si="4"/>
        <v>50000</v>
      </c>
      <c r="F32" s="164">
        <v>50000</v>
      </c>
      <c r="G32" s="165">
        <f t="shared" si="7"/>
        <v>0</v>
      </c>
      <c r="H32" s="47"/>
      <c r="I32" s="1840" t="s">
        <v>1956</v>
      </c>
      <c r="J32" s="166"/>
      <c r="K32" s="1841"/>
      <c r="L32" s="1841"/>
      <c r="M32" s="1841"/>
      <c r="N32" s="1839"/>
      <c r="O32" s="1839"/>
      <c r="P32" s="1839"/>
      <c r="Q32" s="1839"/>
      <c r="R32" s="1839"/>
      <c r="S32" s="169" t="s">
        <v>1941</v>
      </c>
      <c r="T32" s="163">
        <v>50000</v>
      </c>
      <c r="U32" s="1841"/>
      <c r="V32" s="3714">
        <f t="shared" si="0"/>
        <v>50000</v>
      </c>
      <c r="W32" s="3714"/>
      <c r="X32" s="3714"/>
      <c r="Y32" s="3714">
        <v>50000</v>
      </c>
      <c r="Z32" s="3714"/>
    </row>
    <row r="33" spans="1:26" ht="23.1" customHeight="1">
      <c r="A33" s="46"/>
      <c r="B33" s="36"/>
      <c r="C33" s="1643" t="s">
        <v>3914</v>
      </c>
      <c r="D33" s="2012"/>
      <c r="E33" s="48">
        <f t="shared" ref="E33" si="8">+T33</f>
        <v>30000</v>
      </c>
      <c r="F33" s="164">
        <v>30000</v>
      </c>
      <c r="G33" s="165">
        <f t="shared" ref="G33" si="9">E33-F33</f>
        <v>0</v>
      </c>
      <c r="H33" s="47"/>
      <c r="I33" s="2012" t="s">
        <v>3915</v>
      </c>
      <c r="J33" s="166"/>
      <c r="K33" s="1864"/>
      <c r="L33" s="1864"/>
      <c r="M33" s="1864"/>
      <c r="N33" s="1839"/>
      <c r="O33" s="1839"/>
      <c r="P33" s="1839"/>
      <c r="Q33" s="1839"/>
      <c r="R33" s="1839"/>
      <c r="S33" s="169" t="s">
        <v>1941</v>
      </c>
      <c r="T33" s="163">
        <v>30000</v>
      </c>
      <c r="U33" s="1864"/>
      <c r="V33" s="3714">
        <f t="shared" si="0"/>
        <v>30000</v>
      </c>
      <c r="W33" s="3714"/>
      <c r="X33" s="3714">
        <v>30000</v>
      </c>
      <c r="Y33" s="3714"/>
      <c r="Z33" s="3714"/>
    </row>
    <row r="34" spans="1:26" ht="23.1" customHeight="1">
      <c r="A34" s="46"/>
      <c r="B34" s="36"/>
      <c r="C34" s="1643" t="s">
        <v>1398</v>
      </c>
      <c r="D34" s="1684"/>
      <c r="E34" s="48">
        <f t="shared" si="4"/>
        <v>160000</v>
      </c>
      <c r="F34" s="164">
        <v>160000</v>
      </c>
      <c r="G34" s="165">
        <f t="shared" si="5"/>
        <v>0</v>
      </c>
      <c r="H34" s="47"/>
      <c r="I34" s="1684" t="s">
        <v>1392</v>
      </c>
      <c r="J34" s="166"/>
      <c r="K34" s="1685"/>
      <c r="L34" s="1685"/>
      <c r="M34" s="1685"/>
      <c r="N34" s="1683"/>
      <c r="O34" s="1683"/>
      <c r="P34" s="1683"/>
      <c r="Q34" s="1683"/>
      <c r="R34" s="1683"/>
      <c r="S34" s="169" t="s">
        <v>5</v>
      </c>
      <c r="T34" s="163">
        <v>160000</v>
      </c>
      <c r="U34" s="878"/>
      <c r="V34" s="3714">
        <f t="shared" si="0"/>
        <v>160000</v>
      </c>
      <c r="W34" s="3714">
        <v>80000</v>
      </c>
      <c r="X34" s="3714">
        <v>80000</v>
      </c>
      <c r="Y34" s="3714"/>
      <c r="Z34" s="3714"/>
    </row>
    <row r="35" spans="1:26" ht="23.1" customHeight="1">
      <c r="A35" s="46"/>
      <c r="B35" s="36"/>
      <c r="C35" s="1643" t="s">
        <v>1399</v>
      </c>
      <c r="D35" s="1684"/>
      <c r="E35" s="48">
        <f t="shared" si="4"/>
        <v>500000</v>
      </c>
      <c r="F35" s="164">
        <v>500000</v>
      </c>
      <c r="G35" s="165">
        <f t="shared" si="5"/>
        <v>0</v>
      </c>
      <c r="H35" s="47"/>
      <c r="I35" s="1684" t="s">
        <v>1389</v>
      </c>
      <c r="J35" s="166"/>
      <c r="K35" s="1685"/>
      <c r="L35" s="1685"/>
      <c r="M35" s="1685"/>
      <c r="N35" s="1683"/>
      <c r="O35" s="1683"/>
      <c r="P35" s="1683"/>
      <c r="Q35" s="1683"/>
      <c r="R35" s="1683"/>
      <c r="S35" s="169" t="s">
        <v>1388</v>
      </c>
      <c r="T35" s="163">
        <v>500000</v>
      </c>
      <c r="U35" s="878"/>
      <c r="V35" s="3714">
        <f t="shared" si="0"/>
        <v>500000</v>
      </c>
      <c r="W35" s="3714"/>
      <c r="X35" s="3714"/>
      <c r="Y35" s="3714">
        <v>500000</v>
      </c>
      <c r="Z35" s="3714"/>
    </row>
    <row r="36" spans="1:26" ht="23.1" customHeight="1">
      <c r="A36" s="46"/>
      <c r="B36" s="36"/>
      <c r="C36" s="1643" t="s">
        <v>1957</v>
      </c>
      <c r="D36" s="1840"/>
      <c r="E36" s="48">
        <f t="shared" si="4"/>
        <v>800000</v>
      </c>
      <c r="F36" s="164">
        <v>740000</v>
      </c>
      <c r="G36" s="165">
        <f t="shared" ref="G36:G38" si="10">E36-F36</f>
        <v>60000</v>
      </c>
      <c r="H36" s="47"/>
      <c r="I36" s="1840" t="s">
        <v>1959</v>
      </c>
      <c r="J36" s="166"/>
      <c r="K36" s="1841"/>
      <c r="L36" s="1841"/>
      <c r="M36" s="1841"/>
      <c r="N36" s="1839"/>
      <c r="O36" s="1839"/>
      <c r="P36" s="1839"/>
      <c r="Q36" s="1839"/>
      <c r="R36" s="1839"/>
      <c r="S36" s="169" t="s">
        <v>1941</v>
      </c>
      <c r="T36" s="163">
        <v>800000</v>
      </c>
      <c r="U36" s="1841"/>
      <c r="V36" s="3714">
        <f t="shared" si="0"/>
        <v>800000</v>
      </c>
      <c r="W36" s="3714"/>
      <c r="X36" s="3714"/>
      <c r="Y36" s="3714">
        <v>800000</v>
      </c>
      <c r="Z36" s="3714"/>
    </row>
    <row r="37" spans="1:26" ht="23.1" customHeight="1">
      <c r="A37" s="46"/>
      <c r="B37" s="36"/>
      <c r="C37" s="1643" t="s">
        <v>1979</v>
      </c>
      <c r="D37" s="1840"/>
      <c r="E37" s="48">
        <f t="shared" si="4"/>
        <v>50000</v>
      </c>
      <c r="F37" s="164">
        <v>50000</v>
      </c>
      <c r="G37" s="165">
        <f t="shared" si="10"/>
        <v>0</v>
      </c>
      <c r="H37" s="47"/>
      <c r="I37" s="1845" t="s">
        <v>1978</v>
      </c>
      <c r="J37" s="166"/>
      <c r="K37" s="1841"/>
      <c r="L37" s="1841"/>
      <c r="M37" s="1841"/>
      <c r="N37" s="1839"/>
      <c r="O37" s="1839"/>
      <c r="P37" s="1839"/>
      <c r="Q37" s="1839"/>
      <c r="R37" s="1839"/>
      <c r="S37" s="169" t="s">
        <v>1941</v>
      </c>
      <c r="T37" s="163">
        <v>50000</v>
      </c>
      <c r="U37" s="1841"/>
      <c r="V37" s="3714">
        <f t="shared" si="0"/>
        <v>50000</v>
      </c>
      <c r="W37" s="3714"/>
      <c r="X37" s="3714"/>
      <c r="Y37" s="3714">
        <v>50000</v>
      </c>
      <c r="Z37" s="3714"/>
    </row>
    <row r="38" spans="1:26" ht="23.1" customHeight="1">
      <c r="A38" s="46"/>
      <c r="B38" s="36"/>
      <c r="C38" s="1643" t="s">
        <v>1958</v>
      </c>
      <c r="D38" s="1840"/>
      <c r="E38" s="48">
        <f t="shared" si="4"/>
        <v>150000</v>
      </c>
      <c r="F38" s="164">
        <v>150000</v>
      </c>
      <c r="G38" s="165">
        <f t="shared" si="10"/>
        <v>0</v>
      </c>
      <c r="H38" s="47"/>
      <c r="I38" s="1840" t="s">
        <v>1960</v>
      </c>
      <c r="J38" s="166"/>
      <c r="K38" s="1841"/>
      <c r="L38" s="1841"/>
      <c r="M38" s="1841"/>
      <c r="N38" s="1839"/>
      <c r="O38" s="1839"/>
      <c r="P38" s="1839"/>
      <c r="Q38" s="1839"/>
      <c r="R38" s="1839"/>
      <c r="S38" s="169" t="s">
        <v>1941</v>
      </c>
      <c r="T38" s="163">
        <v>150000</v>
      </c>
      <c r="U38" s="1841"/>
      <c r="V38" s="3714">
        <f t="shared" si="0"/>
        <v>150000</v>
      </c>
      <c r="W38" s="3714"/>
      <c r="X38" s="3714">
        <v>150000</v>
      </c>
      <c r="Y38" s="3714"/>
      <c r="Z38" s="3714"/>
    </row>
    <row r="39" spans="1:26" ht="23.1" customHeight="1">
      <c r="A39" s="46"/>
      <c r="B39" s="36"/>
      <c r="C39" s="1643" t="s">
        <v>1398</v>
      </c>
      <c r="D39" s="1684"/>
      <c r="E39" s="48">
        <f>+T39</f>
        <v>160000</v>
      </c>
      <c r="F39" s="164">
        <v>160000</v>
      </c>
      <c r="G39" s="165">
        <f>E39-F39</f>
        <v>0</v>
      </c>
      <c r="H39" s="47"/>
      <c r="I39" s="1684" t="s">
        <v>1393</v>
      </c>
      <c r="J39" s="166"/>
      <c r="K39" s="1685"/>
      <c r="L39" s="1685"/>
      <c r="M39" s="1685"/>
      <c r="N39" s="40"/>
      <c r="O39" s="40"/>
      <c r="P39" s="40"/>
      <c r="Q39" s="40"/>
      <c r="R39" s="40"/>
      <c r="S39" s="169" t="s">
        <v>370</v>
      </c>
      <c r="T39" s="163">
        <v>160000</v>
      </c>
      <c r="U39" s="785"/>
      <c r="V39" s="3714">
        <f t="shared" si="0"/>
        <v>160000</v>
      </c>
      <c r="W39" s="3714">
        <v>80000</v>
      </c>
      <c r="X39" s="3714">
        <v>80000</v>
      </c>
      <c r="Y39" s="3714"/>
      <c r="Z39" s="3714"/>
    </row>
    <row r="40" spans="1:26" ht="23.1" customHeight="1" thickBot="1">
      <c r="A40" s="3661"/>
      <c r="B40" s="162"/>
      <c r="C40" s="1643" t="s">
        <v>5930</v>
      </c>
      <c r="D40" s="2012"/>
      <c r="E40" s="48">
        <v>100000</v>
      </c>
      <c r="F40" s="164">
        <v>0</v>
      </c>
      <c r="G40" s="165">
        <f>E40-F40</f>
        <v>100000</v>
      </c>
      <c r="H40" s="47"/>
      <c r="I40" s="2012" t="s">
        <v>5931</v>
      </c>
      <c r="J40" s="166"/>
      <c r="K40" s="1864"/>
      <c r="L40" s="1864"/>
      <c r="M40" s="1864"/>
      <c r="N40" s="1839"/>
      <c r="O40" s="1839"/>
      <c r="P40" s="1839"/>
      <c r="Q40" s="1839"/>
      <c r="R40" s="1839"/>
      <c r="S40" s="169" t="s">
        <v>5</v>
      </c>
      <c r="T40" s="163">
        <v>100000</v>
      </c>
      <c r="U40" s="1864"/>
      <c r="V40" s="3714">
        <f t="shared" si="0"/>
        <v>100000</v>
      </c>
      <c r="W40" s="3714"/>
      <c r="X40" s="3714"/>
      <c r="Y40" s="3714">
        <v>100000</v>
      </c>
      <c r="Z40" s="3714"/>
    </row>
    <row r="41" spans="1:26" s="104" customFormat="1" ht="23.1" customHeight="1" thickBot="1">
      <c r="A41" s="1638"/>
      <c r="B41" s="45" t="s">
        <v>1406</v>
      </c>
      <c r="C41" s="876"/>
      <c r="D41" s="877"/>
      <c r="E41" s="451">
        <f>SUM(E42:E47)</f>
        <v>16768000</v>
      </c>
      <c r="F41" s="451">
        <f>SUM(F42:F47)</f>
        <v>16768000</v>
      </c>
      <c r="G41" s="803">
        <f>+E41-F41</f>
        <v>0</v>
      </c>
      <c r="H41" s="802"/>
      <c r="I41" s="41"/>
      <c r="J41" s="42"/>
      <c r="K41" s="42"/>
      <c r="L41" s="43"/>
      <c r="M41" s="43"/>
      <c r="N41" s="43"/>
      <c r="O41" s="43"/>
      <c r="P41" s="43"/>
      <c r="Q41" s="43"/>
      <c r="R41" s="43"/>
      <c r="S41" s="43"/>
      <c r="T41" s="44"/>
      <c r="U41" s="800"/>
      <c r="V41" s="799">
        <f>SUM(V42:V47)</f>
        <v>16768000</v>
      </c>
      <c r="W41" s="799">
        <f>SUM(W42:W47)</f>
        <v>11668000</v>
      </c>
      <c r="X41" s="799">
        <f t="shared" ref="X41:Z41" si="11">SUM(X42:X47)</f>
        <v>827450</v>
      </c>
      <c r="Y41" s="799">
        <f t="shared" si="11"/>
        <v>4272550</v>
      </c>
      <c r="Z41" s="799">
        <f t="shared" si="11"/>
        <v>0</v>
      </c>
    </row>
    <row r="42" spans="1:26" ht="23.1" customHeight="1">
      <c r="A42" s="46"/>
      <c r="B42" s="1640"/>
      <c r="C42" s="162" t="s">
        <v>1405</v>
      </c>
      <c r="D42" s="177"/>
      <c r="E42" s="1848">
        <f>T42</f>
        <v>16241000</v>
      </c>
      <c r="F42" s="1849">
        <v>16241000</v>
      </c>
      <c r="G42" s="1850">
        <f>+E42-F42</f>
        <v>0</v>
      </c>
      <c r="H42" s="47"/>
      <c r="I42" s="1684" t="s">
        <v>1285</v>
      </c>
      <c r="J42" s="166"/>
      <c r="K42" s="1685"/>
      <c r="L42" s="1685"/>
      <c r="M42" s="1685"/>
      <c r="N42" s="40"/>
      <c r="O42" s="40"/>
      <c r="P42" s="40"/>
      <c r="Q42" s="40"/>
      <c r="R42" s="40"/>
      <c r="S42" s="169" t="s">
        <v>370</v>
      </c>
      <c r="T42" s="163">
        <v>16241000</v>
      </c>
      <c r="U42" s="53"/>
      <c r="V42" s="3714">
        <f t="shared" si="0"/>
        <v>16241000</v>
      </c>
      <c r="W42" s="3714">
        <v>11218000</v>
      </c>
      <c r="X42" s="3714">
        <v>753450</v>
      </c>
      <c r="Y42" s="3714">
        <v>4269550</v>
      </c>
      <c r="Z42" s="3714"/>
    </row>
    <row r="43" spans="1:26" ht="23.1" customHeight="1">
      <c r="A43" s="46"/>
      <c r="B43" s="36"/>
      <c r="C43" s="162" t="s">
        <v>1961</v>
      </c>
      <c r="D43" s="1640"/>
      <c r="E43" s="48">
        <f t="shared" ref="E43:E44" si="12">T43</f>
        <v>400000</v>
      </c>
      <c r="F43" s="164">
        <v>400000</v>
      </c>
      <c r="G43" s="165">
        <f t="shared" ref="G43:G44" si="13">+E43-F43</f>
        <v>0</v>
      </c>
      <c r="H43" s="47"/>
      <c r="I43" s="1840" t="s">
        <v>1962</v>
      </c>
      <c r="J43" s="166"/>
      <c r="K43" s="1841"/>
      <c r="L43" s="1841"/>
      <c r="M43" s="1841"/>
      <c r="N43" s="40"/>
      <c r="O43" s="40"/>
      <c r="P43" s="40"/>
      <c r="Q43" s="40"/>
      <c r="R43" s="40"/>
      <c r="S43" s="169" t="s">
        <v>1941</v>
      </c>
      <c r="T43" s="163">
        <v>400000</v>
      </c>
      <c r="U43" s="53"/>
      <c r="V43" s="3714">
        <f t="shared" si="0"/>
        <v>400000</v>
      </c>
      <c r="W43" s="3714">
        <v>400000</v>
      </c>
      <c r="X43" s="3714"/>
      <c r="Y43" s="3714"/>
      <c r="Z43" s="3714"/>
    </row>
    <row r="44" spans="1:26" ht="23.1" customHeight="1">
      <c r="A44" s="46"/>
      <c r="B44" s="36"/>
      <c r="C44" s="162" t="s">
        <v>3916</v>
      </c>
      <c r="D44" s="1640"/>
      <c r="E44" s="48">
        <f t="shared" si="12"/>
        <v>50000</v>
      </c>
      <c r="F44" s="164">
        <v>50000</v>
      </c>
      <c r="G44" s="165">
        <f t="shared" si="13"/>
        <v>0</v>
      </c>
      <c r="H44" s="47"/>
      <c r="I44" s="2012" t="s">
        <v>3952</v>
      </c>
      <c r="J44" s="166"/>
      <c r="K44" s="1841"/>
      <c r="L44" s="1841"/>
      <c r="M44" s="1841"/>
      <c r="N44" s="40"/>
      <c r="O44" s="40"/>
      <c r="P44" s="40"/>
      <c r="Q44" s="40"/>
      <c r="R44" s="40"/>
      <c r="S44" s="169" t="s">
        <v>1941</v>
      </c>
      <c r="T44" s="163">
        <v>50000</v>
      </c>
      <c r="U44" s="53"/>
      <c r="V44" s="3714">
        <f t="shared" si="0"/>
        <v>50000</v>
      </c>
      <c r="W44" s="3714">
        <v>50000</v>
      </c>
      <c r="X44" s="3714"/>
      <c r="Y44" s="3714"/>
      <c r="Z44" s="3714"/>
    </row>
    <row r="45" spans="1:26" ht="23.1" customHeight="1">
      <c r="A45" s="46"/>
      <c r="B45" s="36"/>
      <c r="C45" s="162" t="s">
        <v>1963</v>
      </c>
      <c r="D45" s="1640"/>
      <c r="E45" s="48">
        <f t="shared" ref="E45:E46" si="14">T45</f>
        <v>59000</v>
      </c>
      <c r="F45" s="164">
        <v>59000</v>
      </c>
      <c r="G45" s="165">
        <f t="shared" ref="G45:G46" si="15">+E45-F45</f>
        <v>0</v>
      </c>
      <c r="H45" s="47"/>
      <c r="I45" s="2012" t="s">
        <v>1964</v>
      </c>
      <c r="J45" s="166"/>
      <c r="K45" s="1864"/>
      <c r="L45" s="1864"/>
      <c r="M45" s="1864"/>
      <c r="N45" s="40"/>
      <c r="O45" s="40"/>
      <c r="P45" s="40"/>
      <c r="Q45" s="40"/>
      <c r="R45" s="40"/>
      <c r="S45" s="169" t="s">
        <v>1941</v>
      </c>
      <c r="T45" s="163">
        <v>59000</v>
      </c>
      <c r="U45" s="53"/>
      <c r="V45" s="3714">
        <f t="shared" si="0"/>
        <v>59000</v>
      </c>
      <c r="W45" s="3714"/>
      <c r="X45" s="3714">
        <v>59000</v>
      </c>
      <c r="Y45" s="3714"/>
      <c r="Z45" s="3714"/>
    </row>
    <row r="46" spans="1:26" ht="23.1" customHeight="1">
      <c r="A46" s="46"/>
      <c r="B46" s="36"/>
      <c r="C46" s="162" t="s">
        <v>1965</v>
      </c>
      <c r="D46" s="1640"/>
      <c r="E46" s="48">
        <f t="shared" si="14"/>
        <v>15000</v>
      </c>
      <c r="F46" s="164">
        <v>15000</v>
      </c>
      <c r="G46" s="165">
        <f t="shared" si="15"/>
        <v>0</v>
      </c>
      <c r="H46" s="47"/>
      <c r="I46" s="2012" t="s">
        <v>1966</v>
      </c>
      <c r="J46" s="166"/>
      <c r="K46" s="1864"/>
      <c r="L46" s="1864"/>
      <c r="M46" s="1864"/>
      <c r="N46" s="40"/>
      <c r="O46" s="40"/>
      <c r="P46" s="40"/>
      <c r="Q46" s="40"/>
      <c r="R46" s="40"/>
      <c r="S46" s="169" t="s">
        <v>1941</v>
      </c>
      <c r="T46" s="163">
        <v>15000</v>
      </c>
      <c r="U46" s="53"/>
      <c r="V46" s="3714">
        <f t="shared" si="0"/>
        <v>15000</v>
      </c>
      <c r="W46" s="3714"/>
      <c r="X46" s="3714">
        <v>15000</v>
      </c>
      <c r="Y46" s="3714"/>
      <c r="Z46" s="3714"/>
    </row>
    <row r="47" spans="1:26" ht="23.1" customHeight="1" thickBot="1">
      <c r="A47" s="46"/>
      <c r="B47" s="36"/>
      <c r="C47" s="2974" t="s">
        <v>3917</v>
      </c>
      <c r="D47" s="2975"/>
      <c r="E47" s="112">
        <f t="shared" ref="E47" si="16">T47</f>
        <v>3000</v>
      </c>
      <c r="F47" s="170">
        <v>3000</v>
      </c>
      <c r="G47" s="171">
        <f t="shared" ref="G47" si="17">+E47-F47</f>
        <v>0</v>
      </c>
      <c r="H47" s="47"/>
      <c r="I47" s="2012" t="s">
        <v>3918</v>
      </c>
      <c r="J47" s="166"/>
      <c r="K47" s="1864"/>
      <c r="L47" s="1864"/>
      <c r="M47" s="1864"/>
      <c r="N47" s="40"/>
      <c r="O47" s="40"/>
      <c r="P47" s="40"/>
      <c r="Q47" s="40"/>
      <c r="R47" s="40"/>
      <c r="S47" s="169" t="s">
        <v>1941</v>
      </c>
      <c r="T47" s="163">
        <v>3000</v>
      </c>
      <c r="U47" s="53"/>
      <c r="V47" s="3714">
        <f t="shared" si="0"/>
        <v>3000</v>
      </c>
      <c r="W47" s="3714"/>
      <c r="X47" s="3714"/>
      <c r="Y47" s="3714">
        <v>3000</v>
      </c>
      <c r="Z47" s="3714"/>
    </row>
    <row r="48" spans="1:26" s="104" customFormat="1" ht="23.1" customHeight="1" thickBot="1">
      <c r="A48" s="1638"/>
      <c r="B48" s="1851" t="s">
        <v>1967</v>
      </c>
      <c r="C48" s="1852"/>
      <c r="D48" s="1853"/>
      <c r="E48" s="451">
        <f>SUM(E49:E57)</f>
        <v>331947.92499999999</v>
      </c>
      <c r="F48" s="451">
        <f>SUM(F49:F57)</f>
        <v>226140</v>
      </c>
      <c r="G48" s="803">
        <f>+E48-F48</f>
        <v>105807.92499999999</v>
      </c>
      <c r="H48" s="802"/>
      <c r="I48" s="41"/>
      <c r="J48" s="42"/>
      <c r="K48" s="42"/>
      <c r="L48" s="43"/>
      <c r="M48" s="43"/>
      <c r="N48" s="43"/>
      <c r="O48" s="43"/>
      <c r="P48" s="43"/>
      <c r="Q48" s="43"/>
      <c r="R48" s="43"/>
      <c r="S48" s="43"/>
      <c r="T48" s="44"/>
      <c r="U48" s="800"/>
      <c r="V48" s="799">
        <f t="shared" ref="V48:Y48" si="18">SUM(V49:V57)</f>
        <v>331947.92499999999</v>
      </c>
      <c r="W48" s="799">
        <f t="shared" si="18"/>
        <v>0</v>
      </c>
      <c r="X48" s="799">
        <f t="shared" si="18"/>
        <v>0</v>
      </c>
      <c r="Y48" s="799">
        <f t="shared" si="18"/>
        <v>0</v>
      </c>
      <c r="Z48" s="799">
        <f>SUM(Z49:Z57)</f>
        <v>331947.92499999999</v>
      </c>
    </row>
    <row r="49" spans="1:26" ht="23.1" customHeight="1">
      <c r="A49" s="46"/>
      <c r="B49" s="1854"/>
      <c r="C49" s="1855" t="s">
        <v>1968</v>
      </c>
      <c r="D49" s="1855"/>
      <c r="E49" s="1848">
        <f>T49</f>
        <v>80940</v>
      </c>
      <c r="F49" s="1849">
        <v>80940</v>
      </c>
      <c r="G49" s="1850">
        <f>+E49-F49</f>
        <v>0</v>
      </c>
      <c r="H49" s="47"/>
      <c r="I49" s="1858" t="s">
        <v>1983</v>
      </c>
      <c r="J49" s="166"/>
      <c r="K49" s="1841"/>
      <c r="L49" s="1841"/>
      <c r="M49" s="1841"/>
      <c r="N49" s="40"/>
      <c r="O49" s="40"/>
      <c r="P49" s="40"/>
      <c r="Q49" s="40"/>
      <c r="R49" s="40"/>
      <c r="S49" s="169" t="s">
        <v>5</v>
      </c>
      <c r="T49" s="163">
        <v>80940</v>
      </c>
      <c r="U49" s="53"/>
      <c r="V49" s="3714">
        <f t="shared" si="0"/>
        <v>80940</v>
      </c>
      <c r="W49" s="3714"/>
      <c r="X49" s="3714"/>
      <c r="Y49" s="3714"/>
      <c r="Z49" s="3714">
        <v>80940</v>
      </c>
    </row>
    <row r="50" spans="1:26" ht="23.1" customHeight="1">
      <c r="A50" s="46"/>
      <c r="B50" s="1854"/>
      <c r="C50" s="1856" t="s">
        <v>1969</v>
      </c>
      <c r="D50" s="1857"/>
      <c r="E50" s="48">
        <f t="shared" ref="E50:E57" si="19">T50</f>
        <v>25200</v>
      </c>
      <c r="F50" s="164">
        <v>25200</v>
      </c>
      <c r="G50" s="165">
        <f t="shared" ref="G50:G54" si="20">+E50-F50</f>
        <v>0</v>
      </c>
      <c r="H50" s="47"/>
      <c r="I50" s="1858" t="s">
        <v>1971</v>
      </c>
      <c r="J50" s="166"/>
      <c r="K50" s="1841"/>
      <c r="L50" s="1841"/>
      <c r="M50" s="1841"/>
      <c r="N50" s="40"/>
      <c r="O50" s="40"/>
      <c r="P50" s="40"/>
      <c r="Q50" s="40"/>
      <c r="R50" s="40"/>
      <c r="S50" s="169" t="s">
        <v>1941</v>
      </c>
      <c r="T50" s="163">
        <v>25200</v>
      </c>
      <c r="U50" s="53"/>
      <c r="V50" s="3714">
        <f t="shared" si="0"/>
        <v>25200</v>
      </c>
      <c r="W50" s="3714"/>
      <c r="X50" s="3714"/>
      <c r="Y50" s="3714"/>
      <c r="Z50" s="3715">
        <v>25200</v>
      </c>
    </row>
    <row r="51" spans="1:26" ht="23.1" customHeight="1">
      <c r="A51" s="46"/>
      <c r="B51" s="1854"/>
      <c r="C51" s="1856" t="s">
        <v>3919</v>
      </c>
      <c r="D51" s="1857"/>
      <c r="E51" s="48">
        <f t="shared" si="19"/>
        <v>60000</v>
      </c>
      <c r="F51" s="164">
        <v>60000</v>
      </c>
      <c r="G51" s="165">
        <f t="shared" si="20"/>
        <v>0</v>
      </c>
      <c r="H51" s="47"/>
      <c r="I51" s="1858" t="s">
        <v>3920</v>
      </c>
      <c r="J51" s="166"/>
      <c r="K51" s="1864"/>
      <c r="L51" s="1864"/>
      <c r="M51" s="1864"/>
      <c r="N51" s="40"/>
      <c r="O51" s="40"/>
      <c r="P51" s="40"/>
      <c r="Q51" s="40"/>
      <c r="R51" s="40"/>
      <c r="S51" s="169" t="s">
        <v>370</v>
      </c>
      <c r="T51" s="163">
        <v>60000</v>
      </c>
      <c r="U51" s="53"/>
      <c r="V51" s="3714">
        <f t="shared" si="0"/>
        <v>60000</v>
      </c>
      <c r="W51" s="3714"/>
      <c r="X51" s="3714"/>
      <c r="Y51" s="3714"/>
      <c r="Z51" s="3715">
        <v>60000</v>
      </c>
    </row>
    <row r="52" spans="1:26" ht="23.1" customHeight="1">
      <c r="A52" s="46"/>
      <c r="B52" s="1854"/>
      <c r="C52" s="1856" t="s">
        <v>5591</v>
      </c>
      <c r="D52" s="1857"/>
      <c r="E52" s="48">
        <f t="shared" si="19"/>
        <v>30000</v>
      </c>
      <c r="F52" s="164">
        <v>30000</v>
      </c>
      <c r="G52" s="165">
        <f t="shared" si="20"/>
        <v>0</v>
      </c>
      <c r="H52" s="47"/>
      <c r="I52" s="1858" t="s">
        <v>5592</v>
      </c>
      <c r="J52" s="166"/>
      <c r="K52" s="1864"/>
      <c r="L52" s="1864"/>
      <c r="M52" s="1864"/>
      <c r="N52" s="40"/>
      <c r="O52" s="40"/>
      <c r="P52" s="40"/>
      <c r="Q52" s="40"/>
      <c r="R52" s="40"/>
      <c r="S52" s="169" t="s">
        <v>38</v>
      </c>
      <c r="T52" s="163">
        <v>30000</v>
      </c>
      <c r="U52" s="53"/>
      <c r="V52" s="3714">
        <f t="shared" si="0"/>
        <v>30000</v>
      </c>
      <c r="W52" s="3714"/>
      <c r="X52" s="3714"/>
      <c r="Y52" s="3714"/>
      <c r="Z52" s="3715">
        <v>30000</v>
      </c>
    </row>
    <row r="53" spans="1:26" ht="23.1" customHeight="1">
      <c r="A53" s="46"/>
      <c r="B53" s="1854"/>
      <c r="C53" s="1856" t="s">
        <v>1970</v>
      </c>
      <c r="D53" s="1857"/>
      <c r="E53" s="48">
        <f t="shared" ref="E53" si="21">T53</f>
        <v>15000</v>
      </c>
      <c r="F53" s="164">
        <v>15000</v>
      </c>
      <c r="G53" s="165">
        <f t="shared" ref="G53" si="22">+E53-F53</f>
        <v>0</v>
      </c>
      <c r="H53" s="47"/>
      <c r="I53" s="1858" t="s">
        <v>1982</v>
      </c>
      <c r="J53" s="166"/>
      <c r="K53" s="1846"/>
      <c r="L53" s="1846"/>
      <c r="M53" s="1846"/>
      <c r="N53" s="40"/>
      <c r="O53" s="40"/>
      <c r="P53" s="40"/>
      <c r="Q53" s="40"/>
      <c r="R53" s="40"/>
      <c r="S53" s="169" t="s">
        <v>370</v>
      </c>
      <c r="T53" s="163">
        <v>15000</v>
      </c>
      <c r="U53" s="53"/>
      <c r="V53" s="3714">
        <f t="shared" si="0"/>
        <v>15000</v>
      </c>
      <c r="W53" s="3714"/>
      <c r="X53" s="3714"/>
      <c r="Y53" s="3714"/>
      <c r="Z53" s="3715">
        <v>15000</v>
      </c>
    </row>
    <row r="54" spans="1:26" ht="23.1" customHeight="1">
      <c r="A54" s="46"/>
      <c r="B54" s="1854"/>
      <c r="C54" s="1856" t="s">
        <v>1980</v>
      </c>
      <c r="D54" s="1857"/>
      <c r="E54" s="48">
        <f t="shared" si="19"/>
        <v>15000</v>
      </c>
      <c r="F54" s="164">
        <v>15000</v>
      </c>
      <c r="G54" s="165">
        <f t="shared" si="20"/>
        <v>0</v>
      </c>
      <c r="H54" s="47"/>
      <c r="I54" s="1858" t="s">
        <v>1981</v>
      </c>
      <c r="J54" s="166"/>
      <c r="K54" s="1841"/>
      <c r="L54" s="1841"/>
      <c r="M54" s="1841"/>
      <c r="N54" s="40"/>
      <c r="O54" s="40"/>
      <c r="P54" s="40"/>
      <c r="Q54" s="40"/>
      <c r="R54" s="40"/>
      <c r="S54" s="169" t="s">
        <v>1941</v>
      </c>
      <c r="T54" s="163">
        <v>15000</v>
      </c>
      <c r="U54" s="53"/>
      <c r="V54" s="3714">
        <f t="shared" si="0"/>
        <v>15000</v>
      </c>
      <c r="W54" s="3714"/>
      <c r="X54" s="3714"/>
      <c r="Y54" s="3714"/>
      <c r="Z54" s="3715">
        <v>15000</v>
      </c>
    </row>
    <row r="55" spans="1:26" ht="23.1" customHeight="1">
      <c r="A55" s="46"/>
      <c r="B55" s="1854"/>
      <c r="C55" s="1856" t="s">
        <v>5932</v>
      </c>
      <c r="D55" s="1857"/>
      <c r="E55" s="48">
        <f t="shared" si="19"/>
        <v>65000</v>
      </c>
      <c r="F55" s="164">
        <v>0</v>
      </c>
      <c r="G55" s="165">
        <f>E55-F55</f>
        <v>65000</v>
      </c>
      <c r="H55" s="47"/>
      <c r="I55" s="2012" t="s">
        <v>5935</v>
      </c>
      <c r="J55" s="166"/>
      <c r="K55" s="1864"/>
      <c r="L55" s="1864"/>
      <c r="M55" s="1864"/>
      <c r="N55" s="1839"/>
      <c r="O55" s="1839"/>
      <c r="P55" s="1839"/>
      <c r="Q55" s="1839"/>
      <c r="R55" s="1839"/>
      <c r="S55" s="169" t="s">
        <v>5</v>
      </c>
      <c r="T55" s="163">
        <v>65000</v>
      </c>
      <c r="U55" s="53"/>
      <c r="V55" s="3714">
        <f t="shared" si="0"/>
        <v>65000</v>
      </c>
      <c r="W55" s="3714"/>
      <c r="X55" s="3714"/>
      <c r="Y55" s="3714"/>
      <c r="Z55" s="3715">
        <v>65000</v>
      </c>
    </row>
    <row r="56" spans="1:26" ht="23.1" customHeight="1">
      <c r="A56" s="46"/>
      <c r="B56" s="1854"/>
      <c r="C56" s="3663" t="s">
        <v>5933</v>
      </c>
      <c r="D56" s="3664"/>
      <c r="E56" s="48">
        <f t="shared" si="19"/>
        <v>10807.924999999999</v>
      </c>
      <c r="F56" s="164">
        <v>0</v>
      </c>
      <c r="G56" s="165">
        <f>E56-F56</f>
        <v>10807.924999999999</v>
      </c>
      <c r="H56" s="47"/>
      <c r="I56" s="2012" t="s">
        <v>5936</v>
      </c>
      <c r="J56" s="166"/>
      <c r="K56" s="1864"/>
      <c r="L56" s="1864"/>
      <c r="M56" s="1864"/>
      <c r="N56" s="40"/>
      <c r="O56" s="40"/>
      <c r="P56" s="40"/>
      <c r="Q56" s="40"/>
      <c r="R56" s="40"/>
      <c r="S56" s="169" t="s">
        <v>5</v>
      </c>
      <c r="T56" s="163">
        <v>10807.924999999999</v>
      </c>
      <c r="U56" s="53"/>
      <c r="V56" s="3714">
        <f t="shared" si="0"/>
        <v>10807.924999999999</v>
      </c>
      <c r="W56" s="3714"/>
      <c r="X56" s="3714"/>
      <c r="Y56" s="3714"/>
      <c r="Z56" s="3715">
        <v>10807.924999999999</v>
      </c>
    </row>
    <row r="57" spans="1:26" ht="23.1" customHeight="1" thickBot="1">
      <c r="A57" s="46"/>
      <c r="B57" s="3662"/>
      <c r="C57" s="3665" t="s">
        <v>5934</v>
      </c>
      <c r="D57" s="3666"/>
      <c r="E57" s="48">
        <f t="shared" si="19"/>
        <v>30000</v>
      </c>
      <c r="F57" s="170">
        <v>0</v>
      </c>
      <c r="G57" s="171">
        <f>E57-F57</f>
        <v>30000</v>
      </c>
      <c r="H57" s="47"/>
      <c r="I57" s="1858" t="s">
        <v>5928</v>
      </c>
      <c r="J57" s="166"/>
      <c r="K57" s="1864"/>
      <c r="L57" s="1864"/>
      <c r="M57" s="1864"/>
      <c r="N57" s="40"/>
      <c r="O57" s="40"/>
      <c r="P57" s="40"/>
      <c r="Q57" s="40"/>
      <c r="R57" s="40"/>
      <c r="S57" s="169" t="s">
        <v>5</v>
      </c>
      <c r="T57" s="163">
        <v>30000</v>
      </c>
      <c r="U57" s="53"/>
      <c r="V57" s="3714">
        <f t="shared" si="0"/>
        <v>30000</v>
      </c>
      <c r="W57" s="3714"/>
      <c r="X57" s="3714"/>
      <c r="Y57" s="3714"/>
      <c r="Z57" s="3715">
        <v>30000</v>
      </c>
    </row>
    <row r="58" spans="1:26" s="104" customFormat="1" ht="23.1" customHeight="1" thickBot="1">
      <c r="A58" s="1647"/>
      <c r="B58" s="45" t="s">
        <v>1408</v>
      </c>
      <c r="C58" s="876"/>
      <c r="D58" s="877"/>
      <c r="E58" s="451">
        <f>SUM(E59:E64)</f>
        <v>5074000</v>
      </c>
      <c r="F58" s="451">
        <f>SUM(F59:F64)</f>
        <v>5074000</v>
      </c>
      <c r="G58" s="803">
        <f>+E58-F58</f>
        <v>0</v>
      </c>
      <c r="H58" s="802"/>
      <c r="I58" s="41"/>
      <c r="J58" s="42"/>
      <c r="K58" s="42"/>
      <c r="L58" s="43"/>
      <c r="M58" s="43"/>
      <c r="N58" s="43"/>
      <c r="O58" s="43"/>
      <c r="P58" s="43"/>
      <c r="Q58" s="43"/>
      <c r="R58" s="43"/>
      <c r="S58" s="43"/>
      <c r="T58" s="44"/>
      <c r="U58" s="800"/>
      <c r="V58" s="799">
        <f>SUM(V59:V64)</f>
        <v>5074000</v>
      </c>
      <c r="W58" s="799">
        <f t="shared" ref="W58:Z58" si="23">SUM(W59:W64)</f>
        <v>1957000</v>
      </c>
      <c r="X58" s="799">
        <f t="shared" si="23"/>
        <v>2892000</v>
      </c>
      <c r="Y58" s="799">
        <f t="shared" si="23"/>
        <v>225000</v>
      </c>
      <c r="Z58" s="799">
        <f t="shared" si="23"/>
        <v>0</v>
      </c>
    </row>
    <row r="59" spans="1:26" s="786" customFormat="1" ht="23.1" customHeight="1">
      <c r="A59" s="49"/>
      <c r="B59" s="1644" t="s">
        <v>1401</v>
      </c>
      <c r="C59" s="1644"/>
      <c r="D59" s="50"/>
      <c r="E59" s="48">
        <f>+T59</f>
        <v>910000</v>
      </c>
      <c r="F59" s="48">
        <v>910000</v>
      </c>
      <c r="G59" s="51">
        <f>E59-F59</f>
        <v>0</v>
      </c>
      <c r="H59" s="47"/>
      <c r="I59" s="1684" t="s">
        <v>1286</v>
      </c>
      <c r="J59" s="166"/>
      <c r="K59" s="1685"/>
      <c r="L59" s="1685"/>
      <c r="M59" s="1685"/>
      <c r="N59" s="1683"/>
      <c r="O59" s="1683"/>
      <c r="P59" s="1683"/>
      <c r="Q59" s="1683"/>
      <c r="R59" s="1683"/>
      <c r="S59" s="169" t="s">
        <v>370</v>
      </c>
      <c r="T59" s="163">
        <v>910000</v>
      </c>
      <c r="U59" s="785"/>
      <c r="V59" s="3714">
        <f t="shared" si="0"/>
        <v>910000</v>
      </c>
      <c r="W59" s="3714"/>
      <c r="X59" s="3714">
        <v>910000</v>
      </c>
      <c r="Y59" s="3714"/>
      <c r="Z59" s="3714"/>
    </row>
    <row r="60" spans="1:26" s="786" customFormat="1" ht="27.75" customHeight="1">
      <c r="A60" s="49"/>
      <c r="B60" s="1645" t="s">
        <v>1402</v>
      </c>
      <c r="C60" s="1645"/>
      <c r="D60" s="50"/>
      <c r="E60" s="48">
        <f t="shared" ref="E60:E64" si="24">+T60</f>
        <v>350000</v>
      </c>
      <c r="F60" s="48">
        <v>350000</v>
      </c>
      <c r="G60" s="51">
        <f>E60-F60</f>
        <v>0</v>
      </c>
      <c r="H60" s="47"/>
      <c r="I60" s="1684" t="s">
        <v>1287</v>
      </c>
      <c r="J60" s="166"/>
      <c r="K60" s="1685"/>
      <c r="L60" s="1685"/>
      <c r="M60" s="1685"/>
      <c r="N60" s="1683"/>
      <c r="O60" s="1683"/>
      <c r="P60" s="1683"/>
      <c r="Q60" s="1683"/>
      <c r="R60" s="1683"/>
      <c r="S60" s="169" t="s">
        <v>370</v>
      </c>
      <c r="T60" s="163">
        <v>350000</v>
      </c>
      <c r="U60" s="785"/>
      <c r="V60" s="3714">
        <f t="shared" si="0"/>
        <v>350000</v>
      </c>
      <c r="W60" s="3714"/>
      <c r="X60" s="3714">
        <v>350000</v>
      </c>
      <c r="Y60" s="3714"/>
      <c r="Z60" s="3714"/>
    </row>
    <row r="61" spans="1:26" s="786" customFormat="1" ht="27.75" customHeight="1">
      <c r="A61" s="49"/>
      <c r="B61" s="1645" t="s">
        <v>1403</v>
      </c>
      <c r="C61" s="1645"/>
      <c r="D61" s="50"/>
      <c r="E61" s="48">
        <f t="shared" si="24"/>
        <v>1814000</v>
      </c>
      <c r="F61" s="48">
        <v>1814000</v>
      </c>
      <c r="G61" s="51">
        <f t="shared" ref="G61:G62" si="25">E61-F61</f>
        <v>0</v>
      </c>
      <c r="H61" s="47"/>
      <c r="I61" s="1684" t="s">
        <v>1289</v>
      </c>
      <c r="J61" s="166"/>
      <c r="K61" s="1685"/>
      <c r="L61" s="1685"/>
      <c r="M61" s="1685"/>
      <c r="N61" s="1683"/>
      <c r="O61" s="1683"/>
      <c r="P61" s="1683"/>
      <c r="Q61" s="1683"/>
      <c r="R61" s="1683"/>
      <c r="S61" s="169" t="s">
        <v>370</v>
      </c>
      <c r="T61" s="163">
        <f>1475818+338182</f>
        <v>1814000</v>
      </c>
      <c r="U61" s="785"/>
      <c r="V61" s="3714">
        <f t="shared" si="0"/>
        <v>1814000</v>
      </c>
      <c r="W61" s="3714">
        <v>907000</v>
      </c>
      <c r="X61" s="3714">
        <v>907000</v>
      </c>
      <c r="Y61" s="3714"/>
      <c r="Z61" s="3714"/>
    </row>
    <row r="62" spans="1:26" s="786" customFormat="1" ht="27.75" customHeight="1">
      <c r="A62" s="49"/>
      <c r="B62" s="1645" t="s">
        <v>1359</v>
      </c>
      <c r="C62" s="1645"/>
      <c r="D62" s="50"/>
      <c r="E62" s="48">
        <f t="shared" si="24"/>
        <v>328571</v>
      </c>
      <c r="F62" s="48">
        <v>328571</v>
      </c>
      <c r="G62" s="51">
        <f t="shared" si="25"/>
        <v>0</v>
      </c>
      <c r="H62" s="47"/>
      <c r="I62" s="1684" t="s">
        <v>1290</v>
      </c>
      <c r="J62" s="166"/>
      <c r="K62" s="1685"/>
      <c r="L62" s="1685"/>
      <c r="M62" s="1685"/>
      <c r="N62" s="1683"/>
      <c r="O62" s="1683"/>
      <c r="P62" s="1683"/>
      <c r="Q62" s="1683"/>
      <c r="R62" s="1683"/>
      <c r="S62" s="169" t="s">
        <v>370</v>
      </c>
      <c r="T62" s="163">
        <v>328571</v>
      </c>
      <c r="U62" s="785"/>
      <c r="V62" s="3714">
        <f t="shared" si="0"/>
        <v>328571</v>
      </c>
      <c r="W62" s="3714"/>
      <c r="X62" s="3714">
        <v>328571</v>
      </c>
      <c r="Y62" s="3714"/>
      <c r="Z62" s="3714"/>
    </row>
    <row r="63" spans="1:26" s="1679" customFormat="1" ht="27.75" customHeight="1">
      <c r="A63" s="49"/>
      <c r="B63" s="1645" t="s">
        <v>1358</v>
      </c>
      <c r="C63" s="1645"/>
      <c r="D63" s="50"/>
      <c r="E63" s="48">
        <f t="shared" ref="E63" si="26">+T63</f>
        <v>171429</v>
      </c>
      <c r="F63" s="48">
        <v>171429</v>
      </c>
      <c r="G63" s="51">
        <f>E63-F63</f>
        <v>0</v>
      </c>
      <c r="H63" s="47"/>
      <c r="I63" s="2012" t="s">
        <v>1288</v>
      </c>
      <c r="J63" s="166"/>
      <c r="K63" s="1864"/>
      <c r="L63" s="1864"/>
      <c r="M63" s="1864"/>
      <c r="N63" s="1839"/>
      <c r="O63" s="1839"/>
      <c r="P63" s="1839"/>
      <c r="Q63" s="1839"/>
      <c r="R63" s="1839"/>
      <c r="S63" s="169" t="s">
        <v>370</v>
      </c>
      <c r="T63" s="163">
        <v>171429</v>
      </c>
      <c r="U63" s="1864"/>
      <c r="V63" s="3714">
        <f t="shared" si="0"/>
        <v>171429</v>
      </c>
      <c r="W63" s="3714"/>
      <c r="X63" s="3714">
        <v>171429</v>
      </c>
      <c r="Y63" s="3714"/>
      <c r="Z63" s="3714"/>
    </row>
    <row r="64" spans="1:26" s="786" customFormat="1" ht="27.75" customHeight="1" thickBot="1">
      <c r="A64" s="55"/>
      <c r="B64" s="1646" t="s">
        <v>3921</v>
      </c>
      <c r="C64" s="1646"/>
      <c r="D64" s="56"/>
      <c r="E64" s="112">
        <f t="shared" si="24"/>
        <v>1500000</v>
      </c>
      <c r="F64" s="112">
        <v>1500000</v>
      </c>
      <c r="G64" s="113">
        <f>E64-F64</f>
        <v>0</v>
      </c>
      <c r="H64" s="47"/>
      <c r="I64" s="172" t="s">
        <v>3922</v>
      </c>
      <c r="J64" s="173"/>
      <c r="K64" s="174"/>
      <c r="L64" s="174"/>
      <c r="M64" s="174"/>
      <c r="N64" s="1686"/>
      <c r="O64" s="1686"/>
      <c r="P64" s="1686"/>
      <c r="Q64" s="1686"/>
      <c r="R64" s="1686"/>
      <c r="S64" s="175" t="s">
        <v>370</v>
      </c>
      <c r="T64" s="176">
        <v>1500000</v>
      </c>
      <c r="U64" s="785"/>
      <c r="V64" s="3714">
        <f t="shared" si="0"/>
        <v>1500000</v>
      </c>
      <c r="W64" s="3714">
        <v>1050000</v>
      </c>
      <c r="X64" s="3714">
        <v>225000</v>
      </c>
      <c r="Y64" s="3714">
        <v>225000</v>
      </c>
      <c r="Z64" s="3714">
        <v>0</v>
      </c>
    </row>
    <row r="65" spans="1:26" s="786" customFormat="1" ht="30" customHeight="1">
      <c r="A65" s="57"/>
      <c r="B65" s="57"/>
      <c r="C65" s="57"/>
      <c r="D65" s="57"/>
      <c r="E65" s="58"/>
      <c r="F65" s="58"/>
      <c r="G65" s="38"/>
      <c r="H65" s="59"/>
      <c r="I65" s="59"/>
      <c r="J65" s="52"/>
      <c r="K65" s="785"/>
      <c r="L65" s="53"/>
      <c r="M65" s="2"/>
      <c r="N65" s="2"/>
      <c r="O65" s="2"/>
      <c r="P65" s="2"/>
      <c r="Q65" s="2"/>
      <c r="R65" s="2"/>
      <c r="S65" s="2"/>
      <c r="T65" s="60"/>
      <c r="U65" s="60"/>
      <c r="V65" s="60"/>
      <c r="W65" s="801"/>
      <c r="X65" s="801"/>
      <c r="Y65" s="801"/>
      <c r="Z65" s="801"/>
    </row>
    <row r="67" spans="1:26">
      <c r="D67" s="179">
        <f>E48*1000000000</f>
        <v>331947925000000</v>
      </c>
    </row>
    <row r="70" spans="1:26">
      <c r="I70" s="2012"/>
    </row>
    <row r="106" hidden="1"/>
    <row r="107" hidden="1"/>
    <row r="108" hidden="1"/>
    <row r="109" hidden="1"/>
    <row r="110" hidden="1"/>
    <row r="111" hidden="1"/>
    <row r="112" hidden="1"/>
    <row r="113" hidden="1"/>
    <row r="655" spans="7:7">
      <c r="G655" s="158"/>
    </row>
    <row r="668" spans="7:7">
      <c r="G668" s="158"/>
    </row>
  </sheetData>
  <mergeCells count="7">
    <mergeCell ref="V2:Z2"/>
    <mergeCell ref="A1:T2"/>
    <mergeCell ref="A4:D4"/>
    <mergeCell ref="E4:E5"/>
    <mergeCell ref="F4:F5"/>
    <mergeCell ref="G4:G5"/>
    <mergeCell ref="I4:T5"/>
  </mergeCells>
  <phoneticPr fontId="15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3" firstPageNumber="3" fitToHeight="100" orientation="landscape" useFirstPageNumber="1" r:id="rId1"/>
  <headerFooter scaleWithDoc="0" alignWithMargins="0"/>
  <rowBreaks count="1" manualBreakCount="1">
    <brk id="47" max="1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AC673"/>
  <sheetViews>
    <sheetView view="pageBreakPreview" topLeftCell="B1" zoomScale="70" zoomScaleNormal="75" zoomScaleSheetLayoutView="70" workbookViewId="0">
      <pane ySplit="4" topLeftCell="A69" activePane="bottomLeft" state="frozen"/>
      <selection activeCell="F663" sqref="F663:G663"/>
      <selection pane="bottomLeft" activeCell="W101" sqref="W101"/>
    </sheetView>
  </sheetViews>
  <sheetFormatPr defaultRowHeight="18.75"/>
  <cols>
    <col min="1" max="1" width="17" style="831" hidden="1" customWidth="1"/>
    <col min="2" max="5" width="6.77734375" style="1916" customWidth="1"/>
    <col min="6" max="6" width="25.77734375" style="1916" customWidth="1"/>
    <col min="7" max="8" width="14" style="827" customWidth="1"/>
    <col min="9" max="9" width="14" style="199" customWidth="1"/>
    <col min="10" max="10" width="1.5546875" style="184" customWidth="1"/>
    <col min="11" max="11" width="2.88671875" style="185" customWidth="1"/>
    <col min="12" max="12" width="1.88671875" style="182" customWidth="1"/>
    <col min="13" max="13" width="8.77734375" style="182" customWidth="1"/>
    <col min="14" max="14" width="10.33203125" style="182" customWidth="1"/>
    <col min="15" max="15" width="7.5546875" style="182" customWidth="1"/>
    <col min="16" max="16" width="11.109375" style="186" customWidth="1"/>
    <col min="17" max="17" width="10.109375" style="186" customWidth="1"/>
    <col min="18" max="18" width="7.77734375" style="182" customWidth="1"/>
    <col min="19" max="19" width="6.77734375" style="182" customWidth="1"/>
    <col min="20" max="20" width="14.77734375" style="182" customWidth="1"/>
    <col min="21" max="22" width="6.88671875" style="182" customWidth="1"/>
    <col min="23" max="23" width="8.33203125" style="182" customWidth="1"/>
    <col min="24" max="24" width="6.77734375" style="182" customWidth="1"/>
    <col min="25" max="25" width="3" style="230" customWidth="1"/>
    <col min="26" max="26" width="14.77734375" style="819" customWidth="1"/>
    <col min="27" max="27" width="17.44140625" style="179" customWidth="1"/>
    <col min="28" max="28" width="14.77734375" style="179" customWidth="1"/>
    <col min="29" max="29" width="20.5546875" style="202" customWidth="1"/>
    <col min="30" max="31" width="16.109375" style="188" customWidth="1"/>
    <col min="32" max="16384" width="8.88671875" style="188"/>
  </cols>
  <sheetData>
    <row r="1" spans="1:29" ht="27" customHeight="1">
      <c r="B1" s="3884" t="s">
        <v>6092</v>
      </c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4"/>
      <c r="U1" s="3884"/>
      <c r="V1" s="3884"/>
      <c r="W1" s="3884"/>
      <c r="X1" s="3884"/>
      <c r="Y1" s="3884"/>
      <c r="Z1" s="3884"/>
      <c r="AA1" s="2196"/>
      <c r="AB1" s="189"/>
    </row>
    <row r="2" spans="1:29" s="128" customFormat="1" ht="24" customHeight="1" thickBot="1">
      <c r="A2" s="229"/>
      <c r="B2" s="1313"/>
      <c r="C2" s="1313"/>
      <c r="D2" s="1313"/>
      <c r="E2" s="1313" t="s">
        <v>378</v>
      </c>
      <c r="F2" s="820"/>
      <c r="G2" s="820"/>
      <c r="H2" s="820"/>
      <c r="I2" s="1881" t="s">
        <v>194</v>
      </c>
      <c r="J2" s="2082"/>
      <c r="K2" s="1313" t="s">
        <v>378</v>
      </c>
      <c r="L2" s="1283" t="s">
        <v>378</v>
      </c>
      <c r="M2" s="1313"/>
      <c r="N2" s="508"/>
      <c r="O2" s="308"/>
      <c r="P2" s="2198"/>
      <c r="Q2" s="2198"/>
      <c r="R2" s="2199"/>
      <c r="S2" s="2199"/>
      <c r="T2" s="2199"/>
      <c r="U2" s="2199"/>
      <c r="V2" s="2199"/>
      <c r="W2" s="2199"/>
      <c r="X2" s="2199"/>
      <c r="Y2" s="2200"/>
      <c r="Z2" s="1881" t="s">
        <v>172</v>
      </c>
      <c r="AA2" s="308"/>
      <c r="AB2" s="427"/>
      <c r="AC2" s="427"/>
    </row>
    <row r="3" spans="1:29" s="191" customFormat="1" ht="24" customHeight="1">
      <c r="A3" s="830" t="s">
        <v>1340</v>
      </c>
      <c r="B3" s="3885" t="s">
        <v>218</v>
      </c>
      <c r="C3" s="3886"/>
      <c r="D3" s="3886"/>
      <c r="E3" s="3886"/>
      <c r="F3" s="3887"/>
      <c r="G3" s="3809" t="s">
        <v>174</v>
      </c>
      <c r="H3" s="3811" t="s">
        <v>1077</v>
      </c>
      <c r="I3" s="3933" t="s">
        <v>219</v>
      </c>
      <c r="J3" s="2082"/>
      <c r="K3" s="3890" t="s">
        <v>220</v>
      </c>
      <c r="L3" s="3891"/>
      <c r="M3" s="3891"/>
      <c r="N3" s="3891"/>
      <c r="O3" s="3891"/>
      <c r="P3" s="3891"/>
      <c r="Q3" s="3891"/>
      <c r="R3" s="3891"/>
      <c r="S3" s="3891"/>
      <c r="T3" s="3891"/>
      <c r="U3" s="3891"/>
      <c r="V3" s="3891"/>
      <c r="W3" s="3891"/>
      <c r="X3" s="3891"/>
      <c r="Y3" s="3891"/>
      <c r="Z3" s="3892"/>
      <c r="AA3" s="2201"/>
      <c r="AB3" s="427"/>
      <c r="AC3" s="434"/>
    </row>
    <row r="4" spans="1:29" s="192" customFormat="1" ht="24" customHeight="1" thickBot="1">
      <c r="A4" s="832"/>
      <c r="B4" s="1900" t="s">
        <v>252</v>
      </c>
      <c r="C4" s="1901" t="s">
        <v>234</v>
      </c>
      <c r="D4" s="1880" t="s">
        <v>221</v>
      </c>
      <c r="E4" s="1880" t="s">
        <v>235</v>
      </c>
      <c r="F4" s="1880"/>
      <c r="G4" s="3810"/>
      <c r="H4" s="3812"/>
      <c r="I4" s="3934"/>
      <c r="J4" s="2082"/>
      <c r="K4" s="3893"/>
      <c r="L4" s="3894"/>
      <c r="M4" s="3894"/>
      <c r="N4" s="3894"/>
      <c r="O4" s="3894"/>
      <c r="P4" s="3894"/>
      <c r="Q4" s="3894"/>
      <c r="R4" s="3894"/>
      <c r="S4" s="3894"/>
      <c r="T4" s="3894"/>
      <c r="U4" s="3894"/>
      <c r="V4" s="3894"/>
      <c r="W4" s="3894"/>
      <c r="X4" s="3894"/>
      <c r="Y4" s="3894"/>
      <c r="Z4" s="3895"/>
      <c r="AA4" s="1882"/>
      <c r="AB4" s="427"/>
      <c r="AC4" s="434"/>
    </row>
    <row r="5" spans="1:29" s="192" customFormat="1" ht="24" customHeight="1" thickBot="1">
      <c r="A5" s="832"/>
      <c r="B5" s="574" t="s">
        <v>2048</v>
      </c>
      <c r="C5" s="542"/>
      <c r="D5" s="542"/>
      <c r="E5" s="542"/>
      <c r="F5" s="542"/>
      <c r="G5" s="848">
        <f>G6+G32+G45+G123+G138+G144+G162+G171+G177+G183</f>
        <v>35863220.924999997</v>
      </c>
      <c r="H5" s="848">
        <f>H6+H32+H45+H123+H138+H144+H162+H171+H177+H183</f>
        <v>35397413</v>
      </c>
      <c r="I5" s="2651">
        <f t="shared" ref="I5:I47" si="0">G5-H5</f>
        <v>465807.92499999702</v>
      </c>
      <c r="J5" s="2082"/>
      <c r="K5" s="2652"/>
      <c r="L5" s="2653"/>
      <c r="M5" s="2653"/>
      <c r="N5" s="2653"/>
      <c r="O5" s="2653"/>
      <c r="P5" s="2653"/>
      <c r="Q5" s="2653"/>
      <c r="R5" s="2653"/>
      <c r="S5" s="2653"/>
      <c r="T5" s="2653"/>
      <c r="U5" s="2653"/>
      <c r="V5" s="2653"/>
      <c r="W5" s="2653"/>
      <c r="X5" s="2653"/>
      <c r="Y5" s="2653"/>
      <c r="Z5" s="2654"/>
      <c r="AA5" s="1882"/>
      <c r="AB5" s="427"/>
      <c r="AC5" s="434"/>
    </row>
    <row r="6" spans="1:29" s="192" customFormat="1" ht="24" customHeight="1" thickBot="1">
      <c r="A6" s="832"/>
      <c r="B6" s="574" t="s">
        <v>1988</v>
      </c>
      <c r="C6" s="1902"/>
      <c r="D6" s="1902"/>
      <c r="E6" s="1902"/>
      <c r="F6" s="1902"/>
      <c r="G6" s="821">
        <f t="shared" ref="G6:H8" si="1">+G7</f>
        <v>200000</v>
      </c>
      <c r="H6" s="821">
        <f t="shared" si="1"/>
        <v>200000</v>
      </c>
      <c r="I6" s="2655">
        <f t="shared" ref="I6:I8" si="2">G6-H6</f>
        <v>0</v>
      </c>
      <c r="J6" s="2082"/>
      <c r="K6" s="2204"/>
      <c r="L6" s="2205"/>
      <c r="M6" s="2205"/>
      <c r="N6" s="2205"/>
      <c r="O6" s="2205"/>
      <c r="P6" s="2205"/>
      <c r="Q6" s="2205"/>
      <c r="R6" s="2205"/>
      <c r="S6" s="2205"/>
      <c r="T6" s="2205"/>
      <c r="U6" s="2205"/>
      <c r="V6" s="2205"/>
      <c r="W6" s="2205"/>
      <c r="X6" s="2205"/>
      <c r="Y6" s="2205"/>
      <c r="Z6" s="2656"/>
      <c r="AA6" s="2207"/>
      <c r="AB6" s="427"/>
      <c r="AC6" s="423">
        <f>G6*1000000</f>
        <v>200000000000</v>
      </c>
    </row>
    <row r="7" spans="1:29" s="806" customFormat="1" ht="24" customHeight="1" thickBot="1">
      <c r="A7" s="833"/>
      <c r="B7" s="1903" t="s">
        <v>378</v>
      </c>
      <c r="C7" s="569" t="s">
        <v>1038</v>
      </c>
      <c r="D7" s="570"/>
      <c r="E7" s="570"/>
      <c r="F7" s="571"/>
      <c r="G7" s="822">
        <f>+G8+G17</f>
        <v>200000</v>
      </c>
      <c r="H7" s="822">
        <f>+H8+H17</f>
        <v>200000</v>
      </c>
      <c r="I7" s="573">
        <f t="shared" si="2"/>
        <v>0</v>
      </c>
      <c r="J7" s="840"/>
      <c r="K7" s="574"/>
      <c r="L7" s="575"/>
      <c r="M7" s="2657"/>
      <c r="N7" s="2657"/>
      <c r="O7" s="2657"/>
      <c r="P7" s="575"/>
      <c r="Q7" s="575"/>
      <c r="R7" s="575"/>
      <c r="S7" s="575"/>
      <c r="T7" s="575"/>
      <c r="U7" s="575"/>
      <c r="V7" s="575"/>
      <c r="W7" s="575"/>
      <c r="X7" s="575"/>
      <c r="Y7" s="576"/>
      <c r="Z7" s="2658"/>
      <c r="AA7" s="2659"/>
      <c r="AB7" s="805"/>
      <c r="AC7" s="423">
        <f t="shared" ref="AC7:AC9" si="3">G7*1000000</f>
        <v>200000000000</v>
      </c>
    </row>
    <row r="8" spans="1:29" s="1847" customFormat="1" ht="24" customHeight="1">
      <c r="A8" s="456" t="s">
        <v>1279</v>
      </c>
      <c r="B8" s="540"/>
      <c r="C8" s="541"/>
      <c r="D8" s="3926" t="s">
        <v>429</v>
      </c>
      <c r="E8" s="3927"/>
      <c r="F8" s="3928"/>
      <c r="G8" s="823">
        <f t="shared" si="1"/>
        <v>100000</v>
      </c>
      <c r="H8" s="823">
        <f t="shared" si="1"/>
        <v>100000</v>
      </c>
      <c r="I8" s="1332">
        <f t="shared" si="2"/>
        <v>0</v>
      </c>
      <c r="J8" s="2082"/>
      <c r="K8" s="580"/>
      <c r="L8" s="2072"/>
      <c r="M8" s="2072"/>
      <c r="N8" s="2072"/>
      <c r="O8" s="2072"/>
      <c r="P8" s="2072"/>
      <c r="Q8" s="2072"/>
      <c r="R8" s="2072"/>
      <c r="S8" s="2072"/>
      <c r="T8" s="2072"/>
      <c r="U8" s="2072"/>
      <c r="V8" s="2072"/>
      <c r="W8" s="2072"/>
      <c r="X8" s="2072"/>
      <c r="Y8" s="581"/>
      <c r="Z8" s="582"/>
      <c r="AA8" s="595"/>
      <c r="AB8" s="423"/>
      <c r="AC8" s="423">
        <f t="shared" si="3"/>
        <v>100000000000</v>
      </c>
    </row>
    <row r="9" spans="1:29" s="1876" customFormat="1" ht="24" customHeight="1">
      <c r="A9" s="542"/>
      <c r="B9" s="540"/>
      <c r="C9" s="541"/>
      <c r="D9" s="542"/>
      <c r="E9" s="3906" t="s">
        <v>1989</v>
      </c>
      <c r="F9" s="3907"/>
      <c r="G9" s="598">
        <f>SUM(G10:G16)</f>
        <v>100000</v>
      </c>
      <c r="H9" s="598">
        <f>SUM(H10:H16)</f>
        <v>100000</v>
      </c>
      <c r="I9" s="627"/>
      <c r="J9" s="1881">
        <f>H9-I9</f>
        <v>100000</v>
      </c>
      <c r="K9" s="538"/>
      <c r="L9" s="2068"/>
      <c r="M9" s="2068"/>
      <c r="N9" s="2068"/>
      <c r="O9" s="2068"/>
      <c r="P9" s="2068"/>
      <c r="Q9" s="2068"/>
      <c r="R9" s="2068"/>
      <c r="S9" s="539"/>
      <c r="T9" s="2068"/>
      <c r="U9" s="2068"/>
      <c r="V9" s="2068"/>
      <c r="W9" s="2068"/>
      <c r="X9" s="2068"/>
      <c r="Y9" s="585"/>
      <c r="Z9" s="599"/>
      <c r="AA9" s="595"/>
      <c r="AB9" s="547"/>
      <c r="AC9" s="547">
        <f t="shared" si="3"/>
        <v>100000000000</v>
      </c>
    </row>
    <row r="10" spans="1:29" s="1876" customFormat="1" ht="24" hidden="1" customHeight="1">
      <c r="A10" s="542"/>
      <c r="B10" s="1879"/>
      <c r="C10" s="541"/>
      <c r="D10" s="541"/>
      <c r="E10" s="625"/>
      <c r="F10" s="602" t="s">
        <v>2122</v>
      </c>
      <c r="G10" s="549">
        <f>Z10</f>
        <v>100000</v>
      </c>
      <c r="H10" s="549">
        <v>100000</v>
      </c>
      <c r="I10" s="1320"/>
      <c r="J10" s="1881"/>
      <c r="K10" s="2105" t="s">
        <v>2123</v>
      </c>
      <c r="L10" s="2106"/>
      <c r="M10" s="2082"/>
      <c r="N10" s="2082"/>
      <c r="O10" s="475"/>
      <c r="P10" s="2082"/>
      <c r="Q10" s="2082"/>
      <c r="R10" s="2082"/>
      <c r="S10" s="2082"/>
      <c r="T10" s="474"/>
      <c r="U10" s="2106"/>
      <c r="V10" s="2106"/>
      <c r="W10" s="2106"/>
      <c r="X10" s="2106"/>
      <c r="Y10" s="2030"/>
      <c r="Z10" s="554">
        <f>(AA10)/1000</f>
        <v>100000</v>
      </c>
      <c r="AA10" s="555">
        <f>SUM(AA11:AA16)</f>
        <v>100000000</v>
      </c>
      <c r="AB10" s="547"/>
      <c r="AC10" s="547"/>
    </row>
    <row r="11" spans="1:29" s="1876" customFormat="1" ht="24" hidden="1" customHeight="1">
      <c r="A11" s="542"/>
      <c r="B11" s="1879"/>
      <c r="C11" s="541"/>
      <c r="D11" s="541"/>
      <c r="E11" s="625"/>
      <c r="F11" s="2023"/>
      <c r="G11" s="549"/>
      <c r="H11" s="549"/>
      <c r="I11" s="551"/>
      <c r="J11" s="1881"/>
      <c r="K11" s="2105" t="s">
        <v>2124</v>
      </c>
      <c r="L11" s="2106"/>
      <c r="M11" s="2082"/>
      <c r="N11" s="2082"/>
      <c r="O11" s="475"/>
      <c r="P11" s="2082"/>
      <c r="Q11" s="2082"/>
      <c r="R11" s="2082"/>
      <c r="S11" s="2082"/>
      <c r="T11" s="474">
        <v>14000000</v>
      </c>
      <c r="U11" s="2106" t="s">
        <v>2125</v>
      </c>
      <c r="V11" s="2106"/>
      <c r="W11" s="2106">
        <v>1</v>
      </c>
      <c r="X11" s="2106" t="s">
        <v>2126</v>
      </c>
      <c r="Y11" s="2030" t="s">
        <v>2127</v>
      </c>
      <c r="Z11" s="554">
        <f>AA11/1000</f>
        <v>14000</v>
      </c>
      <c r="AA11" s="555">
        <f>T11*W11</f>
        <v>14000000</v>
      </c>
      <c r="AB11" s="547"/>
      <c r="AC11" s="547"/>
    </row>
    <row r="12" spans="1:29" s="1876" customFormat="1" ht="24" hidden="1" customHeight="1">
      <c r="A12" s="542"/>
      <c r="B12" s="1879"/>
      <c r="C12" s="541"/>
      <c r="D12" s="541"/>
      <c r="E12" s="625"/>
      <c r="F12" s="2023"/>
      <c r="G12" s="549"/>
      <c r="H12" s="549"/>
      <c r="I12" s="551"/>
      <c r="J12" s="1881"/>
      <c r="K12" s="2105" t="s">
        <v>2128</v>
      </c>
      <c r="L12" s="2106"/>
      <c r="M12" s="2082"/>
      <c r="N12" s="2082"/>
      <c r="O12" s="475"/>
      <c r="P12" s="2082"/>
      <c r="Q12" s="2082"/>
      <c r="R12" s="2082"/>
      <c r="S12" s="2082"/>
      <c r="T12" s="474">
        <v>15000000</v>
      </c>
      <c r="U12" s="2106" t="s">
        <v>2125</v>
      </c>
      <c r="V12" s="2106"/>
      <c r="W12" s="2106">
        <v>1</v>
      </c>
      <c r="X12" s="2106" t="s">
        <v>2126</v>
      </c>
      <c r="Y12" s="2030" t="s">
        <v>2127</v>
      </c>
      <c r="Z12" s="554">
        <f t="shared" ref="Z12:Z16" si="4">AA12/1000</f>
        <v>15000</v>
      </c>
      <c r="AA12" s="555">
        <f t="shared" ref="AA12:AA16" si="5">T12*W12</f>
        <v>15000000</v>
      </c>
      <c r="AB12" s="547"/>
      <c r="AC12" s="547"/>
    </row>
    <row r="13" spans="1:29" s="1876" customFormat="1" ht="24" hidden="1" customHeight="1">
      <c r="A13" s="542"/>
      <c r="B13" s="1879"/>
      <c r="C13" s="541"/>
      <c r="D13" s="541"/>
      <c r="E13" s="625"/>
      <c r="F13" s="2023"/>
      <c r="G13" s="549"/>
      <c r="H13" s="549"/>
      <c r="I13" s="551"/>
      <c r="J13" s="1881"/>
      <c r="K13" s="2105" t="s">
        <v>2129</v>
      </c>
      <c r="L13" s="2106"/>
      <c r="M13" s="2082"/>
      <c r="N13" s="2082"/>
      <c r="O13" s="475"/>
      <c r="P13" s="2082"/>
      <c r="Q13" s="2082"/>
      <c r="R13" s="2082"/>
      <c r="S13" s="2082"/>
      <c r="T13" s="474">
        <v>14000000</v>
      </c>
      <c r="U13" s="2106" t="s">
        <v>2125</v>
      </c>
      <c r="V13" s="2106"/>
      <c r="W13" s="2106">
        <v>1</v>
      </c>
      <c r="X13" s="2106" t="s">
        <v>2126</v>
      </c>
      <c r="Y13" s="2030" t="s">
        <v>2127</v>
      </c>
      <c r="Z13" s="554">
        <f t="shared" si="4"/>
        <v>14000</v>
      </c>
      <c r="AA13" s="555">
        <f t="shared" si="5"/>
        <v>14000000</v>
      </c>
      <c r="AB13" s="547"/>
      <c r="AC13" s="547"/>
    </row>
    <row r="14" spans="1:29" s="1876" customFormat="1" ht="24" hidden="1" customHeight="1">
      <c r="A14" s="542"/>
      <c r="B14" s="1879"/>
      <c r="C14" s="541"/>
      <c r="D14" s="541"/>
      <c r="E14" s="625"/>
      <c r="F14" s="2023"/>
      <c r="G14" s="549"/>
      <c r="H14" s="549"/>
      <c r="I14" s="551"/>
      <c r="J14" s="1881"/>
      <c r="K14" s="2105" t="s">
        <v>2130</v>
      </c>
      <c r="L14" s="2106"/>
      <c r="M14" s="2082"/>
      <c r="N14" s="2082"/>
      <c r="O14" s="475"/>
      <c r="P14" s="2082"/>
      <c r="Q14" s="2082"/>
      <c r="R14" s="2082"/>
      <c r="S14" s="2082"/>
      <c r="T14" s="474">
        <v>19000000</v>
      </c>
      <c r="U14" s="2106" t="s">
        <v>2125</v>
      </c>
      <c r="V14" s="2106"/>
      <c r="W14" s="2106">
        <v>1</v>
      </c>
      <c r="X14" s="2106" t="s">
        <v>2126</v>
      </c>
      <c r="Y14" s="2030" t="s">
        <v>2127</v>
      </c>
      <c r="Z14" s="554">
        <f t="shared" si="4"/>
        <v>19000</v>
      </c>
      <c r="AA14" s="555">
        <f t="shared" si="5"/>
        <v>19000000</v>
      </c>
      <c r="AB14" s="547"/>
      <c r="AC14" s="547"/>
    </row>
    <row r="15" spans="1:29" s="1876" customFormat="1" ht="24" hidden="1" customHeight="1">
      <c r="A15" s="542"/>
      <c r="B15" s="1879"/>
      <c r="C15" s="3022"/>
      <c r="D15" s="541"/>
      <c r="E15" s="625"/>
      <c r="F15" s="2023"/>
      <c r="G15" s="549"/>
      <c r="H15" s="549"/>
      <c r="I15" s="551"/>
      <c r="J15" s="1881"/>
      <c r="K15" s="2105" t="s">
        <v>2131</v>
      </c>
      <c r="L15" s="2106"/>
      <c r="M15" s="2082"/>
      <c r="N15" s="2082"/>
      <c r="O15" s="475"/>
      <c r="P15" s="2082"/>
      <c r="Q15" s="2082"/>
      <c r="R15" s="2082"/>
      <c r="S15" s="2082"/>
      <c r="T15" s="474">
        <v>18000000</v>
      </c>
      <c r="U15" s="2106" t="s">
        <v>2125</v>
      </c>
      <c r="V15" s="2106"/>
      <c r="W15" s="2106">
        <v>1</v>
      </c>
      <c r="X15" s="2106" t="s">
        <v>2126</v>
      </c>
      <c r="Y15" s="2030" t="s">
        <v>2127</v>
      </c>
      <c r="Z15" s="554">
        <f t="shared" si="4"/>
        <v>18000</v>
      </c>
      <c r="AA15" s="555">
        <f t="shared" si="5"/>
        <v>18000000</v>
      </c>
      <c r="AB15" s="547"/>
      <c r="AC15" s="547"/>
    </row>
    <row r="16" spans="1:29" s="1876" customFormat="1" ht="24" hidden="1" customHeight="1">
      <c r="A16" s="542"/>
      <c r="B16" s="1879"/>
      <c r="C16" s="3022"/>
      <c r="D16" s="3022"/>
      <c r="E16" s="625"/>
      <c r="F16" s="2023"/>
      <c r="G16" s="549"/>
      <c r="H16" s="549"/>
      <c r="I16" s="551"/>
      <c r="J16" s="1881"/>
      <c r="K16" s="2105" t="s">
        <v>2132</v>
      </c>
      <c r="L16" s="2106"/>
      <c r="M16" s="2082"/>
      <c r="N16" s="2082"/>
      <c r="O16" s="475"/>
      <c r="P16" s="2082"/>
      <c r="Q16" s="2082"/>
      <c r="R16" s="2082"/>
      <c r="S16" s="2082"/>
      <c r="T16" s="474">
        <v>20000000</v>
      </c>
      <c r="U16" s="2106" t="s">
        <v>2125</v>
      </c>
      <c r="V16" s="2106"/>
      <c r="W16" s="2106">
        <v>1</v>
      </c>
      <c r="X16" s="2106" t="s">
        <v>2126</v>
      </c>
      <c r="Y16" s="2030" t="s">
        <v>2127</v>
      </c>
      <c r="Z16" s="554">
        <f t="shared" si="4"/>
        <v>20000</v>
      </c>
      <c r="AA16" s="1898">
        <f t="shared" si="5"/>
        <v>20000000</v>
      </c>
      <c r="AB16" s="547"/>
      <c r="AC16" s="547"/>
    </row>
    <row r="17" spans="1:29" s="1925" customFormat="1" ht="24" customHeight="1">
      <c r="A17" s="456" t="s">
        <v>1279</v>
      </c>
      <c r="B17" s="1879"/>
      <c r="C17" s="3022"/>
      <c r="D17" s="3821" t="s">
        <v>1990</v>
      </c>
      <c r="E17" s="3821"/>
      <c r="F17" s="3822"/>
      <c r="G17" s="598">
        <f>+G18</f>
        <v>100000</v>
      </c>
      <c r="H17" s="598">
        <v>100000</v>
      </c>
      <c r="I17" s="627">
        <f t="shared" ref="I17" si="6">G17-H17</f>
        <v>0</v>
      </c>
      <c r="J17" s="3019"/>
      <c r="K17" s="538"/>
      <c r="L17" s="3015"/>
      <c r="M17" s="3015"/>
      <c r="N17" s="3015"/>
      <c r="O17" s="3015"/>
      <c r="P17" s="3015"/>
      <c r="Q17" s="3015"/>
      <c r="R17" s="3015"/>
      <c r="S17" s="3015"/>
      <c r="T17" s="3015"/>
      <c r="U17" s="3015"/>
      <c r="V17" s="3015"/>
      <c r="W17" s="3015"/>
      <c r="X17" s="3015"/>
      <c r="Y17" s="585"/>
      <c r="Z17" s="599"/>
      <c r="AA17" s="595"/>
      <c r="AB17" s="423"/>
      <c r="AC17" s="423">
        <f t="shared" ref="AC17:AC18" si="7">G17*1000000</f>
        <v>100000000000</v>
      </c>
    </row>
    <row r="18" spans="1:29" s="1925" customFormat="1" ht="24" customHeight="1" thickBot="1">
      <c r="A18" s="456"/>
      <c r="B18" s="1879"/>
      <c r="C18" s="3022"/>
      <c r="D18" s="3047"/>
      <c r="E18" s="3906" t="s">
        <v>1990</v>
      </c>
      <c r="F18" s="3907"/>
      <c r="G18" s="598">
        <v>100000</v>
      </c>
      <c r="H18" s="598">
        <v>100000</v>
      </c>
      <c r="I18" s="627"/>
      <c r="J18" s="1881">
        <f>H18-I18</f>
        <v>100000</v>
      </c>
      <c r="K18" s="538"/>
      <c r="L18" s="3015"/>
      <c r="M18" s="3015"/>
      <c r="N18" s="3015"/>
      <c r="O18" s="3015"/>
      <c r="P18" s="3015"/>
      <c r="Q18" s="3015"/>
      <c r="R18" s="3015"/>
      <c r="S18" s="539"/>
      <c r="T18" s="3015"/>
      <c r="U18" s="3015"/>
      <c r="V18" s="3015"/>
      <c r="W18" s="3015"/>
      <c r="X18" s="3015"/>
      <c r="Y18" s="585"/>
      <c r="Z18" s="599"/>
      <c r="AA18" s="595"/>
      <c r="AB18" s="423"/>
      <c r="AC18" s="423">
        <f t="shared" si="7"/>
        <v>100000000000</v>
      </c>
    </row>
    <row r="19" spans="1:29" s="1925" customFormat="1" ht="24" hidden="1" customHeight="1">
      <c r="A19" s="456"/>
      <c r="B19" s="1879"/>
      <c r="C19" s="3022"/>
      <c r="D19" s="542"/>
      <c r="E19" s="506"/>
      <c r="F19" s="1906" t="s">
        <v>65</v>
      </c>
      <c r="G19" s="956">
        <f>+Z19</f>
        <v>20500</v>
      </c>
      <c r="H19" s="824">
        <v>0</v>
      </c>
      <c r="I19" s="1320">
        <f>G19-H19</f>
        <v>20500</v>
      </c>
      <c r="J19" s="3019"/>
      <c r="K19" s="1566" t="s">
        <v>224</v>
      </c>
      <c r="L19" s="3019"/>
      <c r="M19" s="1326"/>
      <c r="N19" s="1326"/>
      <c r="O19" s="608"/>
      <c r="P19" s="1326"/>
      <c r="Q19" s="1326"/>
      <c r="R19" s="1344"/>
      <c r="S19" s="1326"/>
      <c r="T19" s="608"/>
      <c r="U19" s="1326"/>
      <c r="V19" s="1326"/>
      <c r="W19" s="1326"/>
      <c r="X19" s="1326"/>
      <c r="Y19" s="1559"/>
      <c r="Z19" s="490">
        <f>SUM(Z20:Z21)</f>
        <v>20500</v>
      </c>
      <c r="AA19" s="2660">
        <f>SUM(AA20:AA21)</f>
        <v>20500000</v>
      </c>
      <c r="AB19" s="423"/>
      <c r="AC19" s="423"/>
    </row>
    <row r="20" spans="1:29" s="1925" customFormat="1" ht="24" hidden="1" customHeight="1">
      <c r="A20" s="456"/>
      <c r="B20" s="1879"/>
      <c r="C20" s="3022"/>
      <c r="D20" s="542"/>
      <c r="E20" s="2020"/>
      <c r="F20" s="1908"/>
      <c r="G20" s="1917"/>
      <c r="H20" s="824"/>
      <c r="I20" s="551"/>
      <c r="J20" s="3019"/>
      <c r="K20" s="472" t="s">
        <v>2147</v>
      </c>
      <c r="L20" s="473"/>
      <c r="M20" s="473"/>
      <c r="N20" s="473"/>
      <c r="O20" s="474"/>
      <c r="P20" s="473"/>
      <c r="Q20" s="473"/>
      <c r="R20" s="475">
        <v>1</v>
      </c>
      <c r="S20" s="473" t="s">
        <v>36</v>
      </c>
      <c r="T20" s="474">
        <v>1900000</v>
      </c>
      <c r="U20" s="473" t="s">
        <v>368</v>
      </c>
      <c r="V20" s="473"/>
      <c r="W20" s="473">
        <v>10</v>
      </c>
      <c r="X20" s="473" t="s">
        <v>55</v>
      </c>
      <c r="Y20" s="542" t="s">
        <v>370</v>
      </c>
      <c r="Z20" s="483">
        <f>AA20/1000</f>
        <v>19000</v>
      </c>
      <c r="AA20" s="547">
        <f>R20*T20*W20</f>
        <v>19000000</v>
      </c>
      <c r="AB20" s="423"/>
      <c r="AC20" s="423"/>
    </row>
    <row r="21" spans="1:29" s="1925" customFormat="1" ht="24" hidden="1" customHeight="1">
      <c r="A21" s="456"/>
      <c r="B21" s="1879"/>
      <c r="C21" s="3022"/>
      <c r="D21" s="542"/>
      <c r="E21" s="2020"/>
      <c r="F21" s="1908"/>
      <c r="G21" s="1917"/>
      <c r="H21" s="824"/>
      <c r="I21" s="551"/>
      <c r="J21" s="3019"/>
      <c r="K21" s="472" t="s">
        <v>2143</v>
      </c>
      <c r="L21" s="473"/>
      <c r="M21" s="473"/>
      <c r="N21" s="473"/>
      <c r="O21" s="474"/>
      <c r="P21" s="473"/>
      <c r="Q21" s="473"/>
      <c r="R21" s="475">
        <v>1</v>
      </c>
      <c r="S21" s="473" t="s">
        <v>36</v>
      </c>
      <c r="T21" s="474">
        <v>1500000</v>
      </c>
      <c r="U21" s="473" t="s">
        <v>368</v>
      </c>
      <c r="V21" s="473"/>
      <c r="W21" s="473">
        <v>1</v>
      </c>
      <c r="X21" s="473" t="s">
        <v>226</v>
      </c>
      <c r="Y21" s="542" t="s">
        <v>370</v>
      </c>
      <c r="Z21" s="483">
        <f>AA21/1000</f>
        <v>1500</v>
      </c>
      <c r="AA21" s="547">
        <f>R21*T21*W21</f>
        <v>1500000</v>
      </c>
      <c r="AB21" s="423"/>
      <c r="AC21" s="423"/>
    </row>
    <row r="22" spans="1:29" s="1925" customFormat="1" ht="24" hidden="1" customHeight="1">
      <c r="A22" s="456"/>
      <c r="B22" s="1879"/>
      <c r="C22" s="3022"/>
      <c r="D22" s="542"/>
      <c r="E22" s="2020"/>
      <c r="F22" s="624" t="s">
        <v>229</v>
      </c>
      <c r="G22" s="941">
        <f>+Z22</f>
        <v>400</v>
      </c>
      <c r="H22" s="824">
        <v>0</v>
      </c>
      <c r="I22" s="551">
        <f>G22-H22</f>
        <v>400</v>
      </c>
      <c r="J22" s="3019"/>
      <c r="K22" s="472" t="s">
        <v>2144</v>
      </c>
      <c r="L22" s="473"/>
      <c r="M22" s="473"/>
      <c r="N22" s="473"/>
      <c r="O22" s="474"/>
      <c r="P22" s="473"/>
      <c r="Q22" s="473"/>
      <c r="R22" s="475"/>
      <c r="S22" s="473"/>
      <c r="T22" s="474">
        <v>400000</v>
      </c>
      <c r="U22" s="473" t="s">
        <v>368</v>
      </c>
      <c r="V22" s="473"/>
      <c r="W22" s="473">
        <v>1</v>
      </c>
      <c r="X22" s="473" t="s">
        <v>226</v>
      </c>
      <c r="Y22" s="542" t="s">
        <v>370</v>
      </c>
      <c r="Z22" s="483">
        <f>AA22/1000</f>
        <v>400</v>
      </c>
      <c r="AA22" s="2664">
        <f>T22*W22</f>
        <v>400000</v>
      </c>
      <c r="AB22" s="423"/>
      <c r="AC22" s="423"/>
    </row>
    <row r="23" spans="1:29" s="1925" customFormat="1" ht="24" hidden="1" customHeight="1">
      <c r="A23" s="456"/>
      <c r="B23" s="1879"/>
      <c r="C23" s="3022"/>
      <c r="D23" s="542"/>
      <c r="E23" s="2020"/>
      <c r="F23" s="624" t="s">
        <v>264</v>
      </c>
      <c r="G23" s="941">
        <f>+Z23</f>
        <v>600</v>
      </c>
      <c r="H23" s="824">
        <v>0</v>
      </c>
      <c r="I23" s="551">
        <f>G23-H23</f>
        <v>600</v>
      </c>
      <c r="J23" s="3019"/>
      <c r="K23" s="472" t="s">
        <v>775</v>
      </c>
      <c r="L23" s="473"/>
      <c r="M23" s="473"/>
      <c r="N23" s="473"/>
      <c r="O23" s="474"/>
      <c r="P23" s="473"/>
      <c r="Q23" s="473"/>
      <c r="R23" s="475"/>
      <c r="S23" s="473"/>
      <c r="T23" s="473">
        <v>600000</v>
      </c>
      <c r="U23" s="473" t="s">
        <v>368</v>
      </c>
      <c r="V23" s="473"/>
      <c r="W23" s="504">
        <v>1</v>
      </c>
      <c r="X23" s="2075" t="s">
        <v>226</v>
      </c>
      <c r="Y23" s="542" t="s">
        <v>370</v>
      </c>
      <c r="Z23" s="483">
        <f>AA23/1000</f>
        <v>600</v>
      </c>
      <c r="AA23" s="2664">
        <f>T23*W23</f>
        <v>600000</v>
      </c>
      <c r="AB23" s="423"/>
      <c r="AC23" s="423"/>
    </row>
    <row r="24" spans="1:29" s="1925" customFormat="1" ht="24" hidden="1" customHeight="1">
      <c r="A24" s="456"/>
      <c r="B24" s="1879"/>
      <c r="C24" s="3022"/>
      <c r="D24" s="542"/>
      <c r="E24" s="2020"/>
      <c r="F24" s="1908" t="s">
        <v>225</v>
      </c>
      <c r="G24" s="941">
        <f>+Z24</f>
        <v>1600</v>
      </c>
      <c r="H24" s="824">
        <v>0</v>
      </c>
      <c r="I24" s="551">
        <f t="shared" ref="I24:I25" si="8">G24-H24</f>
        <v>1600</v>
      </c>
      <c r="J24" s="3019"/>
      <c r="K24" s="472" t="s">
        <v>4006</v>
      </c>
      <c r="L24" s="472"/>
      <c r="M24" s="473"/>
      <c r="N24" s="473"/>
      <c r="O24" s="473"/>
      <c r="P24" s="474"/>
      <c r="Q24" s="473"/>
      <c r="R24" s="475">
        <v>2</v>
      </c>
      <c r="S24" s="473" t="s">
        <v>36</v>
      </c>
      <c r="T24" s="473">
        <v>200000</v>
      </c>
      <c r="U24" s="473" t="s">
        <v>368</v>
      </c>
      <c r="V24" s="473"/>
      <c r="W24" s="473">
        <v>4</v>
      </c>
      <c r="X24" s="473" t="s">
        <v>369</v>
      </c>
      <c r="Y24" s="542" t="s">
        <v>370</v>
      </c>
      <c r="Z24" s="483">
        <f>AA24/1000</f>
        <v>1600</v>
      </c>
      <c r="AA24" s="547">
        <f>R24*T24*W24</f>
        <v>1600000</v>
      </c>
      <c r="AB24" s="423"/>
      <c r="AC24" s="423"/>
    </row>
    <row r="25" spans="1:29" s="1925" customFormat="1" ht="24" hidden="1" customHeight="1">
      <c r="A25" s="456"/>
      <c r="B25" s="1879"/>
      <c r="C25" s="3022"/>
      <c r="D25" s="542"/>
      <c r="E25" s="2020"/>
      <c r="F25" s="1908" t="s">
        <v>380</v>
      </c>
      <c r="G25" s="941">
        <f>+Z25</f>
        <v>9600</v>
      </c>
      <c r="H25" s="824">
        <v>0</v>
      </c>
      <c r="I25" s="551">
        <f t="shared" si="8"/>
        <v>9600</v>
      </c>
      <c r="J25" s="3019"/>
      <c r="K25" s="472" t="s">
        <v>224</v>
      </c>
      <c r="L25" s="473"/>
      <c r="M25" s="473"/>
      <c r="N25" s="473"/>
      <c r="O25" s="474"/>
      <c r="P25" s="473"/>
      <c r="Q25" s="473"/>
      <c r="R25" s="475"/>
      <c r="S25" s="473"/>
      <c r="T25" s="474"/>
      <c r="U25" s="473"/>
      <c r="V25" s="473"/>
      <c r="W25" s="473"/>
      <c r="X25" s="473"/>
      <c r="Y25" s="542"/>
      <c r="Z25" s="483">
        <f>SUM(Z26:Z28)</f>
        <v>9600</v>
      </c>
      <c r="AA25" s="2452"/>
      <c r="AB25" s="423"/>
      <c r="AC25" s="423"/>
    </row>
    <row r="26" spans="1:29" s="1925" customFormat="1" ht="24" hidden="1" customHeight="1">
      <c r="A26" s="456"/>
      <c r="B26" s="1879"/>
      <c r="C26" s="3022"/>
      <c r="D26" s="542"/>
      <c r="E26" s="2020"/>
      <c r="F26" s="1908"/>
      <c r="G26" s="1917"/>
      <c r="H26" s="824"/>
      <c r="I26" s="551"/>
      <c r="J26" s="3019"/>
      <c r="K26" s="472" t="s">
        <v>1579</v>
      </c>
      <c r="L26" s="473"/>
      <c r="M26" s="473"/>
      <c r="N26" s="473"/>
      <c r="O26" s="474"/>
      <c r="P26" s="473"/>
      <c r="Q26" s="473"/>
      <c r="R26" s="475">
        <v>7</v>
      </c>
      <c r="S26" s="473" t="s">
        <v>36</v>
      </c>
      <c r="T26" s="473">
        <v>200000</v>
      </c>
      <c r="U26" s="473" t="s">
        <v>368</v>
      </c>
      <c r="V26" s="473"/>
      <c r="W26" s="473">
        <v>1</v>
      </c>
      <c r="X26" s="473" t="s">
        <v>55</v>
      </c>
      <c r="Y26" s="473" t="s">
        <v>370</v>
      </c>
      <c r="Z26" s="483">
        <f>AA26/1000</f>
        <v>1400</v>
      </c>
      <c r="AA26" s="547">
        <f>R26*T26*W26</f>
        <v>1400000</v>
      </c>
      <c r="AB26" s="423"/>
      <c r="AC26" s="423"/>
    </row>
    <row r="27" spans="1:29" s="1925" customFormat="1" ht="24" hidden="1" customHeight="1">
      <c r="A27" s="456"/>
      <c r="B27" s="1879"/>
      <c r="C27" s="3022"/>
      <c r="D27" s="542"/>
      <c r="E27" s="2020"/>
      <c r="F27" s="1908"/>
      <c r="G27" s="1917"/>
      <c r="H27" s="824"/>
      <c r="I27" s="551"/>
      <c r="J27" s="3019"/>
      <c r="K27" s="472" t="s">
        <v>1366</v>
      </c>
      <c r="L27" s="473"/>
      <c r="M27" s="473"/>
      <c r="N27" s="473"/>
      <c r="O27" s="474"/>
      <c r="P27" s="473"/>
      <c r="Q27" s="473"/>
      <c r="R27" s="475">
        <v>8</v>
      </c>
      <c r="S27" s="473" t="s">
        <v>36</v>
      </c>
      <c r="T27" s="473">
        <v>200000</v>
      </c>
      <c r="U27" s="473" t="s">
        <v>368</v>
      </c>
      <c r="V27" s="473"/>
      <c r="W27" s="473">
        <v>2</v>
      </c>
      <c r="X27" s="473" t="s">
        <v>369</v>
      </c>
      <c r="Y27" s="473" t="s">
        <v>370</v>
      </c>
      <c r="Z27" s="483">
        <f>AA27/1000</f>
        <v>3200</v>
      </c>
      <c r="AA27" s="547">
        <f>R27*T27*W27</f>
        <v>3200000</v>
      </c>
      <c r="AB27" s="423"/>
      <c r="AC27" s="423"/>
    </row>
    <row r="28" spans="1:29" s="1925" customFormat="1" ht="24" hidden="1" customHeight="1">
      <c r="A28" s="456"/>
      <c r="B28" s="1879"/>
      <c r="C28" s="3022"/>
      <c r="D28" s="542"/>
      <c r="E28" s="2020"/>
      <c r="F28" s="1908"/>
      <c r="G28" s="1917"/>
      <c r="H28" s="824"/>
      <c r="I28" s="551"/>
      <c r="J28" s="3019"/>
      <c r="K28" s="472" t="s">
        <v>2148</v>
      </c>
      <c r="L28" s="473"/>
      <c r="M28" s="473"/>
      <c r="N28" s="473"/>
      <c r="O28" s="474"/>
      <c r="P28" s="473"/>
      <c r="Q28" s="473"/>
      <c r="R28" s="475"/>
      <c r="S28" s="473"/>
      <c r="T28" s="473">
        <v>5000000</v>
      </c>
      <c r="U28" s="473" t="s">
        <v>368</v>
      </c>
      <c r="V28" s="473"/>
      <c r="W28" s="3046">
        <v>1</v>
      </c>
      <c r="X28" s="1842" t="s">
        <v>226</v>
      </c>
      <c r="Y28" s="473" t="s">
        <v>370</v>
      </c>
      <c r="Z28" s="483">
        <f>AA28/1000</f>
        <v>5000</v>
      </c>
      <c r="AA28" s="547">
        <f>T28*W28</f>
        <v>5000000</v>
      </c>
      <c r="AB28" s="423"/>
      <c r="AC28" s="423"/>
    </row>
    <row r="29" spans="1:29" s="1925" customFormat="1" ht="24" hidden="1" customHeight="1">
      <c r="A29" s="456"/>
      <c r="B29" s="1879"/>
      <c r="C29" s="3022"/>
      <c r="D29" s="542"/>
      <c r="E29" s="2020"/>
      <c r="F29" s="624" t="s">
        <v>431</v>
      </c>
      <c r="G29" s="941">
        <f>+Z29</f>
        <v>65000</v>
      </c>
      <c r="H29" s="824">
        <v>0</v>
      </c>
      <c r="I29" s="551">
        <f>G29-H29</f>
        <v>65000</v>
      </c>
      <c r="J29" s="3019"/>
      <c r="K29" s="472" t="s">
        <v>2145</v>
      </c>
      <c r="L29" s="473"/>
      <c r="M29" s="473"/>
      <c r="N29" s="473"/>
      <c r="O29" s="474"/>
      <c r="P29" s="473"/>
      <c r="Q29" s="473"/>
      <c r="R29" s="475"/>
      <c r="S29" s="473"/>
      <c r="T29" s="474">
        <v>65000000</v>
      </c>
      <c r="U29" s="473" t="s">
        <v>368</v>
      </c>
      <c r="V29" s="473"/>
      <c r="W29" s="504">
        <v>1</v>
      </c>
      <c r="X29" s="2075" t="s">
        <v>226</v>
      </c>
      <c r="Y29" s="542" t="s">
        <v>370</v>
      </c>
      <c r="Z29" s="483">
        <f t="shared" ref="Z29:Z31" si="9">AA29/1000</f>
        <v>65000</v>
      </c>
      <c r="AA29" s="2664">
        <f>T29*W29</f>
        <v>65000000</v>
      </c>
      <c r="AB29" s="423"/>
      <c r="AC29" s="423"/>
    </row>
    <row r="30" spans="1:29" s="1925" customFormat="1" ht="24" hidden="1" customHeight="1">
      <c r="A30" s="456"/>
      <c r="B30" s="1879"/>
      <c r="C30" s="3022"/>
      <c r="D30" s="542"/>
      <c r="E30" s="2020"/>
      <c r="F30" s="624" t="s">
        <v>451</v>
      </c>
      <c r="G30" s="941">
        <f>+Z30</f>
        <v>1300</v>
      </c>
      <c r="H30" s="824">
        <v>0</v>
      </c>
      <c r="I30" s="551">
        <f t="shared" ref="I30" si="10">G30-H30</f>
        <v>1300</v>
      </c>
      <c r="J30" s="3019"/>
      <c r="K30" s="472" t="s">
        <v>2146</v>
      </c>
      <c r="L30" s="473"/>
      <c r="M30" s="473"/>
      <c r="N30" s="473"/>
      <c r="O30" s="474"/>
      <c r="P30" s="473"/>
      <c r="Q30" s="473"/>
      <c r="R30" s="475"/>
      <c r="S30" s="473"/>
      <c r="T30" s="473">
        <v>1300000</v>
      </c>
      <c r="U30" s="473" t="s">
        <v>368</v>
      </c>
      <c r="V30" s="473"/>
      <c r="W30" s="504">
        <v>1</v>
      </c>
      <c r="X30" s="2075" t="s">
        <v>226</v>
      </c>
      <c r="Y30" s="542" t="s">
        <v>370</v>
      </c>
      <c r="Z30" s="483">
        <f t="shared" si="9"/>
        <v>1300</v>
      </c>
      <c r="AA30" s="2664">
        <f>T30*W30</f>
        <v>1300000</v>
      </c>
      <c r="AB30" s="423"/>
      <c r="AC30" s="423"/>
    </row>
    <row r="31" spans="1:29" s="1925" customFormat="1" ht="24" hidden="1" customHeight="1" thickBot="1">
      <c r="A31" s="456"/>
      <c r="B31" s="1879"/>
      <c r="C31" s="3023"/>
      <c r="D31" s="542"/>
      <c r="E31" s="2063"/>
      <c r="F31" s="638" t="s">
        <v>384</v>
      </c>
      <c r="G31" s="1428">
        <f>+Z31</f>
        <v>1000</v>
      </c>
      <c r="H31" s="823">
        <v>0</v>
      </c>
      <c r="I31" s="1332">
        <f>G31-H31</f>
        <v>1000</v>
      </c>
      <c r="J31" s="3019"/>
      <c r="K31" s="639" t="s">
        <v>428</v>
      </c>
      <c r="L31" s="640"/>
      <c r="M31" s="640"/>
      <c r="N31" s="640"/>
      <c r="O31" s="641"/>
      <c r="P31" s="640"/>
      <c r="Q31" s="640"/>
      <c r="R31" s="642">
        <v>10</v>
      </c>
      <c r="S31" s="640" t="s">
        <v>36</v>
      </c>
      <c r="T31" s="640">
        <v>20000</v>
      </c>
      <c r="U31" s="640" t="s">
        <v>368</v>
      </c>
      <c r="V31" s="640"/>
      <c r="W31" s="640">
        <v>5</v>
      </c>
      <c r="X31" s="640" t="s">
        <v>369</v>
      </c>
      <c r="Y31" s="1578" t="s">
        <v>370</v>
      </c>
      <c r="Z31" s="483">
        <f t="shared" si="9"/>
        <v>1000</v>
      </c>
      <c r="AA31" s="547">
        <f>R31*T31*W31</f>
        <v>1000000</v>
      </c>
      <c r="AB31" s="423"/>
      <c r="AC31" s="423"/>
    </row>
    <row r="32" spans="1:29" s="192" customFormat="1" ht="24" customHeight="1" thickBot="1">
      <c r="A32" s="832"/>
      <c r="B32" s="574" t="s">
        <v>1341</v>
      </c>
      <c r="C32" s="1902"/>
      <c r="D32" s="1902"/>
      <c r="E32" s="1902"/>
      <c r="F32" s="1902"/>
      <c r="G32" s="821">
        <f>+G33+G36+G42</f>
        <v>280940</v>
      </c>
      <c r="H32" s="821">
        <f>+H33+H36+H42</f>
        <v>80940</v>
      </c>
      <c r="I32" s="2655">
        <f t="shared" ref="I32:I35" si="11">G32-H32</f>
        <v>200000</v>
      </c>
      <c r="J32" s="2082"/>
      <c r="K32" s="2204"/>
      <c r="L32" s="2205"/>
      <c r="M32" s="2205"/>
      <c r="N32" s="2205"/>
      <c r="O32" s="2205"/>
      <c r="P32" s="2205"/>
      <c r="Q32" s="2205"/>
      <c r="R32" s="2205"/>
      <c r="S32" s="2205"/>
      <c r="T32" s="2205"/>
      <c r="U32" s="2205"/>
      <c r="V32" s="2205"/>
      <c r="W32" s="2205"/>
      <c r="X32" s="2205"/>
      <c r="Y32" s="2205"/>
      <c r="Z32" s="2656"/>
      <c r="AA32" s="2207"/>
      <c r="AB32" s="427"/>
      <c r="AC32" s="423">
        <f>G32*1000000</f>
        <v>280940000000</v>
      </c>
    </row>
    <row r="33" spans="1:29" s="806" customFormat="1" ht="24" hidden="1" customHeight="1" thickBot="1">
      <c r="A33" s="833"/>
      <c r="B33" s="1903" t="s">
        <v>378</v>
      </c>
      <c r="C33" s="568" t="s">
        <v>1059</v>
      </c>
      <c r="D33" s="569"/>
      <c r="E33" s="570"/>
      <c r="F33" s="571"/>
      <c r="G33" s="822">
        <f>+G34</f>
        <v>0</v>
      </c>
      <c r="H33" s="822">
        <v>0</v>
      </c>
      <c r="I33" s="573">
        <f t="shared" si="11"/>
        <v>0</v>
      </c>
      <c r="J33" s="840"/>
      <c r="K33" s="574"/>
      <c r="L33" s="575"/>
      <c r="M33" s="2657"/>
      <c r="N33" s="2657"/>
      <c r="O33" s="2657"/>
      <c r="P33" s="575"/>
      <c r="Q33" s="575"/>
      <c r="R33" s="575"/>
      <c r="S33" s="575"/>
      <c r="T33" s="575"/>
      <c r="U33" s="575"/>
      <c r="V33" s="575"/>
      <c r="W33" s="575"/>
      <c r="X33" s="575"/>
      <c r="Y33" s="576"/>
      <c r="Z33" s="2658"/>
      <c r="AA33" s="2659"/>
      <c r="AB33" s="805"/>
      <c r="AC33" s="423">
        <f t="shared" ref="AC33:AC35" si="12">G33*1000000</f>
        <v>0</v>
      </c>
    </row>
    <row r="34" spans="1:29" s="1847" customFormat="1" ht="24" hidden="1" customHeight="1" thickBot="1">
      <c r="A34" s="456" t="s">
        <v>1279</v>
      </c>
      <c r="B34" s="540"/>
      <c r="C34" s="541"/>
      <c r="D34" s="3926" t="s">
        <v>1990</v>
      </c>
      <c r="E34" s="3927"/>
      <c r="F34" s="3928"/>
      <c r="G34" s="823">
        <v>0</v>
      </c>
      <c r="H34" s="823">
        <v>0</v>
      </c>
      <c r="I34" s="573">
        <f t="shared" si="11"/>
        <v>0</v>
      </c>
      <c r="J34" s="2082"/>
      <c r="K34" s="580"/>
      <c r="L34" s="2072"/>
      <c r="M34" s="2072"/>
      <c r="N34" s="2072"/>
      <c r="O34" s="2072"/>
      <c r="P34" s="2072"/>
      <c r="Q34" s="2072"/>
      <c r="R34" s="2072"/>
      <c r="S34" s="2072"/>
      <c r="T34" s="2072"/>
      <c r="U34" s="2072"/>
      <c r="V34" s="2072"/>
      <c r="W34" s="2072"/>
      <c r="X34" s="2072"/>
      <c r="Y34" s="581"/>
      <c r="Z34" s="582"/>
      <c r="AA34" s="595"/>
      <c r="AB34" s="423"/>
      <c r="AC34" s="423">
        <f t="shared" si="12"/>
        <v>0</v>
      </c>
    </row>
    <row r="35" spans="1:29" s="1847" customFormat="1" ht="24" hidden="1" customHeight="1" thickBot="1">
      <c r="A35" s="456"/>
      <c r="B35" s="540"/>
      <c r="C35" s="541"/>
      <c r="D35" s="1904"/>
      <c r="E35" s="3906" t="s">
        <v>1990</v>
      </c>
      <c r="F35" s="3907"/>
      <c r="G35" s="598">
        <v>0</v>
      </c>
      <c r="H35" s="598">
        <v>100000</v>
      </c>
      <c r="I35" s="627">
        <f t="shared" si="11"/>
        <v>-100000</v>
      </c>
      <c r="J35" s="1881">
        <f>H35-I35</f>
        <v>200000</v>
      </c>
      <c r="K35" s="538"/>
      <c r="L35" s="2068"/>
      <c r="M35" s="2068"/>
      <c r="N35" s="2068"/>
      <c r="O35" s="2068"/>
      <c r="P35" s="2068"/>
      <c r="Q35" s="2068"/>
      <c r="R35" s="2068"/>
      <c r="S35" s="539"/>
      <c r="T35" s="2068"/>
      <c r="U35" s="2068"/>
      <c r="V35" s="2068"/>
      <c r="W35" s="2068"/>
      <c r="X35" s="2068"/>
      <c r="Y35" s="585"/>
      <c r="Z35" s="599"/>
      <c r="AA35" s="595"/>
      <c r="AB35" s="423"/>
      <c r="AC35" s="423">
        <f t="shared" si="12"/>
        <v>0</v>
      </c>
    </row>
    <row r="36" spans="1:29" s="806" customFormat="1" ht="24" customHeight="1" thickBot="1">
      <c r="A36" s="833"/>
      <c r="B36" s="1903" t="s">
        <v>378</v>
      </c>
      <c r="C36" s="569" t="s">
        <v>1142</v>
      </c>
      <c r="D36" s="570"/>
      <c r="E36" s="570"/>
      <c r="F36" s="571"/>
      <c r="G36" s="822">
        <f>+G37</f>
        <v>80940</v>
      </c>
      <c r="H36" s="822">
        <f>+H37</f>
        <v>80940</v>
      </c>
      <c r="I36" s="573">
        <f t="shared" ref="I36:I37" si="13">G36-H36</f>
        <v>0</v>
      </c>
      <c r="J36" s="840"/>
      <c r="K36" s="574"/>
      <c r="L36" s="575"/>
      <c r="M36" s="2657"/>
      <c r="N36" s="2657"/>
      <c r="O36" s="2657"/>
      <c r="P36" s="575"/>
      <c r="Q36" s="575"/>
      <c r="R36" s="575"/>
      <c r="S36" s="575"/>
      <c r="T36" s="575"/>
      <c r="U36" s="575"/>
      <c r="V36" s="575"/>
      <c r="W36" s="575"/>
      <c r="X36" s="575"/>
      <c r="Y36" s="576"/>
      <c r="Z36" s="2658"/>
      <c r="AA36" s="2659"/>
      <c r="AB36" s="805"/>
      <c r="AC36" s="423">
        <f t="shared" ref="AC36:AC38" si="14">G36*1000000</f>
        <v>80940000000</v>
      </c>
    </row>
    <row r="37" spans="1:29" s="1847" customFormat="1" ht="24" customHeight="1">
      <c r="A37" s="456" t="s">
        <v>1279</v>
      </c>
      <c r="B37" s="540"/>
      <c r="C37" s="541"/>
      <c r="D37" s="3926" t="s">
        <v>1991</v>
      </c>
      <c r="E37" s="3927"/>
      <c r="F37" s="3928"/>
      <c r="G37" s="823">
        <f>+G38</f>
        <v>80940</v>
      </c>
      <c r="H37" s="823">
        <f>+H38</f>
        <v>80940</v>
      </c>
      <c r="I37" s="1332">
        <f t="shared" si="13"/>
        <v>0</v>
      </c>
      <c r="J37" s="2082"/>
      <c r="K37" s="580"/>
      <c r="L37" s="2072"/>
      <c r="M37" s="2072"/>
      <c r="N37" s="2072"/>
      <c r="O37" s="2072"/>
      <c r="P37" s="2072"/>
      <c r="Q37" s="2072"/>
      <c r="R37" s="2072"/>
      <c r="S37" s="2072"/>
      <c r="T37" s="2072"/>
      <c r="U37" s="2072"/>
      <c r="V37" s="2072"/>
      <c r="W37" s="2072"/>
      <c r="X37" s="2072"/>
      <c r="Y37" s="581"/>
      <c r="Z37" s="582"/>
      <c r="AA37" s="595"/>
      <c r="AB37" s="423"/>
      <c r="AC37" s="423">
        <f t="shared" si="14"/>
        <v>80940000000</v>
      </c>
    </row>
    <row r="38" spans="1:29" s="3019" customFormat="1" ht="24" customHeight="1" thickBot="1">
      <c r="A38" s="542"/>
      <c r="B38" s="540"/>
      <c r="C38" s="3022"/>
      <c r="D38" s="542"/>
      <c r="E38" s="3906" t="s">
        <v>1992</v>
      </c>
      <c r="F38" s="3907"/>
      <c r="G38" s="598">
        <f>SUM(G39:G41)</f>
        <v>80940</v>
      </c>
      <c r="H38" s="598">
        <v>80940</v>
      </c>
      <c r="I38" s="627"/>
      <c r="J38" s="1881">
        <f>H38-I38</f>
        <v>80940</v>
      </c>
      <c r="K38" s="538"/>
      <c r="L38" s="3015"/>
      <c r="M38" s="3015"/>
      <c r="N38" s="3015"/>
      <c r="O38" s="3015"/>
      <c r="P38" s="3015"/>
      <c r="Q38" s="3015"/>
      <c r="R38" s="3015"/>
      <c r="S38" s="539"/>
      <c r="T38" s="3015"/>
      <c r="U38" s="3015"/>
      <c r="V38" s="3015"/>
      <c r="W38" s="3015"/>
      <c r="X38" s="3015"/>
      <c r="Y38" s="585"/>
      <c r="Z38" s="599"/>
      <c r="AA38" s="595"/>
      <c r="AB38" s="547"/>
      <c r="AC38" s="547">
        <f t="shared" si="14"/>
        <v>80940000000</v>
      </c>
    </row>
    <row r="39" spans="1:29" s="1875" customFormat="1" ht="24" hidden="1" customHeight="1">
      <c r="A39" s="456"/>
      <c r="B39" s="540"/>
      <c r="C39" s="541"/>
      <c r="D39" s="542"/>
      <c r="E39" s="1905"/>
      <c r="F39" s="1906" t="s">
        <v>2133</v>
      </c>
      <c r="G39" s="956">
        <v>80940</v>
      </c>
      <c r="H39" s="824">
        <v>23402</v>
      </c>
      <c r="I39" s="1320">
        <f>G39-H39</f>
        <v>57538</v>
      </c>
      <c r="J39" s="2082"/>
      <c r="K39" s="1566" t="s">
        <v>2123</v>
      </c>
      <c r="L39" s="2082"/>
      <c r="M39" s="1326"/>
      <c r="N39" s="1326"/>
      <c r="O39" s="608"/>
      <c r="P39" s="1326"/>
      <c r="Q39" s="1326"/>
      <c r="R39" s="1344"/>
      <c r="S39" s="1326"/>
      <c r="T39" s="608"/>
      <c r="U39" s="1326"/>
      <c r="V39" s="1326"/>
      <c r="W39" s="1326"/>
      <c r="X39" s="1326"/>
      <c r="Y39" s="1326"/>
      <c r="Z39" s="490">
        <f>SUM(Z40:Z41)</f>
        <v>23402</v>
      </c>
      <c r="AA39" s="2660"/>
      <c r="AB39" s="423"/>
      <c r="AC39" s="423"/>
    </row>
    <row r="40" spans="1:29" s="1875" customFormat="1" ht="24" hidden="1" customHeight="1">
      <c r="A40" s="456"/>
      <c r="B40" s="540"/>
      <c r="C40" s="541"/>
      <c r="D40" s="542"/>
      <c r="E40" s="1907"/>
      <c r="F40" s="1908"/>
      <c r="G40" s="1917"/>
      <c r="H40" s="824"/>
      <c r="I40" s="551"/>
      <c r="J40" s="2082"/>
      <c r="K40" s="472" t="s">
        <v>2149</v>
      </c>
      <c r="L40" s="473"/>
      <c r="M40" s="473"/>
      <c r="N40" s="473"/>
      <c r="O40" s="474"/>
      <c r="P40" s="473"/>
      <c r="Q40" s="473"/>
      <c r="R40" s="475">
        <v>3</v>
      </c>
      <c r="S40" s="473" t="s">
        <v>2134</v>
      </c>
      <c r="T40" s="474">
        <v>1771840</v>
      </c>
      <c r="U40" s="473" t="s">
        <v>2125</v>
      </c>
      <c r="V40" s="473"/>
      <c r="W40" s="473">
        <v>4</v>
      </c>
      <c r="X40" s="473" t="s">
        <v>2135</v>
      </c>
      <c r="Y40" s="473" t="s">
        <v>2127</v>
      </c>
      <c r="Z40" s="483">
        <f>AA40/1000</f>
        <v>21262.080000000002</v>
      </c>
      <c r="AA40" s="547">
        <f>R40*T40*W40</f>
        <v>21262080</v>
      </c>
      <c r="AB40" s="423"/>
      <c r="AC40" s="423"/>
    </row>
    <row r="41" spans="1:29" s="1875" customFormat="1" ht="24" hidden="1" customHeight="1" thickBot="1">
      <c r="A41" s="456"/>
      <c r="B41" s="540"/>
      <c r="C41" s="541"/>
      <c r="D41" s="542"/>
      <c r="E41" s="1907"/>
      <c r="F41" s="1909"/>
      <c r="G41" s="1917"/>
      <c r="H41" s="824"/>
      <c r="I41" s="551"/>
      <c r="J41" s="2082"/>
      <c r="K41" s="472" t="s">
        <v>2150</v>
      </c>
      <c r="L41" s="473"/>
      <c r="M41" s="473"/>
      <c r="N41" s="473"/>
      <c r="O41" s="474"/>
      <c r="P41" s="473"/>
      <c r="Q41" s="473"/>
      <c r="R41" s="475">
        <v>3</v>
      </c>
      <c r="S41" s="473" t="s">
        <v>2134</v>
      </c>
      <c r="T41" s="474">
        <v>178326</v>
      </c>
      <c r="U41" s="473" t="s">
        <v>2125</v>
      </c>
      <c r="V41" s="473"/>
      <c r="W41" s="473">
        <v>4</v>
      </c>
      <c r="X41" s="473" t="s">
        <v>2126</v>
      </c>
      <c r="Y41" s="473" t="s">
        <v>2127</v>
      </c>
      <c r="Z41" s="483">
        <f>AA41/1000</f>
        <v>2139.92</v>
      </c>
      <c r="AA41" s="547">
        <f>(R41*T41*W41)+8</f>
        <v>2139920</v>
      </c>
      <c r="AB41" s="423"/>
      <c r="AC41" s="423"/>
    </row>
    <row r="42" spans="1:29" s="3105" customFormat="1" ht="24" customHeight="1" thickBot="1">
      <c r="A42" s="3099"/>
      <c r="B42" s="1879"/>
      <c r="C42" s="569" t="s">
        <v>1054</v>
      </c>
      <c r="D42" s="570"/>
      <c r="E42" s="570"/>
      <c r="F42" s="571"/>
      <c r="G42" s="822">
        <f>G43</f>
        <v>200000</v>
      </c>
      <c r="H42" s="822">
        <f>H43</f>
        <v>0</v>
      </c>
      <c r="I42" s="573"/>
      <c r="J42" s="840"/>
      <c r="K42" s="574"/>
      <c r="L42" s="575"/>
      <c r="M42" s="2657"/>
      <c r="N42" s="2657"/>
      <c r="O42" s="2657"/>
      <c r="P42" s="575"/>
      <c r="Q42" s="575"/>
      <c r="R42" s="575"/>
      <c r="S42" s="575"/>
      <c r="T42" s="575"/>
      <c r="U42" s="575"/>
      <c r="V42" s="575"/>
      <c r="W42" s="575"/>
      <c r="X42" s="575"/>
      <c r="Y42" s="3681"/>
      <c r="Z42" s="2658"/>
      <c r="AA42" s="2659"/>
      <c r="AB42" s="423"/>
      <c r="AC42" s="423"/>
    </row>
    <row r="43" spans="1:29" s="3105" customFormat="1" ht="24" customHeight="1">
      <c r="A43" s="3099"/>
      <c r="B43" s="1879"/>
      <c r="C43" s="3687"/>
      <c r="D43" s="3926" t="s">
        <v>6100</v>
      </c>
      <c r="E43" s="3927"/>
      <c r="F43" s="3928"/>
      <c r="G43" s="823">
        <f>G44</f>
        <v>200000</v>
      </c>
      <c r="H43" s="823">
        <f>H44</f>
        <v>0</v>
      </c>
      <c r="I43" s="1332"/>
      <c r="J43" s="3684"/>
      <c r="K43" s="580"/>
      <c r="L43" s="3683"/>
      <c r="M43" s="3683"/>
      <c r="N43" s="3683"/>
      <c r="O43" s="3683"/>
      <c r="P43" s="3683"/>
      <c r="Q43" s="3683"/>
      <c r="R43" s="3683"/>
      <c r="S43" s="3683"/>
      <c r="T43" s="3683"/>
      <c r="U43" s="3683"/>
      <c r="V43" s="3683"/>
      <c r="W43" s="3683"/>
      <c r="X43" s="3683"/>
      <c r="Y43" s="581"/>
      <c r="Z43" s="582"/>
      <c r="AA43" s="595"/>
      <c r="AB43" s="423"/>
      <c r="AC43" s="423"/>
    </row>
    <row r="44" spans="1:29" s="3105" customFormat="1" ht="24" customHeight="1" thickBot="1">
      <c r="A44" s="3099"/>
      <c r="B44" s="1879"/>
      <c r="C44" s="3687"/>
      <c r="D44" s="542"/>
      <c r="E44" s="3906" t="s">
        <v>6101</v>
      </c>
      <c r="F44" s="3907"/>
      <c r="G44" s="3158">
        <v>200000</v>
      </c>
      <c r="H44" s="3158">
        <v>0</v>
      </c>
      <c r="I44" s="627"/>
      <c r="J44" s="1881">
        <f>H44-I44</f>
        <v>0</v>
      </c>
      <c r="K44" s="538"/>
      <c r="L44" s="3680"/>
      <c r="M44" s="3680"/>
      <c r="N44" s="3680"/>
      <c r="O44" s="3680"/>
      <c r="P44" s="3680"/>
      <c r="Q44" s="3680"/>
      <c r="R44" s="3680"/>
      <c r="S44" s="539"/>
      <c r="T44" s="3680"/>
      <c r="U44" s="3680"/>
      <c r="V44" s="3680"/>
      <c r="W44" s="3680"/>
      <c r="X44" s="3680"/>
      <c r="Y44" s="585"/>
      <c r="Z44" s="599"/>
      <c r="AA44" s="595"/>
      <c r="AB44" s="423"/>
      <c r="AC44" s="423"/>
    </row>
    <row r="45" spans="1:29" s="192" customFormat="1" ht="24" customHeight="1" thickBot="1">
      <c r="A45" s="832"/>
      <c r="B45" s="574" t="s">
        <v>1330</v>
      </c>
      <c r="C45" s="1902"/>
      <c r="D45" s="1902"/>
      <c r="E45" s="1902"/>
      <c r="F45" s="1902"/>
      <c r="G45" s="821">
        <f>+G46+G81+G104+G107+G116</f>
        <v>32424273</v>
      </c>
      <c r="H45" s="821">
        <f>+H46+H81+H104+H107+H116</f>
        <v>32424273</v>
      </c>
      <c r="I45" s="2655">
        <f t="shared" si="0"/>
        <v>0</v>
      </c>
      <c r="J45" s="2082"/>
      <c r="K45" s="2204"/>
      <c r="L45" s="2205"/>
      <c r="M45" s="2205"/>
      <c r="N45" s="2205"/>
      <c r="O45" s="2205"/>
      <c r="P45" s="2205"/>
      <c r="Q45" s="2205"/>
      <c r="R45" s="2205"/>
      <c r="S45" s="2205"/>
      <c r="T45" s="2205"/>
      <c r="U45" s="2205"/>
      <c r="V45" s="2205"/>
      <c r="W45" s="2205"/>
      <c r="X45" s="2205"/>
      <c r="Y45" s="2205"/>
      <c r="Z45" s="2656"/>
      <c r="AA45" s="2207"/>
      <c r="AB45" s="427"/>
      <c r="AC45" s="423">
        <f>G45*1000000</f>
        <v>32424273000000</v>
      </c>
    </row>
    <row r="46" spans="1:29" s="806" customFormat="1" ht="24" customHeight="1" thickBot="1">
      <c r="A46" s="833"/>
      <c r="B46" s="1903" t="s">
        <v>378</v>
      </c>
      <c r="C46" s="568" t="s">
        <v>1055</v>
      </c>
      <c r="D46" s="569"/>
      <c r="E46" s="570"/>
      <c r="F46" s="571"/>
      <c r="G46" s="822">
        <f>+G47+G50+G52+G57+G59+G66+G64+G68+G79</f>
        <v>7208273</v>
      </c>
      <c r="H46" s="822">
        <f>+H47+H50+H52+H57+H59+H66+H64+H68+H79</f>
        <v>7208273</v>
      </c>
      <c r="I46" s="573">
        <f t="shared" si="0"/>
        <v>0</v>
      </c>
      <c r="J46" s="840"/>
      <c r="K46" s="574"/>
      <c r="L46" s="575"/>
      <c r="M46" s="2657"/>
      <c r="N46" s="2657"/>
      <c r="O46" s="2657"/>
      <c r="P46" s="575"/>
      <c r="Q46" s="575"/>
      <c r="R46" s="575"/>
      <c r="S46" s="575"/>
      <c r="T46" s="575"/>
      <c r="U46" s="575"/>
      <c r="V46" s="575"/>
      <c r="W46" s="575"/>
      <c r="X46" s="575"/>
      <c r="Y46" s="576"/>
      <c r="Z46" s="2658"/>
      <c r="AA46" s="2659"/>
      <c r="AB46" s="805"/>
      <c r="AC46" s="423">
        <f t="shared" ref="AC46:AC55" si="15">G46*1000000</f>
        <v>7208273000000</v>
      </c>
    </row>
    <row r="47" spans="1:29" s="787" customFormat="1" ht="23.25" customHeight="1">
      <c r="A47" s="456" t="s">
        <v>1279</v>
      </c>
      <c r="B47" s="540"/>
      <c r="C47" s="541"/>
      <c r="D47" s="3926" t="s">
        <v>1291</v>
      </c>
      <c r="E47" s="3927"/>
      <c r="F47" s="3928"/>
      <c r="G47" s="823">
        <f>+G48+G49</f>
        <v>2400000</v>
      </c>
      <c r="H47" s="823">
        <f>+H48+H49</f>
        <v>2400000</v>
      </c>
      <c r="I47" s="1332">
        <f t="shared" si="0"/>
        <v>0</v>
      </c>
      <c r="J47" s="2082"/>
      <c r="K47" s="580"/>
      <c r="L47" s="2072"/>
      <c r="M47" s="2072"/>
      <c r="N47" s="2072"/>
      <c r="O47" s="2072"/>
      <c r="P47" s="2072"/>
      <c r="Q47" s="2072"/>
      <c r="R47" s="2072"/>
      <c r="S47" s="2072"/>
      <c r="T47" s="2072"/>
      <c r="U47" s="2072"/>
      <c r="V47" s="2072"/>
      <c r="W47" s="2072"/>
      <c r="X47" s="2072"/>
      <c r="Y47" s="581"/>
      <c r="Z47" s="582"/>
      <c r="AA47" s="595"/>
      <c r="AB47" s="423"/>
      <c r="AC47" s="423">
        <f t="shared" si="15"/>
        <v>2400000000000</v>
      </c>
    </row>
    <row r="48" spans="1:29" s="787" customFormat="1" ht="23.25" customHeight="1">
      <c r="A48" s="456"/>
      <c r="B48" s="540"/>
      <c r="C48" s="541"/>
      <c r="D48" s="542"/>
      <c r="E48" s="3906" t="s">
        <v>1292</v>
      </c>
      <c r="F48" s="3907"/>
      <c r="G48" s="598">
        <v>1200000</v>
      </c>
      <c r="H48" s="598">
        <v>1200000</v>
      </c>
      <c r="I48" s="627"/>
      <c r="J48" s="1881">
        <f>H48-I48</f>
        <v>1200000</v>
      </c>
      <c r="K48" s="538"/>
      <c r="L48" s="2068"/>
      <c r="M48" s="2068"/>
      <c r="N48" s="2068"/>
      <c r="O48" s="2068"/>
      <c r="P48" s="2068"/>
      <c r="Q48" s="2068"/>
      <c r="R48" s="2068"/>
      <c r="S48" s="539"/>
      <c r="T48" s="2068"/>
      <c r="U48" s="2068"/>
      <c r="V48" s="2068"/>
      <c r="W48" s="2068"/>
      <c r="X48" s="2068"/>
      <c r="Y48" s="585"/>
      <c r="Z48" s="599"/>
      <c r="AA48" s="595"/>
      <c r="AB48" s="423"/>
      <c r="AC48" s="423">
        <f t="shared" si="15"/>
        <v>1200000000000</v>
      </c>
    </row>
    <row r="49" spans="1:29" s="787" customFormat="1" ht="23.25" customHeight="1">
      <c r="A49" s="456"/>
      <c r="B49" s="540"/>
      <c r="C49" s="541"/>
      <c r="D49" s="542"/>
      <c r="E49" s="3906" t="s">
        <v>1293</v>
      </c>
      <c r="F49" s="3907"/>
      <c r="G49" s="598">
        <v>1200000</v>
      </c>
      <c r="H49" s="598">
        <v>1200000</v>
      </c>
      <c r="I49" s="627"/>
      <c r="J49" s="1881">
        <f>H49-I49</f>
        <v>1200000</v>
      </c>
      <c r="K49" s="538"/>
      <c r="L49" s="2068"/>
      <c r="M49" s="2068"/>
      <c r="N49" s="2068"/>
      <c r="O49" s="2068"/>
      <c r="P49" s="2068"/>
      <c r="Q49" s="2068"/>
      <c r="R49" s="2068"/>
      <c r="S49" s="539"/>
      <c r="T49" s="2068"/>
      <c r="U49" s="2068"/>
      <c r="V49" s="2068"/>
      <c r="W49" s="2068"/>
      <c r="X49" s="2068"/>
      <c r="Y49" s="585"/>
      <c r="Z49" s="599"/>
      <c r="AA49" s="595"/>
      <c r="AB49" s="423"/>
      <c r="AC49" s="423">
        <f t="shared" si="15"/>
        <v>1200000000000</v>
      </c>
    </row>
    <row r="50" spans="1:29" s="787" customFormat="1" ht="23.25" customHeight="1">
      <c r="A50" s="456" t="s">
        <v>1279</v>
      </c>
      <c r="B50" s="540"/>
      <c r="C50" s="541"/>
      <c r="D50" s="3836" t="s">
        <v>1295</v>
      </c>
      <c r="E50" s="3821"/>
      <c r="F50" s="3822"/>
      <c r="G50" s="823">
        <f>+G51</f>
        <v>1276000</v>
      </c>
      <c r="H50" s="823">
        <f>+H51</f>
        <v>1276000</v>
      </c>
      <c r="I50" s="1332">
        <f t="shared" ref="I50" si="16">G50-H50</f>
        <v>0</v>
      </c>
      <c r="J50" s="2082"/>
      <c r="K50" s="580"/>
      <c r="L50" s="2072"/>
      <c r="M50" s="2072"/>
      <c r="N50" s="2072"/>
      <c r="O50" s="2072"/>
      <c r="P50" s="2072"/>
      <c r="Q50" s="2072"/>
      <c r="R50" s="2072"/>
      <c r="S50" s="2072"/>
      <c r="T50" s="2072"/>
      <c r="U50" s="2072"/>
      <c r="V50" s="2072"/>
      <c r="W50" s="2072"/>
      <c r="X50" s="2072"/>
      <c r="Y50" s="581"/>
      <c r="Z50" s="756"/>
      <c r="AA50" s="595"/>
      <c r="AB50" s="423"/>
      <c r="AC50" s="423">
        <f t="shared" si="15"/>
        <v>1276000000000</v>
      </c>
    </row>
    <row r="51" spans="1:29" s="787" customFormat="1" ht="23.25" customHeight="1">
      <c r="A51" s="456"/>
      <c r="B51" s="540"/>
      <c r="C51" s="541"/>
      <c r="D51" s="2082"/>
      <c r="E51" s="2071" t="s">
        <v>1296</v>
      </c>
      <c r="F51" s="2069"/>
      <c r="G51" s="823">
        <v>1276000</v>
      </c>
      <c r="H51" s="823">
        <v>1276000</v>
      </c>
      <c r="I51" s="627"/>
      <c r="J51" s="2082"/>
      <c r="K51" s="580"/>
      <c r="L51" s="2072"/>
      <c r="M51" s="2072"/>
      <c r="N51" s="2072"/>
      <c r="O51" s="2072"/>
      <c r="P51" s="2072"/>
      <c r="Q51" s="2072"/>
      <c r="R51" s="2072"/>
      <c r="S51" s="2072"/>
      <c r="T51" s="2072"/>
      <c r="U51" s="2072"/>
      <c r="V51" s="2072"/>
      <c r="W51" s="2072"/>
      <c r="X51" s="2072"/>
      <c r="Y51" s="581"/>
      <c r="Z51" s="586"/>
      <c r="AA51" s="583"/>
      <c r="AB51" s="423"/>
      <c r="AC51" s="423">
        <f t="shared" si="15"/>
        <v>1276000000000</v>
      </c>
    </row>
    <row r="52" spans="1:29" s="787" customFormat="1" ht="23.25" customHeight="1">
      <c r="A52" s="456" t="s">
        <v>1279</v>
      </c>
      <c r="B52" s="591"/>
      <c r="C52" s="592"/>
      <c r="D52" s="3836" t="s">
        <v>1298</v>
      </c>
      <c r="E52" s="3821"/>
      <c r="F52" s="3822"/>
      <c r="G52" s="825">
        <f>+G53+G54+G55+G56</f>
        <v>566000</v>
      </c>
      <c r="H52" s="825">
        <f>+H53+H54+H55+H56</f>
        <v>566000</v>
      </c>
      <c r="I52" s="1332">
        <f t="shared" ref="I52" si="17">G52-H52</f>
        <v>0</v>
      </c>
      <c r="J52" s="2082"/>
      <c r="K52" s="2025"/>
      <c r="L52" s="2026"/>
      <c r="M52" s="2068"/>
      <c r="N52" s="2068"/>
      <c r="O52" s="1349"/>
      <c r="P52" s="2068"/>
      <c r="Q52" s="2068"/>
      <c r="R52" s="2322"/>
      <c r="S52" s="2027"/>
      <c r="T52" s="545"/>
      <c r="U52" s="2026"/>
      <c r="V52" s="2026"/>
      <c r="W52" s="2026"/>
      <c r="X52" s="2026"/>
      <c r="Y52" s="2028"/>
      <c r="Z52" s="586"/>
      <c r="AA52" s="622"/>
      <c r="AB52" s="423"/>
      <c r="AC52" s="423">
        <f t="shared" si="15"/>
        <v>566000000000</v>
      </c>
    </row>
    <row r="53" spans="1:29" ht="23.25" customHeight="1">
      <c r="B53" s="562"/>
      <c r="C53" s="563"/>
      <c r="D53" s="1910"/>
      <c r="E53" s="3825" t="s">
        <v>1984</v>
      </c>
      <c r="F53" s="3826"/>
      <c r="G53" s="823">
        <v>340000</v>
      </c>
      <c r="H53" s="823">
        <v>340000</v>
      </c>
      <c r="I53" s="627"/>
      <c r="J53" s="2082"/>
      <c r="K53" s="580"/>
      <c r="L53" s="2072"/>
      <c r="M53" s="2072"/>
      <c r="N53" s="2072"/>
      <c r="O53" s="2072"/>
      <c r="P53" s="2072"/>
      <c r="Q53" s="2072"/>
      <c r="R53" s="2072"/>
      <c r="S53" s="2348"/>
      <c r="T53" s="2072"/>
      <c r="U53" s="2072"/>
      <c r="V53" s="2072"/>
      <c r="W53" s="2072"/>
      <c r="X53" s="2072"/>
      <c r="Y53" s="581"/>
      <c r="Z53" s="586"/>
      <c r="AA53" s="2661"/>
      <c r="AB53" s="423"/>
      <c r="AC53" s="423">
        <f t="shared" si="15"/>
        <v>340000000000</v>
      </c>
    </row>
    <row r="54" spans="1:29" ht="23.25" customHeight="1">
      <c r="B54" s="562"/>
      <c r="C54" s="563"/>
      <c r="D54" s="1910"/>
      <c r="E54" s="3825" t="s">
        <v>1985</v>
      </c>
      <c r="F54" s="3826"/>
      <c r="G54" s="823">
        <v>86000</v>
      </c>
      <c r="H54" s="823">
        <v>86000</v>
      </c>
      <c r="I54" s="627"/>
      <c r="J54" s="2082"/>
      <c r="K54" s="580"/>
      <c r="L54" s="2072"/>
      <c r="M54" s="2072"/>
      <c r="N54" s="2072"/>
      <c r="O54" s="2072"/>
      <c r="P54" s="2072"/>
      <c r="Q54" s="2072"/>
      <c r="R54" s="2072"/>
      <c r="S54" s="2348"/>
      <c r="T54" s="2072"/>
      <c r="U54" s="2072"/>
      <c r="V54" s="2072"/>
      <c r="W54" s="2072"/>
      <c r="X54" s="2072"/>
      <c r="Y54" s="581"/>
      <c r="Z54" s="586"/>
      <c r="AA54" s="2661"/>
      <c r="AB54" s="423"/>
      <c r="AC54" s="423">
        <f t="shared" si="15"/>
        <v>86000000000</v>
      </c>
    </row>
    <row r="55" spans="1:29" ht="23.25" customHeight="1">
      <c r="B55" s="562"/>
      <c r="C55" s="563"/>
      <c r="D55" s="1910"/>
      <c r="E55" s="3825" t="s">
        <v>1986</v>
      </c>
      <c r="F55" s="3826"/>
      <c r="G55" s="823">
        <v>40000</v>
      </c>
      <c r="H55" s="823">
        <v>40000</v>
      </c>
      <c r="I55" s="627"/>
      <c r="J55" s="2082"/>
      <c r="K55" s="580"/>
      <c r="L55" s="2072"/>
      <c r="M55" s="2072"/>
      <c r="N55" s="2072"/>
      <c r="O55" s="2072"/>
      <c r="P55" s="2072"/>
      <c r="Q55" s="2072"/>
      <c r="R55" s="2072"/>
      <c r="S55" s="2348"/>
      <c r="T55" s="2072"/>
      <c r="U55" s="2072"/>
      <c r="V55" s="2072"/>
      <c r="W55" s="2072"/>
      <c r="X55" s="2072"/>
      <c r="Y55" s="581"/>
      <c r="Z55" s="586"/>
      <c r="AA55" s="2661"/>
      <c r="AB55" s="423"/>
      <c r="AC55" s="423">
        <f t="shared" si="15"/>
        <v>40000000000</v>
      </c>
    </row>
    <row r="56" spans="1:29" ht="23.25" customHeight="1">
      <c r="B56" s="562"/>
      <c r="C56" s="563"/>
      <c r="D56" s="1910"/>
      <c r="E56" s="3825" t="s">
        <v>1987</v>
      </c>
      <c r="F56" s="3826"/>
      <c r="G56" s="823">
        <v>100000</v>
      </c>
      <c r="H56" s="823">
        <v>100000</v>
      </c>
      <c r="I56" s="627"/>
      <c r="J56" s="2082"/>
      <c r="K56" s="580"/>
      <c r="L56" s="2072"/>
      <c r="M56" s="2072"/>
      <c r="N56" s="2072"/>
      <c r="O56" s="2072"/>
      <c r="P56" s="2072"/>
      <c r="Q56" s="2072"/>
      <c r="R56" s="2072"/>
      <c r="S56" s="2348"/>
      <c r="T56" s="2072"/>
      <c r="U56" s="2072"/>
      <c r="V56" s="2072"/>
      <c r="W56" s="2072"/>
      <c r="X56" s="2072"/>
      <c r="Y56" s="581"/>
      <c r="Z56" s="586"/>
      <c r="AA56" s="2661"/>
      <c r="AB56" s="423"/>
      <c r="AC56" s="423">
        <f t="shared" ref="AC56" si="18">G56*1000000</f>
        <v>100000000000</v>
      </c>
    </row>
    <row r="57" spans="1:29" s="787" customFormat="1" ht="23.25" customHeight="1">
      <c r="A57" s="456" t="s">
        <v>1279</v>
      </c>
      <c r="B57" s="591"/>
      <c r="C57" s="592"/>
      <c r="D57" s="3836" t="s">
        <v>1325</v>
      </c>
      <c r="E57" s="3821"/>
      <c r="F57" s="3822"/>
      <c r="G57" s="825">
        <f>+G58</f>
        <v>52273</v>
      </c>
      <c r="H57" s="825">
        <f>+H58</f>
        <v>52273</v>
      </c>
      <c r="I57" s="1332">
        <f t="shared" ref="I57" si="19">G57-H57</f>
        <v>0</v>
      </c>
      <c r="J57" s="2082"/>
      <c r="K57" s="2025"/>
      <c r="L57" s="2026"/>
      <c r="M57" s="2068"/>
      <c r="N57" s="2068"/>
      <c r="O57" s="1349"/>
      <c r="P57" s="2068"/>
      <c r="Q57" s="2068"/>
      <c r="R57" s="2322"/>
      <c r="S57" s="2027"/>
      <c r="T57" s="545"/>
      <c r="U57" s="2026"/>
      <c r="V57" s="2026"/>
      <c r="W57" s="2026"/>
      <c r="X57" s="2026"/>
      <c r="Y57" s="2028"/>
      <c r="Z57" s="586"/>
      <c r="AA57" s="622"/>
      <c r="AB57" s="423"/>
      <c r="AC57" s="423">
        <f t="shared" ref="AC57:AC60" si="20">G57*1000000</f>
        <v>52273000000</v>
      </c>
    </row>
    <row r="58" spans="1:29" ht="23.25" customHeight="1">
      <c r="B58" s="562"/>
      <c r="C58" s="563"/>
      <c r="D58" s="1910"/>
      <c r="E58" s="4106" t="s">
        <v>1324</v>
      </c>
      <c r="F58" s="3839"/>
      <c r="G58" s="823">
        <v>52273</v>
      </c>
      <c r="H58" s="823">
        <v>52273</v>
      </c>
      <c r="I58" s="627"/>
      <c r="J58" s="2082"/>
      <c r="K58" s="580"/>
      <c r="L58" s="2072"/>
      <c r="M58" s="2072"/>
      <c r="N58" s="2072"/>
      <c r="O58" s="2072"/>
      <c r="P58" s="2072"/>
      <c r="Q58" s="2072"/>
      <c r="R58" s="2072"/>
      <c r="S58" s="2348"/>
      <c r="T58" s="2072"/>
      <c r="U58" s="2072"/>
      <c r="V58" s="2072"/>
      <c r="W58" s="2072"/>
      <c r="X58" s="2072"/>
      <c r="Y58" s="581"/>
      <c r="Z58" s="586"/>
      <c r="AA58" s="2661"/>
      <c r="AB58" s="423"/>
      <c r="AC58" s="423">
        <f t="shared" si="20"/>
        <v>52273000000</v>
      </c>
    </row>
    <row r="59" spans="1:29" s="787" customFormat="1" ht="23.25" customHeight="1">
      <c r="A59" s="456" t="s">
        <v>1279</v>
      </c>
      <c r="B59" s="540"/>
      <c r="C59" s="541"/>
      <c r="D59" s="3821" t="s">
        <v>1326</v>
      </c>
      <c r="E59" s="3821"/>
      <c r="F59" s="3822"/>
      <c r="G59" s="598">
        <f>+G60+G61+G62+G63</f>
        <v>300000</v>
      </c>
      <c r="H59" s="598">
        <f>+H60+H61+H62+H63</f>
        <v>300000</v>
      </c>
      <c r="I59" s="1332">
        <f t="shared" ref="I59" si="21">G59-H59</f>
        <v>0</v>
      </c>
      <c r="J59" s="2082"/>
      <c r="K59" s="538"/>
      <c r="L59" s="2068"/>
      <c r="M59" s="2068"/>
      <c r="N59" s="2068"/>
      <c r="O59" s="2068"/>
      <c r="P59" s="2068"/>
      <c r="Q59" s="2068"/>
      <c r="R59" s="2068"/>
      <c r="S59" s="2068"/>
      <c r="T59" s="2068"/>
      <c r="U59" s="2068"/>
      <c r="V59" s="2068"/>
      <c r="W59" s="2068"/>
      <c r="X59" s="2068"/>
      <c r="Y59" s="585"/>
      <c r="Z59" s="599"/>
      <c r="AA59" s="595"/>
      <c r="AB59" s="423"/>
      <c r="AC59" s="423">
        <f t="shared" si="20"/>
        <v>300000000000</v>
      </c>
    </row>
    <row r="60" spans="1:29" s="787" customFormat="1" ht="23.25" customHeight="1">
      <c r="A60" s="456"/>
      <c r="B60" s="540"/>
      <c r="C60" s="541"/>
      <c r="D60" s="542"/>
      <c r="E60" s="3906" t="s">
        <v>1116</v>
      </c>
      <c r="F60" s="3907"/>
      <c r="G60" s="598">
        <v>150000</v>
      </c>
      <c r="H60" s="598">
        <v>150000</v>
      </c>
      <c r="I60" s="627"/>
      <c r="J60" s="2082"/>
      <c r="K60" s="538"/>
      <c r="L60" s="2068"/>
      <c r="M60" s="2068"/>
      <c r="N60" s="2068"/>
      <c r="O60" s="2068"/>
      <c r="P60" s="2068"/>
      <c r="Q60" s="2068"/>
      <c r="R60" s="2068"/>
      <c r="S60" s="539"/>
      <c r="T60" s="2068"/>
      <c r="U60" s="2068"/>
      <c r="V60" s="2068"/>
      <c r="W60" s="2068"/>
      <c r="X60" s="2068"/>
      <c r="Y60" s="585"/>
      <c r="Z60" s="594"/>
      <c r="AA60" s="2662"/>
      <c r="AB60" s="423"/>
      <c r="AC60" s="423">
        <f t="shared" si="20"/>
        <v>150000000000</v>
      </c>
    </row>
    <row r="61" spans="1:29" s="787" customFormat="1" ht="23.25" customHeight="1">
      <c r="A61" s="456"/>
      <c r="B61" s="540"/>
      <c r="C61" s="541"/>
      <c r="D61" s="542"/>
      <c r="E61" s="3837" t="s">
        <v>1327</v>
      </c>
      <c r="F61" s="3838"/>
      <c r="G61" s="598">
        <v>63000</v>
      </c>
      <c r="H61" s="598">
        <v>63000</v>
      </c>
      <c r="I61" s="627"/>
      <c r="J61" s="2082"/>
      <c r="K61" s="538"/>
      <c r="L61" s="2068"/>
      <c r="M61" s="2068"/>
      <c r="N61" s="2068"/>
      <c r="O61" s="2068"/>
      <c r="P61" s="2068"/>
      <c r="Q61" s="2068"/>
      <c r="R61" s="2068"/>
      <c r="S61" s="539"/>
      <c r="T61" s="2068"/>
      <c r="U61" s="2068"/>
      <c r="V61" s="2068"/>
      <c r="W61" s="2068"/>
      <c r="X61" s="2068"/>
      <c r="Y61" s="585"/>
      <c r="Z61" s="594"/>
      <c r="AA61" s="2662"/>
      <c r="AB61" s="423"/>
      <c r="AC61" s="423">
        <f t="shared" ref="AC61:AC65" si="22">G61*1000000</f>
        <v>63000000000</v>
      </c>
    </row>
    <row r="62" spans="1:29" s="787" customFormat="1" ht="23.25" customHeight="1">
      <c r="A62" s="456"/>
      <c r="B62" s="540"/>
      <c r="C62" s="541"/>
      <c r="D62" s="1910"/>
      <c r="E62" s="3837" t="s">
        <v>1328</v>
      </c>
      <c r="F62" s="3838"/>
      <c r="G62" s="598">
        <v>60000</v>
      </c>
      <c r="H62" s="598">
        <v>60000</v>
      </c>
      <c r="I62" s="627"/>
      <c r="J62" s="2082"/>
      <c r="K62" s="538"/>
      <c r="L62" s="2068"/>
      <c r="M62" s="2068"/>
      <c r="N62" s="2068"/>
      <c r="O62" s="2068"/>
      <c r="P62" s="2068"/>
      <c r="Q62" s="2068"/>
      <c r="R62" s="2068"/>
      <c r="S62" s="539"/>
      <c r="T62" s="2068"/>
      <c r="U62" s="2068"/>
      <c r="V62" s="2068"/>
      <c r="W62" s="2068"/>
      <c r="X62" s="2068"/>
      <c r="Y62" s="585"/>
      <c r="Z62" s="594"/>
      <c r="AA62" s="2662"/>
      <c r="AB62" s="423"/>
      <c r="AC62" s="423">
        <f t="shared" si="22"/>
        <v>60000000000</v>
      </c>
    </row>
    <row r="63" spans="1:29" ht="23.25" customHeight="1">
      <c r="B63" s="562"/>
      <c r="C63" s="563"/>
      <c r="D63" s="1911"/>
      <c r="E63" s="3837" t="s">
        <v>1329</v>
      </c>
      <c r="F63" s="3838"/>
      <c r="G63" s="584">
        <v>27000</v>
      </c>
      <c r="H63" s="584">
        <v>27000</v>
      </c>
      <c r="I63" s="529"/>
      <c r="J63" s="2082"/>
      <c r="K63" s="538"/>
      <c r="L63" s="2068"/>
      <c r="M63" s="2068"/>
      <c r="N63" s="2068"/>
      <c r="O63" s="2068"/>
      <c r="P63" s="2068"/>
      <c r="Q63" s="2068"/>
      <c r="R63" s="2068"/>
      <c r="S63" s="539"/>
      <c r="T63" s="2068"/>
      <c r="U63" s="2068"/>
      <c r="V63" s="2068"/>
      <c r="W63" s="2068"/>
      <c r="X63" s="2068"/>
      <c r="Y63" s="585"/>
      <c r="Z63" s="594"/>
      <c r="AA63" s="2662"/>
      <c r="AB63" s="423"/>
      <c r="AC63" s="423">
        <f t="shared" si="22"/>
        <v>27000000000</v>
      </c>
    </row>
    <row r="64" spans="1:29" s="787" customFormat="1" ht="23.25" customHeight="1">
      <c r="A64" s="456" t="s">
        <v>1279</v>
      </c>
      <c r="B64" s="540"/>
      <c r="C64" s="541"/>
      <c r="D64" s="3821" t="s">
        <v>1332</v>
      </c>
      <c r="E64" s="3821"/>
      <c r="F64" s="3822"/>
      <c r="G64" s="598">
        <f>+G65</f>
        <v>1606000</v>
      </c>
      <c r="H64" s="598">
        <f>+H65</f>
        <v>1606000</v>
      </c>
      <c r="I64" s="1332">
        <f t="shared" ref="I64" si="23">G64-H64</f>
        <v>0</v>
      </c>
      <c r="J64" s="2082"/>
      <c r="K64" s="2105"/>
      <c r="L64" s="2106"/>
      <c r="M64" s="2082"/>
      <c r="N64" s="2082"/>
      <c r="O64" s="475"/>
      <c r="P64" s="2082"/>
      <c r="Q64" s="2082"/>
      <c r="R64" s="475"/>
      <c r="S64" s="2082"/>
      <c r="T64" s="474"/>
      <c r="U64" s="2106"/>
      <c r="V64" s="2106"/>
      <c r="W64" s="475"/>
      <c r="X64" s="2092"/>
      <c r="Y64" s="2030"/>
      <c r="Z64" s="554"/>
      <c r="AA64" s="555"/>
      <c r="AB64" s="423"/>
      <c r="AC64" s="423"/>
    </row>
    <row r="65" spans="1:29" s="787" customFormat="1" ht="23.25" customHeight="1">
      <c r="A65" s="456"/>
      <c r="B65" s="540"/>
      <c r="C65" s="541"/>
      <c r="D65" s="542"/>
      <c r="E65" s="3906" t="s">
        <v>1304</v>
      </c>
      <c r="F65" s="3907"/>
      <c r="G65" s="598">
        <v>1606000</v>
      </c>
      <c r="H65" s="598">
        <v>1606000</v>
      </c>
      <c r="I65" s="627"/>
      <c r="J65" s="2082"/>
      <c r="K65" s="538"/>
      <c r="L65" s="2068"/>
      <c r="M65" s="2068"/>
      <c r="N65" s="2068"/>
      <c r="O65" s="2068"/>
      <c r="P65" s="2068"/>
      <c r="Q65" s="2068"/>
      <c r="R65" s="2068"/>
      <c r="S65" s="539"/>
      <c r="T65" s="2068"/>
      <c r="U65" s="2068"/>
      <c r="V65" s="2068"/>
      <c r="W65" s="2068"/>
      <c r="X65" s="2068"/>
      <c r="Y65" s="585"/>
      <c r="Z65" s="586"/>
      <c r="AA65" s="2136"/>
      <c r="AB65" s="423"/>
      <c r="AC65" s="423">
        <f t="shared" si="22"/>
        <v>1606000000000</v>
      </c>
    </row>
    <row r="66" spans="1:29" ht="23.25" customHeight="1">
      <c r="A66" s="456" t="s">
        <v>1279</v>
      </c>
      <c r="B66" s="562"/>
      <c r="C66" s="563"/>
      <c r="D66" s="3821" t="s">
        <v>1308</v>
      </c>
      <c r="E66" s="3821"/>
      <c r="F66" s="3822"/>
      <c r="G66" s="598">
        <f>+G67</f>
        <v>468000</v>
      </c>
      <c r="H66" s="598">
        <f>+H67</f>
        <v>468000</v>
      </c>
      <c r="I66" s="1332">
        <f t="shared" ref="I66" si="24">G66-H66</f>
        <v>0</v>
      </c>
      <c r="J66" s="2082"/>
      <c r="K66" s="2105"/>
      <c r="L66" s="2082"/>
      <c r="M66" s="2082"/>
      <c r="N66" s="2082"/>
      <c r="O66" s="2082"/>
      <c r="P66" s="2082"/>
      <c r="Q66" s="2082"/>
      <c r="R66" s="556"/>
      <c r="S66" s="2092"/>
      <c r="T66" s="474"/>
      <c r="U66" s="2106"/>
      <c r="V66" s="2106"/>
      <c r="W66" s="2106"/>
      <c r="X66" s="2106"/>
      <c r="Y66" s="2030"/>
      <c r="Z66" s="554"/>
      <c r="AA66" s="555"/>
      <c r="AB66" s="423"/>
      <c r="AC66" s="423"/>
    </row>
    <row r="67" spans="1:29" s="787" customFormat="1" ht="23.25" customHeight="1" thickBot="1">
      <c r="A67" s="456"/>
      <c r="B67" s="540"/>
      <c r="C67" s="541"/>
      <c r="D67" s="1910"/>
      <c r="E67" s="3906" t="s">
        <v>1331</v>
      </c>
      <c r="F67" s="3907"/>
      <c r="G67" s="584">
        <v>468000</v>
      </c>
      <c r="H67" s="584">
        <v>468000</v>
      </c>
      <c r="I67" s="529"/>
      <c r="J67" s="2082"/>
      <c r="K67" s="538"/>
      <c r="L67" s="2068"/>
      <c r="M67" s="2068"/>
      <c r="N67" s="2068"/>
      <c r="O67" s="2068"/>
      <c r="P67" s="2068"/>
      <c r="Q67" s="2068"/>
      <c r="R67" s="2068"/>
      <c r="S67" s="539"/>
      <c r="T67" s="2068"/>
      <c r="U67" s="2068"/>
      <c r="V67" s="2068"/>
      <c r="W67" s="2068"/>
      <c r="X67" s="2068"/>
      <c r="Y67" s="585"/>
      <c r="Z67" s="594"/>
      <c r="AA67" s="2663"/>
      <c r="AB67" s="423"/>
      <c r="AC67" s="423">
        <f>G67*1000000</f>
        <v>468000000000</v>
      </c>
    </row>
    <row r="68" spans="1:29" s="1847" customFormat="1" ht="23.25" customHeight="1">
      <c r="A68" s="456" t="s">
        <v>1279</v>
      </c>
      <c r="B68" s="540"/>
      <c r="C68" s="541"/>
      <c r="D68" s="3821" t="s">
        <v>1993</v>
      </c>
      <c r="E68" s="3821"/>
      <c r="F68" s="3822"/>
      <c r="G68" s="598">
        <f>+G69</f>
        <v>530000</v>
      </c>
      <c r="H68" s="598">
        <f>+H69</f>
        <v>530000</v>
      </c>
      <c r="I68" s="1332">
        <f t="shared" ref="I68" si="25">G68-H68</f>
        <v>0</v>
      </c>
      <c r="J68" s="2082"/>
      <c r="K68" s="2105"/>
      <c r="L68" s="2106"/>
      <c r="M68" s="2082"/>
      <c r="N68" s="2082"/>
      <c r="O68" s="475"/>
      <c r="P68" s="2082"/>
      <c r="Q68" s="2082"/>
      <c r="R68" s="475"/>
      <c r="S68" s="2082"/>
      <c r="T68" s="474"/>
      <c r="U68" s="2106"/>
      <c r="V68" s="2106"/>
      <c r="W68" s="475"/>
      <c r="X68" s="2092"/>
      <c r="Y68" s="2030"/>
      <c r="Z68" s="554"/>
      <c r="AA68" s="555"/>
      <c r="AB68" s="423"/>
      <c r="AC68" s="423"/>
    </row>
    <row r="69" spans="1:29" s="1847" customFormat="1" ht="23.25" customHeight="1">
      <c r="A69" s="456"/>
      <c r="B69" s="540"/>
      <c r="C69" s="541"/>
      <c r="D69" s="542"/>
      <c r="E69" s="3906" t="s">
        <v>1994</v>
      </c>
      <c r="F69" s="3907"/>
      <c r="G69" s="598">
        <f>SUM(G70:G78)</f>
        <v>530000</v>
      </c>
      <c r="H69" s="598">
        <f>SUM(H70:H78)</f>
        <v>530000</v>
      </c>
      <c r="I69" s="627"/>
      <c r="J69" s="2082"/>
      <c r="K69" s="538"/>
      <c r="L69" s="2068"/>
      <c r="M69" s="2068"/>
      <c r="N69" s="2068"/>
      <c r="O69" s="2068"/>
      <c r="P69" s="2068"/>
      <c r="Q69" s="2068"/>
      <c r="R69" s="2068"/>
      <c r="S69" s="539"/>
      <c r="T69" s="2068"/>
      <c r="U69" s="2068"/>
      <c r="V69" s="2068"/>
      <c r="W69" s="2068"/>
      <c r="X69" s="2068"/>
      <c r="Y69" s="585"/>
      <c r="Z69" s="586"/>
      <c r="AA69" s="2136"/>
      <c r="AB69" s="423"/>
      <c r="AC69" s="423">
        <f t="shared" ref="AC69" si="26">G69*1000000</f>
        <v>530000000000</v>
      </c>
    </row>
    <row r="70" spans="1:29" s="1875" customFormat="1" ht="23.25" hidden="1" customHeight="1">
      <c r="A70" s="456"/>
      <c r="B70" s="540"/>
      <c r="C70" s="541"/>
      <c r="D70" s="542"/>
      <c r="E70" s="1906"/>
      <c r="F70" s="589" t="s">
        <v>95</v>
      </c>
      <c r="G70" s="526">
        <f>Z70</f>
        <v>400</v>
      </c>
      <c r="H70" s="1918">
        <v>400</v>
      </c>
      <c r="I70" s="551"/>
      <c r="J70" s="543"/>
      <c r="K70" s="2105" t="s">
        <v>280</v>
      </c>
      <c r="L70" s="2106"/>
      <c r="M70" s="2082"/>
      <c r="N70" s="2082"/>
      <c r="O70" s="475" t="s">
        <v>20</v>
      </c>
      <c r="P70" s="2082" t="s">
        <v>20</v>
      </c>
      <c r="Q70" s="2082"/>
      <c r="R70" s="556">
        <v>2</v>
      </c>
      <c r="S70" s="2080" t="s">
        <v>2134</v>
      </c>
      <c r="T70" s="474">
        <v>20000</v>
      </c>
      <c r="U70" s="2106" t="s">
        <v>0</v>
      </c>
      <c r="V70" s="2106"/>
      <c r="W70" s="2106">
        <v>10</v>
      </c>
      <c r="X70" s="2106" t="s">
        <v>3</v>
      </c>
      <c r="Y70" s="2030" t="s">
        <v>1</v>
      </c>
      <c r="Z70" s="483">
        <f>AA70/1000</f>
        <v>400</v>
      </c>
      <c r="AA70" s="547">
        <f>R70*T70*W70</f>
        <v>400000</v>
      </c>
      <c r="AB70" s="423"/>
      <c r="AC70" s="423"/>
    </row>
    <row r="71" spans="1:29" s="1875" customFormat="1" ht="23.25" hidden="1" customHeight="1">
      <c r="A71" s="456"/>
      <c r="B71" s="540"/>
      <c r="C71" s="541"/>
      <c r="D71" s="542"/>
      <c r="E71" s="1908"/>
      <c r="F71" s="2023" t="s">
        <v>2140</v>
      </c>
      <c r="G71" s="526">
        <f>Z71</f>
        <v>3000</v>
      </c>
      <c r="H71" s="1918">
        <v>3000</v>
      </c>
      <c r="I71" s="551"/>
      <c r="J71" s="543"/>
      <c r="K71" s="2105" t="s">
        <v>8</v>
      </c>
      <c r="L71" s="2082"/>
      <c r="M71" s="2082"/>
      <c r="N71" s="2082"/>
      <c r="O71" s="2082"/>
      <c r="P71" s="2082"/>
      <c r="Q71" s="2082"/>
      <c r="R71" s="2082"/>
      <c r="S71" s="552"/>
      <c r="T71" s="2082"/>
      <c r="U71" s="2082"/>
      <c r="V71" s="2082"/>
      <c r="W71" s="2082"/>
      <c r="X71" s="2082"/>
      <c r="Y71" s="2030"/>
      <c r="Z71" s="483">
        <f t="shared" ref="Z71:Z78" si="27">AA71/1000</f>
        <v>3000</v>
      </c>
      <c r="AA71" s="547">
        <f>SUM(AA72:AA73)</f>
        <v>3000000</v>
      </c>
      <c r="AB71" s="423"/>
      <c r="AC71" s="423"/>
    </row>
    <row r="72" spans="1:29" s="1875" customFormat="1" ht="23.25" hidden="1" customHeight="1">
      <c r="A72" s="456"/>
      <c r="B72" s="540"/>
      <c r="C72" s="541"/>
      <c r="D72" s="542"/>
      <c r="E72" s="624"/>
      <c r="F72" s="2023"/>
      <c r="G72" s="526"/>
      <c r="H72" s="1918"/>
      <c r="I72" s="551"/>
      <c r="J72" s="543"/>
      <c r="K72" s="2105" t="s">
        <v>281</v>
      </c>
      <c r="L72" s="2082"/>
      <c r="M72" s="2082"/>
      <c r="N72" s="2082"/>
      <c r="O72" s="2082"/>
      <c r="P72" s="2082"/>
      <c r="Q72" s="2082"/>
      <c r="R72" s="556">
        <v>4</v>
      </c>
      <c r="S72" s="2080" t="s">
        <v>2134</v>
      </c>
      <c r="T72" s="474">
        <v>200000</v>
      </c>
      <c r="U72" s="2106" t="s">
        <v>0</v>
      </c>
      <c r="V72" s="2106"/>
      <c r="W72" s="2106">
        <v>2</v>
      </c>
      <c r="X72" s="2106" t="s">
        <v>3</v>
      </c>
      <c r="Y72" s="2030" t="s">
        <v>1</v>
      </c>
      <c r="Z72" s="483">
        <f t="shared" si="27"/>
        <v>1600</v>
      </c>
      <c r="AA72" s="2664">
        <f>R72*T72*W72</f>
        <v>1600000</v>
      </c>
      <c r="AB72" s="423"/>
      <c r="AC72" s="423"/>
    </row>
    <row r="73" spans="1:29" s="1875" customFormat="1" ht="23.25" hidden="1" customHeight="1">
      <c r="A73" s="456"/>
      <c r="B73" s="540"/>
      <c r="C73" s="541"/>
      <c r="D73" s="542"/>
      <c r="E73" s="624"/>
      <c r="F73" s="2023"/>
      <c r="G73" s="526"/>
      <c r="H73" s="1918"/>
      <c r="I73" s="551"/>
      <c r="J73" s="543"/>
      <c r="K73" s="2105" t="s">
        <v>2152</v>
      </c>
      <c r="L73" s="2082"/>
      <c r="M73" s="2082"/>
      <c r="N73" s="2082"/>
      <c r="O73" s="2082"/>
      <c r="P73" s="2082"/>
      <c r="Q73" s="2082"/>
      <c r="R73" s="556">
        <v>7</v>
      </c>
      <c r="S73" s="2080" t="s">
        <v>2134</v>
      </c>
      <c r="T73" s="474">
        <v>200000</v>
      </c>
      <c r="U73" s="2106" t="s">
        <v>0</v>
      </c>
      <c r="V73" s="2106"/>
      <c r="W73" s="2106">
        <v>1</v>
      </c>
      <c r="X73" s="2106" t="s">
        <v>3</v>
      </c>
      <c r="Y73" s="2030" t="s">
        <v>1</v>
      </c>
      <c r="Z73" s="483">
        <f t="shared" si="27"/>
        <v>1400</v>
      </c>
      <c r="AA73" s="2664">
        <f>R73*T73*W73</f>
        <v>1400000</v>
      </c>
      <c r="AB73" s="423"/>
      <c r="AC73" s="423"/>
    </row>
    <row r="74" spans="1:29" s="1875" customFormat="1" ht="23.25" hidden="1" customHeight="1">
      <c r="A74" s="456"/>
      <c r="B74" s="540"/>
      <c r="C74" s="541"/>
      <c r="D74" s="542"/>
      <c r="E74" s="592"/>
      <c r="F74" s="745" t="s">
        <v>2122</v>
      </c>
      <c r="G74" s="526">
        <f>Z74</f>
        <v>525000</v>
      </c>
      <c r="H74" s="1918">
        <v>525000</v>
      </c>
      <c r="I74" s="551"/>
      <c r="J74" s="543"/>
      <c r="K74" s="2105" t="s">
        <v>2151</v>
      </c>
      <c r="L74" s="2106"/>
      <c r="M74" s="2082"/>
      <c r="N74" s="2082"/>
      <c r="O74" s="2082"/>
      <c r="P74" s="2082"/>
      <c r="Q74" s="2082"/>
      <c r="R74" s="556"/>
      <c r="S74" s="2092"/>
      <c r="T74" s="474">
        <v>525000000</v>
      </c>
      <c r="U74" s="2106" t="s">
        <v>0</v>
      </c>
      <c r="V74" s="2106"/>
      <c r="W74" s="2106">
        <v>1</v>
      </c>
      <c r="X74" s="2106" t="s">
        <v>2126</v>
      </c>
      <c r="Y74" s="2030" t="s">
        <v>1</v>
      </c>
      <c r="Z74" s="483">
        <f t="shared" si="27"/>
        <v>525000</v>
      </c>
      <c r="AA74" s="2664">
        <f>T74*W74</f>
        <v>525000000</v>
      </c>
      <c r="AB74" s="423"/>
      <c r="AC74" s="423"/>
    </row>
    <row r="75" spans="1:29" s="1875" customFormat="1" ht="23.25" hidden="1" customHeight="1">
      <c r="A75" s="456"/>
      <c r="B75" s="540"/>
      <c r="C75" s="541"/>
      <c r="D75" s="542"/>
      <c r="E75" s="1908"/>
      <c r="F75" s="2023" t="s">
        <v>62</v>
      </c>
      <c r="G75" s="526">
        <f>Z75</f>
        <v>1000</v>
      </c>
      <c r="H75" s="1918">
        <v>1000</v>
      </c>
      <c r="I75" s="551"/>
      <c r="J75" s="543"/>
      <c r="K75" s="2105" t="s">
        <v>2153</v>
      </c>
      <c r="L75" s="2106"/>
      <c r="M75" s="2082"/>
      <c r="N75" s="2082"/>
      <c r="O75" s="475"/>
      <c r="P75" s="2082"/>
      <c r="Q75" s="2082"/>
      <c r="R75" s="556"/>
      <c r="S75" s="2092"/>
      <c r="T75" s="474"/>
      <c r="U75" s="2106"/>
      <c r="V75" s="2106"/>
      <c r="W75" s="2106"/>
      <c r="X75" s="2106"/>
      <c r="Y75" s="2030"/>
      <c r="Z75" s="483">
        <f t="shared" si="27"/>
        <v>1000</v>
      </c>
      <c r="AA75" s="2664">
        <f>SUM(AA76:AA77)</f>
        <v>1000000</v>
      </c>
      <c r="AB75" s="423"/>
      <c r="AC75" s="423"/>
    </row>
    <row r="76" spans="1:29" s="1875" customFormat="1" ht="23.25" hidden="1" customHeight="1">
      <c r="A76" s="456"/>
      <c r="B76" s="540"/>
      <c r="C76" s="541"/>
      <c r="D76" s="542"/>
      <c r="E76" s="1908"/>
      <c r="F76" s="592"/>
      <c r="G76" s="526"/>
      <c r="H76" s="1918"/>
      <c r="I76" s="551"/>
      <c r="J76" s="543"/>
      <c r="K76" s="2105" t="s">
        <v>2154</v>
      </c>
      <c r="L76" s="2106"/>
      <c r="M76" s="2082"/>
      <c r="N76" s="2082"/>
      <c r="O76" s="475"/>
      <c r="P76" s="2082"/>
      <c r="Q76" s="2082"/>
      <c r="R76" s="556"/>
      <c r="S76" s="2092"/>
      <c r="T76" s="474">
        <v>500000</v>
      </c>
      <c r="U76" s="2106" t="s">
        <v>0</v>
      </c>
      <c r="V76" s="2106"/>
      <c r="W76" s="2106">
        <v>1</v>
      </c>
      <c r="X76" s="2106" t="s">
        <v>3</v>
      </c>
      <c r="Y76" s="2030" t="s">
        <v>1</v>
      </c>
      <c r="Z76" s="483">
        <f t="shared" si="27"/>
        <v>500</v>
      </c>
      <c r="AA76" s="2664">
        <f>T76*W76</f>
        <v>500000</v>
      </c>
      <c r="AB76" s="423"/>
      <c r="AC76" s="423"/>
    </row>
    <row r="77" spans="1:29" s="1875" customFormat="1" ht="23.25" hidden="1" customHeight="1">
      <c r="A77" s="456"/>
      <c r="B77" s="540"/>
      <c r="C77" s="541"/>
      <c r="D77" s="542"/>
      <c r="E77" s="1908"/>
      <c r="F77" s="2023"/>
      <c r="G77" s="526"/>
      <c r="H77" s="1918"/>
      <c r="I77" s="551"/>
      <c r="J77" s="543"/>
      <c r="K77" s="2105" t="s">
        <v>287</v>
      </c>
      <c r="L77" s="2106"/>
      <c r="M77" s="2082"/>
      <c r="N77" s="2082"/>
      <c r="O77" s="475"/>
      <c r="P77" s="2082"/>
      <c r="Q77" s="2082"/>
      <c r="R77" s="556"/>
      <c r="S77" s="2092"/>
      <c r="T77" s="474">
        <v>500000</v>
      </c>
      <c r="U77" s="2106" t="s">
        <v>0</v>
      </c>
      <c r="V77" s="2106"/>
      <c r="W77" s="2106">
        <v>1</v>
      </c>
      <c r="X77" s="2106" t="s">
        <v>3</v>
      </c>
      <c r="Y77" s="2030" t="s">
        <v>1</v>
      </c>
      <c r="Z77" s="483">
        <f t="shared" si="27"/>
        <v>500</v>
      </c>
      <c r="AA77" s="2664">
        <f>T77*W77</f>
        <v>500000</v>
      </c>
      <c r="AB77" s="423"/>
      <c r="AC77" s="423"/>
    </row>
    <row r="78" spans="1:29" s="1875" customFormat="1" ht="23.25" hidden="1" customHeight="1">
      <c r="A78" s="456"/>
      <c r="B78" s="540"/>
      <c r="C78" s="541"/>
      <c r="D78" s="542"/>
      <c r="E78" s="624"/>
      <c r="F78" s="745" t="s">
        <v>61</v>
      </c>
      <c r="G78" s="526">
        <f>Z78</f>
        <v>600</v>
      </c>
      <c r="H78" s="1918">
        <v>600</v>
      </c>
      <c r="I78" s="551"/>
      <c r="J78" s="543"/>
      <c r="K78" s="3415" t="s">
        <v>2155</v>
      </c>
      <c r="L78" s="3416"/>
      <c r="M78" s="3414"/>
      <c r="N78" s="3414"/>
      <c r="O78" s="3109"/>
      <c r="P78" s="3414"/>
      <c r="Q78" s="3414"/>
      <c r="R78" s="556">
        <v>5</v>
      </c>
      <c r="S78" s="3419" t="s">
        <v>2134</v>
      </c>
      <c r="T78" s="3108">
        <v>20000</v>
      </c>
      <c r="U78" s="3416" t="s">
        <v>0</v>
      </c>
      <c r="V78" s="3416"/>
      <c r="W78" s="3416">
        <v>6</v>
      </c>
      <c r="X78" s="3416" t="s">
        <v>3</v>
      </c>
      <c r="Y78" s="2030" t="s">
        <v>1</v>
      </c>
      <c r="Z78" s="483">
        <f t="shared" si="27"/>
        <v>600</v>
      </c>
      <c r="AA78" s="2664">
        <f>R78*T78*W78</f>
        <v>600000</v>
      </c>
      <c r="AB78" s="423"/>
      <c r="AC78" s="423"/>
    </row>
    <row r="79" spans="1:29" s="3105" customFormat="1" ht="23.25" customHeight="1">
      <c r="A79" s="3099" t="s">
        <v>1279</v>
      </c>
      <c r="B79" s="540"/>
      <c r="C79" s="3461"/>
      <c r="D79" s="3821" t="s">
        <v>5597</v>
      </c>
      <c r="E79" s="3821"/>
      <c r="F79" s="3822"/>
      <c r="G79" s="3158">
        <f>+G80</f>
        <v>10000</v>
      </c>
      <c r="H79" s="3158">
        <f>+H80</f>
        <v>10000</v>
      </c>
      <c r="I79" s="1320">
        <f>G79-H79</f>
        <v>0</v>
      </c>
      <c r="J79" s="3456"/>
      <c r="K79" s="3457"/>
      <c r="L79" s="3458"/>
      <c r="M79" s="3456"/>
      <c r="N79" s="3456"/>
      <c r="O79" s="3109"/>
      <c r="P79" s="3456"/>
      <c r="Q79" s="3456"/>
      <c r="R79" s="3109"/>
      <c r="S79" s="3456"/>
      <c r="T79" s="3108"/>
      <c r="U79" s="3458"/>
      <c r="V79" s="3458"/>
      <c r="W79" s="3109"/>
      <c r="X79" s="3453"/>
      <c r="Y79" s="2030"/>
      <c r="Z79" s="554"/>
      <c r="AA79" s="555"/>
      <c r="AB79" s="423"/>
      <c r="AC79" s="423"/>
    </row>
    <row r="80" spans="1:29" s="3105" customFormat="1" ht="23.25" customHeight="1" thickBot="1">
      <c r="A80" s="3099"/>
      <c r="B80" s="540"/>
      <c r="C80" s="3461"/>
      <c r="D80" s="542"/>
      <c r="E80" s="3906" t="s">
        <v>5598</v>
      </c>
      <c r="F80" s="3907"/>
      <c r="G80" s="3158">
        <v>10000</v>
      </c>
      <c r="H80" s="3158">
        <v>10000</v>
      </c>
      <c r="I80" s="627"/>
      <c r="J80" s="3456"/>
      <c r="K80" s="538"/>
      <c r="L80" s="3451"/>
      <c r="M80" s="3451"/>
      <c r="N80" s="3451"/>
      <c r="O80" s="3451"/>
      <c r="P80" s="3451"/>
      <c r="Q80" s="3451"/>
      <c r="R80" s="3451"/>
      <c r="S80" s="539"/>
      <c r="T80" s="3451"/>
      <c r="U80" s="3451"/>
      <c r="V80" s="3451"/>
      <c r="W80" s="3451"/>
      <c r="X80" s="3451"/>
      <c r="Y80" s="585"/>
      <c r="Z80" s="586"/>
      <c r="AA80" s="2136"/>
      <c r="AB80" s="423"/>
      <c r="AC80" s="423">
        <f t="shared" ref="AC80" si="28">G80*1000000</f>
        <v>10000000000</v>
      </c>
    </row>
    <row r="81" spans="1:29" s="814" customFormat="1" ht="24" customHeight="1" thickBot="1">
      <c r="A81" s="836"/>
      <c r="B81" s="1912"/>
      <c r="C81" s="568" t="s">
        <v>1195</v>
      </c>
      <c r="D81" s="569"/>
      <c r="E81" s="570"/>
      <c r="F81" s="571"/>
      <c r="G81" s="822">
        <f>+G82+G85+G94+G98+G100+G102</f>
        <v>22151000</v>
      </c>
      <c r="H81" s="822">
        <f>+H82+H85+H94+H98+H100+H102</f>
        <v>22151000</v>
      </c>
      <c r="I81" s="2203">
        <f>G81-H81</f>
        <v>0</v>
      </c>
      <c r="J81" s="3427"/>
      <c r="K81" s="574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3406"/>
      <c r="Z81" s="2658"/>
      <c r="AA81" s="2665"/>
      <c r="AB81" s="423"/>
      <c r="AC81" s="423">
        <f t="shared" ref="AC81:AC83" si="29">G81*1000000</f>
        <v>22151000000000</v>
      </c>
    </row>
    <row r="82" spans="1:29" s="787" customFormat="1" ht="24" customHeight="1">
      <c r="A82" s="456" t="s">
        <v>213</v>
      </c>
      <c r="B82" s="540"/>
      <c r="C82" s="541"/>
      <c r="D82" s="3836" t="s">
        <v>1119</v>
      </c>
      <c r="E82" s="3821"/>
      <c r="F82" s="3822"/>
      <c r="G82" s="598">
        <f>+G83+G84</f>
        <v>16241000</v>
      </c>
      <c r="H82" s="598">
        <f>+H83+H84</f>
        <v>16241000</v>
      </c>
      <c r="I82" s="1332">
        <f t="shared" ref="I82" si="30">G82-H82</f>
        <v>0</v>
      </c>
      <c r="J82" s="2082"/>
      <c r="K82" s="538"/>
      <c r="L82" s="2068"/>
      <c r="M82" s="2068"/>
      <c r="N82" s="2068"/>
      <c r="O82" s="2068"/>
      <c r="P82" s="2068"/>
      <c r="Q82" s="2068"/>
      <c r="R82" s="2068"/>
      <c r="S82" s="2068"/>
      <c r="T82" s="2068"/>
      <c r="U82" s="2068"/>
      <c r="V82" s="2068"/>
      <c r="W82" s="2068"/>
      <c r="X82" s="2068"/>
      <c r="Y82" s="585"/>
      <c r="Z82" s="599"/>
      <c r="AA82" s="595"/>
      <c r="AB82" s="423"/>
      <c r="AC82" s="423">
        <f t="shared" si="29"/>
        <v>16241000000000</v>
      </c>
    </row>
    <row r="83" spans="1:29" s="787" customFormat="1" ht="24" customHeight="1">
      <c r="A83" s="456"/>
      <c r="B83" s="540"/>
      <c r="C83" s="541"/>
      <c r="D83" s="542"/>
      <c r="E83" s="3825" t="s">
        <v>1120</v>
      </c>
      <c r="F83" s="3826"/>
      <c r="G83" s="598">
        <v>16150920</v>
      </c>
      <c r="H83" s="598">
        <v>16150920</v>
      </c>
      <c r="I83" s="529"/>
      <c r="J83" s="2082"/>
      <c r="K83" s="538"/>
      <c r="L83" s="2068"/>
      <c r="M83" s="2068"/>
      <c r="N83" s="2068"/>
      <c r="O83" s="2068"/>
      <c r="P83" s="2068"/>
      <c r="Q83" s="2068"/>
      <c r="R83" s="2068"/>
      <c r="S83" s="539"/>
      <c r="T83" s="2068"/>
      <c r="U83" s="2068"/>
      <c r="V83" s="2068"/>
      <c r="W83" s="2068"/>
      <c r="X83" s="2068"/>
      <c r="Y83" s="585"/>
      <c r="Z83" s="554"/>
      <c r="AA83" s="587"/>
      <c r="AB83" s="423"/>
      <c r="AC83" s="423">
        <f t="shared" si="29"/>
        <v>16150920000000</v>
      </c>
    </row>
    <row r="84" spans="1:29" s="787" customFormat="1" ht="24" customHeight="1">
      <c r="A84" s="456"/>
      <c r="B84" s="591"/>
      <c r="C84" s="592"/>
      <c r="D84" s="564"/>
      <c r="E84" s="3825" t="s">
        <v>1311</v>
      </c>
      <c r="F84" s="3826"/>
      <c r="G84" s="598">
        <v>90080</v>
      </c>
      <c r="H84" s="598">
        <v>90080</v>
      </c>
      <c r="I84" s="627"/>
      <c r="J84" s="2082"/>
      <c r="K84" s="538"/>
      <c r="L84" s="2068"/>
      <c r="M84" s="2068"/>
      <c r="N84" s="2068"/>
      <c r="O84" s="2068"/>
      <c r="P84" s="2068"/>
      <c r="Q84" s="2068"/>
      <c r="R84" s="2068"/>
      <c r="S84" s="539"/>
      <c r="T84" s="2068"/>
      <c r="U84" s="2068"/>
      <c r="V84" s="2068"/>
      <c r="W84" s="2068"/>
      <c r="X84" s="2068"/>
      <c r="Y84" s="585"/>
      <c r="Z84" s="594"/>
      <c r="AA84" s="595"/>
      <c r="AB84" s="423"/>
      <c r="AC84" s="423">
        <f t="shared" ref="AC84:AC180" si="31">G84*1000000</f>
        <v>90080000000</v>
      </c>
    </row>
    <row r="85" spans="1:29" s="787" customFormat="1" ht="24" customHeight="1">
      <c r="A85" s="456" t="s">
        <v>1279</v>
      </c>
      <c r="B85" s="540"/>
      <c r="C85" s="541"/>
      <c r="D85" s="3836" t="s">
        <v>1372</v>
      </c>
      <c r="E85" s="3821"/>
      <c r="F85" s="3822"/>
      <c r="G85" s="598">
        <f>+G86+G87+G88+G89+G90+G91+G92+G93</f>
        <v>2800000</v>
      </c>
      <c r="H85" s="598">
        <f>+H86+H87+H88+H89+H90+H91+H92+H93</f>
        <v>2800000</v>
      </c>
      <c r="I85" s="1332">
        <f t="shared" ref="I85" si="32">G85-H85</f>
        <v>0</v>
      </c>
      <c r="J85" s="2082"/>
      <c r="K85" s="538"/>
      <c r="L85" s="2068"/>
      <c r="M85" s="2068"/>
      <c r="N85" s="2068"/>
      <c r="O85" s="2068"/>
      <c r="P85" s="2068"/>
      <c r="Q85" s="2068"/>
      <c r="R85" s="2068"/>
      <c r="S85" s="2068"/>
      <c r="T85" s="2068"/>
      <c r="U85" s="2068"/>
      <c r="V85" s="2068"/>
      <c r="W85" s="2068"/>
      <c r="X85" s="2068"/>
      <c r="Y85" s="585"/>
      <c r="Z85" s="599"/>
      <c r="AA85" s="595"/>
      <c r="AB85" s="423"/>
      <c r="AC85" s="423">
        <f t="shared" ref="AC85:AC86" si="33">G85*1000000</f>
        <v>2800000000000</v>
      </c>
    </row>
    <row r="86" spans="1:29" s="787" customFormat="1" ht="24" customHeight="1">
      <c r="A86" s="456"/>
      <c r="B86" s="540"/>
      <c r="C86" s="541"/>
      <c r="D86" s="542"/>
      <c r="E86" s="3825" t="s">
        <v>1373</v>
      </c>
      <c r="F86" s="3826"/>
      <c r="G86" s="598">
        <v>230000</v>
      </c>
      <c r="H86" s="598">
        <v>230000</v>
      </c>
      <c r="I86" s="529"/>
      <c r="J86" s="2082"/>
      <c r="K86" s="538"/>
      <c r="L86" s="2068"/>
      <c r="M86" s="2068"/>
      <c r="N86" s="2068"/>
      <c r="O86" s="2068"/>
      <c r="P86" s="2068"/>
      <c r="Q86" s="2068"/>
      <c r="R86" s="2068"/>
      <c r="S86" s="539"/>
      <c r="T86" s="2068"/>
      <c r="U86" s="2068"/>
      <c r="V86" s="2068"/>
      <c r="W86" s="2068"/>
      <c r="X86" s="2068"/>
      <c r="Y86" s="585"/>
      <c r="Z86" s="554"/>
      <c r="AA86" s="587"/>
      <c r="AB86" s="423"/>
      <c r="AC86" s="423">
        <f t="shared" si="33"/>
        <v>230000000000</v>
      </c>
    </row>
    <row r="87" spans="1:29" s="3141" customFormat="1" ht="24" customHeight="1">
      <c r="A87" s="3127"/>
      <c r="B87" s="540"/>
      <c r="C87" s="3217"/>
      <c r="D87" s="542"/>
      <c r="E87" s="3825" t="s">
        <v>1369</v>
      </c>
      <c r="F87" s="3826"/>
      <c r="G87" s="3158">
        <v>613000</v>
      </c>
      <c r="H87" s="3158">
        <v>613000</v>
      </c>
      <c r="I87" s="529"/>
      <c r="J87" s="3216"/>
      <c r="K87" s="538"/>
      <c r="L87" s="3215"/>
      <c r="M87" s="3215"/>
      <c r="N87" s="3215"/>
      <c r="O87" s="3215"/>
      <c r="P87" s="3215"/>
      <c r="Q87" s="3215"/>
      <c r="R87" s="3215"/>
      <c r="S87" s="539"/>
      <c r="T87" s="3215"/>
      <c r="U87" s="3215"/>
      <c r="V87" s="3215"/>
      <c r="W87" s="3215"/>
      <c r="X87" s="3215"/>
      <c r="Y87" s="585"/>
      <c r="Z87" s="586"/>
      <c r="AA87" s="3155"/>
      <c r="AB87" s="3154"/>
      <c r="AC87" s="3154">
        <f t="shared" ref="AC87:AC88" si="34">G87*1000000</f>
        <v>613000000000</v>
      </c>
    </row>
    <row r="88" spans="1:29" s="787" customFormat="1" ht="24" customHeight="1">
      <c r="A88" s="456"/>
      <c r="B88" s="540"/>
      <c r="C88" s="3217"/>
      <c r="D88" s="542"/>
      <c r="E88" s="3825" t="s">
        <v>1370</v>
      </c>
      <c r="F88" s="3826"/>
      <c r="G88" s="3158">
        <v>150000</v>
      </c>
      <c r="H88" s="3158">
        <v>150000</v>
      </c>
      <c r="I88" s="529"/>
      <c r="J88" s="3216"/>
      <c r="K88" s="538"/>
      <c r="L88" s="3215"/>
      <c r="M88" s="3215"/>
      <c r="N88" s="3215"/>
      <c r="O88" s="3215"/>
      <c r="P88" s="3215"/>
      <c r="Q88" s="3215"/>
      <c r="R88" s="3215"/>
      <c r="S88" s="539"/>
      <c r="T88" s="3215"/>
      <c r="U88" s="3215"/>
      <c r="V88" s="3215"/>
      <c r="W88" s="3215"/>
      <c r="X88" s="3215"/>
      <c r="Y88" s="585"/>
      <c r="Z88" s="554"/>
      <c r="AA88" s="587"/>
      <c r="AB88" s="423"/>
      <c r="AC88" s="423">
        <f t="shared" si="34"/>
        <v>150000000000</v>
      </c>
    </row>
    <row r="89" spans="1:29" s="787" customFormat="1" ht="24" customHeight="1">
      <c r="A89" s="456"/>
      <c r="B89" s="540"/>
      <c r="C89" s="3217"/>
      <c r="D89" s="542"/>
      <c r="E89" s="3825" t="s">
        <v>1374</v>
      </c>
      <c r="F89" s="3826"/>
      <c r="G89" s="3158">
        <v>120000</v>
      </c>
      <c r="H89" s="3158">
        <v>120000</v>
      </c>
      <c r="I89" s="529"/>
      <c r="J89" s="3216"/>
      <c r="K89" s="538"/>
      <c r="L89" s="3215"/>
      <c r="M89" s="3215"/>
      <c r="N89" s="3215"/>
      <c r="O89" s="3215"/>
      <c r="P89" s="3215"/>
      <c r="Q89" s="3215"/>
      <c r="R89" s="3215"/>
      <c r="S89" s="539"/>
      <c r="T89" s="3215"/>
      <c r="U89" s="3215"/>
      <c r="V89" s="3215"/>
      <c r="W89" s="3215"/>
      <c r="X89" s="3215"/>
      <c r="Y89" s="585"/>
      <c r="Z89" s="586"/>
      <c r="AA89" s="587"/>
      <c r="AB89" s="423"/>
      <c r="AC89" s="423">
        <f t="shared" ref="AC89:AC92" si="35">G89*1000000</f>
        <v>120000000000</v>
      </c>
    </row>
    <row r="90" spans="1:29" s="787" customFormat="1" ht="24" customHeight="1">
      <c r="A90" s="456"/>
      <c r="B90" s="540"/>
      <c r="C90" s="3217"/>
      <c r="D90" s="542"/>
      <c r="E90" s="3825" t="s">
        <v>1375</v>
      </c>
      <c r="F90" s="3826"/>
      <c r="G90" s="3158">
        <v>385000</v>
      </c>
      <c r="H90" s="3158">
        <v>385000</v>
      </c>
      <c r="I90" s="529"/>
      <c r="J90" s="3216"/>
      <c r="K90" s="538"/>
      <c r="L90" s="3215"/>
      <c r="M90" s="3215"/>
      <c r="N90" s="3215"/>
      <c r="O90" s="3215"/>
      <c r="P90" s="3215"/>
      <c r="Q90" s="3215"/>
      <c r="R90" s="3215"/>
      <c r="S90" s="539"/>
      <c r="T90" s="3215"/>
      <c r="U90" s="3215"/>
      <c r="V90" s="3215"/>
      <c r="W90" s="3215"/>
      <c r="X90" s="3215"/>
      <c r="Y90" s="585"/>
      <c r="Z90" s="554"/>
      <c r="AA90" s="587"/>
      <c r="AB90" s="423"/>
      <c r="AC90" s="423">
        <f t="shared" si="35"/>
        <v>385000000000</v>
      </c>
    </row>
    <row r="91" spans="1:29" s="3002" customFormat="1" ht="24" customHeight="1">
      <c r="A91" s="3001"/>
      <c r="B91" s="540"/>
      <c r="C91" s="3217"/>
      <c r="D91" s="542"/>
      <c r="E91" s="3825" t="s">
        <v>1376</v>
      </c>
      <c r="F91" s="3826"/>
      <c r="G91" s="3158">
        <v>70000</v>
      </c>
      <c r="H91" s="3158">
        <v>70000</v>
      </c>
      <c r="I91" s="529"/>
      <c r="J91" s="3216"/>
      <c r="K91" s="538"/>
      <c r="L91" s="3215"/>
      <c r="M91" s="3215"/>
      <c r="N91" s="3215"/>
      <c r="O91" s="3215"/>
      <c r="P91" s="3215"/>
      <c r="Q91" s="3215"/>
      <c r="R91" s="3215"/>
      <c r="S91" s="539"/>
      <c r="T91" s="3215"/>
      <c r="U91" s="3215"/>
      <c r="V91" s="3215"/>
      <c r="W91" s="3215"/>
      <c r="X91" s="3215"/>
      <c r="Y91" s="585"/>
      <c r="Z91" s="586"/>
      <c r="AA91" s="3145"/>
      <c r="AB91" s="3000"/>
      <c r="AC91" s="3000">
        <f t="shared" si="35"/>
        <v>70000000000</v>
      </c>
    </row>
    <row r="92" spans="1:29" s="787" customFormat="1" ht="24" customHeight="1">
      <c r="A92" s="456"/>
      <c r="B92" s="540"/>
      <c r="C92" s="541"/>
      <c r="D92" s="542"/>
      <c r="E92" s="3825" t="s">
        <v>1377</v>
      </c>
      <c r="F92" s="3826"/>
      <c r="G92" s="598">
        <v>358000</v>
      </c>
      <c r="H92" s="598">
        <v>358000</v>
      </c>
      <c r="I92" s="529"/>
      <c r="J92" s="2082"/>
      <c r="K92" s="3135"/>
      <c r="L92" s="3105"/>
      <c r="M92" s="3105"/>
      <c r="N92" s="3105"/>
      <c r="O92" s="3105"/>
      <c r="P92" s="3105"/>
      <c r="Q92" s="3105"/>
      <c r="R92" s="3104"/>
      <c r="S92" s="133"/>
      <c r="T92" s="3100"/>
      <c r="U92" s="788"/>
      <c r="V92" s="788"/>
      <c r="W92" s="788"/>
      <c r="X92" s="788"/>
      <c r="Y92" s="788"/>
      <c r="Z92" s="3025"/>
      <c r="AA92" s="587"/>
      <c r="AB92" s="423"/>
      <c r="AC92" s="423">
        <f t="shared" si="35"/>
        <v>358000000000</v>
      </c>
    </row>
    <row r="93" spans="1:29" s="787" customFormat="1" ht="24" customHeight="1">
      <c r="A93" s="456"/>
      <c r="B93" s="540"/>
      <c r="C93" s="541"/>
      <c r="D93" s="542"/>
      <c r="E93" s="3825" t="s">
        <v>1378</v>
      </c>
      <c r="F93" s="3826"/>
      <c r="G93" s="598">
        <v>874000</v>
      </c>
      <c r="H93" s="598">
        <v>874000</v>
      </c>
      <c r="I93" s="529"/>
      <c r="J93" s="2082"/>
      <c r="K93" s="3219"/>
      <c r="L93" s="3218"/>
      <c r="M93" s="3218"/>
      <c r="N93" s="3218"/>
      <c r="O93" s="3218"/>
      <c r="P93" s="3218"/>
      <c r="Q93" s="3218"/>
      <c r="R93" s="142"/>
      <c r="S93" s="132"/>
      <c r="T93" s="102"/>
      <c r="U93" s="441"/>
      <c r="V93" s="441"/>
      <c r="W93" s="441"/>
      <c r="X93" s="441"/>
      <c r="Y93" s="441"/>
      <c r="Z93" s="3220"/>
      <c r="AA93" s="587"/>
      <c r="AB93" s="423"/>
      <c r="AC93" s="423">
        <f t="shared" ref="AC93:AC115" si="36">G93*1000000</f>
        <v>874000000000</v>
      </c>
    </row>
    <row r="94" spans="1:29" s="787" customFormat="1" ht="24" customHeight="1">
      <c r="A94" s="456" t="s">
        <v>1279</v>
      </c>
      <c r="B94" s="540"/>
      <c r="C94" s="541"/>
      <c r="D94" s="3836" t="s">
        <v>1379</v>
      </c>
      <c r="E94" s="3821"/>
      <c r="F94" s="3822"/>
      <c r="G94" s="598">
        <f>+G95+G96+G97</f>
        <v>2800000</v>
      </c>
      <c r="H94" s="598">
        <f>+H95+H96+H97</f>
        <v>2800000</v>
      </c>
      <c r="I94" s="1332">
        <f t="shared" ref="I94" si="37">G94-H94</f>
        <v>0</v>
      </c>
      <c r="J94" s="2082"/>
      <c r="K94" s="538"/>
      <c r="L94" s="2068"/>
      <c r="M94" s="2068"/>
      <c r="N94" s="2068"/>
      <c r="O94" s="2068"/>
      <c r="P94" s="2068"/>
      <c r="Q94" s="2068"/>
      <c r="R94" s="2068"/>
      <c r="S94" s="2068"/>
      <c r="T94" s="2068"/>
      <c r="U94" s="2068"/>
      <c r="V94" s="2068"/>
      <c r="W94" s="2068"/>
      <c r="X94" s="2068"/>
      <c r="Y94" s="585"/>
      <c r="Z94" s="599"/>
      <c r="AA94" s="595"/>
      <c r="AB94" s="423"/>
      <c r="AC94" s="423">
        <f t="shared" si="36"/>
        <v>2800000000000</v>
      </c>
    </row>
    <row r="95" spans="1:29" s="787" customFormat="1" ht="24" customHeight="1">
      <c r="A95" s="456"/>
      <c r="B95" s="540"/>
      <c r="C95" s="541"/>
      <c r="D95" s="542"/>
      <c r="E95" s="3825" t="s">
        <v>1333</v>
      </c>
      <c r="F95" s="3826"/>
      <c r="G95" s="598">
        <v>2400000</v>
      </c>
      <c r="H95" s="598">
        <v>2400000</v>
      </c>
      <c r="I95" s="529"/>
      <c r="J95" s="2082"/>
      <c r="K95" s="538"/>
      <c r="L95" s="2068"/>
      <c r="M95" s="2068"/>
      <c r="N95" s="2068"/>
      <c r="O95" s="2068"/>
      <c r="P95" s="2068"/>
      <c r="Q95" s="2068"/>
      <c r="R95" s="2068"/>
      <c r="S95" s="539"/>
      <c r="T95" s="2068"/>
      <c r="U95" s="2068"/>
      <c r="V95" s="2068"/>
      <c r="W95" s="2068"/>
      <c r="X95" s="2068"/>
      <c r="Y95" s="585"/>
      <c r="Z95" s="554"/>
      <c r="AA95" s="587"/>
      <c r="AB95" s="423"/>
      <c r="AC95" s="423">
        <f t="shared" si="36"/>
        <v>2400000000000</v>
      </c>
    </row>
    <row r="96" spans="1:29" s="787" customFormat="1" ht="24" customHeight="1">
      <c r="A96" s="456"/>
      <c r="B96" s="540"/>
      <c r="C96" s="541"/>
      <c r="D96" s="542"/>
      <c r="E96" s="3825" t="s">
        <v>1334</v>
      </c>
      <c r="F96" s="3826"/>
      <c r="G96" s="598">
        <v>118000</v>
      </c>
      <c r="H96" s="598">
        <v>118000</v>
      </c>
      <c r="I96" s="529"/>
      <c r="J96" s="2082"/>
      <c r="K96" s="538"/>
      <c r="L96" s="2068"/>
      <c r="M96" s="2068"/>
      <c r="N96" s="2068"/>
      <c r="O96" s="2068"/>
      <c r="P96" s="2068"/>
      <c r="Q96" s="2068"/>
      <c r="R96" s="2068"/>
      <c r="S96" s="539"/>
      <c r="T96" s="2068"/>
      <c r="U96" s="2068"/>
      <c r="V96" s="2068"/>
      <c r="W96" s="2068"/>
      <c r="X96" s="2068"/>
      <c r="Y96" s="585"/>
      <c r="Z96" s="586"/>
      <c r="AA96" s="587"/>
      <c r="AB96" s="423"/>
      <c r="AC96" s="423">
        <f t="shared" si="36"/>
        <v>118000000000</v>
      </c>
    </row>
    <row r="97" spans="1:29" s="787" customFormat="1" ht="24" customHeight="1">
      <c r="A97" s="456"/>
      <c r="B97" s="540"/>
      <c r="C97" s="541"/>
      <c r="D97" s="542"/>
      <c r="E97" s="3825" t="s">
        <v>1335</v>
      </c>
      <c r="F97" s="3826"/>
      <c r="G97" s="598">
        <v>282000</v>
      </c>
      <c r="H97" s="598">
        <v>282000</v>
      </c>
      <c r="I97" s="529"/>
      <c r="J97" s="2082"/>
      <c r="K97" s="538"/>
      <c r="L97" s="2068"/>
      <c r="M97" s="2068"/>
      <c r="N97" s="2068"/>
      <c r="O97" s="2068"/>
      <c r="P97" s="2068"/>
      <c r="Q97" s="2068"/>
      <c r="R97" s="2068"/>
      <c r="S97" s="539"/>
      <c r="T97" s="2068"/>
      <c r="U97" s="2068"/>
      <c r="V97" s="2068"/>
      <c r="W97" s="2068"/>
      <c r="X97" s="2068"/>
      <c r="Y97" s="585"/>
      <c r="Z97" s="554"/>
      <c r="AA97" s="587"/>
      <c r="AB97" s="423"/>
      <c r="AC97" s="423">
        <f t="shared" si="36"/>
        <v>282000000000</v>
      </c>
    </row>
    <row r="98" spans="1:29" s="1865" customFormat="1" ht="24" customHeight="1">
      <c r="A98" s="456" t="s">
        <v>1279</v>
      </c>
      <c r="B98" s="540"/>
      <c r="C98" s="541"/>
      <c r="D98" s="3836" t="s">
        <v>1995</v>
      </c>
      <c r="E98" s="3821"/>
      <c r="F98" s="3822"/>
      <c r="G98" s="598">
        <f>+G99</f>
        <v>200000</v>
      </c>
      <c r="H98" s="598">
        <f>+H99</f>
        <v>200000</v>
      </c>
      <c r="I98" s="1332">
        <f t="shared" ref="I98" si="38">G98-H98</f>
        <v>0</v>
      </c>
      <c r="J98" s="2082"/>
      <c r="K98" s="538"/>
      <c r="L98" s="2068"/>
      <c r="M98" s="2068"/>
      <c r="N98" s="2068"/>
      <c r="O98" s="2068"/>
      <c r="P98" s="2068"/>
      <c r="Q98" s="2068"/>
      <c r="R98" s="2068"/>
      <c r="S98" s="2068"/>
      <c r="T98" s="2068"/>
      <c r="U98" s="2068"/>
      <c r="V98" s="2068"/>
      <c r="W98" s="2068"/>
      <c r="X98" s="2068"/>
      <c r="Y98" s="585"/>
      <c r="Z98" s="599"/>
      <c r="AA98" s="595"/>
      <c r="AB98" s="423"/>
      <c r="AC98" s="423">
        <f t="shared" ref="AC98:AC99" si="39">G98*1000000</f>
        <v>200000000000</v>
      </c>
    </row>
    <row r="99" spans="1:29" s="1865" customFormat="1" ht="24" customHeight="1">
      <c r="A99" s="456"/>
      <c r="B99" s="540"/>
      <c r="C99" s="541"/>
      <c r="D99" s="542"/>
      <c r="E99" s="3825" t="s">
        <v>1995</v>
      </c>
      <c r="F99" s="3826"/>
      <c r="G99" s="598">
        <v>200000</v>
      </c>
      <c r="H99" s="598">
        <v>200000</v>
      </c>
      <c r="I99" s="529"/>
      <c r="J99" s="2082"/>
      <c r="K99" s="538"/>
      <c r="L99" s="2068"/>
      <c r="M99" s="2068"/>
      <c r="N99" s="2068"/>
      <c r="O99" s="2068"/>
      <c r="P99" s="2068"/>
      <c r="Q99" s="2068"/>
      <c r="R99" s="2068"/>
      <c r="S99" s="539"/>
      <c r="T99" s="2068"/>
      <c r="U99" s="2068"/>
      <c r="V99" s="2068"/>
      <c r="W99" s="2068"/>
      <c r="X99" s="2068"/>
      <c r="Y99" s="585"/>
      <c r="Z99" s="554"/>
      <c r="AA99" s="587"/>
      <c r="AB99" s="423"/>
      <c r="AC99" s="423">
        <f t="shared" si="39"/>
        <v>200000000000</v>
      </c>
    </row>
    <row r="100" spans="1:29" s="1847" customFormat="1" ht="24" customHeight="1">
      <c r="A100" s="456" t="s">
        <v>1279</v>
      </c>
      <c r="B100" s="540"/>
      <c r="C100" s="541"/>
      <c r="D100" s="3836" t="s">
        <v>2052</v>
      </c>
      <c r="E100" s="3821"/>
      <c r="F100" s="3822"/>
      <c r="G100" s="598">
        <f>+G101</f>
        <v>60000</v>
      </c>
      <c r="H100" s="598">
        <f>+H101</f>
        <v>60000</v>
      </c>
      <c r="I100" s="1332">
        <f t="shared" ref="I100" si="40">G100-H100</f>
        <v>0</v>
      </c>
      <c r="J100" s="2082"/>
      <c r="K100" s="538"/>
      <c r="L100" s="2068"/>
      <c r="M100" s="2068"/>
      <c r="N100" s="2068"/>
      <c r="O100" s="2068"/>
      <c r="P100" s="2068"/>
      <c r="Q100" s="2068"/>
      <c r="R100" s="2068"/>
      <c r="S100" s="2068"/>
      <c r="T100" s="2068"/>
      <c r="U100" s="2068"/>
      <c r="V100" s="2068"/>
      <c r="W100" s="2068"/>
      <c r="X100" s="2068"/>
      <c r="Y100" s="585"/>
      <c r="Z100" s="599"/>
      <c r="AA100" s="595"/>
      <c r="AB100" s="423"/>
      <c r="AC100" s="423">
        <f t="shared" si="36"/>
        <v>60000000000</v>
      </c>
    </row>
    <row r="101" spans="1:29" s="1847" customFormat="1" ht="24" customHeight="1">
      <c r="A101" s="456"/>
      <c r="B101" s="540"/>
      <c r="C101" s="541"/>
      <c r="D101" s="542"/>
      <c r="E101" s="3825" t="s">
        <v>2051</v>
      </c>
      <c r="F101" s="3826"/>
      <c r="G101" s="598">
        <v>60000</v>
      </c>
      <c r="H101" s="598">
        <v>60000</v>
      </c>
      <c r="I101" s="529"/>
      <c r="J101" s="2082"/>
      <c r="K101" s="538"/>
      <c r="L101" s="2068"/>
      <c r="M101" s="2068"/>
      <c r="N101" s="2068"/>
      <c r="O101" s="2068"/>
      <c r="P101" s="2068"/>
      <c r="Q101" s="2068"/>
      <c r="R101" s="2068"/>
      <c r="S101" s="539"/>
      <c r="T101" s="2068"/>
      <c r="U101" s="2068"/>
      <c r="V101" s="2068"/>
      <c r="W101" s="2068"/>
      <c r="X101" s="2068"/>
      <c r="Y101" s="585"/>
      <c r="Z101" s="554"/>
      <c r="AA101" s="587"/>
      <c r="AB101" s="423"/>
      <c r="AC101" s="423">
        <f t="shared" si="36"/>
        <v>60000000000</v>
      </c>
    </row>
    <row r="102" spans="1:29" s="3033" customFormat="1" ht="24" customHeight="1">
      <c r="A102" s="542" t="s">
        <v>1279</v>
      </c>
      <c r="B102" s="540"/>
      <c r="C102" s="3036"/>
      <c r="D102" s="1386" t="s">
        <v>3951</v>
      </c>
      <c r="E102" s="621"/>
      <c r="F102" s="2710"/>
      <c r="G102" s="598">
        <f>+G103</f>
        <v>50000</v>
      </c>
      <c r="H102" s="598">
        <f>+H103</f>
        <v>50000</v>
      </c>
      <c r="I102" s="1332">
        <f t="shared" ref="I102" si="41">G102-H102</f>
        <v>0</v>
      </c>
      <c r="K102" s="538"/>
      <c r="L102" s="3028"/>
      <c r="M102" s="3028"/>
      <c r="N102" s="3028"/>
      <c r="O102" s="3028"/>
      <c r="P102" s="3028"/>
      <c r="Q102" s="3028"/>
      <c r="R102" s="3028"/>
      <c r="S102" s="3028"/>
      <c r="T102" s="3028"/>
      <c r="U102" s="3028"/>
      <c r="V102" s="3028"/>
      <c r="W102" s="3028"/>
      <c r="X102" s="3028"/>
      <c r="Y102" s="585"/>
      <c r="Z102" s="599"/>
      <c r="AA102" s="595"/>
      <c r="AB102" s="547"/>
      <c r="AC102" s="547">
        <f t="shared" si="36"/>
        <v>50000000000</v>
      </c>
    </row>
    <row r="103" spans="1:29" s="3033" customFormat="1" ht="24" customHeight="1">
      <c r="A103" s="542"/>
      <c r="B103" s="540"/>
      <c r="C103" s="3036"/>
      <c r="D103" s="1319"/>
      <c r="E103" s="4105" t="s">
        <v>3950</v>
      </c>
      <c r="F103" s="4105"/>
      <c r="G103" s="598">
        <v>50000</v>
      </c>
      <c r="H103" s="598">
        <v>50000</v>
      </c>
      <c r="I103" s="529"/>
      <c r="K103" s="538"/>
      <c r="L103" s="3028"/>
      <c r="M103" s="3028"/>
      <c r="N103" s="3028"/>
      <c r="O103" s="3028"/>
      <c r="P103" s="3028"/>
      <c r="Q103" s="3028"/>
      <c r="R103" s="3028"/>
      <c r="S103" s="539"/>
      <c r="T103" s="3028"/>
      <c r="U103" s="3028"/>
      <c r="V103" s="3028"/>
      <c r="W103" s="3028"/>
      <c r="X103" s="3028"/>
      <c r="Y103" s="585"/>
      <c r="Z103" s="554"/>
      <c r="AA103" s="587"/>
      <c r="AB103" s="547"/>
      <c r="AC103" s="547">
        <f t="shared" si="36"/>
        <v>50000000000</v>
      </c>
    </row>
    <row r="104" spans="1:29" s="814" customFormat="1" ht="24" hidden="1" customHeight="1" thickBot="1">
      <c r="A104" s="836"/>
      <c r="B104" s="1912"/>
      <c r="C104" s="568" t="s">
        <v>946</v>
      </c>
      <c r="D104" s="569"/>
      <c r="E104" s="570"/>
      <c r="F104" s="571"/>
      <c r="G104" s="822">
        <f>+G105</f>
        <v>400000</v>
      </c>
      <c r="H104" s="822">
        <f>+H105</f>
        <v>400000</v>
      </c>
      <c r="I104" s="2203"/>
      <c r="J104" s="840"/>
      <c r="K104" s="574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6"/>
      <c r="Z104" s="2658"/>
      <c r="AA104" s="2665"/>
      <c r="AB104" s="423"/>
      <c r="AC104" s="423">
        <f t="shared" si="36"/>
        <v>400000000000</v>
      </c>
    </row>
    <row r="105" spans="1:29" s="1847" customFormat="1" ht="24" hidden="1" customHeight="1">
      <c r="A105" s="456" t="s">
        <v>213</v>
      </c>
      <c r="B105" s="540"/>
      <c r="C105" s="541"/>
      <c r="D105" s="3836" t="s">
        <v>1996</v>
      </c>
      <c r="E105" s="3821"/>
      <c r="F105" s="3822"/>
      <c r="G105" s="598">
        <f>+G106</f>
        <v>400000</v>
      </c>
      <c r="H105" s="598">
        <f>+H106</f>
        <v>400000</v>
      </c>
      <c r="I105" s="529"/>
      <c r="J105" s="2082"/>
      <c r="K105" s="538"/>
      <c r="L105" s="2068"/>
      <c r="M105" s="2068"/>
      <c r="N105" s="2068"/>
      <c r="O105" s="2068"/>
      <c r="P105" s="2068"/>
      <c r="Q105" s="2068"/>
      <c r="R105" s="2068"/>
      <c r="S105" s="2068"/>
      <c r="T105" s="2068"/>
      <c r="U105" s="2068"/>
      <c r="V105" s="2068"/>
      <c r="W105" s="2068"/>
      <c r="X105" s="2068"/>
      <c r="Y105" s="585"/>
      <c r="Z105" s="599"/>
      <c r="AA105" s="595"/>
      <c r="AB105" s="423"/>
      <c r="AC105" s="423">
        <f t="shared" si="36"/>
        <v>400000000000</v>
      </c>
    </row>
    <row r="106" spans="1:29" s="1847" customFormat="1" ht="24" hidden="1" customHeight="1" thickBot="1">
      <c r="A106" s="456"/>
      <c r="B106" s="540"/>
      <c r="C106" s="541"/>
      <c r="D106" s="542"/>
      <c r="E106" s="3825" t="s">
        <v>1121</v>
      </c>
      <c r="F106" s="3826"/>
      <c r="G106" s="598">
        <v>400000</v>
      </c>
      <c r="H106" s="598">
        <v>400000</v>
      </c>
      <c r="I106" s="529"/>
      <c r="J106" s="2082"/>
      <c r="K106" s="538"/>
      <c r="L106" s="2068"/>
      <c r="M106" s="2068"/>
      <c r="N106" s="2068"/>
      <c r="O106" s="2068"/>
      <c r="P106" s="2068"/>
      <c r="Q106" s="2068"/>
      <c r="R106" s="2068"/>
      <c r="S106" s="539"/>
      <c r="T106" s="2068"/>
      <c r="U106" s="2068"/>
      <c r="V106" s="2068"/>
      <c r="W106" s="2068"/>
      <c r="X106" s="2068"/>
      <c r="Y106" s="585"/>
      <c r="Z106" s="554"/>
      <c r="AA106" s="587"/>
      <c r="AB106" s="423"/>
      <c r="AC106" s="423">
        <f t="shared" si="36"/>
        <v>400000000000</v>
      </c>
    </row>
    <row r="107" spans="1:29" s="814" customFormat="1" ht="24" hidden="1" customHeight="1" thickBot="1">
      <c r="A107" s="836"/>
      <c r="B107" s="1912"/>
      <c r="C107" s="568" t="s">
        <v>200</v>
      </c>
      <c r="D107" s="569"/>
      <c r="E107" s="570"/>
      <c r="F107" s="571"/>
      <c r="G107" s="822">
        <f>+G108+G110+G112+G114</f>
        <v>1715000</v>
      </c>
      <c r="H107" s="822">
        <f>+H108+H110+H112+H114</f>
        <v>1715000</v>
      </c>
      <c r="I107" s="2203"/>
      <c r="J107" s="840"/>
      <c r="K107" s="574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6"/>
      <c r="Z107" s="2658"/>
      <c r="AA107" s="2665"/>
      <c r="AB107" s="423"/>
      <c r="AC107" s="423">
        <f t="shared" si="36"/>
        <v>1715000000000</v>
      </c>
    </row>
    <row r="108" spans="1:29" s="1847" customFormat="1" ht="24" hidden="1" customHeight="1">
      <c r="A108" s="456" t="s">
        <v>213</v>
      </c>
      <c r="B108" s="540"/>
      <c r="C108" s="541"/>
      <c r="D108" s="3836" t="s">
        <v>1997</v>
      </c>
      <c r="E108" s="3821"/>
      <c r="F108" s="3822"/>
      <c r="G108" s="598">
        <f>+G109</f>
        <v>950000</v>
      </c>
      <c r="H108" s="598">
        <v>950000</v>
      </c>
      <c r="I108" s="529"/>
      <c r="J108" s="2082"/>
      <c r="K108" s="538"/>
      <c r="L108" s="2068"/>
      <c r="M108" s="2068"/>
      <c r="N108" s="2068"/>
      <c r="O108" s="2068"/>
      <c r="P108" s="2068"/>
      <c r="Q108" s="2068"/>
      <c r="R108" s="2068"/>
      <c r="S108" s="2068"/>
      <c r="T108" s="2068"/>
      <c r="U108" s="2068"/>
      <c r="V108" s="2068"/>
      <c r="W108" s="2068"/>
      <c r="X108" s="2068"/>
      <c r="Y108" s="585"/>
      <c r="Z108" s="599"/>
      <c r="AA108" s="595"/>
      <c r="AB108" s="423"/>
      <c r="AC108" s="423">
        <f t="shared" si="36"/>
        <v>950000000000</v>
      </c>
    </row>
    <row r="109" spans="1:29" s="1847" customFormat="1" ht="24" hidden="1" customHeight="1">
      <c r="A109" s="456"/>
      <c r="B109" s="540"/>
      <c r="C109" s="541"/>
      <c r="D109" s="542"/>
      <c r="E109" s="3825" t="s">
        <v>1997</v>
      </c>
      <c r="F109" s="3826"/>
      <c r="G109" s="598">
        <v>950000</v>
      </c>
      <c r="H109" s="598">
        <v>950000</v>
      </c>
      <c r="I109" s="529"/>
      <c r="J109" s="2082"/>
      <c r="K109" s="538"/>
      <c r="L109" s="2068"/>
      <c r="M109" s="2068"/>
      <c r="N109" s="2068"/>
      <c r="O109" s="2068"/>
      <c r="P109" s="2068"/>
      <c r="Q109" s="2068"/>
      <c r="R109" s="2068"/>
      <c r="S109" s="539"/>
      <c r="T109" s="2068"/>
      <c r="U109" s="2068"/>
      <c r="V109" s="2068"/>
      <c r="W109" s="2068"/>
      <c r="X109" s="2068"/>
      <c r="Y109" s="585"/>
      <c r="Z109" s="554"/>
      <c r="AA109" s="587"/>
      <c r="AB109" s="423"/>
      <c r="AC109" s="423">
        <f t="shared" si="36"/>
        <v>950000000000</v>
      </c>
    </row>
    <row r="110" spans="1:29" s="1865" customFormat="1" ht="24" hidden="1" customHeight="1">
      <c r="A110" s="456" t="s">
        <v>213</v>
      </c>
      <c r="B110" s="540"/>
      <c r="C110" s="541"/>
      <c r="D110" s="3836" t="s">
        <v>2053</v>
      </c>
      <c r="E110" s="3821"/>
      <c r="F110" s="3822"/>
      <c r="G110" s="598">
        <f>+G111</f>
        <v>40000</v>
      </c>
      <c r="H110" s="598">
        <v>40000</v>
      </c>
      <c r="I110" s="529"/>
      <c r="J110" s="2082"/>
      <c r="K110" s="538"/>
      <c r="L110" s="2068"/>
      <c r="M110" s="2068"/>
      <c r="N110" s="2068"/>
      <c r="O110" s="2068"/>
      <c r="P110" s="2068"/>
      <c r="Q110" s="2068"/>
      <c r="R110" s="2068"/>
      <c r="S110" s="2068"/>
      <c r="T110" s="2068"/>
      <c r="U110" s="2068"/>
      <c r="V110" s="2068"/>
      <c r="W110" s="2068"/>
      <c r="X110" s="2068"/>
      <c r="Y110" s="585"/>
      <c r="Z110" s="599"/>
      <c r="AA110" s="595"/>
      <c r="AB110" s="423"/>
      <c r="AC110" s="423">
        <f t="shared" ref="AC110:AC111" si="42">G110*1000000</f>
        <v>40000000000</v>
      </c>
    </row>
    <row r="111" spans="1:29" s="1865" customFormat="1" ht="24" hidden="1" customHeight="1">
      <c r="A111" s="456"/>
      <c r="B111" s="540"/>
      <c r="C111" s="541"/>
      <c r="D111" s="542"/>
      <c r="E111" s="3825" t="s">
        <v>2053</v>
      </c>
      <c r="F111" s="3826"/>
      <c r="G111" s="598">
        <v>40000</v>
      </c>
      <c r="H111" s="598">
        <v>40000</v>
      </c>
      <c r="I111" s="529"/>
      <c r="J111" s="2082"/>
      <c r="K111" s="538"/>
      <c r="L111" s="2068"/>
      <c r="M111" s="2068"/>
      <c r="N111" s="2068"/>
      <c r="O111" s="2068"/>
      <c r="P111" s="2068"/>
      <c r="Q111" s="2068"/>
      <c r="R111" s="2068"/>
      <c r="S111" s="539"/>
      <c r="T111" s="2068"/>
      <c r="U111" s="2068"/>
      <c r="V111" s="2068"/>
      <c r="W111" s="2068"/>
      <c r="X111" s="2068"/>
      <c r="Y111" s="585"/>
      <c r="Z111" s="554"/>
      <c r="AA111" s="587"/>
      <c r="AB111" s="423"/>
      <c r="AC111" s="423">
        <f t="shared" si="42"/>
        <v>40000000000</v>
      </c>
    </row>
    <row r="112" spans="1:29" s="1847" customFormat="1" ht="24" customHeight="1">
      <c r="A112" s="456" t="s">
        <v>1279</v>
      </c>
      <c r="B112" s="540"/>
      <c r="C112" s="541"/>
      <c r="D112" s="3836" t="s">
        <v>1998</v>
      </c>
      <c r="E112" s="3821"/>
      <c r="F112" s="3822"/>
      <c r="G112" s="598">
        <f>+G113</f>
        <v>650000</v>
      </c>
      <c r="H112" s="598">
        <v>650000</v>
      </c>
      <c r="I112" s="1332">
        <f t="shared" ref="I112" si="43">G112-H112</f>
        <v>0</v>
      </c>
      <c r="J112" s="2082"/>
      <c r="K112" s="538"/>
      <c r="L112" s="2068"/>
      <c r="M112" s="2068"/>
      <c r="N112" s="2068"/>
      <c r="O112" s="2068"/>
      <c r="P112" s="2068"/>
      <c r="Q112" s="2068"/>
      <c r="R112" s="2068"/>
      <c r="S112" s="2068"/>
      <c r="T112" s="2068"/>
      <c r="U112" s="2068"/>
      <c r="V112" s="2068"/>
      <c r="W112" s="2068"/>
      <c r="X112" s="2068"/>
      <c r="Y112" s="585"/>
      <c r="Z112" s="599"/>
      <c r="AA112" s="595"/>
      <c r="AB112" s="423"/>
      <c r="AC112" s="423">
        <f t="shared" si="36"/>
        <v>650000000000</v>
      </c>
    </row>
    <row r="113" spans="1:29" s="1847" customFormat="1" ht="24" customHeight="1">
      <c r="A113" s="456"/>
      <c r="B113" s="540"/>
      <c r="C113" s="541"/>
      <c r="D113" s="542"/>
      <c r="E113" s="3825" t="s">
        <v>1998</v>
      </c>
      <c r="F113" s="3826"/>
      <c r="G113" s="598">
        <v>650000</v>
      </c>
      <c r="H113" s="598">
        <v>650000</v>
      </c>
      <c r="I113" s="529"/>
      <c r="J113" s="2082"/>
      <c r="K113" s="538"/>
      <c r="L113" s="2068"/>
      <c r="M113" s="2068"/>
      <c r="N113" s="2068"/>
      <c r="O113" s="2068"/>
      <c r="P113" s="2068"/>
      <c r="Q113" s="2068"/>
      <c r="R113" s="2068"/>
      <c r="S113" s="539"/>
      <c r="T113" s="2068"/>
      <c r="U113" s="2068"/>
      <c r="V113" s="2068"/>
      <c r="W113" s="2068"/>
      <c r="X113" s="2068"/>
      <c r="Y113" s="585"/>
      <c r="Z113" s="554"/>
      <c r="AA113" s="587"/>
      <c r="AB113" s="423"/>
      <c r="AC113" s="423">
        <f t="shared" si="36"/>
        <v>650000000000</v>
      </c>
    </row>
    <row r="114" spans="1:29" s="1847" customFormat="1" ht="24" customHeight="1">
      <c r="A114" s="456" t="s">
        <v>1279</v>
      </c>
      <c r="B114" s="540"/>
      <c r="C114" s="541"/>
      <c r="D114" s="3836" t="s">
        <v>1999</v>
      </c>
      <c r="E114" s="3821"/>
      <c r="F114" s="3822"/>
      <c r="G114" s="598">
        <f>+G115</f>
        <v>75000</v>
      </c>
      <c r="H114" s="598">
        <v>75000</v>
      </c>
      <c r="I114" s="1332">
        <f t="shared" ref="I114" si="44">G114-H114</f>
        <v>0</v>
      </c>
      <c r="J114" s="2082"/>
      <c r="K114" s="538"/>
      <c r="L114" s="2068"/>
      <c r="M114" s="2068"/>
      <c r="N114" s="2068"/>
      <c r="O114" s="2068"/>
      <c r="P114" s="2068"/>
      <c r="Q114" s="2068"/>
      <c r="R114" s="2068"/>
      <c r="S114" s="2068"/>
      <c r="T114" s="2068"/>
      <c r="U114" s="2068"/>
      <c r="V114" s="2068"/>
      <c r="W114" s="2068"/>
      <c r="X114" s="2068"/>
      <c r="Y114" s="585"/>
      <c r="Z114" s="599"/>
      <c r="AA114" s="595"/>
      <c r="AB114" s="423"/>
      <c r="AC114" s="423">
        <f t="shared" si="36"/>
        <v>75000000000</v>
      </c>
    </row>
    <row r="115" spans="1:29" s="1847" customFormat="1" ht="24" customHeight="1" thickBot="1">
      <c r="A115" s="456"/>
      <c r="B115" s="540"/>
      <c r="C115" s="541"/>
      <c r="D115" s="542"/>
      <c r="E115" s="3825" t="s">
        <v>1999</v>
      </c>
      <c r="F115" s="3826"/>
      <c r="G115" s="598">
        <v>75000</v>
      </c>
      <c r="H115" s="598">
        <v>75000</v>
      </c>
      <c r="I115" s="529"/>
      <c r="J115" s="2082"/>
      <c r="K115" s="538"/>
      <c r="L115" s="2068"/>
      <c r="M115" s="2068"/>
      <c r="N115" s="2068"/>
      <c r="O115" s="2068"/>
      <c r="P115" s="2068"/>
      <c r="Q115" s="2068"/>
      <c r="R115" s="2068"/>
      <c r="S115" s="539"/>
      <c r="T115" s="2068"/>
      <c r="U115" s="2068"/>
      <c r="V115" s="2068"/>
      <c r="W115" s="2068"/>
      <c r="X115" s="2068"/>
      <c r="Y115" s="585"/>
      <c r="Z115" s="554"/>
      <c r="AA115" s="587"/>
      <c r="AB115" s="423"/>
      <c r="AC115" s="423">
        <f t="shared" si="36"/>
        <v>75000000000</v>
      </c>
    </row>
    <row r="116" spans="1:29" s="814" customFormat="1" ht="24" customHeight="1" thickBot="1">
      <c r="A116" s="836"/>
      <c r="B116" s="1912"/>
      <c r="C116" s="568" t="s">
        <v>204</v>
      </c>
      <c r="D116" s="569"/>
      <c r="E116" s="570"/>
      <c r="F116" s="571"/>
      <c r="G116" s="822">
        <f>+G117+G119</f>
        <v>950000</v>
      </c>
      <c r="H116" s="822">
        <f>+H117+H119</f>
        <v>950000</v>
      </c>
      <c r="I116" s="2203">
        <f>G116-H116</f>
        <v>0</v>
      </c>
      <c r="J116" s="840"/>
      <c r="K116" s="574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6"/>
      <c r="Z116" s="2658"/>
      <c r="AA116" s="2665"/>
      <c r="AB116" s="423"/>
      <c r="AC116" s="423">
        <f t="shared" ref="AC116:AC122" si="45">G116*1000000</f>
        <v>950000000000</v>
      </c>
    </row>
    <row r="117" spans="1:29" s="1847" customFormat="1" ht="24" customHeight="1">
      <c r="A117" s="456" t="s">
        <v>213</v>
      </c>
      <c r="B117" s="540"/>
      <c r="C117" s="541"/>
      <c r="D117" s="3836" t="s">
        <v>2000</v>
      </c>
      <c r="E117" s="3821"/>
      <c r="F117" s="3822"/>
      <c r="G117" s="598">
        <f>+G118</f>
        <v>500000</v>
      </c>
      <c r="H117" s="598">
        <v>500000</v>
      </c>
      <c r="I117" s="529"/>
      <c r="J117" s="2082"/>
      <c r="K117" s="538"/>
      <c r="L117" s="2068"/>
      <c r="M117" s="2068"/>
      <c r="N117" s="2068"/>
      <c r="O117" s="2068"/>
      <c r="P117" s="2068"/>
      <c r="Q117" s="2068"/>
      <c r="R117" s="2068"/>
      <c r="S117" s="2068"/>
      <c r="T117" s="2068"/>
      <c r="U117" s="2068"/>
      <c r="V117" s="2068"/>
      <c r="W117" s="2068"/>
      <c r="X117" s="2068"/>
      <c r="Y117" s="585"/>
      <c r="Z117" s="599"/>
      <c r="AA117" s="595"/>
      <c r="AB117" s="423"/>
      <c r="AC117" s="423">
        <f t="shared" si="45"/>
        <v>500000000000</v>
      </c>
    </row>
    <row r="118" spans="1:29" s="1847" customFormat="1" ht="24" customHeight="1">
      <c r="A118" s="456"/>
      <c r="B118" s="540"/>
      <c r="C118" s="541"/>
      <c r="D118" s="542"/>
      <c r="E118" s="3825" t="s">
        <v>2000</v>
      </c>
      <c r="F118" s="3826"/>
      <c r="G118" s="598">
        <v>500000</v>
      </c>
      <c r="H118" s="598">
        <v>500000</v>
      </c>
      <c r="I118" s="529"/>
      <c r="J118" s="2082"/>
      <c r="K118" s="538"/>
      <c r="L118" s="2068"/>
      <c r="M118" s="2068"/>
      <c r="N118" s="2068"/>
      <c r="O118" s="2068"/>
      <c r="P118" s="2068"/>
      <c r="Q118" s="2068"/>
      <c r="R118" s="2068"/>
      <c r="S118" s="539"/>
      <c r="T118" s="2068"/>
      <c r="U118" s="2068"/>
      <c r="V118" s="2068"/>
      <c r="W118" s="2068"/>
      <c r="X118" s="2068"/>
      <c r="Y118" s="585"/>
      <c r="Z118" s="554"/>
      <c r="AA118" s="587"/>
      <c r="AB118" s="423"/>
      <c r="AC118" s="423">
        <f t="shared" si="45"/>
        <v>500000000000</v>
      </c>
    </row>
    <row r="119" spans="1:29" s="1847" customFormat="1" ht="24" customHeight="1">
      <c r="A119" s="456" t="s">
        <v>1279</v>
      </c>
      <c r="B119" s="540"/>
      <c r="C119" s="541"/>
      <c r="D119" s="3836" t="s">
        <v>2001</v>
      </c>
      <c r="E119" s="3821"/>
      <c r="F119" s="3822"/>
      <c r="G119" s="598">
        <f>+G120+G121+G122</f>
        <v>450000</v>
      </c>
      <c r="H119" s="598">
        <v>450000</v>
      </c>
      <c r="I119" s="529"/>
      <c r="J119" s="2082"/>
      <c r="K119" s="538"/>
      <c r="L119" s="2068"/>
      <c r="M119" s="2068"/>
      <c r="N119" s="2068"/>
      <c r="O119" s="2068"/>
      <c r="P119" s="2068"/>
      <c r="Q119" s="2068"/>
      <c r="R119" s="2068"/>
      <c r="S119" s="2068"/>
      <c r="T119" s="2068"/>
      <c r="U119" s="2068"/>
      <c r="V119" s="2068"/>
      <c r="W119" s="2068"/>
      <c r="X119" s="2068"/>
      <c r="Y119" s="585"/>
      <c r="Z119" s="599"/>
      <c r="AA119" s="595"/>
      <c r="AB119" s="423"/>
      <c r="AC119" s="423">
        <f t="shared" si="45"/>
        <v>450000000000</v>
      </c>
    </row>
    <row r="120" spans="1:29" s="1847" customFormat="1" ht="24" customHeight="1">
      <c r="A120" s="456"/>
      <c r="B120" s="540"/>
      <c r="C120" s="541"/>
      <c r="D120" s="2082"/>
      <c r="E120" s="3825" t="s">
        <v>2002</v>
      </c>
      <c r="F120" s="3826"/>
      <c r="G120" s="598">
        <v>200000</v>
      </c>
      <c r="H120" s="598">
        <v>200000</v>
      </c>
      <c r="I120" s="529"/>
      <c r="J120" s="2082"/>
      <c r="K120" s="538"/>
      <c r="L120" s="2068"/>
      <c r="M120" s="2068"/>
      <c r="N120" s="2068"/>
      <c r="O120" s="2068"/>
      <c r="P120" s="2068"/>
      <c r="Q120" s="2068"/>
      <c r="R120" s="2068"/>
      <c r="S120" s="2068"/>
      <c r="T120" s="2068"/>
      <c r="U120" s="2068"/>
      <c r="V120" s="2068"/>
      <c r="W120" s="2068"/>
      <c r="X120" s="2068"/>
      <c r="Y120" s="585"/>
      <c r="Z120" s="2666"/>
      <c r="AA120" s="595"/>
      <c r="AB120" s="423"/>
      <c r="AC120" s="423"/>
    </row>
    <row r="121" spans="1:29" s="1847" customFormat="1" ht="24" customHeight="1">
      <c r="A121" s="456"/>
      <c r="B121" s="540"/>
      <c r="C121" s="541"/>
      <c r="D121" s="2082"/>
      <c r="E121" s="3825" t="s">
        <v>2003</v>
      </c>
      <c r="F121" s="3826"/>
      <c r="G121" s="598">
        <v>60000</v>
      </c>
      <c r="H121" s="598">
        <v>60000</v>
      </c>
      <c r="I121" s="529"/>
      <c r="J121" s="2082"/>
      <c r="K121" s="538"/>
      <c r="L121" s="2068"/>
      <c r="M121" s="2068"/>
      <c r="N121" s="2068"/>
      <c r="O121" s="2068"/>
      <c r="P121" s="2068"/>
      <c r="Q121" s="2068"/>
      <c r="R121" s="2068"/>
      <c r="S121" s="2068"/>
      <c r="T121" s="2068"/>
      <c r="U121" s="2068"/>
      <c r="V121" s="2068"/>
      <c r="W121" s="2068"/>
      <c r="X121" s="2068"/>
      <c r="Y121" s="585"/>
      <c r="Z121" s="2666"/>
      <c r="AA121" s="595"/>
      <c r="AB121" s="423"/>
      <c r="AC121" s="423"/>
    </row>
    <row r="122" spans="1:29" s="1847" customFormat="1" ht="24" customHeight="1" thickBot="1">
      <c r="A122" s="456"/>
      <c r="B122" s="540"/>
      <c r="C122" s="541"/>
      <c r="D122" s="542"/>
      <c r="E122" s="3825" t="s">
        <v>2004</v>
      </c>
      <c r="F122" s="3826"/>
      <c r="G122" s="598">
        <v>190000</v>
      </c>
      <c r="H122" s="598">
        <v>190000</v>
      </c>
      <c r="I122" s="529"/>
      <c r="J122" s="2082"/>
      <c r="K122" s="538"/>
      <c r="L122" s="2068"/>
      <c r="M122" s="2068"/>
      <c r="N122" s="2068"/>
      <c r="O122" s="2068"/>
      <c r="P122" s="2068"/>
      <c r="Q122" s="2068"/>
      <c r="R122" s="2068"/>
      <c r="S122" s="539"/>
      <c r="T122" s="2068"/>
      <c r="U122" s="2068"/>
      <c r="V122" s="2068"/>
      <c r="W122" s="2068"/>
      <c r="X122" s="2068"/>
      <c r="Y122" s="585"/>
      <c r="Z122" s="554"/>
      <c r="AA122" s="587"/>
      <c r="AB122" s="423"/>
      <c r="AC122" s="423">
        <f t="shared" si="45"/>
        <v>190000000000</v>
      </c>
    </row>
    <row r="123" spans="1:29" s="192" customFormat="1" ht="24" customHeight="1" thickBot="1">
      <c r="A123" s="832"/>
      <c r="B123" s="574" t="s">
        <v>1356</v>
      </c>
      <c r="C123" s="1902"/>
      <c r="D123" s="1902"/>
      <c r="E123" s="1902"/>
      <c r="F123" s="1902"/>
      <c r="G123" s="821">
        <f>+G124+G195+G214+G217+G224</f>
        <v>710000</v>
      </c>
      <c r="H123" s="821">
        <f>+H124+H195+H214+H217+H224</f>
        <v>710000</v>
      </c>
      <c r="I123" s="2203">
        <f>G123-H123</f>
        <v>0</v>
      </c>
      <c r="J123" s="2082"/>
      <c r="K123" s="2204"/>
      <c r="L123" s="2205"/>
      <c r="M123" s="2205"/>
      <c r="N123" s="2205"/>
      <c r="O123" s="2205"/>
      <c r="P123" s="2205"/>
      <c r="Q123" s="2205"/>
      <c r="R123" s="2205"/>
      <c r="S123" s="2205"/>
      <c r="T123" s="2205"/>
      <c r="U123" s="2205"/>
      <c r="V123" s="2205"/>
      <c r="W123" s="2205"/>
      <c r="X123" s="2205"/>
      <c r="Y123" s="2205"/>
      <c r="Z123" s="2656"/>
      <c r="AA123" s="2207"/>
      <c r="AB123" s="427"/>
      <c r="AC123" s="423">
        <f>G123*1000000</f>
        <v>710000000000</v>
      </c>
    </row>
    <row r="124" spans="1:29" s="806" customFormat="1" ht="23.1" customHeight="1" thickBot="1">
      <c r="A124" s="833"/>
      <c r="B124" s="1903" t="s">
        <v>378</v>
      </c>
      <c r="C124" s="568" t="s">
        <v>1057</v>
      </c>
      <c r="D124" s="569"/>
      <c r="E124" s="570"/>
      <c r="F124" s="571"/>
      <c r="G124" s="822">
        <f>+G125+G128+G132+G134+G136</f>
        <v>710000</v>
      </c>
      <c r="H124" s="822">
        <f>+H125+H128+H132+H134+H136</f>
        <v>710000</v>
      </c>
      <c r="I124" s="2203">
        <f>G124-H124</f>
        <v>0</v>
      </c>
      <c r="J124" s="840"/>
      <c r="K124" s="574"/>
      <c r="L124" s="575"/>
      <c r="M124" s="2657"/>
      <c r="N124" s="2657"/>
      <c r="O124" s="2657"/>
      <c r="P124" s="575"/>
      <c r="Q124" s="575"/>
      <c r="R124" s="575"/>
      <c r="S124" s="575"/>
      <c r="T124" s="575"/>
      <c r="U124" s="575"/>
      <c r="V124" s="575"/>
      <c r="W124" s="575"/>
      <c r="X124" s="575"/>
      <c r="Y124" s="576"/>
      <c r="Z124" s="2658"/>
      <c r="AA124" s="2659"/>
      <c r="AB124" s="805"/>
      <c r="AC124" s="423">
        <f t="shared" ref="AC124:AC137" si="46">G124*1000000</f>
        <v>710000000000</v>
      </c>
    </row>
    <row r="125" spans="1:29" s="1847" customFormat="1" ht="23.1" customHeight="1">
      <c r="A125" s="456" t="s">
        <v>1279</v>
      </c>
      <c r="B125" s="540"/>
      <c r="C125" s="541"/>
      <c r="D125" s="3926" t="s">
        <v>2005</v>
      </c>
      <c r="E125" s="3927"/>
      <c r="F125" s="3928"/>
      <c r="G125" s="823">
        <f>+G126+G127</f>
        <v>230000</v>
      </c>
      <c r="H125" s="823">
        <v>230000</v>
      </c>
      <c r="I125" s="1332"/>
      <c r="J125" s="2082"/>
      <c r="K125" s="580"/>
      <c r="L125" s="2072"/>
      <c r="M125" s="2072"/>
      <c r="N125" s="2072"/>
      <c r="O125" s="2072"/>
      <c r="P125" s="2072"/>
      <c r="Q125" s="2072"/>
      <c r="R125" s="2072"/>
      <c r="S125" s="2072"/>
      <c r="T125" s="2072"/>
      <c r="U125" s="2072"/>
      <c r="V125" s="2072"/>
      <c r="W125" s="2072"/>
      <c r="X125" s="2072"/>
      <c r="Y125" s="581"/>
      <c r="Z125" s="582"/>
      <c r="AA125" s="595"/>
      <c r="AB125" s="423"/>
      <c r="AC125" s="423">
        <f t="shared" si="46"/>
        <v>230000000000</v>
      </c>
    </row>
    <row r="126" spans="1:29" s="1847" customFormat="1" ht="23.1" customHeight="1">
      <c r="A126" s="456"/>
      <c r="B126" s="540"/>
      <c r="C126" s="541"/>
      <c r="D126" s="542"/>
      <c r="E126" s="3906" t="s">
        <v>2006</v>
      </c>
      <c r="F126" s="3907"/>
      <c r="G126" s="598">
        <v>110000</v>
      </c>
      <c r="H126" s="598">
        <v>110000</v>
      </c>
      <c r="I126" s="627"/>
      <c r="J126" s="1881">
        <f>H126-I126</f>
        <v>110000</v>
      </c>
      <c r="K126" s="538"/>
      <c r="L126" s="2068"/>
      <c r="M126" s="2068"/>
      <c r="N126" s="2068"/>
      <c r="O126" s="2068"/>
      <c r="P126" s="2068"/>
      <c r="Q126" s="2068"/>
      <c r="R126" s="2068"/>
      <c r="S126" s="539"/>
      <c r="T126" s="2068"/>
      <c r="U126" s="2068"/>
      <c r="V126" s="2068"/>
      <c r="W126" s="2068"/>
      <c r="X126" s="2068"/>
      <c r="Y126" s="585"/>
      <c r="Z126" s="599"/>
      <c r="AA126" s="595"/>
      <c r="AB126" s="423"/>
      <c r="AC126" s="423">
        <f t="shared" si="46"/>
        <v>110000000000</v>
      </c>
    </row>
    <row r="127" spans="1:29" s="1847" customFormat="1" ht="23.1" customHeight="1">
      <c r="A127" s="456"/>
      <c r="B127" s="540"/>
      <c r="C127" s="541"/>
      <c r="D127" s="542"/>
      <c r="E127" s="3906" t="s">
        <v>2007</v>
      </c>
      <c r="F127" s="3907"/>
      <c r="G127" s="598">
        <v>120000</v>
      </c>
      <c r="H127" s="598">
        <v>120000</v>
      </c>
      <c r="I127" s="627"/>
      <c r="J127" s="1881">
        <f>H127-I127</f>
        <v>120000</v>
      </c>
      <c r="K127" s="538"/>
      <c r="L127" s="2068"/>
      <c r="M127" s="2068"/>
      <c r="N127" s="2068"/>
      <c r="O127" s="2068"/>
      <c r="P127" s="2068"/>
      <c r="Q127" s="2068"/>
      <c r="R127" s="2068"/>
      <c r="S127" s="539"/>
      <c r="T127" s="2068"/>
      <c r="U127" s="2068"/>
      <c r="V127" s="2068"/>
      <c r="W127" s="2068"/>
      <c r="X127" s="2068"/>
      <c r="Y127" s="585"/>
      <c r="Z127" s="599"/>
      <c r="AA127" s="595"/>
      <c r="AB127" s="423"/>
      <c r="AC127" s="423">
        <f t="shared" si="46"/>
        <v>120000000000</v>
      </c>
    </row>
    <row r="128" spans="1:29" s="1847" customFormat="1" ht="23.1" customHeight="1">
      <c r="A128" s="456" t="s">
        <v>1279</v>
      </c>
      <c r="B128" s="540"/>
      <c r="C128" s="541"/>
      <c r="D128" s="3836" t="s">
        <v>2008</v>
      </c>
      <c r="E128" s="3821"/>
      <c r="F128" s="3822"/>
      <c r="G128" s="598">
        <f>+G129+G130+G131</f>
        <v>200000</v>
      </c>
      <c r="H128" s="598">
        <v>200000</v>
      </c>
      <c r="I128" s="529"/>
      <c r="J128" s="2082"/>
      <c r="K128" s="538"/>
      <c r="L128" s="2068"/>
      <c r="M128" s="2068"/>
      <c r="N128" s="2068"/>
      <c r="O128" s="2068"/>
      <c r="P128" s="2068"/>
      <c r="Q128" s="2068"/>
      <c r="R128" s="2068"/>
      <c r="S128" s="2068"/>
      <c r="T128" s="2068"/>
      <c r="U128" s="2068"/>
      <c r="V128" s="2068"/>
      <c r="W128" s="2068"/>
      <c r="X128" s="2068"/>
      <c r="Y128" s="585"/>
      <c r="Z128" s="599"/>
      <c r="AA128" s="595"/>
      <c r="AB128" s="423"/>
      <c r="AC128" s="423">
        <f t="shared" si="46"/>
        <v>200000000000</v>
      </c>
    </row>
    <row r="129" spans="1:29" s="1847" customFormat="1" ht="23.1" customHeight="1">
      <c r="A129" s="456"/>
      <c r="B129" s="540"/>
      <c r="C129" s="541"/>
      <c r="D129" s="542"/>
      <c r="E129" s="3825" t="s">
        <v>2009</v>
      </c>
      <c r="F129" s="3826"/>
      <c r="G129" s="598">
        <v>120000</v>
      </c>
      <c r="H129" s="598">
        <v>120000</v>
      </c>
      <c r="I129" s="529"/>
      <c r="J129" s="2082"/>
      <c r="K129" s="538"/>
      <c r="L129" s="2068"/>
      <c r="M129" s="2068"/>
      <c r="N129" s="2068"/>
      <c r="O129" s="2068"/>
      <c r="P129" s="2068"/>
      <c r="Q129" s="2068"/>
      <c r="R129" s="2068"/>
      <c r="S129" s="539"/>
      <c r="T129" s="2068"/>
      <c r="U129" s="2068"/>
      <c r="V129" s="2068"/>
      <c r="W129" s="2068"/>
      <c r="X129" s="2068"/>
      <c r="Y129" s="585"/>
      <c r="Z129" s="554"/>
      <c r="AA129" s="587"/>
      <c r="AB129" s="423"/>
      <c r="AC129" s="423">
        <f t="shared" si="46"/>
        <v>120000000000</v>
      </c>
    </row>
    <row r="130" spans="1:29" s="1847" customFormat="1" ht="23.1" customHeight="1">
      <c r="A130" s="456"/>
      <c r="B130" s="540"/>
      <c r="C130" s="541"/>
      <c r="D130" s="542"/>
      <c r="E130" s="3825" t="s">
        <v>2010</v>
      </c>
      <c r="F130" s="3826"/>
      <c r="G130" s="598">
        <v>55000</v>
      </c>
      <c r="H130" s="598">
        <v>55000</v>
      </c>
      <c r="I130" s="529"/>
      <c r="J130" s="2082"/>
      <c r="K130" s="538"/>
      <c r="L130" s="2068"/>
      <c r="M130" s="2068"/>
      <c r="N130" s="2068"/>
      <c r="O130" s="2068"/>
      <c r="P130" s="2068"/>
      <c r="Q130" s="2068"/>
      <c r="R130" s="2068"/>
      <c r="S130" s="539"/>
      <c r="T130" s="2068"/>
      <c r="U130" s="2068"/>
      <c r="V130" s="2068"/>
      <c r="W130" s="2068"/>
      <c r="X130" s="2068"/>
      <c r="Y130" s="585"/>
      <c r="Z130" s="554"/>
      <c r="AA130" s="587"/>
      <c r="AB130" s="423"/>
      <c r="AC130" s="423">
        <f t="shared" si="46"/>
        <v>55000000000</v>
      </c>
    </row>
    <row r="131" spans="1:29" s="1847" customFormat="1" ht="23.1" customHeight="1">
      <c r="A131" s="456"/>
      <c r="B131" s="540"/>
      <c r="C131" s="541"/>
      <c r="D131" s="542"/>
      <c r="E131" s="3825" t="s">
        <v>2011</v>
      </c>
      <c r="F131" s="3826"/>
      <c r="G131" s="598">
        <v>25000</v>
      </c>
      <c r="H131" s="598">
        <v>25000</v>
      </c>
      <c r="I131" s="529"/>
      <c r="J131" s="2082"/>
      <c r="K131" s="538"/>
      <c r="L131" s="2068"/>
      <c r="M131" s="2068"/>
      <c r="N131" s="2068"/>
      <c r="O131" s="2068"/>
      <c r="P131" s="2068"/>
      <c r="Q131" s="2068"/>
      <c r="R131" s="2068"/>
      <c r="S131" s="539"/>
      <c r="T131" s="2068"/>
      <c r="U131" s="2068"/>
      <c r="V131" s="2068"/>
      <c r="W131" s="2068"/>
      <c r="X131" s="2068"/>
      <c r="Y131" s="585"/>
      <c r="Z131" s="554"/>
      <c r="AA131" s="587"/>
      <c r="AB131" s="423"/>
      <c r="AC131" s="423">
        <f t="shared" si="46"/>
        <v>25000000000</v>
      </c>
    </row>
    <row r="132" spans="1:29" s="1847" customFormat="1" ht="23.1" customHeight="1">
      <c r="A132" s="456" t="s">
        <v>1279</v>
      </c>
      <c r="B132" s="540"/>
      <c r="C132" s="541"/>
      <c r="D132" s="3836" t="s">
        <v>2012</v>
      </c>
      <c r="E132" s="3821"/>
      <c r="F132" s="3822"/>
      <c r="G132" s="598">
        <f>+G133</f>
        <v>200000</v>
      </c>
      <c r="H132" s="598">
        <v>200000</v>
      </c>
      <c r="I132" s="529"/>
      <c r="J132" s="2082"/>
      <c r="K132" s="538"/>
      <c r="L132" s="2068"/>
      <c r="M132" s="2068"/>
      <c r="N132" s="2068"/>
      <c r="O132" s="2068"/>
      <c r="P132" s="2068"/>
      <c r="Q132" s="2068"/>
      <c r="R132" s="2068"/>
      <c r="S132" s="2068"/>
      <c r="T132" s="2068"/>
      <c r="U132" s="2068"/>
      <c r="V132" s="2068"/>
      <c r="W132" s="2068"/>
      <c r="X132" s="2068"/>
      <c r="Y132" s="585"/>
      <c r="Z132" s="599"/>
      <c r="AA132" s="595"/>
      <c r="AB132" s="423"/>
      <c r="AC132" s="423">
        <f t="shared" si="46"/>
        <v>200000000000</v>
      </c>
    </row>
    <row r="133" spans="1:29" s="1847" customFormat="1" ht="23.1" customHeight="1">
      <c r="A133" s="456"/>
      <c r="B133" s="540"/>
      <c r="C133" s="541"/>
      <c r="D133" s="542"/>
      <c r="E133" s="3825" t="s">
        <v>2012</v>
      </c>
      <c r="F133" s="3826"/>
      <c r="G133" s="598">
        <v>200000</v>
      </c>
      <c r="H133" s="598">
        <v>200000</v>
      </c>
      <c r="I133" s="529"/>
      <c r="J133" s="2082"/>
      <c r="K133" s="538"/>
      <c r="L133" s="2068"/>
      <c r="M133" s="2068"/>
      <c r="N133" s="2068"/>
      <c r="O133" s="2068"/>
      <c r="P133" s="2068"/>
      <c r="Q133" s="2068"/>
      <c r="R133" s="2068"/>
      <c r="S133" s="539"/>
      <c r="T133" s="2068"/>
      <c r="U133" s="2068"/>
      <c r="V133" s="2068"/>
      <c r="W133" s="2068"/>
      <c r="X133" s="2068"/>
      <c r="Y133" s="585"/>
      <c r="Z133" s="554"/>
      <c r="AA133" s="587"/>
      <c r="AB133" s="423"/>
      <c r="AC133" s="423">
        <f t="shared" si="46"/>
        <v>200000000000</v>
      </c>
    </row>
    <row r="134" spans="1:29" s="1925" customFormat="1" ht="23.1" customHeight="1">
      <c r="A134" s="456" t="s">
        <v>1279</v>
      </c>
      <c r="B134" s="540"/>
      <c r="C134" s="2954"/>
      <c r="D134" s="3836" t="s">
        <v>2013</v>
      </c>
      <c r="E134" s="3821"/>
      <c r="F134" s="3822"/>
      <c r="G134" s="823">
        <f>+G135</f>
        <v>50000</v>
      </c>
      <c r="H134" s="823">
        <v>50000</v>
      </c>
      <c r="I134" s="1332"/>
      <c r="J134" s="2949"/>
      <c r="K134" s="580"/>
      <c r="L134" s="2945"/>
      <c r="M134" s="2945"/>
      <c r="N134" s="2945"/>
      <c r="O134" s="2945"/>
      <c r="P134" s="2945"/>
      <c r="Q134" s="2945"/>
      <c r="R134" s="2945"/>
      <c r="S134" s="2945"/>
      <c r="T134" s="2945"/>
      <c r="U134" s="2945"/>
      <c r="V134" s="2945"/>
      <c r="W134" s="2945"/>
      <c r="X134" s="2945"/>
      <c r="Y134" s="581"/>
      <c r="Z134" s="756"/>
      <c r="AA134" s="595"/>
      <c r="AB134" s="423"/>
      <c r="AC134" s="423">
        <f t="shared" ref="AC134:AC135" si="47">G134*1000000</f>
        <v>50000000000</v>
      </c>
    </row>
    <row r="135" spans="1:29" s="1925" customFormat="1" ht="23.1" customHeight="1">
      <c r="A135" s="456"/>
      <c r="B135" s="540"/>
      <c r="C135" s="2954"/>
      <c r="D135" s="2949"/>
      <c r="E135" s="2933" t="s">
        <v>2013</v>
      </c>
      <c r="F135" s="2935"/>
      <c r="G135" s="823">
        <v>50000</v>
      </c>
      <c r="H135" s="823">
        <v>50000</v>
      </c>
      <c r="I135" s="627"/>
      <c r="J135" s="2949"/>
      <c r="K135" s="580"/>
      <c r="L135" s="2945"/>
      <c r="M135" s="2945"/>
      <c r="N135" s="2945"/>
      <c r="O135" s="2945"/>
      <c r="P135" s="2945"/>
      <c r="Q135" s="2945"/>
      <c r="R135" s="2945"/>
      <c r="S135" s="2945"/>
      <c r="T135" s="2945"/>
      <c r="U135" s="2945"/>
      <c r="V135" s="2945"/>
      <c r="W135" s="2945"/>
      <c r="X135" s="2945"/>
      <c r="Y135" s="581"/>
      <c r="Z135" s="586"/>
      <c r="AA135" s="583"/>
      <c r="AB135" s="423"/>
      <c r="AC135" s="423">
        <f t="shared" si="47"/>
        <v>50000000000</v>
      </c>
    </row>
    <row r="136" spans="1:29" s="1847" customFormat="1" ht="23.1" customHeight="1">
      <c r="A136" s="456" t="s">
        <v>1279</v>
      </c>
      <c r="B136" s="540"/>
      <c r="C136" s="541"/>
      <c r="D136" s="4102" t="s">
        <v>3923</v>
      </c>
      <c r="E136" s="4102"/>
      <c r="F136" s="4102"/>
      <c r="G136" s="823">
        <f>+G137</f>
        <v>30000</v>
      </c>
      <c r="H136" s="823">
        <f>+H137</f>
        <v>30000</v>
      </c>
      <c r="I136" s="1332"/>
      <c r="J136" s="2082"/>
      <c r="K136" s="580"/>
      <c r="L136" s="2072"/>
      <c r="M136" s="2072"/>
      <c r="N136" s="2072"/>
      <c r="O136" s="2072"/>
      <c r="P136" s="2072"/>
      <c r="Q136" s="2072"/>
      <c r="R136" s="2072"/>
      <c r="S136" s="2072"/>
      <c r="T136" s="2072"/>
      <c r="U136" s="2072"/>
      <c r="V136" s="2072"/>
      <c r="W136" s="2072"/>
      <c r="X136" s="2072"/>
      <c r="Y136" s="581"/>
      <c r="Z136" s="756"/>
      <c r="AA136" s="595"/>
      <c r="AB136" s="423"/>
      <c r="AC136" s="423">
        <f t="shared" si="46"/>
        <v>30000000000</v>
      </c>
    </row>
    <row r="137" spans="1:29" s="1847" customFormat="1" ht="23.1" customHeight="1" thickBot="1">
      <c r="A137" s="456"/>
      <c r="B137" s="540"/>
      <c r="C137" s="541"/>
      <c r="D137" s="2990"/>
      <c r="E137" s="4103" t="s">
        <v>3923</v>
      </c>
      <c r="F137" s="4104"/>
      <c r="G137" s="823">
        <v>30000</v>
      </c>
      <c r="H137" s="823">
        <v>30000</v>
      </c>
      <c r="I137" s="627"/>
      <c r="J137" s="2082"/>
      <c r="K137" s="580"/>
      <c r="L137" s="2072"/>
      <c r="M137" s="2072"/>
      <c r="N137" s="2072"/>
      <c r="O137" s="2072"/>
      <c r="P137" s="2072"/>
      <c r="Q137" s="2072"/>
      <c r="R137" s="2072"/>
      <c r="S137" s="2072"/>
      <c r="T137" s="2072"/>
      <c r="U137" s="2072"/>
      <c r="V137" s="2072"/>
      <c r="W137" s="2072"/>
      <c r="X137" s="2072"/>
      <c r="Y137" s="581"/>
      <c r="Z137" s="586"/>
      <c r="AA137" s="583"/>
      <c r="AB137" s="423"/>
      <c r="AC137" s="423">
        <f t="shared" si="46"/>
        <v>30000000000</v>
      </c>
    </row>
    <row r="138" spans="1:29" s="879" customFormat="1" ht="23.25" customHeight="1" thickBot="1">
      <c r="A138" s="456"/>
      <c r="B138" s="574" t="s">
        <v>1390</v>
      </c>
      <c r="C138" s="1902"/>
      <c r="D138" s="1902"/>
      <c r="E138" s="1902"/>
      <c r="F138" s="1902"/>
      <c r="G138" s="821">
        <f t="shared" ref="G138:H138" si="48">+G139</f>
        <v>175000</v>
      </c>
      <c r="H138" s="821">
        <f t="shared" si="48"/>
        <v>175000</v>
      </c>
      <c r="I138" s="2655"/>
      <c r="J138" s="2082"/>
      <c r="K138" s="2081"/>
      <c r="L138" s="2082"/>
      <c r="M138" s="2082"/>
      <c r="N138" s="2082"/>
      <c r="O138" s="2082"/>
      <c r="P138" s="2082"/>
      <c r="Q138" s="2082"/>
      <c r="R138" s="2082"/>
      <c r="S138" s="552"/>
      <c r="T138" s="2082"/>
      <c r="U138" s="2082"/>
      <c r="V138" s="2082"/>
      <c r="W138" s="2082"/>
      <c r="X138" s="2082"/>
      <c r="Y138" s="542"/>
      <c r="Z138" s="554"/>
      <c r="AA138" s="587"/>
      <c r="AB138" s="423"/>
      <c r="AC138" s="423"/>
    </row>
    <row r="139" spans="1:29" s="814" customFormat="1" ht="23.25" customHeight="1" thickBot="1">
      <c r="A139" s="836"/>
      <c r="B139" s="1912"/>
      <c r="C139" s="568" t="s">
        <v>52</v>
      </c>
      <c r="D139" s="569"/>
      <c r="E139" s="570"/>
      <c r="F139" s="571"/>
      <c r="G139" s="822">
        <f>+G140+G142</f>
        <v>175000</v>
      </c>
      <c r="H139" s="822">
        <f>+H140+H142</f>
        <v>175000</v>
      </c>
      <c r="I139" s="573"/>
      <c r="J139" s="840"/>
      <c r="K139" s="574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6"/>
      <c r="Z139" s="2658"/>
      <c r="AA139" s="2667"/>
      <c r="AB139" s="423"/>
      <c r="AC139" s="423">
        <f t="shared" ref="AC139:AC142" si="49">G139*1000000</f>
        <v>175000000000</v>
      </c>
    </row>
    <row r="140" spans="1:29" s="815" customFormat="1" ht="23.25" customHeight="1">
      <c r="A140" s="456" t="s">
        <v>1279</v>
      </c>
      <c r="B140" s="562"/>
      <c r="C140" s="563"/>
      <c r="D140" s="4099" t="s">
        <v>1409</v>
      </c>
      <c r="E140" s="4099"/>
      <c r="F140" s="3839"/>
      <c r="G140" s="826">
        <f>+G141</f>
        <v>160000</v>
      </c>
      <c r="H140" s="826">
        <f>+H141</f>
        <v>160000</v>
      </c>
      <c r="I140" s="2450">
        <f>G140-H140</f>
        <v>0</v>
      </c>
      <c r="J140" s="2082"/>
      <c r="K140" s="614"/>
      <c r="L140" s="2072"/>
      <c r="M140" s="2072"/>
      <c r="N140" s="2072"/>
      <c r="O140" s="2072"/>
      <c r="P140" s="2072"/>
      <c r="Q140" s="2072"/>
      <c r="R140" s="510"/>
      <c r="S140" s="2348"/>
      <c r="T140" s="617"/>
      <c r="U140" s="618"/>
      <c r="V140" s="618"/>
      <c r="W140" s="618"/>
      <c r="X140" s="618"/>
      <c r="Y140" s="619"/>
      <c r="Z140" s="756"/>
      <c r="AA140" s="555"/>
      <c r="AB140" s="423"/>
      <c r="AC140" s="423">
        <f t="shared" si="49"/>
        <v>160000000000</v>
      </c>
    </row>
    <row r="141" spans="1:29" s="815" customFormat="1" ht="23.25" customHeight="1">
      <c r="A141" s="837"/>
      <c r="B141" s="562"/>
      <c r="C141" s="563"/>
      <c r="D141" s="473"/>
      <c r="E141" s="4100" t="s">
        <v>1409</v>
      </c>
      <c r="F141" s="4101"/>
      <c r="G141" s="842">
        <v>160000</v>
      </c>
      <c r="H141" s="842">
        <v>160000</v>
      </c>
      <c r="I141" s="1364">
        <f>G141-H141</f>
        <v>0</v>
      </c>
      <c r="J141" s="2082"/>
      <c r="K141" s="2025"/>
      <c r="L141" s="2068"/>
      <c r="M141" s="2068"/>
      <c r="N141" s="2068"/>
      <c r="O141" s="2068"/>
      <c r="P141" s="2068"/>
      <c r="Q141" s="2068"/>
      <c r="R141" s="2068"/>
      <c r="S141" s="539"/>
      <c r="T141" s="2026"/>
      <c r="U141" s="2026"/>
      <c r="V141" s="2026"/>
      <c r="W141" s="2026"/>
      <c r="X141" s="2026"/>
      <c r="Y141" s="2028"/>
      <c r="Z141" s="586"/>
      <c r="AA141" s="622"/>
      <c r="AB141" s="423"/>
      <c r="AC141" s="423">
        <f t="shared" si="49"/>
        <v>160000000000</v>
      </c>
    </row>
    <row r="142" spans="1:29" s="815" customFormat="1" ht="23.25" customHeight="1">
      <c r="A142" s="456" t="s">
        <v>1279</v>
      </c>
      <c r="B142" s="562"/>
      <c r="C142" s="563"/>
      <c r="D142" s="3825" t="s">
        <v>2026</v>
      </c>
      <c r="E142" s="3924"/>
      <c r="F142" s="3826"/>
      <c r="G142" s="825">
        <f>+G143</f>
        <v>15000</v>
      </c>
      <c r="H142" s="825">
        <f>+H143</f>
        <v>15000</v>
      </c>
      <c r="I142" s="2451">
        <f>G142-H142</f>
        <v>0</v>
      </c>
      <c r="J142" s="2082"/>
      <c r="K142" s="614"/>
      <c r="L142" s="2072"/>
      <c r="M142" s="2072"/>
      <c r="N142" s="2072"/>
      <c r="O142" s="2072"/>
      <c r="P142" s="2072"/>
      <c r="Q142" s="2072"/>
      <c r="R142" s="510"/>
      <c r="S142" s="2348"/>
      <c r="T142" s="617"/>
      <c r="U142" s="618"/>
      <c r="V142" s="618"/>
      <c r="W142" s="618"/>
      <c r="X142" s="618"/>
      <c r="Y142" s="619"/>
      <c r="Z142" s="756"/>
      <c r="AA142" s="555"/>
      <c r="AB142" s="423"/>
      <c r="AC142" s="423">
        <f t="shared" si="49"/>
        <v>15000000000</v>
      </c>
    </row>
    <row r="143" spans="1:29" s="815" customFormat="1" ht="23.25" customHeight="1" thickBot="1">
      <c r="A143" s="456"/>
      <c r="B143" s="1913"/>
      <c r="C143" s="1914"/>
      <c r="D143" s="1915"/>
      <c r="E143" s="3825" t="s">
        <v>2026</v>
      </c>
      <c r="F143" s="3826"/>
      <c r="G143" s="598">
        <v>15000</v>
      </c>
      <c r="H143" s="598">
        <v>15000</v>
      </c>
      <c r="I143" s="529">
        <f t="shared" ref="I143" si="50">G143-H143</f>
        <v>0</v>
      </c>
      <c r="J143" s="2082"/>
      <c r="K143" s="614"/>
      <c r="L143" s="2072"/>
      <c r="M143" s="2072"/>
      <c r="N143" s="2072"/>
      <c r="O143" s="2072"/>
      <c r="P143" s="2072"/>
      <c r="Q143" s="2072"/>
      <c r="R143" s="510"/>
      <c r="S143" s="2348"/>
      <c r="T143" s="617"/>
      <c r="U143" s="618"/>
      <c r="V143" s="618"/>
      <c r="W143" s="618"/>
      <c r="X143" s="618"/>
      <c r="Y143" s="619"/>
      <c r="Z143" s="756"/>
      <c r="AA143" s="555"/>
      <c r="AB143" s="423"/>
      <c r="AC143" s="423"/>
    </row>
    <row r="144" spans="1:29" s="879" customFormat="1" ht="24" customHeight="1" thickBot="1">
      <c r="A144" s="456"/>
      <c r="B144" s="574" t="s">
        <v>1337</v>
      </c>
      <c r="C144" s="1902"/>
      <c r="D144" s="1902"/>
      <c r="E144" s="1902"/>
      <c r="F144" s="1902"/>
      <c r="G144" s="821">
        <f t="shared" ref="G144:H162" si="51">+G145</f>
        <v>1769000</v>
      </c>
      <c r="H144" s="821">
        <f t="shared" si="51"/>
        <v>1544000</v>
      </c>
      <c r="I144" s="2655">
        <f>G144-H144</f>
        <v>225000</v>
      </c>
      <c r="J144" s="2082"/>
      <c r="K144" s="2081"/>
      <c r="L144" s="2082"/>
      <c r="M144" s="2082"/>
      <c r="N144" s="2082"/>
      <c r="O144" s="2082"/>
      <c r="P144" s="2082"/>
      <c r="Q144" s="2082"/>
      <c r="R144" s="2082"/>
      <c r="S144" s="552"/>
      <c r="T144" s="2082"/>
      <c r="U144" s="2082"/>
      <c r="V144" s="2082"/>
      <c r="W144" s="2082"/>
      <c r="X144" s="2082"/>
      <c r="Y144" s="542"/>
      <c r="Z144" s="554"/>
      <c r="AA144" s="587"/>
      <c r="AB144" s="423"/>
      <c r="AC144" s="423"/>
    </row>
    <row r="145" spans="1:29" s="814" customFormat="1" ht="24" customHeight="1" thickBot="1">
      <c r="A145" s="836"/>
      <c r="B145" s="1912"/>
      <c r="C145" s="568" t="s">
        <v>915</v>
      </c>
      <c r="D145" s="569"/>
      <c r="E145" s="570"/>
      <c r="F145" s="571"/>
      <c r="G145" s="822">
        <f>+G146+G152+G157+G159</f>
        <v>1769000</v>
      </c>
      <c r="H145" s="822">
        <f>+H146+H152+H157+H159</f>
        <v>1544000</v>
      </c>
      <c r="I145" s="573">
        <f>G145-H145</f>
        <v>225000</v>
      </c>
      <c r="J145" s="840"/>
      <c r="K145" s="574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6"/>
      <c r="Z145" s="2658"/>
      <c r="AA145" s="2667"/>
      <c r="AB145" s="423"/>
      <c r="AC145" s="423">
        <f t="shared" ref="AC145:AC156" si="52">G145*1000000</f>
        <v>1769000000000</v>
      </c>
    </row>
    <row r="146" spans="1:29" s="815" customFormat="1" ht="24" customHeight="1">
      <c r="A146" s="456" t="s">
        <v>1279</v>
      </c>
      <c r="B146" s="562"/>
      <c r="C146" s="563"/>
      <c r="D146" s="4099" t="s">
        <v>1338</v>
      </c>
      <c r="E146" s="4099"/>
      <c r="F146" s="3839"/>
      <c r="G146" s="826">
        <f>SUM(G147:G151)</f>
        <v>774000</v>
      </c>
      <c r="H146" s="826">
        <f>SUM(H147:H151)</f>
        <v>774000</v>
      </c>
      <c r="I146" s="2450">
        <f>G146-H146</f>
        <v>0</v>
      </c>
      <c r="J146" s="2082"/>
      <c r="K146" s="614"/>
      <c r="L146" s="2072"/>
      <c r="M146" s="2072"/>
      <c r="N146" s="2072"/>
      <c r="O146" s="2072"/>
      <c r="P146" s="2072"/>
      <c r="Q146" s="2072"/>
      <c r="R146" s="510"/>
      <c r="S146" s="2348"/>
      <c r="T146" s="617"/>
      <c r="U146" s="618"/>
      <c r="V146" s="618"/>
      <c r="W146" s="618"/>
      <c r="X146" s="618"/>
      <c r="Y146" s="619"/>
      <c r="Z146" s="756"/>
      <c r="AA146" s="555"/>
      <c r="AB146" s="423"/>
      <c r="AC146" s="423">
        <f t="shared" si="52"/>
        <v>774000000000</v>
      </c>
    </row>
    <row r="147" spans="1:29" s="815" customFormat="1" ht="24" customHeight="1">
      <c r="A147" s="456"/>
      <c r="B147" s="562"/>
      <c r="C147" s="563"/>
      <c r="D147" s="1915"/>
      <c r="E147" s="3825" t="s">
        <v>1339</v>
      </c>
      <c r="F147" s="3826"/>
      <c r="G147" s="598">
        <v>500000</v>
      </c>
      <c r="H147" s="598">
        <v>500000</v>
      </c>
      <c r="I147" s="529"/>
      <c r="J147" s="2082"/>
      <c r="K147" s="614"/>
      <c r="L147" s="2072"/>
      <c r="M147" s="2072"/>
      <c r="N147" s="2072"/>
      <c r="O147" s="2072"/>
      <c r="P147" s="2072"/>
      <c r="Q147" s="2072"/>
      <c r="R147" s="510"/>
      <c r="S147" s="2348"/>
      <c r="T147" s="617"/>
      <c r="U147" s="618"/>
      <c r="V147" s="618"/>
      <c r="W147" s="618"/>
      <c r="X147" s="618"/>
      <c r="Y147" s="619"/>
      <c r="Z147" s="756"/>
      <c r="AA147" s="555"/>
      <c r="AB147" s="423"/>
      <c r="AC147" s="423"/>
    </row>
    <row r="148" spans="1:29" s="815" customFormat="1" ht="24" customHeight="1">
      <c r="A148" s="837"/>
      <c r="B148" s="562"/>
      <c r="C148" s="563"/>
      <c r="D148" s="473"/>
      <c r="E148" s="4100" t="s">
        <v>1979</v>
      </c>
      <c r="F148" s="4101"/>
      <c r="G148" s="842">
        <v>50000</v>
      </c>
      <c r="H148" s="842">
        <v>50000</v>
      </c>
      <c r="I148" s="1364"/>
      <c r="J148" s="2949"/>
      <c r="K148" s="2025"/>
      <c r="L148" s="2934"/>
      <c r="M148" s="2934"/>
      <c r="N148" s="2934"/>
      <c r="O148" s="2934"/>
      <c r="P148" s="2934"/>
      <c r="Q148" s="2934"/>
      <c r="R148" s="2934"/>
      <c r="S148" s="539"/>
      <c r="T148" s="2026"/>
      <c r="U148" s="2026"/>
      <c r="V148" s="2026"/>
      <c r="W148" s="2026"/>
      <c r="X148" s="2026"/>
      <c r="Y148" s="2028"/>
      <c r="Z148" s="586"/>
      <c r="AA148" s="622"/>
      <c r="AB148" s="423"/>
      <c r="AC148" s="423">
        <f t="shared" ref="AC148" si="53">G148*1000000</f>
        <v>50000000000</v>
      </c>
    </row>
    <row r="149" spans="1:29" s="815" customFormat="1" ht="24" customHeight="1">
      <c r="A149" s="456"/>
      <c r="B149" s="562"/>
      <c r="C149" s="563"/>
      <c r="D149" s="1915"/>
      <c r="E149" s="3825" t="s">
        <v>2026</v>
      </c>
      <c r="F149" s="3826"/>
      <c r="G149" s="598">
        <v>14000</v>
      </c>
      <c r="H149" s="598">
        <v>14000</v>
      </c>
      <c r="I149" s="529"/>
      <c r="J149" s="2082"/>
      <c r="K149" s="614"/>
      <c r="L149" s="2072"/>
      <c r="M149" s="2072"/>
      <c r="N149" s="2072"/>
      <c r="O149" s="2072"/>
      <c r="P149" s="2072"/>
      <c r="Q149" s="2072"/>
      <c r="R149" s="510"/>
      <c r="S149" s="2348"/>
      <c r="T149" s="617"/>
      <c r="U149" s="618"/>
      <c r="V149" s="618"/>
      <c r="W149" s="618"/>
      <c r="X149" s="618"/>
      <c r="Y149" s="619"/>
      <c r="Z149" s="756"/>
      <c r="AA149" s="555"/>
      <c r="AB149" s="423"/>
      <c r="AC149" s="423"/>
    </row>
    <row r="150" spans="1:29" s="815" customFormat="1" ht="24" customHeight="1">
      <c r="A150" s="456"/>
      <c r="B150" s="562"/>
      <c r="C150" s="563"/>
      <c r="D150" s="1915"/>
      <c r="E150" s="3825" t="s">
        <v>1958</v>
      </c>
      <c r="F150" s="3826"/>
      <c r="G150" s="598">
        <v>150000</v>
      </c>
      <c r="H150" s="598">
        <v>150000</v>
      </c>
      <c r="I150" s="529"/>
      <c r="J150" s="2082"/>
      <c r="K150" s="614"/>
      <c r="L150" s="2072"/>
      <c r="M150" s="2072"/>
      <c r="N150" s="2072"/>
      <c r="O150" s="2072"/>
      <c r="P150" s="2072"/>
      <c r="Q150" s="2072"/>
      <c r="R150" s="510"/>
      <c r="S150" s="2348"/>
      <c r="T150" s="617"/>
      <c r="U150" s="618"/>
      <c r="V150" s="618"/>
      <c r="W150" s="618"/>
      <c r="X150" s="618"/>
      <c r="Y150" s="619"/>
      <c r="Z150" s="756"/>
      <c r="AA150" s="555"/>
      <c r="AB150" s="423"/>
      <c r="AC150" s="423"/>
    </row>
    <row r="151" spans="1:29" s="1894" customFormat="1" ht="24" customHeight="1">
      <c r="A151" s="1893"/>
      <c r="B151" s="562"/>
      <c r="C151" s="563"/>
      <c r="D151" s="3107"/>
      <c r="E151" s="3825" t="s">
        <v>5602</v>
      </c>
      <c r="F151" s="3826"/>
      <c r="G151" s="842">
        <v>60000</v>
      </c>
      <c r="H151" s="842">
        <v>60000</v>
      </c>
      <c r="I151" s="1364"/>
      <c r="J151" s="3061"/>
      <c r="K151" s="2025"/>
      <c r="L151" s="3060"/>
      <c r="M151" s="3060"/>
      <c r="N151" s="3060"/>
      <c r="O151" s="3060"/>
      <c r="P151" s="3060"/>
      <c r="Q151" s="3060"/>
      <c r="R151" s="3060"/>
      <c r="S151" s="539"/>
      <c r="T151" s="2026"/>
      <c r="U151" s="2026"/>
      <c r="V151" s="2026"/>
      <c r="W151" s="2026"/>
      <c r="X151" s="2026"/>
      <c r="Y151" s="2028"/>
      <c r="Z151" s="586"/>
      <c r="AA151" s="622"/>
      <c r="AB151" s="547"/>
      <c r="AC151" s="547">
        <f>G151*1000000</f>
        <v>60000000000</v>
      </c>
    </row>
    <row r="152" spans="1:29" s="1847" customFormat="1" ht="24" customHeight="1">
      <c r="A152" s="456" t="s">
        <v>1279</v>
      </c>
      <c r="B152" s="540"/>
      <c r="C152" s="541"/>
      <c r="D152" s="3836" t="s">
        <v>2018</v>
      </c>
      <c r="E152" s="3821"/>
      <c r="F152" s="3822"/>
      <c r="G152" s="598">
        <f>+G153+G154+G155+G156</f>
        <v>800000</v>
      </c>
      <c r="H152" s="598">
        <f>+H153+H154+H155+H156</f>
        <v>740000</v>
      </c>
      <c r="I152" s="529">
        <f t="shared" ref="I152" si="54">G152-H152</f>
        <v>60000</v>
      </c>
      <c r="J152" s="2082"/>
      <c r="K152" s="538"/>
      <c r="L152" s="2068"/>
      <c r="M152" s="2068"/>
      <c r="N152" s="2068"/>
      <c r="O152" s="2068"/>
      <c r="P152" s="2068"/>
      <c r="Q152" s="2068"/>
      <c r="R152" s="2068"/>
      <c r="S152" s="2068"/>
      <c r="T152" s="2068"/>
      <c r="U152" s="2068"/>
      <c r="V152" s="2068"/>
      <c r="W152" s="2068"/>
      <c r="X152" s="2068"/>
      <c r="Y152" s="585"/>
      <c r="Z152" s="599"/>
      <c r="AA152" s="595"/>
      <c r="AB152" s="423"/>
      <c r="AC152" s="423">
        <f t="shared" si="52"/>
        <v>800000000000</v>
      </c>
    </row>
    <row r="153" spans="1:29" s="1847" customFormat="1" ht="24" customHeight="1">
      <c r="A153" s="456"/>
      <c r="B153" s="540"/>
      <c r="C153" s="541"/>
      <c r="D153" s="542"/>
      <c r="E153" s="3825" t="s">
        <v>2019</v>
      </c>
      <c r="F153" s="3826"/>
      <c r="G153" s="598">
        <v>273118</v>
      </c>
      <c r="H153" s="598">
        <v>213118</v>
      </c>
      <c r="I153" s="529"/>
      <c r="J153" s="2082"/>
      <c r="K153" s="538"/>
      <c r="L153" s="2068"/>
      <c r="M153" s="2068"/>
      <c r="N153" s="2068"/>
      <c r="O153" s="2068"/>
      <c r="P153" s="2068"/>
      <c r="Q153" s="2068"/>
      <c r="R153" s="2068"/>
      <c r="S153" s="539"/>
      <c r="T153" s="2068"/>
      <c r="U153" s="2068"/>
      <c r="V153" s="2068"/>
      <c r="W153" s="2068"/>
      <c r="X153" s="2068"/>
      <c r="Y153" s="585"/>
      <c r="Z153" s="554"/>
      <c r="AA153" s="587"/>
      <c r="AB153" s="423"/>
      <c r="AC153" s="423">
        <f t="shared" si="52"/>
        <v>273118000000</v>
      </c>
    </row>
    <row r="154" spans="1:29" s="1847" customFormat="1" ht="24" customHeight="1">
      <c r="A154" s="456"/>
      <c r="B154" s="540"/>
      <c r="C154" s="541"/>
      <c r="D154" s="542"/>
      <c r="E154" s="3825" t="s">
        <v>2020</v>
      </c>
      <c r="F154" s="3826"/>
      <c r="G154" s="598">
        <v>128081.41</v>
      </c>
      <c r="H154" s="598">
        <v>128081</v>
      </c>
      <c r="I154" s="529"/>
      <c r="J154" s="2082"/>
      <c r="K154" s="538"/>
      <c r="L154" s="2068"/>
      <c r="M154" s="2068"/>
      <c r="N154" s="2068"/>
      <c r="O154" s="2068"/>
      <c r="P154" s="2068"/>
      <c r="Q154" s="2068"/>
      <c r="R154" s="2068"/>
      <c r="S154" s="539"/>
      <c r="T154" s="2068"/>
      <c r="U154" s="2068"/>
      <c r="V154" s="2068"/>
      <c r="W154" s="2068"/>
      <c r="X154" s="2068"/>
      <c r="Y154" s="585"/>
      <c r="Z154" s="586"/>
      <c r="AA154" s="587"/>
      <c r="AB154" s="423"/>
      <c r="AC154" s="423">
        <f t="shared" si="52"/>
        <v>128081410000</v>
      </c>
    </row>
    <row r="155" spans="1:29" s="1847" customFormat="1" ht="24" customHeight="1">
      <c r="A155" s="456"/>
      <c r="B155" s="540"/>
      <c r="C155" s="541"/>
      <c r="D155" s="542"/>
      <c r="E155" s="3825" t="s">
        <v>2021</v>
      </c>
      <c r="F155" s="3826"/>
      <c r="G155" s="598">
        <v>98800.59</v>
      </c>
      <c r="H155" s="598">
        <v>98801</v>
      </c>
      <c r="I155" s="529"/>
      <c r="J155" s="2082"/>
      <c r="K155" s="538"/>
      <c r="L155" s="2068"/>
      <c r="M155" s="2068"/>
      <c r="N155" s="2068"/>
      <c r="O155" s="2068"/>
      <c r="P155" s="2068"/>
      <c r="Q155" s="2068"/>
      <c r="R155" s="2068"/>
      <c r="S155" s="539"/>
      <c r="T155" s="2068"/>
      <c r="U155" s="2068"/>
      <c r="V155" s="2068"/>
      <c r="W155" s="2068"/>
      <c r="X155" s="2068"/>
      <c r="Y155" s="585"/>
      <c r="Z155" s="586"/>
      <c r="AA155" s="587"/>
      <c r="AB155" s="423"/>
      <c r="AC155" s="423">
        <f t="shared" si="52"/>
        <v>98800590000</v>
      </c>
    </row>
    <row r="156" spans="1:29" s="1847" customFormat="1" ht="24" customHeight="1">
      <c r="A156" s="456"/>
      <c r="B156" s="540"/>
      <c r="C156" s="541"/>
      <c r="D156" s="542"/>
      <c r="E156" s="4100" t="s">
        <v>2022</v>
      </c>
      <c r="F156" s="4101"/>
      <c r="G156" s="598">
        <v>300000</v>
      </c>
      <c r="H156" s="598">
        <v>300000</v>
      </c>
      <c r="I156" s="529"/>
      <c r="J156" s="2082"/>
      <c r="K156" s="538"/>
      <c r="L156" s="2068"/>
      <c r="M156" s="2068"/>
      <c r="N156" s="2068"/>
      <c r="O156" s="2068"/>
      <c r="P156" s="2068"/>
      <c r="Q156" s="2068"/>
      <c r="R156" s="2068"/>
      <c r="S156" s="539"/>
      <c r="T156" s="2068"/>
      <c r="U156" s="2068"/>
      <c r="V156" s="2068"/>
      <c r="W156" s="2068"/>
      <c r="X156" s="2068"/>
      <c r="Y156" s="585"/>
      <c r="Z156" s="586"/>
      <c r="AA156" s="587"/>
      <c r="AB156" s="423"/>
      <c r="AC156" s="423">
        <f t="shared" si="52"/>
        <v>300000000000</v>
      </c>
    </row>
    <row r="157" spans="1:29" s="3105" customFormat="1" ht="24" customHeight="1">
      <c r="A157" s="3099" t="s">
        <v>1279</v>
      </c>
      <c r="B157" s="540"/>
      <c r="C157" s="3461"/>
      <c r="D157" s="3836" t="s">
        <v>5603</v>
      </c>
      <c r="E157" s="3821"/>
      <c r="F157" s="3822"/>
      <c r="G157" s="3158">
        <f>+G158</f>
        <v>30000</v>
      </c>
      <c r="H157" s="3158">
        <f>+H158</f>
        <v>30000</v>
      </c>
      <c r="I157" s="529">
        <f t="shared" ref="I157" si="55">G157-H157</f>
        <v>0</v>
      </c>
      <c r="J157" s="3456"/>
      <c r="K157" s="538"/>
      <c r="L157" s="3451"/>
      <c r="M157" s="3451"/>
      <c r="N157" s="3451"/>
      <c r="O157" s="3451"/>
      <c r="P157" s="3451"/>
      <c r="Q157" s="3451"/>
      <c r="R157" s="3451"/>
      <c r="S157" s="3451"/>
      <c r="T157" s="3451"/>
      <c r="U157" s="3451"/>
      <c r="V157" s="3451"/>
      <c r="W157" s="3451"/>
      <c r="X157" s="3451"/>
      <c r="Y157" s="585"/>
      <c r="Z157" s="599"/>
      <c r="AA157" s="595"/>
      <c r="AB157" s="423"/>
      <c r="AC157" s="423">
        <f t="shared" ref="AC157:AC158" si="56">G157*1000000</f>
        <v>30000000000</v>
      </c>
    </row>
    <row r="158" spans="1:29" s="3105" customFormat="1" ht="24" customHeight="1">
      <c r="A158" s="3099"/>
      <c r="B158" s="540"/>
      <c r="C158" s="3461"/>
      <c r="D158" s="542"/>
      <c r="E158" s="3825" t="s">
        <v>5604</v>
      </c>
      <c r="F158" s="3826"/>
      <c r="G158" s="3158">
        <v>30000</v>
      </c>
      <c r="H158" s="3158">
        <v>30000</v>
      </c>
      <c r="I158" s="529"/>
      <c r="J158" s="3456"/>
      <c r="K158" s="538"/>
      <c r="L158" s="3451"/>
      <c r="M158" s="3451"/>
      <c r="N158" s="3451"/>
      <c r="O158" s="3451"/>
      <c r="P158" s="3451"/>
      <c r="Q158" s="3451"/>
      <c r="R158" s="3451"/>
      <c r="S158" s="539"/>
      <c r="T158" s="3451"/>
      <c r="U158" s="3451"/>
      <c r="V158" s="3451"/>
      <c r="W158" s="3451"/>
      <c r="X158" s="3451"/>
      <c r="Y158" s="585"/>
      <c r="Z158" s="554"/>
      <c r="AA158" s="587"/>
      <c r="AB158" s="423"/>
      <c r="AC158" s="423">
        <f t="shared" si="56"/>
        <v>30000000000</v>
      </c>
    </row>
    <row r="159" spans="1:29" s="3105" customFormat="1" ht="24" customHeight="1">
      <c r="A159" s="3099"/>
      <c r="B159" s="1879"/>
      <c r="C159" s="2294"/>
      <c r="D159" s="3836" t="s">
        <v>6094</v>
      </c>
      <c r="E159" s="3821"/>
      <c r="F159" s="3822"/>
      <c r="G159" s="3158">
        <f>G160+G161</f>
        <v>165000</v>
      </c>
      <c r="H159" s="3158">
        <f>H160+H161</f>
        <v>0</v>
      </c>
      <c r="I159" s="529">
        <f t="shared" ref="I159:I164" si="57">G159-H159</f>
        <v>165000</v>
      </c>
      <c r="J159" s="3650"/>
      <c r="K159" s="538"/>
      <c r="L159" s="3634"/>
      <c r="M159" s="3634"/>
      <c r="N159" s="3634"/>
      <c r="O159" s="3634"/>
      <c r="P159" s="3634"/>
      <c r="Q159" s="3634"/>
      <c r="R159" s="3634"/>
      <c r="S159" s="3634"/>
      <c r="T159" s="3634"/>
      <c r="U159" s="3634"/>
      <c r="V159" s="3634"/>
      <c r="W159" s="3634"/>
      <c r="X159" s="3634"/>
      <c r="Y159" s="585"/>
      <c r="Z159" s="599"/>
      <c r="AA159" s="587"/>
      <c r="AB159" s="423"/>
      <c r="AC159" s="423"/>
    </row>
    <row r="160" spans="1:29" s="3105" customFormat="1" ht="24" customHeight="1">
      <c r="A160" s="3099"/>
      <c r="B160" s="1879"/>
      <c r="C160" s="2294"/>
      <c r="D160" s="2692"/>
      <c r="E160" s="3634" t="s">
        <v>6093</v>
      </c>
      <c r="F160" s="3635"/>
      <c r="G160" s="3158">
        <v>100000</v>
      </c>
      <c r="H160" s="3158">
        <v>0</v>
      </c>
      <c r="I160" s="529">
        <f t="shared" si="57"/>
        <v>100000</v>
      </c>
      <c r="J160" s="3650"/>
      <c r="K160" s="538"/>
      <c r="L160" s="3634"/>
      <c r="M160" s="3634"/>
      <c r="N160" s="3634"/>
      <c r="O160" s="3634"/>
      <c r="P160" s="3634"/>
      <c r="Q160" s="3634"/>
      <c r="R160" s="3634"/>
      <c r="S160" s="3634"/>
      <c r="T160" s="3634"/>
      <c r="U160" s="3634"/>
      <c r="V160" s="3634"/>
      <c r="W160" s="3634"/>
      <c r="X160" s="3634"/>
      <c r="Y160" s="585"/>
      <c r="Z160" s="2666"/>
      <c r="AA160" s="587"/>
      <c r="AB160" s="423"/>
      <c r="AC160" s="423"/>
    </row>
    <row r="161" spans="1:29" s="3105" customFormat="1" ht="24" customHeight="1" thickBot="1">
      <c r="A161" s="3099"/>
      <c r="B161" s="1879"/>
      <c r="C161" s="3657"/>
      <c r="D161" s="542"/>
      <c r="E161" s="3825" t="s">
        <v>6059</v>
      </c>
      <c r="F161" s="3826"/>
      <c r="G161" s="3158">
        <v>65000</v>
      </c>
      <c r="H161" s="3158">
        <v>0</v>
      </c>
      <c r="I161" s="529">
        <f t="shared" si="57"/>
        <v>65000</v>
      </c>
      <c r="J161" s="3650"/>
      <c r="K161" s="538"/>
      <c r="L161" s="3634"/>
      <c r="M161" s="3634"/>
      <c r="N161" s="3634"/>
      <c r="O161" s="3634"/>
      <c r="P161" s="3634"/>
      <c r="Q161" s="3634"/>
      <c r="R161" s="3634"/>
      <c r="S161" s="539"/>
      <c r="T161" s="3634"/>
      <c r="U161" s="3634"/>
      <c r="V161" s="3634"/>
      <c r="W161" s="3634"/>
      <c r="X161" s="3634"/>
      <c r="Y161" s="585"/>
      <c r="Z161" s="748"/>
      <c r="AA161" s="587"/>
      <c r="AB161" s="423"/>
      <c r="AC161" s="423"/>
    </row>
    <row r="162" spans="1:29" s="1847" customFormat="1" ht="24" customHeight="1" thickBot="1">
      <c r="A162" s="456"/>
      <c r="B162" s="574" t="s">
        <v>2014</v>
      </c>
      <c r="C162" s="1902"/>
      <c r="D162" s="1902"/>
      <c r="E162" s="1902"/>
      <c r="F162" s="1902"/>
      <c r="G162" s="821">
        <f t="shared" si="51"/>
        <v>43807.925000000003</v>
      </c>
      <c r="H162" s="821">
        <f t="shared" si="51"/>
        <v>33000</v>
      </c>
      <c r="I162" s="2655">
        <f t="shared" si="57"/>
        <v>10807.925000000003</v>
      </c>
      <c r="J162" s="2082"/>
      <c r="K162" s="2081"/>
      <c r="L162" s="2082"/>
      <c r="M162" s="2082"/>
      <c r="N162" s="2082"/>
      <c r="O162" s="2082"/>
      <c r="P162" s="2082"/>
      <c r="Q162" s="2082"/>
      <c r="R162" s="2082"/>
      <c r="S162" s="552"/>
      <c r="T162" s="2082"/>
      <c r="U162" s="2082"/>
      <c r="V162" s="2082"/>
      <c r="W162" s="2082"/>
      <c r="X162" s="2082"/>
      <c r="Y162" s="542"/>
      <c r="Z162" s="554"/>
      <c r="AA162" s="587"/>
      <c r="AB162" s="423"/>
      <c r="AC162" s="423"/>
    </row>
    <row r="163" spans="1:29" s="814" customFormat="1" ht="24" customHeight="1" thickBot="1">
      <c r="A163" s="836"/>
      <c r="B163" s="1912"/>
      <c r="C163" s="568" t="s">
        <v>236</v>
      </c>
      <c r="D163" s="569"/>
      <c r="E163" s="570"/>
      <c r="F163" s="571"/>
      <c r="G163" s="822">
        <f>+G164+G167+G169</f>
        <v>43807.925000000003</v>
      </c>
      <c r="H163" s="822">
        <f>+H164+H167+H169</f>
        <v>33000</v>
      </c>
      <c r="I163" s="573">
        <f t="shared" si="57"/>
        <v>10807.925000000003</v>
      </c>
      <c r="J163" s="840"/>
      <c r="K163" s="574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6"/>
      <c r="Z163" s="2658"/>
      <c r="AA163" s="2667"/>
      <c r="AB163" s="423"/>
      <c r="AC163" s="423">
        <f t="shared" ref="AC163:AC168" si="58">G163*1000000</f>
        <v>43807925000</v>
      </c>
    </row>
    <row r="164" spans="1:29" s="815" customFormat="1" ht="24" customHeight="1">
      <c r="A164" s="456" t="s">
        <v>1279</v>
      </c>
      <c r="B164" s="562"/>
      <c r="C164" s="563"/>
      <c r="D164" s="4099" t="s">
        <v>2015</v>
      </c>
      <c r="E164" s="4099"/>
      <c r="F164" s="3839"/>
      <c r="G164" s="826">
        <f>+G165+G166</f>
        <v>30000</v>
      </c>
      <c r="H164" s="826">
        <f>+H165+H166</f>
        <v>30000</v>
      </c>
      <c r="I164" s="2450">
        <f t="shared" si="57"/>
        <v>0</v>
      </c>
      <c r="J164" s="2082"/>
      <c r="K164" s="614"/>
      <c r="L164" s="2072"/>
      <c r="M164" s="2072"/>
      <c r="N164" s="2072"/>
      <c r="O164" s="2072"/>
      <c r="P164" s="2072"/>
      <c r="Q164" s="2072"/>
      <c r="R164" s="510"/>
      <c r="S164" s="2348"/>
      <c r="T164" s="617"/>
      <c r="U164" s="618"/>
      <c r="V164" s="618"/>
      <c r="W164" s="618"/>
      <c r="X164" s="618"/>
      <c r="Y164" s="619"/>
      <c r="Z164" s="756"/>
      <c r="AA164" s="555"/>
      <c r="AB164" s="423"/>
      <c r="AC164" s="423">
        <f t="shared" si="58"/>
        <v>30000000000</v>
      </c>
    </row>
    <row r="165" spans="1:29" s="815" customFormat="1" ht="24" customHeight="1">
      <c r="A165" s="456"/>
      <c r="B165" s="562"/>
      <c r="C165" s="563"/>
      <c r="D165" s="1915"/>
      <c r="E165" s="3825" t="s">
        <v>2016</v>
      </c>
      <c r="F165" s="3826"/>
      <c r="G165" s="598">
        <v>15000</v>
      </c>
      <c r="H165" s="598">
        <v>15000</v>
      </c>
      <c r="I165" s="529"/>
      <c r="J165" s="2082"/>
      <c r="K165" s="614"/>
      <c r="L165" s="2072"/>
      <c r="M165" s="2072"/>
      <c r="N165" s="2072"/>
      <c r="O165" s="2072"/>
      <c r="P165" s="2072"/>
      <c r="Q165" s="2072"/>
      <c r="R165" s="510"/>
      <c r="S165" s="2348"/>
      <c r="T165" s="617"/>
      <c r="U165" s="618"/>
      <c r="V165" s="618"/>
      <c r="W165" s="618"/>
      <c r="X165" s="618"/>
      <c r="Y165" s="619"/>
      <c r="Z165" s="756"/>
      <c r="AA165" s="555"/>
      <c r="AB165" s="423"/>
      <c r="AC165" s="423"/>
    </row>
    <row r="166" spans="1:29" s="815" customFormat="1" ht="24" customHeight="1">
      <c r="A166" s="837"/>
      <c r="B166" s="562"/>
      <c r="C166" s="563"/>
      <c r="D166" s="473"/>
      <c r="E166" s="4100" t="s">
        <v>2017</v>
      </c>
      <c r="F166" s="4101"/>
      <c r="G166" s="842">
        <v>15000</v>
      </c>
      <c r="H166" s="842">
        <v>15000</v>
      </c>
      <c r="I166" s="1364"/>
      <c r="J166" s="2082"/>
      <c r="K166" s="2025"/>
      <c r="L166" s="2068"/>
      <c r="M166" s="2068"/>
      <c r="N166" s="2068"/>
      <c r="O166" s="2068"/>
      <c r="P166" s="2068"/>
      <c r="Q166" s="2068"/>
      <c r="R166" s="2068"/>
      <c r="S166" s="539"/>
      <c r="T166" s="2026"/>
      <c r="U166" s="2026"/>
      <c r="V166" s="2026"/>
      <c r="W166" s="2026"/>
      <c r="X166" s="2026"/>
      <c r="Y166" s="2028"/>
      <c r="Z166" s="586"/>
      <c r="AA166" s="622"/>
      <c r="AB166" s="423"/>
      <c r="AC166" s="423">
        <f t="shared" si="58"/>
        <v>15000000000</v>
      </c>
    </row>
    <row r="167" spans="1:29" s="1925" customFormat="1" ht="24" customHeight="1">
      <c r="A167" s="456" t="s">
        <v>1279</v>
      </c>
      <c r="B167" s="540"/>
      <c r="C167" s="2954"/>
      <c r="D167" s="1386" t="s">
        <v>3946</v>
      </c>
      <c r="E167" s="2946"/>
      <c r="F167" s="1252"/>
      <c r="G167" s="598">
        <f>+G168</f>
        <v>3000</v>
      </c>
      <c r="H167" s="598">
        <f>+H168</f>
        <v>3000</v>
      </c>
      <c r="I167" s="529">
        <f t="shared" ref="I167" si="59">G167-H167</f>
        <v>0</v>
      </c>
      <c r="J167" s="2949"/>
      <c r="K167" s="538"/>
      <c r="L167" s="2934"/>
      <c r="M167" s="2934"/>
      <c r="N167" s="2934"/>
      <c r="O167" s="2934"/>
      <c r="P167" s="2934"/>
      <c r="Q167" s="2934"/>
      <c r="R167" s="2934"/>
      <c r="S167" s="2934"/>
      <c r="T167" s="2934"/>
      <c r="U167" s="2934"/>
      <c r="V167" s="2934"/>
      <c r="W167" s="2934"/>
      <c r="X167" s="2934"/>
      <c r="Y167" s="585"/>
      <c r="Z167" s="599"/>
      <c r="AA167" s="595"/>
      <c r="AB167" s="423"/>
      <c r="AC167" s="423">
        <f t="shared" si="58"/>
        <v>3000000000</v>
      </c>
    </row>
    <row r="168" spans="1:29" s="1925" customFormat="1" ht="24" customHeight="1">
      <c r="A168" s="456"/>
      <c r="B168" s="540"/>
      <c r="C168" s="2954"/>
      <c r="D168" s="2013"/>
      <c r="E168" s="3823" t="s">
        <v>3945</v>
      </c>
      <c r="F168" s="3824"/>
      <c r="G168" s="598">
        <v>3000</v>
      </c>
      <c r="H168" s="598">
        <v>3000</v>
      </c>
      <c r="I168" s="529"/>
      <c r="J168" s="2949"/>
      <c r="K168" s="538"/>
      <c r="L168" s="2934"/>
      <c r="M168" s="2934"/>
      <c r="N168" s="2934"/>
      <c r="O168" s="2934"/>
      <c r="P168" s="2934"/>
      <c r="Q168" s="2934"/>
      <c r="R168" s="2934"/>
      <c r="S168" s="539"/>
      <c r="T168" s="2934"/>
      <c r="U168" s="2934"/>
      <c r="V168" s="2934"/>
      <c r="W168" s="2934"/>
      <c r="X168" s="2934"/>
      <c r="Y168" s="585"/>
      <c r="Z168" s="554"/>
      <c r="AA168" s="587"/>
      <c r="AB168" s="423"/>
      <c r="AC168" s="423">
        <f t="shared" si="58"/>
        <v>3000000000</v>
      </c>
    </row>
    <row r="169" spans="1:29" s="3105" customFormat="1" ht="24" customHeight="1">
      <c r="A169" s="3099"/>
      <c r="B169" s="1879"/>
      <c r="C169" s="3656"/>
      <c r="D169" s="1386" t="s">
        <v>6095</v>
      </c>
      <c r="E169" s="3639"/>
      <c r="F169" s="1252"/>
      <c r="G169" s="3158">
        <f>+G170</f>
        <v>10807.924999999999</v>
      </c>
      <c r="H169" s="3158">
        <f>+H170</f>
        <v>0</v>
      </c>
      <c r="I169" s="529">
        <f t="shared" ref="I169" si="60">G169-H169</f>
        <v>10807.924999999999</v>
      </c>
      <c r="J169" s="3650"/>
      <c r="K169" s="538"/>
      <c r="L169" s="3634"/>
      <c r="M169" s="3634"/>
      <c r="N169" s="3634"/>
      <c r="O169" s="3634"/>
      <c r="P169" s="3634"/>
      <c r="Q169" s="3634"/>
      <c r="R169" s="3634"/>
      <c r="S169" s="3634"/>
      <c r="T169" s="3634"/>
      <c r="U169" s="3634"/>
      <c r="V169" s="3634"/>
      <c r="W169" s="3634"/>
      <c r="X169" s="3634"/>
      <c r="Y169" s="585"/>
      <c r="Z169" s="599"/>
      <c r="AA169" s="587"/>
      <c r="AB169" s="423"/>
      <c r="AC169" s="423"/>
    </row>
    <row r="170" spans="1:29" s="3105" customFormat="1" ht="24" customHeight="1" thickBot="1">
      <c r="A170" s="3099"/>
      <c r="B170" s="1879"/>
      <c r="C170" s="3657"/>
      <c r="D170" s="2013"/>
      <c r="E170" s="3823" t="s">
        <v>6042</v>
      </c>
      <c r="F170" s="3824"/>
      <c r="G170" s="3158">
        <v>10807.924999999999</v>
      </c>
      <c r="H170" s="3158">
        <v>0</v>
      </c>
      <c r="I170" s="529">
        <f>G170-H170</f>
        <v>10807.924999999999</v>
      </c>
      <c r="J170" s="3650"/>
      <c r="K170" s="538"/>
      <c r="L170" s="3634"/>
      <c r="M170" s="3634"/>
      <c r="N170" s="3634"/>
      <c r="O170" s="3634"/>
      <c r="P170" s="3634"/>
      <c r="Q170" s="3634"/>
      <c r="R170" s="3634"/>
      <c r="S170" s="539"/>
      <c r="T170" s="3634"/>
      <c r="U170" s="3634"/>
      <c r="V170" s="3634"/>
      <c r="W170" s="3634"/>
      <c r="X170" s="3634"/>
      <c r="Y170" s="585"/>
      <c r="Z170" s="554"/>
      <c r="AA170" s="587"/>
      <c r="AB170" s="423"/>
      <c r="AC170" s="423"/>
    </row>
    <row r="171" spans="1:29" s="1847" customFormat="1" ht="23.1" customHeight="1" thickBot="1">
      <c r="A171" s="456"/>
      <c r="B171" s="574" t="s">
        <v>2023</v>
      </c>
      <c r="C171" s="1902"/>
      <c r="D171" s="1902"/>
      <c r="E171" s="1902"/>
      <c r="F171" s="1902"/>
      <c r="G171" s="821">
        <f t="shared" ref="G171:H171" si="61">+G172</f>
        <v>40200</v>
      </c>
      <c r="H171" s="821">
        <f t="shared" si="61"/>
        <v>40200</v>
      </c>
      <c r="I171" s="2655">
        <f>G171-H171</f>
        <v>0</v>
      </c>
      <c r="J171" s="2082"/>
      <c r="K171" s="2081"/>
      <c r="L171" s="2082"/>
      <c r="M171" s="2082"/>
      <c r="N171" s="2082"/>
      <c r="O171" s="2082"/>
      <c r="P171" s="2082"/>
      <c r="Q171" s="2082"/>
      <c r="R171" s="2082"/>
      <c r="S171" s="552"/>
      <c r="T171" s="2082"/>
      <c r="U171" s="2082"/>
      <c r="V171" s="2082"/>
      <c r="W171" s="2082"/>
      <c r="X171" s="2082"/>
      <c r="Y171" s="542"/>
      <c r="Z171" s="2671"/>
      <c r="AA171" s="587"/>
      <c r="AB171" s="423"/>
      <c r="AC171" s="423"/>
    </row>
    <row r="172" spans="1:29" s="814" customFormat="1" ht="23.1" customHeight="1" thickBot="1">
      <c r="A172" s="836"/>
      <c r="B172" s="1912"/>
      <c r="C172" s="568" t="s">
        <v>611</v>
      </c>
      <c r="D172" s="569"/>
      <c r="E172" s="570"/>
      <c r="F172" s="571"/>
      <c r="G172" s="822">
        <f>+G173+G175</f>
        <v>40200</v>
      </c>
      <c r="H172" s="822">
        <f>+H173+H175</f>
        <v>40200</v>
      </c>
      <c r="I172" s="573">
        <f t="shared" ref="I172" si="62">G172-H172</f>
        <v>0</v>
      </c>
      <c r="J172" s="840"/>
      <c r="K172" s="574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6"/>
      <c r="Z172" s="2658"/>
      <c r="AA172" s="2667"/>
      <c r="AB172" s="423"/>
      <c r="AC172" s="423">
        <f t="shared" ref="AC172:AC173" si="63">G172*1000000</f>
        <v>40200000000</v>
      </c>
    </row>
    <row r="173" spans="1:29" s="815" customFormat="1" ht="23.1" customHeight="1">
      <c r="A173" s="456" t="s">
        <v>1279</v>
      </c>
      <c r="B173" s="562"/>
      <c r="C173" s="563"/>
      <c r="D173" s="4099" t="s">
        <v>2024</v>
      </c>
      <c r="E173" s="4099"/>
      <c r="F173" s="3839"/>
      <c r="G173" s="826">
        <f>+G174</f>
        <v>25200</v>
      </c>
      <c r="H173" s="826">
        <f>+H174</f>
        <v>25200</v>
      </c>
      <c r="I173" s="2450">
        <f>G173-H173</f>
        <v>0</v>
      </c>
      <c r="J173" s="2082"/>
      <c r="K173" s="614"/>
      <c r="L173" s="2072"/>
      <c r="M173" s="2072"/>
      <c r="N173" s="2072"/>
      <c r="O173" s="2072"/>
      <c r="P173" s="2072"/>
      <c r="Q173" s="2072"/>
      <c r="R173" s="510"/>
      <c r="S173" s="2348"/>
      <c r="T173" s="617"/>
      <c r="U173" s="618"/>
      <c r="V173" s="618"/>
      <c r="W173" s="618"/>
      <c r="X173" s="618"/>
      <c r="Y173" s="619"/>
      <c r="Z173" s="756"/>
      <c r="AA173" s="555"/>
      <c r="AB173" s="423"/>
      <c r="AC173" s="423">
        <f t="shared" si="63"/>
        <v>25200000000</v>
      </c>
    </row>
    <row r="174" spans="1:29" s="815" customFormat="1" ht="23.1" customHeight="1">
      <c r="A174" s="456"/>
      <c r="B174" s="562"/>
      <c r="C174" s="563"/>
      <c r="D174" s="1915"/>
      <c r="E174" s="4100" t="s">
        <v>2025</v>
      </c>
      <c r="F174" s="4101"/>
      <c r="G174" s="598">
        <v>25200</v>
      </c>
      <c r="H174" s="598">
        <v>25200</v>
      </c>
      <c r="I174" s="529"/>
      <c r="J174" s="2082"/>
      <c r="K174" s="614"/>
      <c r="L174" s="2072"/>
      <c r="M174" s="2072"/>
      <c r="N174" s="2072"/>
      <c r="O174" s="2072"/>
      <c r="P174" s="2072"/>
      <c r="Q174" s="2072"/>
      <c r="R174" s="510"/>
      <c r="S174" s="2348"/>
      <c r="T174" s="617"/>
      <c r="U174" s="618"/>
      <c r="V174" s="618"/>
      <c r="W174" s="618"/>
      <c r="X174" s="618"/>
      <c r="Y174" s="619"/>
      <c r="Z174" s="756"/>
      <c r="AA174" s="555"/>
      <c r="AB174" s="423"/>
      <c r="AC174" s="423"/>
    </row>
    <row r="175" spans="1:29" s="815" customFormat="1" ht="23.1" customHeight="1">
      <c r="A175" s="456" t="s">
        <v>1279</v>
      </c>
      <c r="B175" s="562"/>
      <c r="C175" s="563"/>
      <c r="D175" s="3825" t="s">
        <v>2026</v>
      </c>
      <c r="E175" s="3924"/>
      <c r="F175" s="3826"/>
      <c r="G175" s="826">
        <f>+G176</f>
        <v>15000</v>
      </c>
      <c r="H175" s="826">
        <f>+H176</f>
        <v>15000</v>
      </c>
      <c r="I175" s="2450">
        <f>G175-H175</f>
        <v>0</v>
      </c>
      <c r="J175" s="2082"/>
      <c r="K175" s="614"/>
      <c r="L175" s="2072"/>
      <c r="M175" s="2072"/>
      <c r="N175" s="2072"/>
      <c r="O175" s="2072"/>
      <c r="P175" s="2072"/>
      <c r="Q175" s="2072"/>
      <c r="R175" s="510"/>
      <c r="S175" s="2348"/>
      <c r="T175" s="617"/>
      <c r="U175" s="618"/>
      <c r="V175" s="618"/>
      <c r="W175" s="618"/>
      <c r="X175" s="618"/>
      <c r="Y175" s="619"/>
      <c r="Z175" s="756"/>
      <c r="AA175" s="555"/>
      <c r="AB175" s="423"/>
      <c r="AC175" s="423">
        <f t="shared" ref="AC175" si="64">G175*1000000</f>
        <v>15000000000</v>
      </c>
    </row>
    <row r="176" spans="1:29" s="815" customFormat="1" ht="23.1" customHeight="1" thickBot="1">
      <c r="A176" s="456"/>
      <c r="B176" s="562"/>
      <c r="C176" s="563"/>
      <c r="D176" s="1915"/>
      <c r="E176" s="3825" t="s">
        <v>2026</v>
      </c>
      <c r="F176" s="3826"/>
      <c r="G176" s="598">
        <v>15000</v>
      </c>
      <c r="H176" s="598">
        <v>15000</v>
      </c>
      <c r="I176" s="529"/>
      <c r="J176" s="2082"/>
      <c r="K176" s="614"/>
      <c r="L176" s="2072"/>
      <c r="M176" s="2072"/>
      <c r="N176" s="2072"/>
      <c r="O176" s="2072"/>
      <c r="P176" s="2072"/>
      <c r="Q176" s="2072"/>
      <c r="R176" s="510"/>
      <c r="S176" s="2348"/>
      <c r="T176" s="617"/>
      <c r="U176" s="618"/>
      <c r="V176" s="618"/>
      <c r="W176" s="618"/>
      <c r="X176" s="618"/>
      <c r="Y176" s="619"/>
      <c r="Z176" s="756"/>
      <c r="AA176" s="555"/>
      <c r="AB176" s="423"/>
      <c r="AC176" s="423"/>
    </row>
    <row r="177" spans="1:29" s="787" customFormat="1" ht="23.1" customHeight="1" thickBot="1">
      <c r="A177" s="456"/>
      <c r="B177" s="574" t="s">
        <v>1391</v>
      </c>
      <c r="C177" s="1902"/>
      <c r="D177" s="1902"/>
      <c r="E177" s="1902"/>
      <c r="F177" s="1902"/>
      <c r="G177" s="821">
        <f t="shared" ref="G177:H181" si="65">+G178</f>
        <v>175000</v>
      </c>
      <c r="H177" s="821">
        <f t="shared" si="65"/>
        <v>175000</v>
      </c>
      <c r="I177" s="2655">
        <f>G177-H177</f>
        <v>0</v>
      </c>
      <c r="J177" s="2082"/>
      <c r="K177" s="2081"/>
      <c r="L177" s="2082"/>
      <c r="M177" s="2082"/>
      <c r="N177" s="2082"/>
      <c r="O177" s="2082"/>
      <c r="P177" s="2082"/>
      <c r="Q177" s="2082"/>
      <c r="R177" s="2082"/>
      <c r="S177" s="552"/>
      <c r="T177" s="2082"/>
      <c r="U177" s="2082"/>
      <c r="V177" s="2082"/>
      <c r="W177" s="2082"/>
      <c r="X177" s="2082"/>
      <c r="Y177" s="542"/>
      <c r="Z177" s="554"/>
      <c r="AA177" s="587"/>
      <c r="AB177" s="423"/>
      <c r="AC177" s="423"/>
    </row>
    <row r="178" spans="1:29" s="814" customFormat="1" ht="23.1" customHeight="1" thickBot="1">
      <c r="A178" s="836"/>
      <c r="B178" s="1912"/>
      <c r="C178" s="568" t="s">
        <v>237</v>
      </c>
      <c r="D178" s="569"/>
      <c r="E178" s="570"/>
      <c r="F178" s="571"/>
      <c r="G178" s="822">
        <f>+G179+G181</f>
        <v>175000</v>
      </c>
      <c r="H178" s="822">
        <f>+H179+H181</f>
        <v>175000</v>
      </c>
      <c r="I178" s="573">
        <f t="shared" ref="I178" si="66">G178-H178</f>
        <v>0</v>
      </c>
      <c r="J178" s="840"/>
      <c r="K178" s="574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6"/>
      <c r="Z178" s="2658"/>
      <c r="AA178" s="2667"/>
      <c r="AB178" s="423"/>
      <c r="AC178" s="423">
        <f t="shared" si="31"/>
        <v>175000000000</v>
      </c>
    </row>
    <row r="179" spans="1:29" s="815" customFormat="1" ht="23.1" customHeight="1">
      <c r="A179" s="456" t="s">
        <v>1279</v>
      </c>
      <c r="B179" s="562"/>
      <c r="C179" s="563"/>
      <c r="D179" s="4099" t="s">
        <v>1409</v>
      </c>
      <c r="E179" s="4099"/>
      <c r="F179" s="3839"/>
      <c r="G179" s="826">
        <f t="shared" si="65"/>
        <v>160000</v>
      </c>
      <c r="H179" s="826">
        <f t="shared" si="65"/>
        <v>160000</v>
      </c>
      <c r="I179" s="2450">
        <f>G179-H179</f>
        <v>0</v>
      </c>
      <c r="J179" s="2082"/>
      <c r="K179" s="614"/>
      <c r="L179" s="2072"/>
      <c r="M179" s="2072"/>
      <c r="N179" s="2072"/>
      <c r="O179" s="2072"/>
      <c r="P179" s="2072"/>
      <c r="Q179" s="2072"/>
      <c r="R179" s="510"/>
      <c r="S179" s="2348"/>
      <c r="T179" s="617"/>
      <c r="U179" s="618"/>
      <c r="V179" s="618"/>
      <c r="W179" s="618"/>
      <c r="X179" s="618"/>
      <c r="Y179" s="619"/>
      <c r="Z179" s="756"/>
      <c r="AA179" s="555"/>
      <c r="AB179" s="423"/>
      <c r="AC179" s="423">
        <f t="shared" si="31"/>
        <v>160000000000</v>
      </c>
    </row>
    <row r="180" spans="1:29" s="815" customFormat="1" ht="23.1" customHeight="1">
      <c r="A180" s="837"/>
      <c r="B180" s="562"/>
      <c r="C180" s="563"/>
      <c r="D180" s="473"/>
      <c r="E180" s="4100" t="s">
        <v>1409</v>
      </c>
      <c r="F180" s="4101"/>
      <c r="G180" s="842">
        <v>160000</v>
      </c>
      <c r="H180" s="842">
        <v>160000</v>
      </c>
      <c r="I180" s="1364"/>
      <c r="J180" s="2082"/>
      <c r="K180" s="2025"/>
      <c r="L180" s="2068"/>
      <c r="M180" s="2068"/>
      <c r="N180" s="2068"/>
      <c r="O180" s="2068"/>
      <c r="P180" s="2068"/>
      <c r="Q180" s="2068"/>
      <c r="R180" s="2068"/>
      <c r="S180" s="539"/>
      <c r="T180" s="2026"/>
      <c r="U180" s="2026"/>
      <c r="V180" s="2026"/>
      <c r="W180" s="2026"/>
      <c r="X180" s="2026"/>
      <c r="Y180" s="2028"/>
      <c r="Z180" s="586"/>
      <c r="AA180" s="622"/>
      <c r="AB180" s="423"/>
      <c r="AC180" s="423">
        <f t="shared" si="31"/>
        <v>160000000000</v>
      </c>
    </row>
    <row r="181" spans="1:29" s="815" customFormat="1" ht="23.1" customHeight="1">
      <c r="A181" s="456" t="s">
        <v>1279</v>
      </c>
      <c r="B181" s="562"/>
      <c r="C181" s="563"/>
      <c r="D181" s="3825" t="s">
        <v>1304</v>
      </c>
      <c r="E181" s="3924"/>
      <c r="F181" s="3826"/>
      <c r="G181" s="825">
        <f t="shared" si="65"/>
        <v>15000</v>
      </c>
      <c r="H181" s="825">
        <f t="shared" si="65"/>
        <v>15000</v>
      </c>
      <c r="I181" s="2451">
        <f>G181-H181</f>
        <v>0</v>
      </c>
      <c r="J181" s="2082"/>
      <c r="K181" s="614"/>
      <c r="L181" s="2072"/>
      <c r="M181" s="2072"/>
      <c r="N181" s="2072"/>
      <c r="O181" s="2072"/>
      <c r="P181" s="2072"/>
      <c r="Q181" s="2072"/>
      <c r="R181" s="510"/>
      <c r="S181" s="2348"/>
      <c r="T181" s="617"/>
      <c r="U181" s="618"/>
      <c r="V181" s="618"/>
      <c r="W181" s="618"/>
      <c r="X181" s="618"/>
      <c r="Y181" s="619"/>
      <c r="Z181" s="756"/>
      <c r="AA181" s="555"/>
      <c r="AB181" s="423"/>
      <c r="AC181" s="423">
        <f t="shared" ref="AC181:AC182" si="67">G181*1000000</f>
        <v>15000000000</v>
      </c>
    </row>
    <row r="182" spans="1:29" s="815" customFormat="1" ht="23.1" customHeight="1" thickBot="1">
      <c r="A182" s="837"/>
      <c r="B182" s="1913"/>
      <c r="C182" s="1914"/>
      <c r="D182" s="640"/>
      <c r="E182" s="4097" t="s">
        <v>1304</v>
      </c>
      <c r="F182" s="4098"/>
      <c r="G182" s="828">
        <v>15000</v>
      </c>
      <c r="H182" s="828">
        <v>15000</v>
      </c>
      <c r="I182" s="2668"/>
      <c r="J182" s="2082"/>
      <c r="K182" s="2025"/>
      <c r="L182" s="2068"/>
      <c r="M182" s="2068"/>
      <c r="N182" s="2068"/>
      <c r="O182" s="2068"/>
      <c r="P182" s="2068"/>
      <c r="Q182" s="2068"/>
      <c r="R182" s="2068"/>
      <c r="S182" s="539"/>
      <c r="T182" s="2026"/>
      <c r="U182" s="2026"/>
      <c r="V182" s="2026"/>
      <c r="W182" s="2026"/>
      <c r="X182" s="2026"/>
      <c r="Y182" s="2028"/>
      <c r="Z182" s="586"/>
      <c r="AA182" s="622"/>
      <c r="AB182" s="423"/>
      <c r="AC182" s="423">
        <f t="shared" si="67"/>
        <v>15000000000</v>
      </c>
    </row>
    <row r="183" spans="1:29" s="1847" customFormat="1" ht="23.1" customHeight="1" thickBot="1">
      <c r="A183" s="456"/>
      <c r="B183" s="574" t="s">
        <v>2027</v>
      </c>
      <c r="C183" s="1902"/>
      <c r="D183" s="1902"/>
      <c r="E183" s="1902"/>
      <c r="F183" s="1902"/>
      <c r="G183" s="821">
        <f t="shared" ref="G183:H183" si="68">+G184</f>
        <v>45000</v>
      </c>
      <c r="H183" s="821">
        <f t="shared" si="68"/>
        <v>15000</v>
      </c>
      <c r="I183" s="2655">
        <f>G183-H183</f>
        <v>30000</v>
      </c>
      <c r="J183" s="2082"/>
      <c r="K183" s="2081"/>
      <c r="L183" s="2082"/>
      <c r="M183" s="2082"/>
      <c r="N183" s="2082"/>
      <c r="O183" s="2082"/>
      <c r="P183" s="2082"/>
      <c r="Q183" s="2082"/>
      <c r="R183" s="2082"/>
      <c r="S183" s="552"/>
      <c r="T183" s="2082"/>
      <c r="U183" s="2082"/>
      <c r="V183" s="2082"/>
      <c r="W183" s="2082"/>
      <c r="X183" s="2082"/>
      <c r="Y183" s="542"/>
      <c r="Z183" s="554"/>
      <c r="AA183" s="587"/>
      <c r="AB183" s="423"/>
      <c r="AC183" s="423"/>
    </row>
    <row r="184" spans="1:29" s="814" customFormat="1" ht="23.1" customHeight="1" thickBot="1">
      <c r="A184" s="836"/>
      <c r="B184" s="1912"/>
      <c r="C184" s="568" t="s">
        <v>1123</v>
      </c>
      <c r="D184" s="569"/>
      <c r="E184" s="570"/>
      <c r="F184" s="571"/>
      <c r="G184" s="822">
        <f>G185+G187</f>
        <v>45000</v>
      </c>
      <c r="H184" s="822">
        <f>H185+H187</f>
        <v>15000</v>
      </c>
      <c r="I184" s="573">
        <f>G184-H184</f>
        <v>30000</v>
      </c>
      <c r="J184" s="840"/>
      <c r="K184" s="574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6"/>
      <c r="Z184" s="2658"/>
      <c r="AA184" s="2667"/>
      <c r="AB184" s="423"/>
      <c r="AC184" s="423">
        <f t="shared" ref="AC184:AC186" si="69">G184*1000000</f>
        <v>45000000000</v>
      </c>
    </row>
    <row r="185" spans="1:29" s="815" customFormat="1" ht="23.1" customHeight="1">
      <c r="A185" s="456" t="s">
        <v>1279</v>
      </c>
      <c r="B185" s="562"/>
      <c r="C185" s="563"/>
      <c r="D185" s="4099" t="s">
        <v>6096</v>
      </c>
      <c r="E185" s="4099"/>
      <c r="F185" s="3839"/>
      <c r="G185" s="826">
        <f>+G186</f>
        <v>15000</v>
      </c>
      <c r="H185" s="826">
        <f>+H186</f>
        <v>15000</v>
      </c>
      <c r="I185" s="2450">
        <f>G185-H185</f>
        <v>0</v>
      </c>
      <c r="J185" s="2082"/>
      <c r="K185" s="614"/>
      <c r="L185" s="2072"/>
      <c r="M185" s="2072"/>
      <c r="N185" s="2072"/>
      <c r="O185" s="2072"/>
      <c r="P185" s="2072"/>
      <c r="Q185" s="2072"/>
      <c r="R185" s="510"/>
      <c r="S185" s="2348"/>
      <c r="T185" s="617"/>
      <c r="U185" s="618"/>
      <c r="V185" s="618"/>
      <c r="W185" s="618"/>
      <c r="X185" s="618"/>
      <c r="Y185" s="619"/>
      <c r="Z185" s="756"/>
      <c r="AA185" s="555"/>
      <c r="AB185" s="423"/>
      <c r="AC185" s="423">
        <f t="shared" si="69"/>
        <v>15000000000</v>
      </c>
    </row>
    <row r="186" spans="1:29" s="815" customFormat="1" ht="23.1" customHeight="1">
      <c r="A186" s="837"/>
      <c r="B186" s="562"/>
      <c r="C186" s="563"/>
      <c r="D186" s="3107"/>
      <c r="E186" s="4100" t="s">
        <v>2028</v>
      </c>
      <c r="F186" s="4101"/>
      <c r="G186" s="842">
        <v>15000</v>
      </c>
      <c r="H186" s="842">
        <v>15000</v>
      </c>
      <c r="I186" s="1364"/>
      <c r="J186" s="2082"/>
      <c r="K186" s="604"/>
      <c r="L186" s="605"/>
      <c r="M186" s="605"/>
      <c r="N186" s="605"/>
      <c r="O186" s="605"/>
      <c r="P186" s="605"/>
      <c r="Q186" s="605"/>
      <c r="R186" s="605"/>
      <c r="S186" s="3306"/>
      <c r="T186" s="609"/>
      <c r="U186" s="609"/>
      <c r="V186" s="609"/>
      <c r="W186" s="609"/>
      <c r="X186" s="609"/>
      <c r="Y186" s="610"/>
      <c r="Z186" s="748"/>
      <c r="AA186" s="1884"/>
      <c r="AB186" s="423"/>
      <c r="AC186" s="423">
        <f t="shared" si="69"/>
        <v>15000000000</v>
      </c>
    </row>
    <row r="187" spans="1:29" s="815" customFormat="1" ht="23.1" customHeight="1">
      <c r="A187" s="837"/>
      <c r="B187" s="2352"/>
      <c r="C187" s="563"/>
      <c r="D187" s="3825" t="s">
        <v>6029</v>
      </c>
      <c r="E187" s="3924"/>
      <c r="F187" s="3826"/>
      <c r="G187" s="825">
        <f>+G188</f>
        <v>30000</v>
      </c>
      <c r="H187" s="825">
        <f>+H188</f>
        <v>0</v>
      </c>
      <c r="I187" s="2451">
        <f>G187-H187</f>
        <v>30000</v>
      </c>
      <c r="J187" s="605"/>
      <c r="K187" s="2025"/>
      <c r="L187" s="3634"/>
      <c r="M187" s="3634"/>
      <c r="N187" s="3634"/>
      <c r="O187" s="3634"/>
      <c r="P187" s="3634"/>
      <c r="Q187" s="3634"/>
      <c r="R187" s="621"/>
      <c r="S187" s="539"/>
      <c r="T187" s="545"/>
      <c r="U187" s="2026"/>
      <c r="V187" s="2026"/>
      <c r="W187" s="2026"/>
      <c r="X187" s="2026"/>
      <c r="Y187" s="2028"/>
      <c r="Z187" s="586"/>
      <c r="AA187" s="1884"/>
      <c r="AB187" s="423"/>
      <c r="AC187" s="423"/>
    </row>
    <row r="188" spans="1:29" s="815" customFormat="1" ht="23.1" customHeight="1" thickBot="1">
      <c r="A188" s="837"/>
      <c r="B188" s="2352"/>
      <c r="C188" s="563"/>
      <c r="D188" s="640"/>
      <c r="E188" s="4097" t="s">
        <v>6030</v>
      </c>
      <c r="F188" s="4098"/>
      <c r="G188" s="828">
        <v>30000</v>
      </c>
      <c r="H188" s="828">
        <v>0</v>
      </c>
      <c r="I188" s="2668">
        <f>G188-H188</f>
        <v>30000</v>
      </c>
      <c r="J188" s="3650"/>
      <c r="K188" s="2286"/>
      <c r="L188" s="2287"/>
      <c r="M188" s="2287"/>
      <c r="N188" s="2287"/>
      <c r="O188" s="2287"/>
      <c r="P188" s="2287"/>
      <c r="Q188" s="2287"/>
      <c r="R188" s="2287"/>
      <c r="S188" s="2669"/>
      <c r="T188" s="2288"/>
      <c r="U188" s="2288"/>
      <c r="V188" s="2288"/>
      <c r="W188" s="2288"/>
      <c r="X188" s="2288"/>
      <c r="Y188" s="2670"/>
      <c r="Z188" s="2671"/>
      <c r="AA188" s="622"/>
      <c r="AB188" s="423"/>
      <c r="AC188" s="423"/>
    </row>
    <row r="189" spans="1:29" ht="23.1" customHeight="1"/>
    <row r="660" spans="7:7">
      <c r="G660" s="1916"/>
    </row>
    <row r="673" spans="7:7">
      <c r="G673" s="1916"/>
    </row>
  </sheetData>
  <mergeCells count="125">
    <mergeCell ref="E9:F9"/>
    <mergeCell ref="D34:F34"/>
    <mergeCell ref="E35:F35"/>
    <mergeCell ref="D64:F64"/>
    <mergeCell ref="D85:F85"/>
    <mergeCell ref="E86:F86"/>
    <mergeCell ref="D68:F68"/>
    <mergeCell ref="E69:F69"/>
    <mergeCell ref="B1:Z1"/>
    <mergeCell ref="B3:F3"/>
    <mergeCell ref="G3:G4"/>
    <mergeCell ref="H3:H4"/>
    <mergeCell ref="I3:I4"/>
    <mergeCell ref="K3:Z4"/>
    <mergeCell ref="D59:F59"/>
    <mergeCell ref="E60:F60"/>
    <mergeCell ref="D47:F47"/>
    <mergeCell ref="E48:F48"/>
    <mergeCell ref="E49:F49"/>
    <mergeCell ref="D50:F50"/>
    <mergeCell ref="D52:F52"/>
    <mergeCell ref="E53:F53"/>
    <mergeCell ref="E56:F56"/>
    <mergeCell ref="E54:F54"/>
    <mergeCell ref="D17:F17"/>
    <mergeCell ref="E18:F18"/>
    <mergeCell ref="D43:F43"/>
    <mergeCell ref="D37:F37"/>
    <mergeCell ref="E38:F38"/>
    <mergeCell ref="D57:F57"/>
    <mergeCell ref="E44:F44"/>
    <mergeCell ref="D8:F8"/>
    <mergeCell ref="D117:F117"/>
    <mergeCell ref="E61:F61"/>
    <mergeCell ref="E62:F62"/>
    <mergeCell ref="E63:F63"/>
    <mergeCell ref="E67:F67"/>
    <mergeCell ref="E65:F65"/>
    <mergeCell ref="D82:F82"/>
    <mergeCell ref="E83:F83"/>
    <mergeCell ref="E84:F84"/>
    <mergeCell ref="D105:F105"/>
    <mergeCell ref="D66:F66"/>
    <mergeCell ref="D114:F114"/>
    <mergeCell ref="E115:F115"/>
    <mergeCell ref="D112:F112"/>
    <mergeCell ref="E113:F113"/>
    <mergeCell ref="D110:F110"/>
    <mergeCell ref="E87:F87"/>
    <mergeCell ref="E88:F88"/>
    <mergeCell ref="E90:F90"/>
    <mergeCell ref="E122:F122"/>
    <mergeCell ref="E120:F120"/>
    <mergeCell ref="D140:F140"/>
    <mergeCell ref="E55:F55"/>
    <mergeCell ref="E92:F92"/>
    <mergeCell ref="E93:F93"/>
    <mergeCell ref="E58:F58"/>
    <mergeCell ref="E89:F89"/>
    <mergeCell ref="D94:F94"/>
    <mergeCell ref="E95:F95"/>
    <mergeCell ref="E96:F96"/>
    <mergeCell ref="E97:F97"/>
    <mergeCell ref="E106:F106"/>
    <mergeCell ref="E99:F99"/>
    <mergeCell ref="E103:F103"/>
    <mergeCell ref="E166:F166"/>
    <mergeCell ref="E111:F111"/>
    <mergeCell ref="E153:F153"/>
    <mergeCell ref="E156:F156"/>
    <mergeCell ref="D108:F108"/>
    <mergeCell ref="E109:F109"/>
    <mergeCell ref="E165:F165"/>
    <mergeCell ref="D119:F119"/>
    <mergeCell ref="E137:F137"/>
    <mergeCell ref="D98:F98"/>
    <mergeCell ref="D159:F159"/>
    <mergeCell ref="E161:F161"/>
    <mergeCell ref="E168:F168"/>
    <mergeCell ref="E148:F148"/>
    <mergeCell ref="D179:F179"/>
    <mergeCell ref="E121:F121"/>
    <mergeCell ref="D100:F100"/>
    <mergeCell ref="E101:F101"/>
    <mergeCell ref="E118:F118"/>
    <mergeCell ref="E170:F170"/>
    <mergeCell ref="E155:F155"/>
    <mergeCell ref="D125:F125"/>
    <mergeCell ref="E126:F126"/>
    <mergeCell ref="E127:F127"/>
    <mergeCell ref="D136:F136"/>
    <mergeCell ref="D128:F128"/>
    <mergeCell ref="E129:F129"/>
    <mergeCell ref="E130:F130"/>
    <mergeCell ref="E131:F131"/>
    <mergeCell ref="D132:F132"/>
    <mergeCell ref="E133:F133"/>
    <mergeCell ref="E141:F141"/>
    <mergeCell ref="D146:F146"/>
    <mergeCell ref="E151:F151"/>
    <mergeCell ref="D134:F134"/>
    <mergeCell ref="D187:F187"/>
    <mergeCell ref="E188:F188"/>
    <mergeCell ref="D79:F79"/>
    <mergeCell ref="E80:F80"/>
    <mergeCell ref="D157:F157"/>
    <mergeCell ref="E158:F158"/>
    <mergeCell ref="E182:F182"/>
    <mergeCell ref="D185:F185"/>
    <mergeCell ref="E186:F186"/>
    <mergeCell ref="D142:F142"/>
    <mergeCell ref="E143:F143"/>
    <mergeCell ref="E150:F150"/>
    <mergeCell ref="E149:F149"/>
    <mergeCell ref="D173:F173"/>
    <mergeCell ref="E174:F174"/>
    <mergeCell ref="D175:F175"/>
    <mergeCell ref="E176:F176"/>
    <mergeCell ref="D181:F181"/>
    <mergeCell ref="D164:F164"/>
    <mergeCell ref="E147:F147"/>
    <mergeCell ref="D152:F152"/>
    <mergeCell ref="E180:F180"/>
    <mergeCell ref="E91:F91"/>
    <mergeCell ref="E154:F154"/>
  </mergeCells>
  <phoneticPr fontId="15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122" min="1" max="25" man="1"/>
    <brk id="161" min="1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0"/>
  <sheetViews>
    <sheetView tabSelected="1" view="pageBreakPreview" topLeftCell="A13" zoomScale="70" zoomScaleNormal="75" zoomScaleSheetLayoutView="70" workbookViewId="0">
      <selection activeCell="G14" sqref="G14"/>
    </sheetView>
  </sheetViews>
  <sheetFormatPr defaultColWidth="8.88671875" defaultRowHeight="13.5"/>
  <cols>
    <col min="1" max="1" width="17.5546875" style="235" customWidth="1"/>
    <col min="2" max="2" width="29.33203125" style="235" customWidth="1"/>
    <col min="3" max="4" width="27.6640625" style="1622" customWidth="1"/>
    <col min="5" max="5" width="27.6640625" style="1632" customWidth="1"/>
    <col min="6" max="6" width="22" style="1633" customWidth="1"/>
    <col min="7" max="7" width="23.88671875" style="235" bestFit="1" customWidth="1"/>
    <col min="8" max="8" width="31.77734375" style="3048" bestFit="1" customWidth="1"/>
    <col min="9" max="9" width="23.88671875" style="235" bestFit="1" customWidth="1"/>
    <col min="10" max="16384" width="8.88671875" style="235"/>
  </cols>
  <sheetData>
    <row r="1" spans="1:9" ht="27">
      <c r="A1" s="3721" t="s">
        <v>5939</v>
      </c>
      <c r="B1" s="3721"/>
      <c r="C1" s="3721"/>
      <c r="D1" s="3721"/>
      <c r="E1" s="3721"/>
      <c r="F1" s="3721"/>
    </row>
    <row r="2" spans="1:9" ht="22.5" customHeight="1" thickBot="1">
      <c r="A2" s="1"/>
      <c r="B2" s="1"/>
      <c r="C2" s="23" t="s">
        <v>48</v>
      </c>
      <c r="D2" s="23"/>
      <c r="E2" s="20"/>
      <c r="F2" s="24" t="s">
        <v>194</v>
      </c>
    </row>
    <row r="3" spans="1:9" ht="33" customHeight="1" thickBot="1">
      <c r="A3" s="3722" t="s">
        <v>206</v>
      </c>
      <c r="B3" s="3723"/>
      <c r="C3" s="1800" t="s">
        <v>207</v>
      </c>
      <c r="D3" s="1800" t="s">
        <v>1078</v>
      </c>
      <c r="E3" s="1801" t="s">
        <v>208</v>
      </c>
      <c r="F3" s="1802" t="s">
        <v>209</v>
      </c>
    </row>
    <row r="4" spans="1:9" s="1623" customFormat="1" ht="33" customHeight="1">
      <c r="A4" s="3724" t="s">
        <v>210</v>
      </c>
      <c r="B4" s="3725"/>
      <c r="C4" s="1797">
        <f>+C5+C23+C28</f>
        <v>97137962.171999991</v>
      </c>
      <c r="D4" s="1797">
        <f>+D5+D23+D28</f>
        <v>96475524.246999994</v>
      </c>
      <c r="E4" s="1798">
        <f>+C4-D4</f>
        <v>662437.92499999702</v>
      </c>
      <c r="F4" s="1799">
        <f t="shared" ref="F4:F27" si="0">(+C4-D4)/D4</f>
        <v>6.8663832632202175E-3</v>
      </c>
      <c r="G4" s="3466">
        <f>C4*1000000</f>
        <v>97137962171999.984</v>
      </c>
      <c r="H4" s="3466">
        <f>D4*1000000</f>
        <v>96475524247000</v>
      </c>
      <c r="I4" s="3466">
        <f>G4-H4</f>
        <v>662437924999.98437</v>
      </c>
    </row>
    <row r="5" spans="1:9" s="1623" customFormat="1" ht="33" customHeight="1">
      <c r="A5" s="3726" t="s">
        <v>1912</v>
      </c>
      <c r="B5" s="1788" t="s">
        <v>1915</v>
      </c>
      <c r="C5" s="1789">
        <f>+C6+C15</f>
        <v>55650789.564999998</v>
      </c>
      <c r="D5" s="1789">
        <f>+D6+D15</f>
        <v>55454159.564999998</v>
      </c>
      <c r="E5" s="1789">
        <f>C5-D5</f>
        <v>196630</v>
      </c>
      <c r="F5" s="1790">
        <f t="shared" si="0"/>
        <v>3.5458115593569183E-3</v>
      </c>
      <c r="G5" s="3466">
        <f>C5*1000000</f>
        <v>55650789565000</v>
      </c>
      <c r="H5" s="3466">
        <f t="shared" ref="H5:H27" si="1">D5*1000000</f>
        <v>55454159565000</v>
      </c>
      <c r="I5" s="3466">
        <f t="shared" ref="I5:I28" si="2">G5-H5</f>
        <v>196630000000</v>
      </c>
    </row>
    <row r="6" spans="1:9" ht="33" customHeight="1">
      <c r="A6" s="3727"/>
      <c r="B6" s="1727" t="s">
        <v>1913</v>
      </c>
      <c r="C6" s="1784">
        <f>SUM(C7:C14)</f>
        <v>49770307</v>
      </c>
      <c r="D6" s="1784">
        <f>SUM(D7:D14)</f>
        <v>49620307</v>
      </c>
      <c r="E6" s="25">
        <f t="shared" ref="E6:E22" si="3">+C6-D6</f>
        <v>150000</v>
      </c>
      <c r="F6" s="1634">
        <f t="shared" si="0"/>
        <v>3.022955903920546E-3</v>
      </c>
      <c r="G6" s="3466">
        <f t="shared" ref="G6:G27" si="4">C6*1000000</f>
        <v>49770307000000</v>
      </c>
      <c r="H6" s="3466">
        <f t="shared" si="1"/>
        <v>49620307000000</v>
      </c>
      <c r="I6" s="3466">
        <f t="shared" si="2"/>
        <v>150000000000</v>
      </c>
    </row>
    <row r="7" spans="1:9" ht="33" customHeight="1">
      <c r="A7" s="3727"/>
      <c r="B7" s="26" t="s">
        <v>212</v>
      </c>
      <c r="C7" s="1785">
        <f>+'1.목적(수입)'!E9</f>
        <v>3000000</v>
      </c>
      <c r="D7" s="1624">
        <f>+'1.목적(수입)'!F9</f>
        <v>3000000</v>
      </c>
      <c r="E7" s="27">
        <f t="shared" si="3"/>
        <v>0</v>
      </c>
      <c r="F7" s="1635">
        <f t="shared" si="0"/>
        <v>0</v>
      </c>
      <c r="G7" s="3466">
        <f t="shared" si="4"/>
        <v>3000000000000</v>
      </c>
      <c r="H7" s="3466">
        <f t="shared" si="1"/>
        <v>3000000000000</v>
      </c>
      <c r="I7" s="3466">
        <f t="shared" si="2"/>
        <v>0</v>
      </c>
    </row>
    <row r="8" spans="1:9" ht="33" customHeight="1">
      <c r="A8" s="3727"/>
      <c r="B8" s="28" t="s">
        <v>179</v>
      </c>
      <c r="C8" s="127">
        <f>+'1.목적(수입)'!E10</f>
        <v>2650000</v>
      </c>
      <c r="D8" s="1625">
        <f>+'1.목적(수입)'!F10</f>
        <v>2500000</v>
      </c>
      <c r="E8" s="29">
        <f t="shared" si="3"/>
        <v>150000</v>
      </c>
      <c r="F8" s="1636">
        <f t="shared" si="0"/>
        <v>0.06</v>
      </c>
      <c r="G8" s="3466">
        <f t="shared" si="4"/>
        <v>2650000000000</v>
      </c>
      <c r="H8" s="3466">
        <f t="shared" si="1"/>
        <v>2500000000000</v>
      </c>
      <c r="I8" s="3466">
        <f t="shared" si="2"/>
        <v>150000000000</v>
      </c>
    </row>
    <row r="9" spans="1:9" ht="33" customHeight="1">
      <c r="A9" s="3727"/>
      <c r="B9" s="28" t="s">
        <v>180</v>
      </c>
      <c r="C9" s="127">
        <f>+'1.목적(수입)'!E11</f>
        <v>41697000</v>
      </c>
      <c r="D9" s="1625">
        <f>+'1.목적(수입)'!F11</f>
        <v>41697000</v>
      </c>
      <c r="E9" s="29">
        <f>+C9-D9</f>
        <v>0</v>
      </c>
      <c r="F9" s="1636">
        <f t="shared" si="0"/>
        <v>0</v>
      </c>
      <c r="G9" s="3466">
        <f t="shared" si="4"/>
        <v>41697000000000</v>
      </c>
      <c r="H9" s="3466">
        <f t="shared" si="1"/>
        <v>41697000000000</v>
      </c>
      <c r="I9" s="3466">
        <f t="shared" si="2"/>
        <v>0</v>
      </c>
    </row>
    <row r="10" spans="1:9" ht="33" customHeight="1">
      <c r="A10" s="3727"/>
      <c r="B10" s="28" t="s">
        <v>214</v>
      </c>
      <c r="C10" s="127">
        <f>+'1.목적(수입)'!E18</f>
        <v>372000</v>
      </c>
      <c r="D10" s="127">
        <f>+'1.목적(수입)'!F18</f>
        <v>372000</v>
      </c>
      <c r="E10" s="29">
        <f t="shared" si="3"/>
        <v>0</v>
      </c>
      <c r="F10" s="1636">
        <f t="shared" si="0"/>
        <v>0</v>
      </c>
      <c r="G10" s="3466">
        <f t="shared" si="4"/>
        <v>372000000000</v>
      </c>
      <c r="H10" s="3466">
        <f t="shared" si="1"/>
        <v>372000000000</v>
      </c>
      <c r="I10" s="3466">
        <f t="shared" si="2"/>
        <v>0</v>
      </c>
    </row>
    <row r="11" spans="1:9" ht="33" customHeight="1">
      <c r="A11" s="3727"/>
      <c r="B11" s="30" t="s">
        <v>183</v>
      </c>
      <c r="C11" s="127">
        <f>+'1.목적(수입)'!E22</f>
        <v>242000</v>
      </c>
      <c r="D11" s="127">
        <f>+'1.목적(수입)'!F22</f>
        <v>242000</v>
      </c>
      <c r="E11" s="31">
        <f>+C11-D11</f>
        <v>0</v>
      </c>
      <c r="F11" s="1636">
        <f>(+C11-D11)/D11</f>
        <v>0</v>
      </c>
      <c r="G11" s="3466">
        <f t="shared" si="4"/>
        <v>242000000000</v>
      </c>
      <c r="H11" s="3466">
        <f t="shared" si="1"/>
        <v>242000000000</v>
      </c>
      <c r="I11" s="3466">
        <f t="shared" si="2"/>
        <v>0</v>
      </c>
    </row>
    <row r="12" spans="1:9" ht="33" customHeight="1">
      <c r="A12" s="3727"/>
      <c r="B12" s="28" t="s">
        <v>215</v>
      </c>
      <c r="C12" s="127">
        <f>+'1.목적(수입)'!E25</f>
        <v>1590000</v>
      </c>
      <c r="D12" s="127">
        <f>+'1.목적(수입)'!F25</f>
        <v>1590000</v>
      </c>
      <c r="E12" s="29">
        <f>+C12-D12</f>
        <v>0</v>
      </c>
      <c r="F12" s="1636">
        <f>(+C12-D12)/D12</f>
        <v>0</v>
      </c>
      <c r="G12" s="3466">
        <f t="shared" si="4"/>
        <v>1590000000000</v>
      </c>
      <c r="H12" s="3466">
        <f t="shared" si="1"/>
        <v>1590000000000</v>
      </c>
      <c r="I12" s="3466">
        <f t="shared" si="2"/>
        <v>0</v>
      </c>
    </row>
    <row r="13" spans="1:9" ht="33" customHeight="1">
      <c r="A13" s="3727"/>
      <c r="B13" s="32" t="s">
        <v>184</v>
      </c>
      <c r="C13" s="1626">
        <f>'1.목적(수입)'!E29</f>
        <v>168000</v>
      </c>
      <c r="D13" s="1626">
        <f>+'1.목적(수입)'!F29</f>
        <v>168000</v>
      </c>
      <c r="E13" s="33">
        <f>+C13-D13</f>
        <v>0</v>
      </c>
      <c r="F13" s="1636">
        <f>(+C13-D13)/D13</f>
        <v>0</v>
      </c>
      <c r="G13" s="3466">
        <f t="shared" si="4"/>
        <v>168000000000</v>
      </c>
      <c r="H13" s="3466">
        <f t="shared" si="1"/>
        <v>168000000000</v>
      </c>
      <c r="I13" s="3466">
        <f t="shared" si="2"/>
        <v>0</v>
      </c>
    </row>
    <row r="14" spans="1:9" ht="33" customHeight="1">
      <c r="A14" s="3727"/>
      <c r="B14" s="32" t="s">
        <v>1934</v>
      </c>
      <c r="C14" s="1626">
        <f>+'1.목적(수입)'!E33</f>
        <v>51307</v>
      </c>
      <c r="D14" s="1626">
        <f>+'1.목적(수입)'!F33</f>
        <v>51307</v>
      </c>
      <c r="E14" s="33">
        <f>+C14-D14</f>
        <v>0</v>
      </c>
      <c r="F14" s="1636">
        <f>(+C14-D14)/D14</f>
        <v>0</v>
      </c>
      <c r="G14" s="3466">
        <f t="shared" si="4"/>
        <v>51307000000</v>
      </c>
      <c r="H14" s="3466">
        <f t="shared" si="1"/>
        <v>51307000000</v>
      </c>
      <c r="I14" s="3466">
        <f t="shared" si="2"/>
        <v>0</v>
      </c>
    </row>
    <row r="15" spans="1:9" s="1623" customFormat="1" ht="33" customHeight="1">
      <c r="A15" s="3727"/>
      <c r="B15" s="1786" t="s">
        <v>1914</v>
      </c>
      <c r="C15" s="1787">
        <f>SUM(C16:C22)</f>
        <v>5880482.5649999995</v>
      </c>
      <c r="D15" s="1787">
        <f>SUM(D16:D22)</f>
        <v>5833852.5649999995</v>
      </c>
      <c r="E15" s="25">
        <f t="shared" si="3"/>
        <v>46630</v>
      </c>
      <c r="F15" s="1634">
        <f t="shared" si="0"/>
        <v>7.9930028193984717E-3</v>
      </c>
      <c r="G15" s="3466">
        <f t="shared" si="4"/>
        <v>5880482564999.999</v>
      </c>
      <c r="H15" s="3466">
        <f t="shared" si="1"/>
        <v>5833852564999.999</v>
      </c>
      <c r="I15" s="3466">
        <f t="shared" si="2"/>
        <v>46630000000</v>
      </c>
    </row>
    <row r="16" spans="1:9" ht="33" customHeight="1">
      <c r="A16" s="3727"/>
      <c r="B16" s="26" t="s">
        <v>186</v>
      </c>
      <c r="C16" s="1859">
        <f>+'1.목적(수입)'!E39</f>
        <v>120000</v>
      </c>
      <c r="D16" s="1860">
        <f>+'1.목적(수입)'!F39</f>
        <v>120000</v>
      </c>
      <c r="E16" s="1861">
        <f t="shared" si="3"/>
        <v>0</v>
      </c>
      <c r="F16" s="1862">
        <f t="shared" si="0"/>
        <v>0</v>
      </c>
      <c r="G16" s="3466">
        <f t="shared" si="4"/>
        <v>120000000000</v>
      </c>
      <c r="H16" s="3466">
        <f t="shared" si="1"/>
        <v>120000000000</v>
      </c>
      <c r="I16" s="3466">
        <f t="shared" si="2"/>
        <v>0</v>
      </c>
    </row>
    <row r="17" spans="1:9" ht="33" customHeight="1">
      <c r="A17" s="3727"/>
      <c r="B17" s="28" t="s">
        <v>273</v>
      </c>
      <c r="C17" s="127">
        <f>+'1.목적(수입)'!E40</f>
        <v>3751852.5649999999</v>
      </c>
      <c r="D17" s="1625">
        <f>+'1.목적(수입)'!F40</f>
        <v>3751852.5649999999</v>
      </c>
      <c r="E17" s="29">
        <f t="shared" si="3"/>
        <v>0</v>
      </c>
      <c r="F17" s="1636">
        <f>(+C17-D17)/D17</f>
        <v>0</v>
      </c>
      <c r="G17" s="3466">
        <f t="shared" si="4"/>
        <v>3751852565000</v>
      </c>
      <c r="H17" s="3466">
        <f t="shared" si="1"/>
        <v>3751852565000</v>
      </c>
      <c r="I17" s="3466">
        <f t="shared" si="2"/>
        <v>0</v>
      </c>
    </row>
    <row r="18" spans="1:9" ht="33" customHeight="1">
      <c r="A18" s="3727"/>
      <c r="B18" s="28" t="s">
        <v>187</v>
      </c>
      <c r="C18" s="127">
        <f>+'1.목적(수입)'!E41</f>
        <v>979500</v>
      </c>
      <c r="D18" s="1625">
        <v>979500</v>
      </c>
      <c r="E18" s="29">
        <f t="shared" si="3"/>
        <v>0</v>
      </c>
      <c r="F18" s="1636">
        <f t="shared" si="0"/>
        <v>0</v>
      </c>
      <c r="G18" s="3466">
        <f t="shared" si="4"/>
        <v>979500000000</v>
      </c>
      <c r="H18" s="3466">
        <f t="shared" si="1"/>
        <v>979500000000</v>
      </c>
      <c r="I18" s="3466">
        <f t="shared" si="2"/>
        <v>0</v>
      </c>
    </row>
    <row r="19" spans="1:9" ht="33" customHeight="1">
      <c r="A19" s="3727"/>
      <c r="B19" s="28" t="s">
        <v>189</v>
      </c>
      <c r="C19" s="127">
        <f>+'1.목적(수입)'!E47</f>
        <v>380500</v>
      </c>
      <c r="D19" s="1625">
        <f>+'1.목적(수입)'!F47</f>
        <v>380500</v>
      </c>
      <c r="E19" s="29">
        <f t="shared" si="3"/>
        <v>0</v>
      </c>
      <c r="F19" s="1636">
        <f t="shared" si="0"/>
        <v>0</v>
      </c>
      <c r="G19" s="3466">
        <f t="shared" si="4"/>
        <v>380500000000</v>
      </c>
      <c r="H19" s="3466">
        <f t="shared" si="1"/>
        <v>380500000000</v>
      </c>
      <c r="I19" s="3466">
        <f t="shared" si="2"/>
        <v>0</v>
      </c>
    </row>
    <row r="20" spans="1:9" ht="33" customHeight="1">
      <c r="A20" s="3727"/>
      <c r="B20" s="28" t="s">
        <v>191</v>
      </c>
      <c r="C20" s="127">
        <f>+'1.목적(수입)'!E50</f>
        <v>560000</v>
      </c>
      <c r="D20" s="1625">
        <f>+'1.목적(수입)'!F50</f>
        <v>560000</v>
      </c>
      <c r="E20" s="29">
        <f t="shared" si="3"/>
        <v>0</v>
      </c>
      <c r="F20" s="1636">
        <f>(+C20-D20)/D20</f>
        <v>0</v>
      </c>
      <c r="G20" s="3466">
        <f t="shared" si="4"/>
        <v>560000000000</v>
      </c>
      <c r="H20" s="3466">
        <f t="shared" si="1"/>
        <v>560000000000</v>
      </c>
      <c r="I20" s="3466">
        <f t="shared" si="2"/>
        <v>0</v>
      </c>
    </row>
    <row r="21" spans="1:9" ht="33" customHeight="1">
      <c r="A21" s="3727"/>
      <c r="B21" s="28" t="s">
        <v>216</v>
      </c>
      <c r="C21" s="127">
        <f>+'1.목적(수입)'!E51</f>
        <v>24000</v>
      </c>
      <c r="D21" s="127">
        <f>+'1.목적(수입)'!F51</f>
        <v>24000</v>
      </c>
      <c r="E21" s="29">
        <f t="shared" ref="E21" si="5">+C21-D21</f>
        <v>0</v>
      </c>
      <c r="F21" s="1636">
        <f t="shared" ref="F21" si="6">(+C21-D21)/D21</f>
        <v>0</v>
      </c>
      <c r="G21" s="3466">
        <f t="shared" si="4"/>
        <v>24000000000</v>
      </c>
      <c r="H21" s="3466">
        <f t="shared" si="1"/>
        <v>24000000000</v>
      </c>
      <c r="I21" s="3466">
        <f t="shared" si="2"/>
        <v>0</v>
      </c>
    </row>
    <row r="22" spans="1:9" ht="33" customHeight="1">
      <c r="A22" s="3728"/>
      <c r="B22" s="34" t="s">
        <v>1972</v>
      </c>
      <c r="C22" s="1793">
        <f>+'1.목적(수입)'!E52</f>
        <v>64630</v>
      </c>
      <c r="D22" s="1793">
        <f>+'1.목적(수입)'!F52</f>
        <v>18000</v>
      </c>
      <c r="E22" s="1794">
        <f t="shared" si="3"/>
        <v>46630</v>
      </c>
      <c r="F22" s="3593">
        <f>(+C22-D22)/D22</f>
        <v>2.5905555555555555</v>
      </c>
      <c r="G22" s="3466">
        <f t="shared" si="4"/>
        <v>64630000000</v>
      </c>
      <c r="H22" s="3466">
        <f t="shared" si="1"/>
        <v>18000000000</v>
      </c>
      <c r="I22" s="3466">
        <f t="shared" si="2"/>
        <v>46630000000</v>
      </c>
    </row>
    <row r="23" spans="1:9" s="1623" customFormat="1" ht="33" customHeight="1">
      <c r="A23" s="3718" t="s">
        <v>1916</v>
      </c>
      <c r="B23" s="1791" t="s">
        <v>1915</v>
      </c>
      <c r="C23" s="1792">
        <f>SUM(C24:C27)</f>
        <v>40937220.924999997</v>
      </c>
      <c r="D23" s="1792">
        <f t="shared" ref="D23:E23" si="7">SUM(D24:D27)</f>
        <v>40471413</v>
      </c>
      <c r="E23" s="1792">
        <f t="shared" si="7"/>
        <v>465807.92499999999</v>
      </c>
      <c r="F23" s="1790">
        <f t="shared" si="0"/>
        <v>1.1509554287121061E-2</v>
      </c>
      <c r="G23" s="3466">
        <f t="shared" si="4"/>
        <v>40937220925000</v>
      </c>
      <c r="H23" s="3466">
        <f t="shared" si="1"/>
        <v>40471413000000</v>
      </c>
      <c r="I23" s="3466">
        <f t="shared" si="2"/>
        <v>465807925000</v>
      </c>
    </row>
    <row r="24" spans="1:9" ht="33" customHeight="1">
      <c r="A24" s="3718"/>
      <c r="B24" s="26" t="s">
        <v>1279</v>
      </c>
      <c r="C24" s="1785">
        <f>+'2.외부(수입)'!E7</f>
        <v>18763273</v>
      </c>
      <c r="D24" s="1785">
        <f>+'2.외부(수입)'!F7</f>
        <v>18403273</v>
      </c>
      <c r="E24" s="27">
        <f t="shared" ref="E24:E26" si="8">+C24-D24</f>
        <v>360000</v>
      </c>
      <c r="F24" s="1636">
        <f t="shared" si="0"/>
        <v>1.9561737740889894E-2</v>
      </c>
      <c r="G24" s="3466">
        <f t="shared" si="4"/>
        <v>18763273000000</v>
      </c>
      <c r="H24" s="3466">
        <f t="shared" si="1"/>
        <v>18403273000000</v>
      </c>
      <c r="I24" s="3466">
        <f t="shared" si="2"/>
        <v>360000000000</v>
      </c>
    </row>
    <row r="25" spans="1:9" ht="33" customHeight="1">
      <c r="A25" s="3718"/>
      <c r="B25" s="28" t="s">
        <v>213</v>
      </c>
      <c r="C25" s="127">
        <f>+'2.외부(수입)'!E41</f>
        <v>16768000</v>
      </c>
      <c r="D25" s="127">
        <f>+'2.외부(수입)'!F41</f>
        <v>16768000</v>
      </c>
      <c r="E25" s="29">
        <f t="shared" si="8"/>
        <v>0</v>
      </c>
      <c r="F25" s="1636">
        <f t="shared" si="0"/>
        <v>0</v>
      </c>
      <c r="G25" s="3466">
        <f t="shared" si="4"/>
        <v>16768000000000</v>
      </c>
      <c r="H25" s="3466">
        <f t="shared" si="1"/>
        <v>16768000000000</v>
      </c>
      <c r="I25" s="3466">
        <f t="shared" si="2"/>
        <v>0</v>
      </c>
    </row>
    <row r="26" spans="1:9" ht="33" customHeight="1">
      <c r="A26" s="3718"/>
      <c r="B26" s="28" t="s">
        <v>991</v>
      </c>
      <c r="C26" s="127">
        <f>+'2.외부(수입)'!E48</f>
        <v>331947.92499999999</v>
      </c>
      <c r="D26" s="127">
        <f>+'2.외부(수입)'!F48</f>
        <v>226140</v>
      </c>
      <c r="E26" s="29">
        <f t="shared" si="8"/>
        <v>105807.92499999999</v>
      </c>
      <c r="F26" s="1636">
        <f>(+C26-D26)/D26</f>
        <v>0.46788681790041564</v>
      </c>
      <c r="G26" s="3466">
        <f t="shared" si="4"/>
        <v>331947925000</v>
      </c>
      <c r="H26" s="3466">
        <f t="shared" si="1"/>
        <v>226140000000</v>
      </c>
      <c r="I26" s="3466">
        <f t="shared" si="2"/>
        <v>105807925000</v>
      </c>
    </row>
    <row r="27" spans="1:9" ht="33" customHeight="1">
      <c r="A27" s="3718"/>
      <c r="B27" s="28" t="s">
        <v>1408</v>
      </c>
      <c r="C27" s="127">
        <f>+'2.외부(수입)'!E58</f>
        <v>5074000</v>
      </c>
      <c r="D27" s="127">
        <f>+'2.외부(수입)'!F58</f>
        <v>5074000</v>
      </c>
      <c r="E27" s="29">
        <f>+C27-D27</f>
        <v>0</v>
      </c>
      <c r="F27" s="1636">
        <f t="shared" si="0"/>
        <v>0</v>
      </c>
      <c r="G27" s="3466">
        <f t="shared" si="4"/>
        <v>5074000000000</v>
      </c>
      <c r="H27" s="3466">
        <f t="shared" si="1"/>
        <v>5074000000000</v>
      </c>
      <c r="I27" s="3466">
        <f t="shared" si="2"/>
        <v>0</v>
      </c>
    </row>
    <row r="28" spans="1:9" ht="33" customHeight="1" thickBot="1">
      <c r="A28" s="3719" t="s">
        <v>1315</v>
      </c>
      <c r="B28" s="3720"/>
      <c r="C28" s="1795">
        <f>+'3.반납비'!F6</f>
        <v>549951.68200000003</v>
      </c>
      <c r="D28" s="1795">
        <f>+'3.반납비'!G6</f>
        <v>549951.68200000003</v>
      </c>
      <c r="E28" s="1795">
        <f>C28-D28</f>
        <v>0</v>
      </c>
      <c r="F28" s="1796"/>
      <c r="G28" s="3466">
        <f>549952000000</f>
        <v>549952000000</v>
      </c>
      <c r="H28" s="3466">
        <f>549952000000</f>
        <v>549952000000</v>
      </c>
      <c r="I28" s="3466">
        <f t="shared" si="2"/>
        <v>0</v>
      </c>
    </row>
    <row r="30" spans="1:9" s="1628" customFormat="1">
      <c r="A30" s="1627"/>
      <c r="C30" s="1629"/>
      <c r="D30" s="1629"/>
      <c r="E30" s="1630"/>
      <c r="F30" s="1631"/>
      <c r="H30" s="3049"/>
    </row>
  </sheetData>
  <mergeCells count="6">
    <mergeCell ref="A23:A27"/>
    <mergeCell ref="A28:B28"/>
    <mergeCell ref="A1:F1"/>
    <mergeCell ref="A3:B3"/>
    <mergeCell ref="A4:B4"/>
    <mergeCell ref="A5:A22"/>
  </mergeCells>
  <phoneticPr fontId="15" type="noConversion"/>
  <printOptions horizontalCentered="1"/>
  <pageMargins left="0.70866141732283472" right="0.62992125984251968" top="0.78740157480314965" bottom="0.70866141732283472" header="0.51181102362204722" footer="0.51181102362204722"/>
  <pageSetup paperSize="9" scale="53" firstPageNumber="2" orientation="landscape" useFirstPageNumber="1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042"/>
  <sheetViews>
    <sheetView view="pageBreakPreview" zoomScale="70" zoomScaleNormal="75" zoomScaleSheetLayoutView="70" workbookViewId="0">
      <pane ySplit="4" topLeftCell="A998" activePane="bottomLeft" state="frozen"/>
      <selection activeCell="F663" sqref="F663:G663"/>
      <selection pane="bottomLeft" activeCell="G955" sqref="G955:G959"/>
    </sheetView>
  </sheetViews>
  <sheetFormatPr defaultRowHeight="18.75"/>
  <cols>
    <col min="1" max="4" width="6.77734375" style="182" customWidth="1"/>
    <col min="5" max="5" width="25.77734375" style="182" customWidth="1"/>
    <col min="6" max="6" width="14" style="827" customWidth="1"/>
    <col min="7" max="7" width="14" style="183" customWidth="1"/>
    <col min="8" max="8" width="14" style="199" customWidth="1"/>
    <col min="9" max="9" width="1.5546875" style="184" customWidth="1"/>
    <col min="10" max="10" width="2.88671875" style="185" customWidth="1"/>
    <col min="11" max="11" width="1.88671875" style="182" customWidth="1"/>
    <col min="12" max="12" width="8.77734375" style="182" customWidth="1"/>
    <col min="13" max="13" width="10.33203125" style="182" customWidth="1"/>
    <col min="14" max="14" width="7.5546875" style="182" customWidth="1"/>
    <col min="15" max="15" width="11.109375" style="186" customWidth="1"/>
    <col min="16" max="16" width="10.109375" style="186" customWidth="1"/>
    <col min="17" max="17" width="7.77734375" style="182" customWidth="1"/>
    <col min="18" max="18" width="6.77734375" style="182" customWidth="1"/>
    <col min="19" max="19" width="14.77734375" style="182" customWidth="1"/>
    <col min="20" max="21" width="6.88671875" style="182" customWidth="1"/>
    <col min="22" max="22" width="8.33203125" style="182" customWidth="1"/>
    <col min="23" max="23" width="6.77734375" style="182" customWidth="1"/>
    <col min="24" max="24" width="3" style="230" customWidth="1"/>
    <col min="25" max="25" width="14.77734375" style="819" customWidth="1"/>
    <col min="26" max="26" width="17.44140625" style="179" customWidth="1"/>
    <col min="27" max="27" width="20.21875" style="179" bestFit="1" customWidth="1"/>
    <col min="28" max="28" width="20.5546875" style="1661" customWidth="1"/>
    <col min="29" max="30" width="16.109375" style="831" customWidth="1"/>
    <col min="31" max="16384" width="8.88671875" style="188"/>
  </cols>
  <sheetData>
    <row r="1" spans="1:30" ht="23.1" customHeight="1">
      <c r="A1" s="3884" t="s">
        <v>6084</v>
      </c>
      <c r="B1" s="3884"/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4"/>
      <c r="U1" s="3884"/>
      <c r="V1" s="3884"/>
      <c r="W1" s="3884"/>
      <c r="X1" s="3884"/>
      <c r="Y1" s="3884"/>
      <c r="Z1" s="2196"/>
      <c r="AA1" s="2196"/>
      <c r="AB1" s="2673"/>
      <c r="AC1" s="2674"/>
    </row>
    <row r="2" spans="1:30" s="128" customFormat="1" ht="23.1" customHeight="1" thickBot="1">
      <c r="A2" s="1313"/>
      <c r="B2" s="1313"/>
      <c r="C2" s="1313"/>
      <c r="D2" s="1313" t="s">
        <v>48</v>
      </c>
      <c r="E2" s="820"/>
      <c r="F2" s="820"/>
      <c r="G2" s="820"/>
      <c r="H2" s="1881" t="s">
        <v>194</v>
      </c>
      <c r="I2" s="2082"/>
      <c r="J2" s="1313" t="s">
        <v>48</v>
      </c>
      <c r="K2" s="1283" t="s">
        <v>48</v>
      </c>
      <c r="L2" s="1313"/>
      <c r="M2" s="508"/>
      <c r="N2" s="308"/>
      <c r="O2" s="2198"/>
      <c r="P2" s="2198"/>
      <c r="Q2" s="2199"/>
      <c r="R2" s="2199"/>
      <c r="S2" s="2199"/>
      <c r="T2" s="2199"/>
      <c r="U2" s="2199"/>
      <c r="V2" s="2199"/>
      <c r="W2" s="2199"/>
      <c r="X2" s="2200"/>
      <c r="Y2" s="1881" t="s">
        <v>172</v>
      </c>
      <c r="Z2" s="308"/>
      <c r="AA2" s="308"/>
      <c r="AB2" s="1560"/>
      <c r="AC2" s="2200"/>
      <c r="AD2" s="229"/>
    </row>
    <row r="3" spans="1:30" s="191" customFormat="1" ht="23.1" customHeight="1">
      <c r="A3" s="3885" t="s">
        <v>218</v>
      </c>
      <c r="B3" s="3886"/>
      <c r="C3" s="3886"/>
      <c r="D3" s="3886"/>
      <c r="E3" s="3887"/>
      <c r="F3" s="3809" t="s">
        <v>174</v>
      </c>
      <c r="G3" s="3811" t="s">
        <v>1077</v>
      </c>
      <c r="H3" s="3933" t="s">
        <v>11</v>
      </c>
      <c r="I3" s="557"/>
      <c r="J3" s="3890" t="s">
        <v>220</v>
      </c>
      <c r="K3" s="3891"/>
      <c r="L3" s="3891"/>
      <c r="M3" s="3891"/>
      <c r="N3" s="3891"/>
      <c r="O3" s="3891"/>
      <c r="P3" s="3891"/>
      <c r="Q3" s="3891"/>
      <c r="R3" s="3891"/>
      <c r="S3" s="3891"/>
      <c r="T3" s="3891"/>
      <c r="U3" s="3891"/>
      <c r="V3" s="3891"/>
      <c r="W3" s="3891"/>
      <c r="X3" s="3891"/>
      <c r="Y3" s="3892"/>
      <c r="Z3" s="2201"/>
      <c r="AA3" s="308"/>
      <c r="AB3" s="1891"/>
      <c r="AC3" s="2675"/>
      <c r="AD3" s="830"/>
    </row>
    <row r="4" spans="1:30" s="192" customFormat="1" ht="23.1" customHeight="1" thickBot="1">
      <c r="A4" s="1900" t="s">
        <v>12</v>
      </c>
      <c r="B4" s="1901" t="s">
        <v>234</v>
      </c>
      <c r="C4" s="1880" t="s">
        <v>221</v>
      </c>
      <c r="D4" s="1880" t="s">
        <v>235</v>
      </c>
      <c r="E4" s="1880" t="s">
        <v>49</v>
      </c>
      <c r="F4" s="3810"/>
      <c r="G4" s="3812"/>
      <c r="H4" s="3934"/>
      <c r="I4" s="557"/>
      <c r="J4" s="3893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4"/>
      <c r="V4" s="3894"/>
      <c r="W4" s="3894"/>
      <c r="X4" s="3894"/>
      <c r="Y4" s="3895"/>
      <c r="Z4" s="1882"/>
      <c r="AA4" s="308"/>
      <c r="AB4" s="2676" t="s">
        <v>1407</v>
      </c>
      <c r="AC4" s="2677" t="s">
        <v>213</v>
      </c>
      <c r="AD4" s="832"/>
    </row>
    <row r="5" spans="1:30" s="192" customFormat="1" ht="22.5" customHeight="1" thickBot="1">
      <c r="A5" s="574" t="s">
        <v>1363</v>
      </c>
      <c r="B5" s="542"/>
      <c r="C5" s="542"/>
      <c r="D5" s="542"/>
      <c r="E5" s="542"/>
      <c r="F5" s="848">
        <f>F6+F32+F60+F645+F732+F752+F928+F960+F973+F1006</f>
        <v>35527507.45465</v>
      </c>
      <c r="G5" s="848">
        <f>G6+G32+G60+G645+G732+G752+G928+G960+G973+G1006</f>
        <v>35161699.82</v>
      </c>
      <c r="H5" s="2651">
        <f t="shared" ref="H5:H63" si="0">F5-G5</f>
        <v>365807.63464999944</v>
      </c>
      <c r="I5" s="557"/>
      <c r="J5" s="2652"/>
      <c r="K5" s="2653"/>
      <c r="L5" s="2653"/>
      <c r="M5" s="2653"/>
      <c r="N5" s="2653"/>
      <c r="O5" s="2653"/>
      <c r="P5" s="2653"/>
      <c r="Q5" s="2653"/>
      <c r="R5" s="2653"/>
      <c r="S5" s="2653"/>
      <c r="T5" s="2653"/>
      <c r="U5" s="2653"/>
      <c r="V5" s="2653"/>
      <c r="W5" s="2653"/>
      <c r="X5" s="2653"/>
      <c r="Y5" s="2654"/>
      <c r="Z5" s="1882"/>
      <c r="AA5" s="308"/>
      <c r="AB5" s="2676">
        <f>SUM(AB60:AB982)</f>
        <v>530014229760.01965</v>
      </c>
      <c r="AC5" s="2676">
        <f>SUM(AC60:AC982)</f>
        <v>17691000</v>
      </c>
      <c r="AD5" s="832"/>
    </row>
    <row r="6" spans="1:30" s="192" customFormat="1" ht="22.5" customHeight="1" thickBot="1">
      <c r="A6" s="574" t="s">
        <v>1988</v>
      </c>
      <c r="B6" s="1902"/>
      <c r="C6" s="1902"/>
      <c r="D6" s="1902"/>
      <c r="E6" s="1902"/>
      <c r="F6" s="821">
        <f t="shared" ref="F6:G8" si="1">+F7</f>
        <v>200000</v>
      </c>
      <c r="G6" s="821">
        <f t="shared" si="1"/>
        <v>200000</v>
      </c>
      <c r="H6" s="2655">
        <f t="shared" ref="H6:H9" si="2">F6-G6</f>
        <v>0</v>
      </c>
      <c r="I6" s="2082"/>
      <c r="J6" s="2204"/>
      <c r="K6" s="2205"/>
      <c r="L6" s="2205"/>
      <c r="M6" s="2205"/>
      <c r="N6" s="2205"/>
      <c r="O6" s="2205"/>
      <c r="P6" s="2205"/>
      <c r="Q6" s="2205"/>
      <c r="R6" s="2205"/>
      <c r="S6" s="2205"/>
      <c r="T6" s="2205"/>
      <c r="U6" s="2205"/>
      <c r="V6" s="2205"/>
      <c r="W6" s="2205"/>
      <c r="X6" s="2205"/>
      <c r="Y6" s="2656"/>
      <c r="Z6" s="2207"/>
      <c r="AA6" s="308"/>
      <c r="AB6" s="547">
        <f>F6*1000000</f>
        <v>200000000000</v>
      </c>
      <c r="AC6" s="2678"/>
    </row>
    <row r="7" spans="1:30" s="806" customFormat="1" ht="21" customHeight="1" thickBot="1">
      <c r="A7" s="1903" t="s">
        <v>378</v>
      </c>
      <c r="B7" s="569" t="s">
        <v>1038</v>
      </c>
      <c r="C7" s="570"/>
      <c r="D7" s="570"/>
      <c r="E7" s="571"/>
      <c r="F7" s="822">
        <f>+F8+F17</f>
        <v>200000</v>
      </c>
      <c r="G7" s="822">
        <f>+G8+G17</f>
        <v>200000</v>
      </c>
      <c r="H7" s="573">
        <f t="shared" si="2"/>
        <v>0</v>
      </c>
      <c r="I7" s="840"/>
      <c r="J7" s="574"/>
      <c r="K7" s="575"/>
      <c r="L7" s="2657"/>
      <c r="M7" s="2657"/>
      <c r="N7" s="2657"/>
      <c r="O7" s="575"/>
      <c r="P7" s="575"/>
      <c r="Q7" s="575"/>
      <c r="R7" s="575"/>
      <c r="S7" s="575"/>
      <c r="T7" s="575"/>
      <c r="U7" s="575"/>
      <c r="V7" s="575"/>
      <c r="W7" s="575"/>
      <c r="X7" s="576"/>
      <c r="Y7" s="2658"/>
      <c r="Z7" s="2659"/>
      <c r="AA7" s="2679"/>
      <c r="AB7" s="547">
        <f t="shared" ref="AB7:AB9" si="3">F7*1000000</f>
        <v>200000000000</v>
      </c>
      <c r="AC7" s="2680"/>
    </row>
    <row r="8" spans="1:30" s="1875" customFormat="1" ht="18.95" customHeight="1">
      <c r="A8" s="540"/>
      <c r="B8" s="541"/>
      <c r="C8" s="3926" t="s">
        <v>429</v>
      </c>
      <c r="D8" s="3927"/>
      <c r="E8" s="3928"/>
      <c r="F8" s="823">
        <f t="shared" si="1"/>
        <v>100000</v>
      </c>
      <c r="G8" s="823">
        <f t="shared" si="1"/>
        <v>100000</v>
      </c>
      <c r="H8" s="1332">
        <f t="shared" si="2"/>
        <v>0</v>
      </c>
      <c r="I8" s="2082"/>
      <c r="J8" s="580"/>
      <c r="K8" s="2072"/>
      <c r="L8" s="2072"/>
      <c r="M8" s="2072"/>
      <c r="N8" s="2072"/>
      <c r="O8" s="2072"/>
      <c r="P8" s="2072"/>
      <c r="Q8" s="2072"/>
      <c r="R8" s="2072"/>
      <c r="S8" s="2072"/>
      <c r="T8" s="2072"/>
      <c r="U8" s="2072"/>
      <c r="V8" s="2072"/>
      <c r="W8" s="2072"/>
      <c r="X8" s="581"/>
      <c r="Y8" s="582"/>
      <c r="Z8" s="595"/>
      <c r="AA8" s="547"/>
      <c r="AB8" s="547">
        <f t="shared" si="3"/>
        <v>100000000000</v>
      </c>
      <c r="AC8" s="2082"/>
    </row>
    <row r="9" spans="1:30" s="1876" customFormat="1" ht="18.95" customHeight="1">
      <c r="A9" s="540"/>
      <c r="B9" s="541"/>
      <c r="C9" s="542"/>
      <c r="D9" s="3906" t="s">
        <v>1989</v>
      </c>
      <c r="E9" s="3907"/>
      <c r="F9" s="598">
        <f>SUM(F10:F16)</f>
        <v>100000</v>
      </c>
      <c r="G9" s="598">
        <f>SUM(G10:G16)</f>
        <v>100000</v>
      </c>
      <c r="H9" s="627">
        <f t="shared" si="2"/>
        <v>0</v>
      </c>
      <c r="I9" s="1881">
        <f>G9-H9</f>
        <v>100000</v>
      </c>
      <c r="J9" s="538"/>
      <c r="K9" s="2068"/>
      <c r="L9" s="2068"/>
      <c r="M9" s="2068"/>
      <c r="N9" s="2068"/>
      <c r="O9" s="2068"/>
      <c r="P9" s="2068"/>
      <c r="Q9" s="2068"/>
      <c r="R9" s="539"/>
      <c r="S9" s="2068"/>
      <c r="T9" s="2068"/>
      <c r="U9" s="2068"/>
      <c r="V9" s="2068"/>
      <c r="W9" s="2068"/>
      <c r="X9" s="585"/>
      <c r="Y9" s="599"/>
      <c r="Z9" s="595"/>
      <c r="AA9" s="547"/>
      <c r="AB9" s="547">
        <f t="shared" si="3"/>
        <v>100000000000</v>
      </c>
      <c r="AC9" s="2082"/>
    </row>
    <row r="10" spans="1:30" s="1876" customFormat="1" ht="18.95" customHeight="1">
      <c r="A10" s="1879"/>
      <c r="B10" s="541"/>
      <c r="C10" s="541"/>
      <c r="D10" s="625"/>
      <c r="E10" s="602" t="s">
        <v>2122</v>
      </c>
      <c r="F10" s="549">
        <f>Y10</f>
        <v>100000</v>
      </c>
      <c r="G10" s="549">
        <v>100000</v>
      </c>
      <c r="H10" s="1320"/>
      <c r="I10" s="1881"/>
      <c r="J10" s="2105" t="s">
        <v>2123</v>
      </c>
      <c r="K10" s="2106"/>
      <c r="L10" s="2082"/>
      <c r="M10" s="2082"/>
      <c r="N10" s="475"/>
      <c r="O10" s="2082"/>
      <c r="P10" s="2082"/>
      <c r="Q10" s="2082"/>
      <c r="R10" s="2082"/>
      <c r="S10" s="474"/>
      <c r="T10" s="2106"/>
      <c r="U10" s="2106"/>
      <c r="V10" s="2106"/>
      <c r="W10" s="2106"/>
      <c r="X10" s="2030"/>
      <c r="Y10" s="554">
        <f>(Z10)/1000</f>
        <v>100000</v>
      </c>
      <c r="Z10" s="555">
        <f>SUM(Z11:Z16)</f>
        <v>100000000</v>
      </c>
      <c r="AA10" s="547"/>
      <c r="AB10" s="547"/>
      <c r="AC10" s="2082"/>
    </row>
    <row r="11" spans="1:30" s="1876" customFormat="1" ht="18.95" customHeight="1">
      <c r="A11" s="1879"/>
      <c r="B11" s="541"/>
      <c r="C11" s="541"/>
      <c r="D11" s="625"/>
      <c r="E11" s="2023"/>
      <c r="F11" s="549"/>
      <c r="G11" s="549"/>
      <c r="H11" s="551"/>
      <c r="I11" s="1881"/>
      <c r="J11" s="2105" t="s">
        <v>2124</v>
      </c>
      <c r="K11" s="2106"/>
      <c r="L11" s="2082"/>
      <c r="M11" s="2082"/>
      <c r="N11" s="475"/>
      <c r="O11" s="2082"/>
      <c r="P11" s="2082"/>
      <c r="Q11" s="2082"/>
      <c r="R11" s="2082"/>
      <c r="S11" s="474">
        <v>14000000</v>
      </c>
      <c r="T11" s="2106" t="s">
        <v>2125</v>
      </c>
      <c r="U11" s="2106"/>
      <c r="V11" s="2106">
        <v>1</v>
      </c>
      <c r="W11" s="2106" t="s">
        <v>2126</v>
      </c>
      <c r="X11" s="2030" t="s">
        <v>2127</v>
      </c>
      <c r="Y11" s="554">
        <f>Z11/1000</f>
        <v>14000</v>
      </c>
      <c r="Z11" s="555">
        <f>S11*V11</f>
        <v>14000000</v>
      </c>
      <c r="AA11" s="547"/>
      <c r="AB11" s="547"/>
      <c r="AC11" s="2082"/>
    </row>
    <row r="12" spans="1:30" s="1876" customFormat="1" ht="18.95" customHeight="1">
      <c r="A12" s="1879"/>
      <c r="B12" s="541"/>
      <c r="C12" s="541"/>
      <c r="D12" s="625"/>
      <c r="E12" s="2023"/>
      <c r="F12" s="549"/>
      <c r="G12" s="549"/>
      <c r="H12" s="551"/>
      <c r="I12" s="1881"/>
      <c r="J12" s="2105" t="s">
        <v>2128</v>
      </c>
      <c r="K12" s="2106"/>
      <c r="L12" s="2082"/>
      <c r="M12" s="2082"/>
      <c r="N12" s="475"/>
      <c r="O12" s="2082"/>
      <c r="P12" s="2082"/>
      <c r="Q12" s="2082"/>
      <c r="R12" s="2082"/>
      <c r="S12" s="474">
        <v>15000000</v>
      </c>
      <c r="T12" s="2106" t="s">
        <v>2125</v>
      </c>
      <c r="U12" s="2106"/>
      <c r="V12" s="2106">
        <v>1</v>
      </c>
      <c r="W12" s="2106" t="s">
        <v>2126</v>
      </c>
      <c r="X12" s="2030" t="s">
        <v>2127</v>
      </c>
      <c r="Y12" s="554">
        <f t="shared" ref="Y12:Y16" si="4">Z12/1000</f>
        <v>15000</v>
      </c>
      <c r="Z12" s="555">
        <f t="shared" ref="Z12:Z16" si="5">S12*V12</f>
        <v>15000000</v>
      </c>
      <c r="AA12" s="547"/>
      <c r="AB12" s="547"/>
      <c r="AC12" s="2082"/>
    </row>
    <row r="13" spans="1:30" s="1876" customFormat="1" ht="18.95" customHeight="1">
      <c r="A13" s="1879"/>
      <c r="B13" s="541"/>
      <c r="C13" s="541"/>
      <c r="D13" s="625"/>
      <c r="E13" s="2023"/>
      <c r="F13" s="549"/>
      <c r="G13" s="549"/>
      <c r="H13" s="551"/>
      <c r="I13" s="1881"/>
      <c r="J13" s="2105" t="s">
        <v>2129</v>
      </c>
      <c r="K13" s="2106"/>
      <c r="L13" s="2082"/>
      <c r="M13" s="2082"/>
      <c r="N13" s="475"/>
      <c r="O13" s="2082"/>
      <c r="P13" s="2082"/>
      <c r="Q13" s="2082"/>
      <c r="R13" s="2082"/>
      <c r="S13" s="474">
        <v>14000000</v>
      </c>
      <c r="T13" s="2106" t="s">
        <v>2125</v>
      </c>
      <c r="U13" s="2106"/>
      <c r="V13" s="2106">
        <v>1</v>
      </c>
      <c r="W13" s="2106" t="s">
        <v>2126</v>
      </c>
      <c r="X13" s="2030" t="s">
        <v>2127</v>
      </c>
      <c r="Y13" s="554">
        <f t="shared" si="4"/>
        <v>14000</v>
      </c>
      <c r="Z13" s="555">
        <f t="shared" si="5"/>
        <v>14000000</v>
      </c>
      <c r="AA13" s="547"/>
      <c r="AB13" s="547"/>
      <c r="AC13" s="2082"/>
    </row>
    <row r="14" spans="1:30" s="1876" customFormat="1" ht="18.95" customHeight="1">
      <c r="A14" s="1879"/>
      <c r="B14" s="541"/>
      <c r="C14" s="541"/>
      <c r="D14" s="625"/>
      <c r="E14" s="2023"/>
      <c r="F14" s="549"/>
      <c r="G14" s="549"/>
      <c r="H14" s="551"/>
      <c r="I14" s="1881"/>
      <c r="J14" s="2105" t="s">
        <v>2130</v>
      </c>
      <c r="K14" s="2106"/>
      <c r="L14" s="2082"/>
      <c r="M14" s="2082"/>
      <c r="N14" s="475"/>
      <c r="O14" s="2082"/>
      <c r="P14" s="2082"/>
      <c r="Q14" s="2082"/>
      <c r="R14" s="2082"/>
      <c r="S14" s="474">
        <v>19000000</v>
      </c>
      <c r="T14" s="2106" t="s">
        <v>2125</v>
      </c>
      <c r="U14" s="2106"/>
      <c r="V14" s="2106">
        <v>1</v>
      </c>
      <c r="W14" s="2106" t="s">
        <v>2126</v>
      </c>
      <c r="X14" s="2030" t="s">
        <v>2127</v>
      </c>
      <c r="Y14" s="554">
        <f t="shared" si="4"/>
        <v>19000</v>
      </c>
      <c r="Z14" s="555">
        <f t="shared" si="5"/>
        <v>19000000</v>
      </c>
      <c r="AA14" s="547"/>
      <c r="AB14" s="547"/>
      <c r="AC14" s="2082"/>
    </row>
    <row r="15" spans="1:30" s="1876" customFormat="1" ht="18.95" customHeight="1">
      <c r="A15" s="1879"/>
      <c r="B15" s="3022"/>
      <c r="C15" s="541"/>
      <c r="D15" s="625"/>
      <c r="E15" s="2023"/>
      <c r="F15" s="549"/>
      <c r="G15" s="549"/>
      <c r="H15" s="551"/>
      <c r="I15" s="1881"/>
      <c r="J15" s="2105" t="s">
        <v>2131</v>
      </c>
      <c r="K15" s="2106"/>
      <c r="L15" s="2082"/>
      <c r="M15" s="2082"/>
      <c r="N15" s="475"/>
      <c r="O15" s="2082"/>
      <c r="P15" s="2082"/>
      <c r="Q15" s="2082"/>
      <c r="R15" s="2082"/>
      <c r="S15" s="474">
        <v>18000000</v>
      </c>
      <c r="T15" s="2106" t="s">
        <v>2125</v>
      </c>
      <c r="U15" s="2106"/>
      <c r="V15" s="2106">
        <v>1</v>
      </c>
      <c r="W15" s="2106" t="s">
        <v>2126</v>
      </c>
      <c r="X15" s="2030" t="s">
        <v>2127</v>
      </c>
      <c r="Y15" s="554">
        <f t="shared" si="4"/>
        <v>18000</v>
      </c>
      <c r="Z15" s="555">
        <f t="shared" si="5"/>
        <v>18000000</v>
      </c>
      <c r="AA15" s="547"/>
      <c r="AB15" s="547"/>
      <c r="AC15" s="2082"/>
    </row>
    <row r="16" spans="1:30" s="1876" customFormat="1" ht="18.95" customHeight="1">
      <c r="A16" s="1879"/>
      <c r="B16" s="3022"/>
      <c r="C16" s="3022"/>
      <c r="D16" s="625"/>
      <c r="E16" s="2023"/>
      <c r="F16" s="549"/>
      <c r="G16" s="549"/>
      <c r="H16" s="551"/>
      <c r="I16" s="1881"/>
      <c r="J16" s="2105" t="s">
        <v>2132</v>
      </c>
      <c r="K16" s="2106"/>
      <c r="L16" s="2082"/>
      <c r="M16" s="2082"/>
      <c r="N16" s="475"/>
      <c r="O16" s="2082"/>
      <c r="P16" s="2082"/>
      <c r="Q16" s="2082"/>
      <c r="R16" s="2082"/>
      <c r="S16" s="474">
        <v>20000000</v>
      </c>
      <c r="T16" s="2106" t="s">
        <v>2125</v>
      </c>
      <c r="U16" s="2106"/>
      <c r="V16" s="2106">
        <v>1</v>
      </c>
      <c r="W16" s="2106" t="s">
        <v>2126</v>
      </c>
      <c r="X16" s="2030" t="s">
        <v>2127</v>
      </c>
      <c r="Y16" s="554">
        <f t="shared" si="4"/>
        <v>20000</v>
      </c>
      <c r="Z16" s="1898">
        <f t="shared" si="5"/>
        <v>20000000</v>
      </c>
      <c r="AA16" s="547"/>
      <c r="AB16" s="547"/>
      <c r="AC16" s="2082"/>
    </row>
    <row r="17" spans="1:29" s="1925" customFormat="1" ht="18.95" customHeight="1">
      <c r="A17" s="540"/>
      <c r="B17" s="3022"/>
      <c r="C17" s="3836" t="s">
        <v>1990</v>
      </c>
      <c r="D17" s="3821"/>
      <c r="E17" s="3822"/>
      <c r="F17" s="598">
        <f>+F18</f>
        <v>100000</v>
      </c>
      <c r="G17" s="598">
        <f>+G18</f>
        <v>100000</v>
      </c>
      <c r="H17" s="627">
        <f t="shared" ref="H17" si="6">F17-G17</f>
        <v>0</v>
      </c>
      <c r="I17" s="3019"/>
      <c r="J17" s="538"/>
      <c r="K17" s="3015"/>
      <c r="L17" s="3015"/>
      <c r="M17" s="3015"/>
      <c r="N17" s="3015"/>
      <c r="O17" s="3015"/>
      <c r="P17" s="3015"/>
      <c r="Q17" s="3015"/>
      <c r="R17" s="3015"/>
      <c r="S17" s="3015"/>
      <c r="T17" s="3015"/>
      <c r="U17" s="3015"/>
      <c r="V17" s="3015"/>
      <c r="W17" s="3015"/>
      <c r="X17" s="585"/>
      <c r="Y17" s="599"/>
      <c r="Z17" s="595"/>
      <c r="AA17" s="547"/>
      <c r="AB17" s="547">
        <f t="shared" ref="AB17:AB18" si="7">F17*1000000</f>
        <v>100000000000</v>
      </c>
      <c r="AC17" s="3019"/>
    </row>
    <row r="18" spans="1:29" s="1925" customFormat="1" ht="18.95" customHeight="1">
      <c r="A18" s="540"/>
      <c r="B18" s="3022"/>
      <c r="C18" s="1904"/>
      <c r="D18" s="3906" t="s">
        <v>1990</v>
      </c>
      <c r="E18" s="3907"/>
      <c r="F18" s="598">
        <f>SUM(F19:F31)</f>
        <v>100000</v>
      </c>
      <c r="G18" s="598">
        <f>SUM(G19:G31)</f>
        <v>100000</v>
      </c>
      <c r="H18" s="627">
        <f>SUM(H19:H31)</f>
        <v>0</v>
      </c>
      <c r="I18" s="1881">
        <f>G18-H18</f>
        <v>100000</v>
      </c>
      <c r="J18" s="538"/>
      <c r="K18" s="3015"/>
      <c r="L18" s="3015"/>
      <c r="M18" s="3015"/>
      <c r="N18" s="3015"/>
      <c r="O18" s="3015"/>
      <c r="P18" s="3015"/>
      <c r="Q18" s="3015"/>
      <c r="R18" s="539"/>
      <c r="S18" s="3015"/>
      <c r="T18" s="3015"/>
      <c r="U18" s="3015"/>
      <c r="V18" s="3015"/>
      <c r="W18" s="3015"/>
      <c r="X18" s="585"/>
      <c r="Y18" s="599"/>
      <c r="Z18" s="595"/>
      <c r="AA18" s="547"/>
      <c r="AB18" s="547">
        <f t="shared" si="7"/>
        <v>100000000000</v>
      </c>
      <c r="AC18" s="3019"/>
    </row>
    <row r="19" spans="1:29" s="1925" customFormat="1" ht="18.95" customHeight="1">
      <c r="A19" s="540"/>
      <c r="B19" s="3022"/>
      <c r="C19" s="4112"/>
      <c r="D19" s="3019"/>
      <c r="E19" s="3567" t="s">
        <v>5019</v>
      </c>
      <c r="F19" s="3173">
        <f>+Y19</f>
        <v>20500</v>
      </c>
      <c r="G19" s="941">
        <v>20500</v>
      </c>
      <c r="H19" s="957"/>
      <c r="I19" s="3515"/>
      <c r="J19" s="856" t="s">
        <v>5001</v>
      </c>
      <c r="K19" s="3515"/>
      <c r="L19" s="857"/>
      <c r="M19" s="857"/>
      <c r="N19" s="858"/>
      <c r="O19" s="857"/>
      <c r="P19" s="857"/>
      <c r="Q19" s="859"/>
      <c r="R19" s="857"/>
      <c r="S19" s="858"/>
      <c r="T19" s="857"/>
      <c r="U19" s="857"/>
      <c r="V19" s="857"/>
      <c r="W19" s="857"/>
      <c r="X19" s="860"/>
      <c r="Y19" s="861">
        <f>SUM(Y20:Y21)</f>
        <v>20500</v>
      </c>
      <c r="Z19" s="3568">
        <f>SUM(Z20:Z21)</f>
        <v>20500000</v>
      </c>
      <c r="AA19" s="547"/>
      <c r="AB19" s="547"/>
      <c r="AC19" s="3019"/>
    </row>
    <row r="20" spans="1:29" s="1925" customFormat="1" ht="18.95" customHeight="1">
      <c r="A20" s="540"/>
      <c r="B20" s="3022"/>
      <c r="C20" s="4112"/>
      <c r="D20" s="1907"/>
      <c r="E20" s="3569"/>
      <c r="F20" s="1523"/>
      <c r="G20" s="941"/>
      <c r="H20" s="949"/>
      <c r="I20" s="3515"/>
      <c r="J20" s="866" t="s">
        <v>5002</v>
      </c>
      <c r="K20" s="3163"/>
      <c r="L20" s="3163"/>
      <c r="M20" s="3163"/>
      <c r="N20" s="3164"/>
      <c r="O20" s="3163"/>
      <c r="P20" s="3163"/>
      <c r="Q20" s="869">
        <v>1</v>
      </c>
      <c r="R20" s="3163" t="s">
        <v>5003</v>
      </c>
      <c r="S20" s="3164">
        <v>1900000</v>
      </c>
      <c r="T20" s="3163" t="s">
        <v>5004</v>
      </c>
      <c r="U20" s="3163"/>
      <c r="V20" s="3163">
        <v>10</v>
      </c>
      <c r="W20" s="3163" t="s">
        <v>5005</v>
      </c>
      <c r="X20" s="3165" t="s">
        <v>5006</v>
      </c>
      <c r="Y20" s="871">
        <f>Z20/1000</f>
        <v>19000</v>
      </c>
      <c r="Z20" s="2504">
        <f>Q20*S20*V20</f>
        <v>19000000</v>
      </c>
      <c r="AA20" s="547"/>
      <c r="AB20" s="547"/>
      <c r="AC20" s="3019"/>
    </row>
    <row r="21" spans="1:29" s="1925" customFormat="1" ht="18.95" customHeight="1">
      <c r="A21" s="540"/>
      <c r="B21" s="3022"/>
      <c r="C21" s="4112"/>
      <c r="D21" s="1907"/>
      <c r="E21" s="3569"/>
      <c r="F21" s="1523"/>
      <c r="G21" s="941"/>
      <c r="H21" s="949"/>
      <c r="I21" s="3515"/>
      <c r="J21" s="866" t="s">
        <v>5007</v>
      </c>
      <c r="K21" s="3163"/>
      <c r="L21" s="3163"/>
      <c r="M21" s="3163"/>
      <c r="N21" s="3164"/>
      <c r="O21" s="3163"/>
      <c r="P21" s="3163"/>
      <c r="Q21" s="869">
        <v>1</v>
      </c>
      <c r="R21" s="3163" t="s">
        <v>5003</v>
      </c>
      <c r="S21" s="3164">
        <v>1500000</v>
      </c>
      <c r="T21" s="3163" t="s">
        <v>5004</v>
      </c>
      <c r="U21" s="3163"/>
      <c r="V21" s="3163">
        <v>1</v>
      </c>
      <c r="W21" s="3163" t="s">
        <v>5008</v>
      </c>
      <c r="X21" s="3165" t="s">
        <v>5006</v>
      </c>
      <c r="Y21" s="871">
        <f>Z21/1000</f>
        <v>1500</v>
      </c>
      <c r="Z21" s="2504">
        <f>Q21*S21*V21</f>
        <v>1500000</v>
      </c>
      <c r="AA21" s="547"/>
      <c r="AB21" s="547"/>
      <c r="AC21" s="3019"/>
    </row>
    <row r="22" spans="1:29" s="1925" customFormat="1" ht="18.95" customHeight="1">
      <c r="A22" s="540"/>
      <c r="B22" s="3022"/>
      <c r="C22" s="4112"/>
      <c r="D22" s="548"/>
      <c r="E22" s="851" t="s">
        <v>5020</v>
      </c>
      <c r="F22" s="941">
        <f>+Y22</f>
        <v>1000</v>
      </c>
      <c r="G22" s="941">
        <v>400</v>
      </c>
      <c r="H22" s="949">
        <f>F22-G22</f>
        <v>600</v>
      </c>
      <c r="I22" s="3515"/>
      <c r="J22" s="866" t="s">
        <v>5009</v>
      </c>
      <c r="K22" s="3163"/>
      <c r="L22" s="3163"/>
      <c r="M22" s="3163"/>
      <c r="N22" s="3164"/>
      <c r="O22" s="3163"/>
      <c r="P22" s="3163"/>
      <c r="Q22" s="869"/>
      <c r="R22" s="3163"/>
      <c r="S22" s="3164">
        <v>1000000</v>
      </c>
      <c r="T22" s="3163" t="s">
        <v>5004</v>
      </c>
      <c r="U22" s="3163"/>
      <c r="V22" s="3163">
        <v>1</v>
      </c>
      <c r="W22" s="3163" t="s">
        <v>5008</v>
      </c>
      <c r="X22" s="3165" t="s">
        <v>5006</v>
      </c>
      <c r="Y22" s="871">
        <f>Z22/1000</f>
        <v>1000</v>
      </c>
      <c r="Z22" s="3570">
        <f>S22*V22</f>
        <v>1000000</v>
      </c>
      <c r="AA22" s="547"/>
      <c r="AB22" s="547"/>
      <c r="AC22" s="3019"/>
    </row>
    <row r="23" spans="1:29" s="1925" customFormat="1" ht="18.95" customHeight="1">
      <c r="A23" s="540"/>
      <c r="B23" s="3022"/>
      <c r="C23" s="4112"/>
      <c r="D23" s="548"/>
      <c r="E23" s="851" t="s">
        <v>5021</v>
      </c>
      <c r="F23" s="941">
        <f>+Y23</f>
        <v>1100</v>
      </c>
      <c r="G23" s="941">
        <v>600</v>
      </c>
      <c r="H23" s="949">
        <f>F23-G23</f>
        <v>500</v>
      </c>
      <c r="I23" s="3515"/>
      <c r="J23" s="866" t="s">
        <v>5010</v>
      </c>
      <c r="K23" s="3163"/>
      <c r="L23" s="3163"/>
      <c r="M23" s="3163"/>
      <c r="N23" s="3164"/>
      <c r="O23" s="3163"/>
      <c r="P23" s="3163"/>
      <c r="Q23" s="869"/>
      <c r="R23" s="3163"/>
      <c r="S23" s="3163">
        <v>1100000</v>
      </c>
      <c r="T23" s="3163" t="s">
        <v>5004</v>
      </c>
      <c r="U23" s="3163"/>
      <c r="V23" s="730">
        <v>1</v>
      </c>
      <c r="W23" s="3525" t="s">
        <v>5008</v>
      </c>
      <c r="X23" s="3165" t="s">
        <v>5006</v>
      </c>
      <c r="Y23" s="871">
        <f>Z23/1000</f>
        <v>1100</v>
      </c>
      <c r="Z23" s="3570">
        <f>S23*V23</f>
        <v>1100000</v>
      </c>
      <c r="AA23" s="547"/>
      <c r="AB23" s="547"/>
      <c r="AC23" s="3019"/>
    </row>
    <row r="24" spans="1:29" s="1925" customFormat="1" ht="18.95" customHeight="1">
      <c r="A24" s="540"/>
      <c r="B24" s="3022"/>
      <c r="C24" s="4112"/>
      <c r="D24" s="1907"/>
      <c r="E24" s="3569" t="s">
        <v>5022</v>
      </c>
      <c r="F24" s="941">
        <f>+Y24</f>
        <v>1600</v>
      </c>
      <c r="G24" s="941">
        <v>1600</v>
      </c>
      <c r="H24" s="949"/>
      <c r="I24" s="3515"/>
      <c r="J24" s="866" t="s">
        <v>5011</v>
      </c>
      <c r="K24" s="866"/>
      <c r="L24" s="3163"/>
      <c r="M24" s="3163"/>
      <c r="N24" s="3163"/>
      <c r="O24" s="3164"/>
      <c r="P24" s="3163"/>
      <c r="Q24" s="869">
        <v>2</v>
      </c>
      <c r="R24" s="3163" t="s">
        <v>5003</v>
      </c>
      <c r="S24" s="3163">
        <v>200000</v>
      </c>
      <c r="T24" s="3163" t="s">
        <v>5004</v>
      </c>
      <c r="U24" s="3163"/>
      <c r="V24" s="3163">
        <v>4</v>
      </c>
      <c r="W24" s="3163" t="s">
        <v>5012</v>
      </c>
      <c r="X24" s="3165" t="s">
        <v>5006</v>
      </c>
      <c r="Y24" s="871">
        <f>Z24/1000</f>
        <v>1600</v>
      </c>
      <c r="Z24" s="2504">
        <f>Q24*S24*V24</f>
        <v>1600000</v>
      </c>
      <c r="AA24" s="547"/>
      <c r="AB24" s="547"/>
      <c r="AC24" s="3019"/>
    </row>
    <row r="25" spans="1:29" s="1925" customFormat="1" ht="18.95" customHeight="1">
      <c r="A25" s="540"/>
      <c r="B25" s="3022"/>
      <c r="C25" s="4112"/>
      <c r="D25" s="1907"/>
      <c r="E25" s="3569" t="s">
        <v>5023</v>
      </c>
      <c r="F25" s="941">
        <f>+Y25</f>
        <v>9600</v>
      </c>
      <c r="G25" s="941">
        <v>9600</v>
      </c>
      <c r="H25" s="949"/>
      <c r="I25" s="3515"/>
      <c r="J25" s="866" t="s">
        <v>5001</v>
      </c>
      <c r="K25" s="3163"/>
      <c r="L25" s="3163"/>
      <c r="M25" s="3163"/>
      <c r="N25" s="3164"/>
      <c r="O25" s="3163"/>
      <c r="P25" s="3163"/>
      <c r="Q25" s="869"/>
      <c r="R25" s="3163"/>
      <c r="S25" s="3164"/>
      <c r="T25" s="3163"/>
      <c r="U25" s="3163"/>
      <c r="V25" s="3163"/>
      <c r="W25" s="3163"/>
      <c r="X25" s="3165"/>
      <c r="Y25" s="871">
        <f>SUM(Y26:Y28)</f>
        <v>9600</v>
      </c>
      <c r="Z25" s="2546"/>
      <c r="AA25" s="547"/>
      <c r="AB25" s="547"/>
      <c r="AC25" s="3019"/>
    </row>
    <row r="26" spans="1:29" s="1925" customFormat="1" ht="18.95" customHeight="1">
      <c r="A26" s="540"/>
      <c r="B26" s="3022"/>
      <c r="C26" s="4112"/>
      <c r="D26" s="1907"/>
      <c r="E26" s="3569"/>
      <c r="F26" s="1523"/>
      <c r="G26" s="941"/>
      <c r="H26" s="949"/>
      <c r="I26" s="3515"/>
      <c r="J26" s="866" t="s">
        <v>5013</v>
      </c>
      <c r="K26" s="3163"/>
      <c r="L26" s="3163"/>
      <c r="M26" s="3163"/>
      <c r="N26" s="3164"/>
      <c r="O26" s="3163"/>
      <c r="P26" s="3163"/>
      <c r="Q26" s="869">
        <v>7</v>
      </c>
      <c r="R26" s="3163" t="s">
        <v>5003</v>
      </c>
      <c r="S26" s="3163">
        <v>200000</v>
      </c>
      <c r="T26" s="3163" t="s">
        <v>5004</v>
      </c>
      <c r="U26" s="3163"/>
      <c r="V26" s="3163">
        <v>1</v>
      </c>
      <c r="W26" s="3163" t="s">
        <v>5005</v>
      </c>
      <c r="X26" s="3163" t="s">
        <v>5006</v>
      </c>
      <c r="Y26" s="871">
        <f>Z26/1000</f>
        <v>1400</v>
      </c>
      <c r="Z26" s="3692">
        <f>Q26*S26*V26</f>
        <v>1400000</v>
      </c>
      <c r="AA26" s="547"/>
      <c r="AB26" s="547"/>
      <c r="AC26" s="3019"/>
    </row>
    <row r="27" spans="1:29" s="1925" customFormat="1" ht="18.95" customHeight="1">
      <c r="A27" s="540"/>
      <c r="B27" s="3022"/>
      <c r="C27" s="4112"/>
      <c r="D27" s="1907"/>
      <c r="E27" s="3569"/>
      <c r="F27" s="1523"/>
      <c r="G27" s="941"/>
      <c r="H27" s="949"/>
      <c r="I27" s="3515"/>
      <c r="J27" s="866" t="s">
        <v>5014</v>
      </c>
      <c r="K27" s="3163"/>
      <c r="L27" s="3163"/>
      <c r="M27" s="3163"/>
      <c r="N27" s="3164"/>
      <c r="O27" s="3163"/>
      <c r="P27" s="3163"/>
      <c r="Q27" s="869">
        <v>8</v>
      </c>
      <c r="R27" s="3163" t="s">
        <v>5003</v>
      </c>
      <c r="S27" s="3163">
        <v>200000</v>
      </c>
      <c r="T27" s="3163" t="s">
        <v>5004</v>
      </c>
      <c r="U27" s="3163"/>
      <c r="V27" s="3163">
        <v>2</v>
      </c>
      <c r="W27" s="3163" t="s">
        <v>5012</v>
      </c>
      <c r="X27" s="3163" t="s">
        <v>5006</v>
      </c>
      <c r="Y27" s="871">
        <f>Z27/1000</f>
        <v>3200</v>
      </c>
      <c r="Z27" s="3692">
        <f>Q27*S27*V27</f>
        <v>3200000</v>
      </c>
      <c r="AA27" s="547"/>
      <c r="AB27" s="547"/>
      <c r="AC27" s="3019"/>
    </row>
    <row r="28" spans="1:29" s="1925" customFormat="1" ht="18.95" customHeight="1">
      <c r="A28" s="540"/>
      <c r="B28" s="3022"/>
      <c r="C28" s="4112"/>
      <c r="D28" s="1907"/>
      <c r="E28" s="3569"/>
      <c r="F28" s="1523"/>
      <c r="G28" s="941"/>
      <c r="H28" s="949"/>
      <c r="I28" s="3515"/>
      <c r="J28" s="866" t="s">
        <v>5015</v>
      </c>
      <c r="K28" s="3163"/>
      <c r="L28" s="3163"/>
      <c r="M28" s="3163"/>
      <c r="N28" s="3164"/>
      <c r="O28" s="3163"/>
      <c r="P28" s="3163"/>
      <c r="Q28" s="869"/>
      <c r="R28" s="3163"/>
      <c r="S28" s="3163">
        <v>5000000</v>
      </c>
      <c r="T28" s="3163" t="s">
        <v>5004</v>
      </c>
      <c r="U28" s="3163"/>
      <c r="V28" s="730">
        <v>1</v>
      </c>
      <c r="W28" s="3525" t="s">
        <v>5008</v>
      </c>
      <c r="X28" s="3163" t="s">
        <v>5006</v>
      </c>
      <c r="Y28" s="871">
        <f>Z28/1000</f>
        <v>5000</v>
      </c>
      <c r="Z28" s="3692">
        <f>S28*V28</f>
        <v>5000000</v>
      </c>
      <c r="AA28" s="547"/>
      <c r="AB28" s="547"/>
      <c r="AC28" s="3019"/>
    </row>
    <row r="29" spans="1:29" s="1925" customFormat="1" ht="18.95" customHeight="1">
      <c r="A29" s="540"/>
      <c r="B29" s="3022"/>
      <c r="C29" s="4112"/>
      <c r="D29" s="548"/>
      <c r="E29" s="851" t="s">
        <v>5024</v>
      </c>
      <c r="F29" s="941">
        <f>+Y29</f>
        <v>64015</v>
      </c>
      <c r="G29" s="941">
        <v>65000</v>
      </c>
      <c r="H29" s="949">
        <f>F29-G29</f>
        <v>-985</v>
      </c>
      <c r="I29" s="3515"/>
      <c r="J29" s="866" t="s">
        <v>5016</v>
      </c>
      <c r="K29" s="3163"/>
      <c r="L29" s="3163"/>
      <c r="M29" s="3163"/>
      <c r="N29" s="3164"/>
      <c r="O29" s="3163"/>
      <c r="P29" s="3163"/>
      <c r="Q29" s="869"/>
      <c r="R29" s="3163"/>
      <c r="S29" s="3164">
        <v>64015000</v>
      </c>
      <c r="T29" s="3163" t="s">
        <v>5004</v>
      </c>
      <c r="U29" s="3163"/>
      <c r="V29" s="730">
        <v>1</v>
      </c>
      <c r="W29" s="3525" t="s">
        <v>5008</v>
      </c>
      <c r="X29" s="3165" t="s">
        <v>5006</v>
      </c>
      <c r="Y29" s="871">
        <f t="shared" ref="Y29:Y31" si="8">Z29/1000</f>
        <v>64015</v>
      </c>
      <c r="Z29" s="3692">
        <f>S29*V29</f>
        <v>64015000</v>
      </c>
      <c r="AA29" s="547"/>
      <c r="AB29" s="547"/>
      <c r="AC29" s="3019"/>
    </row>
    <row r="30" spans="1:29" s="1925" customFormat="1" ht="18.95" customHeight="1">
      <c r="A30" s="540"/>
      <c r="B30" s="3022"/>
      <c r="C30" s="4112"/>
      <c r="D30" s="548"/>
      <c r="E30" s="851" t="s">
        <v>5025</v>
      </c>
      <c r="F30" s="941">
        <f>+Y30</f>
        <v>985</v>
      </c>
      <c r="G30" s="941">
        <v>1300</v>
      </c>
      <c r="H30" s="949">
        <f t="shared" ref="H30" si="9">F30-G30</f>
        <v>-315</v>
      </c>
      <c r="I30" s="3515"/>
      <c r="J30" s="866" t="s">
        <v>5017</v>
      </c>
      <c r="K30" s="3163"/>
      <c r="L30" s="3163"/>
      <c r="M30" s="3163"/>
      <c r="N30" s="3164"/>
      <c r="O30" s="3163"/>
      <c r="P30" s="3163"/>
      <c r="Q30" s="869"/>
      <c r="R30" s="3163"/>
      <c r="S30" s="3163">
        <v>985000</v>
      </c>
      <c r="T30" s="3163" t="s">
        <v>5004</v>
      </c>
      <c r="U30" s="3163"/>
      <c r="V30" s="730">
        <v>1</v>
      </c>
      <c r="W30" s="3525" t="s">
        <v>5008</v>
      </c>
      <c r="X30" s="3165" t="s">
        <v>5006</v>
      </c>
      <c r="Y30" s="871">
        <f t="shared" si="8"/>
        <v>985</v>
      </c>
      <c r="Z30" s="3692">
        <f>S30*V30</f>
        <v>985000</v>
      </c>
      <c r="AA30" s="547"/>
      <c r="AB30" s="547"/>
      <c r="AC30" s="3019"/>
    </row>
    <row r="31" spans="1:29" s="1925" customFormat="1" ht="18.95" customHeight="1" thickBot="1">
      <c r="A31" s="540"/>
      <c r="B31" s="3022"/>
      <c r="C31" s="4113"/>
      <c r="D31" s="2681"/>
      <c r="E31" s="1427" t="s">
        <v>5026</v>
      </c>
      <c r="F31" s="1428">
        <f>+Y31</f>
        <v>1200</v>
      </c>
      <c r="G31" s="972">
        <v>1000</v>
      </c>
      <c r="H31" s="2062">
        <f>F31-G31</f>
        <v>200</v>
      </c>
      <c r="I31" s="3515"/>
      <c r="J31" s="1215" t="s">
        <v>5018</v>
      </c>
      <c r="K31" s="1050"/>
      <c r="L31" s="1050"/>
      <c r="M31" s="1050"/>
      <c r="N31" s="1430"/>
      <c r="O31" s="1050"/>
      <c r="P31" s="1050"/>
      <c r="Q31" s="1270">
        <v>10</v>
      </c>
      <c r="R31" s="1050" t="s">
        <v>5003</v>
      </c>
      <c r="S31" s="1050">
        <v>20000</v>
      </c>
      <c r="T31" s="1050" t="s">
        <v>5004</v>
      </c>
      <c r="U31" s="1050"/>
      <c r="V31" s="1050">
        <v>6</v>
      </c>
      <c r="W31" s="1050" t="s">
        <v>5012</v>
      </c>
      <c r="X31" s="2195" t="s">
        <v>5006</v>
      </c>
      <c r="Y31" s="871">
        <f t="shared" si="8"/>
        <v>1200</v>
      </c>
      <c r="Z31" s="3692">
        <f>Q31*S31*V31</f>
        <v>1200000</v>
      </c>
      <c r="AA31" s="547"/>
      <c r="AB31" s="547"/>
      <c r="AC31" s="3019"/>
    </row>
    <row r="32" spans="1:29" s="192" customFormat="1" ht="20.100000000000001" customHeight="1" thickBot="1">
      <c r="A32" s="574" t="s">
        <v>1341</v>
      </c>
      <c r="B32" s="1902"/>
      <c r="C32" s="1902"/>
      <c r="D32" s="1902"/>
      <c r="E32" s="1902"/>
      <c r="F32" s="2932">
        <f>+F33+F44+F50</f>
        <v>280940</v>
      </c>
      <c r="G32" s="821">
        <f>+G33+G44+G50</f>
        <v>180940</v>
      </c>
      <c r="H32" s="2655">
        <f>F32-G32</f>
        <v>100000</v>
      </c>
      <c r="I32" s="2082"/>
      <c r="J32" s="2204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5"/>
      <c r="V32" s="2205"/>
      <c r="W32" s="2205"/>
      <c r="X32" s="2205"/>
      <c r="Y32" s="2656"/>
      <c r="Z32" s="3469"/>
      <c r="AA32" s="308"/>
      <c r="AB32" s="547">
        <f>F32*1000000</f>
        <v>280940000000</v>
      </c>
      <c r="AC32" s="2678"/>
    </row>
    <row r="33" spans="1:29" s="806" customFormat="1" ht="20.100000000000001" customHeight="1" thickBot="1">
      <c r="A33" s="1903" t="s">
        <v>378</v>
      </c>
      <c r="B33" s="568" t="s">
        <v>1059</v>
      </c>
      <c r="C33" s="569"/>
      <c r="D33" s="570"/>
      <c r="E33" s="571"/>
      <c r="F33" s="822">
        <f>+F34</f>
        <v>0</v>
      </c>
      <c r="G33" s="822">
        <f>+G34</f>
        <v>100000</v>
      </c>
      <c r="H33" s="573">
        <f t="shared" ref="H33:H34" si="10">F33-G33</f>
        <v>-100000</v>
      </c>
      <c r="I33" s="840"/>
      <c r="J33" s="574"/>
      <c r="K33" s="575"/>
      <c r="L33" s="2657"/>
      <c r="M33" s="2657"/>
      <c r="N33" s="2657"/>
      <c r="O33" s="575"/>
      <c r="P33" s="575"/>
      <c r="Q33" s="575"/>
      <c r="R33" s="575"/>
      <c r="S33" s="575"/>
      <c r="T33" s="575"/>
      <c r="U33" s="575"/>
      <c r="V33" s="575"/>
      <c r="W33" s="575"/>
      <c r="X33" s="576"/>
      <c r="Y33" s="2658"/>
      <c r="Z33" s="3693"/>
      <c r="AA33" s="2679"/>
      <c r="AB33" s="547">
        <f t="shared" ref="AB33:AB35" si="11">F33*1000000</f>
        <v>0</v>
      </c>
      <c r="AC33" s="2680"/>
    </row>
    <row r="34" spans="1:29" s="1875" customFormat="1" ht="20.100000000000001" customHeight="1" thickBot="1">
      <c r="A34" s="540"/>
      <c r="B34" s="541"/>
      <c r="C34" s="3926" t="s">
        <v>1990</v>
      </c>
      <c r="D34" s="3927"/>
      <c r="E34" s="3928"/>
      <c r="F34" s="823">
        <f>F35</f>
        <v>0</v>
      </c>
      <c r="G34" s="823">
        <f>G35</f>
        <v>100000</v>
      </c>
      <c r="H34" s="1332">
        <f t="shared" si="10"/>
        <v>-100000</v>
      </c>
      <c r="I34" s="2082"/>
      <c r="J34" s="580"/>
      <c r="K34" s="2072"/>
      <c r="L34" s="2072"/>
      <c r="M34" s="2072"/>
      <c r="N34" s="2072"/>
      <c r="O34" s="2072"/>
      <c r="P34" s="2072"/>
      <c r="Q34" s="2072"/>
      <c r="R34" s="2072"/>
      <c r="S34" s="2072"/>
      <c r="T34" s="2072"/>
      <c r="U34" s="2072"/>
      <c r="V34" s="2072"/>
      <c r="W34" s="2072"/>
      <c r="X34" s="581"/>
      <c r="Y34" s="582"/>
      <c r="Z34" s="3472"/>
      <c r="AA34" s="547"/>
      <c r="AB34" s="547">
        <f t="shared" si="11"/>
        <v>0</v>
      </c>
      <c r="AC34" s="2082"/>
    </row>
    <row r="35" spans="1:29" s="1875" customFormat="1" ht="20.100000000000001" hidden="1" customHeight="1">
      <c r="A35" s="540"/>
      <c r="B35" s="541"/>
      <c r="C35" s="1904"/>
      <c r="D35" s="3906" t="s">
        <v>1990</v>
      </c>
      <c r="E35" s="3907"/>
      <c r="F35" s="598">
        <f>SUM(F36:F43)</f>
        <v>0</v>
      </c>
      <c r="G35" s="3158">
        <f>SUM(G36:G43)</f>
        <v>100000</v>
      </c>
      <c r="H35" s="627">
        <f>F35-G35</f>
        <v>-100000</v>
      </c>
      <c r="I35" s="1881">
        <f>G35-H35</f>
        <v>200000</v>
      </c>
      <c r="J35" s="538"/>
      <c r="K35" s="2068"/>
      <c r="L35" s="2068"/>
      <c r="M35" s="2068"/>
      <c r="N35" s="2068"/>
      <c r="O35" s="2068"/>
      <c r="P35" s="2068"/>
      <c r="Q35" s="2068"/>
      <c r="R35" s="539"/>
      <c r="S35" s="2068"/>
      <c r="T35" s="2068"/>
      <c r="U35" s="2068"/>
      <c r="V35" s="2068"/>
      <c r="W35" s="2068"/>
      <c r="X35" s="585"/>
      <c r="Y35" s="599"/>
      <c r="Z35" s="3472"/>
      <c r="AA35" s="547"/>
      <c r="AB35" s="547">
        <f t="shared" si="11"/>
        <v>0</v>
      </c>
      <c r="AC35" s="2082"/>
    </row>
    <row r="36" spans="1:29" s="1875" customFormat="1" ht="20.100000000000001" hidden="1" customHeight="1">
      <c r="A36" s="540"/>
      <c r="B36" s="541"/>
      <c r="C36" s="4112"/>
      <c r="D36" s="2082"/>
      <c r="E36" s="1906" t="s">
        <v>2133</v>
      </c>
      <c r="F36" s="956"/>
      <c r="G36" s="824">
        <v>22500</v>
      </c>
      <c r="H36" s="1320">
        <f>F36-G36</f>
        <v>-22500</v>
      </c>
      <c r="I36" s="2082"/>
      <c r="J36" s="1566" t="s">
        <v>4035</v>
      </c>
      <c r="K36" s="2082"/>
      <c r="L36" s="1326"/>
      <c r="M36" s="1326"/>
      <c r="N36" s="608"/>
      <c r="O36" s="1326"/>
      <c r="P36" s="1326"/>
      <c r="Q36" s="1344"/>
      <c r="R36" s="1326"/>
      <c r="S36" s="608"/>
      <c r="T36" s="1326"/>
      <c r="U36" s="1326"/>
      <c r="V36" s="1326"/>
      <c r="W36" s="1326"/>
      <c r="X36" s="1559" t="s">
        <v>4032</v>
      </c>
      <c r="Y36" s="490">
        <v>0</v>
      </c>
      <c r="Z36" s="3600"/>
      <c r="AA36" s="547"/>
      <c r="AB36" s="547"/>
      <c r="AC36" s="2082"/>
    </row>
    <row r="37" spans="1:29" s="1875" customFormat="1" ht="20.100000000000001" hidden="1" customHeight="1">
      <c r="A37" s="540"/>
      <c r="B37" s="541"/>
      <c r="C37" s="4112"/>
      <c r="D37" s="548"/>
      <c r="E37" s="624" t="s">
        <v>2136</v>
      </c>
      <c r="F37" s="941"/>
      <c r="G37" s="824">
        <v>1000</v>
      </c>
      <c r="H37" s="551">
        <f>F37-G37</f>
        <v>-1000</v>
      </c>
      <c r="I37" s="2082"/>
      <c r="J37" s="472" t="s">
        <v>4034</v>
      </c>
      <c r="K37" s="473"/>
      <c r="L37" s="473"/>
      <c r="M37" s="473"/>
      <c r="N37" s="474"/>
      <c r="O37" s="473"/>
      <c r="P37" s="473"/>
      <c r="Q37" s="475"/>
      <c r="R37" s="473"/>
      <c r="S37" s="474"/>
      <c r="T37" s="473"/>
      <c r="U37" s="473"/>
      <c r="V37" s="473"/>
      <c r="W37" s="473"/>
      <c r="X37" s="542" t="s">
        <v>2127</v>
      </c>
      <c r="Y37" s="483">
        <f>Z37/1000</f>
        <v>0</v>
      </c>
      <c r="Z37" s="3221">
        <f>S37*V37</f>
        <v>0</v>
      </c>
      <c r="AA37" s="547"/>
      <c r="AB37" s="547"/>
      <c r="AC37" s="2082"/>
    </row>
    <row r="38" spans="1:29" s="1875" customFormat="1" ht="20.100000000000001" hidden="1" customHeight="1">
      <c r="A38" s="540"/>
      <c r="B38" s="541"/>
      <c r="C38" s="4112"/>
      <c r="D38" s="548"/>
      <c r="E38" s="624" t="s">
        <v>2137</v>
      </c>
      <c r="F38" s="941"/>
      <c r="G38" s="824">
        <v>1000</v>
      </c>
      <c r="H38" s="551">
        <f>F38-G38</f>
        <v>-1000</v>
      </c>
      <c r="I38" s="2082"/>
      <c r="J38" s="472" t="s">
        <v>4034</v>
      </c>
      <c r="K38" s="473"/>
      <c r="L38" s="473"/>
      <c r="M38" s="473"/>
      <c r="N38" s="474"/>
      <c r="O38" s="473"/>
      <c r="P38" s="473"/>
      <c r="Q38" s="475"/>
      <c r="R38" s="473"/>
      <c r="S38" s="473"/>
      <c r="T38" s="473"/>
      <c r="U38" s="473"/>
      <c r="V38" s="504"/>
      <c r="W38" s="2075"/>
      <c r="X38" s="542" t="s">
        <v>2127</v>
      </c>
      <c r="Y38" s="483">
        <f>Z38/1000</f>
        <v>0</v>
      </c>
      <c r="Z38" s="3221">
        <f>S38*V38</f>
        <v>0</v>
      </c>
      <c r="AA38" s="547"/>
      <c r="AB38" s="547"/>
      <c r="AC38" s="2082"/>
    </row>
    <row r="39" spans="1:29" s="1875" customFormat="1" ht="20.100000000000001" hidden="1" customHeight="1">
      <c r="A39" s="540"/>
      <c r="B39" s="541"/>
      <c r="C39" s="4112"/>
      <c r="D39" s="1907"/>
      <c r="E39" s="1908" t="s">
        <v>2138</v>
      </c>
      <c r="F39" s="941"/>
      <c r="G39" s="824">
        <v>10000</v>
      </c>
      <c r="H39" s="551">
        <f t="shared" ref="H39" si="12">F39-G39</f>
        <v>-10000</v>
      </c>
      <c r="I39" s="2082"/>
      <c r="J39" s="472" t="s">
        <v>4034</v>
      </c>
      <c r="K39" s="472"/>
      <c r="L39" s="473"/>
      <c r="M39" s="473"/>
      <c r="N39" s="473"/>
      <c r="O39" s="474"/>
      <c r="P39" s="473"/>
      <c r="Q39" s="475"/>
      <c r="R39" s="473"/>
      <c r="S39" s="473"/>
      <c r="T39" s="473"/>
      <c r="U39" s="473"/>
      <c r="V39" s="473"/>
      <c r="W39" s="473"/>
      <c r="X39" s="542" t="s">
        <v>370</v>
      </c>
      <c r="Y39" s="483">
        <f>Z39/1000</f>
        <v>0</v>
      </c>
      <c r="Z39" s="3221">
        <f>Q39*S39*V39</f>
        <v>0</v>
      </c>
      <c r="AA39" s="547"/>
      <c r="AB39" s="547"/>
      <c r="AC39" s="2082"/>
    </row>
    <row r="40" spans="1:29" s="1875" customFormat="1" ht="20.100000000000001" hidden="1" customHeight="1">
      <c r="A40" s="540"/>
      <c r="B40" s="541"/>
      <c r="C40" s="4112"/>
      <c r="D40" s="1907"/>
      <c r="E40" s="1908" t="s">
        <v>2140</v>
      </c>
      <c r="F40" s="941"/>
      <c r="G40" s="824">
        <v>11200</v>
      </c>
      <c r="H40" s="551">
        <f t="shared" ref="H40:H42" si="13">F40-G40</f>
        <v>-11200</v>
      </c>
      <c r="I40" s="2082"/>
      <c r="J40" s="472" t="s">
        <v>4034</v>
      </c>
      <c r="K40" s="473"/>
      <c r="L40" s="473"/>
      <c r="M40" s="473"/>
      <c r="N40" s="474"/>
      <c r="O40" s="473"/>
      <c r="P40" s="473"/>
      <c r="Q40" s="475"/>
      <c r="R40" s="473"/>
      <c r="S40" s="474"/>
      <c r="T40" s="473"/>
      <c r="U40" s="473"/>
      <c r="V40" s="473"/>
      <c r="W40" s="473"/>
      <c r="X40" s="542" t="s">
        <v>4032</v>
      </c>
      <c r="Y40" s="483">
        <v>0</v>
      </c>
      <c r="Z40" s="3221"/>
      <c r="AA40" s="547"/>
      <c r="AB40" s="547"/>
      <c r="AC40" s="2082"/>
    </row>
    <row r="41" spans="1:29" s="1875" customFormat="1" ht="20.100000000000001" hidden="1" customHeight="1">
      <c r="A41" s="540"/>
      <c r="B41" s="541"/>
      <c r="C41" s="4112"/>
      <c r="D41" s="548"/>
      <c r="E41" s="624" t="s">
        <v>2122</v>
      </c>
      <c r="F41" s="941"/>
      <c r="G41" s="824">
        <v>50000</v>
      </c>
      <c r="H41" s="551">
        <f>F41-G41</f>
        <v>-50000</v>
      </c>
      <c r="I41" s="2082"/>
      <c r="J41" s="472" t="s">
        <v>4034</v>
      </c>
      <c r="K41" s="473"/>
      <c r="L41" s="473"/>
      <c r="M41" s="473"/>
      <c r="N41" s="474"/>
      <c r="O41" s="473"/>
      <c r="P41" s="473"/>
      <c r="Q41" s="475"/>
      <c r="R41" s="473"/>
      <c r="S41" s="474"/>
      <c r="T41" s="473"/>
      <c r="U41" s="473"/>
      <c r="V41" s="504"/>
      <c r="W41" s="2075"/>
      <c r="X41" s="542" t="s">
        <v>2127</v>
      </c>
      <c r="Y41" s="483">
        <f t="shared" ref="Y41:Y43" si="14">Z41/1000</f>
        <v>0</v>
      </c>
      <c r="Z41" s="3221">
        <f>S41*V41</f>
        <v>0</v>
      </c>
      <c r="AA41" s="547"/>
      <c r="AB41" s="547"/>
      <c r="AC41" s="2082"/>
    </row>
    <row r="42" spans="1:29" s="1875" customFormat="1" ht="20.100000000000001" hidden="1" customHeight="1">
      <c r="A42" s="540"/>
      <c r="B42" s="541"/>
      <c r="C42" s="4112"/>
      <c r="D42" s="548"/>
      <c r="E42" s="624" t="s">
        <v>2141</v>
      </c>
      <c r="F42" s="941"/>
      <c r="G42" s="824">
        <v>3300</v>
      </c>
      <c r="H42" s="551">
        <f t="shared" si="13"/>
        <v>-3300</v>
      </c>
      <c r="I42" s="2082"/>
      <c r="J42" s="472" t="s">
        <v>4034</v>
      </c>
      <c r="K42" s="473"/>
      <c r="L42" s="473"/>
      <c r="M42" s="473"/>
      <c r="N42" s="474"/>
      <c r="O42" s="473"/>
      <c r="P42" s="473"/>
      <c r="Q42" s="475"/>
      <c r="R42" s="473"/>
      <c r="S42" s="473"/>
      <c r="T42" s="473"/>
      <c r="U42" s="473"/>
      <c r="V42" s="504"/>
      <c r="W42" s="2075"/>
      <c r="X42" s="542" t="s">
        <v>2127</v>
      </c>
      <c r="Y42" s="483">
        <f t="shared" si="14"/>
        <v>0</v>
      </c>
      <c r="Z42" s="3221">
        <f>S42*V42</f>
        <v>0</v>
      </c>
      <c r="AA42" s="547"/>
      <c r="AB42" s="547"/>
      <c r="AC42" s="2082"/>
    </row>
    <row r="43" spans="1:29" s="1875" customFormat="1" ht="20.100000000000001" hidden="1" customHeight="1" thickBot="1">
      <c r="A43" s="540"/>
      <c r="B43" s="541"/>
      <c r="C43" s="4113"/>
      <c r="D43" s="2681"/>
      <c r="E43" s="638" t="s">
        <v>2142</v>
      </c>
      <c r="F43" s="1428"/>
      <c r="G43" s="823">
        <v>1000</v>
      </c>
      <c r="H43" s="1332">
        <f>F43-G43</f>
        <v>-1000</v>
      </c>
      <c r="I43" s="2082"/>
      <c r="J43" s="472" t="s">
        <v>4034</v>
      </c>
      <c r="K43" s="640"/>
      <c r="L43" s="640"/>
      <c r="M43" s="640"/>
      <c r="N43" s="641"/>
      <c r="O43" s="640"/>
      <c r="P43" s="640"/>
      <c r="Q43" s="642"/>
      <c r="R43" s="640"/>
      <c r="S43" s="640"/>
      <c r="T43" s="640"/>
      <c r="U43" s="640"/>
      <c r="V43" s="640"/>
      <c r="W43" s="640"/>
      <c r="X43" s="1578" t="s">
        <v>2127</v>
      </c>
      <c r="Y43" s="483">
        <f t="shared" si="14"/>
        <v>0</v>
      </c>
      <c r="Z43" s="3221">
        <f>Q43*S43*V43</f>
        <v>0</v>
      </c>
      <c r="AA43" s="547"/>
      <c r="AB43" s="547"/>
      <c r="AC43" s="2082"/>
    </row>
    <row r="44" spans="1:29" s="806" customFormat="1" ht="20.100000000000001" customHeight="1" thickBot="1">
      <c r="A44" s="1903" t="s">
        <v>378</v>
      </c>
      <c r="B44" s="568" t="s">
        <v>1142</v>
      </c>
      <c r="C44" s="569"/>
      <c r="D44" s="570"/>
      <c r="E44" s="571"/>
      <c r="F44" s="822">
        <f>+F45</f>
        <v>80940</v>
      </c>
      <c r="G44" s="822">
        <f>+G45</f>
        <v>80940</v>
      </c>
      <c r="H44" s="573">
        <f t="shared" ref="H44:H46" si="15">F44-G44</f>
        <v>0</v>
      </c>
      <c r="I44" s="840"/>
      <c r="J44" s="574"/>
      <c r="K44" s="575"/>
      <c r="L44" s="2657"/>
      <c r="M44" s="2657"/>
      <c r="N44" s="2657"/>
      <c r="O44" s="575"/>
      <c r="P44" s="575"/>
      <c r="Q44" s="575"/>
      <c r="R44" s="575"/>
      <c r="S44" s="575"/>
      <c r="T44" s="575"/>
      <c r="U44" s="575"/>
      <c r="V44" s="575"/>
      <c r="W44" s="575"/>
      <c r="X44" s="576"/>
      <c r="Y44" s="2658"/>
      <c r="Z44" s="3693"/>
      <c r="AA44" s="2679"/>
      <c r="AB44" s="547">
        <f t="shared" ref="AB44:AB46" si="16">F44*1000000</f>
        <v>80940000000</v>
      </c>
      <c r="AC44" s="2680"/>
    </row>
    <row r="45" spans="1:29" s="1875" customFormat="1" ht="20.100000000000001" customHeight="1">
      <c r="A45" s="540"/>
      <c r="B45" s="541"/>
      <c r="C45" s="3926" t="s">
        <v>1991</v>
      </c>
      <c r="D45" s="3927"/>
      <c r="E45" s="3928"/>
      <c r="F45" s="823">
        <f>+F46</f>
        <v>80940</v>
      </c>
      <c r="G45" s="823">
        <f>+G46</f>
        <v>80940</v>
      </c>
      <c r="H45" s="1332">
        <f t="shared" si="15"/>
        <v>0</v>
      </c>
      <c r="I45" s="2082"/>
      <c r="J45" s="580"/>
      <c r="K45" s="2072"/>
      <c r="L45" s="2072"/>
      <c r="M45" s="2072"/>
      <c r="N45" s="2072"/>
      <c r="O45" s="2072"/>
      <c r="P45" s="2072"/>
      <c r="Q45" s="2072"/>
      <c r="R45" s="2072"/>
      <c r="S45" s="2072"/>
      <c r="T45" s="2072"/>
      <c r="U45" s="2072"/>
      <c r="V45" s="2072"/>
      <c r="W45" s="2072"/>
      <c r="X45" s="581"/>
      <c r="Y45" s="582"/>
      <c r="Z45" s="3472"/>
      <c r="AA45" s="547"/>
      <c r="AB45" s="547">
        <f t="shared" si="16"/>
        <v>80940000000</v>
      </c>
      <c r="AC45" s="2082"/>
    </row>
    <row r="46" spans="1:29" s="3033" customFormat="1" ht="20.100000000000001" customHeight="1">
      <c r="A46" s="540"/>
      <c r="B46" s="3036"/>
      <c r="C46" s="542"/>
      <c r="D46" s="3906" t="s">
        <v>1992</v>
      </c>
      <c r="E46" s="3907"/>
      <c r="F46" s="598">
        <f>SUM(F47:F49)</f>
        <v>80940</v>
      </c>
      <c r="G46" s="598">
        <f>SUM(G47:G49)</f>
        <v>80940</v>
      </c>
      <c r="H46" s="627">
        <f t="shared" si="15"/>
        <v>0</v>
      </c>
      <c r="I46" s="1881">
        <f>G46-H46</f>
        <v>80940</v>
      </c>
      <c r="J46" s="538"/>
      <c r="K46" s="3028"/>
      <c r="L46" s="3028"/>
      <c r="M46" s="3028"/>
      <c r="N46" s="3028"/>
      <c r="O46" s="3028"/>
      <c r="P46" s="3028"/>
      <c r="Q46" s="3028"/>
      <c r="R46" s="539"/>
      <c r="S46" s="3028"/>
      <c r="T46" s="3028"/>
      <c r="U46" s="3028"/>
      <c r="V46" s="3028"/>
      <c r="W46" s="3028"/>
      <c r="X46" s="585"/>
      <c r="Y46" s="599"/>
      <c r="Z46" s="3472"/>
      <c r="AA46" s="547"/>
      <c r="AB46" s="547">
        <f t="shared" si="16"/>
        <v>80940000000</v>
      </c>
    </row>
    <row r="47" spans="1:29" s="1875" customFormat="1" ht="20.100000000000001" customHeight="1">
      <c r="A47" s="540"/>
      <c r="B47" s="541"/>
      <c r="C47" s="542"/>
      <c r="D47" s="1905"/>
      <c r="E47" s="1906" t="s">
        <v>2133</v>
      </c>
      <c r="F47" s="956">
        <v>80940</v>
      </c>
      <c r="G47" s="824">
        <v>80940</v>
      </c>
      <c r="H47" s="1320"/>
      <c r="I47" s="2082"/>
      <c r="J47" s="1566" t="s">
        <v>2123</v>
      </c>
      <c r="K47" s="2082"/>
      <c r="L47" s="1326"/>
      <c r="M47" s="1326"/>
      <c r="N47" s="608"/>
      <c r="O47" s="1326"/>
      <c r="P47" s="1326"/>
      <c r="Q47" s="1344"/>
      <c r="R47" s="1326"/>
      <c r="S47" s="608"/>
      <c r="T47" s="1326"/>
      <c r="U47" s="1326"/>
      <c r="V47" s="1326"/>
      <c r="W47" s="1326"/>
      <c r="X47" s="1559"/>
      <c r="Y47" s="490">
        <f>SUM(Y48:Y49)</f>
        <v>80940.008000000002</v>
      </c>
      <c r="Z47" s="3600"/>
      <c r="AA47" s="547"/>
      <c r="AB47" s="547"/>
      <c r="AC47" s="2082"/>
    </row>
    <row r="48" spans="1:29" s="1875" customFormat="1" ht="20.100000000000001" customHeight="1">
      <c r="A48" s="540"/>
      <c r="B48" s="541"/>
      <c r="C48" s="542"/>
      <c r="D48" s="1907"/>
      <c r="E48" s="1908"/>
      <c r="F48" s="1917"/>
      <c r="G48" s="824"/>
      <c r="H48" s="551"/>
      <c r="I48" s="2082"/>
      <c r="J48" s="472" t="s">
        <v>4049</v>
      </c>
      <c r="K48" s="473"/>
      <c r="L48" s="473"/>
      <c r="M48" s="473"/>
      <c r="N48" s="474"/>
      <c r="O48" s="473"/>
      <c r="P48" s="473"/>
      <c r="Q48" s="475">
        <v>3</v>
      </c>
      <c r="R48" s="473" t="s">
        <v>4050</v>
      </c>
      <c r="S48" s="474">
        <v>1950166.6666666667</v>
      </c>
      <c r="T48" s="473" t="s">
        <v>4051</v>
      </c>
      <c r="U48" s="473"/>
      <c r="V48" s="473">
        <v>4</v>
      </c>
      <c r="W48" s="473" t="s">
        <v>4052</v>
      </c>
      <c r="X48" s="542" t="s">
        <v>4053</v>
      </c>
      <c r="Y48" s="483">
        <f>Z48/1000</f>
        <v>23402</v>
      </c>
      <c r="Z48" s="3221">
        <f>Q48*S48*V48</f>
        <v>23402000</v>
      </c>
      <c r="AA48" s="547"/>
      <c r="AB48" s="547"/>
      <c r="AC48" s="2082"/>
    </row>
    <row r="49" spans="1:30" s="1875" customFormat="1" ht="20.100000000000001" customHeight="1" thickBot="1">
      <c r="A49" s="540"/>
      <c r="B49" s="541"/>
      <c r="C49" s="542"/>
      <c r="D49" s="1907"/>
      <c r="E49" s="1909"/>
      <c r="F49" s="1917"/>
      <c r="G49" s="824"/>
      <c r="H49" s="551"/>
      <c r="I49" s="2082"/>
      <c r="J49" s="472" t="s">
        <v>4054</v>
      </c>
      <c r="K49" s="473"/>
      <c r="L49" s="473"/>
      <c r="M49" s="473"/>
      <c r="N49" s="474"/>
      <c r="O49" s="473"/>
      <c r="P49" s="473"/>
      <c r="Q49" s="475">
        <v>5</v>
      </c>
      <c r="R49" s="473" t="s">
        <v>4050</v>
      </c>
      <c r="S49" s="474">
        <v>1917933.3333333333</v>
      </c>
      <c r="T49" s="473" t="s">
        <v>4051</v>
      </c>
      <c r="U49" s="473"/>
      <c r="V49" s="473">
        <v>6</v>
      </c>
      <c r="W49" s="473" t="s">
        <v>4052</v>
      </c>
      <c r="X49" s="542" t="s">
        <v>4053</v>
      </c>
      <c r="Y49" s="483">
        <f>Z49/1000</f>
        <v>57538.008000000002</v>
      </c>
      <c r="Z49" s="3694">
        <f>(Q49*S49*V49)+8</f>
        <v>57538008</v>
      </c>
      <c r="AA49" s="547"/>
      <c r="AB49" s="547"/>
      <c r="AC49" s="2082"/>
    </row>
    <row r="50" spans="1:30" s="3105" customFormat="1" ht="20.100000000000001" customHeight="1" thickBot="1">
      <c r="A50" s="1879"/>
      <c r="B50" s="568" t="s">
        <v>1054</v>
      </c>
      <c r="C50" s="569"/>
      <c r="D50" s="570"/>
      <c r="E50" s="571"/>
      <c r="F50" s="822">
        <f>+F51</f>
        <v>200000</v>
      </c>
      <c r="G50" s="822">
        <f>+G51</f>
        <v>0</v>
      </c>
      <c r="H50" s="573">
        <f t="shared" ref="H50:H52" si="17">F50-G50</f>
        <v>200000</v>
      </c>
      <c r="I50" s="840"/>
      <c r="J50" s="574"/>
      <c r="K50" s="575"/>
      <c r="L50" s="2657"/>
      <c r="M50" s="2657"/>
      <c r="N50" s="2657"/>
      <c r="O50" s="575"/>
      <c r="P50" s="575"/>
      <c r="Q50" s="575"/>
      <c r="R50" s="575"/>
      <c r="S50" s="575"/>
      <c r="T50" s="575"/>
      <c r="U50" s="575"/>
      <c r="V50" s="575"/>
      <c r="W50" s="575"/>
      <c r="X50" s="3681"/>
      <c r="Y50" s="2658"/>
      <c r="Z50" s="3691"/>
      <c r="AA50" s="547"/>
      <c r="AB50" s="547"/>
      <c r="AC50" s="3684"/>
    </row>
    <row r="51" spans="1:30" s="3105" customFormat="1" ht="20.100000000000001" customHeight="1">
      <c r="A51" s="1879"/>
      <c r="B51" s="3695"/>
      <c r="C51" s="3927" t="s">
        <v>6100</v>
      </c>
      <c r="D51" s="3927"/>
      <c r="E51" s="3928"/>
      <c r="F51" s="823">
        <f>+F52</f>
        <v>200000</v>
      </c>
      <c r="G51" s="823">
        <f>+G52</f>
        <v>0</v>
      </c>
      <c r="H51" s="1332">
        <f t="shared" si="17"/>
        <v>200000</v>
      </c>
      <c r="I51" s="3684"/>
      <c r="J51" s="580"/>
      <c r="K51" s="3683"/>
      <c r="L51" s="3683"/>
      <c r="M51" s="3683"/>
      <c r="N51" s="3683"/>
      <c r="O51" s="3683"/>
      <c r="P51" s="3683"/>
      <c r="Q51" s="3683"/>
      <c r="R51" s="3683"/>
      <c r="S51" s="3683"/>
      <c r="T51" s="3683"/>
      <c r="U51" s="3683"/>
      <c r="V51" s="3683"/>
      <c r="W51" s="3683"/>
      <c r="X51" s="581"/>
      <c r="Y51" s="582"/>
      <c r="Z51" s="3472"/>
      <c r="AA51" s="547"/>
      <c r="AB51" s="547"/>
      <c r="AC51" s="3684"/>
    </row>
    <row r="52" spans="1:30" s="3105" customFormat="1" ht="20.100000000000001" customHeight="1">
      <c r="A52" s="1879"/>
      <c r="B52" s="3687"/>
      <c r="C52" s="542"/>
      <c r="D52" s="3906" t="s">
        <v>6101</v>
      </c>
      <c r="E52" s="3907"/>
      <c r="F52" s="3158">
        <f>F53</f>
        <v>200000</v>
      </c>
      <c r="G52" s="3158">
        <f>SUM(G58:G59)</f>
        <v>0</v>
      </c>
      <c r="H52" s="627">
        <f t="shared" si="17"/>
        <v>200000</v>
      </c>
      <c r="I52" s="1881">
        <f>G52-H52</f>
        <v>-200000</v>
      </c>
      <c r="J52" s="538"/>
      <c r="K52" s="3680"/>
      <c r="L52" s="3680"/>
      <c r="M52" s="3680"/>
      <c r="N52" s="3680"/>
      <c r="O52" s="3680"/>
      <c r="P52" s="3680"/>
      <c r="Q52" s="3680"/>
      <c r="R52" s="539"/>
      <c r="S52" s="3680"/>
      <c r="T52" s="3680"/>
      <c r="U52" s="3680"/>
      <c r="V52" s="3680"/>
      <c r="W52" s="3680"/>
      <c r="X52" s="585"/>
      <c r="Y52" s="599"/>
      <c r="Z52" s="3472"/>
      <c r="AA52" s="547"/>
      <c r="AB52" s="547"/>
      <c r="AC52" s="3684"/>
    </row>
    <row r="53" spans="1:30" s="3105" customFormat="1" ht="20.100000000000001" customHeight="1">
      <c r="A53" s="1879"/>
      <c r="B53" s="3687"/>
      <c r="C53" s="542"/>
      <c r="D53" s="506"/>
      <c r="E53" s="3696" t="s">
        <v>16</v>
      </c>
      <c r="F53" s="3173">
        <f>Y53</f>
        <v>200000</v>
      </c>
      <c r="G53" s="824">
        <v>0</v>
      </c>
      <c r="H53" s="1320">
        <f>F53-G53</f>
        <v>200000</v>
      </c>
      <c r="I53" s="3684"/>
      <c r="J53" s="3685" t="s">
        <v>224</v>
      </c>
      <c r="K53" s="3684"/>
      <c r="L53" s="3684"/>
      <c r="M53" s="3684"/>
      <c r="N53" s="3684"/>
      <c r="O53" s="3684"/>
      <c r="P53" s="3684"/>
      <c r="Q53" s="556"/>
      <c r="R53" s="3682"/>
      <c r="S53" s="3108"/>
      <c r="T53" s="3686"/>
      <c r="U53" s="3686"/>
      <c r="V53" s="3686"/>
      <c r="W53" s="3686"/>
      <c r="X53" s="2030"/>
      <c r="Y53" s="554">
        <f t="shared" ref="Y53:Y58" si="18">(Z53)/1000</f>
        <v>200000</v>
      </c>
      <c r="Z53" s="555">
        <f>SUM(Z54:Z59)</f>
        <v>200000000</v>
      </c>
      <c r="AA53" s="547"/>
      <c r="AB53" s="547"/>
      <c r="AC53" s="3684"/>
    </row>
    <row r="54" spans="1:30" s="3105" customFormat="1" ht="20.100000000000001" customHeight="1">
      <c r="A54" s="1879"/>
      <c r="B54" s="3687"/>
      <c r="C54" s="542"/>
      <c r="D54" s="2020"/>
      <c r="E54" s="625"/>
      <c r="F54" s="824"/>
      <c r="G54" s="824"/>
      <c r="H54" s="551"/>
      <c r="I54" s="1881"/>
      <c r="J54" s="3685" t="s">
        <v>6102</v>
      </c>
      <c r="K54" s="3684"/>
      <c r="L54" s="3684"/>
      <c r="M54" s="3684"/>
      <c r="N54" s="3684"/>
      <c r="O54" s="3684"/>
      <c r="P54" s="3684"/>
      <c r="Q54" s="556"/>
      <c r="R54" s="3684"/>
      <c r="S54" s="3108">
        <v>50000000</v>
      </c>
      <c r="T54" s="3686" t="s">
        <v>4</v>
      </c>
      <c r="U54" s="3686"/>
      <c r="V54" s="3686">
        <v>1</v>
      </c>
      <c r="W54" s="3686" t="s">
        <v>226</v>
      </c>
      <c r="X54" s="2030" t="s">
        <v>5</v>
      </c>
      <c r="Y54" s="554">
        <f t="shared" si="18"/>
        <v>50000</v>
      </c>
      <c r="Z54" s="555">
        <f t="shared" ref="Z54:Z59" si="19">S54*V54</f>
        <v>50000000</v>
      </c>
      <c r="AA54" s="547"/>
      <c r="AB54" s="547"/>
      <c r="AC54" s="3684"/>
    </row>
    <row r="55" spans="1:30" s="3105" customFormat="1" ht="20.100000000000001" customHeight="1">
      <c r="A55" s="1879"/>
      <c r="B55" s="3687"/>
      <c r="C55" s="542"/>
      <c r="D55" s="2020"/>
      <c r="E55" s="625"/>
      <c r="F55" s="824"/>
      <c r="G55" s="824"/>
      <c r="H55" s="551"/>
      <c r="I55" s="1881"/>
      <c r="J55" s="3685" t="s">
        <v>6103</v>
      </c>
      <c r="K55" s="3684"/>
      <c r="L55" s="3684"/>
      <c r="M55" s="3684"/>
      <c r="N55" s="3684"/>
      <c r="O55" s="3684"/>
      <c r="P55" s="3684"/>
      <c r="Q55" s="556"/>
      <c r="R55" s="3684"/>
      <c r="S55" s="3108">
        <v>20000000</v>
      </c>
      <c r="T55" s="3686" t="s">
        <v>4</v>
      </c>
      <c r="U55" s="3686"/>
      <c r="V55" s="3686">
        <v>2</v>
      </c>
      <c r="W55" s="3686" t="s">
        <v>2222</v>
      </c>
      <c r="X55" s="2030" t="s">
        <v>5</v>
      </c>
      <c r="Y55" s="554">
        <f t="shared" si="18"/>
        <v>40000</v>
      </c>
      <c r="Z55" s="555">
        <f t="shared" si="19"/>
        <v>40000000</v>
      </c>
      <c r="AA55" s="547"/>
      <c r="AB55" s="547"/>
      <c r="AC55" s="3684"/>
    </row>
    <row r="56" spans="1:30" s="3105" customFormat="1" ht="20.100000000000001" customHeight="1">
      <c r="A56" s="1879"/>
      <c r="B56" s="3687"/>
      <c r="C56" s="542"/>
      <c r="D56" s="2020"/>
      <c r="E56" s="625"/>
      <c r="F56" s="824"/>
      <c r="G56" s="824"/>
      <c r="H56" s="551"/>
      <c r="I56" s="1881"/>
      <c r="J56" s="3685" t="s">
        <v>6104</v>
      </c>
      <c r="K56" s="3684"/>
      <c r="L56" s="3684"/>
      <c r="M56" s="3684"/>
      <c r="N56" s="3684"/>
      <c r="O56" s="3684"/>
      <c r="P56" s="3684"/>
      <c r="Q56" s="556"/>
      <c r="R56" s="3682"/>
      <c r="S56" s="3108">
        <v>400000</v>
      </c>
      <c r="T56" s="3686" t="s">
        <v>4</v>
      </c>
      <c r="U56" s="3686"/>
      <c r="V56" s="3686">
        <v>50</v>
      </c>
      <c r="W56" s="3686" t="s">
        <v>10</v>
      </c>
      <c r="X56" s="2030" t="s">
        <v>5</v>
      </c>
      <c r="Y56" s="554">
        <f t="shared" si="18"/>
        <v>20000</v>
      </c>
      <c r="Z56" s="555">
        <f t="shared" si="19"/>
        <v>20000000</v>
      </c>
      <c r="AA56" s="547"/>
      <c r="AB56" s="547"/>
      <c r="AC56" s="3684"/>
    </row>
    <row r="57" spans="1:30" s="3105" customFormat="1" ht="20.100000000000001" customHeight="1">
      <c r="A57" s="1879"/>
      <c r="B57" s="3687"/>
      <c r="C57" s="542"/>
      <c r="D57" s="2020"/>
      <c r="E57" s="625"/>
      <c r="F57" s="824"/>
      <c r="G57" s="824"/>
      <c r="H57" s="551"/>
      <c r="I57" s="1881"/>
      <c r="J57" s="3685" t="s">
        <v>6105</v>
      </c>
      <c r="K57" s="3684"/>
      <c r="L57" s="3684"/>
      <c r="M57" s="3684"/>
      <c r="N57" s="3684"/>
      <c r="O57" s="3684"/>
      <c r="P57" s="3684"/>
      <c r="Q57" s="556"/>
      <c r="R57" s="3682"/>
      <c r="S57" s="3108">
        <v>50000000</v>
      </c>
      <c r="T57" s="3686" t="s">
        <v>4</v>
      </c>
      <c r="U57" s="3686"/>
      <c r="V57" s="3686">
        <v>1</v>
      </c>
      <c r="W57" s="3686" t="s">
        <v>226</v>
      </c>
      <c r="X57" s="2030" t="s">
        <v>5</v>
      </c>
      <c r="Y57" s="554">
        <f t="shared" si="18"/>
        <v>50000</v>
      </c>
      <c r="Z57" s="555">
        <f t="shared" si="19"/>
        <v>50000000</v>
      </c>
      <c r="AA57" s="547"/>
      <c r="AB57" s="547"/>
      <c r="AC57" s="3684"/>
    </row>
    <row r="58" spans="1:30" s="3105" customFormat="1" ht="20.100000000000001" customHeight="1">
      <c r="A58" s="1879"/>
      <c r="B58" s="3687"/>
      <c r="C58" s="542"/>
      <c r="D58" s="1908"/>
      <c r="E58" s="3690"/>
      <c r="F58" s="1917"/>
      <c r="G58" s="824"/>
      <c r="H58" s="551"/>
      <c r="I58" s="3684"/>
      <c r="J58" s="3685" t="s">
        <v>6106</v>
      </c>
      <c r="K58" s="3684"/>
      <c r="L58" s="3684"/>
      <c r="M58" s="3684"/>
      <c r="N58" s="3684"/>
      <c r="O58" s="3684"/>
      <c r="P58" s="3684"/>
      <c r="Q58" s="556"/>
      <c r="R58" s="3684"/>
      <c r="S58" s="3108">
        <v>25000000</v>
      </c>
      <c r="T58" s="3686" t="s">
        <v>4</v>
      </c>
      <c r="U58" s="3686"/>
      <c r="V58" s="3686">
        <v>1</v>
      </c>
      <c r="W58" s="3686" t="s">
        <v>226</v>
      </c>
      <c r="X58" s="2030" t="s">
        <v>5</v>
      </c>
      <c r="Y58" s="554">
        <f t="shared" si="18"/>
        <v>25000</v>
      </c>
      <c r="Z58" s="555">
        <f t="shared" si="19"/>
        <v>25000000</v>
      </c>
      <c r="AA58" s="547"/>
      <c r="AB58" s="547"/>
      <c r="AC58" s="3684"/>
    </row>
    <row r="59" spans="1:30" s="3105" customFormat="1" ht="20.100000000000001" customHeight="1" thickBot="1">
      <c r="A59" s="1879"/>
      <c r="B59" s="3687"/>
      <c r="C59" s="542"/>
      <c r="D59" s="1908"/>
      <c r="E59" s="3690"/>
      <c r="F59" s="1917"/>
      <c r="G59" s="824"/>
      <c r="H59" s="551"/>
      <c r="I59" s="3684"/>
      <c r="J59" s="3685" t="s">
        <v>6107</v>
      </c>
      <c r="K59" s="3684"/>
      <c r="L59" s="3684"/>
      <c r="M59" s="3684"/>
      <c r="N59" s="3684"/>
      <c r="O59" s="3684"/>
      <c r="P59" s="3684"/>
      <c r="Q59" s="556"/>
      <c r="R59" s="3684"/>
      <c r="S59" s="3108">
        <v>15000000</v>
      </c>
      <c r="T59" s="3686" t="s">
        <v>4</v>
      </c>
      <c r="U59" s="3686"/>
      <c r="V59" s="3686">
        <v>1</v>
      </c>
      <c r="W59" s="3686" t="s">
        <v>226</v>
      </c>
      <c r="X59" s="2030" t="s">
        <v>5</v>
      </c>
      <c r="Y59" s="554">
        <f t="shared" ref="Y59" si="20">(Z59)/1000</f>
        <v>15000</v>
      </c>
      <c r="Z59" s="555">
        <f t="shared" si="19"/>
        <v>15000000</v>
      </c>
      <c r="AA59" s="547"/>
      <c r="AB59" s="547"/>
      <c r="AC59" s="3684"/>
    </row>
    <row r="60" spans="1:30" s="192" customFormat="1" ht="21" customHeight="1" thickBot="1">
      <c r="A60" s="574" t="s">
        <v>1330</v>
      </c>
      <c r="B60" s="1902"/>
      <c r="C60" s="1902"/>
      <c r="D60" s="1902"/>
      <c r="E60" s="1902"/>
      <c r="F60" s="821">
        <f>+F61+F208+F458+F500+F550</f>
        <v>32088559.999650002</v>
      </c>
      <c r="G60" s="821">
        <f>+G61+G208+G458+G500+G550</f>
        <v>32088560</v>
      </c>
      <c r="H60" s="2655">
        <f t="shared" si="0"/>
        <v>-3.4999847412109375E-4</v>
      </c>
      <c r="I60" s="557"/>
      <c r="J60" s="2204"/>
      <c r="K60" s="2205"/>
      <c r="L60" s="2205"/>
      <c r="M60" s="2205"/>
      <c r="N60" s="2205"/>
      <c r="O60" s="2205"/>
      <c r="P60" s="2205"/>
      <c r="Q60" s="2205"/>
      <c r="R60" s="2205"/>
      <c r="S60" s="2205"/>
      <c r="T60" s="2205"/>
      <c r="U60" s="2205"/>
      <c r="V60" s="2205"/>
      <c r="W60" s="2205"/>
      <c r="X60" s="2205"/>
      <c r="Y60" s="2656"/>
      <c r="Z60" s="2207"/>
      <c r="AA60" s="308"/>
      <c r="AB60" s="1891"/>
      <c r="AC60" s="1895"/>
      <c r="AD60" s="832"/>
    </row>
    <row r="61" spans="1:30" s="806" customFormat="1" ht="21" customHeight="1" thickBot="1">
      <c r="A61" s="1903" t="s">
        <v>48</v>
      </c>
      <c r="B61" s="568" t="s">
        <v>1055</v>
      </c>
      <c r="C61" s="569"/>
      <c r="D61" s="570"/>
      <c r="E61" s="571"/>
      <c r="F61" s="822">
        <f>+F62+F107+F117+F182+F156+F193+F204</f>
        <v>6807999.9996499997</v>
      </c>
      <c r="G61" s="822">
        <f>+G62+G107+G117+G182+G156+G193+G204</f>
        <v>6808000</v>
      </c>
      <c r="H61" s="573">
        <f t="shared" si="0"/>
        <v>-3.5000033676624298E-4</v>
      </c>
      <c r="I61" s="2682"/>
      <c r="J61" s="574"/>
      <c r="K61" s="575"/>
      <c r="L61" s="2657"/>
      <c r="M61" s="2657"/>
      <c r="N61" s="2657"/>
      <c r="O61" s="575"/>
      <c r="P61" s="575"/>
      <c r="Q61" s="575"/>
      <c r="R61" s="575"/>
      <c r="S61" s="575"/>
      <c r="T61" s="575"/>
      <c r="U61" s="575"/>
      <c r="V61" s="575"/>
      <c r="W61" s="575"/>
      <c r="X61" s="576"/>
      <c r="Y61" s="2658"/>
      <c r="Z61" s="2659"/>
      <c r="AA61" s="2679"/>
      <c r="AB61" s="1891"/>
      <c r="AC61" s="2677"/>
      <c r="AD61" s="833"/>
    </row>
    <row r="62" spans="1:30" s="1651" customFormat="1" ht="21" customHeight="1">
      <c r="A62" s="540"/>
      <c r="B62" s="541"/>
      <c r="C62" s="3926" t="s">
        <v>1291</v>
      </c>
      <c r="D62" s="3927"/>
      <c r="E62" s="3928"/>
      <c r="F62" s="823">
        <f>+F63+F67</f>
        <v>2424999.9996499997</v>
      </c>
      <c r="G62" s="823">
        <f>+G63+G67</f>
        <v>2425000</v>
      </c>
      <c r="H62" s="1332">
        <f t="shared" si="0"/>
        <v>-3.5000033676624298E-4</v>
      </c>
      <c r="I62" s="557"/>
      <c r="J62" s="580"/>
      <c r="K62" s="2072"/>
      <c r="L62" s="2072"/>
      <c r="M62" s="2072"/>
      <c r="N62" s="2072"/>
      <c r="O62" s="2072"/>
      <c r="P62" s="2072"/>
      <c r="Q62" s="2072"/>
      <c r="R62" s="2072"/>
      <c r="S62" s="2072"/>
      <c r="T62" s="2072"/>
      <c r="U62" s="2072"/>
      <c r="V62" s="2072"/>
      <c r="W62" s="2072"/>
      <c r="X62" s="581"/>
      <c r="Y62" s="582"/>
      <c r="Z62" s="595"/>
      <c r="AA62" s="547"/>
      <c r="AB62" s="1891">
        <f>F62</f>
        <v>2424999.9996499997</v>
      </c>
      <c r="AC62" s="1895"/>
      <c r="AD62" s="456"/>
    </row>
    <row r="63" spans="1:30" s="1651" customFormat="1" ht="21" customHeight="1">
      <c r="A63" s="540"/>
      <c r="B63" s="541"/>
      <c r="C63" s="542"/>
      <c r="D63" s="3906" t="s">
        <v>1292</v>
      </c>
      <c r="E63" s="3907"/>
      <c r="F63" s="598">
        <f>SUM(F64:F66)</f>
        <v>1200000</v>
      </c>
      <c r="G63" s="598">
        <f>SUM(G64:G66)</f>
        <v>1200000</v>
      </c>
      <c r="H63" s="627">
        <f t="shared" si="0"/>
        <v>0</v>
      </c>
      <c r="I63" s="626">
        <f>G63-H63</f>
        <v>1200000</v>
      </c>
      <c r="J63" s="538"/>
      <c r="K63" s="2068"/>
      <c r="L63" s="2068"/>
      <c r="M63" s="2068"/>
      <c r="N63" s="2068"/>
      <c r="O63" s="2068"/>
      <c r="P63" s="2068"/>
      <c r="Q63" s="2068"/>
      <c r="R63" s="539"/>
      <c r="S63" s="2068"/>
      <c r="T63" s="2068"/>
      <c r="U63" s="2068"/>
      <c r="V63" s="2068"/>
      <c r="W63" s="2068"/>
      <c r="X63" s="585"/>
      <c r="Y63" s="599"/>
      <c r="Z63" s="595"/>
      <c r="AA63" s="547"/>
      <c r="AB63" s="1891"/>
      <c r="AC63" s="1895"/>
      <c r="AD63" s="456"/>
    </row>
    <row r="64" spans="1:30" s="809" customFormat="1" ht="21" customHeight="1">
      <c r="A64" s="2683"/>
      <c r="B64" s="2684"/>
      <c r="C64" s="2685"/>
      <c r="D64" s="2686"/>
      <c r="E64" s="602" t="s">
        <v>1423</v>
      </c>
      <c r="F64" s="549">
        <f>Y64</f>
        <v>1200000</v>
      </c>
      <c r="G64" s="549">
        <v>1200000</v>
      </c>
      <c r="H64" s="1320"/>
      <c r="I64" s="626"/>
      <c r="J64" s="2105" t="s">
        <v>465</v>
      </c>
      <c r="K64" s="2106"/>
      <c r="L64" s="2082"/>
      <c r="M64" s="2082"/>
      <c r="N64" s="475"/>
      <c r="O64" s="2082"/>
      <c r="P64" s="2082"/>
      <c r="Q64" s="2082"/>
      <c r="R64" s="2082"/>
      <c r="S64" s="474"/>
      <c r="T64" s="2106"/>
      <c r="U64" s="2106"/>
      <c r="V64" s="2106"/>
      <c r="W64" s="2106"/>
      <c r="X64" s="2030"/>
      <c r="Y64" s="554">
        <f>(Z64)/1000</f>
        <v>1200000</v>
      </c>
      <c r="Z64" s="555">
        <f>SUM(Z65:Z66)</f>
        <v>1200000000</v>
      </c>
      <c r="AA64" s="2687"/>
      <c r="AB64" s="2688"/>
      <c r="AC64" s="2689"/>
      <c r="AD64" s="808"/>
    </row>
    <row r="65" spans="1:30" s="1651" customFormat="1" ht="21" customHeight="1">
      <c r="A65" s="540"/>
      <c r="B65" s="541"/>
      <c r="C65" s="542"/>
      <c r="D65" s="548"/>
      <c r="E65" s="2023"/>
      <c r="F65" s="549"/>
      <c r="G65" s="549"/>
      <c r="H65" s="551"/>
      <c r="I65" s="626"/>
      <c r="J65" s="2105" t="s">
        <v>1425</v>
      </c>
      <c r="K65" s="2106"/>
      <c r="L65" s="2082"/>
      <c r="M65" s="2082"/>
      <c r="N65" s="475"/>
      <c r="O65" s="2082"/>
      <c r="P65" s="2082"/>
      <c r="Q65" s="2082"/>
      <c r="R65" s="2082"/>
      <c r="S65" s="474"/>
      <c r="T65" s="2106"/>
      <c r="U65" s="2106"/>
      <c r="V65" s="2106"/>
      <c r="W65" s="2106"/>
      <c r="X65" s="2030" t="s">
        <v>1426</v>
      </c>
      <c r="Y65" s="554">
        <v>486000</v>
      </c>
      <c r="Z65" s="555">
        <v>486000000</v>
      </c>
      <c r="AA65" s="547"/>
      <c r="AB65" s="1891"/>
      <c r="AC65" s="1895"/>
      <c r="AD65" s="456"/>
    </row>
    <row r="66" spans="1:30" s="1651" customFormat="1" ht="21" customHeight="1">
      <c r="A66" s="540"/>
      <c r="B66" s="541"/>
      <c r="C66" s="542"/>
      <c r="D66" s="548"/>
      <c r="E66" s="2023"/>
      <c r="F66" s="549"/>
      <c r="G66" s="549"/>
      <c r="H66" s="551"/>
      <c r="I66" s="626"/>
      <c r="J66" s="2105" t="s">
        <v>1427</v>
      </c>
      <c r="K66" s="2106"/>
      <c r="L66" s="2082"/>
      <c r="M66" s="2082"/>
      <c r="N66" s="475"/>
      <c r="O66" s="2082"/>
      <c r="P66" s="2082"/>
      <c r="Q66" s="2082"/>
      <c r="R66" s="2082"/>
      <c r="S66" s="474"/>
      <c r="T66" s="2106"/>
      <c r="U66" s="2106"/>
      <c r="V66" s="2106"/>
      <c r="W66" s="2106"/>
      <c r="X66" s="2030" t="s">
        <v>1426</v>
      </c>
      <c r="Y66" s="554">
        <v>714000</v>
      </c>
      <c r="Z66" s="555">
        <v>714000000</v>
      </c>
      <c r="AA66" s="547"/>
      <c r="AB66" s="1891"/>
      <c r="AC66" s="1895"/>
      <c r="AD66" s="456"/>
    </row>
    <row r="67" spans="1:30" s="1651" customFormat="1" ht="21" customHeight="1">
      <c r="A67" s="540"/>
      <c r="B67" s="541"/>
      <c r="C67" s="542"/>
      <c r="D67" s="3906" t="s">
        <v>1293</v>
      </c>
      <c r="E67" s="3907"/>
      <c r="F67" s="598">
        <f>SUM(F68:F106)</f>
        <v>1224999.9996499999</v>
      </c>
      <c r="G67" s="598">
        <f>SUM(G68:G106)</f>
        <v>1225000</v>
      </c>
      <c r="H67" s="825">
        <f>SUM(H68:H106)</f>
        <v>0</v>
      </c>
      <c r="I67" s="626">
        <f>G67-H67</f>
        <v>1225000</v>
      </c>
      <c r="J67" s="538"/>
      <c r="K67" s="2068"/>
      <c r="L67" s="2068"/>
      <c r="M67" s="2068"/>
      <c r="N67" s="2068"/>
      <c r="O67" s="2068"/>
      <c r="P67" s="2068"/>
      <c r="Q67" s="2068"/>
      <c r="R67" s="539"/>
      <c r="S67" s="2068"/>
      <c r="T67" s="2068"/>
      <c r="U67" s="2068"/>
      <c r="V67" s="2068"/>
      <c r="W67" s="2068"/>
      <c r="X67" s="585"/>
      <c r="Y67" s="599"/>
      <c r="Z67" s="595"/>
      <c r="AA67" s="547"/>
      <c r="AB67" s="1891"/>
      <c r="AC67" s="1895"/>
      <c r="AD67" s="456"/>
    </row>
    <row r="68" spans="1:30" s="1651" customFormat="1" ht="21" customHeight="1">
      <c r="A68" s="540"/>
      <c r="B68" s="541"/>
      <c r="C68" s="542"/>
      <c r="D68" s="2034"/>
      <c r="E68" s="2132" t="s">
        <v>65</v>
      </c>
      <c r="F68" s="3173">
        <f>Y68</f>
        <v>46000</v>
      </c>
      <c r="G68" s="679">
        <v>46000</v>
      </c>
      <c r="H68" s="957"/>
      <c r="I68" s="2359"/>
      <c r="J68" s="3514" t="s">
        <v>224</v>
      </c>
      <c r="K68" s="3515"/>
      <c r="L68" s="3515"/>
      <c r="M68" s="3515"/>
      <c r="N68" s="869"/>
      <c r="O68" s="3515"/>
      <c r="P68" s="3515"/>
      <c r="Q68" s="3515"/>
      <c r="R68" s="3515"/>
      <c r="S68" s="3164"/>
      <c r="T68" s="684"/>
      <c r="U68" s="684"/>
      <c r="V68" s="684"/>
      <c r="W68" s="684"/>
      <c r="X68" s="686"/>
      <c r="Y68" s="1022">
        <f>(Z68)/1000</f>
        <v>46000</v>
      </c>
      <c r="Z68" s="1022">
        <f>SUM(Z69:Z70)</f>
        <v>46000000</v>
      </c>
      <c r="AA68" s="547"/>
      <c r="AB68" s="1891"/>
      <c r="AC68" s="1895"/>
      <c r="AD68" s="456"/>
    </row>
    <row r="69" spans="1:30" s="1651" customFormat="1" ht="21" customHeight="1">
      <c r="A69" s="540"/>
      <c r="B69" s="541"/>
      <c r="C69" s="542"/>
      <c r="D69" s="2034"/>
      <c r="E69" s="677" t="s">
        <v>48</v>
      </c>
      <c r="F69" s="941" t="s">
        <v>48</v>
      </c>
      <c r="G69" s="679" t="s">
        <v>20</v>
      </c>
      <c r="H69" s="949"/>
      <c r="I69" s="2359"/>
      <c r="J69" s="3514" t="s">
        <v>4688</v>
      </c>
      <c r="K69" s="3515"/>
      <c r="L69" s="3515"/>
      <c r="M69" s="3515"/>
      <c r="N69" s="869"/>
      <c r="O69" s="3515"/>
      <c r="P69" s="3515"/>
      <c r="Q69" s="869">
        <v>2</v>
      </c>
      <c r="R69" s="3515" t="s">
        <v>36</v>
      </c>
      <c r="S69" s="3164">
        <v>2500000</v>
      </c>
      <c r="T69" s="684" t="s">
        <v>4</v>
      </c>
      <c r="U69" s="684"/>
      <c r="V69" s="684">
        <v>8</v>
      </c>
      <c r="W69" s="684" t="s">
        <v>230</v>
      </c>
      <c r="X69" s="686" t="s">
        <v>5</v>
      </c>
      <c r="Y69" s="1022">
        <f>(Z69)/1000</f>
        <v>40000</v>
      </c>
      <c r="Z69" s="3570">
        <f>Q69*S69*V69</f>
        <v>40000000</v>
      </c>
      <c r="AA69" s="547"/>
      <c r="AB69" s="1891"/>
      <c r="AC69" s="1895"/>
      <c r="AD69" s="456"/>
    </row>
    <row r="70" spans="1:30" s="1651" customFormat="1" ht="21" customHeight="1">
      <c r="A70" s="540"/>
      <c r="B70" s="541"/>
      <c r="C70" s="542"/>
      <c r="D70" s="2034"/>
      <c r="E70" s="677"/>
      <c r="F70" s="1445"/>
      <c r="G70" s="679"/>
      <c r="H70" s="949"/>
      <c r="I70" s="2359"/>
      <c r="J70" s="3514" t="s">
        <v>4693</v>
      </c>
      <c r="K70" s="3515"/>
      <c r="L70" s="3515"/>
      <c r="M70" s="3515"/>
      <c r="N70" s="869"/>
      <c r="O70" s="3515"/>
      <c r="P70" s="3515"/>
      <c r="Q70" s="869">
        <v>2</v>
      </c>
      <c r="R70" s="3515" t="s">
        <v>36</v>
      </c>
      <c r="S70" s="3164">
        <v>60000</v>
      </c>
      <c r="T70" s="684" t="s">
        <v>4</v>
      </c>
      <c r="U70" s="684"/>
      <c r="V70" s="684">
        <v>50</v>
      </c>
      <c r="W70" s="684" t="s">
        <v>24</v>
      </c>
      <c r="X70" s="686" t="s">
        <v>5</v>
      </c>
      <c r="Y70" s="1022">
        <f>(Z70)/1000</f>
        <v>6000</v>
      </c>
      <c r="Z70" s="3570">
        <f>Q70*S70*V70</f>
        <v>6000000</v>
      </c>
      <c r="AA70" s="547"/>
      <c r="AB70" s="1891"/>
      <c r="AC70" s="1895"/>
      <c r="AD70" s="456"/>
    </row>
    <row r="71" spans="1:30" s="1651" customFormat="1" ht="21" customHeight="1">
      <c r="A71" s="540"/>
      <c r="B71" s="541"/>
      <c r="C71" s="542"/>
      <c r="D71" s="2034"/>
      <c r="E71" s="677" t="s">
        <v>905</v>
      </c>
      <c r="F71" s="941">
        <f>Y71</f>
        <v>0</v>
      </c>
      <c r="G71" s="679">
        <v>4000</v>
      </c>
      <c r="H71" s="949">
        <f t="shared" ref="H71" si="21">F71-G71</f>
        <v>-4000</v>
      </c>
      <c r="I71" s="2359"/>
      <c r="J71" s="3514" t="s">
        <v>4694</v>
      </c>
      <c r="K71" s="3515"/>
      <c r="L71" s="3515"/>
      <c r="M71" s="3515"/>
      <c r="N71" s="869"/>
      <c r="O71" s="3515"/>
      <c r="P71" s="3515"/>
      <c r="Q71" s="3515" t="s">
        <v>48</v>
      </c>
      <c r="R71" s="3515" t="s">
        <v>48</v>
      </c>
      <c r="S71" s="3164">
        <v>2000000</v>
      </c>
      <c r="T71" s="684" t="s">
        <v>391</v>
      </c>
      <c r="U71" s="684"/>
      <c r="V71" s="684">
        <v>0</v>
      </c>
      <c r="W71" s="684" t="s">
        <v>1297</v>
      </c>
      <c r="X71" s="686" t="s">
        <v>5</v>
      </c>
      <c r="Y71" s="1022">
        <f>(Z71)/1000</f>
        <v>0</v>
      </c>
      <c r="Z71" s="732">
        <f>S71*V71</f>
        <v>0</v>
      </c>
      <c r="AA71" s="547"/>
      <c r="AB71" s="1891"/>
      <c r="AC71" s="1895"/>
      <c r="AD71" s="456"/>
    </row>
    <row r="72" spans="1:30" s="1651" customFormat="1" ht="21" customHeight="1">
      <c r="A72" s="540"/>
      <c r="B72" s="541"/>
      <c r="C72" s="542"/>
      <c r="D72" s="2034"/>
      <c r="E72" s="677" t="s">
        <v>229</v>
      </c>
      <c r="F72" s="941">
        <f>Y72</f>
        <v>40000</v>
      </c>
      <c r="G72" s="679">
        <v>40000</v>
      </c>
      <c r="H72" s="949"/>
      <c r="I72" s="2359"/>
      <c r="J72" s="3845" t="s">
        <v>224</v>
      </c>
      <c r="K72" s="3846"/>
      <c r="L72" s="3846"/>
      <c r="M72" s="3846"/>
      <c r="N72" s="869"/>
      <c r="O72" s="3515"/>
      <c r="P72" s="3515"/>
      <c r="Q72" s="3515"/>
      <c r="R72" s="3515"/>
      <c r="S72" s="3164"/>
      <c r="T72" s="684"/>
      <c r="U72" s="684"/>
      <c r="V72" s="684"/>
      <c r="W72" s="684"/>
      <c r="X72" s="686"/>
      <c r="Y72" s="1022">
        <f>SUM(Y73:Y74)</f>
        <v>40000</v>
      </c>
      <c r="Z72" s="1022">
        <f>SUM(Z73:Z74)</f>
        <v>40000000</v>
      </c>
      <c r="AA72" s="547"/>
      <c r="AB72" s="1891"/>
      <c r="AC72" s="1895"/>
      <c r="AD72" s="456"/>
    </row>
    <row r="73" spans="1:30" s="1651" customFormat="1" ht="21" customHeight="1">
      <c r="A73" s="540"/>
      <c r="B73" s="541"/>
      <c r="C73" s="542"/>
      <c r="D73" s="2034"/>
      <c r="E73" s="677"/>
      <c r="F73" s="1445"/>
      <c r="G73" s="679"/>
      <c r="H73" s="949"/>
      <c r="I73" s="2359"/>
      <c r="J73" s="3514" t="s">
        <v>4695</v>
      </c>
      <c r="K73" s="3515"/>
      <c r="L73" s="3515"/>
      <c r="M73" s="3515"/>
      <c r="N73" s="869"/>
      <c r="O73" s="3515"/>
      <c r="P73" s="3515"/>
      <c r="Q73" s="869">
        <v>1000</v>
      </c>
      <c r="R73" s="3515" t="s">
        <v>266</v>
      </c>
      <c r="S73" s="3164">
        <v>10000</v>
      </c>
      <c r="T73" s="684" t="s">
        <v>391</v>
      </c>
      <c r="U73" s="684"/>
      <c r="V73" s="684">
        <v>3</v>
      </c>
      <c r="W73" s="684" t="s">
        <v>243</v>
      </c>
      <c r="X73" s="686" t="s">
        <v>5</v>
      </c>
      <c r="Y73" s="1022">
        <f>(Z73)/1000</f>
        <v>30000</v>
      </c>
      <c r="Z73" s="3570">
        <f>Q73*S73*V73</f>
        <v>30000000</v>
      </c>
      <c r="AA73" s="547"/>
      <c r="AB73" s="1891"/>
      <c r="AC73" s="1895"/>
      <c r="AD73" s="456"/>
    </row>
    <row r="74" spans="1:30" s="1651" customFormat="1" ht="21" customHeight="1">
      <c r="A74" s="540"/>
      <c r="B74" s="541"/>
      <c r="C74" s="542"/>
      <c r="D74" s="2034"/>
      <c r="E74" s="677"/>
      <c r="F74" s="1445"/>
      <c r="G74" s="679"/>
      <c r="H74" s="949"/>
      <c r="I74" s="2359"/>
      <c r="J74" s="3514" t="s">
        <v>4696</v>
      </c>
      <c r="K74" s="3515"/>
      <c r="L74" s="3515"/>
      <c r="M74" s="3515"/>
      <c r="N74" s="869"/>
      <c r="O74" s="3515"/>
      <c r="P74" s="3515"/>
      <c r="Q74" s="3515" t="s">
        <v>48</v>
      </c>
      <c r="R74" s="3515" t="s">
        <v>48</v>
      </c>
      <c r="S74" s="3164">
        <v>10000</v>
      </c>
      <c r="T74" s="684" t="s">
        <v>391</v>
      </c>
      <c r="U74" s="684"/>
      <c r="V74" s="684">
        <v>1000</v>
      </c>
      <c r="W74" s="684" t="s">
        <v>254</v>
      </c>
      <c r="X74" s="686" t="s">
        <v>5</v>
      </c>
      <c r="Y74" s="1022">
        <f>(Z74)/1000</f>
        <v>10000</v>
      </c>
      <c r="Z74" s="732">
        <f>S74*V74</f>
        <v>10000000</v>
      </c>
      <c r="AA74" s="547"/>
      <c r="AB74" s="1891"/>
      <c r="AC74" s="1895"/>
      <c r="AD74" s="456"/>
    </row>
    <row r="75" spans="1:30" s="809" customFormat="1" ht="21" customHeight="1">
      <c r="A75" s="2683"/>
      <c r="B75" s="2684"/>
      <c r="C75" s="2685"/>
      <c r="D75" s="2690"/>
      <c r="E75" s="677" t="s">
        <v>445</v>
      </c>
      <c r="F75" s="941">
        <f>Y75</f>
        <v>1500</v>
      </c>
      <c r="G75" s="679">
        <v>1000</v>
      </c>
      <c r="H75" s="949">
        <f t="shared" ref="H75" si="22">F75-G75</f>
        <v>500</v>
      </c>
      <c r="I75" s="2359"/>
      <c r="J75" s="3514" t="s">
        <v>4698</v>
      </c>
      <c r="K75" s="3515"/>
      <c r="L75" s="3515"/>
      <c r="M75" s="3515"/>
      <c r="N75" s="869"/>
      <c r="O75" s="3515"/>
      <c r="P75" s="3515"/>
      <c r="Q75" s="3515"/>
      <c r="R75" s="3515"/>
      <c r="S75" s="3164">
        <v>1500000</v>
      </c>
      <c r="T75" s="684" t="s">
        <v>391</v>
      </c>
      <c r="U75" s="684"/>
      <c r="V75" s="684"/>
      <c r="W75" s="684"/>
      <c r="X75" s="686"/>
      <c r="Y75" s="1022">
        <f>(Z75)/1000</f>
        <v>1500</v>
      </c>
      <c r="Z75" s="732">
        <f>S75</f>
        <v>1500000</v>
      </c>
      <c r="AA75" s="2687"/>
      <c r="AB75" s="2688"/>
      <c r="AC75" s="2689"/>
      <c r="AD75" s="808"/>
    </row>
    <row r="76" spans="1:30" s="1651" customFormat="1" ht="21" customHeight="1">
      <c r="A76" s="540"/>
      <c r="B76" s="541"/>
      <c r="C76" s="542"/>
      <c r="D76" s="2034"/>
      <c r="E76" s="677" t="s">
        <v>264</v>
      </c>
      <c r="F76" s="941">
        <f>Y76</f>
        <v>4200</v>
      </c>
      <c r="G76" s="679">
        <v>7000</v>
      </c>
      <c r="H76" s="949">
        <f t="shared" ref="H76" si="23">F76-G76</f>
        <v>-2800</v>
      </c>
      <c r="I76" s="2359"/>
      <c r="J76" s="3514" t="s">
        <v>4699</v>
      </c>
      <c r="K76" s="3515"/>
      <c r="L76" s="3515"/>
      <c r="M76" s="3515"/>
      <c r="N76" s="869"/>
      <c r="O76" s="3515"/>
      <c r="P76" s="3515"/>
      <c r="Q76" s="3515"/>
      <c r="R76" s="3515"/>
      <c r="S76" s="3164">
        <v>420000</v>
      </c>
      <c r="T76" s="684" t="s">
        <v>391</v>
      </c>
      <c r="U76" s="684"/>
      <c r="V76" s="684">
        <v>10</v>
      </c>
      <c r="W76" s="684" t="s">
        <v>230</v>
      </c>
      <c r="X76" s="686" t="s">
        <v>5</v>
      </c>
      <c r="Y76" s="1022">
        <f>(Z76)/1000</f>
        <v>4200</v>
      </c>
      <c r="Z76" s="732">
        <f>S76*V76</f>
        <v>4200000</v>
      </c>
      <c r="AA76" s="547"/>
      <c r="AB76" s="1891"/>
      <c r="AC76" s="1895"/>
      <c r="AD76" s="456"/>
    </row>
    <row r="77" spans="1:30" s="1651" customFormat="1" ht="21" customHeight="1">
      <c r="A77" s="540"/>
      <c r="B77" s="541"/>
      <c r="C77" s="542"/>
      <c r="D77" s="2034"/>
      <c r="E77" s="677" t="s">
        <v>225</v>
      </c>
      <c r="F77" s="941">
        <f>Y77</f>
        <v>10000</v>
      </c>
      <c r="G77" s="679">
        <v>10000</v>
      </c>
      <c r="H77" s="949"/>
      <c r="I77" s="2359"/>
      <c r="J77" s="3514" t="s">
        <v>1436</v>
      </c>
      <c r="K77" s="3515"/>
      <c r="L77" s="3515"/>
      <c r="M77" s="3515"/>
      <c r="N77" s="869"/>
      <c r="O77" s="3515"/>
      <c r="P77" s="3515"/>
      <c r="Q77" s="869">
        <v>50</v>
      </c>
      <c r="R77" s="3515" t="s">
        <v>232</v>
      </c>
      <c r="S77" s="3164">
        <v>40000</v>
      </c>
      <c r="T77" s="684" t="s">
        <v>391</v>
      </c>
      <c r="U77" s="684"/>
      <c r="V77" s="684">
        <v>5</v>
      </c>
      <c r="W77" s="684" t="s">
        <v>10</v>
      </c>
      <c r="X77" s="686" t="s">
        <v>5</v>
      </c>
      <c r="Y77" s="1022">
        <f>(Z77)/1000</f>
        <v>10000</v>
      </c>
      <c r="Z77" s="3570">
        <f>Q77*S77*V77</f>
        <v>10000000</v>
      </c>
      <c r="AA77" s="547"/>
      <c r="AB77" s="1891"/>
      <c r="AC77" s="1895"/>
      <c r="AD77" s="456"/>
    </row>
    <row r="78" spans="1:30" s="1651" customFormat="1" ht="21" customHeight="1">
      <c r="A78" s="540"/>
      <c r="B78" s="541"/>
      <c r="C78" s="542"/>
      <c r="D78" s="2034"/>
      <c r="E78" s="677" t="s">
        <v>15</v>
      </c>
      <c r="F78" s="941">
        <f>Y78</f>
        <v>69000</v>
      </c>
      <c r="G78" s="679">
        <v>66000</v>
      </c>
      <c r="H78" s="949">
        <f t="shared" ref="H78" si="24">F78-G78</f>
        <v>3000</v>
      </c>
      <c r="I78" s="2359"/>
      <c r="J78" s="3845" t="s">
        <v>224</v>
      </c>
      <c r="K78" s="3846"/>
      <c r="L78" s="3846"/>
      <c r="M78" s="3846"/>
      <c r="N78" s="1467"/>
      <c r="O78" s="3515"/>
      <c r="P78" s="3515"/>
      <c r="Q78" s="3515"/>
      <c r="R78" s="3515"/>
      <c r="S78" s="3164"/>
      <c r="T78" s="684"/>
      <c r="U78" s="684"/>
      <c r="V78" s="684"/>
      <c r="W78" s="684"/>
      <c r="X78" s="686"/>
      <c r="Y78" s="1022">
        <f>SUM(Y79:Y80)</f>
        <v>69000</v>
      </c>
      <c r="Z78" s="1022">
        <f>SUM(Z79:Z80)</f>
        <v>69000000</v>
      </c>
      <c r="AA78" s="547"/>
      <c r="AB78" s="1891"/>
      <c r="AC78" s="1895"/>
      <c r="AD78" s="456"/>
    </row>
    <row r="79" spans="1:30" s="1651" customFormat="1" ht="21" customHeight="1">
      <c r="A79" s="540"/>
      <c r="B79" s="541"/>
      <c r="C79" s="542"/>
      <c r="D79" s="2034"/>
      <c r="E79" s="677"/>
      <c r="F79" s="1445"/>
      <c r="G79" s="679"/>
      <c r="H79" s="949"/>
      <c r="I79" s="2359"/>
      <c r="J79" s="681" t="s">
        <v>4702</v>
      </c>
      <c r="K79" s="684"/>
      <c r="L79" s="3515"/>
      <c r="M79" s="3515"/>
      <c r="N79" s="869"/>
      <c r="O79" s="3515"/>
      <c r="P79" s="3515"/>
      <c r="Q79" s="869">
        <v>6</v>
      </c>
      <c r="R79" s="3515" t="s">
        <v>36</v>
      </c>
      <c r="S79" s="3164">
        <v>200000</v>
      </c>
      <c r="T79" s="684" t="s">
        <v>4</v>
      </c>
      <c r="U79" s="684"/>
      <c r="V79" s="684">
        <v>42</v>
      </c>
      <c r="W79" s="684" t="s">
        <v>39</v>
      </c>
      <c r="X79" s="686" t="s">
        <v>5</v>
      </c>
      <c r="Y79" s="1022">
        <f>(Z79)/1000</f>
        <v>50400</v>
      </c>
      <c r="Z79" s="3570">
        <f>Q79*S79*V79</f>
        <v>50400000</v>
      </c>
      <c r="AA79" s="547"/>
      <c r="AB79" s="1891"/>
      <c r="AC79" s="1895"/>
      <c r="AD79" s="456"/>
    </row>
    <row r="80" spans="1:30" s="1651" customFormat="1" ht="21" customHeight="1">
      <c r="A80" s="540"/>
      <c r="B80" s="541"/>
      <c r="C80" s="542"/>
      <c r="D80" s="2034"/>
      <c r="E80" s="677"/>
      <c r="F80" s="1445"/>
      <c r="G80" s="679"/>
      <c r="H80" s="949"/>
      <c r="I80" s="2359"/>
      <c r="J80" s="681" t="s">
        <v>4704</v>
      </c>
      <c r="K80" s="684"/>
      <c r="L80" s="3515"/>
      <c r="M80" s="3515"/>
      <c r="N80" s="869"/>
      <c r="O80" s="3515"/>
      <c r="P80" s="3515"/>
      <c r="Q80" s="3515"/>
      <c r="R80" s="3515"/>
      <c r="S80" s="3164">
        <v>1860000</v>
      </c>
      <c r="T80" s="684" t="s">
        <v>4</v>
      </c>
      <c r="U80" s="684"/>
      <c r="V80" s="684">
        <v>10</v>
      </c>
      <c r="W80" s="684" t="s">
        <v>230</v>
      </c>
      <c r="X80" s="686" t="s">
        <v>5</v>
      </c>
      <c r="Y80" s="1022">
        <f>(Z80)/1000</f>
        <v>18600</v>
      </c>
      <c r="Z80" s="732">
        <f>S80*V80</f>
        <v>18600000</v>
      </c>
      <c r="AA80" s="547"/>
      <c r="AB80" s="1891"/>
      <c r="AC80" s="1895"/>
      <c r="AD80" s="456"/>
    </row>
    <row r="81" spans="1:30" s="1651" customFormat="1" ht="21" customHeight="1">
      <c r="A81" s="540"/>
      <c r="B81" s="541"/>
      <c r="C81" s="542"/>
      <c r="D81" s="2034"/>
      <c r="E81" s="677" t="s">
        <v>16</v>
      </c>
      <c r="F81" s="941">
        <f>Y81</f>
        <v>28000</v>
      </c>
      <c r="G81" s="679">
        <v>20000</v>
      </c>
      <c r="H81" s="949">
        <f t="shared" ref="H81:H82" si="25">F81-G81</f>
        <v>8000</v>
      </c>
      <c r="I81" s="2359"/>
      <c r="J81" s="3514" t="s">
        <v>4705</v>
      </c>
      <c r="K81" s="3515"/>
      <c r="L81" s="3515"/>
      <c r="M81" s="3515"/>
      <c r="N81" s="869"/>
      <c r="O81" s="3515"/>
      <c r="P81" s="3515"/>
      <c r="Q81" s="3515"/>
      <c r="R81" s="3515"/>
      <c r="S81" s="3164">
        <v>28000000</v>
      </c>
      <c r="T81" s="684" t="s">
        <v>391</v>
      </c>
      <c r="U81" s="684"/>
      <c r="V81" s="684">
        <v>1</v>
      </c>
      <c r="W81" s="684" t="s">
        <v>51</v>
      </c>
      <c r="X81" s="686" t="s">
        <v>5</v>
      </c>
      <c r="Y81" s="1022">
        <f>(Z81)/1000</f>
        <v>28000</v>
      </c>
      <c r="Z81" s="732">
        <f>S81*V81</f>
        <v>28000000</v>
      </c>
      <c r="AA81" s="547"/>
      <c r="AB81" s="1891"/>
      <c r="AC81" s="1895"/>
      <c r="AD81" s="456"/>
    </row>
    <row r="82" spans="1:30" s="1651" customFormat="1" ht="21" customHeight="1">
      <c r="A82" s="540"/>
      <c r="B82" s="541"/>
      <c r="C82" s="542"/>
      <c r="D82" s="2034"/>
      <c r="E82" s="677" t="s">
        <v>262</v>
      </c>
      <c r="F82" s="941">
        <f>Y82</f>
        <v>4600</v>
      </c>
      <c r="G82" s="679">
        <v>4000</v>
      </c>
      <c r="H82" s="949">
        <f t="shared" si="25"/>
        <v>600</v>
      </c>
      <c r="I82" s="2359"/>
      <c r="J82" s="3514" t="s">
        <v>4707</v>
      </c>
      <c r="K82" s="3515"/>
      <c r="L82" s="3515"/>
      <c r="M82" s="3515"/>
      <c r="N82" s="869"/>
      <c r="O82" s="3515"/>
      <c r="P82" s="3515"/>
      <c r="Q82" s="3515"/>
      <c r="R82" s="3515"/>
      <c r="S82" s="3164">
        <v>1150000</v>
      </c>
      <c r="T82" s="684" t="s">
        <v>391</v>
      </c>
      <c r="U82" s="684"/>
      <c r="V82" s="684">
        <v>4</v>
      </c>
      <c r="W82" s="684" t="s">
        <v>230</v>
      </c>
      <c r="X82" s="686" t="s">
        <v>5</v>
      </c>
      <c r="Y82" s="1022">
        <f>(Z82)/1000</f>
        <v>4600</v>
      </c>
      <c r="Z82" s="732">
        <f>S82*V82</f>
        <v>4600000</v>
      </c>
      <c r="AA82" s="547"/>
      <c r="AB82" s="1891"/>
      <c r="AC82" s="1895"/>
      <c r="AD82" s="456"/>
    </row>
    <row r="83" spans="1:30" s="809" customFormat="1" ht="21" customHeight="1">
      <c r="A83" s="2683"/>
      <c r="B83" s="2684"/>
      <c r="C83" s="2685"/>
      <c r="D83" s="2690"/>
      <c r="E83" s="676" t="s">
        <v>261</v>
      </c>
      <c r="F83" s="941">
        <f>Y83</f>
        <v>988999.9996499999</v>
      </c>
      <c r="G83" s="941">
        <v>989000</v>
      </c>
      <c r="H83" s="949"/>
      <c r="I83" s="3297"/>
      <c r="J83" s="3845" t="s">
        <v>224</v>
      </c>
      <c r="K83" s="3846"/>
      <c r="L83" s="3846"/>
      <c r="M83" s="3846"/>
      <c r="N83" s="3515"/>
      <c r="O83" s="3515"/>
      <c r="P83" s="3515"/>
      <c r="Q83" s="3515"/>
      <c r="R83" s="2127"/>
      <c r="S83" s="3515"/>
      <c r="T83" s="3515"/>
      <c r="U83" s="3515"/>
      <c r="V83" s="3515"/>
      <c r="W83" s="3515"/>
      <c r="X83" s="3165"/>
      <c r="Y83" s="1022">
        <f t="shared" ref="Y83:Y100" si="26">(Z83)/1000</f>
        <v>988999.9996499999</v>
      </c>
      <c r="Z83" s="732">
        <f>SUM(Z84,Z89,Z94,Z100,Z101)</f>
        <v>988999999.64999986</v>
      </c>
      <c r="AA83" s="2687"/>
      <c r="AB83" s="2688"/>
      <c r="AC83" s="2689"/>
      <c r="AD83" s="808"/>
    </row>
    <row r="84" spans="1:30" s="809" customFormat="1" ht="21" customHeight="1">
      <c r="A84" s="2683"/>
      <c r="B84" s="2684"/>
      <c r="C84" s="2685"/>
      <c r="D84" s="2690"/>
      <c r="E84" s="677"/>
      <c r="F84" s="1445"/>
      <c r="G84" s="679"/>
      <c r="H84" s="949"/>
      <c r="I84" s="2359"/>
      <c r="J84" s="3571" t="s">
        <v>4708</v>
      </c>
      <c r="K84" s="1678"/>
      <c r="L84" s="2472"/>
      <c r="M84" s="2472"/>
      <c r="N84" s="1467"/>
      <c r="O84" s="3515"/>
      <c r="P84" s="3515"/>
      <c r="Q84" s="3515"/>
      <c r="R84" s="3515"/>
      <c r="S84" s="3164"/>
      <c r="T84" s="684"/>
      <c r="U84" s="684"/>
      <c r="V84" s="684"/>
      <c r="W84" s="684"/>
      <c r="X84" s="686"/>
      <c r="Y84" s="1022">
        <f t="shared" si="26"/>
        <v>256499.99984999996</v>
      </c>
      <c r="Z84" s="1022">
        <f>SUM(Z85:Z88)</f>
        <v>256499999.84999996</v>
      </c>
      <c r="AA84" s="2687"/>
      <c r="AB84" s="2688"/>
      <c r="AC84" s="2689"/>
      <c r="AD84" s="808"/>
    </row>
    <row r="85" spans="1:30" s="809" customFormat="1" ht="21" customHeight="1">
      <c r="A85" s="2683"/>
      <c r="B85" s="2684"/>
      <c r="C85" s="2685"/>
      <c r="D85" s="2690"/>
      <c r="E85" s="677"/>
      <c r="F85" s="1445"/>
      <c r="G85" s="679"/>
      <c r="H85" s="949"/>
      <c r="I85" s="2359"/>
      <c r="J85" s="3571" t="s">
        <v>4709</v>
      </c>
      <c r="K85" s="1678"/>
      <c r="L85" s="2472"/>
      <c r="M85" s="2472"/>
      <c r="N85" s="1467"/>
      <c r="O85" s="3515"/>
      <c r="P85" s="3515"/>
      <c r="Q85" s="3515"/>
      <c r="R85" s="3515"/>
      <c r="S85" s="3164">
        <v>5000000</v>
      </c>
      <c r="T85" s="684" t="s">
        <v>4</v>
      </c>
      <c r="U85" s="684"/>
      <c r="V85" s="684">
        <v>4</v>
      </c>
      <c r="W85" s="684" t="s">
        <v>51</v>
      </c>
      <c r="X85" s="686" t="s">
        <v>5</v>
      </c>
      <c r="Y85" s="1022">
        <f t="shared" si="26"/>
        <v>20000</v>
      </c>
      <c r="Z85" s="732">
        <f>S85*V85</f>
        <v>20000000</v>
      </c>
      <c r="AA85" s="2687"/>
      <c r="AB85" s="2688"/>
      <c r="AC85" s="2689"/>
      <c r="AD85" s="808"/>
    </row>
    <row r="86" spans="1:30" s="1651" customFormat="1" ht="21" customHeight="1">
      <c r="A86" s="540"/>
      <c r="B86" s="541"/>
      <c r="C86" s="542"/>
      <c r="D86" s="2034"/>
      <c r="E86" s="677"/>
      <c r="F86" s="1445"/>
      <c r="G86" s="679"/>
      <c r="H86" s="949"/>
      <c r="I86" s="2359"/>
      <c r="J86" s="3571" t="s">
        <v>4710</v>
      </c>
      <c r="K86" s="1678"/>
      <c r="L86" s="2472"/>
      <c r="M86" s="2472"/>
      <c r="N86" s="1467"/>
      <c r="O86" s="3515"/>
      <c r="P86" s="3515"/>
      <c r="Q86" s="3515"/>
      <c r="R86" s="3515"/>
      <c r="S86" s="3164">
        <v>5760869.5499999998</v>
      </c>
      <c r="T86" s="684" t="s">
        <v>4</v>
      </c>
      <c r="U86" s="684"/>
      <c r="V86" s="684">
        <v>23</v>
      </c>
      <c r="W86" s="684" t="s">
        <v>51</v>
      </c>
      <c r="X86" s="686" t="s">
        <v>5</v>
      </c>
      <c r="Y86" s="1022">
        <f t="shared" si="26"/>
        <v>132499.99964999998</v>
      </c>
      <c r="Z86" s="732">
        <f>S86*V86</f>
        <v>132499999.64999999</v>
      </c>
      <c r="AA86" s="547"/>
      <c r="AB86" s="1891"/>
      <c r="AC86" s="1895"/>
      <c r="AD86" s="456"/>
    </row>
    <row r="87" spans="1:30" s="1651" customFormat="1" ht="21" customHeight="1">
      <c r="A87" s="540"/>
      <c r="B87" s="541"/>
      <c r="C87" s="542"/>
      <c r="D87" s="2034"/>
      <c r="E87" s="677"/>
      <c r="F87" s="1445"/>
      <c r="G87" s="679"/>
      <c r="H87" s="949"/>
      <c r="I87" s="2359"/>
      <c r="J87" s="3571" t="s">
        <v>4711</v>
      </c>
      <c r="K87" s="1678"/>
      <c r="L87" s="2472"/>
      <c r="M87" s="2472"/>
      <c r="N87" s="1467"/>
      <c r="O87" s="3515"/>
      <c r="P87" s="3515"/>
      <c r="Q87" s="3515"/>
      <c r="R87" s="3515"/>
      <c r="S87" s="3164">
        <v>5285714.3</v>
      </c>
      <c r="T87" s="684" t="s">
        <v>4</v>
      </c>
      <c r="U87" s="684"/>
      <c r="V87" s="684">
        <v>14</v>
      </c>
      <c r="W87" s="684" t="s">
        <v>51</v>
      </c>
      <c r="X87" s="686" t="s">
        <v>5</v>
      </c>
      <c r="Y87" s="1022">
        <f t="shared" si="26"/>
        <v>74000.000200000009</v>
      </c>
      <c r="Z87" s="732">
        <f>S87*V87</f>
        <v>74000000.200000003</v>
      </c>
      <c r="AA87" s="547"/>
      <c r="AB87" s="1891"/>
      <c r="AC87" s="1895"/>
      <c r="AD87" s="456"/>
    </row>
    <row r="88" spans="1:30" s="1651" customFormat="1" ht="21" customHeight="1">
      <c r="A88" s="540"/>
      <c r="B88" s="541"/>
      <c r="C88" s="542"/>
      <c r="D88" s="2034"/>
      <c r="E88" s="677"/>
      <c r="F88" s="1445"/>
      <c r="G88" s="679"/>
      <c r="H88" s="949"/>
      <c r="I88" s="2359"/>
      <c r="J88" s="3571" t="s">
        <v>4712</v>
      </c>
      <c r="K88" s="1678"/>
      <c r="L88" s="2472"/>
      <c r="M88" s="2472"/>
      <c r="N88" s="1467"/>
      <c r="O88" s="3515"/>
      <c r="P88" s="3515"/>
      <c r="Q88" s="3515"/>
      <c r="R88" s="3515"/>
      <c r="S88" s="3164">
        <v>10000000</v>
      </c>
      <c r="T88" s="684" t="s">
        <v>4</v>
      </c>
      <c r="U88" s="684"/>
      <c r="V88" s="684">
        <v>3</v>
      </c>
      <c r="W88" s="684" t="s">
        <v>51</v>
      </c>
      <c r="X88" s="686" t="s">
        <v>5</v>
      </c>
      <c r="Y88" s="1022">
        <f t="shared" si="26"/>
        <v>30000</v>
      </c>
      <c r="Z88" s="732">
        <f>S88*V88</f>
        <v>30000000</v>
      </c>
      <c r="AA88" s="547"/>
      <c r="AB88" s="1891"/>
      <c r="AC88" s="1895"/>
      <c r="AD88" s="456"/>
    </row>
    <row r="89" spans="1:30" s="809" customFormat="1" ht="21" customHeight="1">
      <c r="A89" s="2683"/>
      <c r="B89" s="2684"/>
      <c r="C89" s="2685"/>
      <c r="D89" s="2690"/>
      <c r="E89" s="677"/>
      <c r="F89" s="1445"/>
      <c r="G89" s="679"/>
      <c r="H89" s="949"/>
      <c r="I89" s="2359"/>
      <c r="J89" s="3571" t="s">
        <v>4713</v>
      </c>
      <c r="K89" s="1678"/>
      <c r="L89" s="2472"/>
      <c r="M89" s="2472"/>
      <c r="N89" s="1467"/>
      <c r="O89" s="3515"/>
      <c r="P89" s="3515"/>
      <c r="Q89" s="3515"/>
      <c r="R89" s="3515"/>
      <c r="S89" s="3164"/>
      <c r="T89" s="684"/>
      <c r="U89" s="684"/>
      <c r="V89" s="684"/>
      <c r="W89" s="684"/>
      <c r="X89" s="686"/>
      <c r="Y89" s="1022">
        <f t="shared" si="26"/>
        <v>295999.99979999993</v>
      </c>
      <c r="Z89" s="732">
        <f>SUM(Z90:Z93)</f>
        <v>295999999.79999995</v>
      </c>
      <c r="AA89" s="2687"/>
      <c r="AB89" s="2688"/>
      <c r="AC89" s="2689"/>
      <c r="AD89" s="808"/>
    </row>
    <row r="90" spans="1:30" s="1651" customFormat="1" ht="21" customHeight="1">
      <c r="A90" s="540"/>
      <c r="B90" s="541"/>
      <c r="C90" s="542"/>
      <c r="D90" s="2034"/>
      <c r="E90" s="677"/>
      <c r="F90" s="1445"/>
      <c r="G90" s="679"/>
      <c r="H90" s="949"/>
      <c r="I90" s="2359"/>
      <c r="J90" s="3571" t="s">
        <v>4714</v>
      </c>
      <c r="K90" s="1678"/>
      <c r="L90" s="2472"/>
      <c r="M90" s="2472"/>
      <c r="N90" s="1467"/>
      <c r="O90" s="3515"/>
      <c r="P90" s="3515"/>
      <c r="Q90" s="3515"/>
      <c r="R90" s="3515"/>
      <c r="S90" s="3164">
        <v>7000000</v>
      </c>
      <c r="T90" s="684" t="s">
        <v>4</v>
      </c>
      <c r="U90" s="684"/>
      <c r="V90" s="684">
        <v>9</v>
      </c>
      <c r="W90" s="684" t="s">
        <v>1294</v>
      </c>
      <c r="X90" s="686" t="s">
        <v>5</v>
      </c>
      <c r="Y90" s="1022">
        <f t="shared" si="26"/>
        <v>63000</v>
      </c>
      <c r="Z90" s="732">
        <f>S90*V90</f>
        <v>63000000</v>
      </c>
      <c r="AA90" s="547"/>
      <c r="AB90" s="1891"/>
      <c r="AC90" s="1895"/>
      <c r="AD90" s="456"/>
    </row>
    <row r="91" spans="1:30" s="809" customFormat="1" ht="21" customHeight="1">
      <c r="A91" s="2683"/>
      <c r="B91" s="2684"/>
      <c r="C91" s="2685"/>
      <c r="D91" s="2690"/>
      <c r="E91" s="677"/>
      <c r="F91" s="1445"/>
      <c r="G91" s="679"/>
      <c r="H91" s="949"/>
      <c r="I91" s="2359"/>
      <c r="J91" s="3571" t="s">
        <v>4715</v>
      </c>
      <c r="K91" s="1678"/>
      <c r="L91" s="2472"/>
      <c r="M91" s="2472"/>
      <c r="N91" s="1467"/>
      <c r="O91" s="3515"/>
      <c r="P91" s="3515"/>
      <c r="Q91" s="3515"/>
      <c r="R91" s="3515"/>
      <c r="S91" s="3164">
        <v>20428571.399999999</v>
      </c>
      <c r="T91" s="684" t="s">
        <v>4</v>
      </c>
      <c r="U91" s="684"/>
      <c r="V91" s="684">
        <v>7</v>
      </c>
      <c r="W91" s="684" t="s">
        <v>1294</v>
      </c>
      <c r="X91" s="686" t="s">
        <v>5</v>
      </c>
      <c r="Y91" s="1022">
        <f t="shared" si="26"/>
        <v>142999.99979999999</v>
      </c>
      <c r="Z91" s="732">
        <f>S91*V91</f>
        <v>142999999.79999998</v>
      </c>
      <c r="AA91" s="2687"/>
      <c r="AB91" s="2688"/>
      <c r="AC91" s="2689"/>
      <c r="AD91" s="808"/>
    </row>
    <row r="92" spans="1:30" s="1651" customFormat="1" ht="21" customHeight="1">
      <c r="A92" s="540"/>
      <c r="B92" s="541"/>
      <c r="C92" s="542"/>
      <c r="D92" s="2034"/>
      <c r="E92" s="677"/>
      <c r="F92" s="1445"/>
      <c r="G92" s="679"/>
      <c r="H92" s="949"/>
      <c r="I92" s="2359"/>
      <c r="J92" s="3571" t="s">
        <v>4716</v>
      </c>
      <c r="K92" s="1678"/>
      <c r="L92" s="2472"/>
      <c r="M92" s="2472"/>
      <c r="N92" s="1467"/>
      <c r="O92" s="3515"/>
      <c r="P92" s="3515"/>
      <c r="Q92" s="3515"/>
      <c r="R92" s="3515"/>
      <c r="S92" s="3164">
        <v>25000000</v>
      </c>
      <c r="T92" s="684" t="s">
        <v>4</v>
      </c>
      <c r="U92" s="684"/>
      <c r="V92" s="684">
        <v>2</v>
      </c>
      <c r="W92" s="684" t="s">
        <v>1294</v>
      </c>
      <c r="X92" s="686" t="s">
        <v>5</v>
      </c>
      <c r="Y92" s="1022">
        <f t="shared" si="26"/>
        <v>50000</v>
      </c>
      <c r="Z92" s="732">
        <f>S92*V92</f>
        <v>50000000</v>
      </c>
      <c r="AA92" s="547"/>
      <c r="AB92" s="1891"/>
      <c r="AC92" s="1895"/>
      <c r="AD92" s="456"/>
    </row>
    <row r="93" spans="1:30" s="1651" customFormat="1" ht="21" customHeight="1">
      <c r="A93" s="540"/>
      <c r="B93" s="541"/>
      <c r="C93" s="542"/>
      <c r="D93" s="2034"/>
      <c r="E93" s="677"/>
      <c r="F93" s="1445"/>
      <c r="G93" s="679"/>
      <c r="H93" s="949"/>
      <c r="I93" s="2359"/>
      <c r="J93" s="3571" t="s">
        <v>4717</v>
      </c>
      <c r="K93" s="1678"/>
      <c r="L93" s="2472"/>
      <c r="M93" s="2472"/>
      <c r="N93" s="1467"/>
      <c r="O93" s="3515"/>
      <c r="P93" s="3515"/>
      <c r="Q93" s="3515"/>
      <c r="R93" s="3515"/>
      <c r="S93" s="3164">
        <v>40000000</v>
      </c>
      <c r="T93" s="684" t="s">
        <v>4</v>
      </c>
      <c r="U93" s="684"/>
      <c r="V93" s="684">
        <v>1</v>
      </c>
      <c r="W93" s="684" t="s">
        <v>1294</v>
      </c>
      <c r="X93" s="686" t="s">
        <v>5</v>
      </c>
      <c r="Y93" s="1022">
        <f t="shared" si="26"/>
        <v>40000</v>
      </c>
      <c r="Z93" s="732">
        <f>S93*V93</f>
        <v>40000000</v>
      </c>
      <c r="AA93" s="547"/>
      <c r="AB93" s="1891"/>
      <c r="AC93" s="1895"/>
      <c r="AD93" s="456"/>
    </row>
    <row r="94" spans="1:30" s="809" customFormat="1" ht="21" customHeight="1">
      <c r="A94" s="2683"/>
      <c r="B94" s="2684"/>
      <c r="C94" s="2685"/>
      <c r="D94" s="2690"/>
      <c r="E94" s="677"/>
      <c r="F94" s="1445"/>
      <c r="G94" s="679"/>
      <c r="H94" s="949"/>
      <c r="I94" s="2359"/>
      <c r="J94" s="3571" t="s">
        <v>4718</v>
      </c>
      <c r="K94" s="1678"/>
      <c r="L94" s="2472"/>
      <c r="M94" s="2472"/>
      <c r="N94" s="1467"/>
      <c r="O94" s="3515"/>
      <c r="P94" s="3515"/>
      <c r="Q94" s="3515"/>
      <c r="R94" s="3515"/>
      <c r="S94" s="3164"/>
      <c r="T94" s="684"/>
      <c r="U94" s="684"/>
      <c r="V94" s="684"/>
      <c r="W94" s="684"/>
      <c r="X94" s="686"/>
      <c r="Y94" s="1022">
        <f>SUM(Y95:Y99)</f>
        <v>293000</v>
      </c>
      <c r="Z94" s="732">
        <f>SUM(Z95:Z99)</f>
        <v>293000000</v>
      </c>
      <c r="AA94" s="2687"/>
      <c r="AB94" s="2688"/>
      <c r="AC94" s="2689"/>
      <c r="AD94" s="808"/>
    </row>
    <row r="95" spans="1:30" s="809" customFormat="1" ht="21" customHeight="1">
      <c r="A95" s="2683"/>
      <c r="B95" s="2684"/>
      <c r="C95" s="2685"/>
      <c r="D95" s="2690"/>
      <c r="E95" s="677"/>
      <c r="F95" s="1445"/>
      <c r="G95" s="679"/>
      <c r="H95" s="949"/>
      <c r="I95" s="2359"/>
      <c r="J95" s="3571" t="s">
        <v>4709</v>
      </c>
      <c r="K95" s="1678"/>
      <c r="L95" s="2472"/>
      <c r="M95" s="2472"/>
      <c r="N95" s="1467"/>
      <c r="O95" s="3515"/>
      <c r="P95" s="3515"/>
      <c r="Q95" s="3515"/>
      <c r="R95" s="3515"/>
      <c r="S95" s="3164">
        <v>6800000</v>
      </c>
      <c r="T95" s="684" t="s">
        <v>4</v>
      </c>
      <c r="U95" s="684"/>
      <c r="V95" s="684">
        <v>10</v>
      </c>
      <c r="W95" s="684" t="s">
        <v>878</v>
      </c>
      <c r="X95" s="686" t="s">
        <v>5</v>
      </c>
      <c r="Y95" s="1022">
        <f t="shared" si="26"/>
        <v>68000</v>
      </c>
      <c r="Z95" s="732">
        <f>S95*V95</f>
        <v>68000000</v>
      </c>
      <c r="AA95" s="2687"/>
      <c r="AB95" s="2688"/>
      <c r="AC95" s="2689"/>
      <c r="AD95" s="808"/>
    </row>
    <row r="96" spans="1:30" s="809" customFormat="1" ht="21" customHeight="1">
      <c r="A96" s="2683"/>
      <c r="B96" s="2684"/>
      <c r="C96" s="2685"/>
      <c r="D96" s="2690"/>
      <c r="E96" s="677"/>
      <c r="F96" s="1445"/>
      <c r="G96" s="679"/>
      <c r="H96" s="949"/>
      <c r="I96" s="2359"/>
      <c r="J96" s="3571" t="s">
        <v>4710</v>
      </c>
      <c r="K96" s="1678"/>
      <c r="L96" s="2472"/>
      <c r="M96" s="2472"/>
      <c r="N96" s="1467"/>
      <c r="O96" s="3515"/>
      <c r="P96" s="3515"/>
      <c r="Q96" s="3515"/>
      <c r="R96" s="3515"/>
      <c r="S96" s="3164">
        <v>10000000</v>
      </c>
      <c r="T96" s="684" t="s">
        <v>4</v>
      </c>
      <c r="U96" s="684"/>
      <c r="V96" s="684">
        <v>10</v>
      </c>
      <c r="W96" s="684" t="s">
        <v>878</v>
      </c>
      <c r="X96" s="686" t="s">
        <v>5</v>
      </c>
      <c r="Y96" s="1022">
        <f t="shared" si="26"/>
        <v>100000</v>
      </c>
      <c r="Z96" s="732">
        <f>S96*V96</f>
        <v>100000000</v>
      </c>
      <c r="AA96" s="2687"/>
      <c r="AB96" s="2688"/>
      <c r="AC96" s="2689"/>
      <c r="AD96" s="808"/>
    </row>
    <row r="97" spans="1:30" s="809" customFormat="1" ht="21" customHeight="1">
      <c r="A97" s="2683"/>
      <c r="B97" s="2684"/>
      <c r="C97" s="2685"/>
      <c r="D97" s="2690"/>
      <c r="E97" s="677"/>
      <c r="F97" s="1445"/>
      <c r="G97" s="679"/>
      <c r="H97" s="949"/>
      <c r="I97" s="2359"/>
      <c r="J97" s="3571" t="s">
        <v>4719</v>
      </c>
      <c r="K97" s="1678"/>
      <c r="L97" s="2472"/>
      <c r="M97" s="2472"/>
      <c r="N97" s="1467"/>
      <c r="O97" s="3515"/>
      <c r="P97" s="3515"/>
      <c r="Q97" s="3515"/>
      <c r="R97" s="3515"/>
      <c r="S97" s="3164">
        <v>15800000</v>
      </c>
      <c r="T97" s="684" t="s">
        <v>4</v>
      </c>
      <c r="U97" s="684"/>
      <c r="V97" s="684">
        <v>5</v>
      </c>
      <c r="W97" s="684" t="s">
        <v>51</v>
      </c>
      <c r="X97" s="686" t="s">
        <v>5</v>
      </c>
      <c r="Y97" s="1022">
        <f t="shared" si="26"/>
        <v>79000</v>
      </c>
      <c r="Z97" s="732">
        <f t="shared" ref="Z97:Z105" si="27">S97*V97</f>
        <v>79000000</v>
      </c>
      <c r="AA97" s="2687"/>
      <c r="AB97" s="2688"/>
      <c r="AC97" s="2689"/>
      <c r="AD97" s="808"/>
    </row>
    <row r="98" spans="1:30" s="1651" customFormat="1" ht="21" customHeight="1">
      <c r="A98" s="540"/>
      <c r="B98" s="541"/>
      <c r="C98" s="542"/>
      <c r="D98" s="2034"/>
      <c r="E98" s="677"/>
      <c r="F98" s="1445"/>
      <c r="G98" s="679"/>
      <c r="H98" s="949"/>
      <c r="I98" s="2359"/>
      <c r="J98" s="3571" t="s">
        <v>4720</v>
      </c>
      <c r="K98" s="1678"/>
      <c r="L98" s="2472"/>
      <c r="M98" s="2472"/>
      <c r="N98" s="1467"/>
      <c r="O98" s="3515"/>
      <c r="P98" s="3515"/>
      <c r="Q98" s="3515"/>
      <c r="R98" s="3515"/>
      <c r="S98" s="3164">
        <v>8000000</v>
      </c>
      <c r="T98" s="684" t="s">
        <v>4</v>
      </c>
      <c r="U98" s="684"/>
      <c r="V98" s="684">
        <v>2</v>
      </c>
      <c r="W98" s="684" t="s">
        <v>51</v>
      </c>
      <c r="X98" s="686" t="s">
        <v>5</v>
      </c>
      <c r="Y98" s="1022">
        <f t="shared" si="26"/>
        <v>16000</v>
      </c>
      <c r="Z98" s="732">
        <f t="shared" si="27"/>
        <v>16000000</v>
      </c>
      <c r="AA98" s="547"/>
      <c r="AB98" s="1891"/>
      <c r="AC98" s="1895"/>
      <c r="AD98" s="456"/>
    </row>
    <row r="99" spans="1:30" s="1651" customFormat="1" ht="21" customHeight="1">
      <c r="A99" s="540"/>
      <c r="B99" s="541"/>
      <c r="C99" s="542"/>
      <c r="D99" s="2034"/>
      <c r="E99" s="677"/>
      <c r="F99" s="1445"/>
      <c r="G99" s="679"/>
      <c r="H99" s="949"/>
      <c r="I99" s="2359"/>
      <c r="J99" s="3571" t="s">
        <v>4721</v>
      </c>
      <c r="K99" s="1678"/>
      <c r="L99" s="2472"/>
      <c r="M99" s="2472"/>
      <c r="N99" s="1467"/>
      <c r="O99" s="3515"/>
      <c r="P99" s="3515"/>
      <c r="Q99" s="3515"/>
      <c r="R99" s="3515"/>
      <c r="S99" s="3164">
        <v>30000000</v>
      </c>
      <c r="T99" s="684" t="s">
        <v>4</v>
      </c>
      <c r="U99" s="684"/>
      <c r="V99" s="684">
        <v>1</v>
      </c>
      <c r="W99" s="684" t="s">
        <v>51</v>
      </c>
      <c r="X99" s="686" t="s">
        <v>5</v>
      </c>
      <c r="Y99" s="1022">
        <f t="shared" si="26"/>
        <v>30000</v>
      </c>
      <c r="Z99" s="732">
        <f t="shared" si="27"/>
        <v>30000000</v>
      </c>
      <c r="AA99" s="547"/>
      <c r="AB99" s="1891"/>
      <c r="AC99" s="1895"/>
      <c r="AD99" s="456"/>
    </row>
    <row r="100" spans="1:30" s="1651" customFormat="1" ht="21" customHeight="1">
      <c r="A100" s="540"/>
      <c r="B100" s="541"/>
      <c r="C100" s="542"/>
      <c r="D100" s="2034"/>
      <c r="E100" s="677"/>
      <c r="F100" s="1445"/>
      <c r="G100" s="679"/>
      <c r="H100" s="949"/>
      <c r="I100" s="2359"/>
      <c r="J100" s="3571" t="s">
        <v>4722</v>
      </c>
      <c r="K100" s="1678"/>
      <c r="L100" s="2472"/>
      <c r="M100" s="2472"/>
      <c r="N100" s="1467"/>
      <c r="O100" s="3515"/>
      <c r="P100" s="3515"/>
      <c r="Q100" s="3515"/>
      <c r="R100" s="3515"/>
      <c r="S100" s="3164">
        <v>7000000</v>
      </c>
      <c r="T100" s="684" t="s">
        <v>4</v>
      </c>
      <c r="U100" s="684"/>
      <c r="V100" s="684">
        <v>9</v>
      </c>
      <c r="W100" s="684" t="s">
        <v>51</v>
      </c>
      <c r="X100" s="686" t="s">
        <v>5</v>
      </c>
      <c r="Y100" s="1022">
        <f t="shared" si="26"/>
        <v>63000</v>
      </c>
      <c r="Z100" s="732">
        <f t="shared" si="27"/>
        <v>63000000</v>
      </c>
      <c r="AA100" s="547"/>
      <c r="AB100" s="1891"/>
      <c r="AC100" s="1895"/>
      <c r="AD100" s="456"/>
    </row>
    <row r="101" spans="1:30" s="1651" customFormat="1" ht="22.5" customHeight="1">
      <c r="A101" s="540"/>
      <c r="B101" s="541"/>
      <c r="C101" s="542"/>
      <c r="D101" s="2034"/>
      <c r="E101" s="677"/>
      <c r="F101" s="1445"/>
      <c r="G101" s="679"/>
      <c r="H101" s="949"/>
      <c r="I101" s="2359"/>
      <c r="J101" s="3571" t="s">
        <v>4723</v>
      </c>
      <c r="K101" s="1678"/>
      <c r="L101" s="2472"/>
      <c r="M101" s="2472"/>
      <c r="N101" s="1467"/>
      <c r="O101" s="3515"/>
      <c r="P101" s="3515"/>
      <c r="Q101" s="3515"/>
      <c r="R101" s="3515"/>
      <c r="S101" s="3164"/>
      <c r="T101" s="684"/>
      <c r="U101" s="684"/>
      <c r="V101" s="684"/>
      <c r="W101" s="684"/>
      <c r="X101" s="686"/>
      <c r="Y101" s="1022">
        <f>(Z101)/1000</f>
        <v>80500</v>
      </c>
      <c r="Z101" s="732">
        <f>SUM(Z102:Z103)</f>
        <v>80500000</v>
      </c>
      <c r="AA101" s="547"/>
      <c r="AB101" s="1891"/>
      <c r="AC101" s="1895"/>
      <c r="AD101" s="456"/>
    </row>
    <row r="102" spans="1:30" s="1651" customFormat="1" ht="22.5" customHeight="1">
      <c r="A102" s="540"/>
      <c r="B102" s="541"/>
      <c r="C102" s="542"/>
      <c r="D102" s="2034"/>
      <c r="E102" s="677"/>
      <c r="F102" s="1445"/>
      <c r="G102" s="679"/>
      <c r="H102" s="949"/>
      <c r="I102" s="2359"/>
      <c r="J102" s="3571" t="s">
        <v>4724</v>
      </c>
      <c r="K102" s="1678"/>
      <c r="L102" s="2472"/>
      <c r="M102" s="2472"/>
      <c r="N102" s="1467"/>
      <c r="O102" s="3515"/>
      <c r="P102" s="3515"/>
      <c r="Q102" s="3515"/>
      <c r="R102" s="3515"/>
      <c r="S102" s="3164">
        <v>35500000</v>
      </c>
      <c r="T102" s="684" t="s">
        <v>4</v>
      </c>
      <c r="U102" s="684"/>
      <c r="V102" s="684">
        <v>1</v>
      </c>
      <c r="W102" s="684" t="s">
        <v>51</v>
      </c>
      <c r="X102" s="686" t="s">
        <v>5</v>
      </c>
      <c r="Y102" s="1022">
        <f>(Z102)/1000</f>
        <v>35500</v>
      </c>
      <c r="Z102" s="732">
        <f t="shared" si="27"/>
        <v>35500000</v>
      </c>
      <c r="AA102" s="547"/>
      <c r="AB102" s="1891"/>
      <c r="AC102" s="1895"/>
      <c r="AD102" s="456"/>
    </row>
    <row r="103" spans="1:30" s="1651" customFormat="1" ht="22.5" customHeight="1">
      <c r="A103" s="540"/>
      <c r="B103" s="541"/>
      <c r="C103" s="542"/>
      <c r="D103" s="2034"/>
      <c r="E103" s="677"/>
      <c r="F103" s="1445"/>
      <c r="G103" s="679"/>
      <c r="H103" s="949"/>
      <c r="I103" s="2359"/>
      <c r="J103" s="3571" t="s">
        <v>4725</v>
      </c>
      <c r="K103" s="1678"/>
      <c r="L103" s="2472"/>
      <c r="M103" s="2472"/>
      <c r="N103" s="1467"/>
      <c r="O103" s="3515"/>
      <c r="P103" s="3515"/>
      <c r="Q103" s="3515"/>
      <c r="R103" s="3515"/>
      <c r="S103" s="3164">
        <v>22500000</v>
      </c>
      <c r="T103" s="684" t="s">
        <v>4</v>
      </c>
      <c r="U103" s="684"/>
      <c r="V103" s="684">
        <v>2</v>
      </c>
      <c r="W103" s="684" t="s">
        <v>51</v>
      </c>
      <c r="X103" s="686" t="s">
        <v>5</v>
      </c>
      <c r="Y103" s="1022">
        <f>(Z103)/1000</f>
        <v>45000</v>
      </c>
      <c r="Z103" s="732">
        <f t="shared" si="27"/>
        <v>45000000</v>
      </c>
      <c r="AA103" s="547"/>
      <c r="AB103" s="1891"/>
      <c r="AC103" s="1895"/>
      <c r="AD103" s="456"/>
    </row>
    <row r="104" spans="1:30" s="1651" customFormat="1" ht="22.5" customHeight="1">
      <c r="A104" s="540"/>
      <c r="B104" s="541"/>
      <c r="C104" s="542"/>
      <c r="D104" s="2034"/>
      <c r="E104" s="677" t="s">
        <v>17</v>
      </c>
      <c r="F104" s="941">
        <f>Y104</f>
        <v>1000</v>
      </c>
      <c r="G104" s="679">
        <v>1000</v>
      </c>
      <c r="H104" s="949"/>
      <c r="I104" s="2359"/>
      <c r="J104" s="3514" t="s">
        <v>4424</v>
      </c>
      <c r="K104" s="3515"/>
      <c r="L104" s="3515"/>
      <c r="M104" s="3515"/>
      <c r="N104" s="869"/>
      <c r="O104" s="3515"/>
      <c r="P104" s="3515"/>
      <c r="Q104" s="3515"/>
      <c r="R104" s="3515"/>
      <c r="S104" s="3164">
        <v>200000</v>
      </c>
      <c r="T104" s="684" t="s">
        <v>391</v>
      </c>
      <c r="U104" s="684"/>
      <c r="V104" s="684">
        <v>5</v>
      </c>
      <c r="W104" s="684" t="s">
        <v>39</v>
      </c>
      <c r="X104" s="686" t="s">
        <v>5</v>
      </c>
      <c r="Y104" s="1022">
        <f t="shared" ref="Y104:Y106" si="28">(Z104)/1000</f>
        <v>1000</v>
      </c>
      <c r="Z104" s="732">
        <f>S104*V104</f>
        <v>1000000</v>
      </c>
      <c r="AA104" s="547"/>
      <c r="AB104" s="1891"/>
      <c r="AC104" s="1895"/>
      <c r="AD104" s="456"/>
    </row>
    <row r="105" spans="1:30" s="1651" customFormat="1" ht="22.5" customHeight="1">
      <c r="A105" s="540"/>
      <c r="B105" s="541"/>
      <c r="C105" s="542"/>
      <c r="D105" s="2034"/>
      <c r="E105" s="677" t="s">
        <v>73</v>
      </c>
      <c r="F105" s="941">
        <f>Y105</f>
        <v>21700</v>
      </c>
      <c r="G105" s="679">
        <v>27000</v>
      </c>
      <c r="H105" s="949">
        <f t="shared" ref="H105" si="29">F105-G105</f>
        <v>-5300</v>
      </c>
      <c r="I105" s="2359"/>
      <c r="J105" s="3514" t="s">
        <v>4726</v>
      </c>
      <c r="K105" s="3515"/>
      <c r="L105" s="3515"/>
      <c r="M105" s="3515"/>
      <c r="N105" s="869"/>
      <c r="O105" s="3515"/>
      <c r="P105" s="3515"/>
      <c r="Q105" s="3515"/>
      <c r="R105" s="3515"/>
      <c r="S105" s="3164">
        <v>4340000</v>
      </c>
      <c r="T105" s="684" t="s">
        <v>4</v>
      </c>
      <c r="U105" s="684"/>
      <c r="V105" s="684">
        <v>5</v>
      </c>
      <c r="W105" s="684" t="s">
        <v>39</v>
      </c>
      <c r="X105" s="686" t="s">
        <v>5</v>
      </c>
      <c r="Y105" s="1022">
        <f t="shared" si="28"/>
        <v>21700</v>
      </c>
      <c r="Z105" s="732">
        <f t="shared" si="27"/>
        <v>21700000</v>
      </c>
      <c r="AA105" s="547"/>
      <c r="AB105" s="1891"/>
      <c r="AC105" s="1895"/>
      <c r="AD105" s="456"/>
    </row>
    <row r="106" spans="1:30" s="1651" customFormat="1" ht="22.5" customHeight="1">
      <c r="A106" s="540"/>
      <c r="B106" s="541"/>
      <c r="C106" s="542"/>
      <c r="D106" s="2034"/>
      <c r="E106" s="2039" t="s">
        <v>14</v>
      </c>
      <c r="F106" s="972">
        <f>Y106</f>
        <v>10000</v>
      </c>
      <c r="G106" s="679">
        <v>10000</v>
      </c>
      <c r="H106" s="949"/>
      <c r="I106" s="2359"/>
      <c r="J106" s="3514" t="s">
        <v>1852</v>
      </c>
      <c r="K106" s="3515"/>
      <c r="L106" s="3515"/>
      <c r="M106" s="3515"/>
      <c r="N106" s="869"/>
      <c r="O106" s="3515"/>
      <c r="P106" s="3515"/>
      <c r="Q106" s="3515"/>
      <c r="R106" s="3515"/>
      <c r="S106" s="3164">
        <v>200000</v>
      </c>
      <c r="T106" s="684" t="s">
        <v>4</v>
      </c>
      <c r="U106" s="684"/>
      <c r="V106" s="684">
        <v>50</v>
      </c>
      <c r="W106" s="684" t="s">
        <v>39</v>
      </c>
      <c r="X106" s="686" t="s">
        <v>5</v>
      </c>
      <c r="Y106" s="1022">
        <f t="shared" si="28"/>
        <v>10000</v>
      </c>
      <c r="Z106" s="732">
        <f>S106*V106</f>
        <v>10000000</v>
      </c>
      <c r="AA106" s="547"/>
      <c r="AB106" s="1891"/>
      <c r="AC106" s="1895"/>
      <c r="AD106" s="456"/>
    </row>
    <row r="107" spans="1:30" s="1651" customFormat="1" ht="22.5" customHeight="1">
      <c r="A107" s="540"/>
      <c r="B107" s="541"/>
      <c r="C107" s="3836" t="s">
        <v>1295</v>
      </c>
      <c r="D107" s="3821"/>
      <c r="E107" s="3822"/>
      <c r="F107" s="598">
        <f>+F108</f>
        <v>1276000</v>
      </c>
      <c r="G107" s="598">
        <f>+G108</f>
        <v>1276000</v>
      </c>
      <c r="H107" s="627">
        <f t="shared" ref="H107:H108" si="30">F107-G107</f>
        <v>0</v>
      </c>
      <c r="I107" s="557"/>
      <c r="J107" s="538"/>
      <c r="K107" s="2068"/>
      <c r="L107" s="2068"/>
      <c r="M107" s="2068"/>
      <c r="N107" s="2068"/>
      <c r="O107" s="2068"/>
      <c r="P107" s="2068"/>
      <c r="Q107" s="2068"/>
      <c r="R107" s="2068"/>
      <c r="S107" s="2068"/>
      <c r="T107" s="2068"/>
      <c r="U107" s="2068"/>
      <c r="V107" s="2068"/>
      <c r="W107" s="2068"/>
      <c r="X107" s="585"/>
      <c r="Y107" s="586"/>
      <c r="Z107" s="595"/>
      <c r="AA107" s="547"/>
      <c r="AB107" s="1891">
        <f>F107</f>
        <v>1276000</v>
      </c>
      <c r="AC107" s="1895"/>
      <c r="AD107" s="456"/>
    </row>
    <row r="108" spans="1:30" s="1651" customFormat="1" ht="22.5" customHeight="1">
      <c r="A108" s="540"/>
      <c r="B108" s="541"/>
      <c r="C108" s="2082"/>
      <c r="D108" s="2071" t="s">
        <v>1296</v>
      </c>
      <c r="E108" s="2069"/>
      <c r="F108" s="823">
        <f>SUM(F109:F116)</f>
        <v>1276000</v>
      </c>
      <c r="G108" s="823">
        <f>SUM(G109:G116)</f>
        <v>1276000</v>
      </c>
      <c r="H108" s="627">
        <f t="shared" si="30"/>
        <v>0</v>
      </c>
      <c r="I108" s="557"/>
      <c r="J108" s="580"/>
      <c r="K108" s="2072"/>
      <c r="L108" s="2072"/>
      <c r="M108" s="2072"/>
      <c r="N108" s="2072"/>
      <c r="O108" s="2072"/>
      <c r="P108" s="2072"/>
      <c r="Q108" s="2072"/>
      <c r="R108" s="2072"/>
      <c r="S108" s="2072"/>
      <c r="T108" s="2072"/>
      <c r="U108" s="2072"/>
      <c r="V108" s="2072"/>
      <c r="W108" s="2072"/>
      <c r="X108" s="581"/>
      <c r="Y108" s="586"/>
      <c r="Z108" s="583"/>
      <c r="AA108" s="547"/>
      <c r="AB108" s="1891"/>
      <c r="AC108" s="1895"/>
      <c r="AD108" s="456"/>
    </row>
    <row r="109" spans="1:30" s="809" customFormat="1" ht="22.5" customHeight="1">
      <c r="A109" s="2683"/>
      <c r="B109" s="2684"/>
      <c r="C109" s="2462"/>
      <c r="D109" s="2691"/>
      <c r="E109" s="2692" t="s">
        <v>1435</v>
      </c>
      <c r="F109" s="842">
        <f>Y109</f>
        <v>3000</v>
      </c>
      <c r="G109" s="842">
        <v>3000</v>
      </c>
      <c r="H109" s="1320"/>
      <c r="I109" s="557"/>
      <c r="J109" s="3599" t="s">
        <v>1436</v>
      </c>
      <c r="K109" s="605"/>
      <c r="L109" s="605"/>
      <c r="M109" s="605"/>
      <c r="N109" s="605"/>
      <c r="O109" s="605"/>
      <c r="P109" s="605"/>
      <c r="Q109" s="1344">
        <v>50</v>
      </c>
      <c r="R109" s="605" t="s">
        <v>1928</v>
      </c>
      <c r="S109" s="1344">
        <v>30000</v>
      </c>
      <c r="T109" s="605" t="s">
        <v>1434</v>
      </c>
      <c r="U109" s="605"/>
      <c r="V109" s="1344">
        <v>2</v>
      </c>
      <c r="W109" s="605" t="s">
        <v>1430</v>
      </c>
      <c r="X109" s="610" t="s">
        <v>1426</v>
      </c>
      <c r="Y109" s="748">
        <f>(Z109)/1000</f>
        <v>3000</v>
      </c>
      <c r="Z109" s="3600">
        <f>Q109*S109*V109</f>
        <v>3000000</v>
      </c>
      <c r="AA109" s="2687"/>
      <c r="AB109" s="2688"/>
      <c r="AC109" s="2689"/>
      <c r="AD109" s="808"/>
    </row>
    <row r="110" spans="1:30" s="809" customFormat="1" ht="22.5" customHeight="1">
      <c r="A110" s="2683"/>
      <c r="B110" s="2684"/>
      <c r="C110" s="2462"/>
      <c r="D110" s="2691"/>
      <c r="E110" s="592" t="s">
        <v>1440</v>
      </c>
      <c r="F110" s="824">
        <f>Y110</f>
        <v>12000</v>
      </c>
      <c r="G110" s="824">
        <v>12000</v>
      </c>
      <c r="H110" s="551"/>
      <c r="I110" s="557"/>
      <c r="J110" s="2081" t="s">
        <v>1441</v>
      </c>
      <c r="K110" s="2082"/>
      <c r="L110" s="2082"/>
      <c r="M110" s="2082"/>
      <c r="N110" s="2082"/>
      <c r="O110" s="2082"/>
      <c r="P110" s="2082"/>
      <c r="Q110" s="475">
        <v>4</v>
      </c>
      <c r="R110" s="2082" t="s">
        <v>1926</v>
      </c>
      <c r="S110" s="475">
        <v>200000</v>
      </c>
      <c r="T110" s="2082" t="s">
        <v>1434</v>
      </c>
      <c r="U110" s="2082"/>
      <c r="V110" s="475">
        <v>15</v>
      </c>
      <c r="W110" s="2082" t="s">
        <v>1431</v>
      </c>
      <c r="X110" s="2030" t="s">
        <v>1426</v>
      </c>
      <c r="Y110" s="554">
        <f>(Z110)/1000</f>
        <v>12000</v>
      </c>
      <c r="Z110" s="2664">
        <f>Q110*S110*V110</f>
        <v>12000000</v>
      </c>
      <c r="AA110" s="2687"/>
      <c r="AB110" s="2688"/>
      <c r="AC110" s="2689"/>
      <c r="AD110" s="808"/>
    </row>
    <row r="111" spans="1:30" s="1651" customFormat="1" ht="22.5" customHeight="1">
      <c r="A111" s="540"/>
      <c r="B111" s="541"/>
      <c r="C111" s="2082"/>
      <c r="D111" s="592"/>
      <c r="E111" s="592" t="s">
        <v>1423</v>
      </c>
      <c r="F111" s="824">
        <f>Y111</f>
        <v>1256000</v>
      </c>
      <c r="G111" s="824">
        <v>1256000</v>
      </c>
      <c r="H111" s="551"/>
      <c r="I111" s="557"/>
      <c r="J111" s="2081" t="s">
        <v>1424</v>
      </c>
      <c r="K111" s="2082"/>
      <c r="L111" s="2082"/>
      <c r="M111" s="2082"/>
      <c r="N111" s="2082"/>
      <c r="O111" s="2082"/>
      <c r="P111" s="2082"/>
      <c r="Q111" s="2082"/>
      <c r="R111" s="2082"/>
      <c r="S111" s="2082"/>
      <c r="T111" s="2082"/>
      <c r="U111" s="2082"/>
      <c r="V111" s="2082"/>
      <c r="W111" s="2082"/>
      <c r="X111" s="542"/>
      <c r="Y111" s="554">
        <f t="shared" ref="Y111" si="31">(Z111)/1000</f>
        <v>1256000</v>
      </c>
      <c r="Z111" s="2664">
        <f>SUM(Z112:Z114)</f>
        <v>1256000000</v>
      </c>
      <c r="AA111" s="547"/>
      <c r="AB111" s="1891"/>
      <c r="AC111" s="1895"/>
      <c r="AD111" s="456"/>
    </row>
    <row r="112" spans="1:30" s="1651" customFormat="1" ht="22.5" customHeight="1">
      <c r="A112" s="540"/>
      <c r="B112" s="541"/>
      <c r="C112" s="2082"/>
      <c r="D112" s="592"/>
      <c r="E112" s="592"/>
      <c r="F112" s="824"/>
      <c r="G112" s="824"/>
      <c r="H112" s="551"/>
      <c r="I112" s="557"/>
      <c r="J112" s="2081" t="s">
        <v>1438</v>
      </c>
      <c r="K112" s="2082"/>
      <c r="L112" s="2082"/>
      <c r="M112" s="2082"/>
      <c r="N112" s="2082"/>
      <c r="O112" s="2082"/>
      <c r="P112" s="2082"/>
      <c r="Q112" s="475"/>
      <c r="R112" s="2082"/>
      <c r="S112" s="475">
        <v>80000000</v>
      </c>
      <c r="T112" s="2082" t="s">
        <v>1434</v>
      </c>
      <c r="U112" s="2082"/>
      <c r="V112" s="475">
        <v>14</v>
      </c>
      <c r="W112" s="2082" t="s">
        <v>1428</v>
      </c>
      <c r="X112" s="2030" t="s">
        <v>1426</v>
      </c>
      <c r="Y112" s="554">
        <f>(Z112)/1000</f>
        <v>1120000</v>
      </c>
      <c r="Z112" s="2664">
        <f>S112*V112</f>
        <v>1120000000</v>
      </c>
      <c r="AA112" s="547"/>
      <c r="AB112" s="1891"/>
      <c r="AC112" s="1895"/>
      <c r="AD112" s="456"/>
    </row>
    <row r="113" spans="1:30" s="1651" customFormat="1" ht="22.5" customHeight="1">
      <c r="A113" s="540"/>
      <c r="B113" s="541"/>
      <c r="C113" s="2082"/>
      <c r="D113" s="592"/>
      <c r="E113" s="592"/>
      <c r="F113" s="824"/>
      <c r="G113" s="824"/>
      <c r="H113" s="551"/>
      <c r="I113" s="557"/>
      <c r="J113" s="2081" t="s">
        <v>1925</v>
      </c>
      <c r="K113" s="2082"/>
      <c r="L113" s="2082"/>
      <c r="M113" s="2082"/>
      <c r="N113" s="2082"/>
      <c r="O113" s="2082"/>
      <c r="P113" s="2082"/>
      <c r="Q113" s="475"/>
      <c r="R113" s="2082"/>
      <c r="S113" s="475">
        <v>100000000</v>
      </c>
      <c r="T113" s="2082" t="s">
        <v>1434</v>
      </c>
      <c r="U113" s="2082"/>
      <c r="V113" s="475">
        <v>1</v>
      </c>
      <c r="W113" s="2082" t="s">
        <v>1428</v>
      </c>
      <c r="X113" s="2030" t="s">
        <v>1426</v>
      </c>
      <c r="Y113" s="554">
        <f t="shared" ref="Y113:Y116" si="32">(Z113)/1000</f>
        <v>100000</v>
      </c>
      <c r="Z113" s="2664">
        <f t="shared" ref="Z113:Z114" si="33">S113*V113</f>
        <v>100000000</v>
      </c>
      <c r="AA113" s="547"/>
      <c r="AB113" s="1891"/>
      <c r="AC113" s="1895"/>
      <c r="AD113" s="456"/>
    </row>
    <row r="114" spans="1:30" s="1651" customFormat="1" ht="22.5" customHeight="1">
      <c r="A114" s="540"/>
      <c r="B114" s="541"/>
      <c r="C114" s="2082"/>
      <c r="D114" s="592"/>
      <c r="E114" s="592"/>
      <c r="F114" s="824"/>
      <c r="G114" s="824"/>
      <c r="H114" s="551"/>
      <c r="I114" s="557"/>
      <c r="J114" s="2081" t="s">
        <v>1439</v>
      </c>
      <c r="K114" s="2082"/>
      <c r="L114" s="2082"/>
      <c r="M114" s="2082"/>
      <c r="N114" s="2082"/>
      <c r="O114" s="2082"/>
      <c r="P114" s="2082"/>
      <c r="Q114" s="2082"/>
      <c r="R114" s="2082"/>
      <c r="S114" s="475">
        <v>36000000</v>
      </c>
      <c r="T114" s="2082" t="s">
        <v>1434</v>
      </c>
      <c r="U114" s="2082"/>
      <c r="V114" s="475">
        <v>1</v>
      </c>
      <c r="W114" s="2082" t="s">
        <v>1428</v>
      </c>
      <c r="X114" s="2030" t="s">
        <v>1426</v>
      </c>
      <c r="Y114" s="554">
        <f t="shared" si="32"/>
        <v>36000</v>
      </c>
      <c r="Z114" s="2664">
        <f t="shared" si="33"/>
        <v>36000000</v>
      </c>
      <c r="AA114" s="547"/>
      <c r="AB114" s="1891"/>
      <c r="AC114" s="1895"/>
      <c r="AD114" s="456"/>
    </row>
    <row r="115" spans="1:30" s="1651" customFormat="1" ht="22.5" customHeight="1">
      <c r="A115" s="540"/>
      <c r="B115" s="541"/>
      <c r="C115" s="2082"/>
      <c r="D115" s="592"/>
      <c r="E115" s="592" t="s">
        <v>1432</v>
      </c>
      <c r="F115" s="824">
        <v>3000</v>
      </c>
      <c r="G115" s="824">
        <v>3000</v>
      </c>
      <c r="H115" s="551"/>
      <c r="I115" s="557"/>
      <c r="J115" s="2081" t="s">
        <v>1442</v>
      </c>
      <c r="K115" s="2082"/>
      <c r="L115" s="2082"/>
      <c r="M115" s="2082"/>
      <c r="N115" s="2082"/>
      <c r="O115" s="2082"/>
      <c r="P115" s="2082"/>
      <c r="Q115" s="475"/>
      <c r="R115" s="2082"/>
      <c r="S115" s="475">
        <v>1500000</v>
      </c>
      <c r="T115" s="2082" t="s">
        <v>1434</v>
      </c>
      <c r="U115" s="2082"/>
      <c r="V115" s="475">
        <v>2</v>
      </c>
      <c r="W115" s="2082" t="s">
        <v>1443</v>
      </c>
      <c r="X115" s="2030" t="s">
        <v>1426</v>
      </c>
      <c r="Y115" s="554">
        <f t="shared" si="32"/>
        <v>3000</v>
      </c>
      <c r="Z115" s="2664">
        <f t="shared" ref="Z115:Z116" si="34">S115*V115</f>
        <v>3000000</v>
      </c>
      <c r="AA115" s="547"/>
      <c r="AB115" s="1891"/>
      <c r="AC115" s="1895"/>
      <c r="AD115" s="456"/>
    </row>
    <row r="116" spans="1:30" s="1651" customFormat="1" ht="22.5" customHeight="1">
      <c r="A116" s="540"/>
      <c r="B116" s="541"/>
      <c r="C116" s="2082"/>
      <c r="D116" s="592"/>
      <c r="E116" s="2694" t="s">
        <v>1433</v>
      </c>
      <c r="F116" s="823">
        <v>2000</v>
      </c>
      <c r="G116" s="823">
        <v>2000</v>
      </c>
      <c r="H116" s="1332"/>
      <c r="I116" s="557"/>
      <c r="J116" s="2081" t="s">
        <v>1444</v>
      </c>
      <c r="K116" s="2082"/>
      <c r="L116" s="2082"/>
      <c r="M116" s="2082"/>
      <c r="N116" s="2082"/>
      <c r="O116" s="2082"/>
      <c r="P116" s="2082"/>
      <c r="Q116" s="2082"/>
      <c r="R116" s="2082"/>
      <c r="S116" s="475">
        <v>200000</v>
      </c>
      <c r="T116" s="2082" t="s">
        <v>1434</v>
      </c>
      <c r="U116" s="2082"/>
      <c r="V116" s="475">
        <v>10</v>
      </c>
      <c r="W116" s="2082" t="s">
        <v>1431</v>
      </c>
      <c r="X116" s="2030" t="s">
        <v>1426</v>
      </c>
      <c r="Y116" s="554">
        <f t="shared" si="32"/>
        <v>2000</v>
      </c>
      <c r="Z116" s="2664">
        <f t="shared" si="34"/>
        <v>2000000</v>
      </c>
      <c r="AA116" s="547"/>
      <c r="AB116" s="1891"/>
      <c r="AC116" s="1895"/>
      <c r="AD116" s="456"/>
    </row>
    <row r="117" spans="1:30" s="1651" customFormat="1" ht="22.5" customHeight="1">
      <c r="A117" s="591"/>
      <c r="B117" s="592"/>
      <c r="C117" s="3836" t="s">
        <v>1298</v>
      </c>
      <c r="D117" s="3821"/>
      <c r="E117" s="3822"/>
      <c r="F117" s="825">
        <f>F118+F128+F140+F150</f>
        <v>493000</v>
      </c>
      <c r="G117" s="825">
        <f>G118+G128+G140+G150</f>
        <v>493000</v>
      </c>
      <c r="H117" s="627">
        <f t="shared" ref="H117" si="35">F117-G117</f>
        <v>0</v>
      </c>
      <c r="I117" s="557"/>
      <c r="J117" s="2025"/>
      <c r="K117" s="2026"/>
      <c r="L117" s="2068"/>
      <c r="M117" s="2068"/>
      <c r="N117" s="1349"/>
      <c r="O117" s="2068"/>
      <c r="P117" s="2068"/>
      <c r="Q117" s="2322"/>
      <c r="R117" s="2027"/>
      <c r="S117" s="545"/>
      <c r="T117" s="2026"/>
      <c r="U117" s="2026"/>
      <c r="V117" s="2026"/>
      <c r="W117" s="2026"/>
      <c r="X117" s="2028"/>
      <c r="Y117" s="586"/>
      <c r="Z117" s="622"/>
      <c r="AA117" s="547"/>
      <c r="AB117" s="1891">
        <f>F117</f>
        <v>493000</v>
      </c>
      <c r="AC117" s="1895"/>
      <c r="AD117" s="456"/>
    </row>
    <row r="118" spans="1:30" s="1875" customFormat="1" ht="22.5" customHeight="1">
      <c r="A118" s="540"/>
      <c r="B118" s="541"/>
      <c r="C118" s="564"/>
      <c r="D118" s="3837" t="s">
        <v>2156</v>
      </c>
      <c r="E118" s="3838"/>
      <c r="F118" s="2319">
        <f>SUM(F119:F127)</f>
        <v>340000</v>
      </c>
      <c r="G118" s="2319">
        <f>SUM(G119:G127)</f>
        <v>340000</v>
      </c>
      <c r="H118" s="627">
        <f>F118-G118</f>
        <v>0</v>
      </c>
      <c r="I118" s="543"/>
      <c r="J118" s="1342"/>
      <c r="K118" s="2072"/>
      <c r="L118" s="2072"/>
      <c r="M118" s="2072"/>
      <c r="N118" s="2072"/>
      <c r="O118" s="2072"/>
      <c r="P118" s="2072"/>
      <c r="Q118" s="615"/>
      <c r="R118" s="616"/>
      <c r="S118" s="617"/>
      <c r="T118" s="618"/>
      <c r="U118" s="618"/>
      <c r="V118" s="618"/>
      <c r="W118" s="618"/>
      <c r="X118" s="619"/>
      <c r="Y118" s="517"/>
      <c r="Z118" s="546"/>
      <c r="AA118" s="547"/>
      <c r="AB118" s="2082"/>
      <c r="AC118" s="2082"/>
    </row>
    <row r="119" spans="1:30" s="1875" customFormat="1" ht="22.5" customHeight="1">
      <c r="A119" s="540"/>
      <c r="B119" s="541"/>
      <c r="C119" s="564"/>
      <c r="D119" s="588"/>
      <c r="E119" s="745" t="s">
        <v>261</v>
      </c>
      <c r="F119" s="526">
        <f>Y119</f>
        <v>264500</v>
      </c>
      <c r="G119" s="1918">
        <v>264500</v>
      </c>
      <c r="H119" s="551"/>
      <c r="I119" s="543"/>
      <c r="J119" s="3240" t="s">
        <v>1581</v>
      </c>
      <c r="K119" s="3241"/>
      <c r="L119" s="3236"/>
      <c r="M119" s="3236"/>
      <c r="N119" s="3236"/>
      <c r="O119" s="3236"/>
      <c r="P119" s="3236"/>
      <c r="Q119" s="556"/>
      <c r="R119" s="3225"/>
      <c r="S119" s="3108">
        <v>26450000</v>
      </c>
      <c r="T119" s="3241" t="s">
        <v>0</v>
      </c>
      <c r="U119" s="3241"/>
      <c r="V119" s="3241">
        <v>10</v>
      </c>
      <c r="W119" s="3241" t="s">
        <v>2157</v>
      </c>
      <c r="X119" s="2030" t="s">
        <v>1</v>
      </c>
      <c r="Y119" s="3110">
        <f t="shared" ref="Y119:Y127" si="36">Z119/1000</f>
        <v>264500</v>
      </c>
      <c r="Z119" s="555">
        <f>S119*V119</f>
        <v>264500000</v>
      </c>
      <c r="AA119" s="547"/>
      <c r="AB119" s="2082"/>
      <c r="AC119" s="555"/>
    </row>
    <row r="120" spans="1:30" s="1875" customFormat="1" ht="22.5" customHeight="1">
      <c r="A120" s="540"/>
      <c r="B120" s="541"/>
      <c r="C120" s="564"/>
      <c r="D120" s="588"/>
      <c r="E120" s="745" t="s">
        <v>880</v>
      </c>
      <c r="F120" s="526">
        <f>Y120</f>
        <v>43000</v>
      </c>
      <c r="G120" s="1918">
        <v>43000</v>
      </c>
      <c r="H120" s="551"/>
      <c r="I120" s="543"/>
      <c r="J120" s="3240" t="s">
        <v>8</v>
      </c>
      <c r="K120" s="3236"/>
      <c r="L120" s="3236"/>
      <c r="M120" s="3236"/>
      <c r="N120" s="3236"/>
      <c r="O120" s="3236"/>
      <c r="P120" s="3236"/>
      <c r="Q120" s="3236"/>
      <c r="R120" s="552"/>
      <c r="S120" s="3236"/>
      <c r="T120" s="3236"/>
      <c r="U120" s="3236"/>
      <c r="V120" s="3236"/>
      <c r="W120" s="3236"/>
      <c r="X120" s="2030"/>
      <c r="Y120" s="3110">
        <f t="shared" si="36"/>
        <v>43000</v>
      </c>
      <c r="Z120" s="555">
        <f>SUM(Z121:Z122)</f>
        <v>43000000</v>
      </c>
      <c r="AA120" s="547"/>
      <c r="AB120" s="2082"/>
      <c r="AC120" s="308"/>
    </row>
    <row r="121" spans="1:30" s="1875" customFormat="1" ht="22.5" customHeight="1">
      <c r="A121" s="540"/>
      <c r="B121" s="541"/>
      <c r="C121" s="564"/>
      <c r="D121" s="588"/>
      <c r="E121" s="745"/>
      <c r="F121" s="526"/>
      <c r="G121" s="1918"/>
      <c r="H121" s="551"/>
      <c r="I121" s="543"/>
      <c r="J121" s="3240" t="s">
        <v>2158</v>
      </c>
      <c r="K121" s="3236"/>
      <c r="L121" s="3236"/>
      <c r="M121" s="3236"/>
      <c r="N121" s="3236"/>
      <c r="O121" s="3236"/>
      <c r="P121" s="3236"/>
      <c r="Q121" s="556">
        <v>5</v>
      </c>
      <c r="R121" s="3180" t="s">
        <v>36</v>
      </c>
      <c r="S121" s="3108">
        <v>200000</v>
      </c>
      <c r="T121" s="3241" t="s">
        <v>0</v>
      </c>
      <c r="U121" s="3241"/>
      <c r="V121" s="3241">
        <v>28</v>
      </c>
      <c r="W121" s="3241" t="s">
        <v>3</v>
      </c>
      <c r="X121" s="2030" t="s">
        <v>1</v>
      </c>
      <c r="Y121" s="3110">
        <f t="shared" si="36"/>
        <v>28000</v>
      </c>
      <c r="Z121" s="555">
        <f>Q121*S121*V121</f>
        <v>28000000</v>
      </c>
      <c r="AA121" s="547"/>
      <c r="AB121" s="2082"/>
      <c r="AC121" s="308"/>
    </row>
    <row r="122" spans="1:30" s="1875" customFormat="1" ht="22.5" customHeight="1">
      <c r="A122" s="540"/>
      <c r="B122" s="541"/>
      <c r="C122" s="564"/>
      <c r="D122" s="588"/>
      <c r="E122" s="745"/>
      <c r="F122" s="526"/>
      <c r="G122" s="1918"/>
      <c r="H122" s="551"/>
      <c r="I122" s="543"/>
      <c r="J122" s="3240" t="s">
        <v>2159</v>
      </c>
      <c r="K122" s="3236"/>
      <c r="L122" s="3236"/>
      <c r="M122" s="3236"/>
      <c r="N122" s="3236"/>
      <c r="O122" s="3236"/>
      <c r="P122" s="3236"/>
      <c r="Q122" s="556">
        <v>1</v>
      </c>
      <c r="R122" s="3180" t="s">
        <v>36</v>
      </c>
      <c r="S122" s="3108">
        <v>2500000</v>
      </c>
      <c r="T122" s="3241" t="s">
        <v>0</v>
      </c>
      <c r="U122" s="3241"/>
      <c r="V122" s="3241">
        <v>6</v>
      </c>
      <c r="W122" s="3241" t="s">
        <v>55</v>
      </c>
      <c r="X122" s="2030" t="s">
        <v>1</v>
      </c>
      <c r="Y122" s="3110">
        <f t="shared" si="36"/>
        <v>15000</v>
      </c>
      <c r="Z122" s="555">
        <f>Q122*S122*V122</f>
        <v>15000000</v>
      </c>
      <c r="AA122" s="547"/>
      <c r="AB122" s="2082"/>
      <c r="AC122" s="308"/>
    </row>
    <row r="123" spans="1:30" s="1875" customFormat="1" ht="22.5" customHeight="1">
      <c r="A123" s="540"/>
      <c r="B123" s="541"/>
      <c r="C123" s="564"/>
      <c r="D123" s="588"/>
      <c r="E123" s="745" t="s">
        <v>2160</v>
      </c>
      <c r="F123" s="526">
        <f>Y123</f>
        <v>16500</v>
      </c>
      <c r="G123" s="1918">
        <v>16500</v>
      </c>
      <c r="H123" s="551"/>
      <c r="I123" s="543"/>
      <c r="J123" s="3240" t="s">
        <v>2161</v>
      </c>
      <c r="K123" s="3241"/>
      <c r="L123" s="3236"/>
      <c r="M123" s="3236"/>
      <c r="N123" s="3109" t="s">
        <v>20</v>
      </c>
      <c r="O123" s="3236" t="s">
        <v>20</v>
      </c>
      <c r="P123" s="3236"/>
      <c r="Q123" s="556"/>
      <c r="R123" s="3180"/>
      <c r="S123" s="3108">
        <v>16500000</v>
      </c>
      <c r="T123" s="3241" t="s">
        <v>0</v>
      </c>
      <c r="U123" s="3241"/>
      <c r="V123" s="3241">
        <v>1</v>
      </c>
      <c r="W123" s="3241" t="s">
        <v>3</v>
      </c>
      <c r="X123" s="2030" t="s">
        <v>1</v>
      </c>
      <c r="Y123" s="3110">
        <f t="shared" si="36"/>
        <v>16500</v>
      </c>
      <c r="Z123" s="555">
        <f>S123*V123</f>
        <v>16500000</v>
      </c>
      <c r="AA123" s="547"/>
      <c r="AB123" s="2082"/>
      <c r="AC123" s="2082"/>
    </row>
    <row r="124" spans="1:30" s="1875" customFormat="1" ht="22.5" customHeight="1">
      <c r="A124" s="540"/>
      <c r="B124" s="541"/>
      <c r="C124" s="564"/>
      <c r="D124" s="588"/>
      <c r="E124" s="745" t="s">
        <v>2162</v>
      </c>
      <c r="F124" s="526">
        <f>Y124</f>
        <v>4000</v>
      </c>
      <c r="G124" s="1918">
        <v>4000</v>
      </c>
      <c r="H124" s="551"/>
      <c r="I124" s="543"/>
      <c r="J124" s="3240" t="s">
        <v>2163</v>
      </c>
      <c r="K124" s="3241"/>
      <c r="L124" s="3236"/>
      <c r="M124" s="3236"/>
      <c r="N124" s="3109" t="s">
        <v>20</v>
      </c>
      <c r="O124" s="3236" t="s">
        <v>20</v>
      </c>
      <c r="P124" s="3236"/>
      <c r="Q124" s="556"/>
      <c r="R124" s="3180"/>
      <c r="S124" s="3108">
        <v>4000000</v>
      </c>
      <c r="T124" s="3241" t="s">
        <v>0</v>
      </c>
      <c r="U124" s="3241"/>
      <c r="V124" s="3241">
        <v>1</v>
      </c>
      <c r="W124" s="3241" t="s">
        <v>3</v>
      </c>
      <c r="X124" s="2030" t="s">
        <v>1</v>
      </c>
      <c r="Y124" s="3110">
        <f t="shared" si="36"/>
        <v>4000</v>
      </c>
      <c r="Z124" s="555">
        <f>S124*V124</f>
        <v>4000000</v>
      </c>
      <c r="AA124" s="547"/>
      <c r="AB124" s="2082"/>
      <c r="AC124" s="2082"/>
    </row>
    <row r="125" spans="1:30" s="1875" customFormat="1" ht="22.5" customHeight="1">
      <c r="A125" s="540"/>
      <c r="B125" s="541"/>
      <c r="C125" s="564"/>
      <c r="D125" s="588"/>
      <c r="E125" s="745" t="s">
        <v>905</v>
      </c>
      <c r="F125" s="526">
        <f>Y125</f>
        <v>3000</v>
      </c>
      <c r="G125" s="1918">
        <v>3000</v>
      </c>
      <c r="H125" s="551"/>
      <c r="I125" s="543"/>
      <c r="J125" s="3240" t="s">
        <v>2164</v>
      </c>
      <c r="K125" s="3241"/>
      <c r="L125" s="3236"/>
      <c r="M125" s="3236"/>
      <c r="N125" s="3109" t="s">
        <v>20</v>
      </c>
      <c r="O125" s="3236" t="s">
        <v>20</v>
      </c>
      <c r="P125" s="3236"/>
      <c r="Q125" s="556"/>
      <c r="R125" s="3180"/>
      <c r="S125" s="3108">
        <v>1500000</v>
      </c>
      <c r="T125" s="3241" t="s">
        <v>0</v>
      </c>
      <c r="U125" s="3241"/>
      <c r="V125" s="3241">
        <v>2</v>
      </c>
      <c r="W125" s="3241" t="s">
        <v>3</v>
      </c>
      <c r="X125" s="2030" t="s">
        <v>1</v>
      </c>
      <c r="Y125" s="3110">
        <f t="shared" si="36"/>
        <v>3000</v>
      </c>
      <c r="Z125" s="555">
        <f>S125*V125</f>
        <v>3000000</v>
      </c>
      <c r="AA125" s="547"/>
      <c r="AB125" s="2082"/>
      <c r="AC125" s="2082"/>
    </row>
    <row r="126" spans="1:30" s="1875" customFormat="1" ht="22.5" customHeight="1">
      <c r="A126" s="540"/>
      <c r="B126" s="541"/>
      <c r="C126" s="564"/>
      <c r="D126" s="588"/>
      <c r="E126" s="745" t="s">
        <v>803</v>
      </c>
      <c r="F126" s="526">
        <f>Y126</f>
        <v>9000</v>
      </c>
      <c r="G126" s="1918">
        <v>8000</v>
      </c>
      <c r="H126" s="551">
        <f>F126-G126</f>
        <v>1000</v>
      </c>
      <c r="I126" s="543"/>
      <c r="J126" s="3240" t="s">
        <v>1740</v>
      </c>
      <c r="K126" s="3241"/>
      <c r="L126" s="3236"/>
      <c r="M126" s="3236"/>
      <c r="N126" s="3109" t="s">
        <v>20</v>
      </c>
      <c r="O126" s="3236" t="s">
        <v>20</v>
      </c>
      <c r="P126" s="3236"/>
      <c r="Q126" s="556"/>
      <c r="R126" s="3180"/>
      <c r="S126" s="3108">
        <v>4500000</v>
      </c>
      <c r="T126" s="3241" t="s">
        <v>0</v>
      </c>
      <c r="U126" s="3241"/>
      <c r="V126" s="3241">
        <v>2</v>
      </c>
      <c r="W126" s="3241" t="s">
        <v>3</v>
      </c>
      <c r="X126" s="2030" t="s">
        <v>1</v>
      </c>
      <c r="Y126" s="3110">
        <f t="shared" si="36"/>
        <v>9000</v>
      </c>
      <c r="Z126" s="555">
        <f>S126*V126</f>
        <v>9000000</v>
      </c>
      <c r="AA126" s="547"/>
      <c r="AB126" s="2082"/>
      <c r="AC126" s="2082"/>
    </row>
    <row r="127" spans="1:30" s="1875" customFormat="1" ht="22.5" customHeight="1">
      <c r="A127" s="540"/>
      <c r="B127" s="541"/>
      <c r="C127" s="564"/>
      <c r="D127" s="588"/>
      <c r="E127" s="745" t="s">
        <v>809</v>
      </c>
      <c r="F127" s="526">
        <f>Y127</f>
        <v>0</v>
      </c>
      <c r="G127" s="1918">
        <v>1000</v>
      </c>
      <c r="H127" s="1332">
        <f>F127-G127</f>
        <v>-1000</v>
      </c>
      <c r="I127" s="543"/>
      <c r="J127" s="3240" t="s">
        <v>2165</v>
      </c>
      <c r="K127" s="3241"/>
      <c r="L127" s="3236"/>
      <c r="M127" s="3236"/>
      <c r="N127" s="3109" t="s">
        <v>20</v>
      </c>
      <c r="O127" s="3236" t="s">
        <v>20</v>
      </c>
      <c r="P127" s="3236"/>
      <c r="Q127" s="556">
        <v>5</v>
      </c>
      <c r="R127" s="3180" t="s">
        <v>36</v>
      </c>
      <c r="S127" s="3108">
        <v>200000</v>
      </c>
      <c r="T127" s="3241" t="s">
        <v>0</v>
      </c>
      <c r="U127" s="3241"/>
      <c r="V127" s="3241">
        <v>0</v>
      </c>
      <c r="W127" s="3241" t="s">
        <v>3</v>
      </c>
      <c r="X127" s="2030" t="s">
        <v>1</v>
      </c>
      <c r="Y127" s="3110">
        <f t="shared" si="36"/>
        <v>0</v>
      </c>
      <c r="Z127" s="555">
        <f>S127*V127</f>
        <v>0</v>
      </c>
      <c r="AA127" s="547"/>
      <c r="AB127" s="2082"/>
      <c r="AC127" s="2082"/>
    </row>
    <row r="128" spans="1:30" ht="22.5" customHeight="1">
      <c r="A128" s="623"/>
      <c r="B128" s="541"/>
      <c r="C128" s="564"/>
      <c r="D128" s="3837" t="s">
        <v>2166</v>
      </c>
      <c r="E128" s="3838"/>
      <c r="F128" s="525">
        <f>SUM(F129:F139)</f>
        <v>86000</v>
      </c>
      <c r="G128" s="525">
        <f>SUM(G129:G139)</f>
        <v>86000</v>
      </c>
      <c r="H128" s="627">
        <f>F128-G128</f>
        <v>0</v>
      </c>
      <c r="I128" s="543"/>
      <c r="J128" s="1348"/>
      <c r="K128" s="2068"/>
      <c r="L128" s="2068"/>
      <c r="M128" s="2068"/>
      <c r="N128" s="2068"/>
      <c r="O128" s="2068"/>
      <c r="P128" s="2068"/>
      <c r="Q128" s="2322"/>
      <c r="R128" s="2027"/>
      <c r="S128" s="545"/>
      <c r="T128" s="2026"/>
      <c r="U128" s="2026"/>
      <c r="V128" s="2026"/>
      <c r="W128" s="2026"/>
      <c r="X128" s="2028"/>
      <c r="Y128" s="517"/>
      <c r="Z128" s="2695"/>
      <c r="AA128" s="2696"/>
      <c r="AB128" s="566"/>
      <c r="AC128" s="566"/>
      <c r="AD128" s="188"/>
    </row>
    <row r="129" spans="1:30" ht="22.5" customHeight="1">
      <c r="A129" s="623"/>
      <c r="B129" s="541"/>
      <c r="C129" s="564"/>
      <c r="D129" s="588"/>
      <c r="E129" s="745" t="s">
        <v>261</v>
      </c>
      <c r="F129" s="526">
        <f>Y129</f>
        <v>20000</v>
      </c>
      <c r="G129" s="1918">
        <v>20000</v>
      </c>
      <c r="H129" s="551"/>
      <c r="I129" s="543"/>
      <c r="J129" s="3240" t="s">
        <v>2167</v>
      </c>
      <c r="K129" s="3241"/>
      <c r="L129" s="3236"/>
      <c r="M129" s="3236"/>
      <c r="N129" s="3236"/>
      <c r="O129" s="3236"/>
      <c r="P129" s="3236"/>
      <c r="Q129" s="556"/>
      <c r="R129" s="3225"/>
      <c r="S129" s="3108">
        <v>20000000</v>
      </c>
      <c r="T129" s="3241" t="s">
        <v>0</v>
      </c>
      <c r="U129" s="3241"/>
      <c r="V129" s="3241">
        <v>1</v>
      </c>
      <c r="W129" s="3241" t="s">
        <v>697</v>
      </c>
      <c r="X129" s="2030" t="s">
        <v>1</v>
      </c>
      <c r="Y129" s="3110">
        <f t="shared" ref="Y129:Y139" si="37">Z129/1000</f>
        <v>20000</v>
      </c>
      <c r="Z129" s="555">
        <f>S129*V129</f>
        <v>20000000</v>
      </c>
      <c r="AA129" s="2696"/>
      <c r="AB129" s="566"/>
      <c r="AC129" s="566"/>
      <c r="AD129" s="188"/>
    </row>
    <row r="130" spans="1:30" ht="22.5" customHeight="1">
      <c r="A130" s="623"/>
      <c r="B130" s="541"/>
      <c r="C130" s="564"/>
      <c r="D130" s="588"/>
      <c r="E130" s="745" t="s">
        <v>880</v>
      </c>
      <c r="F130" s="526">
        <f>Y130</f>
        <v>28000</v>
      </c>
      <c r="G130" s="1918">
        <v>28000</v>
      </c>
      <c r="H130" s="551"/>
      <c r="I130" s="543"/>
      <c r="J130" s="3240" t="s">
        <v>8</v>
      </c>
      <c r="K130" s="3236"/>
      <c r="L130" s="3236"/>
      <c r="M130" s="3236"/>
      <c r="N130" s="3236"/>
      <c r="O130" s="3236"/>
      <c r="P130" s="3236"/>
      <c r="Q130" s="3236"/>
      <c r="R130" s="552"/>
      <c r="S130" s="3236"/>
      <c r="T130" s="3236"/>
      <c r="U130" s="3236"/>
      <c r="V130" s="3236"/>
      <c r="W130" s="3236"/>
      <c r="X130" s="2030"/>
      <c r="Y130" s="3110">
        <f t="shared" si="37"/>
        <v>28000</v>
      </c>
      <c r="Z130" s="555">
        <f>SUM(Z131:Z132)</f>
        <v>28000000</v>
      </c>
      <c r="AA130" s="2696"/>
      <c r="AB130" s="566"/>
      <c r="AC130" s="566"/>
      <c r="AD130" s="188"/>
    </row>
    <row r="131" spans="1:30" ht="22.5" customHeight="1">
      <c r="A131" s="623"/>
      <c r="B131" s="541"/>
      <c r="C131" s="564"/>
      <c r="D131" s="588"/>
      <c r="E131" s="2023"/>
      <c r="F131" s="526"/>
      <c r="G131" s="1918"/>
      <c r="H131" s="551"/>
      <c r="I131" s="543"/>
      <c r="J131" s="3240" t="s">
        <v>2168</v>
      </c>
      <c r="K131" s="3236"/>
      <c r="L131" s="3236"/>
      <c r="M131" s="3236"/>
      <c r="N131" s="3236"/>
      <c r="O131" s="3236"/>
      <c r="P131" s="3236"/>
      <c r="Q131" s="556">
        <v>48</v>
      </c>
      <c r="R131" s="3180" t="s">
        <v>36</v>
      </c>
      <c r="S131" s="3108">
        <v>500000</v>
      </c>
      <c r="T131" s="3241" t="s">
        <v>0</v>
      </c>
      <c r="U131" s="3241"/>
      <c r="V131" s="3241">
        <v>1</v>
      </c>
      <c r="W131" s="3241" t="s">
        <v>3</v>
      </c>
      <c r="X131" s="2030" t="s">
        <v>1</v>
      </c>
      <c r="Y131" s="3110">
        <f t="shared" si="37"/>
        <v>24000</v>
      </c>
      <c r="Z131" s="555">
        <f>Q131*S131*V131</f>
        <v>24000000</v>
      </c>
      <c r="AA131" s="2696"/>
      <c r="AB131" s="566"/>
      <c r="AC131" s="566"/>
      <c r="AD131" s="188"/>
    </row>
    <row r="132" spans="1:30" ht="22.5" customHeight="1">
      <c r="A132" s="623"/>
      <c r="B132" s="541"/>
      <c r="C132" s="564"/>
      <c r="D132" s="588"/>
      <c r="E132" s="2023"/>
      <c r="F132" s="526"/>
      <c r="G132" s="1918"/>
      <c r="H132" s="551"/>
      <c r="I132" s="543"/>
      <c r="J132" s="3240" t="s">
        <v>2169</v>
      </c>
      <c r="K132" s="3236"/>
      <c r="L132" s="3236"/>
      <c r="M132" s="3236"/>
      <c r="N132" s="3236"/>
      <c r="O132" s="3236"/>
      <c r="P132" s="3236"/>
      <c r="Q132" s="556">
        <v>5</v>
      </c>
      <c r="R132" s="3180" t="s">
        <v>36</v>
      </c>
      <c r="S132" s="3108">
        <v>500000</v>
      </c>
      <c r="T132" s="3241" t="s">
        <v>0</v>
      </c>
      <c r="U132" s="3241"/>
      <c r="V132" s="3241">
        <v>8</v>
      </c>
      <c r="W132" s="3241" t="s">
        <v>3</v>
      </c>
      <c r="X132" s="2030" t="s">
        <v>1</v>
      </c>
      <c r="Y132" s="3110">
        <f t="shared" si="37"/>
        <v>4000</v>
      </c>
      <c r="Z132" s="555">
        <f>S132*V132</f>
        <v>4000000</v>
      </c>
      <c r="AA132" s="2696"/>
      <c r="AB132" s="566"/>
      <c r="AC132" s="566"/>
      <c r="AD132" s="188"/>
    </row>
    <row r="133" spans="1:30" ht="22.5" customHeight="1">
      <c r="A133" s="623"/>
      <c r="B133" s="541"/>
      <c r="C133" s="564"/>
      <c r="D133" s="588"/>
      <c r="E133" s="2023" t="s">
        <v>2160</v>
      </c>
      <c r="F133" s="526">
        <f>Y133</f>
        <v>19000</v>
      </c>
      <c r="G133" s="1918">
        <v>19000</v>
      </c>
      <c r="H133" s="551"/>
      <c r="I133" s="543"/>
      <c r="J133" s="3240" t="s">
        <v>8</v>
      </c>
      <c r="K133" s="3236"/>
      <c r="L133" s="3236"/>
      <c r="M133" s="3236"/>
      <c r="N133" s="3236"/>
      <c r="O133" s="3236"/>
      <c r="P133" s="3236"/>
      <c r="Q133" s="3236"/>
      <c r="R133" s="552"/>
      <c r="S133" s="3236"/>
      <c r="T133" s="3236"/>
      <c r="U133" s="3236"/>
      <c r="V133" s="3236"/>
      <c r="W133" s="3236"/>
      <c r="X133" s="2030"/>
      <c r="Y133" s="3110">
        <f t="shared" si="37"/>
        <v>19000</v>
      </c>
      <c r="Z133" s="555">
        <f>SUM(Z134:Z135)</f>
        <v>19000000</v>
      </c>
      <c r="AA133" s="2696"/>
      <c r="AB133" s="566"/>
      <c r="AC133" s="566"/>
      <c r="AD133" s="188"/>
    </row>
    <row r="134" spans="1:30" ht="22.5" customHeight="1">
      <c r="A134" s="623"/>
      <c r="B134" s="541"/>
      <c r="C134" s="564"/>
      <c r="D134" s="548"/>
      <c r="E134" s="2023"/>
      <c r="F134" s="526"/>
      <c r="G134" s="1918"/>
      <c r="H134" s="551"/>
      <c r="I134" s="543"/>
      <c r="J134" s="3240" t="s">
        <v>2170</v>
      </c>
      <c r="K134" s="3236"/>
      <c r="L134" s="3236"/>
      <c r="M134" s="3236"/>
      <c r="N134" s="3236"/>
      <c r="O134" s="3236"/>
      <c r="P134" s="3236"/>
      <c r="Q134" s="556"/>
      <c r="R134" s="3180"/>
      <c r="S134" s="3108">
        <v>12000000</v>
      </c>
      <c r="T134" s="3241" t="s">
        <v>0</v>
      </c>
      <c r="U134" s="3241"/>
      <c r="V134" s="3241">
        <v>1</v>
      </c>
      <c r="W134" s="3241" t="s">
        <v>3</v>
      </c>
      <c r="X134" s="2030" t="s">
        <v>1</v>
      </c>
      <c r="Y134" s="3110">
        <f t="shared" si="37"/>
        <v>12000</v>
      </c>
      <c r="Z134" s="555">
        <f t="shared" ref="Z134:Z139" si="38">S134*V134</f>
        <v>12000000</v>
      </c>
      <c r="AA134" s="2696"/>
      <c r="AB134" s="566"/>
      <c r="AC134" s="566"/>
      <c r="AD134" s="188"/>
    </row>
    <row r="135" spans="1:30" ht="22.5" customHeight="1">
      <c r="A135" s="623"/>
      <c r="B135" s="541"/>
      <c r="C135" s="564"/>
      <c r="D135" s="624"/>
      <c r="E135" s="3236"/>
      <c r="F135" s="526"/>
      <c r="G135" s="1918"/>
      <c r="H135" s="551"/>
      <c r="I135" s="543"/>
      <c r="J135" s="3240" t="s">
        <v>2171</v>
      </c>
      <c r="K135" s="3236"/>
      <c r="L135" s="3236"/>
      <c r="M135" s="3236"/>
      <c r="N135" s="3236"/>
      <c r="O135" s="3236"/>
      <c r="P135" s="3236"/>
      <c r="Q135" s="556"/>
      <c r="R135" s="3180"/>
      <c r="S135" s="3108">
        <v>7000000</v>
      </c>
      <c r="T135" s="3241" t="s">
        <v>0</v>
      </c>
      <c r="U135" s="3241"/>
      <c r="V135" s="3241">
        <v>1</v>
      </c>
      <c r="W135" s="3241" t="s">
        <v>3</v>
      </c>
      <c r="X135" s="2030" t="s">
        <v>1</v>
      </c>
      <c r="Y135" s="3110">
        <f t="shared" si="37"/>
        <v>7000</v>
      </c>
      <c r="Z135" s="555">
        <f t="shared" si="38"/>
        <v>7000000</v>
      </c>
      <c r="AA135" s="2696"/>
      <c r="AB135" s="566"/>
      <c r="AC135" s="566"/>
      <c r="AD135" s="188"/>
    </row>
    <row r="136" spans="1:30" ht="22.5" customHeight="1">
      <c r="A136" s="623"/>
      <c r="B136" s="541"/>
      <c r="C136" s="564"/>
      <c r="D136" s="548"/>
      <c r="E136" s="745" t="s">
        <v>2162</v>
      </c>
      <c r="F136" s="526">
        <f>Y136</f>
        <v>2000</v>
      </c>
      <c r="G136" s="1918">
        <v>2000</v>
      </c>
      <c r="H136" s="551"/>
      <c r="I136" s="543"/>
      <c r="J136" s="3240" t="s">
        <v>2172</v>
      </c>
      <c r="K136" s="3241"/>
      <c r="L136" s="3236"/>
      <c r="M136" s="3236"/>
      <c r="N136" s="3109" t="s">
        <v>20</v>
      </c>
      <c r="O136" s="3236" t="s">
        <v>20</v>
      </c>
      <c r="P136" s="3236"/>
      <c r="Q136" s="556"/>
      <c r="R136" s="3180"/>
      <c r="S136" s="3108">
        <v>400000</v>
      </c>
      <c r="T136" s="3241" t="s">
        <v>0</v>
      </c>
      <c r="U136" s="3241"/>
      <c r="V136" s="3241">
        <v>5</v>
      </c>
      <c r="W136" s="3241" t="s">
        <v>3</v>
      </c>
      <c r="X136" s="2030" t="s">
        <v>1</v>
      </c>
      <c r="Y136" s="3110">
        <f t="shared" si="37"/>
        <v>2000</v>
      </c>
      <c r="Z136" s="555">
        <f t="shared" si="38"/>
        <v>2000000</v>
      </c>
      <c r="AA136" s="2696"/>
      <c r="AB136" s="566"/>
      <c r="AC136" s="566"/>
      <c r="AD136" s="188"/>
    </row>
    <row r="137" spans="1:30" ht="22.5" customHeight="1">
      <c r="A137" s="623"/>
      <c r="B137" s="541"/>
      <c r="C137" s="564"/>
      <c r="D137" s="548"/>
      <c r="E137" s="745" t="s">
        <v>905</v>
      </c>
      <c r="F137" s="526">
        <f>Y137</f>
        <v>1500</v>
      </c>
      <c r="G137" s="1918">
        <v>1500</v>
      </c>
      <c r="H137" s="551"/>
      <c r="I137" s="543"/>
      <c r="J137" s="3240" t="s">
        <v>2164</v>
      </c>
      <c r="K137" s="3241"/>
      <c r="L137" s="3236"/>
      <c r="M137" s="3236"/>
      <c r="N137" s="3109" t="s">
        <v>20</v>
      </c>
      <c r="O137" s="3236" t="s">
        <v>20</v>
      </c>
      <c r="P137" s="3236"/>
      <c r="Q137" s="556"/>
      <c r="R137" s="3180"/>
      <c r="S137" s="3108">
        <v>1500000</v>
      </c>
      <c r="T137" s="3241" t="s">
        <v>0</v>
      </c>
      <c r="U137" s="3241"/>
      <c r="V137" s="3241">
        <v>1</v>
      </c>
      <c r="W137" s="3241" t="s">
        <v>3</v>
      </c>
      <c r="X137" s="2030" t="s">
        <v>1</v>
      </c>
      <c r="Y137" s="3110">
        <f t="shared" si="37"/>
        <v>1500</v>
      </c>
      <c r="Z137" s="555">
        <f t="shared" si="38"/>
        <v>1500000</v>
      </c>
      <c r="AA137" s="2696"/>
      <c r="AB137" s="566"/>
      <c r="AC137" s="566"/>
      <c r="AD137" s="188"/>
    </row>
    <row r="138" spans="1:30" ht="22.5" customHeight="1">
      <c r="A138" s="623"/>
      <c r="B138" s="541"/>
      <c r="C138" s="564"/>
      <c r="D138" s="548"/>
      <c r="E138" s="745" t="s">
        <v>803</v>
      </c>
      <c r="F138" s="526">
        <f>Y138</f>
        <v>15500</v>
      </c>
      <c r="G138" s="1918">
        <v>14500</v>
      </c>
      <c r="H138" s="551">
        <f>F138-G138</f>
        <v>1000</v>
      </c>
      <c r="I138" s="543"/>
      <c r="J138" s="3240" t="s">
        <v>1740</v>
      </c>
      <c r="K138" s="3241"/>
      <c r="L138" s="3236"/>
      <c r="M138" s="3236"/>
      <c r="N138" s="3109" t="s">
        <v>20</v>
      </c>
      <c r="O138" s="3236" t="s">
        <v>20</v>
      </c>
      <c r="P138" s="3236"/>
      <c r="Q138" s="556"/>
      <c r="R138" s="3180"/>
      <c r="S138" s="3108">
        <v>7750000</v>
      </c>
      <c r="T138" s="3241" t="s">
        <v>0</v>
      </c>
      <c r="U138" s="3241"/>
      <c r="V138" s="3241">
        <v>2</v>
      </c>
      <c r="W138" s="3241" t="s">
        <v>3</v>
      </c>
      <c r="X138" s="2030" t="s">
        <v>1</v>
      </c>
      <c r="Y138" s="3110">
        <f t="shared" si="37"/>
        <v>15500</v>
      </c>
      <c r="Z138" s="555">
        <f t="shared" si="38"/>
        <v>15500000</v>
      </c>
      <c r="AA138" s="2696"/>
      <c r="AB138" s="566"/>
      <c r="AC138" s="566"/>
      <c r="AD138" s="188"/>
    </row>
    <row r="139" spans="1:30" ht="22.5" customHeight="1">
      <c r="A139" s="623"/>
      <c r="B139" s="541"/>
      <c r="C139" s="564"/>
      <c r="D139" s="588"/>
      <c r="E139" s="745" t="s">
        <v>809</v>
      </c>
      <c r="F139" s="526">
        <f>Y139</f>
        <v>0</v>
      </c>
      <c r="G139" s="1918">
        <v>1000</v>
      </c>
      <c r="H139" s="551">
        <f>F139-G139</f>
        <v>-1000</v>
      </c>
      <c r="I139" s="543"/>
      <c r="J139" s="3240" t="s">
        <v>2165</v>
      </c>
      <c r="K139" s="3241"/>
      <c r="L139" s="3236"/>
      <c r="M139" s="3236"/>
      <c r="N139" s="3109" t="s">
        <v>20</v>
      </c>
      <c r="O139" s="3236" t="s">
        <v>20</v>
      </c>
      <c r="P139" s="3236"/>
      <c r="Q139" s="556">
        <v>5</v>
      </c>
      <c r="R139" s="3180" t="s">
        <v>36</v>
      </c>
      <c r="S139" s="3108">
        <v>200000</v>
      </c>
      <c r="T139" s="3241" t="s">
        <v>0</v>
      </c>
      <c r="U139" s="3241"/>
      <c r="V139" s="3241">
        <v>0</v>
      </c>
      <c r="W139" s="3241" t="s">
        <v>3</v>
      </c>
      <c r="X139" s="2030" t="s">
        <v>1</v>
      </c>
      <c r="Y139" s="3110">
        <f t="shared" si="37"/>
        <v>0</v>
      </c>
      <c r="Z139" s="555">
        <f t="shared" si="38"/>
        <v>0</v>
      </c>
      <c r="AA139" s="2696"/>
      <c r="AB139" s="566"/>
      <c r="AC139" s="566"/>
      <c r="AD139" s="188"/>
    </row>
    <row r="140" spans="1:30" ht="22.5" customHeight="1">
      <c r="A140" s="623"/>
      <c r="B140" s="541"/>
      <c r="C140" s="564"/>
      <c r="D140" s="3837" t="s">
        <v>2173</v>
      </c>
      <c r="E140" s="3838"/>
      <c r="F140" s="525">
        <f>SUM(F141:F149)</f>
        <v>40000</v>
      </c>
      <c r="G140" s="525">
        <f>SUM(G141:G149)</f>
        <v>40000</v>
      </c>
      <c r="H140" s="627">
        <f>F140-G140</f>
        <v>0</v>
      </c>
      <c r="I140" s="557"/>
      <c r="J140" s="1348"/>
      <c r="K140" s="2068"/>
      <c r="L140" s="2068"/>
      <c r="M140" s="2068"/>
      <c r="N140" s="2068"/>
      <c r="O140" s="2068"/>
      <c r="P140" s="2068"/>
      <c r="Q140" s="2322"/>
      <c r="R140" s="2027"/>
      <c r="S140" s="545"/>
      <c r="T140" s="2026"/>
      <c r="U140" s="2026"/>
      <c r="V140" s="2026"/>
      <c r="W140" s="2026"/>
      <c r="X140" s="2028"/>
      <c r="Y140" s="517"/>
      <c r="Z140" s="2697"/>
      <c r="AA140" s="2696"/>
      <c r="AB140" s="566"/>
      <c r="AC140" s="566"/>
      <c r="AD140" s="188"/>
    </row>
    <row r="141" spans="1:30" ht="22.5" customHeight="1">
      <c r="A141" s="623"/>
      <c r="B141" s="3711"/>
      <c r="C141" s="564"/>
      <c r="D141" s="1592"/>
      <c r="E141" s="745" t="s">
        <v>6159</v>
      </c>
      <c r="F141" s="2374">
        <f>Y141</f>
        <v>11000</v>
      </c>
      <c r="G141" s="1918">
        <v>11000</v>
      </c>
      <c r="H141" s="2378"/>
      <c r="I141" s="557"/>
      <c r="J141" s="3708" t="s">
        <v>6150</v>
      </c>
      <c r="K141" s="3709"/>
      <c r="L141" s="3707"/>
      <c r="M141" s="3707"/>
      <c r="N141" s="3707"/>
      <c r="O141" s="3707"/>
      <c r="P141" s="3707"/>
      <c r="Q141" s="556"/>
      <c r="R141" s="3704"/>
      <c r="S141" s="3108">
        <v>11000000</v>
      </c>
      <c r="T141" s="3709" t="s">
        <v>0</v>
      </c>
      <c r="U141" s="3709"/>
      <c r="V141" s="3709">
        <v>1</v>
      </c>
      <c r="W141" s="3709" t="s">
        <v>6151</v>
      </c>
      <c r="X141" s="2030" t="s">
        <v>1</v>
      </c>
      <c r="Y141" s="3110">
        <f t="shared" ref="Y141:Y148" si="39">Z141/1000</f>
        <v>11000</v>
      </c>
      <c r="Z141" s="555">
        <f>S141*V141</f>
        <v>11000000</v>
      </c>
      <c r="AA141" s="2696"/>
      <c r="AB141" s="566"/>
      <c r="AC141" s="566"/>
      <c r="AD141" s="188"/>
    </row>
    <row r="142" spans="1:30" ht="22.5" customHeight="1">
      <c r="A142" s="623"/>
      <c r="B142" s="3711"/>
      <c r="C142" s="564"/>
      <c r="D142" s="1457"/>
      <c r="E142" s="745" t="s">
        <v>6160</v>
      </c>
      <c r="F142" s="633">
        <f>Y142</f>
        <v>10000</v>
      </c>
      <c r="G142" s="1918">
        <v>10000</v>
      </c>
      <c r="H142" s="2379"/>
      <c r="I142" s="557"/>
      <c r="J142" s="3708" t="s">
        <v>8</v>
      </c>
      <c r="K142" s="3707"/>
      <c r="L142" s="3707"/>
      <c r="M142" s="3707"/>
      <c r="N142" s="3707"/>
      <c r="O142" s="3707"/>
      <c r="P142" s="3707"/>
      <c r="Q142" s="3707"/>
      <c r="R142" s="552"/>
      <c r="S142" s="3707"/>
      <c r="T142" s="3707"/>
      <c r="U142" s="3707"/>
      <c r="V142" s="3707"/>
      <c r="W142" s="3707"/>
      <c r="X142" s="2030"/>
      <c r="Y142" s="3110">
        <f t="shared" si="39"/>
        <v>10000</v>
      </c>
      <c r="Z142" s="555">
        <f>SUM(Z143:Z144)</f>
        <v>10000000</v>
      </c>
      <c r="AA142" s="2696"/>
      <c r="AB142" s="566"/>
      <c r="AC142" s="566"/>
      <c r="AD142" s="188"/>
    </row>
    <row r="143" spans="1:30" ht="22.5" customHeight="1">
      <c r="A143" s="623"/>
      <c r="B143" s="3711"/>
      <c r="C143" s="564"/>
      <c r="D143" s="1457"/>
      <c r="E143" s="2023"/>
      <c r="F143" s="633"/>
      <c r="G143" s="1918"/>
      <c r="H143" s="2379"/>
      <c r="I143" s="557"/>
      <c r="J143" s="3708" t="s">
        <v>6152</v>
      </c>
      <c r="K143" s="3707"/>
      <c r="L143" s="2352"/>
      <c r="M143" s="3707"/>
      <c r="N143" s="3707"/>
      <c r="O143" s="3707"/>
      <c r="P143" s="3707"/>
      <c r="Q143" s="556">
        <v>14</v>
      </c>
      <c r="R143" s="3712" t="s">
        <v>6153</v>
      </c>
      <c r="S143" s="3108">
        <v>500000</v>
      </c>
      <c r="T143" s="3709" t="s">
        <v>0</v>
      </c>
      <c r="U143" s="3709"/>
      <c r="V143" s="3709">
        <v>1</v>
      </c>
      <c r="W143" s="3709" t="s">
        <v>3</v>
      </c>
      <c r="X143" s="2030" t="s">
        <v>1</v>
      </c>
      <c r="Y143" s="3110">
        <f t="shared" si="39"/>
        <v>7000</v>
      </c>
      <c r="Z143" s="555">
        <f>Q143*S143*V143</f>
        <v>7000000</v>
      </c>
      <c r="AA143" s="2696"/>
      <c r="AB143" s="566"/>
      <c r="AC143" s="566"/>
      <c r="AD143" s="188"/>
    </row>
    <row r="144" spans="1:30" ht="22.5" customHeight="1">
      <c r="A144" s="623"/>
      <c r="B144" s="3711"/>
      <c r="C144" s="564"/>
      <c r="D144" s="1457"/>
      <c r="E144" s="2023"/>
      <c r="F144" s="633"/>
      <c r="G144" s="1918"/>
      <c r="H144" s="2379"/>
      <c r="I144" s="557"/>
      <c r="J144" s="3708" t="s">
        <v>6154</v>
      </c>
      <c r="K144" s="3707"/>
      <c r="L144" s="3707"/>
      <c r="M144" s="3707"/>
      <c r="N144" s="3707"/>
      <c r="O144" s="3707"/>
      <c r="P144" s="3707"/>
      <c r="Q144" s="556">
        <v>1</v>
      </c>
      <c r="R144" s="3712" t="s">
        <v>6153</v>
      </c>
      <c r="S144" s="3108">
        <v>300000</v>
      </c>
      <c r="T144" s="3709" t="s">
        <v>0</v>
      </c>
      <c r="U144" s="3709"/>
      <c r="V144" s="3709">
        <v>10</v>
      </c>
      <c r="W144" s="3709" t="s">
        <v>3</v>
      </c>
      <c r="X144" s="2030" t="s">
        <v>1</v>
      </c>
      <c r="Y144" s="3110">
        <f t="shared" si="39"/>
        <v>3000</v>
      </c>
      <c r="Z144" s="555">
        <f>S144*V144</f>
        <v>3000000</v>
      </c>
      <c r="AA144" s="2696"/>
      <c r="AB144" s="566"/>
      <c r="AC144" s="566"/>
      <c r="AD144" s="188"/>
    </row>
    <row r="145" spans="1:30" ht="22.5" customHeight="1">
      <c r="A145" s="623"/>
      <c r="B145" s="3711"/>
      <c r="C145" s="564"/>
      <c r="D145" s="1457"/>
      <c r="E145" s="745" t="s">
        <v>6161</v>
      </c>
      <c r="F145" s="633">
        <f>Y145</f>
        <v>1000</v>
      </c>
      <c r="G145" s="1918">
        <v>1000</v>
      </c>
      <c r="H145" s="2379"/>
      <c r="I145" s="557"/>
      <c r="J145" s="3708" t="s">
        <v>6155</v>
      </c>
      <c r="K145" s="3709"/>
      <c r="L145" s="3707"/>
      <c r="M145" s="3707"/>
      <c r="N145" s="3109" t="s">
        <v>20</v>
      </c>
      <c r="O145" s="3707" t="s">
        <v>20</v>
      </c>
      <c r="P145" s="3707"/>
      <c r="Q145" s="556"/>
      <c r="R145" s="3712"/>
      <c r="S145" s="3108">
        <v>1000000</v>
      </c>
      <c r="T145" s="3709" t="s">
        <v>0</v>
      </c>
      <c r="U145" s="3709"/>
      <c r="V145" s="3709">
        <v>1</v>
      </c>
      <c r="W145" s="3709" t="s">
        <v>3</v>
      </c>
      <c r="X145" s="2030" t="s">
        <v>1</v>
      </c>
      <c r="Y145" s="3110">
        <f t="shared" si="39"/>
        <v>1000</v>
      </c>
      <c r="Z145" s="555">
        <f>S145*V145</f>
        <v>1000000</v>
      </c>
      <c r="AA145" s="2696"/>
      <c r="AB145" s="566"/>
      <c r="AC145" s="566"/>
      <c r="AD145" s="188"/>
    </row>
    <row r="146" spans="1:30" ht="22.5" customHeight="1">
      <c r="A146" s="623"/>
      <c r="B146" s="3711"/>
      <c r="C146" s="564"/>
      <c r="D146" s="1457"/>
      <c r="E146" s="745" t="s">
        <v>6162</v>
      </c>
      <c r="F146" s="633">
        <f>Y146</f>
        <v>18000</v>
      </c>
      <c r="G146" s="1918">
        <v>17700</v>
      </c>
      <c r="H146" s="2379"/>
      <c r="I146" s="557"/>
      <c r="J146" s="3708" t="s">
        <v>8</v>
      </c>
      <c r="K146" s="3707"/>
      <c r="L146" s="3707"/>
      <c r="M146" s="3707"/>
      <c r="N146" s="3707"/>
      <c r="O146" s="3707"/>
      <c r="P146" s="3707"/>
      <c r="Q146" s="3707"/>
      <c r="R146" s="552"/>
      <c r="S146" s="3707"/>
      <c r="T146" s="3707"/>
      <c r="U146" s="3707"/>
      <c r="V146" s="3707"/>
      <c r="W146" s="3707"/>
      <c r="X146" s="2030"/>
      <c r="Y146" s="3110">
        <f t="shared" si="39"/>
        <v>18000</v>
      </c>
      <c r="Z146" s="555">
        <f>SUM(Z147:Z148)</f>
        <v>18000000</v>
      </c>
      <c r="AA146" s="2696"/>
      <c r="AB146" s="566"/>
      <c r="AC146" s="566"/>
      <c r="AD146" s="188"/>
    </row>
    <row r="147" spans="1:30" ht="22.5" customHeight="1">
      <c r="A147" s="623"/>
      <c r="B147" s="3711"/>
      <c r="C147" s="564"/>
      <c r="D147" s="1457"/>
      <c r="E147" s="3707"/>
      <c r="F147" s="633"/>
      <c r="G147" s="1918"/>
      <c r="H147" s="2379"/>
      <c r="I147" s="557"/>
      <c r="J147" s="3708" t="s">
        <v>6156</v>
      </c>
      <c r="K147" s="3707"/>
      <c r="L147" s="3707"/>
      <c r="M147" s="3707"/>
      <c r="N147" s="3707"/>
      <c r="O147" s="3707"/>
      <c r="P147" s="3707"/>
      <c r="Q147" s="556"/>
      <c r="R147" s="3712"/>
      <c r="S147" s="3108">
        <v>200000</v>
      </c>
      <c r="T147" s="3709" t="s">
        <v>0</v>
      </c>
      <c r="U147" s="3709"/>
      <c r="V147" s="3709">
        <v>10</v>
      </c>
      <c r="W147" s="3709" t="s">
        <v>3</v>
      </c>
      <c r="X147" s="2030" t="s">
        <v>1</v>
      </c>
      <c r="Y147" s="3110">
        <f t="shared" si="39"/>
        <v>2000</v>
      </c>
      <c r="Z147" s="555">
        <f>S147*V147</f>
        <v>2000000</v>
      </c>
      <c r="AA147" s="2696"/>
      <c r="AB147" s="566"/>
      <c r="AC147" s="566"/>
      <c r="AD147" s="188"/>
    </row>
    <row r="148" spans="1:30" ht="22.5" customHeight="1">
      <c r="A148" s="623"/>
      <c r="B148" s="3711"/>
      <c r="C148" s="564"/>
      <c r="D148" s="1457"/>
      <c r="E148" s="2023"/>
      <c r="F148" s="633"/>
      <c r="G148" s="1918"/>
      <c r="H148" s="2379"/>
      <c r="I148" s="557"/>
      <c r="J148" s="3708" t="s">
        <v>6157</v>
      </c>
      <c r="K148" s="3707"/>
      <c r="L148" s="3707"/>
      <c r="M148" s="3707"/>
      <c r="N148" s="3707"/>
      <c r="O148" s="3707"/>
      <c r="P148" s="3707"/>
      <c r="Q148" s="556"/>
      <c r="R148" s="3712"/>
      <c r="S148" s="3108">
        <v>16000000</v>
      </c>
      <c r="T148" s="3709" t="s">
        <v>0</v>
      </c>
      <c r="U148" s="3709"/>
      <c r="V148" s="3709">
        <v>1</v>
      </c>
      <c r="W148" s="3709" t="s">
        <v>3</v>
      </c>
      <c r="X148" s="2030" t="s">
        <v>1</v>
      </c>
      <c r="Y148" s="3110">
        <f t="shared" si="39"/>
        <v>16000</v>
      </c>
      <c r="Z148" s="555">
        <f>S148*V148</f>
        <v>16000000</v>
      </c>
      <c r="AA148" s="2696"/>
      <c r="AB148" s="566"/>
      <c r="AC148" s="566"/>
      <c r="AD148" s="188"/>
    </row>
    <row r="149" spans="1:30" ht="22.5" customHeight="1">
      <c r="A149" s="623"/>
      <c r="B149" s="3711"/>
      <c r="C149" s="564"/>
      <c r="D149" s="1457"/>
      <c r="E149" s="3710" t="s">
        <v>6163</v>
      </c>
      <c r="F149" s="633">
        <f>Y149</f>
        <v>0</v>
      </c>
      <c r="G149" s="1919">
        <v>300</v>
      </c>
      <c r="H149" s="2379"/>
      <c r="I149" s="557"/>
      <c r="J149" s="3708" t="s">
        <v>6158</v>
      </c>
      <c r="K149" s="3709"/>
      <c r="L149" s="3707"/>
      <c r="M149" s="3707"/>
      <c r="N149" s="3109" t="s">
        <v>20</v>
      </c>
      <c r="O149" s="3707" t="s">
        <v>20</v>
      </c>
      <c r="P149" s="3707"/>
      <c r="Q149" s="556">
        <v>6</v>
      </c>
      <c r="R149" s="3712" t="s">
        <v>6153</v>
      </c>
      <c r="S149" s="3108">
        <v>25000</v>
      </c>
      <c r="T149" s="3709" t="s">
        <v>0</v>
      </c>
      <c r="U149" s="3709"/>
      <c r="V149" s="3709">
        <v>0</v>
      </c>
      <c r="W149" s="3709" t="s">
        <v>3</v>
      </c>
      <c r="X149" s="2030" t="s">
        <v>1</v>
      </c>
      <c r="Y149" s="3110">
        <f>Z149/1000</f>
        <v>0</v>
      </c>
      <c r="Z149" s="555">
        <f>Q149*S149*V149</f>
        <v>0</v>
      </c>
      <c r="AA149" s="2696"/>
      <c r="AB149" s="566"/>
      <c r="AC149" s="566"/>
      <c r="AD149" s="188"/>
    </row>
    <row r="150" spans="1:30" ht="22.5" customHeight="1">
      <c r="A150" s="562"/>
      <c r="B150" s="563"/>
      <c r="C150" s="1911"/>
      <c r="D150" s="3837" t="s">
        <v>1329</v>
      </c>
      <c r="E150" s="3824"/>
      <c r="F150" s="584">
        <f>SUM(F151:F155)</f>
        <v>27000</v>
      </c>
      <c r="G150" s="584">
        <f>SUM(G151:G155)</f>
        <v>27000</v>
      </c>
      <c r="H150" s="529">
        <f>F150-G150</f>
        <v>0</v>
      </c>
      <c r="I150" s="557"/>
      <c r="J150" s="538"/>
      <c r="K150" s="2068"/>
      <c r="L150" s="2068"/>
      <c r="M150" s="2068"/>
      <c r="N150" s="2068"/>
      <c r="O150" s="2068"/>
      <c r="P150" s="2068"/>
      <c r="Q150" s="2068"/>
      <c r="R150" s="539"/>
      <c r="S150" s="2068"/>
      <c r="T150" s="2068"/>
      <c r="U150" s="2068"/>
      <c r="V150" s="2068"/>
      <c r="W150" s="2068"/>
      <c r="X150" s="585"/>
      <c r="Y150" s="594"/>
      <c r="Z150" s="2662"/>
      <c r="AA150" s="547"/>
      <c r="AB150" s="1891"/>
      <c r="AC150" s="2700"/>
    </row>
    <row r="151" spans="1:30" ht="22.5" customHeight="1">
      <c r="A151" s="562"/>
      <c r="B151" s="563"/>
      <c r="C151" s="1911"/>
      <c r="D151" s="2034"/>
      <c r="E151" s="602" t="s">
        <v>229</v>
      </c>
      <c r="F151" s="590">
        <f t="shared" ref="F151:F155" si="40">Y151</f>
        <v>10000</v>
      </c>
      <c r="G151" s="590">
        <v>10000</v>
      </c>
      <c r="H151" s="1561"/>
      <c r="I151" s="557"/>
      <c r="J151" s="2105" t="s">
        <v>1301</v>
      </c>
      <c r="K151" s="2106"/>
      <c r="L151" s="2106"/>
      <c r="M151" s="2106"/>
      <c r="N151" s="474"/>
      <c r="O151" s="474"/>
      <c r="P151" s="474"/>
      <c r="Q151" s="556"/>
      <c r="R151" s="2092"/>
      <c r="S151" s="474">
        <v>10000000</v>
      </c>
      <c r="T151" s="2106" t="s">
        <v>4</v>
      </c>
      <c r="U151" s="2106"/>
      <c r="V151" s="2106">
        <v>1</v>
      </c>
      <c r="W151" s="2106" t="s">
        <v>226</v>
      </c>
      <c r="X151" s="2030" t="s">
        <v>5</v>
      </c>
      <c r="Y151" s="554">
        <f t="shared" ref="Y151:Y155" si="41">(Z151)/1000</f>
        <v>10000</v>
      </c>
      <c r="Z151" s="555">
        <f>S151*V151</f>
        <v>10000000</v>
      </c>
      <c r="AA151" s="547"/>
      <c r="AB151" s="1891"/>
      <c r="AC151" s="2700"/>
    </row>
    <row r="152" spans="1:30" s="184" customFormat="1" ht="22.5" customHeight="1">
      <c r="A152" s="562"/>
      <c r="B152" s="563"/>
      <c r="C152" s="2352"/>
      <c r="D152" s="2034"/>
      <c r="E152" s="2023" t="s">
        <v>255</v>
      </c>
      <c r="F152" s="590">
        <f>Y152</f>
        <v>5000</v>
      </c>
      <c r="G152" s="590">
        <v>5000</v>
      </c>
      <c r="H152" s="534"/>
      <c r="I152" s="557"/>
      <c r="J152" s="2105" t="s">
        <v>1446</v>
      </c>
      <c r="K152" s="2082"/>
      <c r="L152" s="2082"/>
      <c r="M152" s="2082"/>
      <c r="N152" s="2082"/>
      <c r="O152" s="2082"/>
      <c r="P152" s="2082"/>
      <c r="Q152" s="556"/>
      <c r="R152" s="2092"/>
      <c r="S152" s="474">
        <v>500000</v>
      </c>
      <c r="T152" s="2106" t="s">
        <v>4</v>
      </c>
      <c r="U152" s="2106"/>
      <c r="V152" s="2106">
        <v>10</v>
      </c>
      <c r="W152" s="2106" t="s">
        <v>39</v>
      </c>
      <c r="X152" s="2030" t="s">
        <v>5</v>
      </c>
      <c r="Y152" s="554">
        <f>(Z152)/1000</f>
        <v>5000</v>
      </c>
      <c r="Z152" s="555">
        <f>S152*V152</f>
        <v>5000000</v>
      </c>
      <c r="AA152" s="547"/>
      <c r="AB152" s="1891"/>
      <c r="AC152" s="2700"/>
      <c r="AD152" s="835"/>
    </row>
    <row r="153" spans="1:30" ht="22.5" customHeight="1">
      <c r="A153" s="562"/>
      <c r="B153" s="563"/>
      <c r="C153" s="2352"/>
      <c r="D153" s="2050"/>
      <c r="E153" s="2023" t="s">
        <v>15</v>
      </c>
      <c r="F153" s="590">
        <f>Y153</f>
        <v>5000</v>
      </c>
      <c r="G153" s="590">
        <v>5000</v>
      </c>
      <c r="H153" s="534"/>
      <c r="I153" s="557"/>
      <c r="J153" s="2105" t="s">
        <v>1302</v>
      </c>
      <c r="K153" s="2082"/>
      <c r="L153" s="2082"/>
      <c r="M153" s="2082"/>
      <c r="N153" s="2082"/>
      <c r="O153" s="2082"/>
      <c r="P153" s="2082"/>
      <c r="Q153" s="556"/>
      <c r="R153" s="2092"/>
      <c r="S153" s="474">
        <v>250000</v>
      </c>
      <c r="T153" s="2106" t="s">
        <v>4</v>
      </c>
      <c r="U153" s="2106"/>
      <c r="V153" s="2106">
        <v>20</v>
      </c>
      <c r="W153" s="2106" t="s">
        <v>10</v>
      </c>
      <c r="X153" s="2030" t="s">
        <v>5</v>
      </c>
      <c r="Y153" s="554">
        <f>(Z153)/1000</f>
        <v>5000</v>
      </c>
      <c r="Z153" s="555">
        <f>S153*V153</f>
        <v>5000000</v>
      </c>
      <c r="AA153" s="547"/>
      <c r="AB153" s="1891"/>
      <c r="AC153" s="2700"/>
    </row>
    <row r="154" spans="1:30" ht="22.5" customHeight="1">
      <c r="A154" s="562"/>
      <c r="B154" s="563"/>
      <c r="C154" s="2352"/>
      <c r="D154" s="2050"/>
      <c r="E154" s="2023" t="s">
        <v>16</v>
      </c>
      <c r="F154" s="590">
        <f t="shared" si="40"/>
        <v>6000</v>
      </c>
      <c r="G154" s="590">
        <v>6000</v>
      </c>
      <c r="H154" s="534"/>
      <c r="I154" s="557"/>
      <c r="J154" s="2105" t="s">
        <v>1303</v>
      </c>
      <c r="K154" s="2082"/>
      <c r="L154" s="2082"/>
      <c r="M154" s="2082"/>
      <c r="N154" s="2082"/>
      <c r="O154" s="2082"/>
      <c r="P154" s="2082"/>
      <c r="Q154" s="556"/>
      <c r="R154" s="2092"/>
      <c r="S154" s="474">
        <v>6000000</v>
      </c>
      <c r="T154" s="2106" t="s">
        <v>4</v>
      </c>
      <c r="U154" s="2106"/>
      <c r="V154" s="2106">
        <v>1</v>
      </c>
      <c r="W154" s="2106" t="s">
        <v>226</v>
      </c>
      <c r="X154" s="2030" t="s">
        <v>5</v>
      </c>
      <c r="Y154" s="554">
        <f t="shared" si="41"/>
        <v>6000</v>
      </c>
      <c r="Z154" s="555">
        <f>S154*V154</f>
        <v>6000000</v>
      </c>
      <c r="AA154" s="547"/>
      <c r="AB154" s="1891"/>
      <c r="AC154" s="2700"/>
    </row>
    <row r="155" spans="1:30" ht="22.5" customHeight="1">
      <c r="A155" s="562"/>
      <c r="B155" s="563"/>
      <c r="C155" s="1911"/>
      <c r="D155" s="2050"/>
      <c r="E155" s="1370" t="s">
        <v>14</v>
      </c>
      <c r="F155" s="590">
        <f t="shared" si="40"/>
        <v>1000</v>
      </c>
      <c r="G155" s="590">
        <v>1000</v>
      </c>
      <c r="H155" s="579"/>
      <c r="I155" s="557"/>
      <c r="J155" s="2105" t="s">
        <v>1447</v>
      </c>
      <c r="K155" s="2082"/>
      <c r="L155" s="2082"/>
      <c r="M155" s="2082"/>
      <c r="N155" s="2082"/>
      <c r="O155" s="2082"/>
      <c r="P155" s="2082"/>
      <c r="Q155" s="556"/>
      <c r="R155" s="2092"/>
      <c r="S155" s="474">
        <v>100000</v>
      </c>
      <c r="T155" s="2106" t="s">
        <v>4</v>
      </c>
      <c r="U155" s="2106"/>
      <c r="V155" s="2106">
        <v>10</v>
      </c>
      <c r="W155" s="2106" t="s">
        <v>39</v>
      </c>
      <c r="X155" s="2030" t="s">
        <v>5</v>
      </c>
      <c r="Y155" s="554">
        <f t="shared" si="41"/>
        <v>1000</v>
      </c>
      <c r="Z155" s="555">
        <f>S155*V155</f>
        <v>1000000</v>
      </c>
      <c r="AA155" s="547"/>
      <c r="AB155" s="1891"/>
      <c r="AC155" s="2700"/>
    </row>
    <row r="156" spans="1:30" s="1651" customFormat="1" ht="22.5" customHeight="1">
      <c r="A156" s="540"/>
      <c r="B156" s="541"/>
      <c r="C156" s="3821" t="s">
        <v>1332</v>
      </c>
      <c r="D156" s="3821"/>
      <c r="E156" s="3822"/>
      <c r="F156" s="598">
        <f>+F157</f>
        <v>1606000</v>
      </c>
      <c r="G156" s="598">
        <f>+G157</f>
        <v>1606000</v>
      </c>
      <c r="H156" s="1320">
        <f t="shared" ref="H156:H157" si="42">F156-G156</f>
        <v>0</v>
      </c>
      <c r="I156" s="557"/>
      <c r="J156" s="604"/>
      <c r="K156" s="609"/>
      <c r="L156" s="605"/>
      <c r="M156" s="605"/>
      <c r="N156" s="1344"/>
      <c r="O156" s="605"/>
      <c r="P156" s="605"/>
      <c r="Q156" s="1344"/>
      <c r="R156" s="605"/>
      <c r="S156" s="608"/>
      <c r="T156" s="609"/>
      <c r="U156" s="609"/>
      <c r="V156" s="1344"/>
      <c r="W156" s="607"/>
      <c r="X156" s="610"/>
      <c r="Y156" s="748"/>
      <c r="Z156" s="1884"/>
      <c r="AA156" s="547"/>
      <c r="AB156" s="1891">
        <f>F156</f>
        <v>1606000</v>
      </c>
      <c r="AC156" s="1895"/>
      <c r="AD156" s="456"/>
    </row>
    <row r="157" spans="1:30" s="1651" customFormat="1" ht="22.5" customHeight="1">
      <c r="A157" s="540"/>
      <c r="B157" s="541"/>
      <c r="C157" s="542"/>
      <c r="D157" s="3906" t="s">
        <v>1304</v>
      </c>
      <c r="E157" s="3907"/>
      <c r="F157" s="598">
        <f>SUM(F158:F181)</f>
        <v>1606000</v>
      </c>
      <c r="G157" s="598">
        <f>SUM(G158:G181)</f>
        <v>1606000</v>
      </c>
      <c r="H157" s="627">
        <f t="shared" si="42"/>
        <v>0</v>
      </c>
      <c r="I157" s="557"/>
      <c r="J157" s="538"/>
      <c r="K157" s="2068"/>
      <c r="L157" s="2068"/>
      <c r="M157" s="2068"/>
      <c r="N157" s="2068"/>
      <c r="O157" s="2068"/>
      <c r="P157" s="2068"/>
      <c r="Q157" s="2068"/>
      <c r="R157" s="539"/>
      <c r="S157" s="2068"/>
      <c r="T157" s="2068"/>
      <c r="U157" s="2068"/>
      <c r="V157" s="2068"/>
      <c r="W157" s="2068"/>
      <c r="X157" s="585"/>
      <c r="Y157" s="586"/>
      <c r="Z157" s="2136"/>
      <c r="AA157" s="547"/>
      <c r="AB157" s="1891"/>
      <c r="AC157" s="1895"/>
      <c r="AD157" s="456"/>
    </row>
    <row r="158" spans="1:30" s="1651" customFormat="1" ht="22.5" customHeight="1">
      <c r="A158" s="540"/>
      <c r="B158" s="541"/>
      <c r="C158" s="542"/>
      <c r="D158" s="624"/>
      <c r="E158" s="2023" t="s">
        <v>65</v>
      </c>
      <c r="F158" s="536">
        <f>+Y158</f>
        <v>120000</v>
      </c>
      <c r="G158" s="590">
        <v>120000</v>
      </c>
      <c r="H158" s="643"/>
      <c r="I158" s="1257">
        <f t="shared" ref="I158:I163" si="43">G158-H158</f>
        <v>120000</v>
      </c>
      <c r="J158" s="4036" t="s">
        <v>1448</v>
      </c>
      <c r="K158" s="4111"/>
      <c r="L158" s="4111"/>
      <c r="M158" s="4111"/>
      <c r="N158" s="4111"/>
      <c r="O158" s="4111"/>
      <c r="P158" s="4111"/>
      <c r="Q158" s="556">
        <v>4</v>
      </c>
      <c r="R158" s="2082" t="s">
        <v>36</v>
      </c>
      <c r="S158" s="474">
        <v>2500000</v>
      </c>
      <c r="T158" s="2106" t="s">
        <v>4</v>
      </c>
      <c r="U158" s="2106"/>
      <c r="V158" s="2106">
        <v>12</v>
      </c>
      <c r="W158" s="2106" t="s">
        <v>55</v>
      </c>
      <c r="X158" s="2030" t="s">
        <v>5</v>
      </c>
      <c r="Y158" s="554">
        <f>(Z158)/1000</f>
        <v>120000</v>
      </c>
      <c r="Z158" s="555">
        <f>Q158*S158*V158</f>
        <v>120000000</v>
      </c>
      <c r="AA158" s="547"/>
      <c r="AB158" s="1891"/>
      <c r="AC158" s="1895"/>
      <c r="AD158" s="456"/>
    </row>
    <row r="159" spans="1:30" s="1651" customFormat="1" ht="22.5" customHeight="1">
      <c r="A159" s="540"/>
      <c r="B159" s="541"/>
      <c r="C159" s="542"/>
      <c r="D159" s="624"/>
      <c r="E159" s="2023" t="s">
        <v>229</v>
      </c>
      <c r="F159" s="536">
        <f>+Y159</f>
        <v>20000</v>
      </c>
      <c r="G159" s="590">
        <v>20000</v>
      </c>
      <c r="H159" s="643"/>
      <c r="I159" s="1257">
        <f t="shared" si="43"/>
        <v>20000</v>
      </c>
      <c r="J159" s="2105" t="s">
        <v>1305</v>
      </c>
      <c r="K159" s="2082"/>
      <c r="L159" s="2082"/>
      <c r="M159" s="2082"/>
      <c r="N159" s="2082"/>
      <c r="O159" s="2082"/>
      <c r="P159" s="2082"/>
      <c r="Q159" s="556"/>
      <c r="R159" s="2092"/>
      <c r="S159" s="474">
        <v>10000000</v>
      </c>
      <c r="T159" s="2106" t="s">
        <v>4</v>
      </c>
      <c r="U159" s="2106"/>
      <c r="V159" s="556">
        <v>2</v>
      </c>
      <c r="W159" s="2092" t="s">
        <v>226</v>
      </c>
      <c r="X159" s="2030" t="s">
        <v>5</v>
      </c>
      <c r="Y159" s="554">
        <f>(Z159)/1000</f>
        <v>20000</v>
      </c>
      <c r="Z159" s="555">
        <f>S159*V159</f>
        <v>20000000</v>
      </c>
      <c r="AA159" s="547"/>
      <c r="AB159" s="1891"/>
      <c r="AC159" s="1895"/>
      <c r="AD159" s="456"/>
    </row>
    <row r="160" spans="1:30" s="1651" customFormat="1" ht="22.5" customHeight="1">
      <c r="A160" s="540"/>
      <c r="B160" s="541"/>
      <c r="C160" s="542"/>
      <c r="D160" s="624"/>
      <c r="E160" s="2023" t="s">
        <v>264</v>
      </c>
      <c r="F160" s="536">
        <f>+Y160</f>
        <v>6000</v>
      </c>
      <c r="G160" s="590">
        <v>6000</v>
      </c>
      <c r="H160" s="643"/>
      <c r="I160" s="1257">
        <f t="shared" si="43"/>
        <v>6000</v>
      </c>
      <c r="J160" s="2105" t="s">
        <v>1306</v>
      </c>
      <c r="K160" s="2106"/>
      <c r="L160" s="2082"/>
      <c r="M160" s="2082"/>
      <c r="N160" s="2082"/>
      <c r="O160" s="2082"/>
      <c r="P160" s="2082"/>
      <c r="Q160" s="556"/>
      <c r="R160" s="2092"/>
      <c r="S160" s="474">
        <v>6000000</v>
      </c>
      <c r="T160" s="2106" t="s">
        <v>4</v>
      </c>
      <c r="U160" s="2106"/>
      <c r="V160" s="556">
        <v>1</v>
      </c>
      <c r="W160" s="2092" t="s">
        <v>226</v>
      </c>
      <c r="X160" s="2030" t="s">
        <v>5</v>
      </c>
      <c r="Y160" s="554">
        <f>(Z160)/1000</f>
        <v>6000</v>
      </c>
      <c r="Z160" s="555">
        <f>S160*V160</f>
        <v>6000000</v>
      </c>
      <c r="AA160" s="547"/>
      <c r="AB160" s="1891"/>
      <c r="AC160" s="1895"/>
      <c r="AD160" s="456"/>
    </row>
    <row r="161" spans="1:30" s="1651" customFormat="1" ht="22.5" customHeight="1">
      <c r="A161" s="540"/>
      <c r="B161" s="541"/>
      <c r="C161" s="542"/>
      <c r="D161" s="624"/>
      <c r="E161" s="2023" t="s">
        <v>225</v>
      </c>
      <c r="F161" s="536">
        <f>+Y161</f>
        <v>10000</v>
      </c>
      <c r="G161" s="590">
        <v>10000</v>
      </c>
      <c r="H161" s="643"/>
      <c r="I161" s="1257">
        <f t="shared" si="43"/>
        <v>10000</v>
      </c>
      <c r="J161" s="2105" t="s">
        <v>1300</v>
      </c>
      <c r="K161" s="2082"/>
      <c r="L161" s="2082"/>
      <c r="M161" s="2082"/>
      <c r="N161" s="2082"/>
      <c r="O161" s="2082"/>
      <c r="P161" s="2082"/>
      <c r="Q161" s="556">
        <v>50</v>
      </c>
      <c r="R161" s="2092" t="s">
        <v>232</v>
      </c>
      <c r="S161" s="474">
        <v>50000</v>
      </c>
      <c r="T161" s="2106" t="s">
        <v>4</v>
      </c>
      <c r="U161" s="2106"/>
      <c r="V161" s="2106">
        <v>4</v>
      </c>
      <c r="W161" s="2106" t="s">
        <v>878</v>
      </c>
      <c r="X161" s="2030" t="s">
        <v>5</v>
      </c>
      <c r="Y161" s="554">
        <f>(Z161)/1000</f>
        <v>10000</v>
      </c>
      <c r="Z161" s="555">
        <f>Q161*S161*V161</f>
        <v>10000000</v>
      </c>
      <c r="AA161" s="547"/>
      <c r="AB161" s="1891"/>
      <c r="AC161" s="1895"/>
      <c r="AD161" s="456"/>
    </row>
    <row r="162" spans="1:30" s="1651" customFormat="1" ht="22.5" customHeight="1">
      <c r="A162" s="540"/>
      <c r="B162" s="541"/>
      <c r="C162" s="542"/>
      <c r="D162" s="548"/>
      <c r="E162" s="2023" t="s">
        <v>902</v>
      </c>
      <c r="F162" s="549">
        <f>Y162</f>
        <v>5000</v>
      </c>
      <c r="G162" s="469">
        <v>5000</v>
      </c>
      <c r="H162" s="551"/>
      <c r="I162" s="557"/>
      <c r="J162" s="2105" t="s">
        <v>1309</v>
      </c>
      <c r="K162" s="2106"/>
      <c r="L162" s="2082"/>
      <c r="M162" s="2082"/>
      <c r="N162" s="2082"/>
      <c r="O162" s="2082"/>
      <c r="P162" s="2082"/>
      <c r="Q162" s="556"/>
      <c r="R162" s="2106"/>
      <c r="S162" s="474">
        <v>200000</v>
      </c>
      <c r="T162" s="2106" t="s">
        <v>4</v>
      </c>
      <c r="U162" s="2106"/>
      <c r="V162" s="2106">
        <v>25</v>
      </c>
      <c r="W162" s="2106" t="s">
        <v>39</v>
      </c>
      <c r="X162" s="2030" t="s">
        <v>5</v>
      </c>
      <c r="Y162" s="554">
        <f>(Z162)/1000</f>
        <v>5000</v>
      </c>
      <c r="Z162" s="555">
        <f>S162*V162</f>
        <v>5000000</v>
      </c>
      <c r="AA162" s="547"/>
      <c r="AB162" s="1891"/>
      <c r="AC162" s="1895"/>
      <c r="AD162" s="456"/>
    </row>
    <row r="163" spans="1:30" s="1651" customFormat="1" ht="22.5" customHeight="1">
      <c r="A163" s="540"/>
      <c r="B163" s="541"/>
      <c r="C163" s="542"/>
      <c r="D163" s="624"/>
      <c r="E163" s="2023" t="s">
        <v>15</v>
      </c>
      <c r="F163" s="536">
        <f>+Y163</f>
        <v>38120</v>
      </c>
      <c r="G163" s="590">
        <v>38120</v>
      </c>
      <c r="H163" s="643"/>
      <c r="I163" s="1257">
        <f t="shared" si="43"/>
        <v>38120</v>
      </c>
      <c r="J163" s="2105" t="s">
        <v>224</v>
      </c>
      <c r="K163" s="2082"/>
      <c r="L163" s="2082"/>
      <c r="M163" s="2082"/>
      <c r="N163" s="2082"/>
      <c r="O163" s="2082"/>
      <c r="P163" s="2082"/>
      <c r="Q163" s="556"/>
      <c r="R163" s="2092"/>
      <c r="S163" s="474"/>
      <c r="T163" s="2106"/>
      <c r="U163" s="2106"/>
      <c r="V163" s="2106"/>
      <c r="W163" s="2106"/>
      <c r="X163" s="2030"/>
      <c r="Y163" s="554">
        <f t="shared" ref="Y163:Y181" si="44">(Z163)/1000</f>
        <v>38120</v>
      </c>
      <c r="Z163" s="555">
        <f>Z164+Z165</f>
        <v>38120000</v>
      </c>
      <c r="AA163" s="547"/>
      <c r="AB163" s="1891"/>
      <c r="AC163" s="1895"/>
      <c r="AD163" s="456"/>
    </row>
    <row r="164" spans="1:30" s="1651" customFormat="1" ht="22.5" customHeight="1">
      <c r="A164" s="540"/>
      <c r="B164" s="541"/>
      <c r="C164" s="542"/>
      <c r="D164" s="624"/>
      <c r="E164" s="2023"/>
      <c r="F164" s="536"/>
      <c r="G164" s="590"/>
      <c r="H164" s="643"/>
      <c r="I164" s="1257"/>
      <c r="J164" s="2105" t="s">
        <v>1853</v>
      </c>
      <c r="K164" s="2082"/>
      <c r="L164" s="2082"/>
      <c r="M164" s="2082"/>
      <c r="N164" s="2082"/>
      <c r="O164" s="2082"/>
      <c r="P164" s="2082"/>
      <c r="Q164" s="556"/>
      <c r="R164" s="2092"/>
      <c r="S164" s="474">
        <v>250000</v>
      </c>
      <c r="T164" s="2106" t="s">
        <v>4</v>
      </c>
      <c r="U164" s="2106"/>
      <c r="V164" s="556">
        <v>140</v>
      </c>
      <c r="W164" s="2092" t="s">
        <v>39</v>
      </c>
      <c r="X164" s="2030" t="s">
        <v>5</v>
      </c>
      <c r="Y164" s="554">
        <f t="shared" si="44"/>
        <v>35000</v>
      </c>
      <c r="Z164" s="555">
        <f>S164*V164</f>
        <v>35000000</v>
      </c>
      <c r="AA164" s="547"/>
      <c r="AB164" s="1891"/>
      <c r="AC164" s="1895"/>
      <c r="AD164" s="456"/>
    </row>
    <row r="165" spans="1:30" s="1651" customFormat="1" ht="22.5" customHeight="1">
      <c r="A165" s="540"/>
      <c r="B165" s="541"/>
      <c r="C165" s="542"/>
      <c r="D165" s="624"/>
      <c r="E165" s="2023"/>
      <c r="F165" s="536"/>
      <c r="G165" s="590"/>
      <c r="H165" s="643"/>
      <c r="I165" s="1257"/>
      <c r="J165" s="2105" t="s">
        <v>1854</v>
      </c>
      <c r="K165" s="2082"/>
      <c r="L165" s="2082"/>
      <c r="M165" s="2082"/>
      <c r="N165" s="2082"/>
      <c r="O165" s="2082"/>
      <c r="P165" s="2082"/>
      <c r="Q165" s="556"/>
      <c r="R165" s="2092"/>
      <c r="S165" s="474">
        <v>52000</v>
      </c>
      <c r="T165" s="2106" t="s">
        <v>4</v>
      </c>
      <c r="U165" s="2106"/>
      <c r="V165" s="556">
        <v>60</v>
      </c>
      <c r="W165" s="2092" t="s">
        <v>39</v>
      </c>
      <c r="X165" s="2030" t="s">
        <v>5</v>
      </c>
      <c r="Y165" s="554">
        <f t="shared" si="44"/>
        <v>3120</v>
      </c>
      <c r="Z165" s="555">
        <f>S165*V165</f>
        <v>3120000</v>
      </c>
      <c r="AA165" s="547"/>
      <c r="AB165" s="1891"/>
      <c r="AC165" s="1895"/>
      <c r="AD165" s="456"/>
    </row>
    <row r="166" spans="1:30" s="1651" customFormat="1" ht="22.5" customHeight="1">
      <c r="A166" s="540"/>
      <c r="B166" s="1910"/>
      <c r="C166" s="542"/>
      <c r="D166" s="548"/>
      <c r="E166" s="2023" t="s">
        <v>16</v>
      </c>
      <c r="F166" s="536">
        <f>+Y166</f>
        <v>58000</v>
      </c>
      <c r="G166" s="590">
        <v>58000</v>
      </c>
      <c r="H166" s="643"/>
      <c r="I166" s="1257">
        <f>G166-H166</f>
        <v>58000</v>
      </c>
      <c r="J166" s="2105" t="s">
        <v>224</v>
      </c>
      <c r="K166" s="2082"/>
      <c r="L166" s="2082"/>
      <c r="M166" s="2082"/>
      <c r="N166" s="2082"/>
      <c r="O166" s="2082"/>
      <c r="P166" s="2082"/>
      <c r="Q166" s="556"/>
      <c r="R166" s="2092"/>
      <c r="S166" s="474"/>
      <c r="T166" s="2106"/>
      <c r="U166" s="2106"/>
      <c r="V166" s="2106"/>
      <c r="W166" s="2106"/>
      <c r="X166" s="2030"/>
      <c r="Y166" s="554">
        <f t="shared" si="44"/>
        <v>58000</v>
      </c>
      <c r="Z166" s="555">
        <f>Z167+Z168+Z169</f>
        <v>58000000</v>
      </c>
      <c r="AA166" s="547"/>
      <c r="AB166" s="1891"/>
      <c r="AC166" s="1895"/>
      <c r="AD166" s="456"/>
    </row>
    <row r="167" spans="1:30" s="1651" customFormat="1" ht="22.5" customHeight="1">
      <c r="A167" s="540"/>
      <c r="B167" s="1910"/>
      <c r="C167" s="542"/>
      <c r="D167" s="548"/>
      <c r="E167" s="2023"/>
      <c r="F167" s="536"/>
      <c r="G167" s="590"/>
      <c r="H167" s="643"/>
      <c r="I167" s="1257"/>
      <c r="J167" s="2105" t="s">
        <v>1855</v>
      </c>
      <c r="K167" s="2082"/>
      <c r="L167" s="2082"/>
      <c r="M167" s="2082"/>
      <c r="N167" s="2082"/>
      <c r="O167" s="2082"/>
      <c r="P167" s="2082"/>
      <c r="Q167" s="556"/>
      <c r="R167" s="2092"/>
      <c r="S167" s="474">
        <v>200000</v>
      </c>
      <c r="T167" s="2106" t="s">
        <v>4</v>
      </c>
      <c r="U167" s="2106"/>
      <c r="V167" s="2106">
        <v>60</v>
      </c>
      <c r="W167" s="2106" t="s">
        <v>39</v>
      </c>
      <c r="X167" s="2030" t="s">
        <v>5</v>
      </c>
      <c r="Y167" s="554">
        <f t="shared" si="44"/>
        <v>12000</v>
      </c>
      <c r="Z167" s="555">
        <f>S167*V167</f>
        <v>12000000</v>
      </c>
      <c r="AA167" s="547"/>
      <c r="AB167" s="1891"/>
      <c r="AC167" s="1895"/>
      <c r="AD167" s="456"/>
    </row>
    <row r="168" spans="1:30" s="1651" customFormat="1" ht="22.5" customHeight="1">
      <c r="A168" s="540"/>
      <c r="B168" s="1910"/>
      <c r="C168" s="542"/>
      <c r="D168" s="548"/>
      <c r="E168" s="2023"/>
      <c r="F168" s="536"/>
      <c r="G168" s="590"/>
      <c r="H168" s="643"/>
      <c r="I168" s="1257"/>
      <c r="J168" s="2105" t="s">
        <v>1856</v>
      </c>
      <c r="K168" s="2082"/>
      <c r="L168" s="2082"/>
      <c r="M168" s="2082"/>
      <c r="N168" s="2082"/>
      <c r="O168" s="2082"/>
      <c r="P168" s="2082"/>
      <c r="Q168" s="556"/>
      <c r="R168" s="2092"/>
      <c r="S168" s="474">
        <v>2600000</v>
      </c>
      <c r="T168" s="2106" t="s">
        <v>4</v>
      </c>
      <c r="U168" s="2106"/>
      <c r="V168" s="2106">
        <v>10</v>
      </c>
      <c r="W168" s="2106" t="s">
        <v>39</v>
      </c>
      <c r="X168" s="2030" t="s">
        <v>733</v>
      </c>
      <c r="Y168" s="554">
        <f t="shared" si="44"/>
        <v>26000</v>
      </c>
      <c r="Z168" s="555">
        <f>S168*V168</f>
        <v>26000000</v>
      </c>
      <c r="AA168" s="547"/>
      <c r="AB168" s="1891"/>
      <c r="AC168" s="1895"/>
      <c r="AD168" s="456"/>
    </row>
    <row r="169" spans="1:30" s="1651" customFormat="1" ht="22.5" customHeight="1">
      <c r="A169" s="540"/>
      <c r="B169" s="1910"/>
      <c r="C169" s="542"/>
      <c r="D169" s="548"/>
      <c r="E169" s="2023"/>
      <c r="F169" s="536"/>
      <c r="G169" s="590"/>
      <c r="H169" s="643"/>
      <c r="I169" s="1257"/>
      <c r="J169" s="2105" t="s">
        <v>1857</v>
      </c>
      <c r="K169" s="2082"/>
      <c r="L169" s="2082"/>
      <c r="M169" s="2082"/>
      <c r="N169" s="2082"/>
      <c r="O169" s="2082"/>
      <c r="P169" s="2082"/>
      <c r="Q169" s="556"/>
      <c r="R169" s="2092"/>
      <c r="S169" s="474">
        <v>20000000</v>
      </c>
      <c r="T169" s="2106" t="s">
        <v>4</v>
      </c>
      <c r="U169" s="2106"/>
      <c r="V169" s="2106">
        <v>1</v>
      </c>
      <c r="W169" s="2106" t="s">
        <v>226</v>
      </c>
      <c r="X169" s="2030" t="s">
        <v>5</v>
      </c>
      <c r="Y169" s="554">
        <f t="shared" si="44"/>
        <v>20000</v>
      </c>
      <c r="Z169" s="555">
        <f>S169*V169</f>
        <v>20000000</v>
      </c>
      <c r="AA169" s="547"/>
      <c r="AB169" s="1891"/>
      <c r="AC169" s="1895"/>
      <c r="AD169" s="456"/>
    </row>
    <row r="170" spans="1:30" s="1651" customFormat="1" ht="22.5" customHeight="1">
      <c r="A170" s="540"/>
      <c r="B170" s="1910"/>
      <c r="C170" s="542"/>
      <c r="D170" s="548"/>
      <c r="E170" s="2023" t="s">
        <v>262</v>
      </c>
      <c r="F170" s="536">
        <f>+Y170</f>
        <v>33000</v>
      </c>
      <c r="G170" s="590">
        <v>33000</v>
      </c>
      <c r="H170" s="643"/>
      <c r="I170" s="1257">
        <f>G170-H170</f>
        <v>33000</v>
      </c>
      <c r="J170" s="2105" t="s">
        <v>224</v>
      </c>
      <c r="K170" s="2082"/>
      <c r="L170" s="2082"/>
      <c r="M170" s="2082"/>
      <c r="N170" s="2082"/>
      <c r="O170" s="2082"/>
      <c r="P170" s="2082"/>
      <c r="Q170" s="556"/>
      <c r="R170" s="2092"/>
      <c r="S170" s="474"/>
      <c r="T170" s="2106"/>
      <c r="U170" s="2106"/>
      <c r="V170" s="2106"/>
      <c r="W170" s="2106"/>
      <c r="X170" s="2030"/>
      <c r="Y170" s="554">
        <f t="shared" ref="Y170:Y173" si="45">(Z170)/1000</f>
        <v>33000</v>
      </c>
      <c r="Z170" s="555">
        <f>Z171+Z172+Z173</f>
        <v>33000000</v>
      </c>
      <c r="AA170" s="547"/>
      <c r="AB170" s="1891"/>
      <c r="AC170" s="1895"/>
      <c r="AD170" s="456"/>
    </row>
    <row r="171" spans="1:30" s="1651" customFormat="1" ht="22.5" customHeight="1">
      <c r="A171" s="540"/>
      <c r="B171" s="1910"/>
      <c r="C171" s="542"/>
      <c r="D171" s="548"/>
      <c r="E171" s="2023"/>
      <c r="F171" s="536"/>
      <c r="G171" s="590"/>
      <c r="H171" s="643"/>
      <c r="I171" s="1257"/>
      <c r="J171" s="2105" t="s">
        <v>1858</v>
      </c>
      <c r="K171" s="2082"/>
      <c r="L171" s="2082"/>
      <c r="M171" s="2082"/>
      <c r="N171" s="2082"/>
      <c r="O171" s="2082"/>
      <c r="P171" s="2082"/>
      <c r="Q171" s="556"/>
      <c r="R171" s="2092"/>
      <c r="S171" s="474">
        <v>7500000</v>
      </c>
      <c r="T171" s="2106" t="s">
        <v>4</v>
      </c>
      <c r="U171" s="2106"/>
      <c r="V171" s="2106">
        <v>2</v>
      </c>
      <c r="W171" s="2106" t="s">
        <v>39</v>
      </c>
      <c r="X171" s="2030" t="s">
        <v>5</v>
      </c>
      <c r="Y171" s="554">
        <f t="shared" si="45"/>
        <v>15000</v>
      </c>
      <c r="Z171" s="555">
        <f>S171*V171</f>
        <v>15000000</v>
      </c>
      <c r="AA171" s="547"/>
      <c r="AB171" s="1891"/>
      <c r="AC171" s="1895"/>
      <c r="AD171" s="456"/>
    </row>
    <row r="172" spans="1:30" s="1651" customFormat="1" ht="22.5" customHeight="1">
      <c r="A172" s="540"/>
      <c r="B172" s="1910"/>
      <c r="C172" s="542"/>
      <c r="D172" s="548"/>
      <c r="E172" s="2023"/>
      <c r="F172" s="536"/>
      <c r="G172" s="590"/>
      <c r="H172" s="643"/>
      <c r="I172" s="1257"/>
      <c r="J172" s="2105" t="s">
        <v>1859</v>
      </c>
      <c r="K172" s="2082"/>
      <c r="L172" s="2082"/>
      <c r="M172" s="2082"/>
      <c r="N172" s="2082"/>
      <c r="O172" s="2082"/>
      <c r="P172" s="2082"/>
      <c r="Q172" s="556"/>
      <c r="R172" s="2092"/>
      <c r="S172" s="474">
        <v>5000000</v>
      </c>
      <c r="T172" s="2106" t="s">
        <v>4</v>
      </c>
      <c r="U172" s="2106"/>
      <c r="V172" s="2106">
        <v>3</v>
      </c>
      <c r="W172" s="2106" t="s">
        <v>39</v>
      </c>
      <c r="X172" s="2030" t="s">
        <v>733</v>
      </c>
      <c r="Y172" s="554">
        <f t="shared" si="45"/>
        <v>15000</v>
      </c>
      <c r="Z172" s="555">
        <f>S172*V172</f>
        <v>15000000</v>
      </c>
      <c r="AA172" s="547"/>
      <c r="AB172" s="1891"/>
      <c r="AC172" s="1895"/>
      <c r="AD172" s="456"/>
    </row>
    <row r="173" spans="1:30" s="1651" customFormat="1" ht="22.5" customHeight="1">
      <c r="A173" s="540"/>
      <c r="B173" s="1910"/>
      <c r="C173" s="542"/>
      <c r="D173" s="548"/>
      <c r="E173" s="2023"/>
      <c r="F173" s="536"/>
      <c r="G173" s="590"/>
      <c r="H173" s="643"/>
      <c r="I173" s="1257"/>
      <c r="J173" s="2105" t="s">
        <v>1860</v>
      </c>
      <c r="K173" s="2082"/>
      <c r="L173" s="2082"/>
      <c r="M173" s="2082"/>
      <c r="N173" s="2082"/>
      <c r="O173" s="2082"/>
      <c r="P173" s="2082"/>
      <c r="Q173" s="556"/>
      <c r="R173" s="2092"/>
      <c r="S173" s="474">
        <v>500000</v>
      </c>
      <c r="T173" s="2106" t="s">
        <v>4</v>
      </c>
      <c r="U173" s="2106"/>
      <c r="V173" s="2106">
        <v>6</v>
      </c>
      <c r="W173" s="2106" t="s">
        <v>230</v>
      </c>
      <c r="X173" s="2030" t="s">
        <v>5</v>
      </c>
      <c r="Y173" s="554">
        <f t="shared" si="45"/>
        <v>3000</v>
      </c>
      <c r="Z173" s="555">
        <f>S173*V173</f>
        <v>3000000</v>
      </c>
      <c r="AA173" s="547"/>
      <c r="AB173" s="1891"/>
      <c r="AC173" s="1895"/>
      <c r="AD173" s="456"/>
    </row>
    <row r="174" spans="1:30" s="1651" customFormat="1" ht="22.5" customHeight="1">
      <c r="A174" s="540"/>
      <c r="B174" s="1910"/>
      <c r="C174" s="542"/>
      <c r="D174" s="548"/>
      <c r="E174" s="2023" t="s">
        <v>261</v>
      </c>
      <c r="F174" s="536">
        <f>+Y174</f>
        <v>1265000</v>
      </c>
      <c r="G174" s="590">
        <v>1265000</v>
      </c>
      <c r="H174" s="643"/>
      <c r="I174" s="1257">
        <f>G174-H174</f>
        <v>1265000</v>
      </c>
      <c r="J174" s="2105" t="s">
        <v>224</v>
      </c>
      <c r="K174" s="2082"/>
      <c r="L174" s="2082"/>
      <c r="M174" s="2082"/>
      <c r="N174" s="2082"/>
      <c r="O174" s="2082"/>
      <c r="P174" s="2082"/>
      <c r="Q174" s="556"/>
      <c r="R174" s="2092"/>
      <c r="S174" s="474"/>
      <c r="T174" s="2106"/>
      <c r="U174" s="2106"/>
      <c r="V174" s="556"/>
      <c r="W174" s="2092"/>
      <c r="X174" s="2030"/>
      <c r="Y174" s="554">
        <f t="shared" si="44"/>
        <v>1265000</v>
      </c>
      <c r="Z174" s="555">
        <f>+Z175+Z176+Z177+Z178</f>
        <v>1265000000</v>
      </c>
      <c r="AA174" s="547"/>
      <c r="AB174" s="1891"/>
      <c r="AC174" s="1895"/>
      <c r="AD174" s="456"/>
    </row>
    <row r="175" spans="1:30" s="1651" customFormat="1" ht="22.5" customHeight="1">
      <c r="A175" s="540"/>
      <c r="B175" s="1910"/>
      <c r="C175" s="542"/>
      <c r="D175" s="548"/>
      <c r="E175" s="2023"/>
      <c r="F175" s="536"/>
      <c r="G175" s="590"/>
      <c r="H175" s="643"/>
      <c r="I175" s="1257"/>
      <c r="J175" s="2105" t="s">
        <v>1861</v>
      </c>
      <c r="K175" s="2082"/>
      <c r="L175" s="2082"/>
      <c r="M175" s="2082"/>
      <c r="N175" s="2082"/>
      <c r="O175" s="2082"/>
      <c r="P175" s="2082"/>
      <c r="Q175" s="556"/>
      <c r="R175" s="2092"/>
      <c r="S175" s="474">
        <v>25000000</v>
      </c>
      <c r="T175" s="2106" t="s">
        <v>4</v>
      </c>
      <c r="U175" s="2106"/>
      <c r="V175" s="556">
        <v>42</v>
      </c>
      <c r="W175" s="2092" t="s">
        <v>1294</v>
      </c>
      <c r="X175" s="2030" t="s">
        <v>5</v>
      </c>
      <c r="Y175" s="554">
        <f t="shared" si="44"/>
        <v>1050000</v>
      </c>
      <c r="Z175" s="555">
        <f t="shared" ref="Z175:Z181" si="46">S175*V175</f>
        <v>1050000000</v>
      </c>
      <c r="AA175" s="547"/>
      <c r="AB175" s="1891"/>
      <c r="AC175" s="1895"/>
      <c r="AD175" s="456"/>
    </row>
    <row r="176" spans="1:30" s="1651" customFormat="1" ht="22.5" customHeight="1">
      <c r="A176" s="540"/>
      <c r="B176" s="1910"/>
      <c r="C176" s="542"/>
      <c r="D176" s="548"/>
      <c r="E176" s="2023"/>
      <c r="F176" s="536"/>
      <c r="G176" s="590"/>
      <c r="H176" s="643"/>
      <c r="I176" s="1257"/>
      <c r="J176" s="2105" t="s">
        <v>1862</v>
      </c>
      <c r="K176" s="2082"/>
      <c r="L176" s="2082"/>
      <c r="M176" s="2082"/>
      <c r="N176" s="2082"/>
      <c r="O176" s="2082"/>
      <c r="P176" s="2082"/>
      <c r="Q176" s="556"/>
      <c r="R176" s="2092"/>
      <c r="S176" s="474">
        <v>15000000</v>
      </c>
      <c r="T176" s="2106" t="s">
        <v>4</v>
      </c>
      <c r="U176" s="2106"/>
      <c r="V176" s="556">
        <v>5</v>
      </c>
      <c r="W176" s="2092" t="s">
        <v>1294</v>
      </c>
      <c r="X176" s="2030" t="s">
        <v>5</v>
      </c>
      <c r="Y176" s="554">
        <f t="shared" ref="Y176" si="47">(Z176)/1000</f>
        <v>75000</v>
      </c>
      <c r="Z176" s="555">
        <f t="shared" si="46"/>
        <v>75000000</v>
      </c>
      <c r="AA176" s="547"/>
      <c r="AB176" s="1891"/>
      <c r="AC176" s="1895"/>
      <c r="AD176" s="456"/>
    </row>
    <row r="177" spans="1:30" s="1651" customFormat="1" ht="22.5" customHeight="1">
      <c r="A177" s="540"/>
      <c r="B177" s="1910"/>
      <c r="C177" s="542"/>
      <c r="D177" s="548"/>
      <c r="E177" s="2023"/>
      <c r="F177" s="536"/>
      <c r="G177" s="590"/>
      <c r="H177" s="643"/>
      <c r="I177" s="1257"/>
      <c r="J177" s="2105" t="s">
        <v>1863</v>
      </c>
      <c r="K177" s="2082"/>
      <c r="L177" s="2082"/>
      <c r="M177" s="2082"/>
      <c r="N177" s="2082"/>
      <c r="O177" s="2082"/>
      <c r="P177" s="2082"/>
      <c r="Q177" s="556"/>
      <c r="R177" s="2092"/>
      <c r="S177" s="474">
        <v>40000000</v>
      </c>
      <c r="T177" s="2106" t="s">
        <v>4</v>
      </c>
      <c r="U177" s="2106"/>
      <c r="V177" s="556">
        <v>2</v>
      </c>
      <c r="W177" s="2092" t="s">
        <v>1294</v>
      </c>
      <c r="X177" s="2030" t="s">
        <v>5</v>
      </c>
      <c r="Y177" s="554">
        <f t="shared" ref="Y177" si="48">(Z177)/1000</f>
        <v>80000</v>
      </c>
      <c r="Z177" s="555">
        <f t="shared" si="46"/>
        <v>80000000</v>
      </c>
      <c r="AA177" s="547"/>
      <c r="AB177" s="1891"/>
      <c r="AC177" s="1895"/>
      <c r="AD177" s="456"/>
    </row>
    <row r="178" spans="1:30" s="1651" customFormat="1" ht="22.5" customHeight="1">
      <c r="A178" s="540"/>
      <c r="B178" s="1910"/>
      <c r="C178" s="542"/>
      <c r="D178" s="548"/>
      <c r="E178" s="2023"/>
      <c r="F178" s="536"/>
      <c r="G178" s="590"/>
      <c r="H178" s="643"/>
      <c r="I178" s="1257"/>
      <c r="J178" s="2105" t="s">
        <v>1864</v>
      </c>
      <c r="K178" s="2082"/>
      <c r="L178" s="2082"/>
      <c r="M178" s="2082"/>
      <c r="N178" s="2082"/>
      <c r="O178" s="2082"/>
      <c r="P178" s="2082"/>
      <c r="Q178" s="556"/>
      <c r="R178" s="2092"/>
      <c r="S178" s="474">
        <v>60000000</v>
      </c>
      <c r="T178" s="2106" t="s">
        <v>4</v>
      </c>
      <c r="U178" s="2106"/>
      <c r="V178" s="556">
        <v>1</v>
      </c>
      <c r="W178" s="2092" t="s">
        <v>226</v>
      </c>
      <c r="X178" s="2030" t="s">
        <v>5</v>
      </c>
      <c r="Y178" s="554">
        <f t="shared" si="44"/>
        <v>60000</v>
      </c>
      <c r="Z178" s="555">
        <f t="shared" si="46"/>
        <v>60000000</v>
      </c>
      <c r="AA178" s="547"/>
      <c r="AB178" s="1891"/>
      <c r="AC178" s="1895"/>
      <c r="AD178" s="456"/>
    </row>
    <row r="179" spans="1:30" s="1651" customFormat="1" ht="22.5" customHeight="1">
      <c r="A179" s="540"/>
      <c r="B179" s="1910"/>
      <c r="C179" s="542"/>
      <c r="D179" s="548"/>
      <c r="E179" s="2023" t="s">
        <v>17</v>
      </c>
      <c r="F179" s="536">
        <f>+Y179</f>
        <v>8880</v>
      </c>
      <c r="G179" s="590">
        <v>8880</v>
      </c>
      <c r="H179" s="643"/>
      <c r="I179" s="1257">
        <f t="shared" ref="H179:I208" si="49">G179-H179</f>
        <v>8880</v>
      </c>
      <c r="J179" s="2105" t="s">
        <v>953</v>
      </c>
      <c r="K179" s="2106"/>
      <c r="L179" s="2082"/>
      <c r="M179" s="2082"/>
      <c r="N179" s="2082"/>
      <c r="O179" s="2082"/>
      <c r="P179" s="2082"/>
      <c r="Q179" s="556"/>
      <c r="R179" s="2092"/>
      <c r="S179" s="474">
        <v>1110000</v>
      </c>
      <c r="T179" s="2106" t="s">
        <v>4</v>
      </c>
      <c r="U179" s="2106"/>
      <c r="V179" s="556">
        <v>8</v>
      </c>
      <c r="W179" s="2092" t="s">
        <v>39</v>
      </c>
      <c r="X179" s="2030" t="s">
        <v>5</v>
      </c>
      <c r="Y179" s="554">
        <f t="shared" si="44"/>
        <v>8880</v>
      </c>
      <c r="Z179" s="555">
        <f t="shared" si="46"/>
        <v>8880000</v>
      </c>
      <c r="AA179" s="547"/>
      <c r="AB179" s="1891"/>
      <c r="AC179" s="1895"/>
      <c r="AD179" s="456"/>
    </row>
    <row r="180" spans="1:30" s="1651" customFormat="1" ht="22.5" customHeight="1">
      <c r="A180" s="540"/>
      <c r="B180" s="1910"/>
      <c r="C180" s="542"/>
      <c r="D180" s="548"/>
      <c r="E180" s="2023" t="s">
        <v>73</v>
      </c>
      <c r="F180" s="536">
        <f>+Y180</f>
        <v>34000</v>
      </c>
      <c r="G180" s="590">
        <v>34000</v>
      </c>
      <c r="H180" s="643"/>
      <c r="I180" s="1257">
        <f t="shared" si="49"/>
        <v>34000</v>
      </c>
      <c r="J180" s="2105" t="s">
        <v>1450</v>
      </c>
      <c r="K180" s="2082"/>
      <c r="L180" s="2082"/>
      <c r="M180" s="2082"/>
      <c r="N180" s="2082"/>
      <c r="O180" s="2082"/>
      <c r="P180" s="2082"/>
      <c r="Q180" s="556"/>
      <c r="R180" s="2092"/>
      <c r="S180" s="474">
        <v>1000000</v>
      </c>
      <c r="T180" s="2106" t="s">
        <v>4</v>
      </c>
      <c r="U180" s="2106"/>
      <c r="V180" s="2106">
        <v>34</v>
      </c>
      <c r="W180" s="2106" t="s">
        <v>39</v>
      </c>
      <c r="X180" s="2030" t="s">
        <v>5</v>
      </c>
      <c r="Y180" s="554">
        <f t="shared" ref="Y180" si="50">(Z180)/1000</f>
        <v>34000</v>
      </c>
      <c r="Z180" s="555">
        <f t="shared" si="46"/>
        <v>34000000</v>
      </c>
      <c r="AA180" s="547"/>
      <c r="AB180" s="1891"/>
      <c r="AC180" s="1895"/>
      <c r="AD180" s="456"/>
    </row>
    <row r="181" spans="1:30" s="1651" customFormat="1" ht="22.5" customHeight="1">
      <c r="A181" s="540"/>
      <c r="B181" s="1910"/>
      <c r="C181" s="542"/>
      <c r="D181" s="548"/>
      <c r="E181" s="2023" t="s">
        <v>14</v>
      </c>
      <c r="F181" s="536">
        <f>+Y181</f>
        <v>8000</v>
      </c>
      <c r="G181" s="590">
        <v>8000</v>
      </c>
      <c r="H181" s="643"/>
      <c r="I181" s="1257">
        <f t="shared" si="49"/>
        <v>8000</v>
      </c>
      <c r="J181" s="2105" t="s">
        <v>1307</v>
      </c>
      <c r="K181" s="2106"/>
      <c r="L181" s="2082"/>
      <c r="M181" s="2082"/>
      <c r="N181" s="475"/>
      <c r="O181" s="2082"/>
      <c r="P181" s="2082"/>
      <c r="Q181" s="475"/>
      <c r="R181" s="2082"/>
      <c r="S181" s="474">
        <v>100000</v>
      </c>
      <c r="T181" s="2106" t="s">
        <v>4</v>
      </c>
      <c r="U181" s="2106"/>
      <c r="V181" s="475">
        <v>80</v>
      </c>
      <c r="W181" s="2092" t="s">
        <v>39</v>
      </c>
      <c r="X181" s="2030" t="s">
        <v>5</v>
      </c>
      <c r="Y181" s="554">
        <f t="shared" si="44"/>
        <v>8000</v>
      </c>
      <c r="Z181" s="555">
        <f t="shared" si="46"/>
        <v>8000000</v>
      </c>
      <c r="AA181" s="547"/>
      <c r="AB181" s="1891"/>
      <c r="AC181" s="1895"/>
      <c r="AD181" s="456"/>
    </row>
    <row r="182" spans="1:30" ht="22.5" customHeight="1">
      <c r="A182" s="562"/>
      <c r="B182" s="563"/>
      <c r="C182" s="3821" t="s">
        <v>1308</v>
      </c>
      <c r="D182" s="3821"/>
      <c r="E182" s="3822"/>
      <c r="F182" s="598">
        <f>+F183</f>
        <v>468000</v>
      </c>
      <c r="G182" s="598">
        <f>+G183</f>
        <v>468000</v>
      </c>
      <c r="H182" s="1320">
        <f t="shared" ref="H182:H183" si="51">F182-G182</f>
        <v>0</v>
      </c>
      <c r="I182" s="557"/>
      <c r="J182" s="2025"/>
      <c r="K182" s="2068"/>
      <c r="L182" s="2068"/>
      <c r="M182" s="2068"/>
      <c r="N182" s="2068"/>
      <c r="O182" s="2068"/>
      <c r="P182" s="2068"/>
      <c r="Q182" s="2322"/>
      <c r="R182" s="2027"/>
      <c r="S182" s="545"/>
      <c r="T182" s="2026"/>
      <c r="U182" s="2026"/>
      <c r="V182" s="2026"/>
      <c r="W182" s="2026"/>
      <c r="X182" s="2028"/>
      <c r="Y182" s="586"/>
      <c r="Z182" s="622"/>
      <c r="AA182" s="547"/>
      <c r="AB182" s="1891">
        <f>F182</f>
        <v>468000</v>
      </c>
      <c r="AC182" s="2700"/>
    </row>
    <row r="183" spans="1:30" s="1651" customFormat="1" ht="22.5" customHeight="1" thickBot="1">
      <c r="A183" s="540"/>
      <c r="B183" s="541"/>
      <c r="C183" s="1910"/>
      <c r="D183" s="3906" t="s">
        <v>1331</v>
      </c>
      <c r="E183" s="3907"/>
      <c r="F183" s="584">
        <f>SUM(F184:F192)</f>
        <v>468000</v>
      </c>
      <c r="G183" s="584">
        <f>SUM(G184:G192)</f>
        <v>468000</v>
      </c>
      <c r="H183" s="529">
        <f t="shared" si="51"/>
        <v>0</v>
      </c>
      <c r="I183" s="557"/>
      <c r="J183" s="538"/>
      <c r="K183" s="2068"/>
      <c r="L183" s="2068"/>
      <c r="M183" s="2068"/>
      <c r="N183" s="2068"/>
      <c r="O183" s="2068"/>
      <c r="P183" s="2068"/>
      <c r="Q183" s="2068"/>
      <c r="R183" s="539"/>
      <c r="S183" s="2068"/>
      <c r="T183" s="2068"/>
      <c r="U183" s="2068"/>
      <c r="V183" s="2068"/>
      <c r="W183" s="2068"/>
      <c r="X183" s="585"/>
      <c r="Y183" s="594"/>
      <c r="Z183" s="2663"/>
      <c r="AA183" s="547"/>
      <c r="AB183" s="1891"/>
      <c r="AC183" s="1895"/>
      <c r="AD183" s="456"/>
    </row>
    <row r="184" spans="1:30" s="1651" customFormat="1" ht="22.5" customHeight="1">
      <c r="A184" s="540"/>
      <c r="B184" s="541"/>
      <c r="C184" s="542"/>
      <c r="D184" s="548"/>
      <c r="E184" s="2023" t="s">
        <v>229</v>
      </c>
      <c r="F184" s="590">
        <f>Y184</f>
        <v>7000</v>
      </c>
      <c r="G184" s="593">
        <v>7000</v>
      </c>
      <c r="H184" s="534"/>
      <c r="I184" s="557"/>
      <c r="J184" s="2105" t="s">
        <v>1305</v>
      </c>
      <c r="K184" s="2082"/>
      <c r="L184" s="2082"/>
      <c r="M184" s="2082"/>
      <c r="N184" s="2082"/>
      <c r="O184" s="2082"/>
      <c r="P184" s="2082"/>
      <c r="Q184" s="556"/>
      <c r="R184" s="2092"/>
      <c r="S184" s="474">
        <v>7000000</v>
      </c>
      <c r="T184" s="2106" t="s">
        <v>4</v>
      </c>
      <c r="U184" s="2106"/>
      <c r="V184" s="556">
        <v>1</v>
      </c>
      <c r="W184" s="2092" t="s">
        <v>226</v>
      </c>
      <c r="X184" s="2030" t="s">
        <v>5</v>
      </c>
      <c r="Y184" s="554">
        <f>(Z184)/1000</f>
        <v>7000</v>
      </c>
      <c r="Z184" s="555">
        <f>S184*V184</f>
        <v>7000000</v>
      </c>
      <c r="AA184" s="547"/>
      <c r="AB184" s="1891"/>
      <c r="AC184" s="1895"/>
      <c r="AD184" s="456"/>
    </row>
    <row r="185" spans="1:30" s="1651" customFormat="1" ht="22.5" customHeight="1">
      <c r="A185" s="540"/>
      <c r="B185" s="541"/>
      <c r="C185" s="542"/>
      <c r="D185" s="548"/>
      <c r="E185" s="2023" t="s">
        <v>264</v>
      </c>
      <c r="F185" s="590">
        <f>Y185</f>
        <v>700</v>
      </c>
      <c r="G185" s="593">
        <v>700</v>
      </c>
      <c r="H185" s="534"/>
      <c r="I185" s="557"/>
      <c r="J185" s="2105" t="s">
        <v>1306</v>
      </c>
      <c r="K185" s="2106"/>
      <c r="L185" s="2082"/>
      <c r="M185" s="2082"/>
      <c r="N185" s="2082"/>
      <c r="O185" s="2082"/>
      <c r="P185" s="2082"/>
      <c r="Q185" s="556"/>
      <c r="R185" s="2092"/>
      <c r="S185" s="474">
        <v>700000</v>
      </c>
      <c r="T185" s="2106" t="s">
        <v>4</v>
      </c>
      <c r="U185" s="2106"/>
      <c r="V185" s="556">
        <v>1</v>
      </c>
      <c r="W185" s="2092" t="s">
        <v>226</v>
      </c>
      <c r="X185" s="2030" t="s">
        <v>5</v>
      </c>
      <c r="Y185" s="554">
        <f>(Z185)/1000</f>
        <v>700</v>
      </c>
      <c r="Z185" s="555">
        <f>S185*V185</f>
        <v>700000</v>
      </c>
      <c r="AA185" s="547"/>
      <c r="AB185" s="1891"/>
      <c r="AC185" s="1895"/>
      <c r="AD185" s="456"/>
    </row>
    <row r="186" spans="1:30" s="1651" customFormat="1" ht="22.5" customHeight="1">
      <c r="A186" s="540"/>
      <c r="B186" s="541"/>
      <c r="C186" s="542"/>
      <c r="D186" s="548"/>
      <c r="E186" s="2023" t="s">
        <v>225</v>
      </c>
      <c r="F186" s="590">
        <f>Y186</f>
        <v>1500</v>
      </c>
      <c r="G186" s="593">
        <v>1500</v>
      </c>
      <c r="H186" s="534"/>
      <c r="I186" s="557"/>
      <c r="J186" s="2105" t="s">
        <v>1300</v>
      </c>
      <c r="K186" s="2082"/>
      <c r="L186" s="2082"/>
      <c r="M186" s="2082"/>
      <c r="N186" s="2082"/>
      <c r="O186" s="2082"/>
      <c r="P186" s="2082"/>
      <c r="Q186" s="556">
        <v>50</v>
      </c>
      <c r="R186" s="2092" t="s">
        <v>232</v>
      </c>
      <c r="S186" s="474">
        <v>30000</v>
      </c>
      <c r="T186" s="2106" t="s">
        <v>4</v>
      </c>
      <c r="U186" s="2106"/>
      <c r="V186" s="2106">
        <v>1</v>
      </c>
      <c r="W186" s="2106" t="s">
        <v>878</v>
      </c>
      <c r="X186" s="2030" t="s">
        <v>5</v>
      </c>
      <c r="Y186" s="554">
        <f>(Z186)/1000</f>
        <v>1500</v>
      </c>
      <c r="Z186" s="555">
        <f>Q186*S186*V186</f>
        <v>1500000</v>
      </c>
      <c r="AA186" s="547"/>
      <c r="AB186" s="1891"/>
      <c r="AC186" s="1895"/>
      <c r="AD186" s="456"/>
    </row>
    <row r="187" spans="1:30" s="1651" customFormat="1" ht="22.5" customHeight="1">
      <c r="A187" s="540"/>
      <c r="B187" s="541"/>
      <c r="C187" s="542"/>
      <c r="D187" s="548"/>
      <c r="E187" s="2023" t="s">
        <v>15</v>
      </c>
      <c r="F187" s="590">
        <f>Y187</f>
        <v>26300</v>
      </c>
      <c r="G187" s="593">
        <v>26300</v>
      </c>
      <c r="H187" s="534"/>
      <c r="I187" s="557"/>
      <c r="J187" s="2105" t="s">
        <v>224</v>
      </c>
      <c r="K187" s="2082"/>
      <c r="L187" s="2082"/>
      <c r="M187" s="2082"/>
      <c r="N187" s="2082"/>
      <c r="O187" s="2082"/>
      <c r="P187" s="2082"/>
      <c r="Q187" s="556"/>
      <c r="R187" s="2092"/>
      <c r="S187" s="474"/>
      <c r="T187" s="2106"/>
      <c r="U187" s="2106"/>
      <c r="V187" s="2106"/>
      <c r="W187" s="2106"/>
      <c r="X187" s="2030"/>
      <c r="Y187" s="554">
        <f t="shared" ref="Y187:Y192" si="52">(Z187)/1000</f>
        <v>26300</v>
      </c>
      <c r="Z187" s="555">
        <f>+Z188+Z189</f>
        <v>26300000</v>
      </c>
      <c r="AA187" s="547"/>
      <c r="AB187" s="1891"/>
      <c r="AC187" s="1895"/>
      <c r="AD187" s="456"/>
    </row>
    <row r="188" spans="1:30" s="1651" customFormat="1" ht="22.5" customHeight="1">
      <c r="A188" s="540"/>
      <c r="B188" s="541"/>
      <c r="C188" s="542"/>
      <c r="D188" s="548"/>
      <c r="E188" s="2023"/>
      <c r="F188" s="590"/>
      <c r="G188" s="593"/>
      <c r="H188" s="534"/>
      <c r="I188" s="557"/>
      <c r="J188" s="2105" t="s">
        <v>1853</v>
      </c>
      <c r="K188" s="2082"/>
      <c r="L188" s="2082"/>
      <c r="M188" s="2082"/>
      <c r="N188" s="2082"/>
      <c r="O188" s="2082"/>
      <c r="P188" s="2082"/>
      <c r="Q188" s="556"/>
      <c r="R188" s="2092"/>
      <c r="S188" s="474">
        <v>250000</v>
      </c>
      <c r="T188" s="2106" t="s">
        <v>4</v>
      </c>
      <c r="U188" s="2106"/>
      <c r="V188" s="556">
        <v>104</v>
      </c>
      <c r="W188" s="2092" t="s">
        <v>39</v>
      </c>
      <c r="X188" s="2030" t="s">
        <v>5</v>
      </c>
      <c r="Y188" s="554">
        <f t="shared" si="52"/>
        <v>26000</v>
      </c>
      <c r="Z188" s="555">
        <f>S188*V188</f>
        <v>26000000</v>
      </c>
      <c r="AA188" s="547"/>
      <c r="AB188" s="1891"/>
      <c r="AC188" s="1895"/>
      <c r="AD188" s="456"/>
    </row>
    <row r="189" spans="1:30" s="1651" customFormat="1" ht="22.5" customHeight="1">
      <c r="A189" s="540"/>
      <c r="B189" s="541"/>
      <c r="C189" s="542"/>
      <c r="D189" s="548"/>
      <c r="E189" s="2023"/>
      <c r="F189" s="590"/>
      <c r="G189" s="593"/>
      <c r="H189" s="534"/>
      <c r="I189" s="557"/>
      <c r="J189" s="2105" t="s">
        <v>1854</v>
      </c>
      <c r="K189" s="2082"/>
      <c r="L189" s="2082"/>
      <c r="M189" s="2082"/>
      <c r="N189" s="2082"/>
      <c r="O189" s="2082"/>
      <c r="P189" s="2082"/>
      <c r="Q189" s="556"/>
      <c r="R189" s="2092"/>
      <c r="S189" s="474">
        <v>50000</v>
      </c>
      <c r="T189" s="2106" t="s">
        <v>4</v>
      </c>
      <c r="U189" s="2106"/>
      <c r="V189" s="556">
        <v>6</v>
      </c>
      <c r="W189" s="2092" t="s">
        <v>39</v>
      </c>
      <c r="X189" s="2030" t="s">
        <v>5</v>
      </c>
      <c r="Y189" s="554">
        <f t="shared" si="52"/>
        <v>300</v>
      </c>
      <c r="Z189" s="555">
        <f>S189*V189</f>
        <v>300000</v>
      </c>
      <c r="AA189" s="547"/>
      <c r="AB189" s="1891"/>
      <c r="AC189" s="1895"/>
      <c r="AD189" s="456"/>
    </row>
    <row r="190" spans="1:30" s="814" customFormat="1" ht="22.5" customHeight="1">
      <c r="A190" s="1912"/>
      <c r="B190" s="2701"/>
      <c r="C190" s="2702"/>
      <c r="D190" s="2703"/>
      <c r="E190" s="2023" t="s">
        <v>261</v>
      </c>
      <c r="F190" s="590">
        <f>Y190</f>
        <v>428000</v>
      </c>
      <c r="G190" s="590">
        <v>428000</v>
      </c>
      <c r="H190" s="534"/>
      <c r="I190" s="557"/>
      <c r="J190" s="2105" t="s">
        <v>1449</v>
      </c>
      <c r="K190" s="2082"/>
      <c r="L190" s="2082"/>
      <c r="M190" s="2082"/>
      <c r="N190" s="2082"/>
      <c r="O190" s="2082"/>
      <c r="P190" s="2082"/>
      <c r="Q190" s="556"/>
      <c r="R190" s="2092"/>
      <c r="S190" s="474">
        <v>15285714.285714285</v>
      </c>
      <c r="T190" s="2106" t="s">
        <v>4</v>
      </c>
      <c r="U190" s="2106"/>
      <c r="V190" s="556">
        <v>28</v>
      </c>
      <c r="W190" s="2092" t="s">
        <v>1297</v>
      </c>
      <c r="X190" s="2030" t="s">
        <v>5</v>
      </c>
      <c r="Y190" s="554">
        <f t="shared" ref="Y190" si="53">(Z190)/1000</f>
        <v>428000</v>
      </c>
      <c r="Z190" s="555">
        <f>S190*V190</f>
        <v>428000000</v>
      </c>
      <c r="AA190" s="2679"/>
      <c r="AB190" s="1891"/>
      <c r="AC190" s="2677"/>
      <c r="AD190" s="836"/>
    </row>
    <row r="191" spans="1:30" s="1651" customFormat="1" ht="22.5" customHeight="1">
      <c r="A191" s="540"/>
      <c r="B191" s="541"/>
      <c r="C191" s="542"/>
      <c r="D191" s="548"/>
      <c r="E191" s="2023" t="s">
        <v>73</v>
      </c>
      <c r="F191" s="590">
        <f t="shared" ref="F191" si="54">Y191</f>
        <v>3000</v>
      </c>
      <c r="G191" s="593">
        <v>3000</v>
      </c>
      <c r="H191" s="534"/>
      <c r="I191" s="557"/>
      <c r="J191" s="2105" t="s">
        <v>1450</v>
      </c>
      <c r="K191" s="2082"/>
      <c r="L191" s="2082"/>
      <c r="M191" s="2082"/>
      <c r="N191" s="2082"/>
      <c r="O191" s="2082"/>
      <c r="P191" s="2082"/>
      <c r="Q191" s="556"/>
      <c r="R191" s="2092"/>
      <c r="S191" s="474">
        <v>1000000</v>
      </c>
      <c r="T191" s="2106" t="s">
        <v>4</v>
      </c>
      <c r="U191" s="2106"/>
      <c r="V191" s="2106">
        <v>3</v>
      </c>
      <c r="W191" s="2106" t="s">
        <v>39</v>
      </c>
      <c r="X191" s="2030" t="s">
        <v>5</v>
      </c>
      <c r="Y191" s="554">
        <f t="shared" ref="Y191" si="55">(Z191)/1000</f>
        <v>3000</v>
      </c>
      <c r="Z191" s="555">
        <f>S191*V191</f>
        <v>3000000</v>
      </c>
      <c r="AA191" s="547"/>
      <c r="AB191" s="1891"/>
      <c r="AC191" s="1895"/>
      <c r="AD191" s="456"/>
    </row>
    <row r="192" spans="1:30" s="1651" customFormat="1" ht="22.5" customHeight="1">
      <c r="A192" s="540"/>
      <c r="B192" s="541"/>
      <c r="C192" s="1910"/>
      <c r="D192" s="548"/>
      <c r="E192" s="2023" t="s">
        <v>14</v>
      </c>
      <c r="F192" s="590">
        <f>Y192</f>
        <v>1500</v>
      </c>
      <c r="G192" s="593">
        <v>1500</v>
      </c>
      <c r="H192" s="534"/>
      <c r="I192" s="557"/>
      <c r="J192" s="2105" t="s">
        <v>1307</v>
      </c>
      <c r="K192" s="2106"/>
      <c r="L192" s="2082"/>
      <c r="M192" s="2082"/>
      <c r="N192" s="475"/>
      <c r="O192" s="2082"/>
      <c r="P192" s="2082"/>
      <c r="Q192" s="556">
        <v>5</v>
      </c>
      <c r="R192" s="2082" t="s">
        <v>36</v>
      </c>
      <c r="S192" s="474">
        <v>20000</v>
      </c>
      <c r="T192" s="2106" t="s">
        <v>4</v>
      </c>
      <c r="U192" s="2106"/>
      <c r="V192" s="475">
        <v>15</v>
      </c>
      <c r="W192" s="2092" t="s">
        <v>39</v>
      </c>
      <c r="X192" s="2030" t="s">
        <v>5</v>
      </c>
      <c r="Y192" s="554">
        <f t="shared" si="52"/>
        <v>1500</v>
      </c>
      <c r="Z192" s="555">
        <f>Q192*S192*V192</f>
        <v>1500000</v>
      </c>
      <c r="AA192" s="547"/>
      <c r="AB192" s="1891"/>
      <c r="AC192" s="1895"/>
      <c r="AD192" s="456"/>
    </row>
    <row r="193" spans="1:30" s="1875" customFormat="1" ht="22.5" customHeight="1">
      <c r="A193" s="540"/>
      <c r="B193" s="541"/>
      <c r="C193" s="3821" t="s">
        <v>1993</v>
      </c>
      <c r="D193" s="3821"/>
      <c r="E193" s="3822"/>
      <c r="F193" s="598">
        <f>+F194</f>
        <v>530000</v>
      </c>
      <c r="G193" s="598">
        <f>+G194</f>
        <v>530000</v>
      </c>
      <c r="H193" s="1320">
        <f t="shared" ref="H193:H194" si="56">F193-G193</f>
        <v>0</v>
      </c>
      <c r="I193" s="2082"/>
      <c r="J193" s="2025"/>
      <c r="K193" s="609"/>
      <c r="L193" s="605"/>
      <c r="M193" s="605"/>
      <c r="N193" s="1344"/>
      <c r="O193" s="605"/>
      <c r="P193" s="605"/>
      <c r="Q193" s="1344"/>
      <c r="R193" s="605"/>
      <c r="S193" s="608"/>
      <c r="T193" s="609"/>
      <c r="U193" s="609"/>
      <c r="V193" s="1344"/>
      <c r="W193" s="607"/>
      <c r="X193" s="610"/>
      <c r="Y193" s="748"/>
      <c r="Z193" s="1884"/>
      <c r="AA193" s="547"/>
      <c r="AB193" s="547"/>
      <c r="AC193" s="2082"/>
    </row>
    <row r="194" spans="1:30" s="1875" customFormat="1" ht="22.5" customHeight="1">
      <c r="A194" s="540"/>
      <c r="B194" s="541"/>
      <c r="C194" s="542"/>
      <c r="D194" s="3906" t="s">
        <v>1994</v>
      </c>
      <c r="E194" s="3907"/>
      <c r="F194" s="598">
        <f>SUM(F195:F203)</f>
        <v>530000</v>
      </c>
      <c r="G194" s="598">
        <f>SUM(G195:G203)</f>
        <v>530000</v>
      </c>
      <c r="H194" s="627">
        <f t="shared" si="56"/>
        <v>0</v>
      </c>
      <c r="I194" s="2082"/>
      <c r="J194" s="538"/>
      <c r="K194" s="2068"/>
      <c r="L194" s="2068"/>
      <c r="M194" s="2068"/>
      <c r="N194" s="2068"/>
      <c r="O194" s="2068"/>
      <c r="P194" s="2068"/>
      <c r="Q194" s="2068"/>
      <c r="R194" s="539"/>
      <c r="S194" s="2068"/>
      <c r="T194" s="2068"/>
      <c r="U194" s="2068"/>
      <c r="V194" s="2068"/>
      <c r="W194" s="2068"/>
      <c r="X194" s="585"/>
      <c r="Y194" s="586"/>
      <c r="Z194" s="3428"/>
      <c r="AA194" s="547"/>
      <c r="AB194" s="547">
        <f t="shared" ref="AB194" si="57">F194*1000000</f>
        <v>530000000000</v>
      </c>
      <c r="AC194" s="2082"/>
    </row>
    <row r="195" spans="1:30" s="1875" customFormat="1" ht="22.5" customHeight="1">
      <c r="A195" s="540"/>
      <c r="B195" s="541"/>
      <c r="C195" s="542"/>
      <c r="D195" s="1906"/>
      <c r="E195" s="589" t="s">
        <v>95</v>
      </c>
      <c r="F195" s="526">
        <f>Y195</f>
        <v>400</v>
      </c>
      <c r="G195" s="1918">
        <v>400</v>
      </c>
      <c r="H195" s="551"/>
      <c r="I195" s="543"/>
      <c r="J195" s="2105" t="s">
        <v>280</v>
      </c>
      <c r="K195" s="2106"/>
      <c r="L195" s="2082"/>
      <c r="M195" s="2082"/>
      <c r="N195" s="475" t="s">
        <v>20</v>
      </c>
      <c r="O195" s="2082" t="s">
        <v>20</v>
      </c>
      <c r="P195" s="2082"/>
      <c r="Q195" s="556">
        <v>2</v>
      </c>
      <c r="R195" s="2080" t="s">
        <v>2134</v>
      </c>
      <c r="S195" s="474">
        <v>20000</v>
      </c>
      <c r="T195" s="2106" t="s">
        <v>0</v>
      </c>
      <c r="U195" s="2106"/>
      <c r="V195" s="2106">
        <v>10</v>
      </c>
      <c r="W195" s="2106" t="s">
        <v>3</v>
      </c>
      <c r="X195" s="2030" t="s">
        <v>1</v>
      </c>
      <c r="Y195" s="483">
        <f>Z195/1000</f>
        <v>400</v>
      </c>
      <c r="Z195" s="3221">
        <f>Q195*S195*V195</f>
        <v>400000</v>
      </c>
      <c r="AA195" s="547"/>
      <c r="AB195" s="547"/>
      <c r="AC195" s="2082"/>
    </row>
    <row r="196" spans="1:30" s="1875" customFormat="1" ht="22.5" customHeight="1">
      <c r="A196" s="540"/>
      <c r="B196" s="541"/>
      <c r="C196" s="542"/>
      <c r="D196" s="1908"/>
      <c r="E196" s="2023" t="s">
        <v>2140</v>
      </c>
      <c r="F196" s="526">
        <f>Y196</f>
        <v>3000</v>
      </c>
      <c r="G196" s="1918">
        <v>3000</v>
      </c>
      <c r="H196" s="551"/>
      <c r="I196" s="543"/>
      <c r="J196" s="2105" t="s">
        <v>8</v>
      </c>
      <c r="K196" s="2082"/>
      <c r="L196" s="2082"/>
      <c r="M196" s="2082"/>
      <c r="N196" s="2082"/>
      <c r="O196" s="2082"/>
      <c r="P196" s="2082"/>
      <c r="Q196" s="2082"/>
      <c r="R196" s="552"/>
      <c r="S196" s="2082"/>
      <c r="T196" s="2082"/>
      <c r="U196" s="2082"/>
      <c r="V196" s="2082"/>
      <c r="W196" s="2082"/>
      <c r="X196" s="2030"/>
      <c r="Y196" s="483">
        <f t="shared" ref="Y196:Y203" si="58">Z196/1000</f>
        <v>3000</v>
      </c>
      <c r="Z196" s="3221">
        <f>SUM(Z197:Z198)</f>
        <v>3000000</v>
      </c>
      <c r="AA196" s="547"/>
      <c r="AB196" s="547"/>
      <c r="AC196" s="2082"/>
    </row>
    <row r="197" spans="1:30" s="1875" customFormat="1" ht="22.5" customHeight="1">
      <c r="A197" s="540"/>
      <c r="B197" s="541"/>
      <c r="C197" s="542"/>
      <c r="D197" s="624"/>
      <c r="E197" s="2023"/>
      <c r="F197" s="526"/>
      <c r="G197" s="1918"/>
      <c r="H197" s="551"/>
      <c r="I197" s="543"/>
      <c r="J197" s="2105" t="s">
        <v>281</v>
      </c>
      <c r="K197" s="2082"/>
      <c r="L197" s="2082"/>
      <c r="M197" s="2082"/>
      <c r="N197" s="2082"/>
      <c r="O197" s="2082"/>
      <c r="P197" s="2082"/>
      <c r="Q197" s="556">
        <v>4</v>
      </c>
      <c r="R197" s="2080" t="s">
        <v>2134</v>
      </c>
      <c r="S197" s="474">
        <v>200000</v>
      </c>
      <c r="T197" s="2106" t="s">
        <v>0</v>
      </c>
      <c r="U197" s="2106"/>
      <c r="V197" s="2106">
        <v>2</v>
      </c>
      <c r="W197" s="2106" t="s">
        <v>3</v>
      </c>
      <c r="X197" s="2030" t="s">
        <v>1</v>
      </c>
      <c r="Y197" s="483">
        <f t="shared" si="58"/>
        <v>1600</v>
      </c>
      <c r="Z197" s="3221">
        <f>Q197*S197*V197</f>
        <v>1600000</v>
      </c>
      <c r="AA197" s="547"/>
      <c r="AB197" s="547"/>
      <c r="AC197" s="2082"/>
    </row>
    <row r="198" spans="1:30" s="1875" customFormat="1" ht="22.5" customHeight="1">
      <c r="A198" s="540"/>
      <c r="B198" s="541"/>
      <c r="C198" s="542"/>
      <c r="D198" s="624"/>
      <c r="E198" s="2023"/>
      <c r="F198" s="526"/>
      <c r="G198" s="1918"/>
      <c r="H198" s="551"/>
      <c r="I198" s="543"/>
      <c r="J198" s="2105" t="s">
        <v>2152</v>
      </c>
      <c r="K198" s="2082"/>
      <c r="L198" s="2082"/>
      <c r="M198" s="2082"/>
      <c r="N198" s="2082"/>
      <c r="O198" s="2082"/>
      <c r="P198" s="2082"/>
      <c r="Q198" s="556">
        <v>7</v>
      </c>
      <c r="R198" s="2080" t="s">
        <v>2134</v>
      </c>
      <c r="S198" s="474">
        <v>200000</v>
      </c>
      <c r="T198" s="2106" t="s">
        <v>0</v>
      </c>
      <c r="U198" s="2106"/>
      <c r="V198" s="2106">
        <v>1</v>
      </c>
      <c r="W198" s="2106" t="s">
        <v>3</v>
      </c>
      <c r="X198" s="2030" t="s">
        <v>1</v>
      </c>
      <c r="Y198" s="483">
        <f t="shared" si="58"/>
        <v>1400</v>
      </c>
      <c r="Z198" s="3221">
        <f>Q198*S198*V198</f>
        <v>1400000</v>
      </c>
      <c r="AA198" s="547"/>
      <c r="AB198" s="547"/>
      <c r="AC198" s="2082"/>
    </row>
    <row r="199" spans="1:30" s="1875" customFormat="1" ht="22.5" customHeight="1">
      <c r="A199" s="540"/>
      <c r="B199" s="541"/>
      <c r="C199" s="542"/>
      <c r="D199" s="592"/>
      <c r="E199" s="745" t="s">
        <v>2122</v>
      </c>
      <c r="F199" s="526">
        <f>Y199</f>
        <v>525000</v>
      </c>
      <c r="G199" s="1918">
        <v>525000</v>
      </c>
      <c r="H199" s="551"/>
      <c r="I199" s="543"/>
      <c r="J199" s="2105" t="s">
        <v>2151</v>
      </c>
      <c r="K199" s="2106"/>
      <c r="L199" s="2082"/>
      <c r="M199" s="2082"/>
      <c r="N199" s="2082"/>
      <c r="O199" s="2082"/>
      <c r="P199" s="2082"/>
      <c r="Q199" s="556"/>
      <c r="R199" s="2092"/>
      <c r="S199" s="474">
        <v>525000000</v>
      </c>
      <c r="T199" s="2106" t="s">
        <v>0</v>
      </c>
      <c r="U199" s="2106"/>
      <c r="V199" s="2106">
        <v>1</v>
      </c>
      <c r="W199" s="2106" t="s">
        <v>2126</v>
      </c>
      <c r="X199" s="2030" t="s">
        <v>1</v>
      </c>
      <c r="Y199" s="483">
        <f t="shared" si="58"/>
        <v>525000</v>
      </c>
      <c r="Z199" s="3221">
        <f>S199*V199</f>
        <v>525000000</v>
      </c>
      <c r="AA199" s="547"/>
      <c r="AB199" s="547"/>
      <c r="AC199" s="2082"/>
    </row>
    <row r="200" spans="1:30" s="1875" customFormat="1" ht="22.5" customHeight="1">
      <c r="A200" s="540"/>
      <c r="B200" s="541"/>
      <c r="C200" s="542"/>
      <c r="D200" s="1908"/>
      <c r="E200" s="2023" t="s">
        <v>62</v>
      </c>
      <c r="F200" s="526">
        <f>Y200</f>
        <v>1000</v>
      </c>
      <c r="G200" s="1918">
        <v>1000</v>
      </c>
      <c r="H200" s="551"/>
      <c r="I200" s="543"/>
      <c r="J200" s="2105" t="s">
        <v>2153</v>
      </c>
      <c r="K200" s="2106"/>
      <c r="L200" s="2082"/>
      <c r="M200" s="2082"/>
      <c r="N200" s="475"/>
      <c r="O200" s="2082"/>
      <c r="P200" s="2082"/>
      <c r="Q200" s="556"/>
      <c r="R200" s="2092"/>
      <c r="S200" s="474"/>
      <c r="T200" s="2106"/>
      <c r="U200" s="2106"/>
      <c r="V200" s="2106"/>
      <c r="W200" s="2106"/>
      <c r="X200" s="2030"/>
      <c r="Y200" s="483">
        <f t="shared" si="58"/>
        <v>1000</v>
      </c>
      <c r="Z200" s="3221">
        <f>SUM(Z201:Z202)</f>
        <v>1000000</v>
      </c>
      <c r="AA200" s="547"/>
      <c r="AB200" s="547"/>
      <c r="AC200" s="2082"/>
    </row>
    <row r="201" spans="1:30" s="1875" customFormat="1" ht="22.5" customHeight="1">
      <c r="A201" s="540"/>
      <c r="B201" s="541"/>
      <c r="C201" s="542"/>
      <c r="D201" s="1908"/>
      <c r="E201" s="592"/>
      <c r="F201" s="526"/>
      <c r="G201" s="1918"/>
      <c r="H201" s="551"/>
      <c r="I201" s="543"/>
      <c r="J201" s="2105" t="s">
        <v>2154</v>
      </c>
      <c r="K201" s="2106"/>
      <c r="L201" s="2082"/>
      <c r="M201" s="2082"/>
      <c r="N201" s="475"/>
      <c r="O201" s="2082"/>
      <c r="P201" s="2082"/>
      <c r="Q201" s="556"/>
      <c r="R201" s="2092"/>
      <c r="S201" s="474">
        <v>500000</v>
      </c>
      <c r="T201" s="2106" t="s">
        <v>0</v>
      </c>
      <c r="U201" s="2106"/>
      <c r="V201" s="2106">
        <v>1</v>
      </c>
      <c r="W201" s="2106" t="s">
        <v>3</v>
      </c>
      <c r="X201" s="2030" t="s">
        <v>1</v>
      </c>
      <c r="Y201" s="483">
        <f t="shared" si="58"/>
        <v>500</v>
      </c>
      <c r="Z201" s="3221">
        <f>S201*V201</f>
        <v>500000</v>
      </c>
      <c r="AA201" s="547"/>
      <c r="AB201" s="547"/>
      <c r="AC201" s="2082"/>
    </row>
    <row r="202" spans="1:30" s="1875" customFormat="1" ht="22.5" customHeight="1">
      <c r="A202" s="540"/>
      <c r="B202" s="541"/>
      <c r="C202" s="542"/>
      <c r="D202" s="1908"/>
      <c r="E202" s="2023"/>
      <c r="F202" s="526"/>
      <c r="G202" s="1918"/>
      <c r="H202" s="551"/>
      <c r="I202" s="543"/>
      <c r="J202" s="2105" t="s">
        <v>287</v>
      </c>
      <c r="K202" s="2106"/>
      <c r="L202" s="2082"/>
      <c r="M202" s="2082"/>
      <c r="N202" s="475"/>
      <c r="O202" s="2082"/>
      <c r="P202" s="2082"/>
      <c r="Q202" s="556"/>
      <c r="R202" s="2092"/>
      <c r="S202" s="474">
        <v>500000</v>
      </c>
      <c r="T202" s="2106" t="s">
        <v>0</v>
      </c>
      <c r="U202" s="2106"/>
      <c r="V202" s="2106">
        <v>1</v>
      </c>
      <c r="W202" s="2106" t="s">
        <v>3</v>
      </c>
      <c r="X202" s="2030" t="s">
        <v>1</v>
      </c>
      <c r="Y202" s="483">
        <f t="shared" si="58"/>
        <v>500</v>
      </c>
      <c r="Z202" s="3221">
        <f>S202*V202</f>
        <v>500000</v>
      </c>
      <c r="AA202" s="547"/>
      <c r="AB202" s="547"/>
      <c r="AC202" s="2082"/>
    </row>
    <row r="203" spans="1:30" s="1875" customFormat="1" ht="22.5" customHeight="1">
      <c r="A203" s="540"/>
      <c r="B203" s="541"/>
      <c r="C203" s="542"/>
      <c r="D203" s="624"/>
      <c r="E203" s="745" t="s">
        <v>61</v>
      </c>
      <c r="F203" s="526">
        <f>Y203</f>
        <v>600</v>
      </c>
      <c r="G203" s="1919">
        <v>600</v>
      </c>
      <c r="H203" s="551"/>
      <c r="I203" s="543"/>
      <c r="J203" s="614" t="s">
        <v>2155</v>
      </c>
      <c r="K203" s="618"/>
      <c r="L203" s="2072"/>
      <c r="M203" s="2072"/>
      <c r="N203" s="507"/>
      <c r="O203" s="2072"/>
      <c r="P203" s="2072"/>
      <c r="Q203" s="615">
        <v>5</v>
      </c>
      <c r="R203" s="2070" t="s">
        <v>2134</v>
      </c>
      <c r="S203" s="617">
        <v>20000</v>
      </c>
      <c r="T203" s="618" t="s">
        <v>0</v>
      </c>
      <c r="U203" s="618"/>
      <c r="V203" s="618">
        <v>6</v>
      </c>
      <c r="W203" s="618" t="s">
        <v>3</v>
      </c>
      <c r="X203" s="619" t="s">
        <v>1</v>
      </c>
      <c r="Y203" s="483">
        <f t="shared" si="58"/>
        <v>600</v>
      </c>
      <c r="Z203" s="3221">
        <f>Q203*S203*V203</f>
        <v>600000</v>
      </c>
      <c r="AA203" s="547"/>
      <c r="AB203" s="547"/>
      <c r="AC203" s="2082"/>
    </row>
    <row r="204" spans="1:30" s="3105" customFormat="1" ht="22.5" customHeight="1">
      <c r="A204" s="540"/>
      <c r="B204" s="3418"/>
      <c r="C204" s="3836" t="s">
        <v>5475</v>
      </c>
      <c r="D204" s="3821"/>
      <c r="E204" s="3822"/>
      <c r="F204" s="3158">
        <f>F205</f>
        <v>10000</v>
      </c>
      <c r="G204" s="3158">
        <f>G205</f>
        <v>10000</v>
      </c>
      <c r="H204" s="1320">
        <f>F204-G204</f>
        <v>0</v>
      </c>
      <c r="I204" s="3414"/>
      <c r="J204" s="3415"/>
      <c r="K204" s="3416"/>
      <c r="L204" s="3414"/>
      <c r="M204" s="3414"/>
      <c r="N204" s="3109"/>
      <c r="O204" s="3414"/>
      <c r="P204" s="3414"/>
      <c r="Q204" s="3109"/>
      <c r="R204" s="3414"/>
      <c r="S204" s="3108"/>
      <c r="T204" s="3416"/>
      <c r="U204" s="3416"/>
      <c r="V204" s="3109"/>
      <c r="W204" s="3409"/>
      <c r="X204" s="2030"/>
      <c r="Y204" s="748"/>
      <c r="Z204" s="3429"/>
      <c r="AA204" s="547"/>
      <c r="AB204" s="547"/>
      <c r="AC204" s="3414"/>
    </row>
    <row r="205" spans="1:30" s="3105" customFormat="1" ht="22.5" customHeight="1">
      <c r="A205" s="540"/>
      <c r="B205" s="3418"/>
      <c r="C205" s="542"/>
      <c r="D205" s="3906" t="s">
        <v>5476</v>
      </c>
      <c r="E205" s="3907"/>
      <c r="F205" s="3158">
        <f>SUM(F206:F207)</f>
        <v>10000</v>
      </c>
      <c r="G205" s="3158">
        <f>SUM(G206:G207)</f>
        <v>10000</v>
      </c>
      <c r="H205" s="627">
        <f>F205-G205</f>
        <v>0</v>
      </c>
      <c r="I205" s="3414"/>
      <c r="J205" s="538"/>
      <c r="K205" s="3404"/>
      <c r="L205" s="3404"/>
      <c r="M205" s="3404"/>
      <c r="N205" s="3404"/>
      <c r="O205" s="3404"/>
      <c r="P205" s="3404"/>
      <c r="Q205" s="3404"/>
      <c r="R205" s="539"/>
      <c r="S205" s="3404"/>
      <c r="T205" s="3404"/>
      <c r="U205" s="3404"/>
      <c r="V205" s="3404"/>
      <c r="W205" s="3404"/>
      <c r="X205" s="585"/>
      <c r="Y205" s="586"/>
      <c r="Z205" s="3428"/>
      <c r="AA205" s="547"/>
      <c r="AB205" s="547"/>
      <c r="AC205" s="3414"/>
    </row>
    <row r="206" spans="1:30" s="3105" customFormat="1" ht="22.5" customHeight="1">
      <c r="A206" s="540"/>
      <c r="B206" s="3418"/>
      <c r="C206" s="542"/>
      <c r="D206" s="1906"/>
      <c r="E206" s="589" t="s">
        <v>5477</v>
      </c>
      <c r="F206" s="536">
        <f>+Y206</f>
        <v>9500</v>
      </c>
      <c r="G206" s="1918">
        <v>9500</v>
      </c>
      <c r="H206" s="551"/>
      <c r="I206" s="543"/>
      <c r="J206" s="3415" t="s">
        <v>5478</v>
      </c>
      <c r="K206" s="3416"/>
      <c r="L206" s="3414"/>
      <c r="M206" s="3414"/>
      <c r="N206" s="3109" t="s">
        <v>20</v>
      </c>
      <c r="O206" s="3414" t="s">
        <v>20</v>
      </c>
      <c r="P206" s="3414"/>
      <c r="Q206" s="556"/>
      <c r="R206" s="3419"/>
      <c r="S206" s="3108">
        <v>9500000</v>
      </c>
      <c r="T206" s="3416" t="s">
        <v>0</v>
      </c>
      <c r="U206" s="3416"/>
      <c r="V206" s="3416">
        <v>1</v>
      </c>
      <c r="W206" s="3416" t="s">
        <v>226</v>
      </c>
      <c r="X206" s="2030" t="s">
        <v>1</v>
      </c>
      <c r="Y206" s="3110">
        <f t="shared" ref="Y206" si="59">Z206/1000</f>
        <v>9500</v>
      </c>
      <c r="Z206" s="3221">
        <f>S206*V206</f>
        <v>9500000</v>
      </c>
      <c r="AA206" s="547"/>
      <c r="AB206" s="547"/>
      <c r="AC206" s="3414"/>
    </row>
    <row r="207" spans="1:30" s="3105" customFormat="1" ht="22.5" customHeight="1" thickBot="1">
      <c r="A207" s="540"/>
      <c r="B207" s="3418"/>
      <c r="C207" s="542"/>
      <c r="D207" s="1908"/>
      <c r="E207" s="2023" t="s">
        <v>15</v>
      </c>
      <c r="F207" s="536">
        <f>+Y207</f>
        <v>500</v>
      </c>
      <c r="G207" s="1918">
        <v>500</v>
      </c>
      <c r="H207" s="551"/>
      <c r="I207" s="543"/>
      <c r="J207" s="3415" t="s">
        <v>5479</v>
      </c>
      <c r="K207" s="3414"/>
      <c r="L207" s="3414"/>
      <c r="M207" s="3414"/>
      <c r="N207" s="3414"/>
      <c r="O207" s="3414"/>
      <c r="P207" s="3414"/>
      <c r="Q207" s="3414"/>
      <c r="R207" s="552"/>
      <c r="S207" s="3108">
        <v>500000</v>
      </c>
      <c r="T207" s="3416" t="s">
        <v>0</v>
      </c>
      <c r="U207" s="3416"/>
      <c r="V207" s="3416">
        <v>1</v>
      </c>
      <c r="W207" s="3416" t="s">
        <v>226</v>
      </c>
      <c r="X207" s="2030" t="s">
        <v>1</v>
      </c>
      <c r="Y207" s="3110">
        <f t="shared" ref="Y207" si="60">Z207/1000</f>
        <v>500</v>
      </c>
      <c r="Z207" s="3221">
        <f>S207*V207</f>
        <v>500000</v>
      </c>
      <c r="AA207" s="547"/>
      <c r="AB207" s="547"/>
      <c r="AC207" s="3414"/>
    </row>
    <row r="208" spans="1:30" s="814" customFormat="1" ht="22.5" customHeight="1" thickBot="1">
      <c r="A208" s="1912"/>
      <c r="B208" s="4110" t="s">
        <v>1451</v>
      </c>
      <c r="C208" s="4110"/>
      <c r="D208" s="4110"/>
      <c r="E208" s="4110"/>
      <c r="F208" s="846">
        <f>+F209+F231+F393+F430+F434+F437</f>
        <v>22215560</v>
      </c>
      <c r="G208" s="846">
        <f>+G209+G231+G393+G430+G434+G437</f>
        <v>22215560</v>
      </c>
      <c r="H208" s="573">
        <f t="shared" si="49"/>
        <v>0</v>
      </c>
      <c r="I208" s="2682"/>
      <c r="J208" s="2704"/>
      <c r="K208" s="575"/>
      <c r="L208" s="575"/>
      <c r="M208" s="575"/>
      <c r="N208" s="575"/>
      <c r="O208" s="575"/>
      <c r="P208" s="575"/>
      <c r="Q208" s="2705"/>
      <c r="R208" s="2705"/>
      <c r="S208" s="2705"/>
      <c r="T208" s="2705"/>
      <c r="U208" s="2705"/>
      <c r="V208" s="2705"/>
      <c r="W208" s="2705"/>
      <c r="X208" s="2706"/>
      <c r="Y208" s="2707"/>
      <c r="Z208" s="2708"/>
      <c r="AA208" s="547"/>
      <c r="AB208" s="1891"/>
      <c r="AC208" s="2677"/>
      <c r="AD208" s="836"/>
    </row>
    <row r="209" spans="1:30" s="1653" customFormat="1" ht="22.5" customHeight="1">
      <c r="A209" s="540"/>
      <c r="B209" s="563"/>
      <c r="C209" s="3926" t="s">
        <v>1487</v>
      </c>
      <c r="D209" s="3927"/>
      <c r="E209" s="3928"/>
      <c r="F209" s="2709">
        <f>+F210+F212</f>
        <v>16241000</v>
      </c>
      <c r="G209" s="2709">
        <f>+G210+G212</f>
        <v>16241000</v>
      </c>
      <c r="H209" s="1332">
        <f>F209-G209</f>
        <v>0</v>
      </c>
      <c r="I209" s="594">
        <f t="shared" ref="I209:I229" si="61">G209-H209</f>
        <v>16241000</v>
      </c>
      <c r="J209" s="580"/>
      <c r="K209" s="2072"/>
      <c r="L209" s="2072"/>
      <c r="M209" s="2072"/>
      <c r="N209" s="2072"/>
      <c r="O209" s="2072"/>
      <c r="P209" s="2072"/>
      <c r="Q209" s="2072"/>
      <c r="R209" s="2072"/>
      <c r="S209" s="2072"/>
      <c r="T209" s="2072"/>
      <c r="U209" s="2072"/>
      <c r="V209" s="2072"/>
      <c r="W209" s="2072"/>
      <c r="X209" s="581"/>
      <c r="Y209" s="582"/>
      <c r="Z209" s="583"/>
      <c r="AA209" s="547"/>
      <c r="AB209" s="2073"/>
      <c r="AC209" s="1891">
        <f>F209</f>
        <v>16241000</v>
      </c>
      <c r="AD209" s="456"/>
    </row>
    <row r="210" spans="1:30" s="1653" customFormat="1" ht="22.5" customHeight="1">
      <c r="A210" s="540"/>
      <c r="B210" s="548"/>
      <c r="C210" s="1904"/>
      <c r="D210" s="3925" t="s">
        <v>1490</v>
      </c>
      <c r="E210" s="3925"/>
      <c r="F210" s="2130">
        <f>SUM(F211)</f>
        <v>16132080</v>
      </c>
      <c r="G210" s="2130">
        <f>SUM(G211)</f>
        <v>16132080</v>
      </c>
      <c r="H210" s="627">
        <f>F210-G210</f>
        <v>0</v>
      </c>
      <c r="I210" s="594">
        <f t="shared" si="61"/>
        <v>16132080</v>
      </c>
      <c r="J210" s="538"/>
      <c r="K210" s="2068"/>
      <c r="L210" s="2068"/>
      <c r="M210" s="2068"/>
      <c r="N210" s="2068"/>
      <c r="O210" s="2068"/>
      <c r="P210" s="2068"/>
      <c r="Q210" s="2068"/>
      <c r="R210" s="539"/>
      <c r="S210" s="2068"/>
      <c r="T210" s="2068"/>
      <c r="U210" s="2068"/>
      <c r="V210" s="2068"/>
      <c r="W210" s="2068"/>
      <c r="X210" s="585"/>
      <c r="Y210" s="554"/>
      <c r="Z210" s="587">
        <f>Z211</f>
        <v>16132080000</v>
      </c>
      <c r="AA210" s="547"/>
      <c r="AB210" s="1891"/>
      <c r="AC210" s="1895"/>
      <c r="AD210" s="456"/>
    </row>
    <row r="211" spans="1:30" s="1653" customFormat="1" ht="22.5" customHeight="1">
      <c r="A211" s="591"/>
      <c r="B211" s="548"/>
      <c r="C211" s="541"/>
      <c r="D211" s="2013"/>
      <c r="E211" s="2023" t="s">
        <v>73</v>
      </c>
      <c r="F211" s="533">
        <f>+Y211</f>
        <v>16132080</v>
      </c>
      <c r="G211" s="549">
        <v>16132080</v>
      </c>
      <c r="H211" s="551"/>
      <c r="I211" s="1257">
        <f t="shared" si="61"/>
        <v>16132080</v>
      </c>
      <c r="J211" s="3240" t="s">
        <v>4727</v>
      </c>
      <c r="K211" s="3241"/>
      <c r="L211" s="3236"/>
      <c r="M211" s="3236"/>
      <c r="N211" s="3109" t="s">
        <v>4686</v>
      </c>
      <c r="O211" s="3236" t="s">
        <v>4686</v>
      </c>
      <c r="P211" s="3236"/>
      <c r="Q211" s="556"/>
      <c r="R211" s="3225"/>
      <c r="S211" s="3108">
        <v>60000</v>
      </c>
      <c r="T211" s="3241" t="s">
        <v>4690</v>
      </c>
      <c r="U211" s="3241"/>
      <c r="V211" s="3241">
        <v>268868</v>
      </c>
      <c r="W211" s="3241" t="s">
        <v>4728</v>
      </c>
      <c r="X211" s="3241" t="s">
        <v>4692</v>
      </c>
      <c r="Y211" s="517">
        <f>(Z211)/1000</f>
        <v>16132080</v>
      </c>
      <c r="Z211" s="555">
        <f>S211*V211</f>
        <v>16132080000</v>
      </c>
      <c r="AA211" s="547"/>
      <c r="AB211" s="1891"/>
      <c r="AC211" s="1895"/>
      <c r="AD211" s="456"/>
    </row>
    <row r="212" spans="1:30" s="1653" customFormat="1" ht="22.5" customHeight="1">
      <c r="A212" s="591"/>
      <c r="B212" s="548"/>
      <c r="C212" s="624"/>
      <c r="D212" s="3925" t="s">
        <v>1311</v>
      </c>
      <c r="E212" s="3925"/>
      <c r="F212" s="2130">
        <f>SUM(F213:F230)</f>
        <v>108920</v>
      </c>
      <c r="G212" s="2130">
        <f>SUM(G213:G230)</f>
        <v>108920</v>
      </c>
      <c r="H212" s="627">
        <f>SUM(H213:H230)</f>
        <v>0</v>
      </c>
      <c r="I212" s="2355">
        <f t="shared" si="61"/>
        <v>108920</v>
      </c>
      <c r="J212" s="538"/>
      <c r="K212" s="2068"/>
      <c r="L212" s="2068"/>
      <c r="M212" s="2068"/>
      <c r="N212" s="2068"/>
      <c r="O212" s="2068"/>
      <c r="P212" s="2068"/>
      <c r="Q212" s="2068"/>
      <c r="R212" s="539"/>
      <c r="S212" s="2068"/>
      <c r="T212" s="2068"/>
      <c r="U212" s="2068"/>
      <c r="V212" s="2068"/>
      <c r="W212" s="2068"/>
      <c r="X212" s="585"/>
      <c r="Y212" s="594"/>
      <c r="Z212" s="595" t="e">
        <f>Z213+Z217+Z218+Z230+Z226+Z227+Z224+#REF!+Z225+Z223+Z228+Z229</f>
        <v>#REF!</v>
      </c>
      <c r="AA212" s="547"/>
      <c r="AB212" s="1891"/>
      <c r="AC212" s="1895"/>
      <c r="AD212" s="456"/>
    </row>
    <row r="213" spans="1:30" s="1653" customFormat="1" ht="22.5" customHeight="1">
      <c r="A213" s="591"/>
      <c r="B213" s="548"/>
      <c r="C213" s="624"/>
      <c r="D213" s="2672"/>
      <c r="E213" s="2023" t="s">
        <v>602</v>
      </c>
      <c r="F213" s="536">
        <f>+Y213</f>
        <v>51600</v>
      </c>
      <c r="G213" s="549">
        <v>51600</v>
      </c>
      <c r="H213" s="1320"/>
      <c r="I213" s="626">
        <f t="shared" si="61"/>
        <v>51600</v>
      </c>
      <c r="J213" s="3240" t="s">
        <v>4687</v>
      </c>
      <c r="K213" s="3241"/>
      <c r="L213" s="3236"/>
      <c r="M213" s="3236"/>
      <c r="N213" s="3236"/>
      <c r="O213" s="3236"/>
      <c r="P213" s="3236"/>
      <c r="Q213" s="556"/>
      <c r="R213" s="3225"/>
      <c r="S213" s="3108"/>
      <c r="T213" s="3241"/>
      <c r="U213" s="3241"/>
      <c r="V213" s="3241"/>
      <c r="W213" s="3241"/>
      <c r="X213" s="3241"/>
      <c r="Y213" s="3110">
        <f t="shared" ref="Y213:Y230" si="62">(Z213)/1000</f>
        <v>51600</v>
      </c>
      <c r="Z213" s="555">
        <f>SUM(Z214:Z215)</f>
        <v>51600000</v>
      </c>
      <c r="AA213" s="547"/>
      <c r="AB213" s="1891"/>
      <c r="AC213" s="1895"/>
      <c r="AD213" s="456"/>
    </row>
    <row r="214" spans="1:30" s="1653" customFormat="1" ht="22.5" customHeight="1">
      <c r="A214" s="591"/>
      <c r="B214" s="548"/>
      <c r="C214" s="624"/>
      <c r="D214" s="2672"/>
      <c r="E214" s="2023"/>
      <c r="F214" s="536"/>
      <c r="G214" s="549"/>
      <c r="H214" s="470"/>
      <c r="I214" s="626"/>
      <c r="J214" s="3708" t="s">
        <v>6164</v>
      </c>
      <c r="K214" s="3241"/>
      <c r="L214" s="3236"/>
      <c r="M214" s="3236"/>
      <c r="N214" s="3236"/>
      <c r="O214" s="3236"/>
      <c r="P214" s="3236"/>
      <c r="Q214" s="556">
        <v>2</v>
      </c>
      <c r="R214" s="3225" t="s">
        <v>4701</v>
      </c>
      <c r="S214" s="3108">
        <v>1900000</v>
      </c>
      <c r="T214" s="3241" t="s">
        <v>4690</v>
      </c>
      <c r="U214" s="3241"/>
      <c r="V214" s="3241">
        <v>12</v>
      </c>
      <c r="W214" s="3241" t="s">
        <v>4729</v>
      </c>
      <c r="X214" s="3241" t="s">
        <v>4692</v>
      </c>
      <c r="Y214" s="3110">
        <f t="shared" si="62"/>
        <v>45600</v>
      </c>
      <c r="Z214" s="555">
        <f>Q214*S214*V214</f>
        <v>45600000</v>
      </c>
      <c r="AA214" s="547"/>
      <c r="AB214" s="1891"/>
      <c r="AC214" s="1895"/>
      <c r="AD214" s="456"/>
    </row>
    <row r="215" spans="1:30" s="3105" customFormat="1" ht="22.5" customHeight="1">
      <c r="A215" s="591"/>
      <c r="B215" s="548"/>
      <c r="C215" s="624"/>
      <c r="D215" s="2672"/>
      <c r="E215" s="2023"/>
      <c r="F215" s="536"/>
      <c r="G215" s="549"/>
      <c r="H215" s="470"/>
      <c r="I215" s="626"/>
      <c r="J215" s="3708" t="s">
        <v>6165</v>
      </c>
      <c r="K215" s="3241"/>
      <c r="L215" s="3236"/>
      <c r="M215" s="3236"/>
      <c r="N215" s="3236"/>
      <c r="O215" s="3236"/>
      <c r="P215" s="3236"/>
      <c r="Q215" s="556">
        <v>2</v>
      </c>
      <c r="R215" s="3225" t="s">
        <v>4701</v>
      </c>
      <c r="S215" s="3108">
        <v>250000</v>
      </c>
      <c r="T215" s="3241" t="s">
        <v>4690</v>
      </c>
      <c r="U215" s="3241"/>
      <c r="V215" s="3241">
        <v>12</v>
      </c>
      <c r="W215" s="3241" t="s">
        <v>4729</v>
      </c>
      <c r="X215" s="3241" t="s">
        <v>4692</v>
      </c>
      <c r="Y215" s="3110">
        <f t="shared" si="62"/>
        <v>6000</v>
      </c>
      <c r="Z215" s="555">
        <f>Q215*S215*V215</f>
        <v>6000000</v>
      </c>
      <c r="AA215" s="547"/>
      <c r="AB215" s="1891"/>
      <c r="AC215" s="1895"/>
      <c r="AD215" s="3099"/>
    </row>
    <row r="216" spans="1:30" s="1653" customFormat="1" ht="22.5" customHeight="1">
      <c r="A216" s="591"/>
      <c r="B216" s="548"/>
      <c r="C216" s="624"/>
      <c r="D216" s="2672"/>
      <c r="E216" s="2023"/>
      <c r="F216" s="536"/>
      <c r="G216" s="549"/>
      <c r="H216" s="470"/>
      <c r="I216" s="626"/>
      <c r="J216" s="3240" t="s">
        <v>4687</v>
      </c>
      <c r="K216" s="3107"/>
      <c r="L216" s="3107"/>
      <c r="M216" s="3107"/>
      <c r="N216" s="3107"/>
      <c r="O216" s="3107"/>
      <c r="P216" s="3107"/>
      <c r="Q216" s="3241"/>
      <c r="R216" s="3241"/>
      <c r="S216" s="556"/>
      <c r="T216" s="3241"/>
      <c r="U216" s="3241"/>
      <c r="V216" s="3241"/>
      <c r="W216" s="3241"/>
      <c r="X216" s="3241"/>
      <c r="Y216" s="3110">
        <f t="shared" si="62"/>
        <v>4300</v>
      </c>
      <c r="Z216" s="2664">
        <f>SUM(Z217:Z217)</f>
        <v>4300000</v>
      </c>
      <c r="AA216" s="547"/>
      <c r="AB216" s="1891"/>
      <c r="AC216" s="1895"/>
      <c r="AD216" s="456"/>
    </row>
    <row r="217" spans="1:30" s="1653" customFormat="1" ht="22.5" customHeight="1">
      <c r="A217" s="591"/>
      <c r="B217" s="548"/>
      <c r="C217" s="624"/>
      <c r="D217" s="2672"/>
      <c r="E217" s="2023" t="s">
        <v>1491</v>
      </c>
      <c r="F217" s="536">
        <f>+Y217</f>
        <v>4300</v>
      </c>
      <c r="G217" s="549">
        <v>4300</v>
      </c>
      <c r="H217" s="551"/>
      <c r="I217" s="626">
        <f>G217-H217</f>
        <v>4300</v>
      </c>
      <c r="J217" s="3240" t="s">
        <v>4730</v>
      </c>
      <c r="K217" s="3241"/>
      <c r="L217" s="3236"/>
      <c r="M217" s="3236"/>
      <c r="N217" s="3236"/>
      <c r="O217" s="3236"/>
      <c r="P217" s="3236"/>
      <c r="Q217" s="556">
        <v>2</v>
      </c>
      <c r="R217" s="3225" t="s">
        <v>4701</v>
      </c>
      <c r="S217" s="3108">
        <v>2150000</v>
      </c>
      <c r="T217" s="3241" t="s">
        <v>4731</v>
      </c>
      <c r="U217" s="3241"/>
      <c r="V217" s="3298">
        <v>1</v>
      </c>
      <c r="W217" s="3241" t="s">
        <v>4729</v>
      </c>
      <c r="X217" s="3241" t="s">
        <v>4692</v>
      </c>
      <c r="Y217" s="3110">
        <f>(Z217)/1000</f>
        <v>4300</v>
      </c>
      <c r="Z217" s="555">
        <f>Q217*S217*V217</f>
        <v>4300000</v>
      </c>
      <c r="AA217" s="547"/>
      <c r="AB217" s="1891"/>
      <c r="AC217" s="1895"/>
      <c r="AD217" s="456"/>
    </row>
    <row r="218" spans="1:30" s="1653" customFormat="1" ht="22.5" customHeight="1">
      <c r="A218" s="591"/>
      <c r="B218" s="548"/>
      <c r="C218" s="624"/>
      <c r="D218" s="2672"/>
      <c r="E218" s="2023" t="s">
        <v>916</v>
      </c>
      <c r="F218" s="536">
        <f>+Y218</f>
        <v>8390</v>
      </c>
      <c r="G218" s="549">
        <v>8390</v>
      </c>
      <c r="H218" s="551"/>
      <c r="I218" s="626">
        <f t="shared" si="61"/>
        <v>8390</v>
      </c>
      <c r="J218" s="3240" t="s">
        <v>4687</v>
      </c>
      <c r="K218" s="3107"/>
      <c r="L218" s="3107"/>
      <c r="M218" s="3107"/>
      <c r="N218" s="3107"/>
      <c r="O218" s="3107"/>
      <c r="P218" s="3107"/>
      <c r="Q218" s="3241"/>
      <c r="R218" s="3241"/>
      <c r="S218" s="556"/>
      <c r="T218" s="3241"/>
      <c r="U218" s="3241"/>
      <c r="V218" s="3241"/>
      <c r="W218" s="3241"/>
      <c r="X218" s="3241"/>
      <c r="Y218" s="3110">
        <f t="shared" si="62"/>
        <v>8390</v>
      </c>
      <c r="Z218" s="2664">
        <f>SUM(Z219:Z222)</f>
        <v>8390000</v>
      </c>
      <c r="AA218" s="547"/>
      <c r="AB218" s="1891"/>
      <c r="AC218" s="1895"/>
      <c r="AD218" s="456"/>
    </row>
    <row r="219" spans="1:30" s="1653" customFormat="1" ht="22.5" customHeight="1">
      <c r="A219" s="591"/>
      <c r="B219" s="548"/>
      <c r="C219" s="624"/>
      <c r="D219" s="2672"/>
      <c r="E219" s="2023"/>
      <c r="F219" s="536"/>
      <c r="G219" s="549"/>
      <c r="H219" s="2037"/>
      <c r="I219" s="626"/>
      <c r="J219" s="3708" t="s">
        <v>6167</v>
      </c>
      <c r="K219" s="3107"/>
      <c r="L219" s="3107"/>
      <c r="M219" s="3107"/>
      <c r="N219" s="3107"/>
      <c r="O219" s="3107"/>
      <c r="P219" s="3107"/>
      <c r="Q219" s="3241"/>
      <c r="R219" s="3241"/>
      <c r="S219" s="556">
        <v>51600000</v>
      </c>
      <c r="T219" s="3241" t="s">
        <v>4690</v>
      </c>
      <c r="U219" s="3241"/>
      <c r="V219" s="3241">
        <v>12</v>
      </c>
      <c r="W219" s="3241" t="s">
        <v>4732</v>
      </c>
      <c r="X219" s="3241" t="s">
        <v>4692</v>
      </c>
      <c r="Y219" s="3110">
        <f>(Z219)/1000</f>
        <v>6190</v>
      </c>
      <c r="Z219" s="2664">
        <f>S219*V219%-2000</f>
        <v>6190000</v>
      </c>
      <c r="AA219" s="547"/>
      <c r="AB219" s="1891"/>
      <c r="AC219" s="1895"/>
      <c r="AD219" s="456"/>
    </row>
    <row r="220" spans="1:30" s="1653" customFormat="1" ht="22.5" customHeight="1">
      <c r="A220" s="591"/>
      <c r="B220" s="548"/>
      <c r="C220" s="624"/>
      <c r="D220" s="2672"/>
      <c r="E220" s="2023"/>
      <c r="F220" s="536"/>
      <c r="G220" s="549"/>
      <c r="H220" s="2037"/>
      <c r="I220" s="626"/>
      <c r="J220" s="3708" t="s">
        <v>6166</v>
      </c>
      <c r="K220" s="3107"/>
      <c r="L220" s="3107"/>
      <c r="M220" s="3107"/>
      <c r="N220" s="3107"/>
      <c r="O220" s="3107"/>
      <c r="P220" s="3107"/>
      <c r="Q220" s="3241"/>
      <c r="R220" s="3241"/>
      <c r="S220" s="556">
        <v>800000</v>
      </c>
      <c r="T220" s="3241" t="s">
        <v>4690</v>
      </c>
      <c r="U220" s="3241"/>
      <c r="V220" s="3241">
        <v>2</v>
      </c>
      <c r="W220" s="3241" t="s">
        <v>4701</v>
      </c>
      <c r="X220" s="3241" t="s">
        <v>4692</v>
      </c>
      <c r="Y220" s="3110">
        <f t="shared" si="62"/>
        <v>1600</v>
      </c>
      <c r="Z220" s="2664">
        <f>S220*V220</f>
        <v>1600000</v>
      </c>
      <c r="AA220" s="547"/>
      <c r="AB220" s="1891"/>
      <c r="AC220" s="1895"/>
      <c r="AD220" s="456"/>
    </row>
    <row r="221" spans="1:30" s="1653" customFormat="1" ht="22.5" customHeight="1">
      <c r="A221" s="591"/>
      <c r="B221" s="548"/>
      <c r="C221" s="624"/>
      <c r="D221" s="2672"/>
      <c r="E221" s="2023"/>
      <c r="F221" s="536"/>
      <c r="G221" s="549"/>
      <c r="H221" s="2037"/>
      <c r="I221" s="626"/>
      <c r="J221" s="3708" t="s">
        <v>6168</v>
      </c>
      <c r="K221" s="3107"/>
      <c r="L221" s="3107"/>
      <c r="M221" s="3107"/>
      <c r="N221" s="3107"/>
      <c r="O221" s="3107"/>
      <c r="P221" s="3107"/>
      <c r="Q221" s="3241"/>
      <c r="R221" s="3241"/>
      <c r="S221" s="556">
        <v>150000</v>
      </c>
      <c r="T221" s="3241" t="s">
        <v>4690</v>
      </c>
      <c r="U221" s="3241"/>
      <c r="V221" s="3241">
        <v>2</v>
      </c>
      <c r="W221" s="3241" t="s">
        <v>4701</v>
      </c>
      <c r="X221" s="3241" t="s">
        <v>4692</v>
      </c>
      <c r="Y221" s="3110">
        <f t="shared" si="62"/>
        <v>300</v>
      </c>
      <c r="Z221" s="2664">
        <f t="shared" ref="Z221:Z224" si="63">S221*V221</f>
        <v>300000</v>
      </c>
      <c r="AA221" s="547"/>
      <c r="AB221" s="1891"/>
      <c r="AC221" s="1895"/>
      <c r="AD221" s="456"/>
    </row>
    <row r="222" spans="1:30" s="1653" customFormat="1" ht="22.5" customHeight="1">
      <c r="A222" s="591"/>
      <c r="B222" s="548"/>
      <c r="C222" s="624"/>
      <c r="D222" s="2672"/>
      <c r="E222" s="2023"/>
      <c r="F222" s="536"/>
      <c r="G222" s="549"/>
      <c r="H222" s="2037"/>
      <c r="I222" s="626"/>
      <c r="J222" s="3708" t="s">
        <v>6169</v>
      </c>
      <c r="K222" s="3107"/>
      <c r="L222" s="3107"/>
      <c r="M222" s="3107"/>
      <c r="N222" s="3107"/>
      <c r="O222" s="3107"/>
      <c r="P222" s="3107"/>
      <c r="Q222" s="3241"/>
      <c r="R222" s="3241"/>
      <c r="S222" s="556">
        <v>150000</v>
      </c>
      <c r="T222" s="3241" t="s">
        <v>4690</v>
      </c>
      <c r="U222" s="3241"/>
      <c r="V222" s="3241">
        <v>2</v>
      </c>
      <c r="W222" s="3241" t="s">
        <v>4701</v>
      </c>
      <c r="X222" s="3241" t="s">
        <v>4692</v>
      </c>
      <c r="Y222" s="3110">
        <f t="shared" si="62"/>
        <v>300</v>
      </c>
      <c r="Z222" s="2664">
        <f t="shared" si="63"/>
        <v>300000</v>
      </c>
      <c r="AA222" s="547"/>
      <c r="AB222" s="1891"/>
      <c r="AC222" s="1895"/>
      <c r="AD222" s="456"/>
    </row>
    <row r="223" spans="1:30" s="1653" customFormat="1" ht="22.5" customHeight="1">
      <c r="A223" s="591"/>
      <c r="B223" s="548"/>
      <c r="C223" s="624"/>
      <c r="D223" s="2672"/>
      <c r="E223" s="2023" t="s">
        <v>448</v>
      </c>
      <c r="F223" s="536">
        <f t="shared" ref="F223:F230" si="64">+Y223</f>
        <v>16000</v>
      </c>
      <c r="G223" s="549">
        <v>16000</v>
      </c>
      <c r="H223" s="551"/>
      <c r="I223" s="626">
        <f>G223-H223</f>
        <v>16000</v>
      </c>
      <c r="J223" s="3240" t="s">
        <v>4733</v>
      </c>
      <c r="K223" s="3107"/>
      <c r="L223" s="3107"/>
      <c r="M223" s="3107"/>
      <c r="N223" s="3107"/>
      <c r="O223" s="3107"/>
      <c r="P223" s="3107"/>
      <c r="Q223" s="3241"/>
      <c r="R223" s="3241"/>
      <c r="S223" s="556">
        <v>100</v>
      </c>
      <c r="T223" s="3241" t="s">
        <v>4690</v>
      </c>
      <c r="U223" s="3241"/>
      <c r="V223" s="3241">
        <v>160000</v>
      </c>
      <c r="W223" s="3241" t="s">
        <v>4697</v>
      </c>
      <c r="X223" s="3241" t="s">
        <v>4692</v>
      </c>
      <c r="Y223" s="3110">
        <f t="shared" si="62"/>
        <v>16000</v>
      </c>
      <c r="Z223" s="2664">
        <f t="shared" si="63"/>
        <v>16000000</v>
      </c>
      <c r="AA223" s="547"/>
      <c r="AB223" s="1891"/>
      <c r="AC223" s="1895"/>
      <c r="AD223" s="456"/>
    </row>
    <row r="224" spans="1:30" s="1653" customFormat="1" ht="22.5" customHeight="1">
      <c r="A224" s="591"/>
      <c r="B224" s="548"/>
      <c r="C224" s="624"/>
      <c r="D224" s="2672"/>
      <c r="E224" s="2023" t="s">
        <v>1312</v>
      </c>
      <c r="F224" s="536">
        <f t="shared" si="64"/>
        <v>2150</v>
      </c>
      <c r="G224" s="549">
        <v>2150</v>
      </c>
      <c r="H224" s="551"/>
      <c r="I224" s="626">
        <f t="shared" si="61"/>
        <v>2150</v>
      </c>
      <c r="J224" s="3240" t="s">
        <v>4734</v>
      </c>
      <c r="K224" s="3107"/>
      <c r="L224" s="3107"/>
      <c r="M224" s="3107"/>
      <c r="N224" s="3107"/>
      <c r="O224" s="3107"/>
      <c r="P224" s="3107"/>
      <c r="Q224" s="556"/>
      <c r="R224" s="3225"/>
      <c r="S224" s="556">
        <v>2150000</v>
      </c>
      <c r="T224" s="3241" t="s">
        <v>4690</v>
      </c>
      <c r="U224" s="3241"/>
      <c r="V224" s="3241">
        <v>1</v>
      </c>
      <c r="W224" s="3241" t="s">
        <v>4735</v>
      </c>
      <c r="X224" s="3241" t="s">
        <v>4692</v>
      </c>
      <c r="Y224" s="3110">
        <f t="shared" si="62"/>
        <v>2150</v>
      </c>
      <c r="Z224" s="555">
        <f t="shared" si="63"/>
        <v>2150000</v>
      </c>
      <c r="AA224" s="547"/>
      <c r="AB224" s="1891"/>
      <c r="AC224" s="1895"/>
      <c r="AD224" s="456"/>
    </row>
    <row r="225" spans="1:30" s="1653" customFormat="1" ht="22.5" customHeight="1">
      <c r="A225" s="591"/>
      <c r="B225" s="548"/>
      <c r="C225" s="624"/>
      <c r="D225" s="2672"/>
      <c r="E225" s="2023" t="s">
        <v>225</v>
      </c>
      <c r="F225" s="536">
        <f t="shared" si="64"/>
        <v>3960</v>
      </c>
      <c r="G225" s="549">
        <v>3960</v>
      </c>
      <c r="H225" s="551"/>
      <c r="I225" s="626">
        <f>G225-H225</f>
        <v>3960</v>
      </c>
      <c r="J225" s="3240" t="s">
        <v>4736</v>
      </c>
      <c r="K225" s="3107"/>
      <c r="L225" s="3107"/>
      <c r="M225" s="3107"/>
      <c r="N225" s="3107"/>
      <c r="O225" s="3107"/>
      <c r="P225" s="3107"/>
      <c r="Q225" s="3241">
        <v>11</v>
      </c>
      <c r="R225" s="3241" t="s">
        <v>4700</v>
      </c>
      <c r="S225" s="556">
        <v>30000</v>
      </c>
      <c r="T225" s="3241" t="s">
        <v>4690</v>
      </c>
      <c r="U225" s="3241"/>
      <c r="V225" s="3241">
        <v>12</v>
      </c>
      <c r="W225" s="3241" t="s">
        <v>4691</v>
      </c>
      <c r="X225" s="3241" t="s">
        <v>4692</v>
      </c>
      <c r="Y225" s="3110">
        <f t="shared" si="62"/>
        <v>3960</v>
      </c>
      <c r="Z225" s="555">
        <f>Q225*S225*V225</f>
        <v>3960000</v>
      </c>
      <c r="AA225" s="547"/>
      <c r="AB225" s="1891"/>
      <c r="AC225" s="1895"/>
      <c r="AD225" s="456"/>
    </row>
    <row r="226" spans="1:30" s="1653" customFormat="1" ht="22.5" customHeight="1">
      <c r="A226" s="591"/>
      <c r="B226" s="548"/>
      <c r="C226" s="624"/>
      <c r="D226" s="2672"/>
      <c r="E226" s="2023" t="s">
        <v>530</v>
      </c>
      <c r="F226" s="536">
        <f t="shared" si="64"/>
        <v>3900</v>
      </c>
      <c r="G226" s="549">
        <v>3900</v>
      </c>
      <c r="H226" s="551"/>
      <c r="I226" s="626">
        <f>G226-H226</f>
        <v>3900</v>
      </c>
      <c r="J226" s="3240" t="s">
        <v>4737</v>
      </c>
      <c r="K226" s="3107"/>
      <c r="L226" s="3107"/>
      <c r="M226" s="3107"/>
      <c r="N226" s="3107"/>
      <c r="O226" s="3107"/>
      <c r="P226" s="3107"/>
      <c r="Q226" s="556"/>
      <c r="R226" s="3225"/>
      <c r="S226" s="556">
        <v>65000</v>
      </c>
      <c r="T226" s="3241" t="s">
        <v>4690</v>
      </c>
      <c r="U226" s="3241"/>
      <c r="V226" s="3241">
        <v>60</v>
      </c>
      <c r="W226" s="3241" t="s">
        <v>4703</v>
      </c>
      <c r="X226" s="3241" t="s">
        <v>4692</v>
      </c>
      <c r="Y226" s="3110">
        <f t="shared" si="62"/>
        <v>3900</v>
      </c>
      <c r="Z226" s="555">
        <f>S226*V226</f>
        <v>3900000</v>
      </c>
      <c r="AA226" s="547"/>
      <c r="AB226" s="1891"/>
      <c r="AC226" s="1895"/>
      <c r="AD226" s="456"/>
    </row>
    <row r="227" spans="1:30" s="1653" customFormat="1" ht="22.5" customHeight="1">
      <c r="A227" s="591"/>
      <c r="B227" s="548"/>
      <c r="C227" s="624"/>
      <c r="D227" s="2672"/>
      <c r="E227" s="2023" t="s">
        <v>262</v>
      </c>
      <c r="F227" s="536">
        <f t="shared" si="64"/>
        <v>5500</v>
      </c>
      <c r="G227" s="549">
        <v>5500</v>
      </c>
      <c r="H227" s="551"/>
      <c r="I227" s="626">
        <f>G227-H227</f>
        <v>5500</v>
      </c>
      <c r="J227" s="3240" t="s">
        <v>4738</v>
      </c>
      <c r="K227" s="3107"/>
      <c r="L227" s="3107"/>
      <c r="M227" s="3107"/>
      <c r="N227" s="3107"/>
      <c r="O227" s="3107"/>
      <c r="P227" s="3107"/>
      <c r="Q227" s="3241"/>
      <c r="R227" s="3241"/>
      <c r="S227" s="556">
        <v>5500000</v>
      </c>
      <c r="T227" s="3241" t="s">
        <v>4690</v>
      </c>
      <c r="U227" s="3241"/>
      <c r="V227" s="3241">
        <v>1</v>
      </c>
      <c r="W227" s="3241" t="s">
        <v>4735</v>
      </c>
      <c r="X227" s="3241" t="s">
        <v>4692</v>
      </c>
      <c r="Y227" s="3110">
        <f t="shared" si="62"/>
        <v>5500</v>
      </c>
      <c r="Z227" s="555">
        <f>S227*V227</f>
        <v>5500000</v>
      </c>
      <c r="AA227" s="547"/>
      <c r="AB227" s="1891"/>
      <c r="AC227" s="1895"/>
      <c r="AD227" s="456"/>
    </row>
    <row r="228" spans="1:30" s="1653" customFormat="1" ht="22.5" customHeight="1">
      <c r="A228" s="591"/>
      <c r="B228" s="548"/>
      <c r="C228" s="624"/>
      <c r="D228" s="2672"/>
      <c r="E228" s="2023" t="s">
        <v>912</v>
      </c>
      <c r="F228" s="536">
        <f t="shared" si="64"/>
        <v>8120</v>
      </c>
      <c r="G228" s="549">
        <v>8120</v>
      </c>
      <c r="H228" s="551"/>
      <c r="I228" s="626">
        <f t="shared" si="61"/>
        <v>8120</v>
      </c>
      <c r="J228" s="3240" t="s">
        <v>4739</v>
      </c>
      <c r="K228" s="3107"/>
      <c r="L228" s="3107"/>
      <c r="M228" s="3107"/>
      <c r="N228" s="3107"/>
      <c r="O228" s="3107"/>
      <c r="P228" s="3107"/>
      <c r="Q228" s="3241">
        <v>4</v>
      </c>
      <c r="R228" s="3241" t="s">
        <v>4700</v>
      </c>
      <c r="S228" s="556">
        <v>500</v>
      </c>
      <c r="T228" s="3241" t="s">
        <v>4690</v>
      </c>
      <c r="U228" s="3241"/>
      <c r="V228" s="3241">
        <v>4060</v>
      </c>
      <c r="W228" s="3241" t="s">
        <v>4706</v>
      </c>
      <c r="X228" s="3241" t="s">
        <v>4692</v>
      </c>
      <c r="Y228" s="3110">
        <f t="shared" si="62"/>
        <v>8120</v>
      </c>
      <c r="Z228" s="2664">
        <f>Q228*S228*V228</f>
        <v>8120000</v>
      </c>
      <c r="AA228" s="547"/>
      <c r="AB228" s="1891"/>
      <c r="AC228" s="1895"/>
      <c r="AD228" s="456"/>
    </row>
    <row r="229" spans="1:30" s="1653" customFormat="1" ht="22.5" customHeight="1">
      <c r="A229" s="591"/>
      <c r="B229" s="548"/>
      <c r="C229" s="624"/>
      <c r="D229" s="2672"/>
      <c r="E229" s="2023" t="s">
        <v>73</v>
      </c>
      <c r="F229" s="536">
        <f t="shared" si="64"/>
        <v>2000</v>
      </c>
      <c r="G229" s="549">
        <v>2000</v>
      </c>
      <c r="H229" s="551"/>
      <c r="I229" s="626">
        <f t="shared" si="61"/>
        <v>2000</v>
      </c>
      <c r="J229" s="3240" t="s">
        <v>4740</v>
      </c>
      <c r="K229" s="3107"/>
      <c r="L229" s="3107"/>
      <c r="M229" s="3107"/>
      <c r="N229" s="3107"/>
      <c r="O229" s="3107"/>
      <c r="P229" s="3107"/>
      <c r="Q229" s="3241"/>
      <c r="R229" s="3241"/>
      <c r="S229" s="556">
        <v>200000</v>
      </c>
      <c r="T229" s="3241" t="s">
        <v>4690</v>
      </c>
      <c r="U229" s="3241"/>
      <c r="V229" s="3241">
        <v>10</v>
      </c>
      <c r="W229" s="3241" t="s">
        <v>4735</v>
      </c>
      <c r="X229" s="3241" t="s">
        <v>4692</v>
      </c>
      <c r="Y229" s="3110">
        <f t="shared" si="62"/>
        <v>2000</v>
      </c>
      <c r="Z229" s="2664">
        <f>S229*V229</f>
        <v>2000000</v>
      </c>
      <c r="AA229" s="547"/>
      <c r="AB229" s="1891"/>
      <c r="AC229" s="1895"/>
      <c r="AD229" s="456"/>
    </row>
    <row r="230" spans="1:30" s="1653" customFormat="1" ht="22.5" customHeight="1" thickBot="1">
      <c r="A230" s="591"/>
      <c r="B230" s="548"/>
      <c r="C230" s="624"/>
      <c r="D230" s="2672"/>
      <c r="E230" s="2023" t="s">
        <v>452</v>
      </c>
      <c r="F230" s="536">
        <f t="shared" si="64"/>
        <v>3000</v>
      </c>
      <c r="G230" s="549">
        <v>3000</v>
      </c>
      <c r="H230" s="1332"/>
      <c r="I230" s="626">
        <f>G230-H230</f>
        <v>3000</v>
      </c>
      <c r="J230" s="2056" t="s">
        <v>4741</v>
      </c>
      <c r="K230" s="2058"/>
      <c r="L230" s="2058"/>
      <c r="M230" s="2058"/>
      <c r="N230" s="640"/>
      <c r="O230" s="640"/>
      <c r="P230" s="640"/>
      <c r="Q230" s="2058">
        <v>10</v>
      </c>
      <c r="R230" s="2058" t="s">
        <v>4689</v>
      </c>
      <c r="S230" s="1388">
        <v>20000</v>
      </c>
      <c r="T230" s="2058" t="s">
        <v>4690</v>
      </c>
      <c r="U230" s="2058"/>
      <c r="V230" s="2058">
        <v>15</v>
      </c>
      <c r="W230" s="2058" t="s">
        <v>4703</v>
      </c>
      <c r="X230" s="2058" t="s">
        <v>4692</v>
      </c>
      <c r="Y230" s="522">
        <f t="shared" si="62"/>
        <v>3000</v>
      </c>
      <c r="Z230" s="1882">
        <f>Q230*S230*V230</f>
        <v>3000000</v>
      </c>
      <c r="AA230" s="547"/>
      <c r="AB230" s="1891"/>
      <c r="AC230" s="1895"/>
      <c r="AD230" s="456"/>
    </row>
    <row r="231" spans="1:30" s="1651" customFormat="1" ht="22.5" customHeight="1">
      <c r="A231" s="540"/>
      <c r="B231" s="563"/>
      <c r="C231" s="1386" t="s">
        <v>1452</v>
      </c>
      <c r="D231" s="621"/>
      <c r="E231" s="2710"/>
      <c r="F231" s="825">
        <f>F232+F248+F262+F288+F293+F319+F325+F331</f>
        <v>2864560</v>
      </c>
      <c r="G231" s="825">
        <f>G232+G248+G262+G288+G293+G319+G325+G331</f>
        <v>2864560</v>
      </c>
      <c r="H231" s="627">
        <f t="shared" ref="H231:H232" si="65">F231-G231</f>
        <v>0</v>
      </c>
      <c r="I231" s="557"/>
      <c r="J231" s="2025"/>
      <c r="K231" s="2068"/>
      <c r="L231" s="2068"/>
      <c r="M231" s="2068"/>
      <c r="N231" s="2068"/>
      <c r="O231" s="2068"/>
      <c r="P231" s="2068"/>
      <c r="Q231" s="2026"/>
      <c r="R231" s="2026"/>
      <c r="S231" s="2026"/>
      <c r="T231" s="2026"/>
      <c r="U231" s="2026"/>
      <c r="V231" s="2026"/>
      <c r="W231" s="2026"/>
      <c r="X231" s="2028"/>
      <c r="Y231" s="586"/>
      <c r="Z231" s="622"/>
      <c r="AA231" s="547"/>
      <c r="AB231" s="1891">
        <f>F231</f>
        <v>2864560</v>
      </c>
      <c r="AC231" s="1895"/>
      <c r="AD231" s="456"/>
    </row>
    <row r="232" spans="1:30" s="1651" customFormat="1" ht="22.5" customHeight="1">
      <c r="A232" s="540"/>
      <c r="B232" s="548"/>
      <c r="C232" s="1319"/>
      <c r="D232" s="4105" t="s">
        <v>1319</v>
      </c>
      <c r="E232" s="4105"/>
      <c r="F232" s="825">
        <f>SUM(F233:F247)</f>
        <v>230000</v>
      </c>
      <c r="G232" s="825">
        <f>SUM(G233:G247)</f>
        <v>230000</v>
      </c>
      <c r="H232" s="627">
        <f t="shared" si="65"/>
        <v>0</v>
      </c>
      <c r="I232" s="557"/>
      <c r="J232" s="2025"/>
      <c r="K232" s="2068"/>
      <c r="L232" s="2068"/>
      <c r="M232" s="2068"/>
      <c r="N232" s="2068"/>
      <c r="O232" s="2068"/>
      <c r="P232" s="2068"/>
      <c r="Q232" s="1349"/>
      <c r="R232" s="539"/>
      <c r="S232" s="545"/>
      <c r="T232" s="2026"/>
      <c r="U232" s="2026"/>
      <c r="V232" s="2026"/>
      <c r="W232" s="2026"/>
      <c r="X232" s="2028"/>
      <c r="Y232" s="586"/>
      <c r="Z232" s="2711"/>
      <c r="AA232" s="547"/>
      <c r="AB232" s="1891"/>
      <c r="AC232" s="1895"/>
      <c r="AD232" s="456"/>
    </row>
    <row r="233" spans="1:30" s="1651" customFormat="1" ht="22.5" customHeight="1">
      <c r="A233" s="591"/>
      <c r="B233" s="548"/>
      <c r="C233" s="624"/>
      <c r="D233" s="2712"/>
      <c r="E233" s="2023" t="s">
        <v>229</v>
      </c>
      <c r="F233" s="549">
        <f t="shared" ref="F233:F236" si="66">Y233</f>
        <v>9000</v>
      </c>
      <c r="G233" s="549">
        <v>9000</v>
      </c>
      <c r="H233" s="551"/>
      <c r="I233" s="557"/>
      <c r="J233" s="2105" t="s">
        <v>2223</v>
      </c>
      <c r="K233" s="2082"/>
      <c r="L233" s="2082"/>
      <c r="M233" s="2082"/>
      <c r="N233" s="2082"/>
      <c r="O233" s="2082"/>
      <c r="P233" s="2082"/>
      <c r="Q233" s="475"/>
      <c r="R233" s="552"/>
      <c r="S233" s="474">
        <v>9000000</v>
      </c>
      <c r="T233" s="2106" t="s">
        <v>2125</v>
      </c>
      <c r="U233" s="2106"/>
      <c r="V233" s="2106">
        <v>1</v>
      </c>
      <c r="W233" s="2106" t="s">
        <v>2126</v>
      </c>
      <c r="X233" s="2030" t="s">
        <v>2127</v>
      </c>
      <c r="Y233" s="554">
        <f t="shared" ref="Y233" si="67">Z233/1000</f>
        <v>9000</v>
      </c>
      <c r="Z233" s="1898">
        <f t="shared" ref="Z233" si="68">S233*V233</f>
        <v>9000000</v>
      </c>
      <c r="AA233" s="547"/>
      <c r="AB233" s="1891"/>
      <c r="AC233" s="1895"/>
      <c r="AD233" s="456"/>
    </row>
    <row r="234" spans="1:30" s="1651" customFormat="1" ht="22.5" customHeight="1">
      <c r="A234" s="591"/>
      <c r="B234" s="548"/>
      <c r="C234" s="624"/>
      <c r="D234" s="2712"/>
      <c r="E234" s="2023" t="s">
        <v>264</v>
      </c>
      <c r="F234" s="549">
        <f>Y234</f>
        <v>2000</v>
      </c>
      <c r="G234" s="549">
        <v>2000</v>
      </c>
      <c r="H234" s="551"/>
      <c r="I234" s="557"/>
      <c r="J234" s="2105" t="s">
        <v>1320</v>
      </c>
      <c r="K234" s="2082"/>
      <c r="L234" s="2082"/>
      <c r="M234" s="2082"/>
      <c r="N234" s="2082"/>
      <c r="O234" s="2082"/>
      <c r="P234" s="2082"/>
      <c r="Q234" s="475"/>
      <c r="R234" s="552"/>
      <c r="S234" s="474">
        <v>1000000</v>
      </c>
      <c r="T234" s="2106" t="s">
        <v>4</v>
      </c>
      <c r="U234" s="2106"/>
      <c r="V234" s="2106">
        <v>2</v>
      </c>
      <c r="W234" s="2106" t="s">
        <v>226</v>
      </c>
      <c r="X234" s="2030" t="s">
        <v>5</v>
      </c>
      <c r="Y234" s="554">
        <f>Z234/1000</f>
        <v>2000</v>
      </c>
      <c r="Z234" s="1898">
        <f>S234*V234</f>
        <v>2000000</v>
      </c>
      <c r="AA234" s="547"/>
      <c r="AB234" s="1891"/>
      <c r="AC234" s="1895"/>
      <c r="AD234" s="456"/>
    </row>
    <row r="235" spans="1:30" s="1651" customFormat="1" ht="22.5" customHeight="1">
      <c r="A235" s="591"/>
      <c r="B235" s="548"/>
      <c r="C235" s="624"/>
      <c r="D235" s="2712"/>
      <c r="E235" s="2023" t="s">
        <v>225</v>
      </c>
      <c r="F235" s="549">
        <f t="shared" si="66"/>
        <v>6000</v>
      </c>
      <c r="G235" s="549">
        <v>6000</v>
      </c>
      <c r="H235" s="551"/>
      <c r="I235" s="557"/>
      <c r="J235" s="2105" t="s">
        <v>1321</v>
      </c>
      <c r="K235" s="2082"/>
      <c r="L235" s="2082"/>
      <c r="M235" s="2082"/>
      <c r="N235" s="2082"/>
      <c r="O235" s="2082"/>
      <c r="P235" s="2082"/>
      <c r="Q235" s="475">
        <v>5</v>
      </c>
      <c r="R235" s="552" t="s">
        <v>36</v>
      </c>
      <c r="S235" s="474">
        <v>30000</v>
      </c>
      <c r="T235" s="2106" t="s">
        <v>4</v>
      </c>
      <c r="U235" s="2106"/>
      <c r="V235" s="2106">
        <v>40</v>
      </c>
      <c r="W235" s="2106" t="s">
        <v>39</v>
      </c>
      <c r="X235" s="2030" t="s">
        <v>5</v>
      </c>
      <c r="Y235" s="554">
        <f t="shared" ref="Y235" si="69">Z235/1000</f>
        <v>6000</v>
      </c>
      <c r="Z235" s="1898">
        <f>Q235*S235*V235</f>
        <v>6000000</v>
      </c>
      <c r="AA235" s="547"/>
      <c r="AB235" s="1891"/>
      <c r="AC235" s="1895"/>
      <c r="AD235" s="456"/>
    </row>
    <row r="236" spans="1:30" s="1651" customFormat="1" ht="22.5" customHeight="1">
      <c r="A236" s="591"/>
      <c r="B236" s="548"/>
      <c r="C236" s="2712"/>
      <c r="D236" s="2712"/>
      <c r="E236" s="2023" t="s">
        <v>15</v>
      </c>
      <c r="F236" s="549">
        <f t="shared" si="66"/>
        <v>40500</v>
      </c>
      <c r="G236" s="549">
        <v>40500</v>
      </c>
      <c r="H236" s="551"/>
      <c r="I236" s="557"/>
      <c r="J236" s="2105" t="s">
        <v>224</v>
      </c>
      <c r="K236" s="2082"/>
      <c r="L236" s="2082"/>
      <c r="M236" s="2082"/>
      <c r="N236" s="2082"/>
      <c r="O236" s="2082"/>
      <c r="P236" s="2082"/>
      <c r="Q236" s="475" t="s">
        <v>770</v>
      </c>
      <c r="R236" s="552" t="s">
        <v>770</v>
      </c>
      <c r="S236" s="474"/>
      <c r="T236" s="2106"/>
      <c r="U236" s="2106"/>
      <c r="V236" s="2106"/>
      <c r="W236" s="2106"/>
      <c r="X236" s="2030"/>
      <c r="Y236" s="554">
        <f>Z236/1000</f>
        <v>40500</v>
      </c>
      <c r="Z236" s="1898">
        <f>SUM(Z237:Z241)</f>
        <v>40500000</v>
      </c>
      <c r="AA236" s="547"/>
      <c r="AB236" s="1891"/>
      <c r="AC236" s="1895"/>
      <c r="AD236" s="456"/>
    </row>
    <row r="237" spans="1:30" s="1651" customFormat="1" ht="22.5" customHeight="1">
      <c r="A237" s="591"/>
      <c r="B237" s="548"/>
      <c r="C237" s="624"/>
      <c r="D237" s="2713"/>
      <c r="E237" s="2023"/>
      <c r="F237" s="549"/>
      <c r="G237" s="549"/>
      <c r="H237" s="551"/>
      <c r="I237" s="557"/>
      <c r="J237" s="2105" t="s">
        <v>1865</v>
      </c>
      <c r="K237" s="2082"/>
      <c r="L237" s="2082"/>
      <c r="M237" s="2082"/>
      <c r="N237" s="2082"/>
      <c r="O237" s="2082"/>
      <c r="P237" s="2082"/>
      <c r="Q237" s="475">
        <v>5</v>
      </c>
      <c r="R237" s="552" t="s">
        <v>36</v>
      </c>
      <c r="S237" s="474">
        <v>300000</v>
      </c>
      <c r="T237" s="2106" t="s">
        <v>4</v>
      </c>
      <c r="U237" s="2106"/>
      <c r="V237" s="2106">
        <v>18</v>
      </c>
      <c r="W237" s="2106" t="s">
        <v>39</v>
      </c>
      <c r="X237" s="2030" t="s">
        <v>5</v>
      </c>
      <c r="Y237" s="554">
        <f t="shared" ref="Y237" si="70">Z237/1000</f>
        <v>27000</v>
      </c>
      <c r="Z237" s="1898">
        <f>Q237*S237*V237</f>
        <v>27000000</v>
      </c>
      <c r="AA237" s="547"/>
      <c r="AB237" s="1891"/>
      <c r="AC237" s="1895"/>
      <c r="AD237" s="456"/>
    </row>
    <row r="238" spans="1:30" s="1651" customFormat="1" ht="22.5" customHeight="1">
      <c r="A238" s="591"/>
      <c r="B238" s="548"/>
      <c r="C238" s="624"/>
      <c r="D238" s="2713"/>
      <c r="E238" s="2023"/>
      <c r="F238" s="549"/>
      <c r="G238" s="549"/>
      <c r="H238" s="551"/>
      <c r="I238" s="557"/>
      <c r="J238" s="2105" t="s">
        <v>1866</v>
      </c>
      <c r="K238" s="2082"/>
      <c r="L238" s="2082"/>
      <c r="M238" s="2082"/>
      <c r="N238" s="2082"/>
      <c r="O238" s="2082"/>
      <c r="P238" s="2082"/>
      <c r="Q238" s="475">
        <v>3</v>
      </c>
      <c r="R238" s="552" t="s">
        <v>36</v>
      </c>
      <c r="S238" s="474">
        <v>300000</v>
      </c>
      <c r="T238" s="2106" t="s">
        <v>4</v>
      </c>
      <c r="U238" s="2106"/>
      <c r="V238" s="2106">
        <v>3</v>
      </c>
      <c r="W238" s="2106" t="s">
        <v>39</v>
      </c>
      <c r="X238" s="2030" t="s">
        <v>5</v>
      </c>
      <c r="Y238" s="554">
        <f>Z238/1000</f>
        <v>2700</v>
      </c>
      <c r="Z238" s="1898">
        <f>Q238*S238*V238</f>
        <v>2700000</v>
      </c>
      <c r="AA238" s="547"/>
      <c r="AB238" s="1891"/>
      <c r="AC238" s="1895"/>
      <c r="AD238" s="456"/>
    </row>
    <row r="239" spans="1:30" s="1651" customFormat="1" ht="22.5" customHeight="1">
      <c r="A239" s="591"/>
      <c r="B239" s="548"/>
      <c r="C239" s="624"/>
      <c r="D239" s="2713"/>
      <c r="E239" s="2023"/>
      <c r="F239" s="549"/>
      <c r="G239" s="549"/>
      <c r="H239" s="551"/>
      <c r="I239" s="557"/>
      <c r="J239" s="2105" t="s">
        <v>1867</v>
      </c>
      <c r="K239" s="2082"/>
      <c r="L239" s="2082"/>
      <c r="M239" s="2082"/>
      <c r="N239" s="2082"/>
      <c r="O239" s="2082"/>
      <c r="P239" s="2082"/>
      <c r="Q239" s="475">
        <v>3</v>
      </c>
      <c r="R239" s="552" t="s">
        <v>36</v>
      </c>
      <c r="S239" s="474">
        <v>300000</v>
      </c>
      <c r="T239" s="2106" t="s">
        <v>4</v>
      </c>
      <c r="U239" s="2106"/>
      <c r="V239" s="2106">
        <v>3</v>
      </c>
      <c r="W239" s="2106" t="s">
        <v>39</v>
      </c>
      <c r="X239" s="2030" t="s">
        <v>5</v>
      </c>
      <c r="Y239" s="554">
        <f>Z239/1000</f>
        <v>2700</v>
      </c>
      <c r="Z239" s="1898">
        <f>Q239*S239*V239</f>
        <v>2700000</v>
      </c>
      <c r="AA239" s="547"/>
      <c r="AB239" s="1891"/>
      <c r="AC239" s="1895"/>
      <c r="AD239" s="456"/>
    </row>
    <row r="240" spans="1:30" s="1651" customFormat="1" ht="22.5" customHeight="1">
      <c r="A240" s="591"/>
      <c r="B240" s="548"/>
      <c r="C240" s="624"/>
      <c r="D240" s="2713"/>
      <c r="E240" s="2023"/>
      <c r="F240" s="549"/>
      <c r="G240" s="549"/>
      <c r="H240" s="551"/>
      <c r="I240" s="557"/>
      <c r="J240" s="2105" t="s">
        <v>1868</v>
      </c>
      <c r="K240" s="2082"/>
      <c r="L240" s="2082"/>
      <c r="M240" s="2082"/>
      <c r="N240" s="2082"/>
      <c r="O240" s="2082"/>
      <c r="P240" s="2082"/>
      <c r="Q240" s="475"/>
      <c r="R240" s="552"/>
      <c r="S240" s="474">
        <v>200000</v>
      </c>
      <c r="T240" s="2106" t="s">
        <v>4</v>
      </c>
      <c r="U240" s="2106"/>
      <c r="V240" s="2106">
        <v>15.5</v>
      </c>
      <c r="W240" s="2106" t="s">
        <v>39</v>
      </c>
      <c r="X240" s="2030" t="s">
        <v>5</v>
      </c>
      <c r="Y240" s="554">
        <f t="shared" ref="Y240" si="71">Z240/1000</f>
        <v>3100</v>
      </c>
      <c r="Z240" s="1898">
        <f>S240*V240</f>
        <v>3100000</v>
      </c>
      <c r="AA240" s="547"/>
      <c r="AB240" s="1891"/>
      <c r="AC240" s="1895"/>
      <c r="AD240" s="456"/>
    </row>
    <row r="241" spans="1:30" s="1875" customFormat="1" ht="22.5" customHeight="1">
      <c r="A241" s="591"/>
      <c r="B241" s="548"/>
      <c r="C241" s="624"/>
      <c r="D241" s="2713"/>
      <c r="E241" s="2023"/>
      <c r="F241" s="549"/>
      <c r="G241" s="549"/>
      <c r="H241" s="551"/>
      <c r="I241" s="557"/>
      <c r="J241" s="2105" t="s">
        <v>2225</v>
      </c>
      <c r="K241" s="2106"/>
      <c r="L241" s="2106"/>
      <c r="M241" s="2106"/>
      <c r="N241" s="2082"/>
      <c r="O241" s="2082"/>
      <c r="P241" s="2082"/>
      <c r="Q241" s="475"/>
      <c r="R241" s="552"/>
      <c r="S241" s="2714">
        <v>500000</v>
      </c>
      <c r="T241" s="2106" t="s">
        <v>2125</v>
      </c>
      <c r="U241" s="2106"/>
      <c r="V241" s="2106">
        <v>10</v>
      </c>
      <c r="W241" s="2106" t="s">
        <v>2139</v>
      </c>
      <c r="X241" s="2030" t="s">
        <v>2127</v>
      </c>
      <c r="Y241" s="554">
        <f>Z241/1000</f>
        <v>5000</v>
      </c>
      <c r="Z241" s="1898">
        <f t="shared" ref="Z241" si="72">S241*V241</f>
        <v>5000000</v>
      </c>
      <c r="AA241" s="547"/>
      <c r="AB241" s="1891"/>
      <c r="AC241" s="1895"/>
      <c r="AD241" s="456"/>
    </row>
    <row r="242" spans="1:30" s="1875" customFormat="1" ht="22.5" customHeight="1">
      <c r="A242" s="591"/>
      <c r="B242" s="548"/>
      <c r="C242" s="624"/>
      <c r="D242" s="2713"/>
      <c r="E242" s="2023" t="s">
        <v>431</v>
      </c>
      <c r="F242" s="549">
        <f>Y242</f>
        <v>12000</v>
      </c>
      <c r="G242" s="549">
        <v>12000</v>
      </c>
      <c r="H242" s="551"/>
      <c r="I242" s="557"/>
      <c r="J242" s="2105" t="s">
        <v>2226</v>
      </c>
      <c r="K242" s="2106"/>
      <c r="L242" s="2106"/>
      <c r="M242" s="2106"/>
      <c r="N242" s="2106"/>
      <c r="O242" s="2106"/>
      <c r="P242" s="2082"/>
      <c r="Q242" s="475"/>
      <c r="R242" s="552"/>
      <c r="S242" s="474">
        <v>12000000</v>
      </c>
      <c r="T242" s="2106" t="s">
        <v>2125</v>
      </c>
      <c r="U242" s="2106"/>
      <c r="V242" s="2106">
        <v>1</v>
      </c>
      <c r="W242" s="2106" t="s">
        <v>2126</v>
      </c>
      <c r="X242" s="2030" t="s">
        <v>2127</v>
      </c>
      <c r="Y242" s="554">
        <f>Z242/1000</f>
        <v>12000</v>
      </c>
      <c r="Z242" s="1898">
        <f>S242*V242</f>
        <v>12000000</v>
      </c>
      <c r="AA242" s="547"/>
      <c r="AB242" s="1891"/>
      <c r="AC242" s="1895"/>
      <c r="AD242" s="456"/>
    </row>
    <row r="243" spans="1:30" s="1651" customFormat="1" ht="22.5" customHeight="1">
      <c r="A243" s="591"/>
      <c r="B243" s="548"/>
      <c r="C243" s="624"/>
      <c r="D243" s="2712"/>
      <c r="E243" s="2023" t="s">
        <v>261</v>
      </c>
      <c r="F243" s="549">
        <f>Y243</f>
        <v>138000</v>
      </c>
      <c r="G243" s="549">
        <v>138000</v>
      </c>
      <c r="H243" s="551"/>
      <c r="I243" s="557"/>
      <c r="J243" s="3868" t="s">
        <v>2224</v>
      </c>
      <c r="K243" s="3869"/>
      <c r="L243" s="3869"/>
      <c r="M243" s="3869"/>
      <c r="N243" s="2082"/>
      <c r="O243" s="2082"/>
      <c r="P243" s="2082"/>
      <c r="Q243" s="475"/>
      <c r="R243" s="552"/>
      <c r="S243" s="474">
        <v>138000000</v>
      </c>
      <c r="T243" s="2106" t="s">
        <v>2125</v>
      </c>
      <c r="U243" s="2106"/>
      <c r="V243" s="473">
        <v>1</v>
      </c>
      <c r="W243" s="2106" t="s">
        <v>2126</v>
      </c>
      <c r="X243" s="2030" t="s">
        <v>2127</v>
      </c>
      <c r="Y243" s="554">
        <f>Z243/1000</f>
        <v>138000</v>
      </c>
      <c r="Z243" s="1898">
        <f>S243*V243</f>
        <v>138000000</v>
      </c>
      <c r="AA243" s="547"/>
      <c r="AB243" s="1891"/>
      <c r="AC243" s="1895"/>
      <c r="AD243" s="456"/>
    </row>
    <row r="244" spans="1:30" s="1651" customFormat="1" ht="22.5" customHeight="1">
      <c r="A244" s="591"/>
      <c r="B244" s="548"/>
      <c r="C244" s="624"/>
      <c r="D244" s="2712"/>
      <c r="E244" s="2023" t="s">
        <v>73</v>
      </c>
      <c r="F244" s="549">
        <f>Y244</f>
        <v>20000</v>
      </c>
      <c r="G244" s="549">
        <v>20000</v>
      </c>
      <c r="H244" s="551"/>
      <c r="I244" s="557"/>
      <c r="J244" s="2105" t="s">
        <v>224</v>
      </c>
      <c r="K244" s="2082"/>
      <c r="L244" s="2082"/>
      <c r="M244" s="2082"/>
      <c r="N244" s="2082"/>
      <c r="O244" s="2082"/>
      <c r="P244" s="2082"/>
      <c r="Q244" s="475" t="s">
        <v>770</v>
      </c>
      <c r="R244" s="552" t="s">
        <v>770</v>
      </c>
      <c r="S244" s="474"/>
      <c r="T244" s="2106"/>
      <c r="U244" s="2106"/>
      <c r="V244" s="2106"/>
      <c r="W244" s="2106"/>
      <c r="X244" s="2030"/>
      <c r="Y244" s="554">
        <f>Z244/1000</f>
        <v>20000</v>
      </c>
      <c r="Z244" s="1898">
        <f>SUM(Z245:Z246)</f>
        <v>20000000</v>
      </c>
      <c r="AA244" s="547"/>
      <c r="AB244" s="1891"/>
      <c r="AC244" s="1895"/>
      <c r="AD244" s="456"/>
    </row>
    <row r="245" spans="1:30" s="1651" customFormat="1" ht="22.5" customHeight="1">
      <c r="A245" s="591"/>
      <c r="B245" s="548"/>
      <c r="C245" s="624"/>
      <c r="D245" s="2712"/>
      <c r="E245" s="2023"/>
      <c r="F245" s="549"/>
      <c r="G245" s="549"/>
      <c r="H245" s="551"/>
      <c r="I245" s="557"/>
      <c r="J245" s="2105" t="s">
        <v>1869</v>
      </c>
      <c r="K245" s="2082"/>
      <c r="L245" s="2082"/>
      <c r="M245" s="2082"/>
      <c r="N245" s="2082"/>
      <c r="O245" s="2082"/>
      <c r="P245" s="2082"/>
      <c r="Q245" s="475"/>
      <c r="R245" s="552"/>
      <c r="S245" s="474">
        <v>10000000</v>
      </c>
      <c r="T245" s="2106" t="s">
        <v>4</v>
      </c>
      <c r="U245" s="2106"/>
      <c r="V245" s="2106">
        <v>1</v>
      </c>
      <c r="W245" s="2106" t="s">
        <v>226</v>
      </c>
      <c r="X245" s="2030" t="s">
        <v>5</v>
      </c>
      <c r="Y245" s="554">
        <f>S245/1000</f>
        <v>10000</v>
      </c>
      <c r="Z245" s="1898">
        <f>S245*V245</f>
        <v>10000000</v>
      </c>
      <c r="AA245" s="547"/>
      <c r="AB245" s="1891"/>
      <c r="AC245" s="1895"/>
      <c r="AD245" s="456"/>
    </row>
    <row r="246" spans="1:30" s="1651" customFormat="1" ht="22.5" customHeight="1">
      <c r="A246" s="591"/>
      <c r="B246" s="548"/>
      <c r="C246" s="624"/>
      <c r="D246" s="2712"/>
      <c r="E246" s="2023"/>
      <c r="F246" s="549"/>
      <c r="G246" s="549"/>
      <c r="H246" s="551"/>
      <c r="I246" s="557"/>
      <c r="J246" s="2105" t="s">
        <v>1870</v>
      </c>
      <c r="K246" s="2082"/>
      <c r="L246" s="2082"/>
      <c r="M246" s="2082"/>
      <c r="N246" s="2082"/>
      <c r="O246" s="2082"/>
      <c r="P246" s="2082"/>
      <c r="Q246" s="475"/>
      <c r="R246" s="552"/>
      <c r="S246" s="474">
        <v>10000000</v>
      </c>
      <c r="T246" s="2106" t="s">
        <v>4</v>
      </c>
      <c r="U246" s="2106"/>
      <c r="V246" s="2106">
        <v>1</v>
      </c>
      <c r="W246" s="2106" t="s">
        <v>226</v>
      </c>
      <c r="X246" s="2030" t="s">
        <v>5</v>
      </c>
      <c r="Y246" s="554">
        <f t="shared" ref="Y246:Y247" si="73">Z246/1000</f>
        <v>10000</v>
      </c>
      <c r="Z246" s="1898">
        <f>S246*V246</f>
        <v>10000000</v>
      </c>
      <c r="AA246" s="547"/>
      <c r="AB246" s="1891"/>
      <c r="AC246" s="1895"/>
      <c r="AD246" s="456"/>
    </row>
    <row r="247" spans="1:30" s="1651" customFormat="1" ht="22.5" customHeight="1">
      <c r="A247" s="591"/>
      <c r="B247" s="548"/>
      <c r="C247" s="624"/>
      <c r="D247" s="2715"/>
      <c r="E247" s="2023" t="s">
        <v>14</v>
      </c>
      <c r="F247" s="549">
        <f>Y247</f>
        <v>2500</v>
      </c>
      <c r="G247" s="549">
        <v>2500</v>
      </c>
      <c r="H247" s="551"/>
      <c r="I247" s="557"/>
      <c r="J247" s="614" t="s">
        <v>1454</v>
      </c>
      <c r="K247" s="2072"/>
      <c r="L247" s="2072"/>
      <c r="M247" s="2072"/>
      <c r="N247" s="2072"/>
      <c r="O247" s="2072"/>
      <c r="P247" s="2072"/>
      <c r="Q247" s="507"/>
      <c r="R247" s="2348"/>
      <c r="S247" s="617">
        <v>100000</v>
      </c>
      <c r="T247" s="618" t="s">
        <v>4</v>
      </c>
      <c r="U247" s="618"/>
      <c r="V247" s="618">
        <v>25</v>
      </c>
      <c r="W247" s="618" t="s">
        <v>39</v>
      </c>
      <c r="X247" s="619" t="s">
        <v>5</v>
      </c>
      <c r="Y247" s="756">
        <f t="shared" si="73"/>
        <v>2500</v>
      </c>
      <c r="Z247" s="2716">
        <f t="shared" ref="Z247" si="74">S247*V247</f>
        <v>2500000</v>
      </c>
      <c r="AA247" s="547"/>
      <c r="AB247" s="1891"/>
      <c r="AC247" s="1895"/>
      <c r="AD247" s="456"/>
    </row>
    <row r="248" spans="1:30" s="1651" customFormat="1" ht="22.5" customHeight="1">
      <c r="A248" s="591"/>
      <c r="B248" s="548"/>
      <c r="C248" s="624"/>
      <c r="D248" s="4105" t="s">
        <v>1369</v>
      </c>
      <c r="E248" s="4105"/>
      <c r="F248" s="825">
        <f>SUM(F249:F261)</f>
        <v>613000</v>
      </c>
      <c r="G248" s="825">
        <f>SUM(G249:G261)</f>
        <v>613000</v>
      </c>
      <c r="H248" s="627">
        <f>F248-G248</f>
        <v>0</v>
      </c>
      <c r="I248" s="557"/>
      <c r="J248" s="2025"/>
      <c r="K248" s="2068"/>
      <c r="L248" s="2068"/>
      <c r="M248" s="2068"/>
      <c r="N248" s="2068"/>
      <c r="O248" s="2068"/>
      <c r="P248" s="2068"/>
      <c r="Q248" s="1349"/>
      <c r="R248" s="539"/>
      <c r="S248" s="545"/>
      <c r="T248" s="2026"/>
      <c r="U248" s="2026"/>
      <c r="V248" s="2026"/>
      <c r="W248" s="2026"/>
      <c r="X248" s="2028"/>
      <c r="Y248" s="586"/>
      <c r="Z248" s="622"/>
      <c r="AA248" s="547"/>
      <c r="AB248" s="1891"/>
      <c r="AC248" s="1895"/>
      <c r="AD248" s="456"/>
    </row>
    <row r="249" spans="1:30" s="1651" customFormat="1" ht="22.5" customHeight="1">
      <c r="A249" s="591"/>
      <c r="B249" s="548"/>
      <c r="C249" s="624"/>
      <c r="D249" s="2020"/>
      <c r="E249" s="1534" t="s">
        <v>229</v>
      </c>
      <c r="F249" s="1445">
        <f>Y249</f>
        <v>5000</v>
      </c>
      <c r="G249" s="1445">
        <v>10000</v>
      </c>
      <c r="H249" s="957">
        <f t="shared" ref="H249:H252" si="75">F249-G249</f>
        <v>-5000</v>
      </c>
      <c r="I249" s="2359"/>
      <c r="J249" s="681" t="s">
        <v>1455</v>
      </c>
      <c r="K249" s="3016"/>
      <c r="L249" s="3016"/>
      <c r="M249" s="3016"/>
      <c r="N249" s="3016"/>
      <c r="O249" s="3016"/>
      <c r="P249" s="3016"/>
      <c r="Q249" s="869"/>
      <c r="R249" s="2127"/>
      <c r="S249" s="3164">
        <v>5000000</v>
      </c>
      <c r="T249" s="684" t="s">
        <v>37</v>
      </c>
      <c r="U249" s="684"/>
      <c r="V249" s="684">
        <v>1</v>
      </c>
      <c r="W249" s="684" t="s">
        <v>226</v>
      </c>
      <c r="X249" s="686" t="s">
        <v>38</v>
      </c>
      <c r="Y249" s="1022">
        <f t="shared" ref="Y249:Y261" si="76">Z249/1000</f>
        <v>5000</v>
      </c>
      <c r="Z249" s="732">
        <f>S249*V249</f>
        <v>5000000</v>
      </c>
      <c r="AA249" s="547"/>
      <c r="AB249" s="1891"/>
      <c r="AC249" s="1895"/>
      <c r="AD249" s="456"/>
    </row>
    <row r="250" spans="1:30" s="1651" customFormat="1" ht="22.5" customHeight="1">
      <c r="A250" s="591"/>
      <c r="B250" s="548"/>
      <c r="C250" s="624"/>
      <c r="D250" s="2020"/>
      <c r="E250" s="1534" t="s">
        <v>264</v>
      </c>
      <c r="F250" s="1445">
        <f>Y250</f>
        <v>10000</v>
      </c>
      <c r="G250" s="1445">
        <v>5000</v>
      </c>
      <c r="H250" s="949">
        <f t="shared" si="75"/>
        <v>5000</v>
      </c>
      <c r="I250" s="2359"/>
      <c r="J250" s="681" t="s">
        <v>1456</v>
      </c>
      <c r="K250" s="3016"/>
      <c r="L250" s="3016"/>
      <c r="M250" s="3016"/>
      <c r="N250" s="3016"/>
      <c r="O250" s="3016"/>
      <c r="P250" s="3016"/>
      <c r="Q250" s="869"/>
      <c r="R250" s="2127"/>
      <c r="S250" s="3164">
        <v>1250000</v>
      </c>
      <c r="T250" s="684" t="s">
        <v>37</v>
      </c>
      <c r="U250" s="684"/>
      <c r="V250" s="684">
        <v>8</v>
      </c>
      <c r="W250" s="684" t="s">
        <v>230</v>
      </c>
      <c r="X250" s="686" t="s">
        <v>38</v>
      </c>
      <c r="Y250" s="1022">
        <f t="shared" si="76"/>
        <v>10000</v>
      </c>
      <c r="Z250" s="732">
        <f>S250*V250</f>
        <v>10000000</v>
      </c>
      <c r="AA250" s="547"/>
      <c r="AB250" s="1891"/>
      <c r="AC250" s="1895"/>
      <c r="AD250" s="456"/>
    </row>
    <row r="251" spans="1:30" s="1651" customFormat="1" ht="22.5" customHeight="1">
      <c r="A251" s="591"/>
      <c r="B251" s="548"/>
      <c r="C251" s="624"/>
      <c r="D251" s="2020"/>
      <c r="E251" s="1534" t="s">
        <v>557</v>
      </c>
      <c r="F251" s="1445">
        <f>Y251</f>
        <v>183000</v>
      </c>
      <c r="G251" s="1445">
        <v>183000</v>
      </c>
      <c r="H251" s="949"/>
      <c r="I251" s="2359"/>
      <c r="J251" s="681" t="s">
        <v>1457</v>
      </c>
      <c r="K251" s="3016"/>
      <c r="L251" s="3016"/>
      <c r="M251" s="3016"/>
      <c r="N251" s="3016"/>
      <c r="O251" s="3016"/>
      <c r="P251" s="3016"/>
      <c r="Q251" s="1038"/>
      <c r="R251" s="3234"/>
      <c r="S251" s="684">
        <v>183000000</v>
      </c>
      <c r="T251" s="684" t="s">
        <v>37</v>
      </c>
      <c r="U251" s="684"/>
      <c r="V251" s="684">
        <v>1</v>
      </c>
      <c r="W251" s="684" t="s">
        <v>240</v>
      </c>
      <c r="X251" s="686" t="s">
        <v>489</v>
      </c>
      <c r="Y251" s="1022">
        <f t="shared" si="76"/>
        <v>183000</v>
      </c>
      <c r="Z251" s="2233">
        <f>S251*V251</f>
        <v>183000000</v>
      </c>
      <c r="AA251" s="547"/>
      <c r="AB251" s="1891"/>
      <c r="AC251" s="1895"/>
      <c r="AD251" s="456"/>
    </row>
    <row r="252" spans="1:30" s="1651" customFormat="1" ht="22.5" customHeight="1">
      <c r="A252" s="591"/>
      <c r="B252" s="548"/>
      <c r="C252" s="624"/>
      <c r="D252" s="2020"/>
      <c r="E252" s="1534" t="s">
        <v>380</v>
      </c>
      <c r="F252" s="1445">
        <f>Y252</f>
        <v>24000</v>
      </c>
      <c r="G252" s="1445">
        <v>28000</v>
      </c>
      <c r="H252" s="949">
        <f t="shared" si="75"/>
        <v>-4000</v>
      </c>
      <c r="I252" s="2359"/>
      <c r="J252" s="681" t="s">
        <v>224</v>
      </c>
      <c r="K252" s="3016"/>
      <c r="L252" s="3016"/>
      <c r="M252" s="3016"/>
      <c r="N252" s="3016"/>
      <c r="O252" s="3016"/>
      <c r="P252" s="3016"/>
      <c r="Q252" s="869" t="s">
        <v>770</v>
      </c>
      <c r="R252" s="2127" t="s">
        <v>770</v>
      </c>
      <c r="S252" s="3164"/>
      <c r="T252" s="684"/>
      <c r="U252" s="684"/>
      <c r="V252" s="684"/>
      <c r="W252" s="684"/>
      <c r="X252" s="686"/>
      <c r="Y252" s="1022">
        <f t="shared" si="76"/>
        <v>24000</v>
      </c>
      <c r="Z252" s="732">
        <f>Z253+Z254+Z255</f>
        <v>24000000</v>
      </c>
      <c r="AA252" s="547"/>
      <c r="AB252" s="1891"/>
      <c r="AC252" s="1895"/>
      <c r="AD252" s="456"/>
    </row>
    <row r="253" spans="1:30" s="1651" customFormat="1" ht="22.5" customHeight="1">
      <c r="A253" s="591"/>
      <c r="B253" s="548"/>
      <c r="C253" s="624"/>
      <c r="D253" s="2020"/>
      <c r="E253" s="677"/>
      <c r="F253" s="1445"/>
      <c r="G253" s="1445"/>
      <c r="H253" s="949"/>
      <c r="I253" s="2359"/>
      <c r="J253" s="681" t="s">
        <v>4746</v>
      </c>
      <c r="K253" s="3016"/>
      <c r="L253" s="3016"/>
      <c r="M253" s="3016"/>
      <c r="N253" s="3016"/>
      <c r="O253" s="3016"/>
      <c r="P253" s="3016"/>
      <c r="Q253" s="1038"/>
      <c r="R253" s="3234"/>
      <c r="S253" s="684">
        <v>200000</v>
      </c>
      <c r="T253" s="684" t="s">
        <v>37</v>
      </c>
      <c r="U253" s="684"/>
      <c r="V253" s="684">
        <v>40</v>
      </c>
      <c r="W253" s="684" t="s">
        <v>253</v>
      </c>
      <c r="X253" s="686" t="s">
        <v>489</v>
      </c>
      <c r="Y253" s="1022">
        <f t="shared" si="76"/>
        <v>8000</v>
      </c>
      <c r="Z253" s="2233">
        <f t="shared" ref="Z253:Z261" si="77">S253*V253</f>
        <v>8000000</v>
      </c>
      <c r="AA253" s="547"/>
      <c r="AB253" s="1891"/>
      <c r="AC253" s="1895"/>
      <c r="AD253" s="456"/>
    </row>
    <row r="254" spans="1:30" s="1651" customFormat="1" ht="22.5" customHeight="1">
      <c r="A254" s="591"/>
      <c r="B254" s="548"/>
      <c r="C254" s="624"/>
      <c r="D254" s="2020"/>
      <c r="E254" s="1534"/>
      <c r="F254" s="1445"/>
      <c r="G254" s="1445"/>
      <c r="H254" s="949"/>
      <c r="I254" s="2359"/>
      <c r="J254" s="681" t="s">
        <v>4747</v>
      </c>
      <c r="K254" s="3016"/>
      <c r="L254" s="3016"/>
      <c r="M254" s="3016"/>
      <c r="N254" s="3016"/>
      <c r="O254" s="3016"/>
      <c r="P254" s="3016"/>
      <c r="Q254" s="869"/>
      <c r="R254" s="2127"/>
      <c r="S254" s="3164">
        <v>200000</v>
      </c>
      <c r="T254" s="684" t="s">
        <v>37</v>
      </c>
      <c r="U254" s="684"/>
      <c r="V254" s="684">
        <v>10</v>
      </c>
      <c r="W254" s="684" t="s">
        <v>39</v>
      </c>
      <c r="X254" s="686" t="s">
        <v>38</v>
      </c>
      <c r="Y254" s="1022">
        <f t="shared" si="76"/>
        <v>2000</v>
      </c>
      <c r="Z254" s="2233">
        <f t="shared" si="77"/>
        <v>2000000</v>
      </c>
      <c r="AA254" s="547"/>
      <c r="AB254" s="1891"/>
      <c r="AC254" s="1895"/>
      <c r="AD254" s="456"/>
    </row>
    <row r="255" spans="1:30" s="1651" customFormat="1" ht="22.5" customHeight="1">
      <c r="A255" s="540"/>
      <c r="B255" s="548"/>
      <c r="C255" s="624"/>
      <c r="D255" s="2020"/>
      <c r="E255" s="1534"/>
      <c r="F255" s="1445"/>
      <c r="G255" s="1445"/>
      <c r="H255" s="949"/>
      <c r="I255" s="2359"/>
      <c r="J255" s="681" t="s">
        <v>4748</v>
      </c>
      <c r="K255" s="3016"/>
      <c r="L255" s="3016"/>
      <c r="M255" s="3016"/>
      <c r="N255" s="3016"/>
      <c r="O255" s="3016"/>
      <c r="P255" s="3016"/>
      <c r="Q255" s="869"/>
      <c r="R255" s="2127"/>
      <c r="S255" s="3164">
        <v>2000000</v>
      </c>
      <c r="T255" s="684" t="s">
        <v>37</v>
      </c>
      <c r="U255" s="684"/>
      <c r="V255" s="684">
        <v>7</v>
      </c>
      <c r="W255" s="684" t="s">
        <v>228</v>
      </c>
      <c r="X255" s="686" t="s">
        <v>38</v>
      </c>
      <c r="Y255" s="1022">
        <f t="shared" si="76"/>
        <v>14000</v>
      </c>
      <c r="Z255" s="2233">
        <f t="shared" si="77"/>
        <v>14000000</v>
      </c>
      <c r="AA255" s="547"/>
      <c r="AB255" s="1891"/>
      <c r="AC255" s="1895"/>
      <c r="AD255" s="456"/>
    </row>
    <row r="256" spans="1:30" s="3105" customFormat="1" ht="22.5" customHeight="1">
      <c r="A256" s="540"/>
      <c r="B256" s="548"/>
      <c r="C256" s="624"/>
      <c r="D256" s="2020"/>
      <c r="E256" s="1534" t="s">
        <v>431</v>
      </c>
      <c r="F256" s="1445">
        <f t="shared" ref="F256:F261" si="78">Y256</f>
        <v>23000</v>
      </c>
      <c r="G256" s="1445">
        <v>23000</v>
      </c>
      <c r="H256" s="949"/>
      <c r="I256" s="2359"/>
      <c r="J256" s="681" t="s">
        <v>1458</v>
      </c>
      <c r="K256" s="3016"/>
      <c r="L256" s="3016"/>
      <c r="M256" s="3016"/>
      <c r="N256" s="3016"/>
      <c r="O256" s="3016"/>
      <c r="P256" s="3016"/>
      <c r="Q256" s="1038"/>
      <c r="R256" s="3234"/>
      <c r="S256" s="684">
        <v>23000000</v>
      </c>
      <c r="T256" s="684" t="s">
        <v>37</v>
      </c>
      <c r="U256" s="684"/>
      <c r="V256" s="684">
        <v>1</v>
      </c>
      <c r="W256" s="684" t="s">
        <v>240</v>
      </c>
      <c r="X256" s="686" t="s">
        <v>489</v>
      </c>
      <c r="Y256" s="1022">
        <f t="shared" si="76"/>
        <v>23000</v>
      </c>
      <c r="Z256" s="2233">
        <f t="shared" si="77"/>
        <v>23000000</v>
      </c>
      <c r="AA256" s="547"/>
      <c r="AB256" s="1891"/>
      <c r="AC256" s="1895"/>
      <c r="AD256" s="3099"/>
    </row>
    <row r="257" spans="1:30" s="3105" customFormat="1" ht="22.5" customHeight="1">
      <c r="A257" s="540"/>
      <c r="B257" s="548"/>
      <c r="C257" s="624"/>
      <c r="D257" s="2020"/>
      <c r="E257" s="1534" t="s">
        <v>261</v>
      </c>
      <c r="F257" s="1445">
        <f t="shared" si="78"/>
        <v>345000</v>
      </c>
      <c r="G257" s="1445">
        <v>345000</v>
      </c>
      <c r="H257" s="949"/>
      <c r="I257" s="2359"/>
      <c r="J257" s="681" t="s">
        <v>1459</v>
      </c>
      <c r="K257" s="3016"/>
      <c r="L257" s="3016"/>
      <c r="M257" s="3016"/>
      <c r="N257" s="3016"/>
      <c r="O257" s="3016"/>
      <c r="P257" s="3016"/>
      <c r="Q257" s="869"/>
      <c r="R257" s="2127"/>
      <c r="S257" s="3164">
        <v>345000000</v>
      </c>
      <c r="T257" s="684" t="s">
        <v>37</v>
      </c>
      <c r="U257" s="684"/>
      <c r="V257" s="684">
        <v>1</v>
      </c>
      <c r="W257" s="684" t="s">
        <v>226</v>
      </c>
      <c r="X257" s="686" t="s">
        <v>38</v>
      </c>
      <c r="Y257" s="1022">
        <f t="shared" si="76"/>
        <v>345000</v>
      </c>
      <c r="Z257" s="732">
        <f t="shared" si="77"/>
        <v>345000000</v>
      </c>
      <c r="AA257" s="547"/>
      <c r="AB257" s="1891"/>
      <c r="AC257" s="1895"/>
      <c r="AD257" s="3099"/>
    </row>
    <row r="258" spans="1:30" s="1651" customFormat="1" ht="22.5" customHeight="1">
      <c r="A258" s="591"/>
      <c r="B258" s="548"/>
      <c r="C258" s="624"/>
      <c r="D258" s="2020"/>
      <c r="E258" s="1534" t="s">
        <v>451</v>
      </c>
      <c r="F258" s="1445">
        <f t="shared" si="78"/>
        <v>17000</v>
      </c>
      <c r="G258" s="1445">
        <v>17000</v>
      </c>
      <c r="H258" s="949"/>
      <c r="I258" s="2359"/>
      <c r="J258" s="681" t="s">
        <v>1460</v>
      </c>
      <c r="K258" s="3016"/>
      <c r="L258" s="3016"/>
      <c r="M258" s="3016"/>
      <c r="N258" s="3016"/>
      <c r="O258" s="3016"/>
      <c r="P258" s="3016"/>
      <c r="Q258" s="1038"/>
      <c r="R258" s="3234"/>
      <c r="S258" s="684">
        <v>17000000</v>
      </c>
      <c r="T258" s="684" t="s">
        <v>37</v>
      </c>
      <c r="U258" s="684"/>
      <c r="V258" s="684">
        <v>1</v>
      </c>
      <c r="W258" s="684" t="s">
        <v>240</v>
      </c>
      <c r="X258" s="686" t="s">
        <v>489</v>
      </c>
      <c r="Y258" s="1022">
        <f t="shared" si="76"/>
        <v>17000</v>
      </c>
      <c r="Z258" s="2233">
        <f t="shared" si="77"/>
        <v>17000000</v>
      </c>
      <c r="AA258" s="547"/>
      <c r="AB258" s="1891"/>
      <c r="AC258" s="1895"/>
      <c r="AD258" s="456"/>
    </row>
    <row r="259" spans="1:30" s="1651" customFormat="1" ht="22.5" customHeight="1">
      <c r="A259" s="591"/>
      <c r="B259" s="548"/>
      <c r="C259" s="624"/>
      <c r="D259" s="2020"/>
      <c r="E259" s="1534" t="s">
        <v>384</v>
      </c>
      <c r="F259" s="1445">
        <f t="shared" si="78"/>
        <v>2000</v>
      </c>
      <c r="G259" s="1445">
        <v>2000</v>
      </c>
      <c r="H259" s="949"/>
      <c r="I259" s="2359"/>
      <c r="J259" s="681" t="s">
        <v>1322</v>
      </c>
      <c r="K259" s="3016"/>
      <c r="L259" s="3016"/>
      <c r="M259" s="3016"/>
      <c r="N259" s="3016"/>
      <c r="O259" s="3016"/>
      <c r="P259" s="3016"/>
      <c r="Q259" s="869"/>
      <c r="R259" s="2127"/>
      <c r="S259" s="3164">
        <v>100000</v>
      </c>
      <c r="T259" s="684" t="s">
        <v>37</v>
      </c>
      <c r="U259" s="684"/>
      <c r="V259" s="684">
        <v>20</v>
      </c>
      <c r="W259" s="684" t="s">
        <v>39</v>
      </c>
      <c r="X259" s="686" t="s">
        <v>38</v>
      </c>
      <c r="Y259" s="1022">
        <f t="shared" si="76"/>
        <v>2000</v>
      </c>
      <c r="Z259" s="732">
        <f t="shared" si="77"/>
        <v>2000000</v>
      </c>
      <c r="AA259" s="547"/>
      <c r="AB259" s="1891"/>
      <c r="AC259" s="1895"/>
      <c r="AD259" s="456"/>
    </row>
    <row r="260" spans="1:30" s="1651" customFormat="1" ht="22.5" customHeight="1">
      <c r="A260" s="591"/>
      <c r="B260" s="548"/>
      <c r="C260" s="624"/>
      <c r="D260" s="2020"/>
      <c r="E260" s="1534" t="s">
        <v>255</v>
      </c>
      <c r="F260" s="1445">
        <f t="shared" si="78"/>
        <v>3000</v>
      </c>
      <c r="G260" s="1445">
        <v>0</v>
      </c>
      <c r="H260" s="949">
        <f t="shared" ref="H260:H261" si="79">F260-G260</f>
        <v>3000</v>
      </c>
      <c r="I260" s="2359"/>
      <c r="J260" s="681" t="s">
        <v>4749</v>
      </c>
      <c r="K260" s="3016"/>
      <c r="L260" s="3016"/>
      <c r="M260" s="3016"/>
      <c r="N260" s="3016"/>
      <c r="O260" s="3016"/>
      <c r="P260" s="3016"/>
      <c r="Q260" s="1038"/>
      <c r="R260" s="3234"/>
      <c r="S260" s="3164">
        <v>30000</v>
      </c>
      <c r="T260" s="684" t="s">
        <v>37</v>
      </c>
      <c r="U260" s="684"/>
      <c r="V260" s="684">
        <v>100</v>
      </c>
      <c r="W260" s="684" t="s">
        <v>634</v>
      </c>
      <c r="X260" s="686" t="s">
        <v>38</v>
      </c>
      <c r="Y260" s="1022">
        <f t="shared" si="76"/>
        <v>3000</v>
      </c>
      <c r="Z260" s="732">
        <f t="shared" si="77"/>
        <v>3000000</v>
      </c>
      <c r="AA260" s="547"/>
      <c r="AB260" s="1891"/>
      <c r="AC260" s="1895"/>
      <c r="AD260" s="456"/>
    </row>
    <row r="261" spans="1:30" s="1651" customFormat="1" ht="22.5" customHeight="1">
      <c r="A261" s="591"/>
      <c r="B261" s="548"/>
      <c r="C261" s="624"/>
      <c r="D261" s="2020"/>
      <c r="E261" s="1534" t="s">
        <v>17</v>
      </c>
      <c r="F261" s="1445">
        <f t="shared" si="78"/>
        <v>1000</v>
      </c>
      <c r="G261" s="1445">
        <v>0</v>
      </c>
      <c r="H261" s="2062">
        <f t="shared" si="79"/>
        <v>1000</v>
      </c>
      <c r="I261" s="2359"/>
      <c r="J261" s="2042" t="s">
        <v>4750</v>
      </c>
      <c r="K261" s="2043"/>
      <c r="L261" s="2043"/>
      <c r="M261" s="2043"/>
      <c r="N261" s="2043"/>
      <c r="O261" s="2043"/>
      <c r="P261" s="2043"/>
      <c r="Q261" s="1019"/>
      <c r="R261" s="1985"/>
      <c r="S261" s="979">
        <v>1000000</v>
      </c>
      <c r="T261" s="2045" t="s">
        <v>37</v>
      </c>
      <c r="U261" s="2045"/>
      <c r="V261" s="2045">
        <v>1</v>
      </c>
      <c r="W261" s="2045" t="s">
        <v>226</v>
      </c>
      <c r="X261" s="2047" t="s">
        <v>38</v>
      </c>
      <c r="Y261" s="1026">
        <f t="shared" si="76"/>
        <v>1000</v>
      </c>
      <c r="Z261" s="1114">
        <f t="shared" si="77"/>
        <v>1000000</v>
      </c>
      <c r="AA261" s="547"/>
      <c r="AB261" s="1891"/>
      <c r="AC261" s="1895"/>
      <c r="AD261" s="456"/>
    </row>
    <row r="262" spans="1:30" s="1651" customFormat="1" ht="22.5" customHeight="1">
      <c r="A262" s="591"/>
      <c r="B262" s="548"/>
      <c r="C262" s="624"/>
      <c r="D262" s="4105" t="s">
        <v>1370</v>
      </c>
      <c r="E262" s="4105"/>
      <c r="F262" s="825">
        <f>SUM(F263:F287)</f>
        <v>150000</v>
      </c>
      <c r="G262" s="825">
        <f>SUM(G263:G287)</f>
        <v>150000</v>
      </c>
      <c r="H262" s="627">
        <f>SUM(H263:H287)</f>
        <v>0</v>
      </c>
      <c r="I262" s="557"/>
      <c r="J262" s="2025"/>
      <c r="K262" s="2068"/>
      <c r="L262" s="2068"/>
      <c r="M262" s="2068"/>
      <c r="N262" s="2068"/>
      <c r="O262" s="2068"/>
      <c r="P262" s="2068"/>
      <c r="Q262" s="1349"/>
      <c r="R262" s="539"/>
      <c r="S262" s="545"/>
      <c r="T262" s="2026"/>
      <c r="U262" s="2026"/>
      <c r="V262" s="2026"/>
      <c r="W262" s="2026"/>
      <c r="X262" s="2028"/>
      <c r="Y262" s="586"/>
      <c r="Z262" s="622"/>
      <c r="AA262" s="547"/>
      <c r="AB262" s="1891"/>
      <c r="AC262" s="1895"/>
      <c r="AD262" s="456"/>
    </row>
    <row r="263" spans="1:30" s="1651" customFormat="1" ht="22.5" customHeight="1">
      <c r="A263" s="591"/>
      <c r="B263" s="548"/>
      <c r="C263" s="624"/>
      <c r="D263" s="2020"/>
      <c r="E263" s="532" t="s">
        <v>229</v>
      </c>
      <c r="F263" s="549">
        <f>Y263</f>
        <v>8500</v>
      </c>
      <c r="G263" s="549">
        <v>5500</v>
      </c>
      <c r="H263" s="551">
        <f t="shared" ref="H263" si="80">F263-G263</f>
        <v>3000</v>
      </c>
      <c r="I263" s="557"/>
      <c r="J263" s="3240" t="s">
        <v>4687</v>
      </c>
      <c r="K263" s="3236"/>
      <c r="L263" s="3236"/>
      <c r="M263" s="3236"/>
      <c r="N263" s="3236"/>
      <c r="O263" s="3236"/>
      <c r="P263" s="3236"/>
      <c r="Q263" s="3109"/>
      <c r="R263" s="552"/>
      <c r="S263" s="3108"/>
      <c r="T263" s="3241"/>
      <c r="U263" s="3241"/>
      <c r="V263" s="3241"/>
      <c r="W263" s="3241"/>
      <c r="X263" s="2030"/>
      <c r="Y263" s="554">
        <f>SUM(Y264:Y265)</f>
        <v>8500</v>
      </c>
      <c r="Z263" s="2136">
        <f>Z264+Z265</f>
        <v>8500000</v>
      </c>
      <c r="AA263" s="547"/>
      <c r="AB263" s="1891"/>
      <c r="AC263" s="1895"/>
      <c r="AD263" s="456"/>
    </row>
    <row r="264" spans="1:30" s="1651" customFormat="1" ht="22.5" customHeight="1">
      <c r="A264" s="591"/>
      <c r="B264" s="548"/>
      <c r="C264" s="624"/>
      <c r="D264" s="2020"/>
      <c r="E264" s="532"/>
      <c r="F264" s="549"/>
      <c r="G264" s="549"/>
      <c r="H264" s="551"/>
      <c r="I264" s="557"/>
      <c r="J264" s="3702" t="s">
        <v>6136</v>
      </c>
      <c r="K264" s="3236"/>
      <c r="L264" s="3236"/>
      <c r="M264" s="3236"/>
      <c r="N264" s="3236"/>
      <c r="O264" s="3236"/>
      <c r="P264" s="3236"/>
      <c r="Q264" s="3109"/>
      <c r="R264" s="552"/>
      <c r="S264" s="3108">
        <v>10000</v>
      </c>
      <c r="T264" s="3241" t="s">
        <v>4690</v>
      </c>
      <c r="U264" s="3241"/>
      <c r="V264" s="3241">
        <v>300</v>
      </c>
      <c r="W264" s="3241" t="s">
        <v>4697</v>
      </c>
      <c r="X264" s="2030" t="s">
        <v>4692</v>
      </c>
      <c r="Y264" s="554">
        <f t="shared" ref="Y264:Y287" si="81">Z264/1000</f>
        <v>3000</v>
      </c>
      <c r="Z264" s="555">
        <f>S264*V264</f>
        <v>3000000</v>
      </c>
      <c r="AA264" s="547"/>
      <c r="AB264" s="1891"/>
      <c r="AC264" s="1895"/>
      <c r="AD264" s="456"/>
    </row>
    <row r="265" spans="1:30" s="1651" customFormat="1" ht="22.5" customHeight="1">
      <c r="A265" s="591"/>
      <c r="B265" s="548"/>
      <c r="C265" s="624"/>
      <c r="D265" s="2020"/>
      <c r="E265" s="532"/>
      <c r="F265" s="549"/>
      <c r="G265" s="549"/>
      <c r="H265" s="551"/>
      <c r="I265" s="557"/>
      <c r="J265" s="3702" t="s">
        <v>6137</v>
      </c>
      <c r="K265" s="3236"/>
      <c r="L265" s="3236"/>
      <c r="M265" s="3236"/>
      <c r="N265" s="3236"/>
      <c r="O265" s="3236"/>
      <c r="P265" s="3236"/>
      <c r="Q265" s="3109"/>
      <c r="R265" s="552"/>
      <c r="S265" s="3108">
        <v>5500000</v>
      </c>
      <c r="T265" s="3241" t="s">
        <v>4690</v>
      </c>
      <c r="U265" s="3241"/>
      <c r="V265" s="3241">
        <v>1</v>
      </c>
      <c r="W265" s="3241" t="s">
        <v>4735</v>
      </c>
      <c r="X265" s="2030" t="s">
        <v>4692</v>
      </c>
      <c r="Y265" s="554">
        <f t="shared" si="81"/>
        <v>5500</v>
      </c>
      <c r="Z265" s="555">
        <f>S265*V265</f>
        <v>5500000</v>
      </c>
      <c r="AA265" s="547"/>
      <c r="AB265" s="1891"/>
      <c r="AC265" s="1895"/>
      <c r="AD265" s="456"/>
    </row>
    <row r="266" spans="1:30" s="1651" customFormat="1" ht="22.5" customHeight="1">
      <c r="A266" s="591"/>
      <c r="B266" s="548"/>
      <c r="C266" s="624"/>
      <c r="D266" s="2020"/>
      <c r="E266" s="532" t="s">
        <v>264</v>
      </c>
      <c r="F266" s="549">
        <f>Y266</f>
        <v>4000</v>
      </c>
      <c r="G266" s="549">
        <v>1500</v>
      </c>
      <c r="H266" s="551">
        <f t="shared" ref="H266" si="82">F266-G266</f>
        <v>2500</v>
      </c>
      <c r="I266" s="557"/>
      <c r="J266" s="3240" t="s">
        <v>4687</v>
      </c>
      <c r="K266" s="3236"/>
      <c r="L266" s="3236"/>
      <c r="M266" s="3236"/>
      <c r="N266" s="3236"/>
      <c r="O266" s="3236"/>
      <c r="P266" s="3236"/>
      <c r="Q266" s="3109"/>
      <c r="R266" s="552"/>
      <c r="S266" s="3108"/>
      <c r="T266" s="3241"/>
      <c r="U266" s="3241"/>
      <c r="V266" s="3241"/>
      <c r="W266" s="3241"/>
      <c r="X266" s="2030"/>
      <c r="Y266" s="554">
        <f>SUM(Y267:Y268)</f>
        <v>4000</v>
      </c>
      <c r="Z266" s="2136">
        <f>Z267+Z268</f>
        <v>4000000</v>
      </c>
      <c r="AA266" s="547"/>
      <c r="AB266" s="1891"/>
      <c r="AC266" s="1895"/>
      <c r="AD266" s="456"/>
    </row>
    <row r="267" spans="1:30" s="1651" customFormat="1" ht="22.5" customHeight="1">
      <c r="A267" s="591"/>
      <c r="B267" s="548"/>
      <c r="C267" s="624"/>
      <c r="D267" s="2020"/>
      <c r="E267" s="532"/>
      <c r="F267" s="549"/>
      <c r="G267" s="549"/>
      <c r="H267" s="551"/>
      <c r="I267" s="557"/>
      <c r="J267" s="3240" t="s">
        <v>4751</v>
      </c>
      <c r="K267" s="3236"/>
      <c r="L267" s="3236"/>
      <c r="M267" s="3236"/>
      <c r="N267" s="3236"/>
      <c r="O267" s="3236"/>
      <c r="P267" s="3236"/>
      <c r="Q267" s="3109"/>
      <c r="R267" s="552"/>
      <c r="S267" s="3108">
        <v>1000000</v>
      </c>
      <c r="T267" s="3241" t="s">
        <v>4690</v>
      </c>
      <c r="U267" s="3241"/>
      <c r="V267" s="3241">
        <v>1</v>
      </c>
      <c r="W267" s="3241" t="s">
        <v>4735</v>
      </c>
      <c r="X267" s="2030" t="s">
        <v>4692</v>
      </c>
      <c r="Y267" s="554">
        <f t="shared" si="81"/>
        <v>1000</v>
      </c>
      <c r="Z267" s="555">
        <f t="shared" ref="Z267:Z269" si="83">S267*V267</f>
        <v>1000000</v>
      </c>
      <c r="AA267" s="547"/>
      <c r="AB267" s="1891"/>
      <c r="AC267" s="1895"/>
      <c r="AD267" s="456"/>
    </row>
    <row r="268" spans="1:30" s="3105" customFormat="1" ht="22.5" customHeight="1">
      <c r="A268" s="591"/>
      <c r="B268" s="548"/>
      <c r="C268" s="624"/>
      <c r="D268" s="2020"/>
      <c r="E268" s="532"/>
      <c r="F268" s="549"/>
      <c r="G268" s="549"/>
      <c r="H268" s="551"/>
      <c r="I268" s="557"/>
      <c r="J268" s="3240" t="s">
        <v>4752</v>
      </c>
      <c r="K268" s="3236"/>
      <c r="L268" s="3236"/>
      <c r="M268" s="3236"/>
      <c r="N268" s="3236"/>
      <c r="O268" s="3236"/>
      <c r="P268" s="3236"/>
      <c r="Q268" s="3109"/>
      <c r="R268" s="552"/>
      <c r="S268" s="3108">
        <v>3000000</v>
      </c>
      <c r="T268" s="3241" t="s">
        <v>4690</v>
      </c>
      <c r="U268" s="3241"/>
      <c r="V268" s="3241">
        <v>1</v>
      </c>
      <c r="W268" s="3241" t="s">
        <v>4735</v>
      </c>
      <c r="X268" s="2030" t="s">
        <v>4692</v>
      </c>
      <c r="Y268" s="554">
        <f t="shared" si="81"/>
        <v>3000</v>
      </c>
      <c r="Z268" s="555">
        <f t="shared" si="83"/>
        <v>3000000</v>
      </c>
      <c r="AA268" s="547"/>
      <c r="AB268" s="1891"/>
      <c r="AC268" s="1895"/>
      <c r="AD268" s="3099"/>
    </row>
    <row r="269" spans="1:30" s="3105" customFormat="1" ht="22.5" customHeight="1">
      <c r="A269" s="591"/>
      <c r="B269" s="548"/>
      <c r="C269" s="624"/>
      <c r="D269" s="2020"/>
      <c r="E269" s="532" t="s">
        <v>4765</v>
      </c>
      <c r="F269" s="549">
        <f>Y269</f>
        <v>3000</v>
      </c>
      <c r="G269" s="549">
        <v>0</v>
      </c>
      <c r="H269" s="551">
        <f t="shared" ref="H269" si="84">F269-G269</f>
        <v>3000</v>
      </c>
      <c r="I269" s="557"/>
      <c r="J269" s="3240" t="s">
        <v>1321</v>
      </c>
      <c r="K269" s="3236"/>
      <c r="L269" s="3236"/>
      <c r="M269" s="3236"/>
      <c r="N269" s="3236"/>
      <c r="O269" s="3236"/>
      <c r="P269" s="3236"/>
      <c r="Q269" s="3109"/>
      <c r="R269" s="552"/>
      <c r="S269" s="3108">
        <v>3000000</v>
      </c>
      <c r="T269" s="3241" t="s">
        <v>4690</v>
      </c>
      <c r="U269" s="3241"/>
      <c r="V269" s="3241">
        <v>1</v>
      </c>
      <c r="W269" s="3241" t="s">
        <v>4735</v>
      </c>
      <c r="X269" s="2030" t="s">
        <v>4692</v>
      </c>
      <c r="Y269" s="554">
        <f t="shared" si="81"/>
        <v>3000</v>
      </c>
      <c r="Z269" s="555">
        <f t="shared" si="83"/>
        <v>3000000</v>
      </c>
      <c r="AA269" s="547"/>
      <c r="AB269" s="1891"/>
      <c r="AC269" s="1895"/>
      <c r="AD269" s="3099"/>
    </row>
    <row r="270" spans="1:30" s="3105" customFormat="1" ht="22.5" customHeight="1">
      <c r="A270" s="591"/>
      <c r="B270" s="548"/>
      <c r="C270" s="624"/>
      <c r="D270" s="2020"/>
      <c r="E270" s="532" t="s">
        <v>4767</v>
      </c>
      <c r="F270" s="549">
        <f>Y270</f>
        <v>1000</v>
      </c>
      <c r="G270" s="549">
        <v>0</v>
      </c>
      <c r="H270" s="551">
        <f t="shared" ref="H270:H271" si="85">F270-G270</f>
        <v>1000</v>
      </c>
      <c r="I270" s="557"/>
      <c r="J270" s="3240" t="s">
        <v>2367</v>
      </c>
      <c r="K270" s="3107"/>
      <c r="L270" s="3107"/>
      <c r="M270" s="3107"/>
      <c r="N270" s="3108"/>
      <c r="O270" s="3108"/>
      <c r="P270" s="3107"/>
      <c r="Q270" s="556"/>
      <c r="R270" s="3225"/>
      <c r="S270" s="3107">
        <v>1000000</v>
      </c>
      <c r="T270" s="3107" t="s">
        <v>0</v>
      </c>
      <c r="U270" s="3107"/>
      <c r="V270" s="3107">
        <v>1</v>
      </c>
      <c r="W270" s="3107" t="s">
        <v>226</v>
      </c>
      <c r="X270" s="542" t="s">
        <v>1</v>
      </c>
      <c r="Y270" s="554">
        <f t="shared" si="81"/>
        <v>1000</v>
      </c>
      <c r="Z270" s="489">
        <f>S270*V270</f>
        <v>1000000</v>
      </c>
      <c r="AA270" s="547"/>
      <c r="AB270" s="1891"/>
      <c r="AC270" s="1895"/>
      <c r="AD270" s="3099"/>
    </row>
    <row r="271" spans="1:30" s="3105" customFormat="1" ht="22.5" customHeight="1">
      <c r="A271" s="591"/>
      <c r="B271" s="548"/>
      <c r="C271" s="624"/>
      <c r="D271" s="2020"/>
      <c r="E271" s="532" t="s">
        <v>380</v>
      </c>
      <c r="F271" s="549">
        <f>Y271</f>
        <v>78000</v>
      </c>
      <c r="G271" s="549">
        <v>86000</v>
      </c>
      <c r="H271" s="551">
        <f t="shared" si="85"/>
        <v>-8000</v>
      </c>
      <c r="I271" s="557"/>
      <c r="J271" s="3240" t="s">
        <v>4687</v>
      </c>
      <c r="K271" s="3236"/>
      <c r="L271" s="3236"/>
      <c r="M271" s="3236"/>
      <c r="N271" s="3236"/>
      <c r="O271" s="3236"/>
      <c r="P271" s="3236"/>
      <c r="Q271" s="3109" t="s">
        <v>4743</v>
      </c>
      <c r="R271" s="552" t="s">
        <v>4743</v>
      </c>
      <c r="S271" s="3108"/>
      <c r="T271" s="3241"/>
      <c r="U271" s="3241"/>
      <c r="V271" s="3241"/>
      <c r="W271" s="3241"/>
      <c r="X271" s="2030"/>
      <c r="Y271" s="554">
        <f>Z271/1000</f>
        <v>78000</v>
      </c>
      <c r="Z271" s="2136">
        <f>SUM(Z272:Z276)</f>
        <v>78000000</v>
      </c>
      <c r="AA271" s="547"/>
      <c r="AB271" s="1891"/>
      <c r="AC271" s="1895"/>
      <c r="AD271" s="3099"/>
    </row>
    <row r="272" spans="1:30" s="3105" customFormat="1" ht="22.5" customHeight="1">
      <c r="A272" s="591"/>
      <c r="B272" s="548"/>
      <c r="C272" s="624"/>
      <c r="D272" s="2020"/>
      <c r="E272" s="2023"/>
      <c r="F272" s="549"/>
      <c r="G272" s="549"/>
      <c r="H272" s="551"/>
      <c r="I272" s="557"/>
      <c r="J272" s="3240" t="s">
        <v>4753</v>
      </c>
      <c r="K272" s="3236"/>
      <c r="L272" s="3236"/>
      <c r="M272" s="3236"/>
      <c r="N272" s="3236"/>
      <c r="O272" s="3236"/>
      <c r="P272" s="3236"/>
      <c r="Q272" s="556"/>
      <c r="R272" s="3180"/>
      <c r="S272" s="3241">
        <v>3000000</v>
      </c>
      <c r="T272" s="3241" t="s">
        <v>4690</v>
      </c>
      <c r="U272" s="3241"/>
      <c r="V272" s="3241">
        <v>10</v>
      </c>
      <c r="W272" s="3241" t="s">
        <v>4754</v>
      </c>
      <c r="X272" s="2030" t="s">
        <v>4742</v>
      </c>
      <c r="Y272" s="554">
        <f t="shared" si="81"/>
        <v>30000</v>
      </c>
      <c r="Z272" s="1898">
        <f>S272*V272</f>
        <v>30000000</v>
      </c>
      <c r="AA272" s="547"/>
      <c r="AB272" s="1891"/>
      <c r="AC272" s="1895"/>
      <c r="AD272" s="3099"/>
    </row>
    <row r="273" spans="1:30" s="3105" customFormat="1" ht="22.5" customHeight="1">
      <c r="A273" s="591"/>
      <c r="B273" s="548"/>
      <c r="C273" s="624"/>
      <c r="D273" s="2020"/>
      <c r="E273" s="532"/>
      <c r="F273" s="549"/>
      <c r="G273" s="549"/>
      <c r="H273" s="551"/>
      <c r="I273" s="557"/>
      <c r="J273" s="3240" t="s">
        <v>4755</v>
      </c>
      <c r="K273" s="3236"/>
      <c r="L273" s="3236"/>
      <c r="M273" s="3236"/>
      <c r="N273" s="3236"/>
      <c r="O273" s="3236"/>
      <c r="P273" s="3236"/>
      <c r="Q273" s="556">
        <v>4</v>
      </c>
      <c r="R273" s="3180" t="s">
        <v>4689</v>
      </c>
      <c r="S273" s="3241">
        <v>200000</v>
      </c>
      <c r="T273" s="3241" t="s">
        <v>4690</v>
      </c>
      <c r="U273" s="3241"/>
      <c r="V273" s="3241">
        <v>10</v>
      </c>
      <c r="W273" s="3241" t="s">
        <v>4744</v>
      </c>
      <c r="X273" s="2030" t="s">
        <v>4742</v>
      </c>
      <c r="Y273" s="554">
        <f t="shared" si="81"/>
        <v>8000</v>
      </c>
      <c r="Z273" s="1898">
        <f>Q273*S273*V273</f>
        <v>8000000</v>
      </c>
      <c r="AA273" s="547"/>
      <c r="AB273" s="1891"/>
      <c r="AC273" s="1895"/>
      <c r="AD273" s="3099"/>
    </row>
    <row r="274" spans="1:30" s="3105" customFormat="1" ht="22.5" customHeight="1">
      <c r="A274" s="591"/>
      <c r="B274" s="548"/>
      <c r="C274" s="624"/>
      <c r="D274" s="2020"/>
      <c r="E274" s="532"/>
      <c r="F274" s="549"/>
      <c r="G274" s="549"/>
      <c r="H274" s="551"/>
      <c r="I274" s="557"/>
      <c r="J274" s="3240" t="s">
        <v>4756</v>
      </c>
      <c r="K274" s="3236"/>
      <c r="L274" s="3236"/>
      <c r="M274" s="3236"/>
      <c r="N274" s="3236"/>
      <c r="O274" s="3236"/>
      <c r="P274" s="3236"/>
      <c r="Q274" s="3109">
        <v>4</v>
      </c>
      <c r="R274" s="552" t="s">
        <v>4689</v>
      </c>
      <c r="S274" s="3108">
        <v>150000</v>
      </c>
      <c r="T274" s="3241" t="s">
        <v>4690</v>
      </c>
      <c r="U274" s="3241"/>
      <c r="V274" s="3241">
        <v>30</v>
      </c>
      <c r="W274" s="3241" t="s">
        <v>4703</v>
      </c>
      <c r="X274" s="2030" t="s">
        <v>4692</v>
      </c>
      <c r="Y274" s="554">
        <f t="shared" si="81"/>
        <v>18000</v>
      </c>
      <c r="Z274" s="1898">
        <f>Q274*S274*V274</f>
        <v>18000000</v>
      </c>
      <c r="AA274" s="547"/>
      <c r="AB274" s="1891"/>
      <c r="AC274" s="1895"/>
      <c r="AD274" s="3099"/>
    </row>
    <row r="275" spans="1:30" s="3105" customFormat="1" ht="22.5" customHeight="1">
      <c r="A275" s="591"/>
      <c r="B275" s="548"/>
      <c r="C275" s="624"/>
      <c r="D275" s="2020"/>
      <c r="E275" s="532"/>
      <c r="F275" s="549"/>
      <c r="G275" s="549"/>
      <c r="H275" s="551"/>
      <c r="I275" s="557"/>
      <c r="J275" s="3240" t="s">
        <v>4757</v>
      </c>
      <c r="K275" s="3236"/>
      <c r="L275" s="3236"/>
      <c r="M275" s="3236"/>
      <c r="N275" s="3236"/>
      <c r="O275" s="3236"/>
      <c r="P275" s="3236"/>
      <c r="Q275" s="3109"/>
      <c r="R275" s="552"/>
      <c r="S275" s="3108">
        <v>300000</v>
      </c>
      <c r="T275" s="3241" t="s">
        <v>4690</v>
      </c>
      <c r="U275" s="3241"/>
      <c r="V275" s="3241">
        <v>52</v>
      </c>
      <c r="W275" s="3241" t="s">
        <v>4703</v>
      </c>
      <c r="X275" s="2030" t="s">
        <v>4692</v>
      </c>
      <c r="Y275" s="554">
        <f t="shared" si="81"/>
        <v>15600</v>
      </c>
      <c r="Z275" s="1898">
        <f>S275*V275</f>
        <v>15600000</v>
      </c>
      <c r="AA275" s="547"/>
      <c r="AB275" s="1891"/>
      <c r="AC275" s="1895"/>
      <c r="AD275" s="3099"/>
    </row>
    <row r="276" spans="1:30" s="3105" customFormat="1" ht="22.5" customHeight="1">
      <c r="A276" s="591"/>
      <c r="B276" s="548"/>
      <c r="C276" s="624"/>
      <c r="D276" s="2020"/>
      <c r="E276" s="532"/>
      <c r="F276" s="549"/>
      <c r="G276" s="549"/>
      <c r="H276" s="551"/>
      <c r="I276" s="557"/>
      <c r="J276" s="3240" t="s">
        <v>4758</v>
      </c>
      <c r="K276" s="3236"/>
      <c r="L276" s="3236"/>
      <c r="M276" s="3236"/>
      <c r="N276" s="3236"/>
      <c r="O276" s="3236"/>
      <c r="P276" s="3236"/>
      <c r="Q276" s="3109"/>
      <c r="R276" s="552"/>
      <c r="S276" s="3108">
        <v>200000</v>
      </c>
      <c r="T276" s="3241" t="s">
        <v>4690</v>
      </c>
      <c r="U276" s="3241"/>
      <c r="V276" s="3241">
        <v>32</v>
      </c>
      <c r="W276" s="3241" t="s">
        <v>4701</v>
      </c>
      <c r="X276" s="2030" t="s">
        <v>4692</v>
      </c>
      <c r="Y276" s="554">
        <f t="shared" si="81"/>
        <v>6400</v>
      </c>
      <c r="Z276" s="1898">
        <f>S276*V276</f>
        <v>6400000</v>
      </c>
      <c r="AA276" s="547"/>
      <c r="AB276" s="1891"/>
      <c r="AC276" s="1895"/>
      <c r="AD276" s="3099"/>
    </row>
    <row r="277" spans="1:30" s="3105" customFormat="1" ht="22.5" customHeight="1">
      <c r="A277" s="591"/>
      <c r="B277" s="548"/>
      <c r="C277" s="624"/>
      <c r="D277" s="2020"/>
      <c r="E277" s="532" t="s">
        <v>262</v>
      </c>
      <c r="F277" s="549">
        <f>Y277</f>
        <v>2000</v>
      </c>
      <c r="G277" s="549">
        <v>1000</v>
      </c>
      <c r="H277" s="551">
        <f t="shared" ref="H277" si="86">F277-G277</f>
        <v>1000</v>
      </c>
      <c r="I277" s="557"/>
      <c r="J277" s="3240" t="s">
        <v>4687</v>
      </c>
      <c r="K277" s="3236"/>
      <c r="L277" s="3236"/>
      <c r="M277" s="3236"/>
      <c r="N277" s="3236"/>
      <c r="O277" s="3236"/>
      <c r="P277" s="3236"/>
      <c r="Q277" s="556"/>
      <c r="R277" s="3180"/>
      <c r="S277" s="3241"/>
      <c r="T277" s="3241"/>
      <c r="U277" s="3241"/>
      <c r="V277" s="3241"/>
      <c r="W277" s="3241"/>
      <c r="X277" s="2030"/>
      <c r="Y277" s="554">
        <f>SUM(Y278:Y279)</f>
        <v>2000</v>
      </c>
      <c r="Z277" s="3299">
        <f>Z278+Z279</f>
        <v>2000000</v>
      </c>
      <c r="AA277" s="547"/>
      <c r="AB277" s="1891"/>
      <c r="AC277" s="1895"/>
      <c r="AD277" s="3099"/>
    </row>
    <row r="278" spans="1:30" s="3105" customFormat="1" ht="22.5" customHeight="1">
      <c r="A278" s="591"/>
      <c r="B278" s="548"/>
      <c r="C278" s="624"/>
      <c r="D278" s="2020"/>
      <c r="E278" s="532"/>
      <c r="F278" s="549"/>
      <c r="G278" s="549"/>
      <c r="H278" s="551"/>
      <c r="I278" s="557"/>
      <c r="J278" s="3240" t="s">
        <v>4759</v>
      </c>
      <c r="K278" s="3236"/>
      <c r="L278" s="3236"/>
      <c r="M278" s="3236"/>
      <c r="N278" s="3236"/>
      <c r="O278" s="3236"/>
      <c r="P278" s="3236"/>
      <c r="Q278" s="556"/>
      <c r="R278" s="3180"/>
      <c r="S278" s="3241">
        <v>1000000</v>
      </c>
      <c r="T278" s="3241" t="s">
        <v>4690</v>
      </c>
      <c r="U278" s="3241"/>
      <c r="V278" s="3241">
        <v>1</v>
      </c>
      <c r="W278" s="3241" t="s">
        <v>4735</v>
      </c>
      <c r="X278" s="2030" t="s">
        <v>4742</v>
      </c>
      <c r="Y278" s="554">
        <f t="shared" si="81"/>
        <v>1000</v>
      </c>
      <c r="Z278" s="1898">
        <f t="shared" ref="Z278:Z279" si="87">S278*V278</f>
        <v>1000000</v>
      </c>
      <c r="AA278" s="547"/>
      <c r="AB278" s="1891"/>
      <c r="AC278" s="1895"/>
      <c r="AD278" s="3099"/>
    </row>
    <row r="279" spans="1:30" s="3105" customFormat="1" ht="22.5" customHeight="1">
      <c r="A279" s="591"/>
      <c r="B279" s="548"/>
      <c r="C279" s="624"/>
      <c r="D279" s="2020"/>
      <c r="E279" s="532"/>
      <c r="F279" s="549"/>
      <c r="G279" s="549"/>
      <c r="H279" s="551"/>
      <c r="I279" s="557"/>
      <c r="J279" s="3240" t="s">
        <v>4760</v>
      </c>
      <c r="K279" s="3236"/>
      <c r="L279" s="3236"/>
      <c r="M279" s="3236"/>
      <c r="N279" s="3236"/>
      <c r="O279" s="3236"/>
      <c r="P279" s="3236"/>
      <c r="Q279" s="556"/>
      <c r="R279" s="3180"/>
      <c r="S279" s="3241">
        <v>100000</v>
      </c>
      <c r="T279" s="3241" t="s">
        <v>4690</v>
      </c>
      <c r="U279" s="3241"/>
      <c r="V279" s="3241">
        <v>10</v>
      </c>
      <c r="W279" s="3241" t="s">
        <v>4691</v>
      </c>
      <c r="X279" s="2030" t="s">
        <v>4742</v>
      </c>
      <c r="Y279" s="554">
        <f t="shared" si="81"/>
        <v>1000</v>
      </c>
      <c r="Z279" s="1898">
        <f t="shared" si="87"/>
        <v>1000000</v>
      </c>
      <c r="AA279" s="547"/>
      <c r="AB279" s="1891"/>
      <c r="AC279" s="1895"/>
      <c r="AD279" s="3099"/>
    </row>
    <row r="280" spans="1:30" s="1651" customFormat="1" ht="22.5" customHeight="1">
      <c r="A280" s="591"/>
      <c r="B280" s="548"/>
      <c r="C280" s="624"/>
      <c r="D280" s="2020"/>
      <c r="E280" s="532" t="s">
        <v>261</v>
      </c>
      <c r="F280" s="549">
        <f>Y280</f>
        <v>45000</v>
      </c>
      <c r="G280" s="549">
        <v>44000</v>
      </c>
      <c r="H280" s="551">
        <f t="shared" ref="H280" si="88">F280-G280</f>
        <v>1000</v>
      </c>
      <c r="I280" s="557"/>
      <c r="J280" s="3240" t="s">
        <v>4687</v>
      </c>
      <c r="K280" s="3236"/>
      <c r="L280" s="3236"/>
      <c r="M280" s="3236"/>
      <c r="N280" s="3236"/>
      <c r="O280" s="3236"/>
      <c r="P280" s="3236"/>
      <c r="Q280" s="3109" t="s">
        <v>4743</v>
      </c>
      <c r="R280" s="552" t="s">
        <v>4743</v>
      </c>
      <c r="S280" s="3108"/>
      <c r="T280" s="3241"/>
      <c r="U280" s="3241"/>
      <c r="V280" s="3241"/>
      <c r="W280" s="3241"/>
      <c r="X280" s="2030"/>
      <c r="Y280" s="554">
        <f>Z280/1000</f>
        <v>45000</v>
      </c>
      <c r="Z280" s="3299">
        <f>SUM(Z281:Z282)</f>
        <v>45000000</v>
      </c>
      <c r="AA280" s="547"/>
      <c r="AB280" s="1891"/>
      <c r="AC280" s="1895"/>
      <c r="AD280" s="456"/>
    </row>
    <row r="281" spans="1:30" s="1651" customFormat="1" ht="22.5" customHeight="1">
      <c r="A281" s="591"/>
      <c r="B281" s="548"/>
      <c r="C281" s="624"/>
      <c r="D281" s="2020"/>
      <c r="E281" s="532"/>
      <c r="F281" s="549"/>
      <c r="G281" s="549"/>
      <c r="H281" s="551"/>
      <c r="I281" s="557"/>
      <c r="J281" s="3240" t="s">
        <v>4761</v>
      </c>
      <c r="K281" s="3236"/>
      <c r="L281" s="3236"/>
      <c r="M281" s="3236"/>
      <c r="N281" s="3236"/>
      <c r="O281" s="3236"/>
      <c r="P281" s="3236"/>
      <c r="Q281" s="3109"/>
      <c r="R281" s="552"/>
      <c r="S281" s="3108">
        <v>20000000</v>
      </c>
      <c r="T281" s="3241" t="s">
        <v>4690</v>
      </c>
      <c r="U281" s="3241"/>
      <c r="V281" s="3241">
        <v>1</v>
      </c>
      <c r="W281" s="3241" t="s">
        <v>4735</v>
      </c>
      <c r="X281" s="2030" t="s">
        <v>4692</v>
      </c>
      <c r="Y281" s="554">
        <f t="shared" si="81"/>
        <v>20000</v>
      </c>
      <c r="Z281" s="1898">
        <f>S281*V281</f>
        <v>20000000</v>
      </c>
      <c r="AA281" s="547"/>
      <c r="AB281" s="1891"/>
      <c r="AC281" s="1895"/>
      <c r="AD281" s="456"/>
    </row>
    <row r="282" spans="1:30" s="1651" customFormat="1" ht="22.5" customHeight="1">
      <c r="A282" s="591"/>
      <c r="B282" s="548"/>
      <c r="C282" s="624"/>
      <c r="D282" s="2712"/>
      <c r="E282" s="2023"/>
      <c r="F282" s="549"/>
      <c r="G282" s="549"/>
      <c r="H282" s="551"/>
      <c r="I282" s="557"/>
      <c r="J282" s="3240" t="s">
        <v>4762</v>
      </c>
      <c r="K282" s="3236"/>
      <c r="L282" s="3236"/>
      <c r="M282" s="3236"/>
      <c r="N282" s="3236"/>
      <c r="O282" s="3236"/>
      <c r="P282" s="3236"/>
      <c r="Q282" s="3109"/>
      <c r="R282" s="552"/>
      <c r="S282" s="3108">
        <v>25000000</v>
      </c>
      <c r="T282" s="3241" t="s">
        <v>4690</v>
      </c>
      <c r="U282" s="3241"/>
      <c r="V282" s="3241">
        <v>1</v>
      </c>
      <c r="W282" s="3241" t="s">
        <v>4735</v>
      </c>
      <c r="X282" s="2030" t="s">
        <v>4692</v>
      </c>
      <c r="Y282" s="554">
        <f t="shared" si="81"/>
        <v>25000</v>
      </c>
      <c r="Z282" s="1898">
        <f>S282*V282</f>
        <v>25000000</v>
      </c>
      <c r="AA282" s="547"/>
      <c r="AB282" s="1891"/>
      <c r="AC282" s="1895"/>
      <c r="AD282" s="456"/>
    </row>
    <row r="283" spans="1:30" s="1651" customFormat="1" ht="22.5" customHeight="1">
      <c r="A283" s="591"/>
      <c r="B283" s="548"/>
      <c r="C283" s="624"/>
      <c r="D283" s="2712"/>
      <c r="E283" s="2023" t="s">
        <v>451</v>
      </c>
      <c r="F283" s="549">
        <f>Y283</f>
        <v>6000</v>
      </c>
      <c r="G283" s="549">
        <v>11000</v>
      </c>
      <c r="H283" s="551">
        <f t="shared" ref="H283" si="89">F283-G283</f>
        <v>-5000</v>
      </c>
      <c r="I283" s="557"/>
      <c r="J283" s="3240" t="s">
        <v>4687</v>
      </c>
      <c r="K283" s="3236"/>
      <c r="L283" s="3236"/>
      <c r="M283" s="3236"/>
      <c r="N283" s="3236"/>
      <c r="O283" s="3236"/>
      <c r="P283" s="3236"/>
      <c r="Q283" s="3109" t="s">
        <v>4743</v>
      </c>
      <c r="R283" s="552" t="s">
        <v>4743</v>
      </c>
      <c r="S283" s="3108"/>
      <c r="T283" s="3241"/>
      <c r="U283" s="3241"/>
      <c r="V283" s="3241"/>
      <c r="W283" s="3241"/>
      <c r="X283" s="2030"/>
      <c r="Y283" s="554">
        <f>Z283/1000</f>
        <v>6000</v>
      </c>
      <c r="Z283" s="3299">
        <f>SUM(Z284:Z285)</f>
        <v>6000000</v>
      </c>
      <c r="AA283" s="547"/>
      <c r="AB283" s="1891"/>
      <c r="AC283" s="1895"/>
      <c r="AD283" s="456"/>
    </row>
    <row r="284" spans="1:30" s="1651" customFormat="1" ht="22.5" customHeight="1">
      <c r="A284" s="591"/>
      <c r="B284" s="548"/>
      <c r="C284" s="624"/>
      <c r="D284" s="2712"/>
      <c r="E284" s="2023"/>
      <c r="F284" s="549"/>
      <c r="G284" s="549"/>
      <c r="H284" s="551"/>
      <c r="I284" s="557"/>
      <c r="J284" s="3240" t="s">
        <v>4763</v>
      </c>
      <c r="K284" s="3236"/>
      <c r="L284" s="3236"/>
      <c r="M284" s="3236"/>
      <c r="N284" s="3236"/>
      <c r="O284" s="3236"/>
      <c r="P284" s="3236"/>
      <c r="Q284" s="3109"/>
      <c r="R284" s="552"/>
      <c r="S284" s="3108">
        <v>1000000</v>
      </c>
      <c r="T284" s="3241" t="s">
        <v>4690</v>
      </c>
      <c r="U284" s="3241"/>
      <c r="V284" s="3241">
        <v>2</v>
      </c>
      <c r="W284" s="3241" t="s">
        <v>4735</v>
      </c>
      <c r="X284" s="2030" t="s">
        <v>4692</v>
      </c>
      <c r="Y284" s="554">
        <f t="shared" ref="Y284:Y285" si="90">Z284/1000</f>
        <v>2000</v>
      </c>
      <c r="Z284" s="1898">
        <f>S284*V284</f>
        <v>2000000</v>
      </c>
      <c r="AA284" s="547"/>
      <c r="AB284" s="1891"/>
      <c r="AC284" s="1895"/>
      <c r="AD284" s="456"/>
    </row>
    <row r="285" spans="1:30" s="1651" customFormat="1" ht="22.5" customHeight="1">
      <c r="A285" s="591"/>
      <c r="B285" s="548"/>
      <c r="C285" s="624"/>
      <c r="D285" s="2712"/>
      <c r="E285" s="2023"/>
      <c r="F285" s="549"/>
      <c r="G285" s="549"/>
      <c r="H285" s="551"/>
      <c r="I285" s="557"/>
      <c r="J285" s="3240" t="s">
        <v>4764</v>
      </c>
      <c r="K285" s="3236"/>
      <c r="L285" s="3236"/>
      <c r="M285" s="3236"/>
      <c r="N285" s="3236"/>
      <c r="O285" s="3236"/>
      <c r="P285" s="3236"/>
      <c r="Q285" s="3109">
        <v>40</v>
      </c>
      <c r="R285" s="552" t="s">
        <v>4689</v>
      </c>
      <c r="S285" s="3108">
        <v>50000</v>
      </c>
      <c r="T285" s="3241" t="s">
        <v>4690</v>
      </c>
      <c r="U285" s="3241"/>
      <c r="V285" s="3241">
        <v>2</v>
      </c>
      <c r="W285" s="3241" t="s">
        <v>4703</v>
      </c>
      <c r="X285" s="2030" t="s">
        <v>4692</v>
      </c>
      <c r="Y285" s="554">
        <f t="shared" si="90"/>
        <v>4000</v>
      </c>
      <c r="Z285" s="1898">
        <f>Q285*S285*V285</f>
        <v>4000000</v>
      </c>
      <c r="AA285" s="547"/>
      <c r="AB285" s="1891"/>
      <c r="AC285" s="1895"/>
      <c r="AD285" s="456"/>
    </row>
    <row r="286" spans="1:30" s="3105" customFormat="1" ht="22.5" customHeight="1">
      <c r="A286" s="591"/>
      <c r="B286" s="548"/>
      <c r="C286" s="624"/>
      <c r="D286" s="2712"/>
      <c r="E286" s="2023" t="s">
        <v>4766</v>
      </c>
      <c r="F286" s="549">
        <f>Y286</f>
        <v>500</v>
      </c>
      <c r="G286" s="549">
        <v>0</v>
      </c>
      <c r="H286" s="551">
        <f t="shared" ref="H286:H287" si="91">F286-G286</f>
        <v>500</v>
      </c>
      <c r="I286" s="557"/>
      <c r="J286" s="3240" t="s">
        <v>2113</v>
      </c>
      <c r="K286" s="3236"/>
      <c r="L286" s="3236"/>
      <c r="M286" s="3236"/>
      <c r="N286" s="3236"/>
      <c r="O286" s="3236"/>
      <c r="P286" s="3236"/>
      <c r="Q286" s="3109" t="s">
        <v>770</v>
      </c>
      <c r="R286" s="552" t="s">
        <v>770</v>
      </c>
      <c r="S286" s="3108">
        <v>50000</v>
      </c>
      <c r="T286" s="3241" t="s">
        <v>4</v>
      </c>
      <c r="U286" s="3241"/>
      <c r="V286" s="3241">
        <v>10</v>
      </c>
      <c r="W286" s="3241" t="s">
        <v>39</v>
      </c>
      <c r="X286" s="2030" t="s">
        <v>5</v>
      </c>
      <c r="Y286" s="3110">
        <f>Z286/1000</f>
        <v>500</v>
      </c>
      <c r="Z286" s="2136">
        <f t="shared" ref="Z286:Z287" si="92">S286*V286</f>
        <v>500000</v>
      </c>
      <c r="AA286" s="547"/>
      <c r="AB286" s="1891"/>
      <c r="AC286" s="1895"/>
      <c r="AD286" s="3099"/>
    </row>
    <row r="287" spans="1:30" s="1651" customFormat="1" ht="22.5" customHeight="1">
      <c r="A287" s="591"/>
      <c r="B287" s="548"/>
      <c r="C287" s="624"/>
      <c r="D287" s="2712"/>
      <c r="E287" s="2023" t="s">
        <v>384</v>
      </c>
      <c r="F287" s="549">
        <f>Y287</f>
        <v>2000</v>
      </c>
      <c r="G287" s="549">
        <v>1000</v>
      </c>
      <c r="H287" s="551">
        <f t="shared" si="91"/>
        <v>1000</v>
      </c>
      <c r="I287" s="557"/>
      <c r="J287" s="3240" t="s">
        <v>4745</v>
      </c>
      <c r="K287" s="3236"/>
      <c r="L287" s="3236"/>
      <c r="M287" s="3236"/>
      <c r="N287" s="3236"/>
      <c r="O287" s="3236"/>
      <c r="P287" s="3236"/>
      <c r="Q287" s="3109"/>
      <c r="R287" s="552"/>
      <c r="S287" s="3108">
        <v>200000</v>
      </c>
      <c r="T287" s="3241" t="s">
        <v>4690</v>
      </c>
      <c r="U287" s="3241"/>
      <c r="V287" s="3241">
        <v>10</v>
      </c>
      <c r="W287" s="3241" t="s">
        <v>4703</v>
      </c>
      <c r="X287" s="2030" t="s">
        <v>4692</v>
      </c>
      <c r="Y287" s="554">
        <f t="shared" si="81"/>
        <v>2000</v>
      </c>
      <c r="Z287" s="2136">
        <f t="shared" si="92"/>
        <v>2000000</v>
      </c>
      <c r="AA287" s="547"/>
      <c r="AB287" s="1891"/>
      <c r="AC287" s="1895"/>
      <c r="AD287" s="456"/>
    </row>
    <row r="288" spans="1:30" s="1651" customFormat="1" ht="22.5" customHeight="1">
      <c r="A288" s="591"/>
      <c r="B288" s="548"/>
      <c r="C288" s="624"/>
      <c r="D288" s="4105" t="s">
        <v>1374</v>
      </c>
      <c r="E288" s="4105"/>
      <c r="F288" s="825">
        <f>SUM(F289:F292)</f>
        <v>120000</v>
      </c>
      <c r="G288" s="825">
        <f>SUM(G289:G292)</f>
        <v>120000</v>
      </c>
      <c r="H288" s="627">
        <f t="shared" ref="H288:H318" si="93">F288-G288</f>
        <v>0</v>
      </c>
      <c r="I288" s="557"/>
      <c r="J288" s="2025"/>
      <c r="K288" s="2068"/>
      <c r="L288" s="2068"/>
      <c r="M288" s="2068"/>
      <c r="N288" s="2068"/>
      <c r="O288" s="2068"/>
      <c r="P288" s="2068"/>
      <c r="Q288" s="1349"/>
      <c r="R288" s="539"/>
      <c r="S288" s="545"/>
      <c r="T288" s="2026"/>
      <c r="U288" s="2026"/>
      <c r="V288" s="2026"/>
      <c r="W288" s="2026"/>
      <c r="X288" s="2028"/>
      <c r="Y288" s="586"/>
      <c r="Z288" s="622"/>
      <c r="AA288" s="547"/>
      <c r="AB288" s="1891"/>
      <c r="AC288" s="1895"/>
      <c r="AD288" s="456"/>
    </row>
    <row r="289" spans="1:30" s="1651" customFormat="1" ht="22.5" customHeight="1">
      <c r="A289" s="591"/>
      <c r="B289" s="548"/>
      <c r="C289" s="624"/>
      <c r="D289" s="2712"/>
      <c r="E289" s="2023" t="s">
        <v>16</v>
      </c>
      <c r="F289" s="549">
        <f>Y289</f>
        <v>25000</v>
      </c>
      <c r="G289" s="549">
        <v>25000</v>
      </c>
      <c r="H289" s="551"/>
      <c r="I289" s="557"/>
      <c r="J289" s="2105" t="s">
        <v>1461</v>
      </c>
      <c r="K289" s="2082"/>
      <c r="L289" s="2082"/>
      <c r="M289" s="2082"/>
      <c r="N289" s="2082"/>
      <c r="O289" s="2082"/>
      <c r="P289" s="2082"/>
      <c r="Q289" s="556"/>
      <c r="R289" s="2080"/>
      <c r="S289" s="2106">
        <v>25000000</v>
      </c>
      <c r="T289" s="2106" t="s">
        <v>4</v>
      </c>
      <c r="U289" s="2106"/>
      <c r="V289" s="2106">
        <v>1</v>
      </c>
      <c r="W289" s="2106" t="s">
        <v>240</v>
      </c>
      <c r="X289" s="2030" t="s">
        <v>21</v>
      </c>
      <c r="Y289" s="554">
        <f t="shared" ref="Y289:Y292" si="94">Z289/1000</f>
        <v>25000</v>
      </c>
      <c r="Z289" s="1898">
        <f>S289*V289</f>
        <v>25000000</v>
      </c>
      <c r="AA289" s="547"/>
      <c r="AB289" s="1891"/>
      <c r="AC289" s="1895"/>
      <c r="AD289" s="456"/>
    </row>
    <row r="290" spans="1:30" s="1651" customFormat="1" ht="22.5" customHeight="1">
      <c r="A290" s="591"/>
      <c r="B290" s="548"/>
      <c r="C290" s="624"/>
      <c r="D290" s="2712"/>
      <c r="E290" s="2023" t="s">
        <v>261</v>
      </c>
      <c r="F290" s="549">
        <f>Y290</f>
        <v>90000</v>
      </c>
      <c r="G290" s="549">
        <v>90000</v>
      </c>
      <c r="H290" s="551"/>
      <c r="I290" s="557"/>
      <c r="J290" s="2105" t="s">
        <v>1462</v>
      </c>
      <c r="K290" s="2082"/>
      <c r="L290" s="2082"/>
      <c r="M290" s="2082"/>
      <c r="N290" s="2082"/>
      <c r="O290" s="2082"/>
      <c r="P290" s="2082"/>
      <c r="Q290" s="556"/>
      <c r="R290" s="2080"/>
      <c r="S290" s="2106">
        <v>90000000</v>
      </c>
      <c r="T290" s="2106" t="s">
        <v>4</v>
      </c>
      <c r="U290" s="2106"/>
      <c r="V290" s="2106">
        <v>1</v>
      </c>
      <c r="W290" s="2106" t="s">
        <v>240</v>
      </c>
      <c r="X290" s="2030" t="s">
        <v>21</v>
      </c>
      <c r="Y290" s="554">
        <f t="shared" si="94"/>
        <v>90000</v>
      </c>
      <c r="Z290" s="1898">
        <f>S290*V290</f>
        <v>90000000</v>
      </c>
      <c r="AA290" s="547"/>
      <c r="AB290" s="1891"/>
      <c r="AC290" s="1895"/>
      <c r="AD290" s="456"/>
    </row>
    <row r="291" spans="1:30" s="1651" customFormat="1" ht="22.5" customHeight="1">
      <c r="A291" s="591"/>
      <c r="B291" s="548"/>
      <c r="C291" s="624"/>
      <c r="D291" s="2712"/>
      <c r="E291" s="2023" t="s">
        <v>73</v>
      </c>
      <c r="F291" s="549">
        <f>Y291</f>
        <v>4000</v>
      </c>
      <c r="G291" s="549">
        <v>4000</v>
      </c>
      <c r="H291" s="551"/>
      <c r="I291" s="557"/>
      <c r="J291" s="2105" t="s">
        <v>1463</v>
      </c>
      <c r="K291" s="2082"/>
      <c r="L291" s="2082"/>
      <c r="M291" s="2082"/>
      <c r="N291" s="2082"/>
      <c r="O291" s="2082"/>
      <c r="P291" s="2082"/>
      <c r="Q291" s="556"/>
      <c r="R291" s="2080"/>
      <c r="S291" s="2106">
        <v>4000000</v>
      </c>
      <c r="T291" s="2106" t="s">
        <v>4</v>
      </c>
      <c r="U291" s="2106"/>
      <c r="V291" s="2106">
        <v>1</v>
      </c>
      <c r="W291" s="2106" t="s">
        <v>240</v>
      </c>
      <c r="X291" s="2030" t="s">
        <v>21</v>
      </c>
      <c r="Y291" s="554">
        <f t="shared" si="94"/>
        <v>4000</v>
      </c>
      <c r="Z291" s="1898">
        <f>S291*V291</f>
        <v>4000000</v>
      </c>
      <c r="AA291" s="547"/>
      <c r="AB291" s="1891"/>
      <c r="AC291" s="1895"/>
      <c r="AD291" s="456"/>
    </row>
    <row r="292" spans="1:30" s="1651" customFormat="1" ht="22.5" customHeight="1">
      <c r="A292" s="591"/>
      <c r="B292" s="548"/>
      <c r="C292" s="624"/>
      <c r="D292" s="2020"/>
      <c r="E292" s="2023" t="s">
        <v>14</v>
      </c>
      <c r="F292" s="549">
        <f>Y292</f>
        <v>1000</v>
      </c>
      <c r="G292" s="549">
        <v>1000</v>
      </c>
      <c r="H292" s="551"/>
      <c r="I292" s="557"/>
      <c r="J292" s="614" t="s">
        <v>1322</v>
      </c>
      <c r="K292" s="2072"/>
      <c r="L292" s="2072"/>
      <c r="M292" s="2072"/>
      <c r="N292" s="2072"/>
      <c r="O292" s="2072"/>
      <c r="P292" s="2072"/>
      <c r="Q292" s="507"/>
      <c r="R292" s="2348"/>
      <c r="S292" s="617">
        <v>100000</v>
      </c>
      <c r="T292" s="618" t="s">
        <v>4</v>
      </c>
      <c r="U292" s="618"/>
      <c r="V292" s="618">
        <v>10</v>
      </c>
      <c r="W292" s="618" t="s">
        <v>39</v>
      </c>
      <c r="X292" s="619" t="s">
        <v>5</v>
      </c>
      <c r="Y292" s="756">
        <f t="shared" si="94"/>
        <v>1000</v>
      </c>
      <c r="Z292" s="546">
        <f t="shared" ref="Z292" si="95">S292*V292</f>
        <v>1000000</v>
      </c>
      <c r="AA292" s="547"/>
      <c r="AB292" s="1891"/>
      <c r="AC292" s="1895"/>
      <c r="AD292" s="456"/>
    </row>
    <row r="293" spans="1:30" s="1651" customFormat="1" ht="22.5" customHeight="1">
      <c r="A293" s="591"/>
      <c r="B293" s="624"/>
      <c r="C293" s="624"/>
      <c r="D293" s="4105" t="s">
        <v>1375</v>
      </c>
      <c r="E293" s="4105"/>
      <c r="F293" s="528">
        <f>SUM(F294:F318)</f>
        <v>385000</v>
      </c>
      <c r="G293" s="528">
        <f>SUM(G294:G318)</f>
        <v>385000</v>
      </c>
      <c r="H293" s="627">
        <f t="shared" si="93"/>
        <v>0</v>
      </c>
      <c r="I293" s="557"/>
      <c r="J293" s="2025"/>
      <c r="K293" s="2068"/>
      <c r="L293" s="2068"/>
      <c r="M293" s="2068"/>
      <c r="N293" s="2068"/>
      <c r="O293" s="2068"/>
      <c r="P293" s="2068"/>
      <c r="Q293" s="1349"/>
      <c r="R293" s="539"/>
      <c r="S293" s="545"/>
      <c r="T293" s="2026"/>
      <c r="U293" s="2026"/>
      <c r="V293" s="2026"/>
      <c r="W293" s="2026"/>
      <c r="X293" s="2028"/>
      <c r="Y293" s="517"/>
      <c r="Z293" s="622"/>
      <c r="AA293" s="547"/>
      <c r="AB293" s="1891"/>
      <c r="AC293" s="1895"/>
      <c r="AD293" s="456"/>
    </row>
    <row r="294" spans="1:30" s="1651" customFormat="1" ht="22.5" customHeight="1">
      <c r="A294" s="591"/>
      <c r="B294" s="548"/>
      <c r="C294" s="624"/>
      <c r="D294" s="2020"/>
      <c r="E294" s="1034" t="s">
        <v>278</v>
      </c>
      <c r="F294" s="1445">
        <f>Y294</f>
        <v>240000</v>
      </c>
      <c r="G294" s="3572">
        <v>240000</v>
      </c>
      <c r="H294" s="949"/>
      <c r="I294" s="2359"/>
      <c r="J294" s="681" t="s">
        <v>1464</v>
      </c>
      <c r="K294" s="3515"/>
      <c r="L294" s="3515"/>
      <c r="M294" s="3515"/>
      <c r="N294" s="3515"/>
      <c r="O294" s="3515"/>
      <c r="P294" s="3515"/>
      <c r="Q294" s="1038">
        <v>10</v>
      </c>
      <c r="R294" s="3522" t="s">
        <v>766</v>
      </c>
      <c r="S294" s="684">
        <v>2000000</v>
      </c>
      <c r="T294" s="684" t="s">
        <v>368</v>
      </c>
      <c r="U294" s="684"/>
      <c r="V294" s="684">
        <v>12</v>
      </c>
      <c r="W294" s="684" t="s">
        <v>774</v>
      </c>
      <c r="X294" s="686" t="s">
        <v>826</v>
      </c>
      <c r="Y294" s="871">
        <f t="shared" ref="Y294:Y299" si="96">Z294/1000</f>
        <v>240000</v>
      </c>
      <c r="Z294" s="2233">
        <f>Q294*S294*V294</f>
        <v>240000000</v>
      </c>
      <c r="AA294" s="547"/>
      <c r="AB294" s="1891"/>
      <c r="AC294" s="1895"/>
      <c r="AD294" s="456"/>
    </row>
    <row r="295" spans="1:30" s="1651" customFormat="1" ht="22.5" customHeight="1">
      <c r="A295" s="591"/>
      <c r="B295" s="624"/>
      <c r="C295" s="624"/>
      <c r="D295" s="2020"/>
      <c r="E295" s="675" t="s">
        <v>229</v>
      </c>
      <c r="F295" s="2125">
        <f>Y295</f>
        <v>18000</v>
      </c>
      <c r="G295" s="3572">
        <v>15000</v>
      </c>
      <c r="H295" s="949">
        <f t="shared" si="93"/>
        <v>3000</v>
      </c>
      <c r="I295" s="2359"/>
      <c r="J295" s="681" t="s">
        <v>4768</v>
      </c>
      <c r="K295" s="3515"/>
      <c r="L295" s="3515"/>
      <c r="M295" s="3515"/>
      <c r="N295" s="3515"/>
      <c r="O295" s="3515"/>
      <c r="P295" s="3515"/>
      <c r="Q295" s="869"/>
      <c r="R295" s="2127"/>
      <c r="S295" s="3164">
        <v>3600000</v>
      </c>
      <c r="T295" s="684" t="s">
        <v>368</v>
      </c>
      <c r="U295" s="684"/>
      <c r="V295" s="684">
        <v>5</v>
      </c>
      <c r="W295" s="684" t="s">
        <v>763</v>
      </c>
      <c r="X295" s="686" t="s">
        <v>370</v>
      </c>
      <c r="Y295" s="871">
        <f t="shared" si="96"/>
        <v>18000</v>
      </c>
      <c r="Z295" s="732">
        <f t="shared" ref="Z295:Z296" si="97">S295*V295</f>
        <v>18000000</v>
      </c>
      <c r="AA295" s="547"/>
      <c r="AB295" s="1891"/>
      <c r="AC295" s="1895"/>
      <c r="AD295" s="456"/>
    </row>
    <row r="296" spans="1:30" s="1651" customFormat="1" ht="22.5" customHeight="1">
      <c r="A296" s="591"/>
      <c r="B296" s="624"/>
      <c r="C296" s="624"/>
      <c r="D296" s="2020"/>
      <c r="E296" s="675" t="s">
        <v>934</v>
      </c>
      <c r="F296" s="2125">
        <f>Y296</f>
        <v>7800</v>
      </c>
      <c r="G296" s="3572">
        <v>5000</v>
      </c>
      <c r="H296" s="949">
        <f t="shared" si="93"/>
        <v>2800</v>
      </c>
      <c r="I296" s="2359"/>
      <c r="J296" s="681" t="s">
        <v>4481</v>
      </c>
      <c r="K296" s="3515"/>
      <c r="L296" s="3515"/>
      <c r="M296" s="3515"/>
      <c r="N296" s="3515"/>
      <c r="O296" s="3515"/>
      <c r="P296" s="3515"/>
      <c r="Q296" s="869"/>
      <c r="R296" s="2127"/>
      <c r="S296" s="3164">
        <v>2600000</v>
      </c>
      <c r="T296" s="684" t="s">
        <v>368</v>
      </c>
      <c r="U296" s="684"/>
      <c r="V296" s="684">
        <v>3</v>
      </c>
      <c r="W296" s="684" t="s">
        <v>763</v>
      </c>
      <c r="X296" s="686" t="s">
        <v>370</v>
      </c>
      <c r="Y296" s="871">
        <f t="shared" si="96"/>
        <v>7800</v>
      </c>
      <c r="Z296" s="732">
        <f t="shared" si="97"/>
        <v>7800000</v>
      </c>
      <c r="AA296" s="547"/>
      <c r="AB296" s="1891"/>
      <c r="AC296" s="1895"/>
      <c r="AD296" s="456"/>
    </row>
    <row r="297" spans="1:30" s="1651" customFormat="1" ht="22.5" customHeight="1">
      <c r="A297" s="591"/>
      <c r="B297" s="548"/>
      <c r="C297" s="624"/>
      <c r="D297" s="2712"/>
      <c r="E297" s="675" t="s">
        <v>225</v>
      </c>
      <c r="F297" s="1445">
        <f t="shared" ref="F297:F299" si="98">Y297</f>
        <v>6000</v>
      </c>
      <c r="G297" s="3572">
        <v>6000</v>
      </c>
      <c r="H297" s="949"/>
      <c r="I297" s="2359"/>
      <c r="J297" s="681" t="s">
        <v>1321</v>
      </c>
      <c r="K297" s="3515"/>
      <c r="L297" s="3515"/>
      <c r="M297" s="3515"/>
      <c r="N297" s="3515"/>
      <c r="O297" s="3515"/>
      <c r="P297" s="3515"/>
      <c r="Q297" s="869">
        <v>5</v>
      </c>
      <c r="R297" s="2127" t="s">
        <v>766</v>
      </c>
      <c r="S297" s="3164">
        <v>30000</v>
      </c>
      <c r="T297" s="684" t="s">
        <v>368</v>
      </c>
      <c r="U297" s="684"/>
      <c r="V297" s="684">
        <v>40</v>
      </c>
      <c r="W297" s="684" t="s">
        <v>369</v>
      </c>
      <c r="X297" s="686" t="s">
        <v>370</v>
      </c>
      <c r="Y297" s="871">
        <f t="shared" si="96"/>
        <v>6000</v>
      </c>
      <c r="Z297" s="2233">
        <f>Q297*S297*V297</f>
        <v>6000000</v>
      </c>
      <c r="AA297" s="547"/>
      <c r="AB297" s="1891"/>
      <c r="AC297" s="1895"/>
      <c r="AD297" s="456"/>
    </row>
    <row r="298" spans="1:30" s="1651" customFormat="1" ht="22.5" customHeight="1">
      <c r="A298" s="591"/>
      <c r="B298" s="548"/>
      <c r="C298" s="624"/>
      <c r="D298" s="2712"/>
      <c r="E298" s="675" t="s">
        <v>557</v>
      </c>
      <c r="F298" s="1445">
        <f t="shared" si="98"/>
        <v>4000</v>
      </c>
      <c r="G298" s="3572">
        <v>4000</v>
      </c>
      <c r="H298" s="949"/>
      <c r="I298" s="2359"/>
      <c r="J298" s="681" t="s">
        <v>5392</v>
      </c>
      <c r="K298" s="3515"/>
      <c r="L298" s="3515"/>
      <c r="M298" s="3515"/>
      <c r="N298" s="3515"/>
      <c r="O298" s="3515"/>
      <c r="P298" s="3515"/>
      <c r="Q298" s="869"/>
      <c r="R298" s="2127"/>
      <c r="S298" s="3164">
        <v>4000000</v>
      </c>
      <c r="T298" s="684" t="s">
        <v>368</v>
      </c>
      <c r="U298" s="684"/>
      <c r="V298" s="684">
        <v>1</v>
      </c>
      <c r="W298" s="684" t="s">
        <v>763</v>
      </c>
      <c r="X298" s="686" t="s">
        <v>370</v>
      </c>
      <c r="Y298" s="871">
        <f t="shared" si="96"/>
        <v>4000</v>
      </c>
      <c r="Z298" s="732">
        <f t="shared" ref="Z298" si="99">S298*V298</f>
        <v>4000000</v>
      </c>
      <c r="AA298" s="547"/>
      <c r="AB298" s="1891"/>
      <c r="AC298" s="1895"/>
      <c r="AD298" s="456"/>
    </row>
    <row r="299" spans="1:30" s="1651" customFormat="1" ht="22.5" customHeight="1">
      <c r="A299" s="591"/>
      <c r="B299" s="624"/>
      <c r="C299" s="624"/>
      <c r="D299" s="2020"/>
      <c r="E299" s="675" t="s">
        <v>380</v>
      </c>
      <c r="F299" s="1445">
        <f t="shared" si="98"/>
        <v>48400</v>
      </c>
      <c r="G299" s="3572">
        <v>41400</v>
      </c>
      <c r="H299" s="949">
        <f t="shared" si="93"/>
        <v>7000</v>
      </c>
      <c r="I299" s="2359"/>
      <c r="J299" s="681" t="s">
        <v>224</v>
      </c>
      <c r="K299" s="3515"/>
      <c r="L299" s="3515"/>
      <c r="M299" s="3515"/>
      <c r="N299" s="3515"/>
      <c r="O299" s="3515"/>
      <c r="P299" s="3515"/>
      <c r="Q299" s="869"/>
      <c r="R299" s="2127"/>
      <c r="S299" s="3164"/>
      <c r="T299" s="684"/>
      <c r="U299" s="684"/>
      <c r="V299" s="684"/>
      <c r="W299" s="684"/>
      <c r="X299" s="686"/>
      <c r="Y299" s="871">
        <f t="shared" si="96"/>
        <v>48400</v>
      </c>
      <c r="Z299" s="732">
        <f>SUM(Z300:Z306)</f>
        <v>48400000</v>
      </c>
      <c r="AA299" s="547"/>
      <c r="AB299" s="1891"/>
      <c r="AC299" s="1895"/>
      <c r="AD299" s="456"/>
    </row>
    <row r="300" spans="1:30" s="1651" customFormat="1" ht="22.5" customHeight="1">
      <c r="A300" s="591"/>
      <c r="B300" s="624"/>
      <c r="C300" s="624"/>
      <c r="D300" s="2020"/>
      <c r="E300" s="675"/>
      <c r="F300" s="2125"/>
      <c r="G300" s="3572"/>
      <c r="H300" s="949"/>
      <c r="I300" s="2359"/>
      <c r="J300" s="681" t="s">
        <v>4769</v>
      </c>
      <c r="K300" s="3515"/>
      <c r="L300" s="3515"/>
      <c r="M300" s="3515"/>
      <c r="N300" s="3515"/>
      <c r="O300" s="3515"/>
      <c r="P300" s="3515"/>
      <c r="Q300" s="869"/>
      <c r="R300" s="2127"/>
      <c r="S300" s="3164">
        <v>230000</v>
      </c>
      <c r="T300" s="684" t="s">
        <v>368</v>
      </c>
      <c r="U300" s="684"/>
      <c r="V300" s="684">
        <v>30</v>
      </c>
      <c r="W300" s="684" t="s">
        <v>369</v>
      </c>
      <c r="X300" s="686" t="s">
        <v>370</v>
      </c>
      <c r="Y300" s="871">
        <f t="shared" ref="Y300:Y318" si="100">Z300/1000</f>
        <v>6900</v>
      </c>
      <c r="Z300" s="732">
        <f t="shared" ref="Z300:Z314" si="101">S300*V300</f>
        <v>6900000</v>
      </c>
      <c r="AA300" s="547"/>
      <c r="AB300" s="1891"/>
      <c r="AC300" s="1895"/>
      <c r="AD300" s="456"/>
    </row>
    <row r="301" spans="1:30" s="1651" customFormat="1" ht="22.5" customHeight="1">
      <c r="A301" s="591"/>
      <c r="B301" s="624"/>
      <c r="C301" s="624"/>
      <c r="D301" s="2020"/>
      <c r="E301" s="675"/>
      <c r="F301" s="2125"/>
      <c r="G301" s="3572"/>
      <c r="H301" s="949"/>
      <c r="I301" s="2359"/>
      <c r="J301" s="681" t="s">
        <v>4770</v>
      </c>
      <c r="K301" s="3515"/>
      <c r="L301" s="3515"/>
      <c r="M301" s="3515"/>
      <c r="N301" s="3515"/>
      <c r="O301" s="3515"/>
      <c r="P301" s="3515"/>
      <c r="Q301" s="869"/>
      <c r="R301" s="2127"/>
      <c r="S301" s="3164">
        <v>250000</v>
      </c>
      <c r="T301" s="684" t="s">
        <v>368</v>
      </c>
      <c r="U301" s="684"/>
      <c r="V301" s="684">
        <v>2</v>
      </c>
      <c r="W301" s="684" t="s">
        <v>369</v>
      </c>
      <c r="X301" s="686" t="s">
        <v>370</v>
      </c>
      <c r="Y301" s="871">
        <f t="shared" si="100"/>
        <v>500</v>
      </c>
      <c r="Z301" s="732">
        <f t="shared" si="101"/>
        <v>500000</v>
      </c>
      <c r="AA301" s="547"/>
      <c r="AB301" s="1891"/>
      <c r="AC301" s="1895"/>
      <c r="AD301" s="456"/>
    </row>
    <row r="302" spans="1:30" s="3105" customFormat="1" ht="22.5" customHeight="1">
      <c r="A302" s="591"/>
      <c r="B302" s="624"/>
      <c r="C302" s="624"/>
      <c r="D302" s="2020"/>
      <c r="E302" s="675"/>
      <c r="F302" s="2125"/>
      <c r="G302" s="3572"/>
      <c r="H302" s="949"/>
      <c r="I302" s="2359"/>
      <c r="J302" s="681" t="s">
        <v>4771</v>
      </c>
      <c r="K302" s="3515"/>
      <c r="L302" s="3515"/>
      <c r="M302" s="3515"/>
      <c r="N302" s="3515"/>
      <c r="O302" s="3515"/>
      <c r="P302" s="3515"/>
      <c r="Q302" s="869"/>
      <c r="R302" s="2127"/>
      <c r="S302" s="3164">
        <v>200000</v>
      </c>
      <c r="T302" s="684" t="s">
        <v>368</v>
      </c>
      <c r="U302" s="684"/>
      <c r="V302" s="684">
        <v>21</v>
      </c>
      <c r="W302" s="684" t="s">
        <v>369</v>
      </c>
      <c r="X302" s="686" t="s">
        <v>370</v>
      </c>
      <c r="Y302" s="871">
        <f t="shared" si="100"/>
        <v>4200</v>
      </c>
      <c r="Z302" s="732">
        <f t="shared" si="101"/>
        <v>4200000</v>
      </c>
      <c r="AA302" s="547"/>
      <c r="AB302" s="1891"/>
      <c r="AC302" s="1895"/>
      <c r="AD302" s="3099"/>
    </row>
    <row r="303" spans="1:30" s="3105" customFormat="1" ht="22.5" customHeight="1">
      <c r="A303" s="591"/>
      <c r="B303" s="624"/>
      <c r="C303" s="624"/>
      <c r="D303" s="2020"/>
      <c r="E303" s="675"/>
      <c r="F303" s="2125"/>
      <c r="G303" s="3572"/>
      <c r="H303" s="949"/>
      <c r="I303" s="2359"/>
      <c r="J303" s="681" t="s">
        <v>4772</v>
      </c>
      <c r="K303" s="3515"/>
      <c r="L303" s="3515"/>
      <c r="M303" s="3515"/>
      <c r="N303" s="3515"/>
      <c r="O303" s="3515"/>
      <c r="P303" s="3515"/>
      <c r="Q303" s="869"/>
      <c r="R303" s="2127"/>
      <c r="S303" s="3164">
        <v>150000</v>
      </c>
      <c r="T303" s="684" t="s">
        <v>368</v>
      </c>
      <c r="U303" s="684"/>
      <c r="V303" s="684">
        <v>102</v>
      </c>
      <c r="W303" s="684" t="s">
        <v>369</v>
      </c>
      <c r="X303" s="686" t="s">
        <v>370</v>
      </c>
      <c r="Y303" s="871">
        <f t="shared" si="100"/>
        <v>15300</v>
      </c>
      <c r="Z303" s="732">
        <f t="shared" si="101"/>
        <v>15300000</v>
      </c>
      <c r="AA303" s="547"/>
      <c r="AB303" s="1891"/>
      <c r="AC303" s="1895"/>
      <c r="AD303" s="3099"/>
    </row>
    <row r="304" spans="1:30" s="3105" customFormat="1" ht="22.5" customHeight="1">
      <c r="A304" s="591"/>
      <c r="B304" s="624"/>
      <c r="C304" s="624"/>
      <c r="D304" s="2020"/>
      <c r="E304" s="675"/>
      <c r="F304" s="2125"/>
      <c r="G304" s="3572"/>
      <c r="H304" s="949"/>
      <c r="I304" s="2359"/>
      <c r="J304" s="681" t="s">
        <v>1871</v>
      </c>
      <c r="K304" s="3515"/>
      <c r="L304" s="3515"/>
      <c r="M304" s="3515"/>
      <c r="N304" s="3515"/>
      <c r="O304" s="3515"/>
      <c r="P304" s="3515"/>
      <c r="Q304" s="869"/>
      <c r="R304" s="2127"/>
      <c r="S304" s="3164">
        <v>200000</v>
      </c>
      <c r="T304" s="684" t="s">
        <v>368</v>
      </c>
      <c r="U304" s="684"/>
      <c r="V304" s="684">
        <v>78</v>
      </c>
      <c r="W304" s="684" t="s">
        <v>369</v>
      </c>
      <c r="X304" s="686" t="s">
        <v>370</v>
      </c>
      <c r="Y304" s="871">
        <f t="shared" si="100"/>
        <v>15600</v>
      </c>
      <c r="Z304" s="732">
        <f t="shared" si="101"/>
        <v>15600000</v>
      </c>
      <c r="AA304" s="547"/>
      <c r="AB304" s="1891"/>
      <c r="AC304" s="1895"/>
      <c r="AD304" s="3099"/>
    </row>
    <row r="305" spans="1:30" s="1651" customFormat="1" ht="22.5" customHeight="1">
      <c r="A305" s="591"/>
      <c r="B305" s="624"/>
      <c r="C305" s="624"/>
      <c r="D305" s="2020"/>
      <c r="E305" s="675"/>
      <c r="F305" s="2125"/>
      <c r="G305" s="3572"/>
      <c r="H305" s="949"/>
      <c r="I305" s="2359"/>
      <c r="J305" s="681" t="s">
        <v>4773</v>
      </c>
      <c r="K305" s="3515"/>
      <c r="L305" s="3515"/>
      <c r="M305" s="3515"/>
      <c r="N305" s="3515"/>
      <c r="O305" s="3515"/>
      <c r="P305" s="3515"/>
      <c r="Q305" s="869"/>
      <c r="R305" s="2127"/>
      <c r="S305" s="3164">
        <v>300000</v>
      </c>
      <c r="T305" s="684" t="s">
        <v>368</v>
      </c>
      <c r="U305" s="684"/>
      <c r="V305" s="684">
        <v>5</v>
      </c>
      <c r="W305" s="684" t="s">
        <v>369</v>
      </c>
      <c r="X305" s="686" t="s">
        <v>370</v>
      </c>
      <c r="Y305" s="871">
        <f t="shared" si="100"/>
        <v>1500</v>
      </c>
      <c r="Z305" s="732">
        <f t="shared" si="101"/>
        <v>1500000</v>
      </c>
      <c r="AA305" s="547"/>
      <c r="AB305" s="1891"/>
      <c r="AC305" s="1895"/>
      <c r="AD305" s="456"/>
    </row>
    <row r="306" spans="1:30" s="1651" customFormat="1" ht="22.5" customHeight="1">
      <c r="A306" s="591"/>
      <c r="B306" s="624"/>
      <c r="C306" s="624"/>
      <c r="D306" s="2020"/>
      <c r="E306" s="675"/>
      <c r="F306" s="2125"/>
      <c r="G306" s="3572"/>
      <c r="H306" s="949"/>
      <c r="I306" s="2359"/>
      <c r="J306" s="681" t="s">
        <v>4774</v>
      </c>
      <c r="K306" s="3515"/>
      <c r="L306" s="3515"/>
      <c r="M306" s="3515"/>
      <c r="N306" s="3515"/>
      <c r="O306" s="3515"/>
      <c r="P306" s="3515"/>
      <c r="Q306" s="869"/>
      <c r="R306" s="2127"/>
      <c r="S306" s="3164">
        <v>200000</v>
      </c>
      <c r="T306" s="684" t="s">
        <v>368</v>
      </c>
      <c r="U306" s="684"/>
      <c r="V306" s="684">
        <v>22</v>
      </c>
      <c r="W306" s="684" t="s">
        <v>369</v>
      </c>
      <c r="X306" s="686" t="s">
        <v>370</v>
      </c>
      <c r="Y306" s="871">
        <f t="shared" si="100"/>
        <v>4400</v>
      </c>
      <c r="Z306" s="732">
        <f t="shared" si="101"/>
        <v>4400000</v>
      </c>
      <c r="AA306" s="547"/>
      <c r="AB306" s="1891"/>
      <c r="AC306" s="1895"/>
      <c r="AD306" s="456"/>
    </row>
    <row r="307" spans="1:30" s="3105" customFormat="1" ht="22.5" customHeight="1">
      <c r="A307" s="591"/>
      <c r="B307" s="624"/>
      <c r="C307" s="624"/>
      <c r="D307" s="2020"/>
      <c r="E307" s="675" t="s">
        <v>438</v>
      </c>
      <c r="F307" s="1445">
        <f>Y307</f>
        <v>16200</v>
      </c>
      <c r="G307" s="3572">
        <v>6000</v>
      </c>
      <c r="H307" s="949">
        <f t="shared" si="93"/>
        <v>10200</v>
      </c>
      <c r="I307" s="2359"/>
      <c r="J307" s="681" t="s">
        <v>224</v>
      </c>
      <c r="K307" s="3515"/>
      <c r="L307" s="3515"/>
      <c r="M307" s="3515"/>
      <c r="N307" s="3515"/>
      <c r="O307" s="3515"/>
      <c r="P307" s="3515"/>
      <c r="Q307" s="869"/>
      <c r="R307" s="2127"/>
      <c r="S307" s="3164"/>
      <c r="T307" s="684"/>
      <c r="U307" s="684"/>
      <c r="V307" s="684"/>
      <c r="W307" s="684"/>
      <c r="X307" s="686"/>
      <c r="Y307" s="871">
        <f t="shared" si="100"/>
        <v>16200</v>
      </c>
      <c r="Z307" s="732">
        <f>SUM(Z308:Z311)</f>
        <v>16200000</v>
      </c>
      <c r="AA307" s="547"/>
      <c r="AB307" s="1891"/>
      <c r="AC307" s="1895"/>
      <c r="AD307" s="3099"/>
    </row>
    <row r="308" spans="1:30" s="3105" customFormat="1" ht="22.5" customHeight="1">
      <c r="A308" s="591"/>
      <c r="B308" s="624"/>
      <c r="C308" s="624"/>
      <c r="D308" s="2020"/>
      <c r="E308" s="675"/>
      <c r="F308" s="2125"/>
      <c r="G308" s="3572"/>
      <c r="H308" s="949"/>
      <c r="I308" s="2359"/>
      <c r="J308" s="681" t="s">
        <v>4775</v>
      </c>
      <c r="K308" s="3515"/>
      <c r="L308" s="3515"/>
      <c r="M308" s="3515"/>
      <c r="N308" s="3515"/>
      <c r="O308" s="3515"/>
      <c r="P308" s="3515"/>
      <c r="Q308" s="869"/>
      <c r="R308" s="2127"/>
      <c r="S308" s="3164">
        <v>200000</v>
      </c>
      <c r="T308" s="684" t="s">
        <v>368</v>
      </c>
      <c r="U308" s="684"/>
      <c r="V308" s="684">
        <v>21</v>
      </c>
      <c r="W308" s="684" t="s">
        <v>369</v>
      </c>
      <c r="X308" s="686" t="s">
        <v>370</v>
      </c>
      <c r="Y308" s="871">
        <f t="shared" si="100"/>
        <v>4200</v>
      </c>
      <c r="Z308" s="732">
        <f t="shared" si="101"/>
        <v>4200000</v>
      </c>
      <c r="AA308" s="547"/>
      <c r="AB308" s="1891"/>
      <c r="AC308" s="1895"/>
      <c r="AD308" s="3099"/>
    </row>
    <row r="309" spans="1:30" s="3105" customFormat="1" ht="22.5" customHeight="1">
      <c r="A309" s="591"/>
      <c r="B309" s="624"/>
      <c r="C309" s="624"/>
      <c r="D309" s="2020"/>
      <c r="E309" s="675"/>
      <c r="F309" s="2125"/>
      <c r="G309" s="3572"/>
      <c r="H309" s="949"/>
      <c r="I309" s="2359"/>
      <c r="J309" s="681" t="s">
        <v>4776</v>
      </c>
      <c r="K309" s="3515"/>
      <c r="L309" s="3515"/>
      <c r="M309" s="3515"/>
      <c r="N309" s="3515"/>
      <c r="O309" s="3515"/>
      <c r="P309" s="3515"/>
      <c r="Q309" s="869"/>
      <c r="R309" s="2127"/>
      <c r="S309" s="3164">
        <v>3000000</v>
      </c>
      <c r="T309" s="684" t="s">
        <v>368</v>
      </c>
      <c r="U309" s="684"/>
      <c r="V309" s="684">
        <v>1</v>
      </c>
      <c r="W309" s="684" t="s">
        <v>369</v>
      </c>
      <c r="X309" s="686" t="s">
        <v>370</v>
      </c>
      <c r="Y309" s="871">
        <f t="shared" si="100"/>
        <v>3000</v>
      </c>
      <c r="Z309" s="732">
        <f t="shared" si="101"/>
        <v>3000000</v>
      </c>
      <c r="AA309" s="547"/>
      <c r="AB309" s="1891"/>
      <c r="AC309" s="1895"/>
      <c r="AD309" s="3099"/>
    </row>
    <row r="310" spans="1:30" s="3105" customFormat="1" ht="22.5" customHeight="1">
      <c r="A310" s="591"/>
      <c r="B310" s="624"/>
      <c r="C310" s="624"/>
      <c r="D310" s="2020"/>
      <c r="E310" s="675"/>
      <c r="F310" s="2125"/>
      <c r="G310" s="3572"/>
      <c r="H310" s="949"/>
      <c r="I310" s="2359"/>
      <c r="J310" s="681" t="s">
        <v>4777</v>
      </c>
      <c r="K310" s="3515"/>
      <c r="L310" s="3515"/>
      <c r="M310" s="3515"/>
      <c r="N310" s="3515"/>
      <c r="O310" s="3515"/>
      <c r="P310" s="3515"/>
      <c r="Q310" s="869"/>
      <c r="R310" s="2127"/>
      <c r="S310" s="3164">
        <v>2000000</v>
      </c>
      <c r="T310" s="684" t="s">
        <v>368</v>
      </c>
      <c r="U310" s="684"/>
      <c r="V310" s="684">
        <v>1</v>
      </c>
      <c r="W310" s="684" t="s">
        <v>369</v>
      </c>
      <c r="X310" s="686" t="s">
        <v>370</v>
      </c>
      <c r="Y310" s="871">
        <f t="shared" si="100"/>
        <v>2000</v>
      </c>
      <c r="Z310" s="732">
        <f t="shared" si="101"/>
        <v>2000000</v>
      </c>
      <c r="AA310" s="547"/>
      <c r="AB310" s="1891"/>
      <c r="AC310" s="1895"/>
      <c r="AD310" s="3099"/>
    </row>
    <row r="311" spans="1:30" s="3105" customFormat="1" ht="22.5" customHeight="1">
      <c r="A311" s="591"/>
      <c r="B311" s="624"/>
      <c r="C311" s="624"/>
      <c r="D311" s="2020"/>
      <c r="E311" s="675"/>
      <c r="F311" s="2125"/>
      <c r="G311" s="3572"/>
      <c r="H311" s="949"/>
      <c r="I311" s="2359"/>
      <c r="J311" s="681" t="s">
        <v>5393</v>
      </c>
      <c r="K311" s="3515"/>
      <c r="L311" s="3515"/>
      <c r="M311" s="3515"/>
      <c r="N311" s="3515"/>
      <c r="O311" s="3515"/>
      <c r="P311" s="3515"/>
      <c r="Q311" s="869"/>
      <c r="R311" s="2127"/>
      <c r="S311" s="3164">
        <v>7000000</v>
      </c>
      <c r="T311" s="684" t="s">
        <v>5336</v>
      </c>
      <c r="U311" s="684"/>
      <c r="V311" s="684">
        <v>1</v>
      </c>
      <c r="W311" s="684" t="s">
        <v>2988</v>
      </c>
      <c r="X311" s="686" t="s">
        <v>5394</v>
      </c>
      <c r="Y311" s="871">
        <f t="shared" si="100"/>
        <v>7000</v>
      </c>
      <c r="Z311" s="732">
        <f t="shared" si="101"/>
        <v>7000000</v>
      </c>
      <c r="AA311" s="547"/>
      <c r="AB311" s="1891"/>
      <c r="AC311" s="1895"/>
      <c r="AD311" s="3099"/>
    </row>
    <row r="312" spans="1:30" s="3105" customFormat="1" ht="22.5" customHeight="1">
      <c r="A312" s="591"/>
      <c r="B312" s="624"/>
      <c r="C312" s="624"/>
      <c r="D312" s="2020"/>
      <c r="E312" s="675" t="s">
        <v>4788</v>
      </c>
      <c r="F312" s="1445">
        <f>Y312</f>
        <v>15000</v>
      </c>
      <c r="G312" s="3572">
        <v>15000</v>
      </c>
      <c r="H312" s="949"/>
      <c r="I312" s="2359"/>
      <c r="J312" s="681" t="s">
        <v>5395</v>
      </c>
      <c r="K312" s="3515"/>
      <c r="L312" s="3515"/>
      <c r="M312" s="3515"/>
      <c r="N312" s="3515"/>
      <c r="O312" s="3515"/>
      <c r="P312" s="3515"/>
      <c r="Q312" s="869"/>
      <c r="R312" s="2127"/>
      <c r="S312" s="3164">
        <v>1500000</v>
      </c>
      <c r="T312" s="684" t="s">
        <v>5336</v>
      </c>
      <c r="U312" s="684"/>
      <c r="V312" s="684">
        <v>10</v>
      </c>
      <c r="W312" s="684" t="s">
        <v>2988</v>
      </c>
      <c r="X312" s="686" t="s">
        <v>5394</v>
      </c>
      <c r="Y312" s="871">
        <f t="shared" si="100"/>
        <v>15000</v>
      </c>
      <c r="Z312" s="732">
        <f t="shared" si="101"/>
        <v>15000000</v>
      </c>
      <c r="AA312" s="547"/>
      <c r="AB312" s="1891"/>
      <c r="AC312" s="1895"/>
      <c r="AD312" s="3099"/>
    </row>
    <row r="313" spans="1:30" s="1651" customFormat="1" ht="22.5" customHeight="1">
      <c r="A313" s="591"/>
      <c r="B313" s="624"/>
      <c r="C313" s="624"/>
      <c r="D313" s="2020"/>
      <c r="E313" s="677" t="s">
        <v>5396</v>
      </c>
      <c r="F313" s="1445">
        <f>Y313</f>
        <v>22300</v>
      </c>
      <c r="G313" s="3572">
        <v>48300</v>
      </c>
      <c r="H313" s="949">
        <f t="shared" si="93"/>
        <v>-26000</v>
      </c>
      <c r="I313" s="2359"/>
      <c r="J313" s="681" t="s">
        <v>5397</v>
      </c>
      <c r="K313" s="3515"/>
      <c r="L313" s="3515"/>
      <c r="M313" s="3515"/>
      <c r="N313" s="3515"/>
      <c r="O313" s="3515"/>
      <c r="P313" s="3515"/>
      <c r="Q313" s="869"/>
      <c r="R313" s="2127"/>
      <c r="S313" s="3164"/>
      <c r="T313" s="684"/>
      <c r="U313" s="684"/>
      <c r="V313" s="684"/>
      <c r="W313" s="684"/>
      <c r="X313" s="686"/>
      <c r="Y313" s="871">
        <f t="shared" si="100"/>
        <v>22300</v>
      </c>
      <c r="Z313" s="732">
        <f>SUM(Z314:Z316)</f>
        <v>22300000</v>
      </c>
      <c r="AA313" s="547"/>
      <c r="AB313" s="1891"/>
      <c r="AC313" s="1895"/>
      <c r="AD313" s="456"/>
    </row>
    <row r="314" spans="1:30" s="1651" customFormat="1" ht="22.5" customHeight="1">
      <c r="A314" s="591"/>
      <c r="B314" s="624"/>
      <c r="C314" s="624"/>
      <c r="D314" s="2020"/>
      <c r="E314" s="677"/>
      <c r="F314" s="2125"/>
      <c r="G314" s="3572"/>
      <c r="H314" s="949"/>
      <c r="I314" s="2359"/>
      <c r="J314" s="681" t="s">
        <v>5398</v>
      </c>
      <c r="K314" s="3515"/>
      <c r="L314" s="3515"/>
      <c r="M314" s="3515"/>
      <c r="N314" s="3515"/>
      <c r="O314" s="3515"/>
      <c r="P314" s="3515"/>
      <c r="Q314" s="869"/>
      <c r="R314" s="2127"/>
      <c r="S314" s="3164">
        <v>200000</v>
      </c>
      <c r="T314" s="684" t="s">
        <v>5336</v>
      </c>
      <c r="U314" s="684"/>
      <c r="V314" s="684">
        <v>55</v>
      </c>
      <c r="W314" s="684" t="s">
        <v>2988</v>
      </c>
      <c r="X314" s="686" t="s">
        <v>5394</v>
      </c>
      <c r="Y314" s="871">
        <f t="shared" si="100"/>
        <v>11000</v>
      </c>
      <c r="Z314" s="732">
        <f t="shared" si="101"/>
        <v>11000000</v>
      </c>
      <c r="AA314" s="547"/>
      <c r="AB314" s="1891"/>
      <c r="AC314" s="1895"/>
      <c r="AD314" s="456"/>
    </row>
    <row r="315" spans="1:30" s="1651" customFormat="1" ht="22.5" customHeight="1">
      <c r="A315" s="591"/>
      <c r="B315" s="624"/>
      <c r="C315" s="624"/>
      <c r="D315" s="2020"/>
      <c r="E315" s="677"/>
      <c r="F315" s="2125"/>
      <c r="G315" s="3572"/>
      <c r="H315" s="949"/>
      <c r="I315" s="2359"/>
      <c r="J315" s="681" t="s">
        <v>5399</v>
      </c>
      <c r="K315" s="3515"/>
      <c r="L315" s="3515"/>
      <c r="M315" s="3515"/>
      <c r="N315" s="3515"/>
      <c r="O315" s="3515"/>
      <c r="P315" s="3515"/>
      <c r="Q315" s="869"/>
      <c r="R315" s="2127"/>
      <c r="S315" s="3164">
        <v>2500000</v>
      </c>
      <c r="T315" s="684" t="s">
        <v>5336</v>
      </c>
      <c r="U315" s="684"/>
      <c r="V315" s="684">
        <v>2</v>
      </c>
      <c r="W315" s="684" t="s">
        <v>2988</v>
      </c>
      <c r="X315" s="686" t="s">
        <v>5394</v>
      </c>
      <c r="Y315" s="871">
        <f t="shared" si="100"/>
        <v>5000</v>
      </c>
      <c r="Z315" s="732">
        <f t="shared" ref="Z315:Z318" si="102">S315*V315</f>
        <v>5000000</v>
      </c>
      <c r="AA315" s="547"/>
      <c r="AB315" s="1891"/>
      <c r="AC315" s="1895"/>
      <c r="AD315" s="456"/>
    </row>
    <row r="316" spans="1:30" s="1651" customFormat="1" ht="22.5" customHeight="1">
      <c r="A316" s="591"/>
      <c r="B316" s="624"/>
      <c r="C316" s="624"/>
      <c r="D316" s="2020"/>
      <c r="E316" s="677"/>
      <c r="F316" s="2125"/>
      <c r="G316" s="3572"/>
      <c r="H316" s="949"/>
      <c r="I316" s="2359"/>
      <c r="J316" s="681" t="s">
        <v>5400</v>
      </c>
      <c r="K316" s="3515"/>
      <c r="L316" s="3515"/>
      <c r="M316" s="3515"/>
      <c r="N316" s="3515"/>
      <c r="O316" s="3515"/>
      <c r="P316" s="3515"/>
      <c r="Q316" s="869"/>
      <c r="R316" s="2127"/>
      <c r="S316" s="3164">
        <v>6300000</v>
      </c>
      <c r="T316" s="684" t="s">
        <v>5336</v>
      </c>
      <c r="U316" s="684"/>
      <c r="V316" s="684">
        <v>1</v>
      </c>
      <c r="W316" s="684" t="s">
        <v>2988</v>
      </c>
      <c r="X316" s="686" t="s">
        <v>5394</v>
      </c>
      <c r="Y316" s="871">
        <f t="shared" si="100"/>
        <v>6300</v>
      </c>
      <c r="Z316" s="732">
        <f t="shared" si="102"/>
        <v>6300000</v>
      </c>
      <c r="AA316" s="547"/>
      <c r="AB316" s="1891"/>
      <c r="AC316" s="1895"/>
      <c r="AD316" s="456"/>
    </row>
    <row r="317" spans="1:30" s="1651" customFormat="1" ht="22.5" customHeight="1">
      <c r="A317" s="591"/>
      <c r="B317" s="624"/>
      <c r="C317" s="624"/>
      <c r="D317" s="2020"/>
      <c r="E317" s="677" t="s">
        <v>5401</v>
      </c>
      <c r="F317" s="1445">
        <f>Y317</f>
        <v>4300</v>
      </c>
      <c r="G317" s="3572">
        <v>4300</v>
      </c>
      <c r="H317" s="949"/>
      <c r="I317" s="2359"/>
      <c r="J317" s="681" t="s">
        <v>5402</v>
      </c>
      <c r="K317" s="3515"/>
      <c r="L317" s="3515"/>
      <c r="M317" s="3515"/>
      <c r="N317" s="3515"/>
      <c r="O317" s="3515"/>
      <c r="P317" s="3515"/>
      <c r="Q317" s="869"/>
      <c r="R317" s="2127"/>
      <c r="S317" s="3164">
        <v>100000</v>
      </c>
      <c r="T317" s="684" t="s">
        <v>5336</v>
      </c>
      <c r="U317" s="684"/>
      <c r="V317" s="684">
        <v>43</v>
      </c>
      <c r="W317" s="684" t="s">
        <v>2988</v>
      </c>
      <c r="X317" s="686" t="s">
        <v>5394</v>
      </c>
      <c r="Y317" s="871">
        <f t="shared" si="100"/>
        <v>4300</v>
      </c>
      <c r="Z317" s="732">
        <f t="shared" si="102"/>
        <v>4300000</v>
      </c>
      <c r="AA317" s="547"/>
      <c r="AB317" s="1891"/>
      <c r="AC317" s="1895"/>
      <c r="AD317" s="456"/>
    </row>
    <row r="318" spans="1:30" s="1651" customFormat="1" ht="22.5" customHeight="1">
      <c r="A318" s="591"/>
      <c r="B318" s="624"/>
      <c r="C318" s="624"/>
      <c r="D318" s="2020"/>
      <c r="E318" s="3163" t="s">
        <v>2990</v>
      </c>
      <c r="F318" s="1445">
        <f>Y318</f>
        <v>3000</v>
      </c>
      <c r="G318" s="851">
        <v>0</v>
      </c>
      <c r="H318" s="949">
        <f t="shared" si="93"/>
        <v>3000</v>
      </c>
      <c r="I318" s="2359"/>
      <c r="J318" s="681" t="s">
        <v>5403</v>
      </c>
      <c r="K318" s="3515"/>
      <c r="L318" s="3515"/>
      <c r="M318" s="3515"/>
      <c r="N318" s="3515"/>
      <c r="O318" s="3515"/>
      <c r="P318" s="3515"/>
      <c r="Q318" s="869"/>
      <c r="R318" s="2127"/>
      <c r="S318" s="3164">
        <v>3000000</v>
      </c>
      <c r="T318" s="684" t="s">
        <v>5336</v>
      </c>
      <c r="U318" s="684"/>
      <c r="V318" s="684">
        <v>1</v>
      </c>
      <c r="W318" s="684" t="s">
        <v>4787</v>
      </c>
      <c r="X318" s="686" t="s">
        <v>5394</v>
      </c>
      <c r="Y318" s="871">
        <f t="shared" si="100"/>
        <v>3000</v>
      </c>
      <c r="Z318" s="732">
        <f t="shared" si="102"/>
        <v>3000000</v>
      </c>
      <c r="AA318" s="547"/>
      <c r="AB318" s="1891"/>
      <c r="AC318" s="1895"/>
      <c r="AD318" s="456"/>
    </row>
    <row r="319" spans="1:30" s="1651" customFormat="1" ht="22.5" customHeight="1">
      <c r="A319" s="591"/>
      <c r="B319" s="548"/>
      <c r="C319" s="624"/>
      <c r="D319" s="4105" t="s">
        <v>1376</v>
      </c>
      <c r="E319" s="4105"/>
      <c r="F319" s="825">
        <f>SUM(F320:F324)</f>
        <v>70000</v>
      </c>
      <c r="G319" s="825">
        <f>SUM(G320:G324)</f>
        <v>70000</v>
      </c>
      <c r="H319" s="627">
        <f t="shared" ref="H319" si="103">F319-G319</f>
        <v>0</v>
      </c>
      <c r="I319" s="557"/>
      <c r="J319" s="2025"/>
      <c r="K319" s="2068"/>
      <c r="L319" s="2068"/>
      <c r="M319" s="2068"/>
      <c r="N319" s="2068"/>
      <c r="O319" s="2068"/>
      <c r="P319" s="2068"/>
      <c r="Q319" s="1349"/>
      <c r="R319" s="539"/>
      <c r="S319" s="545"/>
      <c r="T319" s="2026"/>
      <c r="U319" s="2026"/>
      <c r="V319" s="2026"/>
      <c r="W319" s="2026"/>
      <c r="X319" s="2028"/>
      <c r="Y319" s="586"/>
      <c r="Z319" s="622" t="e">
        <f>+#REF!+#REF!+#REF!+#REF!+Z320+#REF!+Z323+Z324</f>
        <v>#REF!</v>
      </c>
      <c r="AA319" s="547"/>
      <c r="AB319" s="1891"/>
      <c r="AC319" s="1895"/>
      <c r="AD319" s="456"/>
    </row>
    <row r="320" spans="1:30" s="1651" customFormat="1" ht="22.5" customHeight="1">
      <c r="A320" s="591"/>
      <c r="B320" s="548"/>
      <c r="C320" s="624"/>
      <c r="D320" s="2020"/>
      <c r="E320" s="677" t="s">
        <v>4780</v>
      </c>
      <c r="F320" s="1445">
        <f>Y320</f>
        <v>2000</v>
      </c>
      <c r="G320" s="1445">
        <v>5000</v>
      </c>
      <c r="H320" s="949">
        <f t="shared" ref="H320" si="104">F320-G320</f>
        <v>-3000</v>
      </c>
      <c r="I320" s="2359"/>
      <c r="J320" s="681" t="s">
        <v>4781</v>
      </c>
      <c r="K320" s="3016"/>
      <c r="L320" s="3016"/>
      <c r="M320" s="3016"/>
      <c r="N320" s="3016"/>
      <c r="O320" s="3016"/>
      <c r="P320" s="3016"/>
      <c r="Q320" s="869"/>
      <c r="R320" s="2127"/>
      <c r="S320" s="3164">
        <v>500000</v>
      </c>
      <c r="T320" s="684" t="s">
        <v>4782</v>
      </c>
      <c r="U320" s="684"/>
      <c r="V320" s="684">
        <v>4</v>
      </c>
      <c r="W320" s="684" t="s">
        <v>4783</v>
      </c>
      <c r="X320" s="686" t="s">
        <v>4784</v>
      </c>
      <c r="Y320" s="871">
        <f t="shared" ref="Y320:Y383" si="105">Z320/1000</f>
        <v>2000</v>
      </c>
      <c r="Z320" s="3178">
        <f t="shared" ref="Z320" si="106">S320*V320</f>
        <v>2000000</v>
      </c>
      <c r="AA320" s="547"/>
      <c r="AB320" s="1891"/>
      <c r="AC320" s="1895"/>
      <c r="AD320" s="456"/>
    </row>
    <row r="321" spans="1:30" s="1651" customFormat="1" ht="22.5" customHeight="1">
      <c r="A321" s="591"/>
      <c r="B321" s="624"/>
      <c r="C321" s="624"/>
      <c r="D321" s="2020"/>
      <c r="E321" s="677" t="s">
        <v>4785</v>
      </c>
      <c r="F321" s="2125">
        <f>Y321</f>
        <v>13000</v>
      </c>
      <c r="G321" s="2125">
        <v>10000</v>
      </c>
      <c r="H321" s="949">
        <f t="shared" ref="H321" si="107">F321-G321</f>
        <v>3000</v>
      </c>
      <c r="I321" s="2359"/>
      <c r="J321" s="681" t="s">
        <v>4786</v>
      </c>
      <c r="K321" s="3016"/>
      <c r="L321" s="3016"/>
      <c r="M321" s="3016"/>
      <c r="N321" s="3016"/>
      <c r="O321" s="3016"/>
      <c r="P321" s="3016"/>
      <c r="Q321" s="869"/>
      <c r="R321" s="2127"/>
      <c r="S321" s="3164">
        <v>13000000</v>
      </c>
      <c r="T321" s="684" t="s">
        <v>4782</v>
      </c>
      <c r="U321" s="684"/>
      <c r="V321" s="684">
        <v>1</v>
      </c>
      <c r="W321" s="684" t="s">
        <v>4787</v>
      </c>
      <c r="X321" s="684" t="s">
        <v>4784</v>
      </c>
      <c r="Y321" s="871">
        <f t="shared" si="105"/>
        <v>13000</v>
      </c>
      <c r="Z321" s="3178">
        <f t="shared" ref="Z321" si="108">S321*V321</f>
        <v>13000000</v>
      </c>
      <c r="AA321" s="547"/>
      <c r="AB321" s="1891"/>
      <c r="AC321" s="1895"/>
      <c r="AD321" s="456"/>
    </row>
    <row r="322" spans="1:30" s="1651" customFormat="1" ht="22.5" customHeight="1">
      <c r="A322" s="591"/>
      <c r="B322" s="548"/>
      <c r="C322" s="624"/>
      <c r="D322" s="2020"/>
      <c r="E322" s="677" t="s">
        <v>4788</v>
      </c>
      <c r="F322" s="1445">
        <f>Y322</f>
        <v>48000</v>
      </c>
      <c r="G322" s="1445">
        <v>48000</v>
      </c>
      <c r="H322" s="949"/>
      <c r="I322" s="2359"/>
      <c r="J322" s="681" t="s">
        <v>4789</v>
      </c>
      <c r="K322" s="3016"/>
      <c r="L322" s="3016"/>
      <c r="M322" s="3016"/>
      <c r="N322" s="3016"/>
      <c r="O322" s="3016"/>
      <c r="P322" s="3016"/>
      <c r="Q322" s="1038"/>
      <c r="R322" s="3234"/>
      <c r="S322" s="684">
        <v>8000000</v>
      </c>
      <c r="T322" s="684" t="s">
        <v>4782</v>
      </c>
      <c r="U322" s="684"/>
      <c r="V322" s="684">
        <v>6</v>
      </c>
      <c r="W322" s="684" t="s">
        <v>4790</v>
      </c>
      <c r="X322" s="686" t="s">
        <v>4791</v>
      </c>
      <c r="Y322" s="871">
        <f t="shared" si="105"/>
        <v>48000</v>
      </c>
      <c r="Z322" s="3157">
        <f>S322*V322</f>
        <v>48000000</v>
      </c>
      <c r="AA322" s="547"/>
      <c r="AB322" s="1891"/>
      <c r="AC322" s="1895"/>
      <c r="AD322" s="456"/>
    </row>
    <row r="323" spans="1:30" s="1651" customFormat="1" ht="22.5" customHeight="1">
      <c r="A323" s="591"/>
      <c r="B323" s="548"/>
      <c r="C323" s="624"/>
      <c r="D323" s="2020"/>
      <c r="E323" s="677" t="s">
        <v>4792</v>
      </c>
      <c r="F323" s="1445">
        <f>Y323</f>
        <v>6000</v>
      </c>
      <c r="G323" s="1445">
        <v>6000</v>
      </c>
      <c r="H323" s="949"/>
      <c r="I323" s="2359"/>
      <c r="J323" s="681" t="s">
        <v>4793</v>
      </c>
      <c r="K323" s="3016"/>
      <c r="L323" s="3016"/>
      <c r="M323" s="3016"/>
      <c r="N323" s="3016"/>
      <c r="O323" s="3016"/>
      <c r="P323" s="3016"/>
      <c r="Q323" s="1038"/>
      <c r="R323" s="3234"/>
      <c r="S323" s="684">
        <v>6000000</v>
      </c>
      <c r="T323" s="684" t="s">
        <v>4782</v>
      </c>
      <c r="U323" s="684"/>
      <c r="V323" s="684">
        <v>1</v>
      </c>
      <c r="W323" s="684" t="s">
        <v>4794</v>
      </c>
      <c r="X323" s="686" t="s">
        <v>4791</v>
      </c>
      <c r="Y323" s="871">
        <f t="shared" si="105"/>
        <v>6000</v>
      </c>
      <c r="Z323" s="3157">
        <f>S323*V323</f>
        <v>6000000</v>
      </c>
      <c r="AA323" s="547"/>
      <c r="AB323" s="1891"/>
      <c r="AC323" s="1895"/>
      <c r="AD323" s="456"/>
    </row>
    <row r="324" spans="1:30" s="1651" customFormat="1" ht="22.5" customHeight="1">
      <c r="A324" s="591"/>
      <c r="B324" s="548"/>
      <c r="C324" s="624"/>
      <c r="D324" s="2020"/>
      <c r="E324" s="677" t="s">
        <v>4795</v>
      </c>
      <c r="F324" s="1445">
        <f>Y324</f>
        <v>1000</v>
      </c>
      <c r="G324" s="1445">
        <v>1000</v>
      </c>
      <c r="H324" s="949"/>
      <c r="I324" s="2359"/>
      <c r="J324" s="2042" t="s">
        <v>4796</v>
      </c>
      <c r="K324" s="2043"/>
      <c r="L324" s="2043"/>
      <c r="M324" s="2043"/>
      <c r="N324" s="2043"/>
      <c r="O324" s="2043"/>
      <c r="P324" s="2043"/>
      <c r="Q324" s="1019"/>
      <c r="R324" s="1985"/>
      <c r="S324" s="979">
        <v>100000</v>
      </c>
      <c r="T324" s="2045" t="s">
        <v>4782</v>
      </c>
      <c r="U324" s="2045"/>
      <c r="V324" s="2045">
        <v>10</v>
      </c>
      <c r="W324" s="2045" t="s">
        <v>4783</v>
      </c>
      <c r="X324" s="2047" t="s">
        <v>4784</v>
      </c>
      <c r="Y324" s="871">
        <f t="shared" si="105"/>
        <v>1000</v>
      </c>
      <c r="Z324" s="3181">
        <f t="shared" ref="Z324" si="109">S324*V324</f>
        <v>1000000</v>
      </c>
      <c r="AA324" s="547"/>
      <c r="AB324" s="1891"/>
      <c r="AC324" s="1895"/>
      <c r="AD324" s="456"/>
    </row>
    <row r="325" spans="1:30" s="1651" customFormat="1" ht="22.5" customHeight="1">
      <c r="A325" s="591"/>
      <c r="B325" s="548"/>
      <c r="C325" s="624"/>
      <c r="D325" s="4105" t="s">
        <v>1377</v>
      </c>
      <c r="E325" s="4105"/>
      <c r="F325" s="825">
        <f>SUM(F326:F330)</f>
        <v>358000</v>
      </c>
      <c r="G325" s="825">
        <f>SUM(G326:G330)</f>
        <v>358000</v>
      </c>
      <c r="H325" s="627">
        <f t="shared" ref="H325" si="110">F325-G325</f>
        <v>0</v>
      </c>
      <c r="I325" s="557"/>
      <c r="J325" s="2025"/>
      <c r="K325" s="2068"/>
      <c r="L325" s="2068"/>
      <c r="M325" s="2068"/>
      <c r="N325" s="2068"/>
      <c r="O325" s="2068"/>
      <c r="P325" s="2068"/>
      <c r="Q325" s="1349"/>
      <c r="R325" s="539"/>
      <c r="S325" s="545"/>
      <c r="T325" s="2026"/>
      <c r="U325" s="2026"/>
      <c r="V325" s="2026"/>
      <c r="W325" s="2026"/>
      <c r="X325" s="2028"/>
      <c r="Y325" s="586"/>
      <c r="Z325" s="622" t="e">
        <f>+#REF!+#REF!+#REF!+#REF!+#REF!+#REF!+#REF!+Z330</f>
        <v>#REF!</v>
      </c>
      <c r="AA325" s="547"/>
      <c r="AB325" s="1891"/>
      <c r="AC325" s="1895"/>
      <c r="AD325" s="456"/>
    </row>
    <row r="326" spans="1:30" s="1651" customFormat="1" ht="22.5" customHeight="1">
      <c r="A326" s="591"/>
      <c r="B326" s="548"/>
      <c r="C326" s="624"/>
      <c r="D326" s="2020"/>
      <c r="E326" s="2023" t="s">
        <v>15</v>
      </c>
      <c r="F326" s="549">
        <f>Y326</f>
        <v>6500</v>
      </c>
      <c r="G326" s="549">
        <v>6500</v>
      </c>
      <c r="H326" s="551"/>
      <c r="I326" s="557"/>
      <c r="J326" s="2105" t="s">
        <v>224</v>
      </c>
      <c r="K326" s="2082"/>
      <c r="L326" s="2082"/>
      <c r="M326" s="2082"/>
      <c r="N326" s="2082"/>
      <c r="O326" s="2082"/>
      <c r="P326" s="2082"/>
      <c r="Q326" s="475" t="s">
        <v>770</v>
      </c>
      <c r="R326" s="552" t="s">
        <v>770</v>
      </c>
      <c r="S326" s="474"/>
      <c r="T326" s="2106"/>
      <c r="U326" s="2106"/>
      <c r="V326" s="2106"/>
      <c r="W326" s="2106"/>
      <c r="X326" s="2030"/>
      <c r="Y326" s="871">
        <f t="shared" si="105"/>
        <v>6500</v>
      </c>
      <c r="Z326" s="555">
        <f>SUM(Z327:Z328)</f>
        <v>6500000</v>
      </c>
      <c r="AA326" s="547"/>
      <c r="AB326" s="1891"/>
      <c r="AC326" s="1895"/>
      <c r="AD326" s="456"/>
    </row>
    <row r="327" spans="1:30" s="1651" customFormat="1" ht="22.5" customHeight="1">
      <c r="A327" s="591"/>
      <c r="B327" s="548"/>
      <c r="C327" s="624"/>
      <c r="D327" s="2020"/>
      <c r="E327" s="2023"/>
      <c r="F327" s="549"/>
      <c r="G327" s="549"/>
      <c r="H327" s="551"/>
      <c r="I327" s="557"/>
      <c r="J327" s="2105" t="s">
        <v>1872</v>
      </c>
      <c r="K327" s="2082"/>
      <c r="L327" s="2082"/>
      <c r="M327" s="2082"/>
      <c r="N327" s="2082"/>
      <c r="O327" s="2082"/>
      <c r="P327" s="2082"/>
      <c r="Q327" s="556">
        <v>5</v>
      </c>
      <c r="R327" s="2080" t="s">
        <v>36</v>
      </c>
      <c r="S327" s="2106">
        <v>200000</v>
      </c>
      <c r="T327" s="2106" t="s">
        <v>4</v>
      </c>
      <c r="U327" s="2106"/>
      <c r="V327" s="2106">
        <v>2</v>
      </c>
      <c r="W327" s="2106" t="s">
        <v>253</v>
      </c>
      <c r="X327" s="2030" t="s">
        <v>21</v>
      </c>
      <c r="Y327" s="871">
        <f t="shared" si="105"/>
        <v>2000</v>
      </c>
      <c r="Z327" s="1898">
        <f>Q327*S327*V327</f>
        <v>2000000</v>
      </c>
      <c r="AA327" s="547"/>
      <c r="AB327" s="1891"/>
      <c r="AC327" s="1895"/>
      <c r="AD327" s="456"/>
    </row>
    <row r="328" spans="1:30" s="1651" customFormat="1" ht="22.5" customHeight="1">
      <c r="A328" s="591"/>
      <c r="B328" s="548"/>
      <c r="C328" s="624"/>
      <c r="D328" s="2020"/>
      <c r="E328" s="2023"/>
      <c r="F328" s="549"/>
      <c r="G328" s="549"/>
      <c r="H328" s="551"/>
      <c r="I328" s="557"/>
      <c r="J328" s="2105" t="s">
        <v>1873</v>
      </c>
      <c r="K328" s="2082"/>
      <c r="L328" s="2082"/>
      <c r="M328" s="2082"/>
      <c r="N328" s="2082"/>
      <c r="O328" s="2082"/>
      <c r="P328" s="2082"/>
      <c r="Q328" s="556">
        <v>3</v>
      </c>
      <c r="R328" s="2080" t="s">
        <v>36</v>
      </c>
      <c r="S328" s="2106">
        <v>300000</v>
      </c>
      <c r="T328" s="2106" t="s">
        <v>4</v>
      </c>
      <c r="U328" s="2106"/>
      <c r="V328" s="2106">
        <v>5</v>
      </c>
      <c r="W328" s="2106" t="s">
        <v>253</v>
      </c>
      <c r="X328" s="2030" t="s">
        <v>21</v>
      </c>
      <c r="Y328" s="871">
        <f t="shared" si="105"/>
        <v>4500</v>
      </c>
      <c r="Z328" s="1898">
        <f>Q328*S328*V328</f>
        <v>4500000</v>
      </c>
      <c r="AA328" s="547"/>
      <c r="AB328" s="1891"/>
      <c r="AC328" s="1895"/>
      <c r="AD328" s="456"/>
    </row>
    <row r="329" spans="1:30" s="1651" customFormat="1" ht="22.5" customHeight="1">
      <c r="A329" s="591"/>
      <c r="B329" s="624"/>
      <c r="C329" s="624"/>
      <c r="D329" s="2020"/>
      <c r="E329" s="2023" t="s">
        <v>261</v>
      </c>
      <c r="F329" s="526">
        <f>Y329</f>
        <v>350000</v>
      </c>
      <c r="G329" s="526">
        <v>350000</v>
      </c>
      <c r="H329" s="551"/>
      <c r="I329" s="557"/>
      <c r="J329" s="2105" t="s">
        <v>1465</v>
      </c>
      <c r="K329" s="2082"/>
      <c r="L329" s="2082"/>
      <c r="M329" s="2082"/>
      <c r="N329" s="2082"/>
      <c r="O329" s="2082"/>
      <c r="P329" s="2082"/>
      <c r="Q329" s="475"/>
      <c r="R329" s="552"/>
      <c r="S329" s="474">
        <v>350000000</v>
      </c>
      <c r="T329" s="2106" t="s">
        <v>4</v>
      </c>
      <c r="U329" s="2106"/>
      <c r="V329" s="2106">
        <v>1</v>
      </c>
      <c r="W329" s="2106" t="s">
        <v>226</v>
      </c>
      <c r="X329" s="2030" t="s">
        <v>5</v>
      </c>
      <c r="Y329" s="871">
        <f t="shared" si="105"/>
        <v>350000</v>
      </c>
      <c r="Z329" s="555">
        <f t="shared" ref="Z329:Z330" si="111">S329*V329</f>
        <v>350000000</v>
      </c>
      <c r="AA329" s="547"/>
      <c r="AB329" s="1891"/>
      <c r="AC329" s="1895"/>
      <c r="AD329" s="456"/>
    </row>
    <row r="330" spans="1:30" s="1651" customFormat="1" ht="22.5" customHeight="1">
      <c r="A330" s="591"/>
      <c r="B330" s="548"/>
      <c r="C330" s="624"/>
      <c r="D330" s="2020"/>
      <c r="E330" s="2023" t="s">
        <v>14</v>
      </c>
      <c r="F330" s="549">
        <f>Y330</f>
        <v>1500</v>
      </c>
      <c r="G330" s="549">
        <v>1500</v>
      </c>
      <c r="H330" s="551"/>
      <c r="I330" s="557"/>
      <c r="J330" s="2105" t="s">
        <v>1466</v>
      </c>
      <c r="K330" s="2072"/>
      <c r="L330" s="2072"/>
      <c r="M330" s="2072"/>
      <c r="N330" s="2072"/>
      <c r="O330" s="2072"/>
      <c r="P330" s="2072"/>
      <c r="Q330" s="507"/>
      <c r="R330" s="2348"/>
      <c r="S330" s="617">
        <v>250000</v>
      </c>
      <c r="T330" s="618" t="s">
        <v>4</v>
      </c>
      <c r="U330" s="618"/>
      <c r="V330" s="618">
        <v>6</v>
      </c>
      <c r="W330" s="618" t="s">
        <v>39</v>
      </c>
      <c r="X330" s="619" t="s">
        <v>5</v>
      </c>
      <c r="Y330" s="871">
        <f t="shared" si="105"/>
        <v>1500</v>
      </c>
      <c r="Z330" s="546">
        <f t="shared" si="111"/>
        <v>1500000</v>
      </c>
      <c r="AA330" s="547"/>
      <c r="AB330" s="1891"/>
      <c r="AC330" s="1895"/>
      <c r="AD330" s="456"/>
    </row>
    <row r="331" spans="1:30" s="1651" customFormat="1" ht="22.5" customHeight="1">
      <c r="A331" s="591"/>
      <c r="B331" s="548"/>
      <c r="C331" s="624"/>
      <c r="D331" s="4105" t="s">
        <v>1378</v>
      </c>
      <c r="E331" s="4108"/>
      <c r="F331" s="825">
        <f>SUM(F332:F392)</f>
        <v>938560</v>
      </c>
      <c r="G331" s="825">
        <f>SUM(G332:G392)</f>
        <v>938560</v>
      </c>
      <c r="H331" s="627">
        <f>F331-G331</f>
        <v>0</v>
      </c>
      <c r="I331" s="557"/>
      <c r="J331" s="2025"/>
      <c r="K331" s="2068"/>
      <c r="L331" s="2068"/>
      <c r="M331" s="2068"/>
      <c r="N331" s="2068"/>
      <c r="O331" s="2068"/>
      <c r="P331" s="2068"/>
      <c r="Q331" s="2322"/>
      <c r="R331" s="2027"/>
      <c r="S331" s="545"/>
      <c r="T331" s="2026"/>
      <c r="U331" s="2026"/>
      <c r="V331" s="2026"/>
      <c r="W331" s="2026"/>
      <c r="X331" s="2028"/>
      <c r="Y331" s="586"/>
      <c r="Z331" s="2711" t="e">
        <f>+#REF!+Z334+Z338+Z339+Z343+Z348+Z352+Z353+Z357+Z360+Z364+Z369+Z376+#REF!+Z379</f>
        <v>#REF!</v>
      </c>
      <c r="AA331" s="547"/>
      <c r="AB331" s="1891"/>
      <c r="AC331" s="1895"/>
      <c r="AD331" s="456"/>
    </row>
    <row r="332" spans="1:30" s="1875" customFormat="1" ht="22.5" customHeight="1">
      <c r="A332" s="591"/>
      <c r="B332" s="548"/>
      <c r="C332" s="624"/>
      <c r="D332" s="2020"/>
      <c r="E332" s="532" t="s">
        <v>229</v>
      </c>
      <c r="F332" s="549">
        <f>Y332</f>
        <v>7000</v>
      </c>
      <c r="G332" s="2717">
        <v>7000</v>
      </c>
      <c r="H332" s="551"/>
      <c r="I332" s="557"/>
      <c r="J332" s="3530" t="s">
        <v>2358</v>
      </c>
      <c r="K332" s="3527"/>
      <c r="L332" s="3527"/>
      <c r="M332" s="3527"/>
      <c r="N332" s="3527"/>
      <c r="O332" s="3527"/>
      <c r="P332" s="3527"/>
      <c r="Q332" s="556"/>
      <c r="R332" s="3532"/>
      <c r="S332" s="3531">
        <v>3500000</v>
      </c>
      <c r="T332" s="3531" t="s">
        <v>368</v>
      </c>
      <c r="U332" s="3531"/>
      <c r="V332" s="3531">
        <v>2</v>
      </c>
      <c r="W332" s="3531" t="s">
        <v>253</v>
      </c>
      <c r="X332" s="2030" t="s">
        <v>21</v>
      </c>
      <c r="Y332" s="871">
        <f t="shared" si="105"/>
        <v>7000</v>
      </c>
      <c r="Z332" s="1898">
        <f>S332*V332</f>
        <v>7000000</v>
      </c>
      <c r="AA332" s="547"/>
      <c r="AB332" s="1891"/>
      <c r="AC332" s="1895"/>
      <c r="AD332" s="456"/>
    </row>
    <row r="333" spans="1:30" s="1875" customFormat="1" ht="22.5" customHeight="1">
      <c r="A333" s="591"/>
      <c r="B333" s="548"/>
      <c r="C333" s="624"/>
      <c r="D333" s="2020"/>
      <c r="E333" s="2023" t="s">
        <v>445</v>
      </c>
      <c r="F333" s="549">
        <f>Y333</f>
        <v>12800</v>
      </c>
      <c r="G333" s="2717">
        <v>12800</v>
      </c>
      <c r="H333" s="551"/>
      <c r="I333" s="557"/>
      <c r="J333" s="3530" t="s">
        <v>224</v>
      </c>
      <c r="K333" s="3527"/>
      <c r="L333" s="3527"/>
      <c r="M333" s="3527"/>
      <c r="N333" s="3527"/>
      <c r="O333" s="3527"/>
      <c r="P333" s="3527"/>
      <c r="Q333" s="3109" t="s">
        <v>770</v>
      </c>
      <c r="R333" s="552" t="s">
        <v>770</v>
      </c>
      <c r="S333" s="3108"/>
      <c r="T333" s="3531"/>
      <c r="U333" s="3531"/>
      <c r="V333" s="3531"/>
      <c r="W333" s="3531"/>
      <c r="X333" s="2030"/>
      <c r="Y333" s="871">
        <f t="shared" si="105"/>
        <v>12800</v>
      </c>
      <c r="Z333" s="555">
        <f>SUM(Z334:Z336)</f>
        <v>12800000</v>
      </c>
      <c r="AA333" s="547"/>
      <c r="AB333" s="1891"/>
      <c r="AC333" s="1895"/>
      <c r="AD333" s="456"/>
    </row>
    <row r="334" spans="1:30" s="1875" customFormat="1" ht="22.5" customHeight="1">
      <c r="A334" s="591"/>
      <c r="B334" s="548"/>
      <c r="C334" s="624"/>
      <c r="D334" s="2020"/>
      <c r="E334" s="2023"/>
      <c r="F334" s="549"/>
      <c r="G334" s="2717"/>
      <c r="H334" s="551"/>
      <c r="I334" s="557"/>
      <c r="J334" s="3530" t="s">
        <v>2174</v>
      </c>
      <c r="K334" s="3527"/>
      <c r="L334" s="3527"/>
      <c r="M334" s="3527"/>
      <c r="N334" s="3527"/>
      <c r="O334" s="3527"/>
      <c r="P334" s="3527"/>
      <c r="Q334" s="3109"/>
      <c r="R334" s="3532"/>
      <c r="S334" s="3108">
        <v>800000</v>
      </c>
      <c r="T334" s="3531" t="s">
        <v>368</v>
      </c>
      <c r="U334" s="3531"/>
      <c r="V334" s="3531">
        <v>1</v>
      </c>
      <c r="W334" s="3531" t="s">
        <v>226</v>
      </c>
      <c r="X334" s="2030" t="s">
        <v>370</v>
      </c>
      <c r="Y334" s="871">
        <f t="shared" si="105"/>
        <v>800</v>
      </c>
      <c r="Z334" s="555">
        <f>V334*S334</f>
        <v>800000</v>
      </c>
      <c r="AA334" s="547"/>
      <c r="AB334" s="1891"/>
      <c r="AC334" s="1895"/>
      <c r="AD334" s="456"/>
    </row>
    <row r="335" spans="1:30" s="1875" customFormat="1" ht="22.5" customHeight="1">
      <c r="A335" s="591"/>
      <c r="B335" s="548"/>
      <c r="C335" s="624"/>
      <c r="D335" s="2020"/>
      <c r="E335" s="2023"/>
      <c r="F335" s="549"/>
      <c r="G335" s="2717"/>
      <c r="H335" s="551"/>
      <c r="I335" s="557"/>
      <c r="J335" s="3530" t="s">
        <v>2175</v>
      </c>
      <c r="K335" s="3527"/>
      <c r="L335" s="3527"/>
      <c r="M335" s="3527"/>
      <c r="N335" s="3527"/>
      <c r="O335" s="3527"/>
      <c r="P335" s="3527"/>
      <c r="Q335" s="3109"/>
      <c r="R335" s="552"/>
      <c r="S335" s="3108">
        <v>8000000</v>
      </c>
      <c r="T335" s="3531" t="s">
        <v>368</v>
      </c>
      <c r="U335" s="3531"/>
      <c r="V335" s="3531">
        <v>1</v>
      </c>
      <c r="W335" s="3531" t="s">
        <v>226</v>
      </c>
      <c r="X335" s="2030" t="s">
        <v>370</v>
      </c>
      <c r="Y335" s="871">
        <f t="shared" si="105"/>
        <v>8000</v>
      </c>
      <c r="Z335" s="555">
        <f t="shared" ref="Z335:Z336" si="112">S335*V335</f>
        <v>8000000</v>
      </c>
      <c r="AA335" s="547"/>
      <c r="AB335" s="1891"/>
      <c r="AC335" s="1895"/>
      <c r="AD335" s="456"/>
    </row>
    <row r="336" spans="1:30" s="1875" customFormat="1" ht="22.5" customHeight="1">
      <c r="A336" s="591"/>
      <c r="B336" s="548"/>
      <c r="C336" s="624"/>
      <c r="D336" s="2020"/>
      <c r="E336" s="2023"/>
      <c r="F336" s="549"/>
      <c r="G336" s="2717"/>
      <c r="H336" s="551"/>
      <c r="I336" s="557"/>
      <c r="J336" s="3530" t="s">
        <v>2176</v>
      </c>
      <c r="K336" s="3527"/>
      <c r="L336" s="3527"/>
      <c r="M336" s="3527"/>
      <c r="N336" s="3527"/>
      <c r="O336" s="3527"/>
      <c r="P336" s="3527"/>
      <c r="Q336" s="3109"/>
      <c r="R336" s="552"/>
      <c r="S336" s="3108">
        <v>4000000</v>
      </c>
      <c r="T336" s="3531" t="s">
        <v>368</v>
      </c>
      <c r="U336" s="3531"/>
      <c r="V336" s="3531">
        <v>1</v>
      </c>
      <c r="W336" s="3531" t="s">
        <v>226</v>
      </c>
      <c r="X336" s="2030" t="s">
        <v>370</v>
      </c>
      <c r="Y336" s="871">
        <f t="shared" si="105"/>
        <v>4000</v>
      </c>
      <c r="Z336" s="555">
        <f t="shared" si="112"/>
        <v>4000000</v>
      </c>
      <c r="AA336" s="547"/>
      <c r="AB336" s="1891"/>
      <c r="AC336" s="1895"/>
      <c r="AD336" s="456"/>
    </row>
    <row r="337" spans="1:30" s="1875" customFormat="1" ht="22.5" customHeight="1">
      <c r="A337" s="591"/>
      <c r="B337" s="548"/>
      <c r="C337" s="624"/>
      <c r="D337" s="2020"/>
      <c r="E337" s="2023" t="s">
        <v>67</v>
      </c>
      <c r="F337" s="549">
        <f>Y338+Y339</f>
        <v>2900</v>
      </c>
      <c r="G337" s="2717">
        <v>2900</v>
      </c>
      <c r="H337" s="551"/>
      <c r="I337" s="557"/>
      <c r="J337" s="3530" t="s">
        <v>572</v>
      </c>
      <c r="K337" s="3527"/>
      <c r="L337" s="3527"/>
      <c r="M337" s="3527"/>
      <c r="N337" s="3527"/>
      <c r="O337" s="3527"/>
      <c r="P337" s="3527"/>
      <c r="Q337" s="3109" t="s">
        <v>770</v>
      </c>
      <c r="R337" s="552" t="s">
        <v>770</v>
      </c>
      <c r="S337" s="3108"/>
      <c r="T337" s="3531"/>
      <c r="U337" s="3531"/>
      <c r="V337" s="3531"/>
      <c r="W337" s="3531"/>
      <c r="X337" s="2030"/>
      <c r="Y337" s="871">
        <f t="shared" si="105"/>
        <v>2900</v>
      </c>
      <c r="Z337" s="555">
        <f>SUM(Z338:Z339)</f>
        <v>2900000</v>
      </c>
      <c r="AA337" s="547"/>
      <c r="AB337" s="1891"/>
      <c r="AC337" s="1895"/>
      <c r="AD337" s="456"/>
    </row>
    <row r="338" spans="1:30" s="1875" customFormat="1" ht="22.5" customHeight="1">
      <c r="A338" s="591"/>
      <c r="B338" s="548"/>
      <c r="C338" s="624"/>
      <c r="D338" s="2020"/>
      <c r="E338" s="2023"/>
      <c r="F338" s="549"/>
      <c r="G338" s="2717"/>
      <c r="H338" s="551"/>
      <c r="I338" s="557"/>
      <c r="J338" s="3530" t="s">
        <v>2177</v>
      </c>
      <c r="K338" s="3527"/>
      <c r="L338" s="3527"/>
      <c r="M338" s="3527"/>
      <c r="N338" s="3527"/>
      <c r="O338" s="3527"/>
      <c r="P338" s="3527"/>
      <c r="Q338" s="3109"/>
      <c r="R338" s="552"/>
      <c r="S338" s="3108">
        <v>300000</v>
      </c>
      <c r="T338" s="3531" t="s">
        <v>368</v>
      </c>
      <c r="U338" s="3531"/>
      <c r="V338" s="3531">
        <v>9</v>
      </c>
      <c r="W338" s="3531" t="s">
        <v>230</v>
      </c>
      <c r="X338" s="2030"/>
      <c r="Y338" s="871">
        <f t="shared" si="105"/>
        <v>2700</v>
      </c>
      <c r="Z338" s="555">
        <f>S338*V338</f>
        <v>2700000</v>
      </c>
      <c r="AA338" s="547"/>
      <c r="AB338" s="1891"/>
      <c r="AC338" s="1895"/>
      <c r="AD338" s="456"/>
    </row>
    <row r="339" spans="1:30" s="1875" customFormat="1" ht="22.5" customHeight="1">
      <c r="A339" s="591"/>
      <c r="B339" s="548"/>
      <c r="C339" s="624"/>
      <c r="D339" s="2020"/>
      <c r="E339" s="2023"/>
      <c r="F339" s="549"/>
      <c r="G339" s="2717"/>
      <c r="H339" s="551"/>
      <c r="I339" s="557"/>
      <c r="J339" s="3530" t="s">
        <v>2178</v>
      </c>
      <c r="K339" s="3527"/>
      <c r="L339" s="3527"/>
      <c r="M339" s="3527"/>
      <c r="N339" s="3527"/>
      <c r="O339" s="3527"/>
      <c r="P339" s="3527"/>
      <c r="Q339" s="3109"/>
      <c r="R339" s="552"/>
      <c r="S339" s="3108">
        <v>200000</v>
      </c>
      <c r="T339" s="3531" t="s">
        <v>368</v>
      </c>
      <c r="U339" s="3531"/>
      <c r="V339" s="3531">
        <v>1</v>
      </c>
      <c r="W339" s="3531" t="s">
        <v>230</v>
      </c>
      <c r="X339" s="2030"/>
      <c r="Y339" s="871">
        <f t="shared" si="105"/>
        <v>200</v>
      </c>
      <c r="Z339" s="555">
        <f>S339*V339</f>
        <v>200000</v>
      </c>
      <c r="AA339" s="547"/>
      <c r="AB339" s="1891"/>
      <c r="AC339" s="1895"/>
      <c r="AD339" s="456"/>
    </row>
    <row r="340" spans="1:30" s="1875" customFormat="1" ht="22.5" customHeight="1">
      <c r="A340" s="591"/>
      <c r="B340" s="548"/>
      <c r="C340" s="624"/>
      <c r="D340" s="2020"/>
      <c r="E340" s="2023" t="s">
        <v>499</v>
      </c>
      <c r="F340" s="549">
        <f>Y340</f>
        <v>6100</v>
      </c>
      <c r="G340" s="2717">
        <v>6100</v>
      </c>
      <c r="H340" s="551"/>
      <c r="I340" s="557"/>
      <c r="J340" s="3530" t="s">
        <v>224</v>
      </c>
      <c r="K340" s="3527"/>
      <c r="L340" s="3527"/>
      <c r="M340" s="3527"/>
      <c r="N340" s="3527"/>
      <c r="O340" s="3527"/>
      <c r="P340" s="3527"/>
      <c r="Q340" s="3109" t="s">
        <v>770</v>
      </c>
      <c r="R340" s="552" t="s">
        <v>770</v>
      </c>
      <c r="S340" s="3108"/>
      <c r="T340" s="3531"/>
      <c r="U340" s="3531"/>
      <c r="V340" s="3531"/>
      <c r="W340" s="3531"/>
      <c r="X340" s="2030"/>
      <c r="Y340" s="871">
        <f t="shared" si="105"/>
        <v>6100</v>
      </c>
      <c r="Z340" s="555">
        <f>SUM(Z341:Z343)</f>
        <v>6100000</v>
      </c>
      <c r="AA340" s="547"/>
      <c r="AB340" s="1891"/>
      <c r="AC340" s="1895"/>
      <c r="AD340" s="456"/>
    </row>
    <row r="341" spans="1:30" s="1875" customFormat="1" ht="22.5" customHeight="1">
      <c r="A341" s="591"/>
      <c r="B341" s="548"/>
      <c r="C341" s="624"/>
      <c r="D341" s="2020"/>
      <c r="E341" s="2023"/>
      <c r="F341" s="549"/>
      <c r="G341" s="2717"/>
      <c r="H341" s="551"/>
      <c r="I341" s="557"/>
      <c r="J341" s="3530" t="s">
        <v>2179</v>
      </c>
      <c r="K341" s="3527"/>
      <c r="L341" s="3527"/>
      <c r="M341" s="3527"/>
      <c r="N341" s="3527"/>
      <c r="O341" s="3527"/>
      <c r="P341" s="3527"/>
      <c r="Q341" s="3109"/>
      <c r="R341" s="552"/>
      <c r="S341" s="3108">
        <v>1600000</v>
      </c>
      <c r="T341" s="3531" t="s">
        <v>368</v>
      </c>
      <c r="U341" s="3531"/>
      <c r="V341" s="3531">
        <v>2</v>
      </c>
      <c r="W341" s="3531" t="s">
        <v>369</v>
      </c>
      <c r="X341" s="2030" t="s">
        <v>370</v>
      </c>
      <c r="Y341" s="871">
        <f t="shared" si="105"/>
        <v>3200</v>
      </c>
      <c r="Z341" s="555">
        <f t="shared" ref="Z341:Z343" si="113">S341*V341</f>
        <v>3200000</v>
      </c>
      <c r="AA341" s="547"/>
      <c r="AB341" s="1891"/>
      <c r="AC341" s="1895"/>
      <c r="AD341" s="456"/>
    </row>
    <row r="342" spans="1:30" s="1875" customFormat="1" ht="22.5" customHeight="1">
      <c r="A342" s="591"/>
      <c r="B342" s="548"/>
      <c r="C342" s="624"/>
      <c r="D342" s="2020"/>
      <c r="E342" s="2023"/>
      <c r="F342" s="549"/>
      <c r="G342" s="2717"/>
      <c r="H342" s="551"/>
      <c r="I342" s="557"/>
      <c r="J342" s="3530" t="s">
        <v>2180</v>
      </c>
      <c r="K342" s="3527"/>
      <c r="L342" s="3527"/>
      <c r="M342" s="3527"/>
      <c r="N342" s="3527"/>
      <c r="O342" s="3527"/>
      <c r="P342" s="3527"/>
      <c r="Q342" s="3109"/>
      <c r="R342" s="552"/>
      <c r="S342" s="3108">
        <v>600000</v>
      </c>
      <c r="T342" s="3531" t="s">
        <v>368</v>
      </c>
      <c r="U342" s="3531"/>
      <c r="V342" s="3531">
        <v>4</v>
      </c>
      <c r="W342" s="3531" t="s">
        <v>369</v>
      </c>
      <c r="X342" s="2030" t="s">
        <v>370</v>
      </c>
      <c r="Y342" s="871">
        <f t="shared" si="105"/>
        <v>2400</v>
      </c>
      <c r="Z342" s="555">
        <f t="shared" si="113"/>
        <v>2400000</v>
      </c>
      <c r="AA342" s="547"/>
      <c r="AB342" s="1891"/>
      <c r="AC342" s="1895"/>
      <c r="AD342" s="456"/>
    </row>
    <row r="343" spans="1:30" s="1875" customFormat="1" ht="22.5" customHeight="1">
      <c r="A343" s="591"/>
      <c r="B343" s="548"/>
      <c r="C343" s="624"/>
      <c r="D343" s="2020"/>
      <c r="E343" s="2023"/>
      <c r="F343" s="549"/>
      <c r="G343" s="2717"/>
      <c r="H343" s="551"/>
      <c r="I343" s="557"/>
      <c r="J343" s="3530" t="s">
        <v>2181</v>
      </c>
      <c r="K343" s="3527"/>
      <c r="L343" s="3527"/>
      <c r="M343" s="3527"/>
      <c r="N343" s="3527"/>
      <c r="O343" s="3527"/>
      <c r="P343" s="3527"/>
      <c r="Q343" s="3109"/>
      <c r="R343" s="552"/>
      <c r="S343" s="3108">
        <v>250000</v>
      </c>
      <c r="T343" s="3531" t="s">
        <v>368</v>
      </c>
      <c r="U343" s="3531"/>
      <c r="V343" s="3531">
        <v>2</v>
      </c>
      <c r="W343" s="3531" t="s">
        <v>369</v>
      </c>
      <c r="X343" s="2030" t="s">
        <v>370</v>
      </c>
      <c r="Y343" s="871">
        <f t="shared" si="105"/>
        <v>500</v>
      </c>
      <c r="Z343" s="555">
        <f t="shared" si="113"/>
        <v>500000</v>
      </c>
      <c r="AA343" s="547"/>
      <c r="AB343" s="1891"/>
      <c r="AC343" s="1895"/>
      <c r="AD343" s="456"/>
    </row>
    <row r="344" spans="1:30" s="1875" customFormat="1" ht="22.5" customHeight="1">
      <c r="A344" s="591"/>
      <c r="B344" s="548"/>
      <c r="C344" s="624"/>
      <c r="D344" s="2020"/>
      <c r="E344" s="2023" t="s">
        <v>264</v>
      </c>
      <c r="F344" s="549">
        <f>Y344</f>
        <v>23560</v>
      </c>
      <c r="G344" s="2717">
        <v>23560</v>
      </c>
      <c r="H344" s="551"/>
      <c r="I344" s="557"/>
      <c r="J344" s="3530" t="s">
        <v>224</v>
      </c>
      <c r="K344" s="3527"/>
      <c r="L344" s="3527"/>
      <c r="M344" s="3527"/>
      <c r="N344" s="3527"/>
      <c r="O344" s="3527"/>
      <c r="P344" s="3527"/>
      <c r="Q344" s="3109" t="s">
        <v>770</v>
      </c>
      <c r="R344" s="552" t="s">
        <v>770</v>
      </c>
      <c r="S344" s="3108"/>
      <c r="T344" s="3531"/>
      <c r="U344" s="3531"/>
      <c r="V344" s="3531"/>
      <c r="W344" s="3531"/>
      <c r="X344" s="2030"/>
      <c r="Y344" s="871">
        <f t="shared" si="105"/>
        <v>23560</v>
      </c>
      <c r="Z344" s="555">
        <f>SUM(Z345:Z348)</f>
        <v>23560000</v>
      </c>
      <c r="AA344" s="547"/>
      <c r="AB344" s="1891"/>
      <c r="AC344" s="1895"/>
      <c r="AD344" s="456"/>
    </row>
    <row r="345" spans="1:30" s="1875" customFormat="1" ht="22.5" customHeight="1">
      <c r="A345" s="591"/>
      <c r="B345" s="548"/>
      <c r="C345" s="624"/>
      <c r="D345" s="2020"/>
      <c r="E345" s="2023"/>
      <c r="F345" s="549"/>
      <c r="G345" s="2717"/>
      <c r="H345" s="551"/>
      <c r="I345" s="557"/>
      <c r="J345" s="3530" t="s">
        <v>2182</v>
      </c>
      <c r="K345" s="3527"/>
      <c r="L345" s="3527"/>
      <c r="M345" s="3527"/>
      <c r="N345" s="3527"/>
      <c r="O345" s="3527"/>
      <c r="P345" s="3527"/>
      <c r="Q345" s="3109">
        <v>20</v>
      </c>
      <c r="R345" s="552" t="s">
        <v>605</v>
      </c>
      <c r="S345" s="3108">
        <v>60000</v>
      </c>
      <c r="T345" s="3531" t="s">
        <v>368</v>
      </c>
      <c r="U345" s="3531"/>
      <c r="V345" s="3531">
        <v>11</v>
      </c>
      <c r="W345" s="3531" t="s">
        <v>230</v>
      </c>
      <c r="X345" s="2030" t="s">
        <v>370</v>
      </c>
      <c r="Y345" s="871">
        <f t="shared" si="105"/>
        <v>13200</v>
      </c>
      <c r="Z345" s="555">
        <f>Q345*S345*V345</f>
        <v>13200000</v>
      </c>
      <c r="AA345" s="547"/>
      <c r="AB345" s="1891"/>
      <c r="AC345" s="1895"/>
      <c r="AD345" s="456"/>
    </row>
    <row r="346" spans="1:30" s="1875" customFormat="1" ht="22.5" customHeight="1">
      <c r="A346" s="591"/>
      <c r="B346" s="548"/>
      <c r="C346" s="624"/>
      <c r="D346" s="2020"/>
      <c r="E346" s="2023"/>
      <c r="F346" s="549"/>
      <c r="G346" s="2717"/>
      <c r="H346" s="551"/>
      <c r="I346" s="557"/>
      <c r="J346" s="3530" t="s">
        <v>2183</v>
      </c>
      <c r="K346" s="3527"/>
      <c r="L346" s="3527"/>
      <c r="M346" s="3527"/>
      <c r="N346" s="3527"/>
      <c r="O346" s="3527"/>
      <c r="P346" s="3527"/>
      <c r="Q346" s="3109">
        <v>60</v>
      </c>
      <c r="R346" s="552" t="s">
        <v>1323</v>
      </c>
      <c r="S346" s="3108">
        <v>6000</v>
      </c>
      <c r="T346" s="3531" t="s">
        <v>368</v>
      </c>
      <c r="U346" s="3531"/>
      <c r="V346" s="3531">
        <v>11</v>
      </c>
      <c r="W346" s="3531" t="s">
        <v>230</v>
      </c>
      <c r="X346" s="2030" t="s">
        <v>370</v>
      </c>
      <c r="Y346" s="871">
        <f t="shared" si="105"/>
        <v>3960</v>
      </c>
      <c r="Z346" s="555">
        <f t="shared" ref="Z346" si="114">Q346*S346*V346</f>
        <v>3960000</v>
      </c>
      <c r="AA346" s="547"/>
      <c r="AB346" s="1891"/>
      <c r="AC346" s="1895"/>
      <c r="AD346" s="456"/>
    </row>
    <row r="347" spans="1:30" s="1875" customFormat="1" ht="22.5" customHeight="1">
      <c r="A347" s="591"/>
      <c r="B347" s="548"/>
      <c r="C347" s="624"/>
      <c r="D347" s="2020"/>
      <c r="E347" s="2023"/>
      <c r="F347" s="549"/>
      <c r="G347" s="2717"/>
      <c r="H347" s="551"/>
      <c r="I347" s="557"/>
      <c r="J347" s="3530" t="s">
        <v>2184</v>
      </c>
      <c r="K347" s="3527"/>
      <c r="L347" s="3527"/>
      <c r="M347" s="3527"/>
      <c r="N347" s="3527"/>
      <c r="O347" s="3527"/>
      <c r="P347" s="3527"/>
      <c r="Q347" s="3109"/>
      <c r="R347" s="552"/>
      <c r="S347" s="3108">
        <v>300000</v>
      </c>
      <c r="T347" s="3531" t="s">
        <v>368</v>
      </c>
      <c r="U347" s="3531"/>
      <c r="V347" s="3531">
        <v>11</v>
      </c>
      <c r="W347" s="3531" t="s">
        <v>230</v>
      </c>
      <c r="X347" s="2030" t="s">
        <v>370</v>
      </c>
      <c r="Y347" s="871">
        <f t="shared" si="105"/>
        <v>3300</v>
      </c>
      <c r="Z347" s="555">
        <f t="shared" ref="Z347:Z348" si="115">S347*V347</f>
        <v>3300000</v>
      </c>
      <c r="AA347" s="547"/>
      <c r="AB347" s="1891"/>
      <c r="AC347" s="1895"/>
      <c r="AD347" s="456"/>
    </row>
    <row r="348" spans="1:30" s="1875" customFormat="1" ht="22.5" customHeight="1">
      <c r="A348" s="591"/>
      <c r="B348" s="548"/>
      <c r="C348" s="624"/>
      <c r="D348" s="2020"/>
      <c r="E348" s="2023"/>
      <c r="F348" s="549"/>
      <c r="G348" s="2717"/>
      <c r="H348" s="551"/>
      <c r="I348" s="557"/>
      <c r="J348" s="3530" t="s">
        <v>2185</v>
      </c>
      <c r="K348" s="3527"/>
      <c r="L348" s="3527"/>
      <c r="M348" s="3527"/>
      <c r="N348" s="3527"/>
      <c r="O348" s="3527"/>
      <c r="P348" s="3527"/>
      <c r="Q348" s="3109"/>
      <c r="R348" s="552"/>
      <c r="S348" s="3108">
        <v>3100000</v>
      </c>
      <c r="T348" s="3531" t="s">
        <v>368</v>
      </c>
      <c r="U348" s="3531"/>
      <c r="V348" s="3531">
        <v>1</v>
      </c>
      <c r="W348" s="3531" t="s">
        <v>226</v>
      </c>
      <c r="X348" s="2030" t="s">
        <v>370</v>
      </c>
      <c r="Y348" s="871">
        <f t="shared" si="105"/>
        <v>3100</v>
      </c>
      <c r="Z348" s="555">
        <f t="shared" si="115"/>
        <v>3100000</v>
      </c>
      <c r="AA348" s="547"/>
      <c r="AB348" s="1891"/>
      <c r="AC348" s="1895"/>
      <c r="AD348" s="456"/>
    </row>
    <row r="349" spans="1:30" s="1875" customFormat="1" ht="22.5" customHeight="1">
      <c r="A349" s="591"/>
      <c r="B349" s="548"/>
      <c r="C349" s="624"/>
      <c r="D349" s="2020"/>
      <c r="E349" s="2023" t="s">
        <v>511</v>
      </c>
      <c r="F349" s="549">
        <f>Y349</f>
        <v>121500</v>
      </c>
      <c r="G349" s="2717">
        <v>121500</v>
      </c>
      <c r="H349" s="551"/>
      <c r="I349" s="557"/>
      <c r="J349" s="681" t="s">
        <v>5506</v>
      </c>
      <c r="K349" s="3515"/>
      <c r="L349" s="3515"/>
      <c r="M349" s="3515"/>
      <c r="N349" s="3515"/>
      <c r="O349" s="3515"/>
      <c r="P349" s="3515"/>
      <c r="Q349" s="869" t="s">
        <v>5507</v>
      </c>
      <c r="R349" s="2127" t="s">
        <v>5507</v>
      </c>
      <c r="S349" s="3164"/>
      <c r="T349" s="684"/>
      <c r="U349" s="684"/>
      <c r="V349" s="684"/>
      <c r="W349" s="684"/>
      <c r="X349" s="686"/>
      <c r="Y349" s="1022">
        <f>Z349/1000</f>
        <v>121500</v>
      </c>
      <c r="Z349" s="732">
        <f>SUM(Z350:Z352)</f>
        <v>121500000</v>
      </c>
      <c r="AA349" s="547"/>
      <c r="AB349" s="1891"/>
      <c r="AC349" s="1895"/>
      <c r="AD349" s="456"/>
    </row>
    <row r="350" spans="1:30" s="1875" customFormat="1" ht="22.5" customHeight="1">
      <c r="A350" s="591"/>
      <c r="B350" s="548"/>
      <c r="C350" s="624"/>
      <c r="D350" s="2020"/>
      <c r="E350" s="2023"/>
      <c r="F350" s="549"/>
      <c r="G350" s="2717"/>
      <c r="H350" s="551"/>
      <c r="I350" s="557"/>
      <c r="J350" s="681" t="s">
        <v>5508</v>
      </c>
      <c r="K350" s="3515"/>
      <c r="L350" s="3515"/>
      <c r="M350" s="3515"/>
      <c r="N350" s="3515"/>
      <c r="O350" s="3515"/>
      <c r="P350" s="3515"/>
      <c r="Q350" s="869"/>
      <c r="R350" s="2127"/>
      <c r="S350" s="3164">
        <v>6000000</v>
      </c>
      <c r="T350" s="684" t="s">
        <v>5509</v>
      </c>
      <c r="U350" s="684"/>
      <c r="V350" s="684">
        <v>10</v>
      </c>
      <c r="W350" s="684" t="s">
        <v>5510</v>
      </c>
      <c r="X350" s="686" t="s">
        <v>5511</v>
      </c>
      <c r="Y350" s="1022">
        <f t="shared" ref="Y350:Y352" si="116">Z350/1000</f>
        <v>60000</v>
      </c>
      <c r="Z350" s="732">
        <f t="shared" ref="Z350:Z352" si="117">S350*V350</f>
        <v>60000000</v>
      </c>
      <c r="AA350" s="547"/>
      <c r="AB350" s="1891"/>
      <c r="AC350" s="1895"/>
      <c r="AD350" s="456"/>
    </row>
    <row r="351" spans="1:30" s="1875" customFormat="1" ht="22.5" customHeight="1">
      <c r="A351" s="591"/>
      <c r="B351" s="548"/>
      <c r="C351" s="624"/>
      <c r="D351" s="2020"/>
      <c r="E351" s="2023"/>
      <c r="F351" s="549"/>
      <c r="G351" s="2717"/>
      <c r="H351" s="551"/>
      <c r="I351" s="557"/>
      <c r="J351" s="681" t="s">
        <v>5512</v>
      </c>
      <c r="K351" s="3515"/>
      <c r="L351" s="3515"/>
      <c r="M351" s="3515"/>
      <c r="N351" s="3515"/>
      <c r="O351" s="3515"/>
      <c r="P351" s="3515"/>
      <c r="Q351" s="869"/>
      <c r="R351" s="2127"/>
      <c r="S351" s="3164">
        <v>1150000</v>
      </c>
      <c r="T351" s="684" t="s">
        <v>5509</v>
      </c>
      <c r="U351" s="684"/>
      <c r="V351" s="684">
        <v>10</v>
      </c>
      <c r="W351" s="684" t="s">
        <v>5510</v>
      </c>
      <c r="X351" s="686" t="s">
        <v>5511</v>
      </c>
      <c r="Y351" s="1022">
        <f t="shared" si="116"/>
        <v>11500</v>
      </c>
      <c r="Z351" s="732">
        <f t="shared" si="117"/>
        <v>11500000</v>
      </c>
      <c r="AA351" s="547"/>
      <c r="AB351" s="1891"/>
      <c r="AC351" s="1895"/>
      <c r="AD351" s="456"/>
    </row>
    <row r="352" spans="1:30" s="1875" customFormat="1" ht="22.5" customHeight="1">
      <c r="A352" s="591"/>
      <c r="B352" s="548"/>
      <c r="C352" s="624"/>
      <c r="D352" s="2020"/>
      <c r="E352" s="2023"/>
      <c r="F352" s="549"/>
      <c r="G352" s="2717"/>
      <c r="H352" s="551"/>
      <c r="I352" s="557"/>
      <c r="J352" s="681" t="s">
        <v>5513</v>
      </c>
      <c r="K352" s="3515"/>
      <c r="L352" s="3515"/>
      <c r="M352" s="3515"/>
      <c r="N352" s="3515"/>
      <c r="O352" s="3515"/>
      <c r="P352" s="3515"/>
      <c r="Q352" s="869"/>
      <c r="R352" s="2127"/>
      <c r="S352" s="3164">
        <v>5000000</v>
      </c>
      <c r="T352" s="684" t="s">
        <v>5509</v>
      </c>
      <c r="U352" s="684"/>
      <c r="V352" s="684">
        <v>10</v>
      </c>
      <c r="W352" s="684" t="s">
        <v>5510</v>
      </c>
      <c r="X352" s="686" t="s">
        <v>5511</v>
      </c>
      <c r="Y352" s="1022">
        <f t="shared" si="116"/>
        <v>50000</v>
      </c>
      <c r="Z352" s="732">
        <f t="shared" si="117"/>
        <v>50000000</v>
      </c>
      <c r="AA352" s="547"/>
      <c r="AB352" s="1891"/>
      <c r="AC352" s="1895"/>
      <c r="AD352" s="456"/>
    </row>
    <row r="353" spans="1:30" s="1875" customFormat="1" ht="22.5" customHeight="1">
      <c r="A353" s="591"/>
      <c r="B353" s="548"/>
      <c r="C353" s="624"/>
      <c r="D353" s="2020"/>
      <c r="E353" s="2023" t="s">
        <v>515</v>
      </c>
      <c r="F353" s="549">
        <f>Y353</f>
        <v>0</v>
      </c>
      <c r="G353" s="2717">
        <v>0</v>
      </c>
      <c r="H353" s="551"/>
      <c r="I353" s="557"/>
      <c r="J353" s="3530" t="s">
        <v>1299</v>
      </c>
      <c r="K353" s="3527"/>
      <c r="L353" s="3527"/>
      <c r="M353" s="3527"/>
      <c r="N353" s="3527"/>
      <c r="O353" s="3527"/>
      <c r="P353" s="3527"/>
      <c r="Q353" s="3109" t="s">
        <v>770</v>
      </c>
      <c r="R353" s="552" t="s">
        <v>770</v>
      </c>
      <c r="S353" s="3108">
        <v>0</v>
      </c>
      <c r="T353" s="3531" t="s">
        <v>368</v>
      </c>
      <c r="U353" s="3531"/>
      <c r="V353" s="3531">
        <v>12</v>
      </c>
      <c r="W353" s="3531" t="s">
        <v>230</v>
      </c>
      <c r="X353" s="2030" t="s">
        <v>370</v>
      </c>
      <c r="Y353" s="554">
        <f>Z353/1000</f>
        <v>0</v>
      </c>
      <c r="Z353" s="555">
        <v>0</v>
      </c>
      <c r="AA353" s="547"/>
      <c r="AB353" s="1891"/>
      <c r="AC353" s="1895"/>
      <c r="AD353" s="456"/>
    </row>
    <row r="354" spans="1:30" s="1875" customFormat="1" ht="22.5" customHeight="1">
      <c r="A354" s="591"/>
      <c r="B354" s="548"/>
      <c r="C354" s="624"/>
      <c r="D354" s="2020"/>
      <c r="E354" s="2023" t="s">
        <v>225</v>
      </c>
      <c r="F354" s="549">
        <f>+Y354</f>
        <v>8000</v>
      </c>
      <c r="G354" s="549">
        <v>8000</v>
      </c>
      <c r="H354" s="551"/>
      <c r="I354" s="557"/>
      <c r="J354" s="3530" t="s">
        <v>1723</v>
      </c>
      <c r="K354" s="3527"/>
      <c r="L354" s="3527"/>
      <c r="M354" s="3527"/>
      <c r="N354" s="3527"/>
      <c r="O354" s="3527"/>
      <c r="P354" s="3527"/>
      <c r="Q354" s="3109"/>
      <c r="R354" s="552"/>
      <c r="S354" s="3108">
        <v>200000</v>
      </c>
      <c r="T354" s="3531" t="s">
        <v>368</v>
      </c>
      <c r="U354" s="3531"/>
      <c r="V354" s="3531">
        <v>40</v>
      </c>
      <c r="W354" s="3531" t="s">
        <v>369</v>
      </c>
      <c r="X354" s="2030" t="s">
        <v>370</v>
      </c>
      <c r="Y354" s="871">
        <f t="shared" si="105"/>
        <v>8000</v>
      </c>
      <c r="Z354" s="555">
        <f>S354*V354</f>
        <v>8000000</v>
      </c>
      <c r="AA354" s="547"/>
      <c r="AB354" s="1891"/>
      <c r="AC354" s="1895"/>
      <c r="AD354" s="456"/>
    </row>
    <row r="355" spans="1:30" s="1875" customFormat="1" ht="22.5" customHeight="1">
      <c r="A355" s="591"/>
      <c r="B355" s="548"/>
      <c r="C355" s="624"/>
      <c r="D355" s="2020"/>
      <c r="E355" s="2023" t="s">
        <v>379</v>
      </c>
      <c r="F355" s="549">
        <f>Y355</f>
        <v>30700</v>
      </c>
      <c r="G355" s="2717">
        <v>30700</v>
      </c>
      <c r="H355" s="551"/>
      <c r="I355" s="557"/>
      <c r="J355" s="3530" t="s">
        <v>224</v>
      </c>
      <c r="K355" s="3527"/>
      <c r="L355" s="3527"/>
      <c r="M355" s="3527"/>
      <c r="N355" s="3527"/>
      <c r="O355" s="3527"/>
      <c r="P355" s="3527"/>
      <c r="Q355" s="3109" t="s">
        <v>770</v>
      </c>
      <c r="R355" s="552" t="s">
        <v>770</v>
      </c>
      <c r="S355" s="3108"/>
      <c r="T355" s="3531"/>
      <c r="U355" s="3531"/>
      <c r="V355" s="3531"/>
      <c r="W355" s="3531"/>
      <c r="X355" s="2030"/>
      <c r="Y355" s="871">
        <f t="shared" si="105"/>
        <v>30700</v>
      </c>
      <c r="Z355" s="555">
        <f>SUM(Z356:Z358)</f>
        <v>30700000</v>
      </c>
      <c r="AA355" s="547"/>
      <c r="AB355" s="1891"/>
      <c r="AC355" s="1895"/>
      <c r="AD355" s="456"/>
    </row>
    <row r="356" spans="1:30" s="1875" customFormat="1" ht="22.5" customHeight="1">
      <c r="A356" s="591"/>
      <c r="B356" s="548"/>
      <c r="C356" s="624"/>
      <c r="D356" s="2020"/>
      <c r="E356" s="2023"/>
      <c r="F356" s="549"/>
      <c r="G356" s="2717"/>
      <c r="H356" s="551"/>
      <c r="I356" s="557"/>
      <c r="J356" s="3530" t="s">
        <v>2186</v>
      </c>
      <c r="K356" s="3527"/>
      <c r="L356" s="3527"/>
      <c r="M356" s="3527"/>
      <c r="N356" s="3527"/>
      <c r="O356" s="3527"/>
      <c r="P356" s="3527"/>
      <c r="Q356" s="3109"/>
      <c r="R356" s="552"/>
      <c r="S356" s="3108">
        <v>1500000</v>
      </c>
      <c r="T356" s="3531" t="s">
        <v>368</v>
      </c>
      <c r="U356" s="3531"/>
      <c r="V356" s="3531">
        <v>14</v>
      </c>
      <c r="W356" s="3531" t="s">
        <v>369</v>
      </c>
      <c r="X356" s="2030" t="s">
        <v>370</v>
      </c>
      <c r="Y356" s="871">
        <f t="shared" si="105"/>
        <v>21000</v>
      </c>
      <c r="Z356" s="555">
        <f t="shared" ref="Z356:Z357" si="118">S356*V356</f>
        <v>21000000</v>
      </c>
      <c r="AA356" s="547"/>
      <c r="AB356" s="1891"/>
      <c r="AC356" s="1895"/>
      <c r="AD356" s="456"/>
    </row>
    <row r="357" spans="1:30" s="1875" customFormat="1" ht="22.5" customHeight="1">
      <c r="A357" s="591"/>
      <c r="B357" s="548"/>
      <c r="C357" s="624"/>
      <c r="D357" s="2020"/>
      <c r="E357" s="2023"/>
      <c r="F357" s="549"/>
      <c r="G357" s="2717"/>
      <c r="H357" s="551"/>
      <c r="I357" s="557"/>
      <c r="J357" s="3530" t="s">
        <v>2187</v>
      </c>
      <c r="K357" s="3527"/>
      <c r="L357" s="3527"/>
      <c r="M357" s="3527"/>
      <c r="N357" s="3527"/>
      <c r="O357" s="3527"/>
      <c r="P357" s="3527"/>
      <c r="Q357" s="3109"/>
      <c r="R357" s="552"/>
      <c r="S357" s="3108">
        <v>500000</v>
      </c>
      <c r="T357" s="3531" t="s">
        <v>368</v>
      </c>
      <c r="U357" s="3531"/>
      <c r="V357" s="3531">
        <v>11</v>
      </c>
      <c r="W357" s="3531" t="s">
        <v>230</v>
      </c>
      <c r="X357" s="2030" t="s">
        <v>370</v>
      </c>
      <c r="Y357" s="871">
        <f t="shared" si="105"/>
        <v>5500</v>
      </c>
      <c r="Z357" s="555">
        <f t="shared" si="118"/>
        <v>5500000</v>
      </c>
      <c r="AA357" s="547"/>
      <c r="AB357" s="1891"/>
      <c r="AC357" s="1895"/>
      <c r="AD357" s="456"/>
    </row>
    <row r="358" spans="1:30" s="1875" customFormat="1" ht="22.5" customHeight="1">
      <c r="A358" s="591"/>
      <c r="B358" s="548"/>
      <c r="C358" s="624"/>
      <c r="D358" s="2020"/>
      <c r="E358" s="2023"/>
      <c r="F358" s="549"/>
      <c r="G358" s="2717"/>
      <c r="H358" s="551"/>
      <c r="I358" s="557"/>
      <c r="J358" s="3530" t="s">
        <v>2188</v>
      </c>
      <c r="K358" s="3527"/>
      <c r="L358" s="3527"/>
      <c r="M358" s="3527"/>
      <c r="N358" s="3527"/>
      <c r="O358" s="3527"/>
      <c r="P358" s="3527"/>
      <c r="Q358" s="3109">
        <v>1</v>
      </c>
      <c r="R358" s="552" t="s">
        <v>19</v>
      </c>
      <c r="S358" s="3108">
        <v>300000</v>
      </c>
      <c r="T358" s="3531" t="s">
        <v>368</v>
      </c>
      <c r="U358" s="3531"/>
      <c r="V358" s="3531">
        <v>14</v>
      </c>
      <c r="W358" s="3531" t="s">
        <v>230</v>
      </c>
      <c r="X358" s="2030" t="s">
        <v>370</v>
      </c>
      <c r="Y358" s="871">
        <f t="shared" si="105"/>
        <v>4200</v>
      </c>
      <c r="Z358" s="555">
        <f>S358*V358*Q358</f>
        <v>4200000</v>
      </c>
      <c r="AA358" s="547"/>
      <c r="AB358" s="1891"/>
      <c r="AC358" s="1895"/>
      <c r="AD358" s="456"/>
    </row>
    <row r="359" spans="1:30" s="1875" customFormat="1" ht="22.5" customHeight="1">
      <c r="A359" s="591"/>
      <c r="B359" s="548"/>
      <c r="C359" s="624"/>
      <c r="D359" s="2020"/>
      <c r="E359" s="2023" t="s">
        <v>255</v>
      </c>
      <c r="F359" s="549">
        <f>Y359</f>
        <v>1550</v>
      </c>
      <c r="G359" s="2717">
        <v>1550</v>
      </c>
      <c r="H359" s="551"/>
      <c r="I359" s="557"/>
      <c r="J359" s="3530" t="s">
        <v>224</v>
      </c>
      <c r="K359" s="3527"/>
      <c r="L359" s="3527"/>
      <c r="M359" s="3527"/>
      <c r="N359" s="3527"/>
      <c r="O359" s="3527"/>
      <c r="P359" s="3527"/>
      <c r="Q359" s="3109" t="s">
        <v>770</v>
      </c>
      <c r="R359" s="552" t="s">
        <v>770</v>
      </c>
      <c r="S359" s="3108"/>
      <c r="T359" s="3531"/>
      <c r="U359" s="3531"/>
      <c r="V359" s="3531"/>
      <c r="W359" s="3531"/>
      <c r="X359" s="2030"/>
      <c r="Y359" s="871">
        <f t="shared" si="105"/>
        <v>1550</v>
      </c>
      <c r="Z359" s="555">
        <f>SUM(Z360:Z361)</f>
        <v>1550000</v>
      </c>
      <c r="AA359" s="547"/>
      <c r="AB359" s="1891"/>
      <c r="AC359" s="1895"/>
      <c r="AD359" s="456"/>
    </row>
    <row r="360" spans="1:30" s="1875" customFormat="1" ht="22.5" customHeight="1">
      <c r="A360" s="591"/>
      <c r="B360" s="548"/>
      <c r="C360" s="624"/>
      <c r="D360" s="2020"/>
      <c r="E360" s="2023"/>
      <c r="F360" s="549"/>
      <c r="G360" s="2717"/>
      <c r="H360" s="551"/>
      <c r="I360" s="557"/>
      <c r="J360" s="3530" t="s">
        <v>2189</v>
      </c>
      <c r="K360" s="3527"/>
      <c r="L360" s="3527"/>
      <c r="M360" s="3527"/>
      <c r="N360" s="3527"/>
      <c r="O360" s="3527"/>
      <c r="P360" s="3527"/>
      <c r="Q360" s="3109"/>
      <c r="R360" s="3532"/>
      <c r="S360" s="3108">
        <v>0</v>
      </c>
      <c r="T360" s="3531" t="s">
        <v>368</v>
      </c>
      <c r="U360" s="3531"/>
      <c r="V360" s="3531">
        <v>1</v>
      </c>
      <c r="W360" s="3531" t="s">
        <v>226</v>
      </c>
      <c r="X360" s="2030" t="s">
        <v>370</v>
      </c>
      <c r="Y360" s="554">
        <f t="shared" ref="Y360" si="119">Z360/1000</f>
        <v>0</v>
      </c>
      <c r="Z360" s="555">
        <f>S360*V360</f>
        <v>0</v>
      </c>
      <c r="AA360" s="547"/>
      <c r="AB360" s="1891"/>
      <c r="AC360" s="1895"/>
      <c r="AD360" s="456"/>
    </row>
    <row r="361" spans="1:30" s="1875" customFormat="1" ht="22.5" customHeight="1">
      <c r="A361" s="591"/>
      <c r="B361" s="548"/>
      <c r="C361" s="624"/>
      <c r="D361" s="2020"/>
      <c r="E361" s="2023"/>
      <c r="F361" s="549"/>
      <c r="G361" s="2717"/>
      <c r="H361" s="551"/>
      <c r="I361" s="557"/>
      <c r="J361" s="3530" t="s">
        <v>2190</v>
      </c>
      <c r="K361" s="3527"/>
      <c r="L361" s="3527"/>
      <c r="M361" s="3527"/>
      <c r="N361" s="3527"/>
      <c r="O361" s="3527"/>
      <c r="P361" s="3527"/>
      <c r="Q361" s="3109"/>
      <c r="R361" s="552"/>
      <c r="S361" s="3108">
        <v>1550000</v>
      </c>
      <c r="T361" s="3531" t="s">
        <v>368</v>
      </c>
      <c r="U361" s="3531"/>
      <c r="V361" s="3531">
        <v>1</v>
      </c>
      <c r="W361" s="3531" t="s">
        <v>226</v>
      </c>
      <c r="X361" s="2030" t="s">
        <v>370</v>
      </c>
      <c r="Y361" s="871">
        <f t="shared" si="105"/>
        <v>1550</v>
      </c>
      <c r="Z361" s="555">
        <f t="shared" ref="Z361" si="120">S361*V361</f>
        <v>1550000</v>
      </c>
      <c r="AA361" s="547"/>
      <c r="AB361" s="1891"/>
      <c r="AC361" s="1895"/>
      <c r="AD361" s="456"/>
    </row>
    <row r="362" spans="1:30" s="1875" customFormat="1" ht="22.5" customHeight="1">
      <c r="A362" s="591"/>
      <c r="B362" s="548"/>
      <c r="C362" s="624"/>
      <c r="D362" s="2020"/>
      <c r="E362" s="2023" t="s">
        <v>22</v>
      </c>
      <c r="F362" s="549">
        <f>Y362</f>
        <v>60000</v>
      </c>
      <c r="G362" s="2717">
        <v>60000</v>
      </c>
      <c r="H362" s="551"/>
      <c r="I362" s="557"/>
      <c r="J362" s="3530" t="s">
        <v>224</v>
      </c>
      <c r="K362" s="3527"/>
      <c r="L362" s="3527"/>
      <c r="M362" s="3527"/>
      <c r="N362" s="3527"/>
      <c r="O362" s="3527"/>
      <c r="P362" s="3527"/>
      <c r="Q362" s="3109" t="s">
        <v>770</v>
      </c>
      <c r="R362" s="552" t="s">
        <v>770</v>
      </c>
      <c r="S362" s="3108"/>
      <c r="T362" s="3531"/>
      <c r="U362" s="3531"/>
      <c r="V362" s="3531"/>
      <c r="W362" s="3531"/>
      <c r="X362" s="2030"/>
      <c r="Y362" s="871">
        <f t="shared" si="105"/>
        <v>60000</v>
      </c>
      <c r="Z362" s="555">
        <f>SUM(Z363:Z365)</f>
        <v>60000000</v>
      </c>
      <c r="AA362" s="547"/>
      <c r="AB362" s="1891"/>
      <c r="AC362" s="1895"/>
      <c r="AD362" s="456"/>
    </row>
    <row r="363" spans="1:30" s="1875" customFormat="1" ht="22.5" customHeight="1">
      <c r="A363" s="591"/>
      <c r="B363" s="548"/>
      <c r="C363" s="624"/>
      <c r="D363" s="2020"/>
      <c r="E363" s="2023"/>
      <c r="F363" s="549"/>
      <c r="G363" s="2717"/>
      <c r="H363" s="551"/>
      <c r="I363" s="557"/>
      <c r="J363" s="3530" t="s">
        <v>2191</v>
      </c>
      <c r="K363" s="3527"/>
      <c r="L363" s="3527"/>
      <c r="M363" s="3527"/>
      <c r="N363" s="3527"/>
      <c r="O363" s="3527"/>
      <c r="P363" s="3527"/>
      <c r="Q363" s="3109"/>
      <c r="R363" s="552"/>
      <c r="S363" s="3108">
        <v>1500000</v>
      </c>
      <c r="T363" s="3531" t="s">
        <v>368</v>
      </c>
      <c r="U363" s="3531"/>
      <c r="V363" s="3531">
        <v>10</v>
      </c>
      <c r="W363" s="3531" t="s">
        <v>494</v>
      </c>
      <c r="X363" s="2030" t="s">
        <v>370</v>
      </c>
      <c r="Y363" s="871">
        <f t="shared" si="105"/>
        <v>15000</v>
      </c>
      <c r="Z363" s="555">
        <f t="shared" ref="Z363:Z365" si="121">S363*V363</f>
        <v>15000000</v>
      </c>
      <c r="AA363" s="547"/>
      <c r="AB363" s="1891"/>
      <c r="AC363" s="1895"/>
      <c r="AD363" s="456"/>
    </row>
    <row r="364" spans="1:30" s="1875" customFormat="1" ht="22.5" customHeight="1">
      <c r="A364" s="591"/>
      <c r="B364" s="548"/>
      <c r="C364" s="624"/>
      <c r="D364" s="2020"/>
      <c r="E364" s="2023"/>
      <c r="F364" s="549"/>
      <c r="G364" s="2717"/>
      <c r="H364" s="551"/>
      <c r="I364" s="557"/>
      <c r="J364" s="3530" t="s">
        <v>2192</v>
      </c>
      <c r="K364" s="3527"/>
      <c r="L364" s="3527"/>
      <c r="M364" s="3527"/>
      <c r="N364" s="3527"/>
      <c r="O364" s="3527"/>
      <c r="P364" s="3527"/>
      <c r="Q364" s="3109"/>
      <c r="R364" s="552"/>
      <c r="S364" s="3108">
        <v>40000000</v>
      </c>
      <c r="T364" s="3531" t="s">
        <v>368</v>
      </c>
      <c r="U364" s="3531"/>
      <c r="V364" s="3531">
        <v>1</v>
      </c>
      <c r="W364" s="3531" t="s">
        <v>226</v>
      </c>
      <c r="X364" s="2030" t="s">
        <v>370</v>
      </c>
      <c r="Y364" s="871">
        <f t="shared" si="105"/>
        <v>40000</v>
      </c>
      <c r="Z364" s="555">
        <f t="shared" si="121"/>
        <v>40000000</v>
      </c>
      <c r="AA364" s="547"/>
      <c r="AB364" s="1891"/>
      <c r="AC364" s="1895"/>
      <c r="AD364" s="456"/>
    </row>
    <row r="365" spans="1:30" s="1875" customFormat="1" ht="22.5" customHeight="1">
      <c r="A365" s="591"/>
      <c r="B365" s="548"/>
      <c r="C365" s="624"/>
      <c r="D365" s="2020"/>
      <c r="E365" s="2023"/>
      <c r="F365" s="549"/>
      <c r="G365" s="2717"/>
      <c r="H365" s="551"/>
      <c r="I365" s="557"/>
      <c r="J365" s="3530" t="s">
        <v>2193</v>
      </c>
      <c r="K365" s="3527"/>
      <c r="L365" s="3527"/>
      <c r="M365" s="3527"/>
      <c r="N365" s="3527"/>
      <c r="O365" s="3527"/>
      <c r="P365" s="3527"/>
      <c r="Q365" s="3109"/>
      <c r="R365" s="552"/>
      <c r="S365" s="3108">
        <v>5000000</v>
      </c>
      <c r="T365" s="3531" t="s">
        <v>368</v>
      </c>
      <c r="U365" s="3531"/>
      <c r="V365" s="3531">
        <v>1</v>
      </c>
      <c r="W365" s="3531" t="s">
        <v>369</v>
      </c>
      <c r="X365" s="2030" t="s">
        <v>370</v>
      </c>
      <c r="Y365" s="871">
        <f t="shared" si="105"/>
        <v>5000</v>
      </c>
      <c r="Z365" s="555">
        <f t="shared" si="121"/>
        <v>5000000</v>
      </c>
      <c r="AA365" s="547"/>
      <c r="AB365" s="1891"/>
      <c r="AC365" s="1895"/>
      <c r="AD365" s="456"/>
    </row>
    <row r="366" spans="1:30" s="1875" customFormat="1" ht="22.5" customHeight="1">
      <c r="A366" s="591"/>
      <c r="B366" s="548"/>
      <c r="C366" s="624"/>
      <c r="D366" s="2020"/>
      <c r="E366" s="2023" t="s">
        <v>380</v>
      </c>
      <c r="F366" s="549">
        <f>Y366</f>
        <v>20300</v>
      </c>
      <c r="G366" s="2717">
        <v>20300</v>
      </c>
      <c r="H366" s="551"/>
      <c r="I366" s="557"/>
      <c r="J366" s="3530" t="s">
        <v>224</v>
      </c>
      <c r="K366" s="3527"/>
      <c r="L366" s="3527"/>
      <c r="M366" s="3527"/>
      <c r="N366" s="3527"/>
      <c r="O366" s="3527"/>
      <c r="P366" s="3527"/>
      <c r="Q366" s="3109" t="s">
        <v>770</v>
      </c>
      <c r="R366" s="552" t="s">
        <v>770</v>
      </c>
      <c r="S366" s="3108"/>
      <c r="T366" s="3531"/>
      <c r="U366" s="3531"/>
      <c r="V366" s="3531"/>
      <c r="W366" s="3531"/>
      <c r="X366" s="2030"/>
      <c r="Y366" s="871">
        <f t="shared" si="105"/>
        <v>20300</v>
      </c>
      <c r="Z366" s="555">
        <f>SUM(Z367:Z374)</f>
        <v>20300000</v>
      </c>
      <c r="AA366" s="547"/>
      <c r="AB366" s="1891"/>
      <c r="AC366" s="1895"/>
      <c r="AD366" s="456"/>
    </row>
    <row r="367" spans="1:30" s="1875" customFormat="1" ht="22.5" customHeight="1">
      <c r="A367" s="591"/>
      <c r="B367" s="548"/>
      <c r="C367" s="624"/>
      <c r="D367" s="2020"/>
      <c r="E367" s="2023"/>
      <c r="F367" s="549"/>
      <c r="G367" s="2717"/>
      <c r="H367" s="551"/>
      <c r="I367" s="557"/>
      <c r="J367" s="3530" t="s">
        <v>2194</v>
      </c>
      <c r="K367" s="3527"/>
      <c r="L367" s="3527"/>
      <c r="M367" s="3527"/>
      <c r="N367" s="3527"/>
      <c r="O367" s="3527"/>
      <c r="P367" s="3527"/>
      <c r="Q367" s="3109"/>
      <c r="R367" s="552"/>
      <c r="S367" s="3108">
        <v>500000</v>
      </c>
      <c r="T367" s="3531" t="s">
        <v>368</v>
      </c>
      <c r="U367" s="3531"/>
      <c r="V367" s="3531">
        <v>4</v>
      </c>
      <c r="W367" s="3531" t="s">
        <v>369</v>
      </c>
      <c r="X367" s="2030" t="s">
        <v>370</v>
      </c>
      <c r="Y367" s="871">
        <f t="shared" si="105"/>
        <v>2000</v>
      </c>
      <c r="Z367" s="555">
        <f t="shared" ref="Z367:Z374" si="122">S367*V367</f>
        <v>2000000</v>
      </c>
      <c r="AA367" s="547"/>
      <c r="AB367" s="1891"/>
      <c r="AC367" s="1895"/>
      <c r="AD367" s="456"/>
    </row>
    <row r="368" spans="1:30" s="1875" customFormat="1" ht="22.5" customHeight="1">
      <c r="A368" s="591"/>
      <c r="B368" s="548"/>
      <c r="C368" s="624"/>
      <c r="D368" s="2020"/>
      <c r="E368" s="2023"/>
      <c r="F368" s="549"/>
      <c r="G368" s="2717"/>
      <c r="H368" s="551"/>
      <c r="I368" s="557"/>
      <c r="J368" s="3530" t="s">
        <v>2195</v>
      </c>
      <c r="K368" s="3527"/>
      <c r="L368" s="3527"/>
      <c r="M368" s="3527"/>
      <c r="N368" s="3527"/>
      <c r="O368" s="3527"/>
      <c r="P368" s="3527"/>
      <c r="Q368" s="3109"/>
      <c r="R368" s="552"/>
      <c r="S368" s="3108">
        <v>3500000</v>
      </c>
      <c r="T368" s="3531" t="s">
        <v>368</v>
      </c>
      <c r="U368" s="3531"/>
      <c r="V368" s="3531">
        <v>2</v>
      </c>
      <c r="W368" s="3531" t="s">
        <v>369</v>
      </c>
      <c r="X368" s="2030" t="s">
        <v>370</v>
      </c>
      <c r="Y368" s="871">
        <f t="shared" si="105"/>
        <v>7000</v>
      </c>
      <c r="Z368" s="555">
        <f t="shared" si="122"/>
        <v>7000000</v>
      </c>
      <c r="AA368" s="547"/>
      <c r="AB368" s="1891"/>
      <c r="AC368" s="1895"/>
      <c r="AD368" s="456"/>
    </row>
    <row r="369" spans="1:30" s="1875" customFormat="1" ht="22.5" customHeight="1">
      <c r="A369" s="591"/>
      <c r="B369" s="548"/>
      <c r="C369" s="624"/>
      <c r="D369" s="2020"/>
      <c r="E369" s="2023"/>
      <c r="F369" s="549"/>
      <c r="G369" s="2717"/>
      <c r="H369" s="551"/>
      <c r="I369" s="557"/>
      <c r="J369" s="3530" t="s">
        <v>2196</v>
      </c>
      <c r="K369" s="3527"/>
      <c r="L369" s="3527"/>
      <c r="M369" s="3527"/>
      <c r="N369" s="3527"/>
      <c r="O369" s="3527"/>
      <c r="P369" s="3527"/>
      <c r="Q369" s="556"/>
      <c r="R369" s="3532"/>
      <c r="S369" s="3531">
        <v>50000</v>
      </c>
      <c r="T369" s="3531" t="s">
        <v>368</v>
      </c>
      <c r="U369" s="3531"/>
      <c r="V369" s="3531">
        <v>10</v>
      </c>
      <c r="W369" s="3531" t="s">
        <v>1467</v>
      </c>
      <c r="X369" s="2030" t="s">
        <v>21</v>
      </c>
      <c r="Y369" s="871">
        <f t="shared" si="105"/>
        <v>500</v>
      </c>
      <c r="Z369" s="1898">
        <f t="shared" si="122"/>
        <v>500000</v>
      </c>
      <c r="AA369" s="547"/>
      <c r="AB369" s="1891"/>
      <c r="AC369" s="1895"/>
      <c r="AD369" s="456"/>
    </row>
    <row r="370" spans="1:30" s="1875" customFormat="1" ht="22.5" customHeight="1">
      <c r="A370" s="591"/>
      <c r="B370" s="548"/>
      <c r="C370" s="624"/>
      <c r="D370" s="2020"/>
      <c r="E370" s="532"/>
      <c r="F370" s="549"/>
      <c r="G370" s="2717"/>
      <c r="H370" s="551"/>
      <c r="I370" s="557"/>
      <c r="J370" s="3530" t="s">
        <v>2197</v>
      </c>
      <c r="K370" s="3527"/>
      <c r="L370" s="3527"/>
      <c r="M370" s="3527"/>
      <c r="N370" s="3527"/>
      <c r="O370" s="3527"/>
      <c r="P370" s="3527"/>
      <c r="Q370" s="556"/>
      <c r="R370" s="3532"/>
      <c r="S370" s="3531">
        <v>3500000</v>
      </c>
      <c r="T370" s="3531" t="s">
        <v>368</v>
      </c>
      <c r="U370" s="3531"/>
      <c r="V370" s="3531">
        <v>1</v>
      </c>
      <c r="W370" s="3531" t="s">
        <v>240</v>
      </c>
      <c r="X370" s="2030" t="s">
        <v>21</v>
      </c>
      <c r="Y370" s="871">
        <f t="shared" si="105"/>
        <v>3500</v>
      </c>
      <c r="Z370" s="1898">
        <f t="shared" si="122"/>
        <v>3500000</v>
      </c>
      <c r="AA370" s="547"/>
      <c r="AB370" s="1891"/>
      <c r="AC370" s="1895"/>
      <c r="AD370" s="456"/>
    </row>
    <row r="371" spans="1:30" s="1875" customFormat="1" ht="22.5" customHeight="1">
      <c r="A371" s="591"/>
      <c r="B371" s="548"/>
      <c r="C371" s="624"/>
      <c r="D371" s="2020"/>
      <c r="E371" s="532"/>
      <c r="F371" s="549"/>
      <c r="G371" s="2717"/>
      <c r="H371" s="551"/>
      <c r="I371" s="557"/>
      <c r="J371" s="3530" t="s">
        <v>2198</v>
      </c>
      <c r="K371" s="3527"/>
      <c r="L371" s="3527"/>
      <c r="M371" s="3527"/>
      <c r="N371" s="3527"/>
      <c r="O371" s="3527"/>
      <c r="P371" s="3527"/>
      <c r="Q371" s="556"/>
      <c r="R371" s="3532"/>
      <c r="S371" s="3531">
        <v>200000</v>
      </c>
      <c r="T371" s="3531" t="s">
        <v>368</v>
      </c>
      <c r="U371" s="3531"/>
      <c r="V371" s="3531">
        <v>11</v>
      </c>
      <c r="W371" s="3531" t="s">
        <v>259</v>
      </c>
      <c r="X371" s="2030"/>
      <c r="Y371" s="871">
        <f t="shared" si="105"/>
        <v>2200</v>
      </c>
      <c r="Z371" s="1898">
        <f t="shared" si="122"/>
        <v>2200000</v>
      </c>
      <c r="AA371" s="547"/>
      <c r="AB371" s="1891"/>
      <c r="AC371" s="1895"/>
      <c r="AD371" s="456"/>
    </row>
    <row r="372" spans="1:30" s="1875" customFormat="1" ht="22.5" customHeight="1">
      <c r="A372" s="591"/>
      <c r="B372" s="548"/>
      <c r="C372" s="624"/>
      <c r="D372" s="2020"/>
      <c r="E372" s="532"/>
      <c r="F372" s="549"/>
      <c r="G372" s="2717"/>
      <c r="H372" s="551"/>
      <c r="I372" s="557"/>
      <c r="J372" s="3530" t="s">
        <v>2199</v>
      </c>
      <c r="K372" s="3527"/>
      <c r="L372" s="3527"/>
      <c r="M372" s="3527"/>
      <c r="N372" s="3527"/>
      <c r="O372" s="3527"/>
      <c r="P372" s="3527"/>
      <c r="Q372" s="556"/>
      <c r="R372" s="3532"/>
      <c r="S372" s="3531">
        <v>300000</v>
      </c>
      <c r="T372" s="3531" t="s">
        <v>368</v>
      </c>
      <c r="U372" s="3531"/>
      <c r="V372" s="3531">
        <v>12</v>
      </c>
      <c r="W372" s="3531" t="s">
        <v>369</v>
      </c>
      <c r="X372" s="2030"/>
      <c r="Y372" s="871">
        <f t="shared" si="105"/>
        <v>3600</v>
      </c>
      <c r="Z372" s="1898">
        <f t="shared" si="122"/>
        <v>3600000</v>
      </c>
      <c r="AA372" s="547"/>
      <c r="AB372" s="1891"/>
      <c r="AC372" s="1895"/>
      <c r="AD372" s="456"/>
    </row>
    <row r="373" spans="1:30" s="1875" customFormat="1" ht="22.5" customHeight="1">
      <c r="A373" s="591"/>
      <c r="B373" s="548"/>
      <c r="C373" s="624"/>
      <c r="D373" s="2020"/>
      <c r="E373" s="532"/>
      <c r="F373" s="549"/>
      <c r="G373" s="2717"/>
      <c r="H373" s="551"/>
      <c r="I373" s="557"/>
      <c r="J373" s="3530" t="s">
        <v>2200</v>
      </c>
      <c r="K373" s="3527"/>
      <c r="L373" s="3527"/>
      <c r="M373" s="3527"/>
      <c r="N373" s="3527"/>
      <c r="O373" s="3527"/>
      <c r="P373" s="3527"/>
      <c r="Q373" s="556"/>
      <c r="R373" s="3532"/>
      <c r="S373" s="3531">
        <v>500000</v>
      </c>
      <c r="T373" s="3531" t="s">
        <v>368</v>
      </c>
      <c r="U373" s="3531"/>
      <c r="V373" s="3531">
        <v>2</v>
      </c>
      <c r="W373" s="3531" t="s">
        <v>369</v>
      </c>
      <c r="X373" s="2030"/>
      <c r="Y373" s="871">
        <f t="shared" si="105"/>
        <v>1000</v>
      </c>
      <c r="Z373" s="1898">
        <f t="shared" si="122"/>
        <v>1000000</v>
      </c>
      <c r="AA373" s="547"/>
      <c r="AB373" s="1891"/>
      <c r="AC373" s="1895"/>
      <c r="AD373" s="456"/>
    </row>
    <row r="374" spans="1:30" s="1875" customFormat="1" ht="22.5" customHeight="1">
      <c r="A374" s="591"/>
      <c r="B374" s="548"/>
      <c r="C374" s="624"/>
      <c r="D374" s="2020"/>
      <c r="E374" s="532"/>
      <c r="F374" s="549"/>
      <c r="G374" s="2717"/>
      <c r="H374" s="551"/>
      <c r="I374" s="557"/>
      <c r="J374" s="3530" t="s">
        <v>2201</v>
      </c>
      <c r="K374" s="3527"/>
      <c r="L374" s="3527"/>
      <c r="M374" s="3527"/>
      <c r="N374" s="3527"/>
      <c r="O374" s="3527"/>
      <c r="P374" s="3527"/>
      <c r="Q374" s="556"/>
      <c r="R374" s="3532"/>
      <c r="S374" s="3531">
        <v>1000</v>
      </c>
      <c r="T374" s="3531" t="s">
        <v>368</v>
      </c>
      <c r="U374" s="3531"/>
      <c r="V374" s="3531">
        <v>500</v>
      </c>
      <c r="W374" s="3531"/>
      <c r="X374" s="2030"/>
      <c r="Y374" s="871">
        <f t="shared" si="105"/>
        <v>500</v>
      </c>
      <c r="Z374" s="1898">
        <f t="shared" si="122"/>
        <v>500000</v>
      </c>
      <c r="AA374" s="547"/>
      <c r="AB374" s="1891"/>
      <c r="AC374" s="1895"/>
      <c r="AD374" s="456"/>
    </row>
    <row r="375" spans="1:30" s="1875" customFormat="1" ht="22.5" customHeight="1">
      <c r="A375" s="591"/>
      <c r="B375" s="548"/>
      <c r="C375" s="624"/>
      <c r="D375" s="2712"/>
      <c r="E375" s="2023" t="s">
        <v>431</v>
      </c>
      <c r="F375" s="549">
        <f>Y375</f>
        <v>581000</v>
      </c>
      <c r="G375" s="2717">
        <v>581000</v>
      </c>
      <c r="H375" s="551"/>
      <c r="I375" s="557"/>
      <c r="J375" s="3530" t="s">
        <v>224</v>
      </c>
      <c r="K375" s="3527"/>
      <c r="L375" s="3527"/>
      <c r="M375" s="3527"/>
      <c r="N375" s="3527"/>
      <c r="O375" s="3527"/>
      <c r="P375" s="3527"/>
      <c r="Q375" s="3109" t="s">
        <v>770</v>
      </c>
      <c r="R375" s="552" t="s">
        <v>770</v>
      </c>
      <c r="S375" s="3108"/>
      <c r="T375" s="3531"/>
      <c r="U375" s="3531"/>
      <c r="V375" s="3531"/>
      <c r="W375" s="3531"/>
      <c r="X375" s="2030"/>
      <c r="Y375" s="871">
        <f t="shared" si="105"/>
        <v>581000</v>
      </c>
      <c r="Z375" s="1898">
        <f>SUM(Z376:Z382)</f>
        <v>581000000</v>
      </c>
      <c r="AA375" s="547"/>
      <c r="AB375" s="1891"/>
      <c r="AC375" s="1895"/>
      <c r="AD375" s="456"/>
    </row>
    <row r="376" spans="1:30" s="1875" customFormat="1" ht="22.5" customHeight="1">
      <c r="A376" s="591"/>
      <c r="B376" s="548"/>
      <c r="C376" s="624"/>
      <c r="D376" s="2020"/>
      <c r="E376" s="2023"/>
      <c r="F376" s="549"/>
      <c r="G376" s="2717"/>
      <c r="H376" s="551"/>
      <c r="I376" s="557"/>
      <c r="J376" s="3530" t="s">
        <v>2202</v>
      </c>
      <c r="K376" s="3527"/>
      <c r="L376" s="3527"/>
      <c r="M376" s="3527"/>
      <c r="N376" s="3527"/>
      <c r="O376" s="3527"/>
      <c r="P376" s="3527"/>
      <c r="Q376" s="3109"/>
      <c r="R376" s="552"/>
      <c r="S376" s="3108">
        <v>370000000</v>
      </c>
      <c r="T376" s="3531" t="s">
        <v>368</v>
      </c>
      <c r="U376" s="3531"/>
      <c r="V376" s="3531">
        <v>1</v>
      </c>
      <c r="W376" s="3531" t="s">
        <v>226</v>
      </c>
      <c r="X376" s="2030" t="s">
        <v>370</v>
      </c>
      <c r="Y376" s="871">
        <f t="shared" si="105"/>
        <v>370000</v>
      </c>
      <c r="Z376" s="555">
        <f t="shared" ref="Z376:Z381" si="123">S376*V376</f>
        <v>370000000</v>
      </c>
      <c r="AA376" s="547"/>
      <c r="AB376" s="1891"/>
      <c r="AC376" s="1895"/>
      <c r="AD376" s="456"/>
    </row>
    <row r="377" spans="1:30" s="1875" customFormat="1" ht="22.5" customHeight="1">
      <c r="A377" s="591"/>
      <c r="B377" s="548"/>
      <c r="C377" s="624"/>
      <c r="D377" s="2020"/>
      <c r="E377" s="2023"/>
      <c r="F377" s="549"/>
      <c r="G377" s="2717"/>
      <c r="H377" s="551"/>
      <c r="I377" s="557"/>
      <c r="J377" s="3530" t="s">
        <v>2203</v>
      </c>
      <c r="K377" s="3527"/>
      <c r="L377" s="3527"/>
      <c r="M377" s="3527"/>
      <c r="N377" s="3527"/>
      <c r="O377" s="3527"/>
      <c r="P377" s="3527"/>
      <c r="Q377" s="3109"/>
      <c r="R377" s="552"/>
      <c r="S377" s="3108">
        <v>30000000</v>
      </c>
      <c r="T377" s="3531" t="s">
        <v>368</v>
      </c>
      <c r="U377" s="3531"/>
      <c r="V377" s="3531">
        <v>3</v>
      </c>
      <c r="W377" s="3531" t="s">
        <v>226</v>
      </c>
      <c r="X377" s="2030" t="s">
        <v>370</v>
      </c>
      <c r="Y377" s="871">
        <f t="shared" si="105"/>
        <v>90000</v>
      </c>
      <c r="Z377" s="555">
        <f t="shared" si="123"/>
        <v>90000000</v>
      </c>
      <c r="AA377" s="547"/>
      <c r="AB377" s="1891"/>
      <c r="AC377" s="1895"/>
      <c r="AD377" s="456"/>
    </row>
    <row r="378" spans="1:30" s="1875" customFormat="1" ht="22.5" customHeight="1">
      <c r="A378" s="591"/>
      <c r="B378" s="548"/>
      <c r="C378" s="624"/>
      <c r="D378" s="2020"/>
      <c r="E378" s="2023"/>
      <c r="F378" s="549"/>
      <c r="G378" s="2717"/>
      <c r="H378" s="551"/>
      <c r="I378" s="557"/>
      <c r="J378" s="3530" t="s">
        <v>2204</v>
      </c>
      <c r="K378" s="3527"/>
      <c r="L378" s="3527"/>
      <c r="M378" s="3527"/>
      <c r="N378" s="3527"/>
      <c r="O378" s="3527"/>
      <c r="P378" s="3527"/>
      <c r="Q378" s="3109"/>
      <c r="R378" s="552"/>
      <c r="S378" s="3108">
        <v>5000000</v>
      </c>
      <c r="T378" s="3531" t="s">
        <v>368</v>
      </c>
      <c r="U378" s="3531"/>
      <c r="V378" s="3531">
        <v>3</v>
      </c>
      <c r="W378" s="3531" t="s">
        <v>226</v>
      </c>
      <c r="X378" s="2030" t="s">
        <v>370</v>
      </c>
      <c r="Y378" s="871">
        <f t="shared" si="105"/>
        <v>15000</v>
      </c>
      <c r="Z378" s="555">
        <f t="shared" si="123"/>
        <v>15000000</v>
      </c>
      <c r="AA378" s="547"/>
      <c r="AB378" s="1891"/>
      <c r="AC378" s="1895"/>
      <c r="AD378" s="456"/>
    </row>
    <row r="379" spans="1:30" s="1875" customFormat="1" ht="22.5" customHeight="1">
      <c r="A379" s="591"/>
      <c r="B379" s="548"/>
      <c r="C379" s="624"/>
      <c r="D379" s="2020"/>
      <c r="E379" s="2023"/>
      <c r="F379" s="549"/>
      <c r="G379" s="2717"/>
      <c r="H379" s="551"/>
      <c r="I379" s="557"/>
      <c r="J379" s="3530" t="s">
        <v>2205</v>
      </c>
      <c r="K379" s="3527"/>
      <c r="L379" s="3527"/>
      <c r="M379" s="3527"/>
      <c r="N379" s="3527"/>
      <c r="O379" s="3527"/>
      <c r="P379" s="3527"/>
      <c r="Q379" s="3109"/>
      <c r="R379" s="552"/>
      <c r="S379" s="3108">
        <v>11000000</v>
      </c>
      <c r="T379" s="3531" t="s">
        <v>368</v>
      </c>
      <c r="U379" s="3531"/>
      <c r="V379" s="3531">
        <v>2</v>
      </c>
      <c r="W379" s="3531" t="s">
        <v>226</v>
      </c>
      <c r="X379" s="2030" t="s">
        <v>370</v>
      </c>
      <c r="Y379" s="871">
        <f t="shared" si="105"/>
        <v>22000</v>
      </c>
      <c r="Z379" s="555">
        <f t="shared" si="123"/>
        <v>22000000</v>
      </c>
      <c r="AA379" s="547"/>
      <c r="AB379" s="1891"/>
      <c r="AC379" s="1895"/>
      <c r="AD379" s="456"/>
    </row>
    <row r="380" spans="1:30" s="1875" customFormat="1" ht="22.5" customHeight="1">
      <c r="A380" s="591"/>
      <c r="B380" s="548"/>
      <c r="C380" s="624"/>
      <c r="D380" s="2020"/>
      <c r="E380" s="2023"/>
      <c r="F380" s="549"/>
      <c r="G380" s="2717"/>
      <c r="H380" s="551"/>
      <c r="I380" s="557"/>
      <c r="J380" s="3530" t="s">
        <v>2206</v>
      </c>
      <c r="K380" s="3527"/>
      <c r="L380" s="3527"/>
      <c r="M380" s="3527"/>
      <c r="N380" s="3527"/>
      <c r="O380" s="3527"/>
      <c r="P380" s="3527"/>
      <c r="Q380" s="3109"/>
      <c r="R380" s="552"/>
      <c r="S380" s="3108">
        <v>50000000</v>
      </c>
      <c r="T380" s="3531" t="s">
        <v>368</v>
      </c>
      <c r="U380" s="3531"/>
      <c r="V380" s="3531">
        <v>1</v>
      </c>
      <c r="W380" s="3531" t="s">
        <v>226</v>
      </c>
      <c r="X380" s="2030" t="s">
        <v>370</v>
      </c>
      <c r="Y380" s="871">
        <f t="shared" si="105"/>
        <v>50000</v>
      </c>
      <c r="Z380" s="555">
        <f t="shared" si="123"/>
        <v>50000000</v>
      </c>
      <c r="AA380" s="547"/>
      <c r="AB380" s="1891"/>
      <c r="AC380" s="1895"/>
      <c r="AD380" s="456"/>
    </row>
    <row r="381" spans="1:30" s="1875" customFormat="1" ht="22.5" customHeight="1">
      <c r="A381" s="591"/>
      <c r="B381" s="548"/>
      <c r="C381" s="624"/>
      <c r="D381" s="2020"/>
      <c r="E381" s="532"/>
      <c r="F381" s="549"/>
      <c r="G381" s="2717"/>
      <c r="H381" s="551"/>
      <c r="I381" s="557"/>
      <c r="J381" s="3530" t="s">
        <v>2207</v>
      </c>
      <c r="K381" s="3527"/>
      <c r="L381" s="3527"/>
      <c r="M381" s="3527"/>
      <c r="N381" s="3527"/>
      <c r="O381" s="3527"/>
      <c r="P381" s="3527"/>
      <c r="Q381" s="3109"/>
      <c r="R381" s="552"/>
      <c r="S381" s="3108">
        <v>7000000</v>
      </c>
      <c r="T381" s="3531" t="s">
        <v>368</v>
      </c>
      <c r="U381" s="3531"/>
      <c r="V381" s="3531">
        <v>2</v>
      </c>
      <c r="W381" s="3531" t="s">
        <v>369</v>
      </c>
      <c r="X381" s="2030" t="s">
        <v>370</v>
      </c>
      <c r="Y381" s="871">
        <f t="shared" si="105"/>
        <v>14000</v>
      </c>
      <c r="Z381" s="555">
        <f t="shared" si="123"/>
        <v>14000000</v>
      </c>
      <c r="AA381" s="547"/>
      <c r="AB381" s="1891"/>
      <c r="AC381" s="1895"/>
      <c r="AD381" s="456"/>
    </row>
    <row r="382" spans="1:30" s="1875" customFormat="1" ht="22.5" customHeight="1">
      <c r="A382" s="591"/>
      <c r="B382" s="624"/>
      <c r="C382" s="624"/>
      <c r="D382" s="2020"/>
      <c r="E382" s="532"/>
      <c r="F382" s="549"/>
      <c r="G382" s="2717"/>
      <c r="H382" s="551"/>
      <c r="I382" s="557"/>
      <c r="J382" s="3530" t="s">
        <v>2208</v>
      </c>
      <c r="K382" s="3527"/>
      <c r="L382" s="3527"/>
      <c r="M382" s="3527"/>
      <c r="N382" s="3527"/>
      <c r="O382" s="3527"/>
      <c r="P382" s="3527"/>
      <c r="Q382" s="556"/>
      <c r="R382" s="3532"/>
      <c r="S382" s="3531">
        <v>20000000</v>
      </c>
      <c r="T382" s="3531" t="s">
        <v>368</v>
      </c>
      <c r="U382" s="3531"/>
      <c r="V382" s="3531">
        <v>1</v>
      </c>
      <c r="W382" s="3531" t="s">
        <v>240</v>
      </c>
      <c r="X382" s="2030" t="s">
        <v>21</v>
      </c>
      <c r="Y382" s="871">
        <f t="shared" si="105"/>
        <v>20000</v>
      </c>
      <c r="Z382" s="1898">
        <f>S382*V382</f>
        <v>20000000</v>
      </c>
      <c r="AA382" s="547"/>
      <c r="AB382" s="1891"/>
      <c r="AC382" s="1895"/>
      <c r="AD382" s="456"/>
    </row>
    <row r="383" spans="1:30" s="1875" customFormat="1" ht="22.5" customHeight="1">
      <c r="A383" s="591"/>
      <c r="B383" s="624"/>
      <c r="C383" s="541"/>
      <c r="D383" s="624"/>
      <c r="E383" s="2023" t="s">
        <v>262</v>
      </c>
      <c r="F383" s="549">
        <f>Y383</f>
        <v>31000</v>
      </c>
      <c r="G383" s="2717">
        <v>31000</v>
      </c>
      <c r="H383" s="551"/>
      <c r="I383" s="557"/>
      <c r="J383" s="3530" t="s">
        <v>224</v>
      </c>
      <c r="K383" s="3527"/>
      <c r="L383" s="3527"/>
      <c r="M383" s="3527"/>
      <c r="N383" s="3527"/>
      <c r="O383" s="3527"/>
      <c r="P383" s="3527"/>
      <c r="Q383" s="3109" t="s">
        <v>770</v>
      </c>
      <c r="R383" s="552" t="s">
        <v>770</v>
      </c>
      <c r="S383" s="3108"/>
      <c r="T383" s="3531"/>
      <c r="U383" s="3531"/>
      <c r="V383" s="3531"/>
      <c r="W383" s="3531"/>
      <c r="X383" s="2030"/>
      <c r="Y383" s="871">
        <f t="shared" si="105"/>
        <v>31000</v>
      </c>
      <c r="Z383" s="555">
        <f>SUM(Z384:Z385)</f>
        <v>31000000</v>
      </c>
      <c r="AA383" s="547"/>
      <c r="AB383" s="1891"/>
      <c r="AC383" s="1895"/>
      <c r="AD383" s="456"/>
    </row>
    <row r="384" spans="1:30" s="1875" customFormat="1" ht="22.5" customHeight="1">
      <c r="A384" s="591"/>
      <c r="B384" s="624"/>
      <c r="C384" s="541"/>
      <c r="D384" s="624"/>
      <c r="E384" s="2023"/>
      <c r="F384" s="549"/>
      <c r="G384" s="2717"/>
      <c r="H384" s="551"/>
      <c r="I384" s="557"/>
      <c r="J384" s="3530" t="s">
        <v>2209</v>
      </c>
      <c r="K384" s="3527"/>
      <c r="L384" s="3527"/>
      <c r="M384" s="3527"/>
      <c r="N384" s="3527"/>
      <c r="O384" s="3527"/>
      <c r="P384" s="3527"/>
      <c r="Q384" s="3109"/>
      <c r="R384" s="552"/>
      <c r="S384" s="3108">
        <v>1500000</v>
      </c>
      <c r="T384" s="3531" t="s">
        <v>368</v>
      </c>
      <c r="U384" s="3531"/>
      <c r="V384" s="3531">
        <v>10</v>
      </c>
      <c r="W384" s="3531" t="s">
        <v>230</v>
      </c>
      <c r="X384" s="2030" t="s">
        <v>370</v>
      </c>
      <c r="Y384" s="871">
        <f t="shared" ref="Y384:Y389" si="124">Z384/1000</f>
        <v>15000</v>
      </c>
      <c r="Z384" s="555">
        <f t="shared" ref="Z384" si="125">S384*V384</f>
        <v>15000000</v>
      </c>
      <c r="AA384" s="547"/>
      <c r="AB384" s="1891"/>
      <c r="AC384" s="1895"/>
      <c r="AD384" s="456"/>
    </row>
    <row r="385" spans="1:30" s="1875" customFormat="1" ht="22.5" customHeight="1">
      <c r="A385" s="591"/>
      <c r="B385" s="624"/>
      <c r="C385" s="541"/>
      <c r="D385" s="624"/>
      <c r="E385" s="2023"/>
      <c r="F385" s="549"/>
      <c r="G385" s="2717"/>
      <c r="H385" s="551"/>
      <c r="I385" s="557"/>
      <c r="J385" s="3530" t="s">
        <v>2210</v>
      </c>
      <c r="K385" s="3527"/>
      <c r="L385" s="3527"/>
      <c r="M385" s="3527"/>
      <c r="N385" s="3527"/>
      <c r="O385" s="3527"/>
      <c r="P385" s="3527"/>
      <c r="Q385" s="3109">
        <v>2</v>
      </c>
      <c r="R385" s="552" t="s">
        <v>19</v>
      </c>
      <c r="S385" s="3108">
        <v>800000</v>
      </c>
      <c r="T385" s="3531" t="s">
        <v>368</v>
      </c>
      <c r="U385" s="3531"/>
      <c r="V385" s="3531">
        <v>10</v>
      </c>
      <c r="W385" s="3531" t="s">
        <v>230</v>
      </c>
      <c r="X385" s="2030" t="s">
        <v>370</v>
      </c>
      <c r="Y385" s="871">
        <f t="shared" si="124"/>
        <v>16000</v>
      </c>
      <c r="Z385" s="555">
        <f>Q385*S385*V385</f>
        <v>16000000</v>
      </c>
      <c r="AA385" s="547"/>
      <c r="AB385" s="1891"/>
      <c r="AC385" s="1895"/>
      <c r="AD385" s="456"/>
    </row>
    <row r="386" spans="1:30" s="1875" customFormat="1" ht="22.5" customHeight="1">
      <c r="A386" s="591"/>
      <c r="B386" s="624"/>
      <c r="C386" s="541"/>
      <c r="D386" s="624"/>
      <c r="E386" s="2023" t="s">
        <v>551</v>
      </c>
      <c r="F386" s="549">
        <f>Y386</f>
        <v>23800</v>
      </c>
      <c r="G386" s="2717">
        <v>23800</v>
      </c>
      <c r="H386" s="551"/>
      <c r="I386" s="557"/>
      <c r="J386" s="3530" t="s">
        <v>224</v>
      </c>
      <c r="K386" s="3527"/>
      <c r="L386" s="3527"/>
      <c r="M386" s="3527"/>
      <c r="N386" s="3527"/>
      <c r="O386" s="3527"/>
      <c r="P386" s="3527"/>
      <c r="Q386" s="3109" t="s">
        <v>770</v>
      </c>
      <c r="R386" s="552" t="s">
        <v>770</v>
      </c>
      <c r="S386" s="3108"/>
      <c r="T386" s="3531"/>
      <c r="U386" s="3531"/>
      <c r="V386" s="3531"/>
      <c r="W386" s="3531"/>
      <c r="X386" s="2030"/>
      <c r="Y386" s="871">
        <f t="shared" si="124"/>
        <v>23800</v>
      </c>
      <c r="Z386" s="555">
        <f>SUM(Z387:Z389)</f>
        <v>23800000</v>
      </c>
      <c r="AA386" s="547"/>
      <c r="AB386" s="1891"/>
      <c r="AC386" s="1895"/>
      <c r="AD386" s="456"/>
    </row>
    <row r="387" spans="1:30" s="1875" customFormat="1" ht="22.5" customHeight="1">
      <c r="A387" s="591"/>
      <c r="B387" s="624"/>
      <c r="C387" s="541"/>
      <c r="D387" s="624"/>
      <c r="E387" s="2023"/>
      <c r="F387" s="549"/>
      <c r="G387" s="2717"/>
      <c r="H387" s="551"/>
      <c r="I387" s="557"/>
      <c r="J387" s="3530" t="s">
        <v>2211</v>
      </c>
      <c r="K387" s="3527"/>
      <c r="L387" s="3527"/>
      <c r="M387" s="3527"/>
      <c r="N387" s="3527"/>
      <c r="O387" s="3527"/>
      <c r="P387" s="3527"/>
      <c r="Q387" s="3109"/>
      <c r="R387" s="552"/>
      <c r="S387" s="3108">
        <v>1500000</v>
      </c>
      <c r="T387" s="3531" t="s">
        <v>368</v>
      </c>
      <c r="U387" s="3531"/>
      <c r="V387" s="3531">
        <v>11</v>
      </c>
      <c r="W387" s="3531" t="s">
        <v>230</v>
      </c>
      <c r="X387" s="2030" t="s">
        <v>370</v>
      </c>
      <c r="Y387" s="871">
        <f t="shared" si="124"/>
        <v>16500</v>
      </c>
      <c r="Z387" s="555">
        <f t="shared" ref="Z387:Z388" si="126">S387*V387</f>
        <v>16500000</v>
      </c>
      <c r="AA387" s="547"/>
      <c r="AB387" s="1891"/>
      <c r="AC387" s="1895"/>
      <c r="AD387" s="456"/>
    </row>
    <row r="388" spans="1:30" s="1875" customFormat="1" ht="22.5" customHeight="1">
      <c r="A388" s="591"/>
      <c r="B388" s="624"/>
      <c r="C388" s="541"/>
      <c r="D388" s="624"/>
      <c r="E388" s="2023"/>
      <c r="F388" s="549"/>
      <c r="G388" s="2717"/>
      <c r="H388" s="551"/>
      <c r="I388" s="557"/>
      <c r="J388" s="3530" t="s">
        <v>2212</v>
      </c>
      <c r="K388" s="3527"/>
      <c r="L388" s="3527"/>
      <c r="M388" s="3527"/>
      <c r="N388" s="3527"/>
      <c r="O388" s="3527"/>
      <c r="P388" s="3527"/>
      <c r="Q388" s="3109"/>
      <c r="R388" s="552"/>
      <c r="S388" s="3108">
        <v>500000</v>
      </c>
      <c r="T388" s="3531" t="s">
        <v>368</v>
      </c>
      <c r="U388" s="3531"/>
      <c r="V388" s="3531">
        <v>11</v>
      </c>
      <c r="W388" s="3531" t="s">
        <v>230</v>
      </c>
      <c r="X388" s="2030" t="s">
        <v>370</v>
      </c>
      <c r="Y388" s="871">
        <f t="shared" si="124"/>
        <v>5500</v>
      </c>
      <c r="Z388" s="555">
        <f t="shared" si="126"/>
        <v>5500000</v>
      </c>
      <c r="AA388" s="547"/>
      <c r="AB388" s="1891"/>
      <c r="AC388" s="1895"/>
      <c r="AD388" s="456"/>
    </row>
    <row r="389" spans="1:30" s="1875" customFormat="1" ht="22.5" customHeight="1">
      <c r="A389" s="591"/>
      <c r="B389" s="624"/>
      <c r="C389" s="541"/>
      <c r="D389" s="624"/>
      <c r="E389" s="2023"/>
      <c r="F389" s="549"/>
      <c r="G389" s="549"/>
      <c r="H389" s="551"/>
      <c r="I389" s="557"/>
      <c r="J389" s="3530" t="s">
        <v>2213</v>
      </c>
      <c r="K389" s="3527"/>
      <c r="L389" s="3527"/>
      <c r="M389" s="3527"/>
      <c r="N389" s="3527"/>
      <c r="O389" s="3527"/>
      <c r="P389" s="3527"/>
      <c r="Q389" s="3109"/>
      <c r="R389" s="552"/>
      <c r="S389" s="3108">
        <v>200000</v>
      </c>
      <c r="T389" s="3531" t="s">
        <v>368</v>
      </c>
      <c r="U389" s="3531"/>
      <c r="V389" s="3531">
        <v>9</v>
      </c>
      <c r="W389" s="3531" t="s">
        <v>230</v>
      </c>
      <c r="X389" s="2030" t="s">
        <v>370</v>
      </c>
      <c r="Y389" s="871">
        <f t="shared" si="124"/>
        <v>1800</v>
      </c>
      <c r="Z389" s="555">
        <f>S389*V389</f>
        <v>1800000</v>
      </c>
      <c r="AA389" s="547"/>
      <c r="AB389" s="1891"/>
      <c r="AC389" s="1895"/>
      <c r="AD389" s="456"/>
    </row>
    <row r="390" spans="1:30" s="1875" customFormat="1" ht="22.5" customHeight="1">
      <c r="A390" s="591"/>
      <c r="B390" s="624"/>
      <c r="C390" s="541"/>
      <c r="D390" s="624"/>
      <c r="E390" s="2023" t="s">
        <v>384</v>
      </c>
      <c r="F390" s="549">
        <f>Y390</f>
        <v>8350</v>
      </c>
      <c r="G390" s="549">
        <v>8350</v>
      </c>
      <c r="H390" s="551"/>
      <c r="I390" s="557"/>
      <c r="J390" s="681" t="s">
        <v>224</v>
      </c>
      <c r="K390" s="3515"/>
      <c r="L390" s="3515"/>
      <c r="M390" s="3515"/>
      <c r="N390" s="3515"/>
      <c r="O390" s="3515"/>
      <c r="P390" s="3515"/>
      <c r="Q390" s="869"/>
      <c r="R390" s="2127"/>
      <c r="S390" s="3164"/>
      <c r="T390" s="684"/>
      <c r="U390" s="684"/>
      <c r="V390" s="684"/>
      <c r="W390" s="684"/>
      <c r="X390" s="686"/>
      <c r="Y390" s="1022">
        <f>Z390/1000</f>
        <v>8350</v>
      </c>
      <c r="Z390" s="732">
        <f>SUM(Z391:Z392)</f>
        <v>8350000</v>
      </c>
      <c r="AA390" s="547"/>
      <c r="AB390" s="1891"/>
      <c r="AC390" s="1895"/>
      <c r="AD390" s="456"/>
    </row>
    <row r="391" spans="1:30" s="1875" customFormat="1" ht="22.5" customHeight="1">
      <c r="A391" s="591"/>
      <c r="B391" s="624"/>
      <c r="C391" s="541"/>
      <c r="D391" s="624"/>
      <c r="E391" s="2023"/>
      <c r="F391" s="549"/>
      <c r="G391" s="549"/>
      <c r="H391" s="551"/>
      <c r="I391" s="557"/>
      <c r="J391" s="681" t="s">
        <v>2214</v>
      </c>
      <c r="K391" s="3515"/>
      <c r="L391" s="3515"/>
      <c r="M391" s="3515"/>
      <c r="N391" s="3515"/>
      <c r="O391" s="3515"/>
      <c r="P391" s="3515"/>
      <c r="Q391" s="869"/>
      <c r="R391" s="2127"/>
      <c r="S391" s="1526">
        <v>50000</v>
      </c>
      <c r="T391" s="684" t="s">
        <v>368</v>
      </c>
      <c r="U391" s="684"/>
      <c r="V391" s="1038">
        <v>67</v>
      </c>
      <c r="W391" s="684" t="s">
        <v>369</v>
      </c>
      <c r="X391" s="686" t="s">
        <v>370</v>
      </c>
      <c r="Y391" s="1022">
        <f>(Z391)/1000</f>
        <v>3350</v>
      </c>
      <c r="Z391" s="732">
        <f>S391*V391</f>
        <v>3350000</v>
      </c>
      <c r="AA391" s="547"/>
      <c r="AB391" s="1891"/>
      <c r="AC391" s="1895"/>
      <c r="AD391" s="456"/>
    </row>
    <row r="392" spans="1:30" s="1875" customFormat="1" ht="22.5" customHeight="1">
      <c r="A392" s="591"/>
      <c r="B392" s="624"/>
      <c r="C392" s="541"/>
      <c r="D392" s="624"/>
      <c r="E392" s="2023"/>
      <c r="F392" s="549"/>
      <c r="G392" s="549"/>
      <c r="H392" s="551"/>
      <c r="I392" s="557"/>
      <c r="J392" s="2042" t="s">
        <v>2215</v>
      </c>
      <c r="K392" s="2043"/>
      <c r="L392" s="2043"/>
      <c r="M392" s="2043"/>
      <c r="N392" s="2043"/>
      <c r="O392" s="2043"/>
      <c r="P392" s="2043"/>
      <c r="Q392" s="1019"/>
      <c r="R392" s="1985"/>
      <c r="S392" s="3573">
        <v>100000</v>
      </c>
      <c r="T392" s="2045" t="s">
        <v>368</v>
      </c>
      <c r="U392" s="2045"/>
      <c r="V392" s="2511">
        <v>50</v>
      </c>
      <c r="W392" s="2045" t="s">
        <v>369</v>
      </c>
      <c r="X392" s="2047" t="s">
        <v>370</v>
      </c>
      <c r="Y392" s="1026">
        <f>Z392/1000</f>
        <v>5000</v>
      </c>
      <c r="Z392" s="1114">
        <f>S392*V392</f>
        <v>5000000</v>
      </c>
      <c r="AA392" s="547"/>
      <c r="AB392" s="1891"/>
      <c r="AC392" s="1895"/>
      <c r="AD392" s="456"/>
    </row>
    <row r="393" spans="1:30" s="1651" customFormat="1" ht="22.5" customHeight="1">
      <c r="A393" s="591"/>
      <c r="B393" s="624"/>
      <c r="C393" s="4109" t="s">
        <v>1453</v>
      </c>
      <c r="D393" s="4109"/>
      <c r="E393" s="4109"/>
      <c r="F393" s="825">
        <f>+F394+F399+F416</f>
        <v>2800000</v>
      </c>
      <c r="G393" s="825">
        <f>+G394+G399+G416</f>
        <v>2800000</v>
      </c>
      <c r="H393" s="627">
        <f>F393-G393</f>
        <v>0</v>
      </c>
      <c r="I393" s="557"/>
      <c r="J393" s="2960"/>
      <c r="K393" s="3517"/>
      <c r="L393" s="3517"/>
      <c r="M393" s="3517"/>
      <c r="N393" s="3517"/>
      <c r="O393" s="3517"/>
      <c r="P393" s="3517"/>
      <c r="Q393" s="618"/>
      <c r="R393" s="618"/>
      <c r="S393" s="618"/>
      <c r="T393" s="618"/>
      <c r="U393" s="618"/>
      <c r="V393" s="618"/>
      <c r="W393" s="618"/>
      <c r="X393" s="619"/>
      <c r="Y393" s="756"/>
      <c r="Z393" s="546"/>
      <c r="AA393" s="547"/>
      <c r="AB393" s="1891">
        <f>F393</f>
        <v>2800000</v>
      </c>
      <c r="AC393" s="1895"/>
      <c r="AD393" s="456"/>
    </row>
    <row r="394" spans="1:30" s="1651" customFormat="1" ht="22.5" customHeight="1">
      <c r="A394" s="591"/>
      <c r="B394" s="563"/>
      <c r="C394" s="1319"/>
      <c r="D394" s="4115" t="s">
        <v>1333</v>
      </c>
      <c r="E394" s="4115"/>
      <c r="F394" s="598">
        <f>SUM(F395:F398)</f>
        <v>2400000</v>
      </c>
      <c r="G394" s="598">
        <f>SUM(G395:G398)</f>
        <v>2400000</v>
      </c>
      <c r="H394" s="627">
        <f>F394-G394</f>
        <v>0</v>
      </c>
      <c r="I394" s="557"/>
      <c r="J394" s="2025"/>
      <c r="K394" s="2068"/>
      <c r="L394" s="2068"/>
      <c r="M394" s="2068"/>
      <c r="N394" s="2068"/>
      <c r="O394" s="2068"/>
      <c r="P394" s="2068"/>
      <c r="Q394" s="2068"/>
      <c r="R394" s="539"/>
      <c r="S394" s="2026"/>
      <c r="T394" s="2026"/>
      <c r="U394" s="2026"/>
      <c r="V394" s="2026"/>
      <c r="W394" s="2026"/>
      <c r="X394" s="2028"/>
      <c r="Y394" s="586"/>
      <c r="Z394" s="622"/>
      <c r="AA394" s="547"/>
      <c r="AB394" s="1891"/>
      <c r="AC394" s="1895"/>
      <c r="AD394" s="456"/>
    </row>
    <row r="395" spans="1:30" s="1651" customFormat="1" ht="22.5" customHeight="1">
      <c r="A395" s="591"/>
      <c r="B395" s="563"/>
      <c r="C395" s="2718"/>
      <c r="D395" s="2718"/>
      <c r="E395" s="2023" t="s">
        <v>16</v>
      </c>
      <c r="F395" s="549">
        <f>Y395</f>
        <v>2400000</v>
      </c>
      <c r="G395" s="549">
        <v>2400000</v>
      </c>
      <c r="H395" s="551"/>
      <c r="I395" s="557"/>
      <c r="J395" s="2105" t="s">
        <v>224</v>
      </c>
      <c r="K395" s="2082"/>
      <c r="L395" s="2082"/>
      <c r="M395" s="2082"/>
      <c r="N395" s="2082"/>
      <c r="O395" s="2082"/>
      <c r="P395" s="2082"/>
      <c r="Q395" s="2106"/>
      <c r="R395" s="2106"/>
      <c r="S395" s="2106"/>
      <c r="T395" s="2106"/>
      <c r="U395" s="2106"/>
      <c r="V395" s="2106"/>
      <c r="W395" s="2106"/>
      <c r="X395" s="2030"/>
      <c r="Y395" s="554">
        <f>+Z395/1000</f>
        <v>2400000</v>
      </c>
      <c r="Z395" s="555">
        <f>SUM(Z396:Z398)</f>
        <v>2400000000</v>
      </c>
      <c r="AA395" s="547"/>
      <c r="AB395" s="1891"/>
      <c r="AC395" s="1895"/>
      <c r="AD395" s="456"/>
    </row>
    <row r="396" spans="1:30" s="1651" customFormat="1" ht="22.5" customHeight="1">
      <c r="A396" s="591"/>
      <c r="B396" s="563"/>
      <c r="C396" s="624"/>
      <c r="D396" s="624"/>
      <c r="E396" s="2023"/>
      <c r="F396" s="549"/>
      <c r="G396" s="549"/>
      <c r="H396" s="551"/>
      <c r="I396" s="557"/>
      <c r="J396" s="472" t="s">
        <v>1316</v>
      </c>
      <c r="K396" s="2082"/>
      <c r="L396" s="2082"/>
      <c r="M396" s="2082"/>
      <c r="N396" s="2082"/>
      <c r="O396" s="2082"/>
      <c r="P396" s="2082"/>
      <c r="Q396" s="2106"/>
      <c r="R396" s="2106"/>
      <c r="S396" s="2106">
        <v>100000000</v>
      </c>
      <c r="T396" s="2106" t="s">
        <v>4</v>
      </c>
      <c r="U396" s="2106"/>
      <c r="V396" s="2106">
        <v>1</v>
      </c>
      <c r="W396" s="2106" t="s">
        <v>226</v>
      </c>
      <c r="X396" s="2030" t="s">
        <v>5</v>
      </c>
      <c r="Y396" s="554">
        <f>Z396/1000</f>
        <v>100000</v>
      </c>
      <c r="Z396" s="555">
        <f>S396*V396</f>
        <v>100000000</v>
      </c>
      <c r="AA396" s="547"/>
      <c r="AB396" s="1891"/>
      <c r="AC396" s="1895"/>
      <c r="AD396" s="456"/>
    </row>
    <row r="397" spans="1:30" s="1651" customFormat="1" ht="22.5" customHeight="1">
      <c r="A397" s="591"/>
      <c r="B397" s="563"/>
      <c r="C397" s="624"/>
      <c r="D397" s="624"/>
      <c r="E397" s="2023"/>
      <c r="F397" s="549"/>
      <c r="G397" s="549"/>
      <c r="H397" s="551"/>
      <c r="I397" s="557"/>
      <c r="J397" s="472" t="s">
        <v>1317</v>
      </c>
      <c r="K397" s="2082"/>
      <c r="L397" s="2082"/>
      <c r="M397" s="2082"/>
      <c r="N397" s="2082"/>
      <c r="O397" s="2082"/>
      <c r="P397" s="2082"/>
      <c r="Q397" s="2106"/>
      <c r="R397" s="2106"/>
      <c r="S397" s="2106">
        <v>2250000000</v>
      </c>
      <c r="T397" s="2106" t="s">
        <v>4</v>
      </c>
      <c r="U397" s="2106"/>
      <c r="V397" s="2106">
        <v>1</v>
      </c>
      <c r="W397" s="2106" t="s">
        <v>226</v>
      </c>
      <c r="X397" s="2030" t="s">
        <v>5</v>
      </c>
      <c r="Y397" s="554">
        <f>Z397/1000</f>
        <v>2250000</v>
      </c>
      <c r="Z397" s="555">
        <f>S397*V397</f>
        <v>2250000000</v>
      </c>
      <c r="AA397" s="547"/>
      <c r="AB397" s="1891"/>
      <c r="AC397" s="1895"/>
      <c r="AD397" s="456"/>
    </row>
    <row r="398" spans="1:30" s="1651" customFormat="1" ht="22.5" customHeight="1">
      <c r="A398" s="591"/>
      <c r="B398" s="563"/>
      <c r="C398" s="2719"/>
      <c r="D398" s="2719"/>
      <c r="E398" s="2023"/>
      <c r="F398" s="549"/>
      <c r="G398" s="549"/>
      <c r="H398" s="551"/>
      <c r="I398" s="557"/>
      <c r="J398" s="472" t="s">
        <v>1318</v>
      </c>
      <c r="K398" s="2082"/>
      <c r="L398" s="2082"/>
      <c r="M398" s="2082"/>
      <c r="N398" s="2082"/>
      <c r="O398" s="2082"/>
      <c r="P398" s="2082"/>
      <c r="Q398" s="2106"/>
      <c r="R398" s="2106"/>
      <c r="S398" s="2106">
        <v>50000000</v>
      </c>
      <c r="T398" s="2106" t="s">
        <v>4</v>
      </c>
      <c r="U398" s="2106"/>
      <c r="V398" s="2106">
        <v>1</v>
      </c>
      <c r="W398" s="2106" t="s">
        <v>226</v>
      </c>
      <c r="X398" s="2030" t="s">
        <v>5</v>
      </c>
      <c r="Y398" s="554">
        <f>Z398/1000</f>
        <v>50000</v>
      </c>
      <c r="Z398" s="555">
        <f>S398*V398</f>
        <v>50000000</v>
      </c>
      <c r="AA398" s="547"/>
      <c r="AB398" s="1891"/>
      <c r="AC398" s="1895"/>
      <c r="AD398" s="456"/>
    </row>
    <row r="399" spans="1:30" s="1651" customFormat="1" ht="22.5" customHeight="1">
      <c r="A399" s="591"/>
      <c r="B399" s="624"/>
      <c r="C399" s="624"/>
      <c r="D399" s="4105" t="s">
        <v>1334</v>
      </c>
      <c r="E399" s="4105"/>
      <c r="F399" s="528">
        <f>SUM(F400:F415)</f>
        <v>118000</v>
      </c>
      <c r="G399" s="528">
        <f>SUM(G400:G415)</f>
        <v>110000</v>
      </c>
      <c r="H399" s="627">
        <f>F399-G399</f>
        <v>8000</v>
      </c>
      <c r="I399" s="557"/>
      <c r="J399" s="2025"/>
      <c r="K399" s="2068"/>
      <c r="L399" s="2068"/>
      <c r="M399" s="2068"/>
      <c r="N399" s="2068"/>
      <c r="O399" s="2068"/>
      <c r="P399" s="2068"/>
      <c r="Q399" s="1349"/>
      <c r="R399" s="539"/>
      <c r="S399" s="545"/>
      <c r="T399" s="2026"/>
      <c r="U399" s="2026"/>
      <c r="V399" s="2026"/>
      <c r="W399" s="2026"/>
      <c r="X399" s="2028"/>
      <c r="Y399" s="517"/>
      <c r="Z399" s="622"/>
      <c r="AA399" s="547"/>
      <c r="AB399" s="1891"/>
      <c r="AC399" s="1895"/>
      <c r="AD399" s="456"/>
    </row>
    <row r="400" spans="1:30" s="1651" customFormat="1" ht="22.5" customHeight="1">
      <c r="A400" s="591"/>
      <c r="B400" s="624"/>
      <c r="C400" s="624"/>
      <c r="D400" s="2020"/>
      <c r="E400" s="2023" t="s">
        <v>229</v>
      </c>
      <c r="F400" s="526">
        <f>Y400</f>
        <v>12000</v>
      </c>
      <c r="G400" s="526">
        <v>12000</v>
      </c>
      <c r="H400" s="551"/>
      <c r="I400" s="557"/>
      <c r="J400" s="2105" t="s">
        <v>224</v>
      </c>
      <c r="K400" s="2082"/>
      <c r="L400" s="2082"/>
      <c r="M400" s="2082"/>
      <c r="N400" s="2082"/>
      <c r="O400" s="2082"/>
      <c r="P400" s="2082"/>
      <c r="Q400" s="2082"/>
      <c r="R400" s="552"/>
      <c r="S400" s="2106"/>
      <c r="T400" s="2106"/>
      <c r="U400" s="2106"/>
      <c r="V400" s="2106"/>
      <c r="W400" s="2106"/>
      <c r="X400" s="2030"/>
      <c r="Y400" s="483">
        <f>SUM(Y401:Y402)</f>
        <v>12000</v>
      </c>
      <c r="Z400" s="1898">
        <f>SUM(Z401:Z402)</f>
        <v>12000000</v>
      </c>
      <c r="AA400" s="547"/>
      <c r="AB400" s="1891"/>
      <c r="AC400" s="1895"/>
      <c r="AD400" s="456"/>
    </row>
    <row r="401" spans="1:30" s="1651" customFormat="1" ht="22.5" customHeight="1">
      <c r="A401" s="591"/>
      <c r="B401" s="624"/>
      <c r="C401" s="624"/>
      <c r="D401" s="2020"/>
      <c r="E401" s="2023"/>
      <c r="F401" s="526"/>
      <c r="G401" s="526"/>
      <c r="H401" s="551"/>
      <c r="I401" s="557"/>
      <c r="J401" s="2105" t="s">
        <v>1473</v>
      </c>
      <c r="K401" s="2082"/>
      <c r="L401" s="2082"/>
      <c r="M401" s="2082"/>
      <c r="N401" s="2082"/>
      <c r="O401" s="2082"/>
      <c r="P401" s="2082"/>
      <c r="Q401" s="2082"/>
      <c r="R401" s="552"/>
      <c r="S401" s="2106">
        <v>5000000</v>
      </c>
      <c r="T401" s="2106" t="s">
        <v>4</v>
      </c>
      <c r="U401" s="2106"/>
      <c r="V401" s="2106">
        <v>1</v>
      </c>
      <c r="W401" s="2106" t="s">
        <v>226</v>
      </c>
      <c r="X401" s="2030" t="s">
        <v>5</v>
      </c>
      <c r="Y401" s="483">
        <f>Z401/1000</f>
        <v>5000</v>
      </c>
      <c r="Z401" s="1898">
        <f>S401*V401</f>
        <v>5000000</v>
      </c>
      <c r="AA401" s="547"/>
      <c r="AB401" s="1891"/>
      <c r="AC401" s="1895"/>
      <c r="AD401" s="456"/>
    </row>
    <row r="402" spans="1:30" s="1651" customFormat="1" ht="22.5" customHeight="1">
      <c r="A402" s="591"/>
      <c r="B402" s="624"/>
      <c r="C402" s="624"/>
      <c r="D402" s="2020"/>
      <c r="E402" s="2023"/>
      <c r="F402" s="526"/>
      <c r="G402" s="526"/>
      <c r="H402" s="551"/>
      <c r="I402" s="557"/>
      <c r="J402" s="2105" t="s">
        <v>1474</v>
      </c>
      <c r="K402" s="2082"/>
      <c r="L402" s="2082"/>
      <c r="M402" s="2082"/>
      <c r="N402" s="2082"/>
      <c r="O402" s="2082"/>
      <c r="P402" s="2082"/>
      <c r="Q402" s="2082"/>
      <c r="R402" s="552"/>
      <c r="S402" s="2106">
        <v>7000000</v>
      </c>
      <c r="T402" s="2106" t="s">
        <v>4</v>
      </c>
      <c r="U402" s="2106"/>
      <c r="V402" s="2106">
        <v>1</v>
      </c>
      <c r="W402" s="2106" t="s">
        <v>226</v>
      </c>
      <c r="X402" s="2030" t="s">
        <v>5</v>
      </c>
      <c r="Y402" s="483">
        <f>Z402/1000</f>
        <v>7000</v>
      </c>
      <c r="Z402" s="1898">
        <f>S402*V402</f>
        <v>7000000</v>
      </c>
      <c r="AA402" s="547"/>
      <c r="AB402" s="1891"/>
      <c r="AC402" s="1895"/>
      <c r="AD402" s="456"/>
    </row>
    <row r="403" spans="1:30" s="1651" customFormat="1" ht="22.5" customHeight="1">
      <c r="A403" s="591"/>
      <c r="B403" s="548"/>
      <c r="C403" s="624"/>
      <c r="D403" s="2020"/>
      <c r="E403" s="2023" t="s">
        <v>225</v>
      </c>
      <c r="F403" s="549">
        <v>24000</v>
      </c>
      <c r="G403" s="549">
        <v>16000</v>
      </c>
      <c r="H403" s="551">
        <f>F403-G403</f>
        <v>8000</v>
      </c>
      <c r="I403" s="557"/>
      <c r="J403" s="2105" t="s">
        <v>1470</v>
      </c>
      <c r="K403" s="2082"/>
      <c r="L403" s="2082"/>
      <c r="M403" s="2082"/>
      <c r="N403" s="2082"/>
      <c r="O403" s="2082"/>
      <c r="P403" s="2082"/>
      <c r="Q403" s="475" t="s">
        <v>770</v>
      </c>
      <c r="R403" s="552" t="s">
        <v>770</v>
      </c>
      <c r="S403" s="474">
        <v>24000000</v>
      </c>
      <c r="T403" s="2106" t="s">
        <v>4</v>
      </c>
      <c r="U403" s="2106"/>
      <c r="V403" s="2106">
        <v>1</v>
      </c>
      <c r="W403" s="2106" t="s">
        <v>226</v>
      </c>
      <c r="X403" s="2030" t="s">
        <v>5</v>
      </c>
      <c r="Y403" s="3110">
        <f>Z403/1000</f>
        <v>24000</v>
      </c>
      <c r="Z403" s="555">
        <f>S403*V403</f>
        <v>24000000</v>
      </c>
      <c r="AA403" s="547"/>
      <c r="AB403" s="1891"/>
      <c r="AC403" s="1895"/>
      <c r="AD403" s="456"/>
    </row>
    <row r="404" spans="1:30" s="1651" customFormat="1" ht="22.5" customHeight="1">
      <c r="A404" s="591"/>
      <c r="B404" s="624"/>
      <c r="C404" s="624"/>
      <c r="D404" s="2020"/>
      <c r="E404" s="2020" t="s">
        <v>15</v>
      </c>
      <c r="F404" s="526">
        <f>Y404</f>
        <v>16500</v>
      </c>
      <c r="G404" s="526">
        <v>16500</v>
      </c>
      <c r="H404" s="551"/>
      <c r="I404" s="557"/>
      <c r="J404" s="2105" t="s">
        <v>224</v>
      </c>
      <c r="K404" s="2082"/>
      <c r="L404" s="2082"/>
      <c r="M404" s="2082"/>
      <c r="N404" s="2082"/>
      <c r="O404" s="2082"/>
      <c r="P404" s="2082"/>
      <c r="Q404" s="2082"/>
      <c r="R404" s="552"/>
      <c r="S404" s="474"/>
      <c r="T404" s="2106"/>
      <c r="U404" s="2106"/>
      <c r="V404" s="2106"/>
      <c r="W404" s="2106"/>
      <c r="X404" s="2030" t="s">
        <v>48</v>
      </c>
      <c r="Y404" s="483">
        <f t="shared" ref="Y404" si="127">+Z404/1000</f>
        <v>16500</v>
      </c>
      <c r="Z404" s="555">
        <f>SUM(Z405:Z406)</f>
        <v>16500000</v>
      </c>
      <c r="AA404" s="547"/>
      <c r="AB404" s="1891"/>
      <c r="AC404" s="1895"/>
      <c r="AD404" s="456"/>
    </row>
    <row r="405" spans="1:30" s="1651" customFormat="1" ht="22.5" customHeight="1">
      <c r="A405" s="591"/>
      <c r="B405" s="624"/>
      <c r="C405" s="624"/>
      <c r="D405" s="2020"/>
      <c r="E405" s="2020"/>
      <c r="F405" s="526"/>
      <c r="G405" s="526"/>
      <c r="H405" s="551"/>
      <c r="I405" s="557"/>
      <c r="J405" s="2105" t="s">
        <v>1476</v>
      </c>
      <c r="K405" s="2082"/>
      <c r="L405" s="2082"/>
      <c r="M405" s="2082"/>
      <c r="N405" s="2082"/>
      <c r="O405" s="2082"/>
      <c r="P405" s="2082"/>
      <c r="Q405" s="2106">
        <v>6</v>
      </c>
      <c r="R405" s="2106" t="s">
        <v>36</v>
      </c>
      <c r="S405" s="2106">
        <v>450000</v>
      </c>
      <c r="T405" s="2106" t="s">
        <v>4</v>
      </c>
      <c r="U405" s="2106"/>
      <c r="V405" s="2106">
        <v>3</v>
      </c>
      <c r="W405" s="2106" t="s">
        <v>233</v>
      </c>
      <c r="X405" s="2030" t="s">
        <v>5</v>
      </c>
      <c r="Y405" s="483">
        <f>Z405/1000</f>
        <v>8100</v>
      </c>
      <c r="Z405" s="555">
        <f>Q405*S405*V405</f>
        <v>8100000</v>
      </c>
      <c r="AA405" s="547"/>
      <c r="AB405" s="1891"/>
      <c r="AC405" s="1895"/>
      <c r="AD405" s="456"/>
    </row>
    <row r="406" spans="1:30" s="1651" customFormat="1" ht="22.5" customHeight="1">
      <c r="A406" s="591"/>
      <c r="B406" s="624"/>
      <c r="C406" s="624"/>
      <c r="D406" s="624"/>
      <c r="E406" s="2023"/>
      <c r="F406" s="526"/>
      <c r="G406" s="526"/>
      <c r="H406" s="551"/>
      <c r="I406" s="557"/>
      <c r="J406" s="2105" t="s">
        <v>1475</v>
      </c>
      <c r="K406" s="2082"/>
      <c r="L406" s="2082"/>
      <c r="M406" s="2082"/>
      <c r="N406" s="2082"/>
      <c r="O406" s="2082"/>
      <c r="P406" s="2082"/>
      <c r="Q406" s="2106">
        <v>7</v>
      </c>
      <c r="R406" s="2106" t="s">
        <v>36</v>
      </c>
      <c r="S406" s="2106">
        <v>600000</v>
      </c>
      <c r="T406" s="2106" t="s">
        <v>4</v>
      </c>
      <c r="U406" s="2106"/>
      <c r="V406" s="2106">
        <v>2</v>
      </c>
      <c r="W406" s="2106" t="s">
        <v>233</v>
      </c>
      <c r="X406" s="2030" t="s">
        <v>5</v>
      </c>
      <c r="Y406" s="483">
        <f t="shared" ref="Y406" si="128">Z406/1000</f>
        <v>8400</v>
      </c>
      <c r="Z406" s="555">
        <f t="shared" ref="Z406" si="129">Q406*S406*V406</f>
        <v>8400000</v>
      </c>
      <c r="AA406" s="547"/>
      <c r="AB406" s="1891"/>
      <c r="AC406" s="1895"/>
      <c r="AD406" s="456"/>
    </row>
    <row r="407" spans="1:30" s="1651" customFormat="1" ht="22.5" customHeight="1">
      <c r="A407" s="591"/>
      <c r="B407" s="624"/>
      <c r="C407" s="624"/>
      <c r="D407" s="2020"/>
      <c r="E407" s="2020" t="s">
        <v>16</v>
      </c>
      <c r="F407" s="526">
        <f>Y407</f>
        <v>6500</v>
      </c>
      <c r="G407" s="526">
        <v>6500</v>
      </c>
      <c r="H407" s="551"/>
      <c r="I407" s="557"/>
      <c r="J407" s="2105" t="s">
        <v>224</v>
      </c>
      <c r="K407" s="2082"/>
      <c r="L407" s="2082"/>
      <c r="M407" s="2082"/>
      <c r="N407" s="2082"/>
      <c r="O407" s="2082"/>
      <c r="P407" s="2082"/>
      <c r="Q407" s="2082"/>
      <c r="R407" s="552"/>
      <c r="S407" s="474"/>
      <c r="T407" s="2106"/>
      <c r="U407" s="2106"/>
      <c r="V407" s="2106"/>
      <c r="W407" s="2106"/>
      <c r="X407" s="2030" t="s">
        <v>48</v>
      </c>
      <c r="Y407" s="483">
        <f t="shared" ref="Y407" si="130">+Z407/1000</f>
        <v>6500</v>
      </c>
      <c r="Z407" s="555">
        <f>SUM(Z408:Z409)</f>
        <v>6500000</v>
      </c>
      <c r="AA407" s="547"/>
      <c r="AB407" s="1891"/>
      <c r="AC407" s="1895"/>
      <c r="AD407" s="456"/>
    </row>
    <row r="408" spans="1:30" s="1651" customFormat="1" ht="22.5" customHeight="1">
      <c r="A408" s="591"/>
      <c r="B408" s="624"/>
      <c r="C408" s="624"/>
      <c r="D408" s="2020"/>
      <c r="E408" s="2020"/>
      <c r="F408" s="526"/>
      <c r="G408" s="526"/>
      <c r="H408" s="551"/>
      <c r="I408" s="557"/>
      <c r="J408" s="2105" t="s">
        <v>1477</v>
      </c>
      <c r="K408" s="2082"/>
      <c r="L408" s="2082"/>
      <c r="M408" s="2082"/>
      <c r="N408" s="2082"/>
      <c r="O408" s="2082"/>
      <c r="P408" s="2082"/>
      <c r="Q408" s="2106"/>
      <c r="R408" s="2106"/>
      <c r="S408" s="2106">
        <v>1300000</v>
      </c>
      <c r="T408" s="2106" t="s">
        <v>4</v>
      </c>
      <c r="U408" s="2106"/>
      <c r="V408" s="2106">
        <v>3</v>
      </c>
      <c r="W408" s="2106" t="s">
        <v>233</v>
      </c>
      <c r="X408" s="2030" t="s">
        <v>5</v>
      </c>
      <c r="Y408" s="483">
        <f>Z408/1000</f>
        <v>3900</v>
      </c>
      <c r="Z408" s="555">
        <f>S408*V408</f>
        <v>3900000</v>
      </c>
      <c r="AA408" s="547"/>
      <c r="AB408" s="1891"/>
      <c r="AC408" s="1895"/>
      <c r="AD408" s="456"/>
    </row>
    <row r="409" spans="1:30" s="1651" customFormat="1" ht="22.5" customHeight="1">
      <c r="A409" s="591"/>
      <c r="B409" s="624"/>
      <c r="C409" s="624"/>
      <c r="D409" s="2020"/>
      <c r="E409" s="2020"/>
      <c r="F409" s="526"/>
      <c r="G409" s="526"/>
      <c r="H409" s="551"/>
      <c r="I409" s="557"/>
      <c r="J409" s="2105" t="s">
        <v>1478</v>
      </c>
      <c r="K409" s="2082"/>
      <c r="L409" s="2082"/>
      <c r="M409" s="2082"/>
      <c r="N409" s="2082"/>
      <c r="O409" s="2082"/>
      <c r="P409" s="2082"/>
      <c r="Q409" s="2106"/>
      <c r="R409" s="2106"/>
      <c r="S409" s="2106">
        <v>1300000</v>
      </c>
      <c r="T409" s="2106" t="s">
        <v>4</v>
      </c>
      <c r="U409" s="2106"/>
      <c r="V409" s="2106">
        <v>2</v>
      </c>
      <c r="W409" s="2106" t="s">
        <v>233</v>
      </c>
      <c r="X409" s="2030" t="s">
        <v>5</v>
      </c>
      <c r="Y409" s="483">
        <f>Z409/1000</f>
        <v>2600</v>
      </c>
      <c r="Z409" s="555">
        <f>S409*V409</f>
        <v>2600000</v>
      </c>
      <c r="AA409" s="547"/>
      <c r="AB409" s="1891"/>
      <c r="AC409" s="1895"/>
      <c r="AD409" s="456"/>
    </row>
    <row r="410" spans="1:30" s="1651" customFormat="1" ht="22.5" customHeight="1">
      <c r="A410" s="591"/>
      <c r="B410" s="548"/>
      <c r="C410" s="624"/>
      <c r="D410" s="2020"/>
      <c r="E410" s="2023" t="s">
        <v>262</v>
      </c>
      <c r="F410" s="549">
        <f>Y410</f>
        <v>1500</v>
      </c>
      <c r="G410" s="549">
        <v>1500</v>
      </c>
      <c r="H410" s="551"/>
      <c r="I410" s="557"/>
      <c r="J410" s="2105" t="s">
        <v>1468</v>
      </c>
      <c r="K410" s="2082"/>
      <c r="L410" s="2082"/>
      <c r="M410" s="2082"/>
      <c r="N410" s="2082"/>
      <c r="O410" s="2082"/>
      <c r="P410" s="2082"/>
      <c r="Q410" s="475" t="s">
        <v>770</v>
      </c>
      <c r="R410" s="552" t="s">
        <v>770</v>
      </c>
      <c r="S410" s="474">
        <v>1500000</v>
      </c>
      <c r="T410" s="2106" t="s">
        <v>4</v>
      </c>
      <c r="U410" s="2106"/>
      <c r="V410" s="2106">
        <v>1</v>
      </c>
      <c r="W410" s="2106" t="s">
        <v>226</v>
      </c>
      <c r="X410" s="2030" t="s">
        <v>5</v>
      </c>
      <c r="Y410" s="554">
        <f>Z410/1000</f>
        <v>1500</v>
      </c>
      <c r="Z410" s="555">
        <f>S410*V410</f>
        <v>1500000</v>
      </c>
      <c r="AA410" s="547"/>
      <c r="AB410" s="1891"/>
      <c r="AC410" s="1895"/>
      <c r="AD410" s="456"/>
    </row>
    <row r="411" spans="1:30" s="1651" customFormat="1" ht="22.5" customHeight="1">
      <c r="A411" s="591"/>
      <c r="B411" s="548"/>
      <c r="C411" s="624"/>
      <c r="D411" s="2020"/>
      <c r="E411" s="2023" t="s">
        <v>261</v>
      </c>
      <c r="F411" s="549">
        <f>Y411</f>
        <v>50000</v>
      </c>
      <c r="G411" s="549">
        <v>50000</v>
      </c>
      <c r="H411" s="551"/>
      <c r="I411" s="557"/>
      <c r="J411" s="2105" t="s">
        <v>1469</v>
      </c>
      <c r="K411" s="2082"/>
      <c r="L411" s="2082"/>
      <c r="M411" s="2082"/>
      <c r="N411" s="2082"/>
      <c r="O411" s="2082"/>
      <c r="P411" s="2082"/>
      <c r="Q411" s="475" t="s">
        <v>770</v>
      </c>
      <c r="R411" s="552" t="s">
        <v>770</v>
      </c>
      <c r="S411" s="474">
        <v>50000000</v>
      </c>
      <c r="T411" s="2106" t="s">
        <v>4</v>
      </c>
      <c r="U411" s="2106"/>
      <c r="V411" s="2106">
        <v>1</v>
      </c>
      <c r="W411" s="2106" t="s">
        <v>226</v>
      </c>
      <c r="X411" s="2030" t="s">
        <v>5</v>
      </c>
      <c r="Y411" s="554">
        <f>Z411/1000</f>
        <v>50000</v>
      </c>
      <c r="Z411" s="555">
        <f>S411*V411</f>
        <v>50000000</v>
      </c>
      <c r="AA411" s="547"/>
      <c r="AB411" s="1891"/>
      <c r="AC411" s="1895"/>
      <c r="AD411" s="456"/>
    </row>
    <row r="412" spans="1:30" s="1651" customFormat="1" ht="22.5" customHeight="1">
      <c r="A412" s="591"/>
      <c r="B412" s="624"/>
      <c r="C412" s="624"/>
      <c r="D412" s="2020"/>
      <c r="E412" s="2023" t="s">
        <v>73</v>
      </c>
      <c r="F412" s="526">
        <f>Y412</f>
        <v>6500</v>
      </c>
      <c r="G412" s="526">
        <v>6500</v>
      </c>
      <c r="H412" s="551"/>
      <c r="I412" s="557"/>
      <c r="J412" s="2105" t="s">
        <v>224</v>
      </c>
      <c r="K412" s="2082"/>
      <c r="L412" s="2082"/>
      <c r="M412" s="2082"/>
      <c r="N412" s="2082"/>
      <c r="O412" s="2082"/>
      <c r="P412" s="2082"/>
      <c r="Q412" s="2082"/>
      <c r="R412" s="552"/>
      <c r="S412" s="2106"/>
      <c r="T412" s="2106"/>
      <c r="U412" s="2106"/>
      <c r="V412" s="2106"/>
      <c r="W412" s="2106"/>
      <c r="X412" s="2030"/>
      <c r="Y412" s="483">
        <f>SUM(Y413:Y414)</f>
        <v>6500</v>
      </c>
      <c r="Z412" s="1898">
        <f>SUM(Z413:Z414)</f>
        <v>6500000</v>
      </c>
      <c r="AA412" s="547"/>
      <c r="AB412" s="1891"/>
      <c r="AC412" s="1895"/>
      <c r="AD412" s="456"/>
    </row>
    <row r="413" spans="1:30" s="1651" customFormat="1" ht="22.5" customHeight="1">
      <c r="A413" s="591"/>
      <c r="B413" s="624"/>
      <c r="C413" s="624"/>
      <c r="D413" s="2020"/>
      <c r="E413" s="2023"/>
      <c r="F413" s="526"/>
      <c r="G413" s="526"/>
      <c r="H413" s="551"/>
      <c r="I413" s="557"/>
      <c r="J413" s="2105" t="s">
        <v>1479</v>
      </c>
      <c r="K413" s="2082"/>
      <c r="L413" s="2082"/>
      <c r="M413" s="2082"/>
      <c r="N413" s="2082"/>
      <c r="O413" s="2082"/>
      <c r="P413" s="2082"/>
      <c r="Q413" s="2082"/>
      <c r="R413" s="552"/>
      <c r="S413" s="2106">
        <v>3000000</v>
      </c>
      <c r="T413" s="2106" t="s">
        <v>4</v>
      </c>
      <c r="U413" s="2106"/>
      <c r="V413" s="2106">
        <v>1</v>
      </c>
      <c r="W413" s="2106" t="s">
        <v>226</v>
      </c>
      <c r="X413" s="2030" t="s">
        <v>5</v>
      </c>
      <c r="Y413" s="483">
        <f>Z413/1000</f>
        <v>3000</v>
      </c>
      <c r="Z413" s="1898">
        <f>S413*V413</f>
        <v>3000000</v>
      </c>
      <c r="AA413" s="547"/>
      <c r="AB413" s="1891"/>
      <c r="AC413" s="1895"/>
      <c r="AD413" s="456"/>
    </row>
    <row r="414" spans="1:30" s="1651" customFormat="1" ht="22.5" customHeight="1">
      <c r="A414" s="591"/>
      <c r="B414" s="624"/>
      <c r="C414" s="624"/>
      <c r="D414" s="2020"/>
      <c r="E414" s="2023"/>
      <c r="F414" s="526"/>
      <c r="G414" s="526"/>
      <c r="H414" s="551"/>
      <c r="I414" s="557"/>
      <c r="J414" s="2105" t="s">
        <v>1480</v>
      </c>
      <c r="K414" s="2082"/>
      <c r="L414" s="2082"/>
      <c r="M414" s="2082"/>
      <c r="N414" s="2082"/>
      <c r="O414" s="2082"/>
      <c r="P414" s="2082"/>
      <c r="Q414" s="2082"/>
      <c r="R414" s="552"/>
      <c r="S414" s="2106">
        <v>3500000</v>
      </c>
      <c r="T414" s="2106" t="s">
        <v>4</v>
      </c>
      <c r="U414" s="2106"/>
      <c r="V414" s="2106">
        <v>1</v>
      </c>
      <c r="W414" s="2106" t="s">
        <v>226</v>
      </c>
      <c r="X414" s="2030" t="s">
        <v>5</v>
      </c>
      <c r="Y414" s="483">
        <f>Z414/1000</f>
        <v>3500</v>
      </c>
      <c r="Z414" s="1898">
        <f>S414*V414</f>
        <v>3500000</v>
      </c>
      <c r="AA414" s="547"/>
      <c r="AB414" s="1891"/>
      <c r="AC414" s="1895"/>
      <c r="AD414" s="456"/>
    </row>
    <row r="415" spans="1:30" s="1651" customFormat="1" ht="22.5" customHeight="1">
      <c r="A415" s="591"/>
      <c r="B415" s="624"/>
      <c r="C415" s="624"/>
      <c r="D415" s="611"/>
      <c r="E415" s="1370" t="s">
        <v>14</v>
      </c>
      <c r="F415" s="2354">
        <f>Y415</f>
        <v>1000</v>
      </c>
      <c r="G415" s="2354">
        <v>1000</v>
      </c>
      <c r="H415" s="551"/>
      <c r="I415" s="557"/>
      <c r="J415" s="614" t="s">
        <v>1471</v>
      </c>
      <c r="K415" s="510"/>
      <c r="L415" s="510"/>
      <c r="M415" s="510"/>
      <c r="N415" s="510"/>
      <c r="O415" s="510"/>
      <c r="P415" s="510"/>
      <c r="Q415" s="618"/>
      <c r="R415" s="618"/>
      <c r="S415" s="618">
        <v>100000</v>
      </c>
      <c r="T415" s="618" t="s">
        <v>4</v>
      </c>
      <c r="U415" s="618"/>
      <c r="V415" s="618">
        <v>10</v>
      </c>
      <c r="W415" s="618" t="s">
        <v>39</v>
      </c>
      <c r="X415" s="619" t="s">
        <v>5</v>
      </c>
      <c r="Y415" s="478">
        <f>Z415/1000</f>
        <v>1000</v>
      </c>
      <c r="Z415" s="546">
        <f>S415*V415</f>
        <v>1000000</v>
      </c>
      <c r="AA415" s="547"/>
      <c r="AB415" s="1891"/>
      <c r="AC415" s="1895"/>
      <c r="AD415" s="456"/>
    </row>
    <row r="416" spans="1:30" s="1651" customFormat="1" ht="22.5" customHeight="1">
      <c r="A416" s="591"/>
      <c r="B416" s="624"/>
      <c r="C416" s="624"/>
      <c r="D416" s="4107" t="s">
        <v>1335</v>
      </c>
      <c r="E416" s="4107"/>
      <c r="F416" s="2354">
        <f>SUM(F417:F429)</f>
        <v>282000</v>
      </c>
      <c r="G416" s="2354">
        <f>SUM(G417:G429)</f>
        <v>290000</v>
      </c>
      <c r="H416" s="627">
        <f>F416-G416</f>
        <v>-8000</v>
      </c>
      <c r="I416" s="557"/>
      <c r="J416" s="614"/>
      <c r="K416" s="2072"/>
      <c r="L416" s="2072"/>
      <c r="M416" s="2072"/>
      <c r="N416" s="2072"/>
      <c r="O416" s="2072"/>
      <c r="P416" s="2072"/>
      <c r="Q416" s="507"/>
      <c r="R416" s="2348"/>
      <c r="S416" s="617"/>
      <c r="T416" s="618"/>
      <c r="U416" s="618"/>
      <c r="V416" s="618"/>
      <c r="W416" s="618"/>
      <c r="X416" s="619"/>
      <c r="Y416" s="478"/>
      <c r="Z416" s="546"/>
      <c r="AA416" s="547"/>
      <c r="AB416" s="1891"/>
      <c r="AC416" s="1895"/>
      <c r="AD416" s="456"/>
    </row>
    <row r="417" spans="1:30" s="1651" customFormat="1" ht="22.5" customHeight="1">
      <c r="A417" s="591"/>
      <c r="B417" s="548"/>
      <c r="C417" s="624"/>
      <c r="D417" s="2020"/>
      <c r="E417" s="2132" t="s">
        <v>5054</v>
      </c>
      <c r="F417" s="3574">
        <f>Y417</f>
        <v>110000</v>
      </c>
      <c r="G417" s="3574">
        <v>110000</v>
      </c>
      <c r="H417" s="957"/>
      <c r="I417" s="2359"/>
      <c r="J417" s="681" t="s">
        <v>5055</v>
      </c>
      <c r="K417" s="3515"/>
      <c r="L417" s="3515"/>
      <c r="M417" s="3515"/>
      <c r="N417" s="3515"/>
      <c r="O417" s="3515"/>
      <c r="P417" s="3515"/>
      <c r="Q417" s="1038">
        <v>4</v>
      </c>
      <c r="R417" s="3522" t="s">
        <v>5056</v>
      </c>
      <c r="S417" s="684">
        <v>2500000</v>
      </c>
      <c r="T417" s="684" t="s">
        <v>5046</v>
      </c>
      <c r="U417" s="684"/>
      <c r="V417" s="684">
        <v>11</v>
      </c>
      <c r="W417" s="684" t="s">
        <v>5057</v>
      </c>
      <c r="X417" s="686" t="s">
        <v>5058</v>
      </c>
      <c r="Y417" s="1022">
        <f t="shared" ref="Y417" si="131">Z417/1000</f>
        <v>110000</v>
      </c>
      <c r="Z417" s="2233">
        <f>Q417*S417*V417</f>
        <v>110000000</v>
      </c>
      <c r="AA417" s="547"/>
      <c r="AB417" s="1891"/>
      <c r="AC417" s="1895"/>
      <c r="AD417" s="456"/>
    </row>
    <row r="418" spans="1:30" s="1651" customFormat="1" ht="22.5" customHeight="1">
      <c r="A418" s="591"/>
      <c r="B418" s="548"/>
      <c r="C418" s="624"/>
      <c r="D418" s="2020"/>
      <c r="E418" s="3191" t="s">
        <v>5059</v>
      </c>
      <c r="F418" s="3575">
        <f>Y418</f>
        <v>3000</v>
      </c>
      <c r="G418" s="3575">
        <v>3000</v>
      </c>
      <c r="H418" s="949"/>
      <c r="I418" s="2359"/>
      <c r="J418" s="681" t="s">
        <v>5060</v>
      </c>
      <c r="K418" s="3515"/>
      <c r="L418" s="3515"/>
      <c r="M418" s="3515"/>
      <c r="N418" s="3515"/>
      <c r="O418" s="3515"/>
      <c r="P418" s="3515"/>
      <c r="Q418" s="869" t="s">
        <v>5052</v>
      </c>
      <c r="R418" s="2127" t="s">
        <v>5052</v>
      </c>
      <c r="S418" s="3164">
        <v>3000000</v>
      </c>
      <c r="T418" s="684" t="s">
        <v>5046</v>
      </c>
      <c r="U418" s="684"/>
      <c r="V418" s="684">
        <v>1</v>
      </c>
      <c r="W418" s="684" t="s">
        <v>5053</v>
      </c>
      <c r="X418" s="686" t="s">
        <v>5048</v>
      </c>
      <c r="Y418" s="1022">
        <f>Z418/1000</f>
        <v>3000</v>
      </c>
      <c r="Z418" s="732">
        <f>S418*V418</f>
        <v>3000000</v>
      </c>
      <c r="AA418" s="547"/>
      <c r="AB418" s="1891"/>
      <c r="AC418" s="1895"/>
      <c r="AD418" s="456"/>
    </row>
    <row r="419" spans="1:30" s="1651" customFormat="1" ht="22.5" customHeight="1">
      <c r="A419" s="591"/>
      <c r="B419" s="624"/>
      <c r="C419" s="624"/>
      <c r="D419" s="2020"/>
      <c r="E419" s="693" t="s">
        <v>5061</v>
      </c>
      <c r="F419" s="3576">
        <f>Y419</f>
        <v>45300</v>
      </c>
      <c r="G419" s="3576">
        <v>70300</v>
      </c>
      <c r="H419" s="949">
        <f>F419-G419</f>
        <v>-25000</v>
      </c>
      <c r="I419" s="2359"/>
      <c r="J419" s="681" t="s">
        <v>5044</v>
      </c>
      <c r="K419" s="3515"/>
      <c r="L419" s="3515"/>
      <c r="M419" s="3515"/>
      <c r="N419" s="3515"/>
      <c r="O419" s="3515"/>
      <c r="P419" s="3515"/>
      <c r="Q419" s="3515"/>
      <c r="R419" s="2127"/>
      <c r="S419" s="3164"/>
      <c r="T419" s="684"/>
      <c r="U419" s="684"/>
      <c r="V419" s="684"/>
      <c r="W419" s="684"/>
      <c r="X419" s="684" t="s">
        <v>5045</v>
      </c>
      <c r="Y419" s="871">
        <f t="shared" ref="Y419" si="132">+Z419/1000</f>
        <v>45300</v>
      </c>
      <c r="Z419" s="732">
        <f>SUM(Z420:Z422)</f>
        <v>45300000</v>
      </c>
      <c r="AA419" s="547"/>
      <c r="AB419" s="1891"/>
      <c r="AC419" s="1895"/>
      <c r="AD419" s="456"/>
    </row>
    <row r="420" spans="1:30" s="1651" customFormat="1" ht="22.5" customHeight="1">
      <c r="A420" s="591"/>
      <c r="B420" s="624"/>
      <c r="C420" s="624"/>
      <c r="D420" s="2020"/>
      <c r="E420" s="693"/>
      <c r="F420" s="3576"/>
      <c r="G420" s="3576"/>
      <c r="H420" s="3297"/>
      <c r="I420" s="2359"/>
      <c r="J420" s="681" t="s">
        <v>6138</v>
      </c>
      <c r="K420" s="3515"/>
      <c r="L420" s="3515"/>
      <c r="M420" s="3515"/>
      <c r="N420" s="3515"/>
      <c r="O420" s="3515"/>
      <c r="P420" s="3515"/>
      <c r="Q420" s="684"/>
      <c r="R420" s="684"/>
      <c r="S420" s="684">
        <v>5000000</v>
      </c>
      <c r="T420" s="684" t="s">
        <v>5046</v>
      </c>
      <c r="U420" s="684"/>
      <c r="V420" s="684">
        <v>1</v>
      </c>
      <c r="W420" s="684" t="s">
        <v>5047</v>
      </c>
      <c r="X420" s="684" t="s">
        <v>5048</v>
      </c>
      <c r="Y420" s="871">
        <f>Z420/1000</f>
        <v>5000</v>
      </c>
      <c r="Z420" s="732">
        <f>S420*V420</f>
        <v>5000000</v>
      </c>
      <c r="AA420" s="547"/>
      <c r="AB420" s="1891"/>
      <c r="AC420" s="1895"/>
      <c r="AD420" s="456"/>
    </row>
    <row r="421" spans="1:30" s="1875" customFormat="1" ht="22.5" customHeight="1">
      <c r="A421" s="591"/>
      <c r="B421" s="624"/>
      <c r="C421" s="624"/>
      <c r="D421" s="2020"/>
      <c r="E421" s="693"/>
      <c r="F421" s="3576"/>
      <c r="G421" s="3576"/>
      <c r="H421" s="3297"/>
      <c r="I421" s="2359"/>
      <c r="J421" s="681" t="s">
        <v>6139</v>
      </c>
      <c r="K421" s="3515"/>
      <c r="L421" s="3515"/>
      <c r="M421" s="3515"/>
      <c r="N421" s="3515"/>
      <c r="O421" s="3515"/>
      <c r="P421" s="3515"/>
      <c r="Q421" s="684"/>
      <c r="R421" s="684"/>
      <c r="S421" s="684">
        <v>3300000</v>
      </c>
      <c r="T421" s="684" t="s">
        <v>5046</v>
      </c>
      <c r="U421" s="684"/>
      <c r="V421" s="684">
        <v>11</v>
      </c>
      <c r="W421" s="684" t="s">
        <v>5049</v>
      </c>
      <c r="X421" s="684" t="s">
        <v>5048</v>
      </c>
      <c r="Y421" s="871">
        <f>Z421/1000</f>
        <v>36300</v>
      </c>
      <c r="Z421" s="732">
        <f>S421*V421</f>
        <v>36300000</v>
      </c>
      <c r="AA421" s="547"/>
      <c r="AB421" s="1891"/>
      <c r="AC421" s="1895"/>
      <c r="AD421" s="456"/>
    </row>
    <row r="422" spans="1:30" s="1651" customFormat="1" ht="22.5" customHeight="1">
      <c r="A422" s="591"/>
      <c r="B422" s="624"/>
      <c r="C422" s="624"/>
      <c r="D422" s="624"/>
      <c r="E422" s="3191"/>
      <c r="F422" s="3576"/>
      <c r="G422" s="3576"/>
      <c r="H422" s="3297"/>
      <c r="I422" s="2359"/>
      <c r="J422" s="681" t="s">
        <v>6140</v>
      </c>
      <c r="K422" s="3515"/>
      <c r="L422" s="3515"/>
      <c r="M422" s="3515"/>
      <c r="N422" s="3515"/>
      <c r="O422" s="3515"/>
      <c r="P422" s="3515"/>
      <c r="Q422" s="684"/>
      <c r="R422" s="684"/>
      <c r="S422" s="684">
        <v>200000</v>
      </c>
      <c r="T422" s="684" t="s">
        <v>5046</v>
      </c>
      <c r="U422" s="684"/>
      <c r="V422" s="684">
        <v>20</v>
      </c>
      <c r="W422" s="684" t="s">
        <v>5050</v>
      </c>
      <c r="X422" s="684" t="s">
        <v>5048</v>
      </c>
      <c r="Y422" s="871">
        <f t="shared" ref="Y422" si="133">Z422/1000</f>
        <v>4000</v>
      </c>
      <c r="Z422" s="732">
        <f>S422*V422</f>
        <v>4000000</v>
      </c>
      <c r="AA422" s="547"/>
      <c r="AB422" s="1891"/>
      <c r="AC422" s="1895"/>
      <c r="AD422" s="456"/>
    </row>
    <row r="423" spans="1:30" s="1651" customFormat="1" ht="22.5" customHeight="1">
      <c r="A423" s="591"/>
      <c r="B423" s="624"/>
      <c r="C423" s="624"/>
      <c r="D423" s="2020"/>
      <c r="E423" s="676" t="s">
        <v>5062</v>
      </c>
      <c r="F423" s="2125">
        <f>Y423</f>
        <v>33000</v>
      </c>
      <c r="G423" s="2125">
        <v>43000</v>
      </c>
      <c r="H423" s="949">
        <f>F423-G423</f>
        <v>-10000</v>
      </c>
      <c r="I423" s="2359"/>
      <c r="J423" s="681" t="s">
        <v>5044</v>
      </c>
      <c r="K423" s="3515"/>
      <c r="L423" s="3515"/>
      <c r="M423" s="3515"/>
      <c r="N423" s="3515"/>
      <c r="O423" s="3515"/>
      <c r="P423" s="3515"/>
      <c r="Q423" s="3515"/>
      <c r="R423" s="2127"/>
      <c r="S423" s="3164"/>
      <c r="T423" s="684"/>
      <c r="U423" s="684"/>
      <c r="V423" s="684"/>
      <c r="W423" s="684"/>
      <c r="X423" s="684" t="s">
        <v>5045</v>
      </c>
      <c r="Y423" s="871">
        <f t="shared" ref="Y423" si="134">+Z423/1000</f>
        <v>33000</v>
      </c>
      <c r="Z423" s="732">
        <f>SUM(Z424:Z425)</f>
        <v>33000000</v>
      </c>
      <c r="AA423" s="547"/>
      <c r="AB423" s="1891"/>
      <c r="AC423" s="1895"/>
      <c r="AD423" s="456"/>
    </row>
    <row r="424" spans="1:30" s="1651" customFormat="1" ht="22.5" customHeight="1">
      <c r="A424" s="591"/>
      <c r="B424" s="624"/>
      <c r="C424" s="624"/>
      <c r="D424" s="2020"/>
      <c r="E424" s="676"/>
      <c r="F424" s="2125"/>
      <c r="G424" s="2125"/>
      <c r="H424" s="949"/>
      <c r="I424" s="2359"/>
      <c r="J424" s="681" t="s">
        <v>6141</v>
      </c>
      <c r="K424" s="3515"/>
      <c r="L424" s="3515"/>
      <c r="M424" s="3515"/>
      <c r="N424" s="3515"/>
      <c r="O424" s="3515"/>
      <c r="P424" s="3515"/>
      <c r="Q424" s="684"/>
      <c r="R424" s="684"/>
      <c r="S424" s="684">
        <v>21000000</v>
      </c>
      <c r="T424" s="684" t="s">
        <v>5046</v>
      </c>
      <c r="U424" s="684"/>
      <c r="V424" s="684">
        <v>1</v>
      </c>
      <c r="W424" s="684" t="s">
        <v>5050</v>
      </c>
      <c r="X424" s="684" t="s">
        <v>5048</v>
      </c>
      <c r="Y424" s="871">
        <f t="shared" ref="Y424:Y427" si="135">Z424/1000</f>
        <v>21000</v>
      </c>
      <c r="Z424" s="732">
        <f t="shared" ref="Z424:Z427" si="136">S424*V424</f>
        <v>21000000</v>
      </c>
      <c r="AA424" s="547"/>
      <c r="AB424" s="1891"/>
      <c r="AC424" s="1895"/>
      <c r="AD424" s="456"/>
    </row>
    <row r="425" spans="1:30" s="1651" customFormat="1" ht="22.5" customHeight="1">
      <c r="A425" s="591"/>
      <c r="B425" s="624"/>
      <c r="C425" s="624"/>
      <c r="D425" s="2020"/>
      <c r="E425" s="676"/>
      <c r="F425" s="2125"/>
      <c r="G425" s="2125"/>
      <c r="H425" s="949"/>
      <c r="I425" s="2359"/>
      <c r="J425" s="681" t="s">
        <v>6142</v>
      </c>
      <c r="K425" s="3515"/>
      <c r="L425" s="3515"/>
      <c r="M425" s="3515"/>
      <c r="N425" s="3515"/>
      <c r="O425" s="3515"/>
      <c r="P425" s="3515"/>
      <c r="Q425" s="684"/>
      <c r="R425" s="684"/>
      <c r="S425" s="684">
        <v>12000000</v>
      </c>
      <c r="T425" s="684" t="s">
        <v>5046</v>
      </c>
      <c r="U425" s="684"/>
      <c r="V425" s="684">
        <v>1</v>
      </c>
      <c r="W425" s="684" t="s">
        <v>5047</v>
      </c>
      <c r="X425" s="684" t="s">
        <v>5048</v>
      </c>
      <c r="Y425" s="871">
        <f t="shared" si="135"/>
        <v>12000</v>
      </c>
      <c r="Z425" s="732">
        <f t="shared" si="136"/>
        <v>12000000</v>
      </c>
      <c r="AA425" s="547"/>
      <c r="AB425" s="1891"/>
      <c r="AC425" s="1895"/>
      <c r="AD425" s="456"/>
    </row>
    <row r="426" spans="1:30" s="1651" customFormat="1" ht="22.5" customHeight="1">
      <c r="A426" s="591"/>
      <c r="B426" s="548"/>
      <c r="C426" s="624"/>
      <c r="D426" s="2020"/>
      <c r="E426" s="677" t="s">
        <v>5063</v>
      </c>
      <c r="F426" s="1445">
        <f>Y426</f>
        <v>5000</v>
      </c>
      <c r="G426" s="1445">
        <v>10000</v>
      </c>
      <c r="H426" s="949">
        <f>F426-G426</f>
        <v>-5000</v>
      </c>
      <c r="I426" s="2359"/>
      <c r="J426" s="681" t="s">
        <v>5051</v>
      </c>
      <c r="K426" s="3515"/>
      <c r="L426" s="3515"/>
      <c r="M426" s="3515"/>
      <c r="N426" s="3515"/>
      <c r="O426" s="3515"/>
      <c r="P426" s="3515"/>
      <c r="Q426" s="869" t="s">
        <v>5052</v>
      </c>
      <c r="R426" s="2127" t="s">
        <v>5052</v>
      </c>
      <c r="S426" s="3164">
        <v>5000000</v>
      </c>
      <c r="T426" s="684" t="s">
        <v>5046</v>
      </c>
      <c r="U426" s="684"/>
      <c r="V426" s="684">
        <v>1</v>
      </c>
      <c r="W426" s="684" t="s">
        <v>5053</v>
      </c>
      <c r="X426" s="686" t="s">
        <v>5048</v>
      </c>
      <c r="Y426" s="1022">
        <f t="shared" si="135"/>
        <v>5000</v>
      </c>
      <c r="Z426" s="732">
        <f t="shared" si="136"/>
        <v>5000000</v>
      </c>
      <c r="AA426" s="547"/>
      <c r="AB426" s="1891"/>
      <c r="AC426" s="1895"/>
      <c r="AD426" s="456"/>
    </row>
    <row r="427" spans="1:30" s="1651" customFormat="1" ht="22.5" customHeight="1">
      <c r="A427" s="591"/>
      <c r="B427" s="548"/>
      <c r="C427" s="624"/>
      <c r="D427" s="2020"/>
      <c r="E427" s="677" t="s">
        <v>5064</v>
      </c>
      <c r="F427" s="1445">
        <f>Y427</f>
        <v>70000</v>
      </c>
      <c r="G427" s="1445">
        <v>30000</v>
      </c>
      <c r="H427" s="949">
        <f>F427-G427</f>
        <v>40000</v>
      </c>
      <c r="I427" s="2359"/>
      <c r="J427" s="681" t="s">
        <v>5065</v>
      </c>
      <c r="K427" s="3515"/>
      <c r="L427" s="3515"/>
      <c r="M427" s="3515"/>
      <c r="N427" s="3515"/>
      <c r="O427" s="3515"/>
      <c r="P427" s="3515"/>
      <c r="Q427" s="869" t="s">
        <v>5052</v>
      </c>
      <c r="R427" s="2127" t="s">
        <v>5052</v>
      </c>
      <c r="S427" s="3164">
        <v>70000000</v>
      </c>
      <c r="T427" s="684" t="s">
        <v>5046</v>
      </c>
      <c r="U427" s="684"/>
      <c r="V427" s="684">
        <v>1</v>
      </c>
      <c r="W427" s="684" t="s">
        <v>5053</v>
      </c>
      <c r="X427" s="686" t="s">
        <v>5048</v>
      </c>
      <c r="Y427" s="1022">
        <f t="shared" si="135"/>
        <v>70000</v>
      </c>
      <c r="Z427" s="732">
        <f t="shared" si="136"/>
        <v>70000000</v>
      </c>
      <c r="AA427" s="547"/>
      <c r="AB427" s="1891"/>
      <c r="AC427" s="1895"/>
      <c r="AD427" s="456"/>
    </row>
    <row r="428" spans="1:30" s="1651" customFormat="1" ht="22.5" customHeight="1">
      <c r="A428" s="591"/>
      <c r="B428" s="548"/>
      <c r="C428" s="624"/>
      <c r="D428" s="2020"/>
      <c r="E428" s="677" t="s">
        <v>5066</v>
      </c>
      <c r="F428" s="1445">
        <f>Y428</f>
        <v>12700</v>
      </c>
      <c r="G428" s="1445">
        <v>20700</v>
      </c>
      <c r="H428" s="949">
        <f>F428-G428</f>
        <v>-8000</v>
      </c>
      <c r="I428" s="2359"/>
      <c r="J428" s="681" t="s">
        <v>5067</v>
      </c>
      <c r="K428" s="3515"/>
      <c r="L428" s="3515"/>
      <c r="M428" s="3515"/>
      <c r="N428" s="3515"/>
      <c r="O428" s="3515"/>
      <c r="P428" s="3515"/>
      <c r="Q428" s="869" t="s">
        <v>5052</v>
      </c>
      <c r="R428" s="2127" t="s">
        <v>5052</v>
      </c>
      <c r="S428" s="3164">
        <v>12700000</v>
      </c>
      <c r="T428" s="684" t="s">
        <v>5046</v>
      </c>
      <c r="U428" s="684"/>
      <c r="V428" s="684">
        <v>1</v>
      </c>
      <c r="W428" s="684" t="s">
        <v>5053</v>
      </c>
      <c r="X428" s="686" t="s">
        <v>5048</v>
      </c>
      <c r="Y428" s="1022">
        <f t="shared" ref="Y428:Y429" si="137">Z428/1000</f>
        <v>12700</v>
      </c>
      <c r="Z428" s="732">
        <f t="shared" ref="Z428:Z429" si="138">S428*V428</f>
        <v>12700000</v>
      </c>
      <c r="AA428" s="547"/>
      <c r="AB428" s="1891"/>
      <c r="AC428" s="1895"/>
      <c r="AD428" s="456"/>
    </row>
    <row r="429" spans="1:30" s="1651" customFormat="1" ht="22.5" customHeight="1">
      <c r="A429" s="591"/>
      <c r="B429" s="592"/>
      <c r="C429" s="624"/>
      <c r="D429" s="2020"/>
      <c r="E429" s="677" t="s">
        <v>5068</v>
      </c>
      <c r="F429" s="2125">
        <f>Y429</f>
        <v>3000</v>
      </c>
      <c r="G429" s="2125">
        <v>3000</v>
      </c>
      <c r="H429" s="949"/>
      <c r="I429" s="2359"/>
      <c r="J429" s="681" t="s">
        <v>5069</v>
      </c>
      <c r="K429" s="3163"/>
      <c r="L429" s="3163"/>
      <c r="M429" s="3163"/>
      <c r="N429" s="3163"/>
      <c r="O429" s="3163"/>
      <c r="P429" s="3163"/>
      <c r="Q429" s="684"/>
      <c r="R429" s="684"/>
      <c r="S429" s="684">
        <v>100000</v>
      </c>
      <c r="T429" s="684" t="s">
        <v>5046</v>
      </c>
      <c r="U429" s="684"/>
      <c r="V429" s="684">
        <v>30</v>
      </c>
      <c r="W429" s="684" t="s">
        <v>5070</v>
      </c>
      <c r="X429" s="686" t="s">
        <v>5048</v>
      </c>
      <c r="Y429" s="871">
        <f t="shared" si="137"/>
        <v>3000</v>
      </c>
      <c r="Z429" s="732">
        <f t="shared" si="138"/>
        <v>3000000</v>
      </c>
      <c r="AA429" s="547"/>
      <c r="AB429" s="1891"/>
      <c r="AC429" s="1895"/>
      <c r="AD429" s="456"/>
    </row>
    <row r="430" spans="1:30" s="1875" customFormat="1" ht="22.5" customHeight="1">
      <c r="A430" s="591"/>
      <c r="B430" s="592"/>
      <c r="C430" s="3836" t="s">
        <v>1995</v>
      </c>
      <c r="D430" s="3821"/>
      <c r="E430" s="3822"/>
      <c r="F430" s="598">
        <f>+F431</f>
        <v>200000</v>
      </c>
      <c r="G430" s="598">
        <f>+G431</f>
        <v>200000</v>
      </c>
      <c r="H430" s="529">
        <f t="shared" ref="H430" si="139">F430-G430</f>
        <v>0</v>
      </c>
      <c r="I430" s="557"/>
      <c r="J430" s="2025"/>
      <c r="K430" s="621"/>
      <c r="L430" s="621"/>
      <c r="M430" s="621"/>
      <c r="N430" s="621"/>
      <c r="O430" s="621"/>
      <c r="P430" s="621"/>
      <c r="Q430" s="2026"/>
      <c r="R430" s="2026"/>
      <c r="S430" s="2026"/>
      <c r="T430" s="2026"/>
      <c r="U430" s="2026"/>
      <c r="V430" s="2026"/>
      <c r="W430" s="2026"/>
      <c r="X430" s="2028"/>
      <c r="Y430" s="517"/>
      <c r="Z430" s="622"/>
      <c r="AA430" s="547"/>
      <c r="AB430" s="1891"/>
      <c r="AC430" s="1895"/>
      <c r="AD430" s="456"/>
    </row>
    <row r="431" spans="1:30" s="1875" customFormat="1" ht="22.5" customHeight="1">
      <c r="A431" s="591"/>
      <c r="B431" s="624"/>
      <c r="C431" s="624"/>
      <c r="D431" s="4105" t="s">
        <v>1995</v>
      </c>
      <c r="E431" s="4105"/>
      <c r="F431" s="528">
        <f>SUM(F432:F433)</f>
        <v>200000</v>
      </c>
      <c r="G431" s="528">
        <f>SUM(G432:G433)</f>
        <v>200000</v>
      </c>
      <c r="H431" s="627">
        <f t="shared" ref="H431:H460" si="140">F431-G431</f>
        <v>0</v>
      </c>
      <c r="I431" s="557"/>
      <c r="J431" s="2025"/>
      <c r="K431" s="2068"/>
      <c r="L431" s="2068"/>
      <c r="M431" s="2068"/>
      <c r="N431" s="2068"/>
      <c r="O431" s="2068"/>
      <c r="P431" s="2068"/>
      <c r="Q431" s="1349"/>
      <c r="R431" s="539"/>
      <c r="S431" s="545"/>
      <c r="T431" s="2026"/>
      <c r="U431" s="2026"/>
      <c r="V431" s="2026"/>
      <c r="W431" s="2026"/>
      <c r="X431" s="2028"/>
      <c r="Y431" s="517"/>
      <c r="Z431" s="622"/>
      <c r="AA431" s="547"/>
      <c r="AB431" s="1891"/>
      <c r="AC431" s="1895"/>
      <c r="AD431" s="456"/>
    </row>
    <row r="432" spans="1:30" s="1875" customFormat="1" ht="22.5" customHeight="1">
      <c r="A432" s="591"/>
      <c r="B432" s="548"/>
      <c r="C432" s="624"/>
      <c r="D432" s="2020"/>
      <c r="E432" s="602" t="s">
        <v>2140</v>
      </c>
      <c r="F432" s="1883">
        <f>Y432</f>
        <v>10000</v>
      </c>
      <c r="G432" s="1883">
        <v>10000</v>
      </c>
      <c r="H432" s="1320"/>
      <c r="I432" s="557"/>
      <c r="J432" s="604" t="s">
        <v>2216</v>
      </c>
      <c r="K432" s="605"/>
      <c r="L432" s="605"/>
      <c r="M432" s="605"/>
      <c r="N432" s="605"/>
      <c r="O432" s="605"/>
      <c r="P432" s="605"/>
      <c r="Q432" s="606"/>
      <c r="R432" s="2078"/>
      <c r="S432" s="609">
        <v>200000000</v>
      </c>
      <c r="T432" s="609" t="s">
        <v>2125</v>
      </c>
      <c r="U432" s="609"/>
      <c r="V432" s="609">
        <v>5</v>
      </c>
      <c r="W432" s="609" t="s">
        <v>2217</v>
      </c>
      <c r="X432" s="610" t="s">
        <v>2218</v>
      </c>
      <c r="Y432" s="748">
        <f t="shared" ref="Y432" si="141">Z432/1000</f>
        <v>10000</v>
      </c>
      <c r="Z432" s="1884">
        <f>S432*V432/100</f>
        <v>10000000</v>
      </c>
      <c r="AA432" s="547"/>
      <c r="AB432" s="1891"/>
      <c r="AC432" s="1895"/>
      <c r="AD432" s="456"/>
    </row>
    <row r="433" spans="1:30" s="1875" customFormat="1" ht="22.5" customHeight="1">
      <c r="A433" s="591"/>
      <c r="B433" s="548"/>
      <c r="C433" s="624"/>
      <c r="D433" s="2020"/>
      <c r="E433" s="1885" t="s">
        <v>2219</v>
      </c>
      <c r="F433" s="1886">
        <f>Y433</f>
        <v>190000</v>
      </c>
      <c r="G433" s="1886">
        <v>190000</v>
      </c>
      <c r="H433" s="551"/>
      <c r="I433" s="557"/>
      <c r="J433" s="2952" t="s">
        <v>2220</v>
      </c>
      <c r="K433" s="2949"/>
      <c r="L433" s="2949"/>
      <c r="M433" s="2949"/>
      <c r="N433" s="2949"/>
      <c r="O433" s="2949"/>
      <c r="P433" s="2949"/>
      <c r="Q433" s="475" t="s">
        <v>2221</v>
      </c>
      <c r="R433" s="552" t="s">
        <v>2221</v>
      </c>
      <c r="S433" s="474">
        <v>190000000</v>
      </c>
      <c r="T433" s="2953" t="s">
        <v>2125</v>
      </c>
      <c r="U433" s="2953"/>
      <c r="V433" s="2953">
        <v>1</v>
      </c>
      <c r="W433" s="2953" t="s">
        <v>2222</v>
      </c>
      <c r="X433" s="2030" t="s">
        <v>2127</v>
      </c>
      <c r="Y433" s="554">
        <f>Z433/1000</f>
        <v>190000</v>
      </c>
      <c r="Z433" s="555">
        <f>S433*V433</f>
        <v>190000000</v>
      </c>
      <c r="AA433" s="547"/>
      <c r="AB433" s="1891"/>
      <c r="AC433" s="1895"/>
      <c r="AD433" s="456"/>
    </row>
    <row r="434" spans="1:30" s="1887" customFormat="1" ht="22.5" customHeight="1">
      <c r="A434" s="591"/>
      <c r="B434" s="592"/>
      <c r="C434" s="3836" t="s">
        <v>2051</v>
      </c>
      <c r="D434" s="3821"/>
      <c r="E434" s="3822"/>
      <c r="F434" s="598">
        <f>+F435</f>
        <v>60000</v>
      </c>
      <c r="G434" s="3158">
        <f>+G435</f>
        <v>60000</v>
      </c>
      <c r="H434" s="529">
        <f t="shared" si="140"/>
        <v>0</v>
      </c>
      <c r="I434" s="557"/>
      <c r="J434" s="2025"/>
      <c r="K434" s="621"/>
      <c r="L434" s="621"/>
      <c r="M434" s="621"/>
      <c r="N434" s="621"/>
      <c r="O434" s="621"/>
      <c r="P434" s="621"/>
      <c r="Q434" s="2026"/>
      <c r="R434" s="2026"/>
      <c r="S434" s="2026"/>
      <c r="T434" s="2026"/>
      <c r="U434" s="2026"/>
      <c r="V434" s="2026"/>
      <c r="W434" s="2026"/>
      <c r="X434" s="2028"/>
      <c r="Y434" s="517"/>
      <c r="Z434" s="622"/>
      <c r="AA434" s="547"/>
      <c r="AB434" s="1891"/>
      <c r="AC434" s="1895"/>
      <c r="AD434" s="456"/>
    </row>
    <row r="435" spans="1:30" s="1887" customFormat="1" ht="22.5" hidden="1" customHeight="1">
      <c r="A435" s="591"/>
      <c r="B435" s="624"/>
      <c r="C435" s="624"/>
      <c r="D435" s="4105" t="s">
        <v>2486</v>
      </c>
      <c r="E435" s="4105"/>
      <c r="F435" s="528">
        <v>60000</v>
      </c>
      <c r="G435" s="528">
        <v>60000</v>
      </c>
      <c r="H435" s="627"/>
      <c r="I435" s="557"/>
      <c r="J435" s="2025"/>
      <c r="K435" s="2068"/>
      <c r="L435" s="2068"/>
      <c r="M435" s="2068"/>
      <c r="N435" s="2068"/>
      <c r="O435" s="2068"/>
      <c r="P435" s="2068"/>
      <c r="Q435" s="1349"/>
      <c r="R435" s="539"/>
      <c r="S435" s="545"/>
      <c r="T435" s="2026"/>
      <c r="U435" s="2026"/>
      <c r="V435" s="2026"/>
      <c r="W435" s="2026"/>
      <c r="X435" s="2028"/>
      <c r="Y435" s="517"/>
      <c r="Z435" s="622"/>
      <c r="AA435" s="547"/>
      <c r="AB435" s="1891"/>
      <c r="AC435" s="1895"/>
      <c r="AD435" s="456"/>
    </row>
    <row r="436" spans="1:30" s="1887" customFormat="1" ht="22.5" hidden="1" customHeight="1">
      <c r="A436" s="591"/>
      <c r="B436" s="548"/>
      <c r="C436" s="624"/>
      <c r="D436" s="2020"/>
      <c r="E436" s="602"/>
      <c r="F436" s="1883">
        <f>Y436</f>
        <v>0</v>
      </c>
      <c r="G436" s="1883">
        <v>0</v>
      </c>
      <c r="H436" s="1320">
        <f t="shared" ref="H436:H438" si="142">F436-G436</f>
        <v>0</v>
      </c>
      <c r="I436" s="557"/>
      <c r="J436" s="604" t="s">
        <v>2216</v>
      </c>
      <c r="K436" s="605"/>
      <c r="L436" s="605"/>
      <c r="M436" s="605"/>
      <c r="N436" s="605"/>
      <c r="O436" s="605"/>
      <c r="P436" s="605"/>
      <c r="Q436" s="606"/>
      <c r="R436" s="2078"/>
      <c r="S436" s="609"/>
      <c r="T436" s="609" t="s">
        <v>751</v>
      </c>
      <c r="U436" s="609"/>
      <c r="V436" s="609">
        <v>5</v>
      </c>
      <c r="W436" s="609" t="s">
        <v>957</v>
      </c>
      <c r="X436" s="610" t="s">
        <v>21</v>
      </c>
      <c r="Y436" s="748">
        <f t="shared" ref="Y436" si="143">Z436/1000</f>
        <v>0</v>
      </c>
      <c r="Z436" s="1884">
        <f>S436*V436/100</f>
        <v>0</v>
      </c>
      <c r="AA436" s="547"/>
      <c r="AB436" s="1891"/>
      <c r="AC436" s="1895"/>
      <c r="AD436" s="456"/>
    </row>
    <row r="437" spans="1:30" s="2964" customFormat="1" ht="22.5" customHeight="1">
      <c r="A437" s="540"/>
      <c r="B437" s="563"/>
      <c r="C437" s="1386" t="s">
        <v>3951</v>
      </c>
      <c r="D437" s="621"/>
      <c r="E437" s="2710"/>
      <c r="F437" s="825">
        <f>+F438</f>
        <v>50000</v>
      </c>
      <c r="G437" s="825">
        <f>+G438</f>
        <v>50000</v>
      </c>
      <c r="H437" s="627">
        <f t="shared" si="142"/>
        <v>0</v>
      </c>
      <c r="I437" s="557"/>
      <c r="J437" s="2025"/>
      <c r="K437" s="3247"/>
      <c r="L437" s="3247"/>
      <c r="M437" s="3247"/>
      <c r="N437" s="3247"/>
      <c r="O437" s="3247"/>
      <c r="P437" s="3247"/>
      <c r="Q437" s="2026"/>
      <c r="R437" s="2026"/>
      <c r="S437" s="2026"/>
      <c r="T437" s="2026"/>
      <c r="U437" s="2026"/>
      <c r="V437" s="2026"/>
      <c r="W437" s="2026"/>
      <c r="X437" s="2028"/>
      <c r="Y437" s="586"/>
      <c r="Z437" s="622"/>
      <c r="AA437" s="547"/>
      <c r="AB437" s="1891">
        <f>F437</f>
        <v>50000</v>
      </c>
      <c r="AC437" s="1895"/>
      <c r="AD437" s="542"/>
    </row>
    <row r="438" spans="1:30" s="2964" customFormat="1" ht="22.5" customHeight="1">
      <c r="A438" s="540"/>
      <c r="B438" s="548"/>
      <c r="C438" s="1319"/>
      <c r="D438" s="3877" t="s">
        <v>3950</v>
      </c>
      <c r="E438" s="3878"/>
      <c r="F438" s="825">
        <f>SUM(F439:F457)</f>
        <v>50000</v>
      </c>
      <c r="G438" s="825">
        <f>SUM(G439:G457)</f>
        <v>50000</v>
      </c>
      <c r="H438" s="627">
        <f t="shared" si="142"/>
        <v>0</v>
      </c>
      <c r="I438" s="557"/>
      <c r="J438" s="2025"/>
      <c r="K438" s="3247"/>
      <c r="L438" s="3247"/>
      <c r="M438" s="3247"/>
      <c r="N438" s="3247"/>
      <c r="O438" s="3247"/>
      <c r="P438" s="3247"/>
      <c r="Q438" s="1349"/>
      <c r="R438" s="539"/>
      <c r="S438" s="545"/>
      <c r="T438" s="2026"/>
      <c r="U438" s="2026"/>
      <c r="V438" s="2026"/>
      <c r="W438" s="2026"/>
      <c r="X438" s="2028"/>
      <c r="Y438" s="586"/>
      <c r="Z438" s="2711"/>
      <c r="AA438" s="547"/>
      <c r="AB438" s="1891"/>
      <c r="AC438" s="1895"/>
      <c r="AD438" s="542"/>
    </row>
    <row r="439" spans="1:30" s="2964" customFormat="1" ht="22.5" customHeight="1">
      <c r="A439" s="591"/>
      <c r="B439" s="548"/>
      <c r="C439" s="624"/>
      <c r="D439" s="2712"/>
      <c r="E439" s="3305" t="s">
        <v>3962</v>
      </c>
      <c r="F439" s="824">
        <f>Y439</f>
        <v>2600</v>
      </c>
      <c r="G439" s="824">
        <v>2600</v>
      </c>
      <c r="H439" s="534"/>
      <c r="I439" s="3253"/>
      <c r="J439" s="604" t="s">
        <v>3963</v>
      </c>
      <c r="K439" s="605"/>
      <c r="L439" s="605"/>
      <c r="M439" s="605"/>
      <c r="N439" s="605"/>
      <c r="O439" s="605"/>
      <c r="P439" s="605"/>
      <c r="Q439" s="605"/>
      <c r="R439" s="3306"/>
      <c r="S439" s="605"/>
      <c r="T439" s="605"/>
      <c r="U439" s="605"/>
      <c r="V439" s="605"/>
      <c r="W439" s="605"/>
      <c r="X439" s="610"/>
      <c r="Y439" s="490">
        <f t="shared" ref="Y439:Y441" si="144">Z439/1000</f>
        <v>2600</v>
      </c>
      <c r="Z439" s="2661">
        <f>SUM(Z440:Z442)</f>
        <v>2600000</v>
      </c>
      <c r="AA439" s="547"/>
      <c r="AB439" s="1891"/>
      <c r="AC439" s="1895"/>
      <c r="AD439" s="542"/>
    </row>
    <row r="440" spans="1:30" s="2964" customFormat="1" ht="22.5" customHeight="1">
      <c r="A440" s="591"/>
      <c r="B440" s="548"/>
      <c r="C440" s="624"/>
      <c r="D440" s="2712"/>
      <c r="E440" s="659"/>
      <c r="F440" s="824"/>
      <c r="G440" s="824"/>
      <c r="H440" s="534"/>
      <c r="I440" s="3253"/>
      <c r="J440" s="3254" t="s">
        <v>3964</v>
      </c>
      <c r="K440" s="3253"/>
      <c r="L440" s="3253"/>
      <c r="M440" s="3253"/>
      <c r="N440" s="3253"/>
      <c r="O440" s="3253"/>
      <c r="P440" s="3253"/>
      <c r="Q440" s="556">
        <v>1</v>
      </c>
      <c r="R440" s="3180" t="s">
        <v>3965</v>
      </c>
      <c r="S440" s="3108">
        <v>300000</v>
      </c>
      <c r="T440" s="3255" t="s">
        <v>0</v>
      </c>
      <c r="U440" s="3255"/>
      <c r="V440" s="3255">
        <v>1</v>
      </c>
      <c r="W440" s="3255" t="s">
        <v>3966</v>
      </c>
      <c r="X440" s="2030" t="s">
        <v>1</v>
      </c>
      <c r="Y440" s="3110">
        <f t="shared" si="144"/>
        <v>300</v>
      </c>
      <c r="Z440" s="2664">
        <f>Q440*S440*V440</f>
        <v>300000</v>
      </c>
      <c r="AA440" s="547"/>
      <c r="AB440" s="1891"/>
      <c r="AC440" s="1895"/>
      <c r="AD440" s="542"/>
    </row>
    <row r="441" spans="1:30" s="2964" customFormat="1" ht="22.5" customHeight="1">
      <c r="A441" s="591"/>
      <c r="B441" s="548"/>
      <c r="C441" s="624"/>
      <c r="D441" s="2712"/>
      <c r="E441" s="659"/>
      <c r="F441" s="824"/>
      <c r="G441" s="824"/>
      <c r="H441" s="534"/>
      <c r="I441" s="3253"/>
      <c r="J441" s="3254" t="s">
        <v>3967</v>
      </c>
      <c r="K441" s="3253"/>
      <c r="L441" s="3253"/>
      <c r="M441" s="3253"/>
      <c r="N441" s="3253"/>
      <c r="O441" s="3253"/>
      <c r="P441" s="3253"/>
      <c r="Q441" s="556">
        <v>1</v>
      </c>
      <c r="R441" s="3180" t="s">
        <v>3965</v>
      </c>
      <c r="S441" s="3108">
        <v>2000000</v>
      </c>
      <c r="T441" s="3255" t="s">
        <v>0</v>
      </c>
      <c r="U441" s="3255"/>
      <c r="V441" s="3255">
        <v>1</v>
      </c>
      <c r="W441" s="3255" t="s">
        <v>3966</v>
      </c>
      <c r="X441" s="2030" t="s">
        <v>1</v>
      </c>
      <c r="Y441" s="3110">
        <f t="shared" si="144"/>
        <v>2000</v>
      </c>
      <c r="Z441" s="2664">
        <f>Q441*S441*V441</f>
        <v>2000000</v>
      </c>
      <c r="AA441" s="547"/>
      <c r="AB441" s="1891"/>
      <c r="AC441" s="1895"/>
      <c r="AD441" s="542"/>
    </row>
    <row r="442" spans="1:30" s="2964" customFormat="1" ht="22.5" customHeight="1">
      <c r="A442" s="591"/>
      <c r="B442" s="548"/>
      <c r="C442" s="2712"/>
      <c r="D442" s="2712"/>
      <c r="E442" s="659"/>
      <c r="F442" s="824"/>
      <c r="G442" s="824"/>
      <c r="H442" s="534"/>
      <c r="I442" s="3253"/>
      <c r="J442" s="3254" t="s">
        <v>3968</v>
      </c>
      <c r="K442" s="3253"/>
      <c r="L442" s="3253"/>
      <c r="M442" s="3253"/>
      <c r="N442" s="3253"/>
      <c r="O442" s="3253"/>
      <c r="P442" s="3253"/>
      <c r="Q442" s="556">
        <v>2</v>
      </c>
      <c r="R442" s="3180" t="s">
        <v>3965</v>
      </c>
      <c r="S442" s="3108">
        <v>150000</v>
      </c>
      <c r="T442" s="3255" t="s">
        <v>3969</v>
      </c>
      <c r="U442" s="3255"/>
      <c r="V442" s="3255">
        <v>1</v>
      </c>
      <c r="W442" s="3255" t="s">
        <v>3970</v>
      </c>
      <c r="X442" s="2030" t="s">
        <v>3971</v>
      </c>
      <c r="Y442" s="3110">
        <f>Z442/1000</f>
        <v>300</v>
      </c>
      <c r="Z442" s="2664">
        <f>Q442*S442*V442</f>
        <v>300000</v>
      </c>
      <c r="AA442" s="547"/>
      <c r="AB442" s="1891"/>
      <c r="AC442" s="1895"/>
      <c r="AD442" s="542"/>
    </row>
    <row r="443" spans="1:30" s="2964" customFormat="1" ht="22.5" customHeight="1">
      <c r="A443" s="591"/>
      <c r="B443" s="548"/>
      <c r="C443" s="624"/>
      <c r="D443" s="2713"/>
      <c r="E443" s="659" t="s">
        <v>3972</v>
      </c>
      <c r="F443" s="824">
        <f>Y443</f>
        <v>100</v>
      </c>
      <c r="G443" s="824">
        <v>100</v>
      </c>
      <c r="H443" s="534"/>
      <c r="I443" s="3253"/>
      <c r="J443" s="3254" t="s">
        <v>3973</v>
      </c>
      <c r="K443" s="3255"/>
      <c r="L443" s="3253"/>
      <c r="M443" s="3253"/>
      <c r="N443" s="3253"/>
      <c r="O443" s="3253"/>
      <c r="P443" s="3253"/>
      <c r="Q443" s="556"/>
      <c r="R443" s="3249"/>
      <c r="S443" s="3108">
        <v>50000</v>
      </c>
      <c r="T443" s="3255" t="s">
        <v>0</v>
      </c>
      <c r="U443" s="3255"/>
      <c r="V443" s="3255">
        <v>2</v>
      </c>
      <c r="W443" s="3255" t="s">
        <v>3970</v>
      </c>
      <c r="X443" s="2030" t="s">
        <v>1</v>
      </c>
      <c r="Y443" s="3110">
        <f t="shared" ref="Y443" si="145">Z443/1000</f>
        <v>100</v>
      </c>
      <c r="Z443" s="2664">
        <f>S443*V443</f>
        <v>100000</v>
      </c>
      <c r="AA443" s="547"/>
      <c r="AB443" s="1891"/>
      <c r="AC443" s="1895"/>
      <c r="AD443" s="542"/>
    </row>
    <row r="444" spans="1:30" s="2964" customFormat="1" ht="22.5" customHeight="1">
      <c r="A444" s="591"/>
      <c r="B444" s="548"/>
      <c r="C444" s="624"/>
      <c r="D444" s="2713"/>
      <c r="E444" s="745" t="s">
        <v>95</v>
      </c>
      <c r="F444" s="526">
        <f>Y444</f>
        <v>4000</v>
      </c>
      <c r="G444" s="1918">
        <v>4000</v>
      </c>
      <c r="H444" s="551"/>
      <c r="I444" s="543"/>
      <c r="J444" s="3254" t="s">
        <v>3974</v>
      </c>
      <c r="K444" s="3255"/>
      <c r="L444" s="3253"/>
      <c r="M444" s="3253"/>
      <c r="N444" s="3109" t="s">
        <v>20</v>
      </c>
      <c r="O444" s="3253" t="s">
        <v>20</v>
      </c>
      <c r="P444" s="3253"/>
      <c r="Q444" s="556">
        <v>20</v>
      </c>
      <c r="R444" s="3180" t="s">
        <v>3975</v>
      </c>
      <c r="S444" s="3108">
        <v>20000</v>
      </c>
      <c r="T444" s="3255" t="s">
        <v>0</v>
      </c>
      <c r="U444" s="3255"/>
      <c r="V444" s="3255">
        <v>10</v>
      </c>
      <c r="W444" s="3255" t="s">
        <v>3</v>
      </c>
      <c r="X444" s="2030" t="s">
        <v>1</v>
      </c>
      <c r="Y444" s="3110">
        <f>Z444/1000</f>
        <v>4000</v>
      </c>
      <c r="Z444" s="2664">
        <f>Q444*S444*V444</f>
        <v>4000000</v>
      </c>
      <c r="AA444" s="547"/>
      <c r="AB444" s="1891"/>
      <c r="AC444" s="1895"/>
      <c r="AD444" s="542"/>
    </row>
    <row r="445" spans="1:30" s="2964" customFormat="1" ht="22.5" customHeight="1">
      <c r="A445" s="591"/>
      <c r="B445" s="548"/>
      <c r="C445" s="624"/>
      <c r="D445" s="2713"/>
      <c r="E445" s="2023" t="s">
        <v>3976</v>
      </c>
      <c r="F445" s="526">
        <f>Y445</f>
        <v>7600</v>
      </c>
      <c r="G445" s="1918">
        <v>7600</v>
      </c>
      <c r="H445" s="551"/>
      <c r="I445" s="543"/>
      <c r="J445" s="3254" t="s">
        <v>3963</v>
      </c>
      <c r="K445" s="3253"/>
      <c r="L445" s="3253"/>
      <c r="M445" s="3253"/>
      <c r="N445" s="3253"/>
      <c r="O445" s="3253"/>
      <c r="P445" s="3253"/>
      <c r="Q445" s="3253"/>
      <c r="R445" s="552"/>
      <c r="S445" s="3253"/>
      <c r="T445" s="3253"/>
      <c r="U445" s="3253"/>
      <c r="V445" s="3253"/>
      <c r="W445" s="3253"/>
      <c r="X445" s="2030"/>
      <c r="Y445" s="3110">
        <f t="shared" ref="Y445:Y447" si="146">Z445/1000</f>
        <v>7600</v>
      </c>
      <c r="Z445" s="2664">
        <f>SUM(Z446:Z449)</f>
        <v>7600000</v>
      </c>
      <c r="AA445" s="547"/>
      <c r="AB445" s="1891"/>
      <c r="AC445" s="1895"/>
      <c r="AD445" s="542"/>
    </row>
    <row r="446" spans="1:30" s="2964" customFormat="1" ht="22.5" customHeight="1">
      <c r="A446" s="591"/>
      <c r="B446" s="548"/>
      <c r="C446" s="624"/>
      <c r="D446" s="2713"/>
      <c r="E446" s="2023"/>
      <c r="F446" s="526"/>
      <c r="G446" s="1918"/>
      <c r="H446" s="551"/>
      <c r="I446" s="543"/>
      <c r="J446" s="3254" t="s">
        <v>3977</v>
      </c>
      <c r="K446" s="3253"/>
      <c r="L446" s="3253"/>
      <c r="M446" s="3253"/>
      <c r="N446" s="3253"/>
      <c r="O446" s="3253"/>
      <c r="P446" s="3253"/>
      <c r="Q446" s="556">
        <v>1</v>
      </c>
      <c r="R446" s="3180" t="s">
        <v>3975</v>
      </c>
      <c r="S446" s="3108">
        <v>200000</v>
      </c>
      <c r="T446" s="3255" t="s">
        <v>0</v>
      </c>
      <c r="U446" s="3255"/>
      <c r="V446" s="3255">
        <v>5</v>
      </c>
      <c r="W446" s="3255" t="s">
        <v>3</v>
      </c>
      <c r="X446" s="2030" t="s">
        <v>1</v>
      </c>
      <c r="Y446" s="3110">
        <f t="shared" si="146"/>
        <v>1000</v>
      </c>
      <c r="Z446" s="2664">
        <f>Q446*S446*V446</f>
        <v>1000000</v>
      </c>
      <c r="AA446" s="547"/>
      <c r="AB446" s="1891"/>
      <c r="AC446" s="1895"/>
      <c r="AD446" s="542"/>
    </row>
    <row r="447" spans="1:30" s="2964" customFormat="1" ht="22.5" customHeight="1">
      <c r="A447" s="591"/>
      <c r="B447" s="548"/>
      <c r="C447" s="624"/>
      <c r="D447" s="2713"/>
      <c r="E447" s="2023"/>
      <c r="F447" s="526"/>
      <c r="G447" s="1918"/>
      <c r="H447" s="551"/>
      <c r="I447" s="543"/>
      <c r="J447" s="3254" t="s">
        <v>3978</v>
      </c>
      <c r="K447" s="3253"/>
      <c r="L447" s="3253"/>
      <c r="M447" s="3253"/>
      <c r="N447" s="3253"/>
      <c r="O447" s="3253"/>
      <c r="P447" s="3253"/>
      <c r="Q447" s="556">
        <v>8</v>
      </c>
      <c r="R447" s="3180" t="s">
        <v>3975</v>
      </c>
      <c r="S447" s="3108">
        <v>300000</v>
      </c>
      <c r="T447" s="3255" t="s">
        <v>0</v>
      </c>
      <c r="U447" s="3255"/>
      <c r="V447" s="3255">
        <v>1</v>
      </c>
      <c r="W447" s="3255" t="s">
        <v>3</v>
      </c>
      <c r="X447" s="2030" t="s">
        <v>1</v>
      </c>
      <c r="Y447" s="3110">
        <f t="shared" si="146"/>
        <v>2400</v>
      </c>
      <c r="Z447" s="2664">
        <f>Q447*S447*V447</f>
        <v>2400000</v>
      </c>
      <c r="AA447" s="547"/>
      <c r="AB447" s="1891"/>
      <c r="AC447" s="1895"/>
      <c r="AD447" s="542"/>
    </row>
    <row r="448" spans="1:30" s="2964" customFormat="1" ht="22.5" customHeight="1">
      <c r="A448" s="591"/>
      <c r="B448" s="548"/>
      <c r="C448" s="624"/>
      <c r="D448" s="2713"/>
      <c r="E448" s="2023"/>
      <c r="F448" s="526"/>
      <c r="G448" s="1918"/>
      <c r="H448" s="551"/>
      <c r="I448" s="3253"/>
      <c r="J448" s="3254" t="s">
        <v>3979</v>
      </c>
      <c r="K448" s="3253"/>
      <c r="L448" s="3253"/>
      <c r="M448" s="3253"/>
      <c r="N448" s="3253"/>
      <c r="O448" s="3253"/>
      <c r="P448" s="3253"/>
      <c r="Q448" s="556">
        <v>4</v>
      </c>
      <c r="R448" s="3180" t="s">
        <v>3975</v>
      </c>
      <c r="S448" s="3108">
        <v>50000</v>
      </c>
      <c r="T448" s="3255" t="s">
        <v>3969</v>
      </c>
      <c r="U448" s="3255"/>
      <c r="V448" s="3255">
        <v>5</v>
      </c>
      <c r="W448" s="3255" t="s">
        <v>3970</v>
      </c>
      <c r="X448" s="2030" t="s">
        <v>3971</v>
      </c>
      <c r="Y448" s="3110">
        <f>Z448/1000</f>
        <v>1000</v>
      </c>
      <c r="Z448" s="2664">
        <f>Q448*S448*V448</f>
        <v>1000000</v>
      </c>
      <c r="AA448" s="547"/>
      <c r="AB448" s="1891"/>
      <c r="AC448" s="1895"/>
      <c r="AD448" s="542"/>
    </row>
    <row r="449" spans="1:30" s="2964" customFormat="1" ht="22.5" customHeight="1">
      <c r="A449" s="591"/>
      <c r="B449" s="548"/>
      <c r="C449" s="624"/>
      <c r="D449" s="2712"/>
      <c r="E449" s="2023"/>
      <c r="F449" s="526"/>
      <c r="G449" s="1918"/>
      <c r="H449" s="551"/>
      <c r="I449" s="3253"/>
      <c r="J449" s="3254" t="s">
        <v>3980</v>
      </c>
      <c r="K449" s="3253"/>
      <c r="L449" s="3253"/>
      <c r="M449" s="3253"/>
      <c r="N449" s="3253"/>
      <c r="O449" s="3253"/>
      <c r="P449" s="3253"/>
      <c r="Q449" s="556">
        <v>1</v>
      </c>
      <c r="R449" s="3180" t="s">
        <v>3975</v>
      </c>
      <c r="S449" s="3108">
        <v>800000</v>
      </c>
      <c r="T449" s="3255" t="s">
        <v>3969</v>
      </c>
      <c r="U449" s="3255"/>
      <c r="V449" s="3255">
        <v>4</v>
      </c>
      <c r="W449" s="3255" t="s">
        <v>3981</v>
      </c>
      <c r="X449" s="2030" t="s">
        <v>3971</v>
      </c>
      <c r="Y449" s="3110">
        <f>Z449/1000</f>
        <v>3200</v>
      </c>
      <c r="Z449" s="2664">
        <f>Q449*S449*V449</f>
        <v>3200000</v>
      </c>
      <c r="AA449" s="547"/>
      <c r="AB449" s="1891"/>
      <c r="AC449" s="1895"/>
      <c r="AD449" s="542"/>
    </row>
    <row r="450" spans="1:30" s="2964" customFormat="1" ht="22.5" customHeight="1">
      <c r="A450" s="591"/>
      <c r="B450" s="548"/>
      <c r="C450" s="624"/>
      <c r="D450" s="2712"/>
      <c r="E450" s="659" t="s">
        <v>3982</v>
      </c>
      <c r="F450" s="824">
        <f>Y450</f>
        <v>500</v>
      </c>
      <c r="G450" s="824">
        <v>500</v>
      </c>
      <c r="H450" s="534"/>
      <c r="I450" s="3253"/>
      <c r="J450" s="3254" t="s">
        <v>3983</v>
      </c>
      <c r="K450" s="3255"/>
      <c r="L450" s="3253"/>
      <c r="M450" s="3253"/>
      <c r="N450" s="3253"/>
      <c r="O450" s="3253"/>
      <c r="P450" s="3253"/>
      <c r="Q450" s="556"/>
      <c r="R450" s="3249"/>
      <c r="S450" s="3108">
        <v>500000</v>
      </c>
      <c r="T450" s="3255" t="s">
        <v>0</v>
      </c>
      <c r="U450" s="3255"/>
      <c r="V450" s="3255">
        <v>1</v>
      </c>
      <c r="W450" s="3255" t="s">
        <v>3966</v>
      </c>
      <c r="X450" s="2030" t="s">
        <v>1</v>
      </c>
      <c r="Y450" s="3110">
        <f t="shared" ref="Y450:Y451" si="147">Z450/1000</f>
        <v>500</v>
      </c>
      <c r="Z450" s="2664">
        <f>S450*V450</f>
        <v>500000</v>
      </c>
      <c r="AA450" s="547"/>
      <c r="AB450" s="1891"/>
      <c r="AC450" s="1895"/>
      <c r="AD450" s="542"/>
    </row>
    <row r="451" spans="1:30" s="2964" customFormat="1" ht="22.5" customHeight="1">
      <c r="A451" s="591"/>
      <c r="B451" s="548"/>
      <c r="C451" s="624"/>
      <c r="D451" s="2712"/>
      <c r="E451" s="659" t="s">
        <v>3984</v>
      </c>
      <c r="F451" s="824">
        <f>Y451</f>
        <v>1500</v>
      </c>
      <c r="G451" s="824">
        <v>1500</v>
      </c>
      <c r="H451" s="534"/>
      <c r="I451" s="3253"/>
      <c r="J451" s="3254" t="s">
        <v>3985</v>
      </c>
      <c r="K451" s="3255"/>
      <c r="L451" s="3253"/>
      <c r="M451" s="3253"/>
      <c r="N451" s="3253"/>
      <c r="O451" s="3253"/>
      <c r="P451" s="3253"/>
      <c r="Q451" s="556"/>
      <c r="R451" s="3249"/>
      <c r="S451" s="3108">
        <v>500000</v>
      </c>
      <c r="T451" s="3255" t="s">
        <v>0</v>
      </c>
      <c r="U451" s="3255"/>
      <c r="V451" s="3255">
        <v>3</v>
      </c>
      <c r="W451" s="3255" t="s">
        <v>3970</v>
      </c>
      <c r="X451" s="2030" t="s">
        <v>1</v>
      </c>
      <c r="Y451" s="3110">
        <f t="shared" si="147"/>
        <v>1500</v>
      </c>
      <c r="Z451" s="2664">
        <f>S451*V451</f>
        <v>1500000</v>
      </c>
      <c r="AA451" s="547"/>
      <c r="AB451" s="1891"/>
      <c r="AC451" s="1895"/>
      <c r="AD451" s="542"/>
    </row>
    <row r="452" spans="1:30" s="2964" customFormat="1" ht="22.5" customHeight="1">
      <c r="A452" s="591"/>
      <c r="B452" s="548"/>
      <c r="C452" s="2712"/>
      <c r="D452" s="2712"/>
      <c r="E452" s="659" t="s">
        <v>3986</v>
      </c>
      <c r="F452" s="824">
        <f>Y452</f>
        <v>30000</v>
      </c>
      <c r="G452" s="824">
        <v>30000</v>
      </c>
      <c r="H452" s="534"/>
      <c r="I452" s="3253"/>
      <c r="J452" s="3254" t="s">
        <v>3987</v>
      </c>
      <c r="K452" s="3255"/>
      <c r="L452" s="3253"/>
      <c r="M452" s="3253"/>
      <c r="N452" s="3109" t="s">
        <v>20</v>
      </c>
      <c r="O452" s="3253" t="s">
        <v>20</v>
      </c>
      <c r="P452" s="3253"/>
      <c r="Q452" s="556">
        <v>2</v>
      </c>
      <c r="R452" s="3180" t="s">
        <v>3988</v>
      </c>
      <c r="S452" s="3108">
        <v>15000000</v>
      </c>
      <c r="T452" s="3255" t="s">
        <v>0</v>
      </c>
      <c r="U452" s="3255"/>
      <c r="V452" s="3255">
        <v>1</v>
      </c>
      <c r="W452" s="3255" t="s">
        <v>3966</v>
      </c>
      <c r="X452" s="2030" t="s">
        <v>1</v>
      </c>
      <c r="Y452" s="3110">
        <f>Z452/1000</f>
        <v>30000</v>
      </c>
      <c r="Z452" s="2664">
        <f>Q452*S452*V452</f>
        <v>30000000</v>
      </c>
      <c r="AA452" s="547"/>
      <c r="AB452" s="1891"/>
      <c r="AC452" s="1895"/>
      <c r="AD452" s="542"/>
    </row>
    <row r="453" spans="1:30" s="2964" customFormat="1" ht="22.5" customHeight="1">
      <c r="A453" s="591"/>
      <c r="B453" s="548"/>
      <c r="C453" s="624"/>
      <c r="D453" s="2713"/>
      <c r="E453" s="659" t="s">
        <v>3989</v>
      </c>
      <c r="F453" s="824">
        <f>Y453</f>
        <v>1900</v>
      </c>
      <c r="G453" s="824">
        <v>1900</v>
      </c>
      <c r="H453" s="534"/>
      <c r="I453" s="3253"/>
      <c r="J453" s="3254" t="s">
        <v>3963</v>
      </c>
      <c r="K453" s="3253"/>
      <c r="L453" s="3253"/>
      <c r="M453" s="3253"/>
      <c r="N453" s="3253"/>
      <c r="O453" s="3253"/>
      <c r="P453" s="3253"/>
      <c r="Q453" s="3253"/>
      <c r="R453" s="552"/>
      <c r="S453" s="3253"/>
      <c r="T453" s="3253"/>
      <c r="U453" s="3253"/>
      <c r="V453" s="3253"/>
      <c r="W453" s="3253"/>
      <c r="X453" s="2030"/>
      <c r="Y453" s="3110">
        <f t="shared" ref="Y453:Y455" si="148">Z453/1000</f>
        <v>1900</v>
      </c>
      <c r="Z453" s="2664">
        <f>SUM(Z454:Z456)</f>
        <v>1900000</v>
      </c>
      <c r="AA453" s="547"/>
      <c r="AB453" s="1891"/>
      <c r="AC453" s="1895"/>
      <c r="AD453" s="542"/>
    </row>
    <row r="454" spans="1:30" s="2964" customFormat="1" ht="22.5" customHeight="1">
      <c r="A454" s="591"/>
      <c r="B454" s="548"/>
      <c r="C454" s="624"/>
      <c r="D454" s="2712"/>
      <c r="E454" s="659"/>
      <c r="F454" s="824"/>
      <c r="G454" s="824"/>
      <c r="H454" s="534"/>
      <c r="I454" s="3253"/>
      <c r="J454" s="3254" t="s">
        <v>3990</v>
      </c>
      <c r="K454" s="3253"/>
      <c r="L454" s="3253"/>
      <c r="M454" s="3253"/>
      <c r="N454" s="3253"/>
      <c r="O454" s="3253"/>
      <c r="P454" s="3253"/>
      <c r="Q454" s="556"/>
      <c r="R454" s="3180"/>
      <c r="S454" s="3108">
        <v>1000000</v>
      </c>
      <c r="T454" s="3255" t="s">
        <v>0</v>
      </c>
      <c r="U454" s="3255"/>
      <c r="V454" s="3255">
        <v>1</v>
      </c>
      <c r="W454" s="3255" t="s">
        <v>3</v>
      </c>
      <c r="X454" s="2030" t="s">
        <v>1</v>
      </c>
      <c r="Y454" s="3110">
        <f t="shared" si="148"/>
        <v>1000</v>
      </c>
      <c r="Z454" s="2664">
        <f>S454*V454</f>
        <v>1000000</v>
      </c>
      <c r="AA454" s="547"/>
      <c r="AB454" s="1891"/>
      <c r="AC454" s="1895"/>
      <c r="AD454" s="542"/>
    </row>
    <row r="455" spans="1:30" s="2964" customFormat="1" ht="22.5" customHeight="1">
      <c r="A455" s="591"/>
      <c r="B455" s="548"/>
      <c r="C455" s="624"/>
      <c r="D455" s="2712"/>
      <c r="E455" s="659"/>
      <c r="F455" s="824"/>
      <c r="G455" s="824"/>
      <c r="H455" s="534"/>
      <c r="I455" s="3253"/>
      <c r="J455" s="3254" t="s">
        <v>3991</v>
      </c>
      <c r="K455" s="3253"/>
      <c r="L455" s="3253"/>
      <c r="M455" s="3253"/>
      <c r="N455" s="3253"/>
      <c r="O455" s="3253"/>
      <c r="P455" s="3253"/>
      <c r="Q455" s="556">
        <v>40</v>
      </c>
      <c r="R455" s="3180" t="s">
        <v>3975</v>
      </c>
      <c r="S455" s="3108">
        <v>10000</v>
      </c>
      <c r="T455" s="3255" t="s">
        <v>0</v>
      </c>
      <c r="U455" s="3255"/>
      <c r="V455" s="3255">
        <v>1</v>
      </c>
      <c r="W455" s="3255" t="s">
        <v>3</v>
      </c>
      <c r="X455" s="2030" t="s">
        <v>1</v>
      </c>
      <c r="Y455" s="3110">
        <f t="shared" si="148"/>
        <v>400</v>
      </c>
      <c r="Z455" s="2664">
        <f>Q455*S455*V455</f>
        <v>400000</v>
      </c>
      <c r="AA455" s="547"/>
      <c r="AB455" s="1891"/>
      <c r="AC455" s="1895"/>
      <c r="AD455" s="542"/>
    </row>
    <row r="456" spans="1:30" s="2964" customFormat="1" ht="22.5" customHeight="1">
      <c r="A456" s="591"/>
      <c r="B456" s="548"/>
      <c r="C456" s="624"/>
      <c r="D456" s="2712"/>
      <c r="E456" s="659"/>
      <c r="F456" s="824"/>
      <c r="G456" s="824"/>
      <c r="H456" s="534"/>
      <c r="I456" s="3253"/>
      <c r="J456" s="3254" t="s">
        <v>3992</v>
      </c>
      <c r="K456" s="3253"/>
      <c r="L456" s="3253"/>
      <c r="M456" s="3253"/>
      <c r="N456" s="3253"/>
      <c r="O456" s="3253"/>
      <c r="P456" s="3253"/>
      <c r="Q456" s="556"/>
      <c r="R456" s="3180"/>
      <c r="S456" s="3108">
        <v>500000</v>
      </c>
      <c r="T456" s="3255" t="s">
        <v>3969</v>
      </c>
      <c r="U456" s="3255"/>
      <c r="V456" s="3255">
        <v>1</v>
      </c>
      <c r="W456" s="3255" t="s">
        <v>3966</v>
      </c>
      <c r="X456" s="2030" t="s">
        <v>3971</v>
      </c>
      <c r="Y456" s="3110">
        <f>Z456/1000</f>
        <v>500</v>
      </c>
      <c r="Z456" s="2664">
        <f>S456*V456</f>
        <v>500000</v>
      </c>
      <c r="AA456" s="547"/>
      <c r="AB456" s="1891"/>
      <c r="AC456" s="1895"/>
      <c r="AD456" s="542"/>
    </row>
    <row r="457" spans="1:30" s="2964" customFormat="1" ht="22.5" customHeight="1" thickBot="1">
      <c r="A457" s="591"/>
      <c r="B457" s="548"/>
      <c r="C457" s="2712"/>
      <c r="D457" s="2712"/>
      <c r="E457" s="3307" t="s">
        <v>3993</v>
      </c>
      <c r="F457" s="1657">
        <f>Y457</f>
        <v>1800</v>
      </c>
      <c r="G457" s="1657">
        <v>1800</v>
      </c>
      <c r="H457" s="1577"/>
      <c r="I457" s="3253"/>
      <c r="J457" s="2056" t="s">
        <v>3994</v>
      </c>
      <c r="K457" s="2058"/>
      <c r="L457" s="2057"/>
      <c r="M457" s="2057"/>
      <c r="N457" s="642" t="s">
        <v>20</v>
      </c>
      <c r="O457" s="2057" t="s">
        <v>20</v>
      </c>
      <c r="P457" s="2057"/>
      <c r="Q457" s="1388">
        <v>45</v>
      </c>
      <c r="R457" s="1292" t="s">
        <v>3975</v>
      </c>
      <c r="S457" s="641">
        <v>10000</v>
      </c>
      <c r="T457" s="2058" t="s">
        <v>0</v>
      </c>
      <c r="U457" s="2058"/>
      <c r="V457" s="2058">
        <v>4</v>
      </c>
      <c r="W457" s="2058" t="s">
        <v>3</v>
      </c>
      <c r="X457" s="2059" t="s">
        <v>1</v>
      </c>
      <c r="Y457" s="522">
        <f>Z457/1000</f>
        <v>1800</v>
      </c>
      <c r="Z457" s="2693">
        <f>Q457*S457*V457</f>
        <v>1800000</v>
      </c>
      <c r="AA457" s="547"/>
      <c r="AB457" s="1891"/>
      <c r="AC457" s="1895"/>
      <c r="AD457" s="542"/>
    </row>
    <row r="458" spans="1:30" s="814" customFormat="1" ht="22.5" customHeight="1" thickBot="1">
      <c r="A458" s="1912"/>
      <c r="B458" s="4110" t="s">
        <v>946</v>
      </c>
      <c r="C458" s="4110"/>
      <c r="D458" s="4110"/>
      <c r="E458" s="4110"/>
      <c r="F458" s="846">
        <f>+F459</f>
        <v>400000</v>
      </c>
      <c r="G458" s="846">
        <f>+G459</f>
        <v>400000</v>
      </c>
      <c r="H458" s="573">
        <f t="shared" si="140"/>
        <v>0</v>
      </c>
      <c r="I458" s="2682"/>
      <c r="J458" s="2704"/>
      <c r="K458" s="575"/>
      <c r="L458" s="575"/>
      <c r="M458" s="575"/>
      <c r="N458" s="575"/>
      <c r="O458" s="575"/>
      <c r="P458" s="575"/>
      <c r="Q458" s="2705"/>
      <c r="R458" s="2705"/>
      <c r="S458" s="2705"/>
      <c r="T458" s="2705"/>
      <c r="U458" s="2705"/>
      <c r="V458" s="2705"/>
      <c r="W458" s="2705"/>
      <c r="X458" s="2706"/>
      <c r="Y458" s="2707"/>
      <c r="Z458" s="2708"/>
      <c r="AA458" s="547"/>
      <c r="AB458" s="1891"/>
      <c r="AC458" s="2677"/>
      <c r="AD458" s="836"/>
    </row>
    <row r="459" spans="1:30" s="1875" customFormat="1" ht="22.5" customHeight="1">
      <c r="A459" s="591"/>
      <c r="B459" s="624"/>
      <c r="C459" s="4109" t="s">
        <v>1996</v>
      </c>
      <c r="D459" s="4109"/>
      <c r="E459" s="4109"/>
      <c r="F459" s="825">
        <f>+F460</f>
        <v>400000</v>
      </c>
      <c r="G459" s="825">
        <f>+G460</f>
        <v>400000</v>
      </c>
      <c r="H459" s="627">
        <f t="shared" si="140"/>
        <v>0</v>
      </c>
      <c r="I459" s="557"/>
      <c r="J459" s="2025"/>
      <c r="K459" s="2068"/>
      <c r="L459" s="2068"/>
      <c r="M459" s="2068"/>
      <c r="N459" s="2068"/>
      <c r="O459" s="2068"/>
      <c r="P459" s="2068"/>
      <c r="Q459" s="2026"/>
      <c r="R459" s="2026"/>
      <c r="S459" s="2026"/>
      <c r="T459" s="2026"/>
      <c r="U459" s="2026"/>
      <c r="V459" s="2026"/>
      <c r="W459" s="2026"/>
      <c r="X459" s="2028"/>
      <c r="Y459" s="586"/>
      <c r="Z459" s="622"/>
      <c r="AA459" s="547"/>
      <c r="AB459" s="1891">
        <f>F459</f>
        <v>400000</v>
      </c>
      <c r="AC459" s="1895"/>
      <c r="AD459" s="456"/>
    </row>
    <row r="460" spans="1:30" s="1875" customFormat="1" ht="22.5" customHeight="1">
      <c r="A460" s="591"/>
      <c r="B460" s="563"/>
      <c r="C460" s="1319"/>
      <c r="D460" s="4115" t="s">
        <v>1121</v>
      </c>
      <c r="E460" s="4115"/>
      <c r="F460" s="598">
        <f>SUM(F461:F499)</f>
        <v>400000</v>
      </c>
      <c r="G460" s="598">
        <f>SUM(G461:G499)</f>
        <v>400000</v>
      </c>
      <c r="H460" s="627">
        <f t="shared" si="140"/>
        <v>0</v>
      </c>
      <c r="I460" s="557"/>
      <c r="J460" s="2025"/>
      <c r="K460" s="2068"/>
      <c r="L460" s="2068"/>
      <c r="M460" s="2068"/>
      <c r="N460" s="2068"/>
      <c r="O460" s="2068"/>
      <c r="P460" s="2068"/>
      <c r="Q460" s="2068"/>
      <c r="R460" s="539"/>
      <c r="S460" s="2026"/>
      <c r="T460" s="2026"/>
      <c r="U460" s="2026"/>
      <c r="V460" s="2026"/>
      <c r="W460" s="2026"/>
      <c r="X460" s="2028"/>
      <c r="Y460" s="586"/>
      <c r="Z460" s="622"/>
      <c r="AA460" s="547"/>
      <c r="AB460" s="1891"/>
      <c r="AC460" s="1895"/>
      <c r="AD460" s="456"/>
    </row>
    <row r="461" spans="1:30" s="1875" customFormat="1" ht="22.5" customHeight="1">
      <c r="A461" s="591"/>
      <c r="B461" s="548"/>
      <c r="C461" s="624"/>
      <c r="D461" s="2020"/>
      <c r="E461" s="602" t="s">
        <v>65</v>
      </c>
      <c r="F461" s="1883">
        <f>Y461</f>
        <v>24200</v>
      </c>
      <c r="G461" s="1883">
        <v>24200</v>
      </c>
      <c r="H461" s="1320"/>
      <c r="I461" s="557"/>
      <c r="J461" s="2105" t="s">
        <v>2227</v>
      </c>
      <c r="K461" s="2082"/>
      <c r="L461" s="2082"/>
      <c r="M461" s="2082"/>
      <c r="N461" s="2082"/>
      <c r="O461" s="2082"/>
      <c r="P461" s="2082"/>
      <c r="Q461" s="556">
        <v>1</v>
      </c>
      <c r="R461" s="2080" t="s">
        <v>36</v>
      </c>
      <c r="S461" s="2106">
        <v>2200000</v>
      </c>
      <c r="T461" s="2106" t="s">
        <v>4</v>
      </c>
      <c r="U461" s="2106"/>
      <c r="V461" s="2106">
        <v>11</v>
      </c>
      <c r="W461" s="2106" t="s">
        <v>774</v>
      </c>
      <c r="X461" s="2030" t="s">
        <v>21</v>
      </c>
      <c r="Y461" s="483">
        <f>Z461/1000</f>
        <v>24200</v>
      </c>
      <c r="Z461" s="1898">
        <f>Q461*S461*V461</f>
        <v>24200000</v>
      </c>
      <c r="AA461" s="547"/>
      <c r="AB461" s="1891"/>
      <c r="AC461" s="1895"/>
      <c r="AD461" s="456"/>
    </row>
    <row r="462" spans="1:30" s="1875" customFormat="1" ht="22.5" customHeight="1">
      <c r="A462" s="591"/>
      <c r="B462" s="624"/>
      <c r="C462" s="624"/>
      <c r="D462" s="2020"/>
      <c r="E462" s="2023" t="s">
        <v>229</v>
      </c>
      <c r="F462" s="526">
        <f>Y462</f>
        <v>8900</v>
      </c>
      <c r="G462" s="526">
        <v>8900</v>
      </c>
      <c r="H462" s="551"/>
      <c r="I462" s="557"/>
      <c r="J462" s="2105" t="s">
        <v>224</v>
      </c>
      <c r="K462" s="2082"/>
      <c r="L462" s="2082"/>
      <c r="M462" s="2082"/>
      <c r="N462" s="2082"/>
      <c r="O462" s="2082"/>
      <c r="P462" s="2082"/>
      <c r="Q462" s="2082"/>
      <c r="R462" s="552"/>
      <c r="S462" s="2106"/>
      <c r="T462" s="2106"/>
      <c r="U462" s="2106"/>
      <c r="V462" s="2106"/>
      <c r="W462" s="2106"/>
      <c r="X462" s="2030"/>
      <c r="Y462" s="483">
        <f>SUM(Y463:Y465)</f>
        <v>8900</v>
      </c>
      <c r="Z462" s="1898">
        <f>SUM(Z463:Z465)</f>
        <v>8900000</v>
      </c>
      <c r="AA462" s="547"/>
      <c r="AB462" s="1891"/>
      <c r="AC462" s="1895"/>
      <c r="AD462" s="456"/>
    </row>
    <row r="463" spans="1:30" s="1875" customFormat="1" ht="22.5" customHeight="1">
      <c r="A463" s="591"/>
      <c r="B463" s="624"/>
      <c r="C463" s="624"/>
      <c r="D463" s="2020"/>
      <c r="E463" s="2023"/>
      <c r="F463" s="526"/>
      <c r="G463" s="526"/>
      <c r="H463" s="551"/>
      <c r="I463" s="557"/>
      <c r="J463" s="2105" t="s">
        <v>2228</v>
      </c>
      <c r="K463" s="2082"/>
      <c r="L463" s="2082"/>
      <c r="M463" s="2082"/>
      <c r="N463" s="2082"/>
      <c r="O463" s="2082"/>
      <c r="P463" s="2082"/>
      <c r="Q463" s="2082"/>
      <c r="R463" s="552"/>
      <c r="S463" s="2106">
        <v>3500000</v>
      </c>
      <c r="T463" s="2106" t="s">
        <v>4</v>
      </c>
      <c r="U463" s="2106"/>
      <c r="V463" s="2106">
        <v>1</v>
      </c>
      <c r="W463" s="2106" t="s">
        <v>226</v>
      </c>
      <c r="X463" s="2030" t="s">
        <v>5</v>
      </c>
      <c r="Y463" s="483">
        <f>Z463/1000</f>
        <v>3500</v>
      </c>
      <c r="Z463" s="1898">
        <f>S463*V463</f>
        <v>3500000</v>
      </c>
      <c r="AA463" s="547"/>
      <c r="AB463" s="1891"/>
      <c r="AC463" s="1895"/>
      <c r="AD463" s="456"/>
    </row>
    <row r="464" spans="1:30" s="1875" customFormat="1" ht="22.5" customHeight="1">
      <c r="A464" s="591"/>
      <c r="B464" s="624"/>
      <c r="C464" s="624"/>
      <c r="D464" s="2020"/>
      <c r="E464" s="2023"/>
      <c r="F464" s="526"/>
      <c r="G464" s="526"/>
      <c r="H464" s="551"/>
      <c r="I464" s="557"/>
      <c r="J464" s="2105" t="s">
        <v>2229</v>
      </c>
      <c r="K464" s="2082"/>
      <c r="L464" s="2082"/>
      <c r="M464" s="2082"/>
      <c r="N464" s="2082"/>
      <c r="O464" s="2082"/>
      <c r="P464" s="2082"/>
      <c r="Q464" s="2082"/>
      <c r="R464" s="552"/>
      <c r="S464" s="2106">
        <v>5200000</v>
      </c>
      <c r="T464" s="2106" t="s">
        <v>4</v>
      </c>
      <c r="U464" s="2106"/>
      <c r="V464" s="2106">
        <v>1</v>
      </c>
      <c r="W464" s="2106" t="s">
        <v>226</v>
      </c>
      <c r="X464" s="2030" t="s">
        <v>5</v>
      </c>
      <c r="Y464" s="483">
        <f>Z464/1000</f>
        <v>5200</v>
      </c>
      <c r="Z464" s="1898">
        <f>S464*V464</f>
        <v>5200000</v>
      </c>
      <c r="AA464" s="547"/>
      <c r="AB464" s="1891"/>
      <c r="AC464" s="1895"/>
      <c r="AD464" s="456"/>
    </row>
    <row r="465" spans="1:30" s="1875" customFormat="1" ht="22.5" customHeight="1">
      <c r="A465" s="591"/>
      <c r="B465" s="624"/>
      <c r="C465" s="624"/>
      <c r="D465" s="2020"/>
      <c r="E465" s="2023"/>
      <c r="F465" s="526"/>
      <c r="G465" s="526"/>
      <c r="H465" s="551"/>
      <c r="I465" s="557"/>
      <c r="J465" s="2105" t="s">
        <v>2230</v>
      </c>
      <c r="K465" s="2082"/>
      <c r="L465" s="2082"/>
      <c r="M465" s="2082"/>
      <c r="N465" s="2082"/>
      <c r="O465" s="2082"/>
      <c r="P465" s="2082"/>
      <c r="Q465" s="2082"/>
      <c r="R465" s="552"/>
      <c r="S465" s="2106">
        <v>200000</v>
      </c>
      <c r="T465" s="2106" t="s">
        <v>4</v>
      </c>
      <c r="U465" s="2106"/>
      <c r="V465" s="2106">
        <v>1</v>
      </c>
      <c r="W465" s="2106" t="s">
        <v>226</v>
      </c>
      <c r="X465" s="2030" t="s">
        <v>5</v>
      </c>
      <c r="Y465" s="483">
        <f>Z465/1000</f>
        <v>200</v>
      </c>
      <c r="Z465" s="1898">
        <f>S465*V465</f>
        <v>200000</v>
      </c>
      <c r="AA465" s="547"/>
      <c r="AB465" s="1891"/>
      <c r="AC465" s="1895"/>
      <c r="AD465" s="456"/>
    </row>
    <row r="466" spans="1:30" s="1875" customFormat="1" ht="22.5" customHeight="1">
      <c r="A466" s="591"/>
      <c r="B466" s="548"/>
      <c r="C466" s="624"/>
      <c r="D466" s="2020"/>
      <c r="E466" s="1885" t="s">
        <v>264</v>
      </c>
      <c r="F466" s="1886">
        <f>Y466</f>
        <v>22800</v>
      </c>
      <c r="G466" s="1886">
        <v>22800</v>
      </c>
      <c r="H466" s="551"/>
      <c r="I466" s="557"/>
      <c r="J466" s="2105" t="s">
        <v>224</v>
      </c>
      <c r="K466" s="2082"/>
      <c r="L466" s="2082"/>
      <c r="M466" s="2082"/>
      <c r="N466" s="2082"/>
      <c r="O466" s="2082"/>
      <c r="P466" s="2082"/>
      <c r="Q466" s="2082"/>
      <c r="R466" s="552"/>
      <c r="S466" s="2106"/>
      <c r="T466" s="2106"/>
      <c r="U466" s="2106"/>
      <c r="V466" s="2106"/>
      <c r="W466" s="2106"/>
      <c r="X466" s="2030"/>
      <c r="Y466" s="483">
        <f>SUM(Y467:Y469)</f>
        <v>22800</v>
      </c>
      <c r="Z466" s="1898">
        <f>SUM(Z467:Z469)</f>
        <v>22800000</v>
      </c>
      <c r="AA466" s="547"/>
      <c r="AB466" s="1891"/>
      <c r="AC466" s="1895"/>
      <c r="AD466" s="456"/>
    </row>
    <row r="467" spans="1:30" s="1875" customFormat="1" ht="22.5" customHeight="1">
      <c r="A467" s="591"/>
      <c r="B467" s="624"/>
      <c r="C467" s="624"/>
      <c r="D467" s="2020"/>
      <c r="E467" s="2023"/>
      <c r="F467" s="526"/>
      <c r="G467" s="526"/>
      <c r="H467" s="551"/>
      <c r="I467" s="557"/>
      <c r="J467" s="2105" t="s">
        <v>2231</v>
      </c>
      <c r="K467" s="2082"/>
      <c r="L467" s="2082"/>
      <c r="M467" s="2082"/>
      <c r="N467" s="2082"/>
      <c r="O467" s="2082"/>
      <c r="P467" s="2082"/>
      <c r="Q467" s="2082"/>
      <c r="R467" s="552"/>
      <c r="S467" s="2106">
        <v>3000000</v>
      </c>
      <c r="T467" s="2106" t="s">
        <v>4</v>
      </c>
      <c r="U467" s="2106"/>
      <c r="V467" s="2106">
        <v>1</v>
      </c>
      <c r="W467" s="2106" t="s">
        <v>226</v>
      </c>
      <c r="X467" s="2030" t="s">
        <v>5</v>
      </c>
      <c r="Y467" s="483">
        <f>Z467/1000</f>
        <v>3000</v>
      </c>
      <c r="Z467" s="1898">
        <f>S467*V467</f>
        <v>3000000</v>
      </c>
      <c r="AA467" s="547"/>
      <c r="AB467" s="1891"/>
      <c r="AC467" s="1895"/>
      <c r="AD467" s="456"/>
    </row>
    <row r="468" spans="1:30" s="1875" customFormat="1" ht="22.5" customHeight="1">
      <c r="A468" s="591"/>
      <c r="B468" s="624"/>
      <c r="C468" s="624"/>
      <c r="D468" s="2020"/>
      <c r="E468" s="2023"/>
      <c r="F468" s="526"/>
      <c r="G468" s="526"/>
      <c r="H468" s="551"/>
      <c r="I468" s="557"/>
      <c r="J468" s="2105" t="s">
        <v>2232</v>
      </c>
      <c r="K468" s="2082"/>
      <c r="L468" s="2082"/>
      <c r="M468" s="2082"/>
      <c r="N468" s="2082"/>
      <c r="O468" s="2082"/>
      <c r="P468" s="2082"/>
      <c r="Q468" s="2082"/>
      <c r="R468" s="552"/>
      <c r="S468" s="2106">
        <v>1875000</v>
      </c>
      <c r="T468" s="2106" t="s">
        <v>4</v>
      </c>
      <c r="U468" s="2106"/>
      <c r="V468" s="2106">
        <v>8</v>
      </c>
      <c r="W468" s="2106" t="s">
        <v>2233</v>
      </c>
      <c r="X468" s="2030" t="s">
        <v>5</v>
      </c>
      <c r="Y468" s="483">
        <f>Z468/1000</f>
        <v>15000</v>
      </c>
      <c r="Z468" s="1898">
        <f>S468*V468</f>
        <v>15000000</v>
      </c>
      <c r="AA468" s="547"/>
      <c r="AB468" s="1891"/>
      <c r="AC468" s="1895"/>
      <c r="AD468" s="456"/>
    </row>
    <row r="469" spans="1:30" s="1875" customFormat="1" ht="22.5" customHeight="1">
      <c r="A469" s="591"/>
      <c r="B469" s="624"/>
      <c r="C469" s="624"/>
      <c r="D469" s="2020"/>
      <c r="E469" s="2023"/>
      <c r="F469" s="526"/>
      <c r="G469" s="526"/>
      <c r="H469" s="551"/>
      <c r="I469" s="557"/>
      <c r="J469" s="2105" t="s">
        <v>2234</v>
      </c>
      <c r="K469" s="2082"/>
      <c r="L469" s="2082"/>
      <c r="M469" s="2082"/>
      <c r="N469" s="2082"/>
      <c r="O469" s="2082"/>
      <c r="P469" s="2082"/>
      <c r="Q469" s="2106">
        <v>20</v>
      </c>
      <c r="R469" s="2106" t="s">
        <v>2235</v>
      </c>
      <c r="S469" s="2106">
        <v>30000</v>
      </c>
      <c r="T469" s="2106" t="s">
        <v>4</v>
      </c>
      <c r="U469" s="2106"/>
      <c r="V469" s="2106">
        <v>8</v>
      </c>
      <c r="W469" s="2106" t="s">
        <v>369</v>
      </c>
      <c r="X469" s="2030" t="s">
        <v>5</v>
      </c>
      <c r="Y469" s="483">
        <f>Z469/1000</f>
        <v>4800</v>
      </c>
      <c r="Z469" s="1898">
        <f>Q469*S469*V469</f>
        <v>4800000</v>
      </c>
      <c r="AA469" s="547"/>
      <c r="AB469" s="1891"/>
      <c r="AC469" s="1895"/>
      <c r="AD469" s="456"/>
    </row>
    <row r="470" spans="1:30" s="1875" customFormat="1" ht="22.5" customHeight="1">
      <c r="A470" s="591"/>
      <c r="B470" s="548"/>
      <c r="C470" s="624"/>
      <c r="D470" s="2020"/>
      <c r="E470" s="2023" t="s">
        <v>225</v>
      </c>
      <c r="F470" s="549">
        <f>Y470</f>
        <v>6000</v>
      </c>
      <c r="G470" s="549">
        <v>6000</v>
      </c>
      <c r="H470" s="551"/>
      <c r="I470" s="557"/>
      <c r="J470" s="2105" t="s">
        <v>224</v>
      </c>
      <c r="K470" s="2082"/>
      <c r="L470" s="2082"/>
      <c r="M470" s="2082"/>
      <c r="N470" s="2082"/>
      <c r="O470" s="2082"/>
      <c r="P470" s="2082"/>
      <c r="Q470" s="2082"/>
      <c r="R470" s="552"/>
      <c r="S470" s="2106"/>
      <c r="T470" s="2106"/>
      <c r="U470" s="2106"/>
      <c r="V470" s="2106"/>
      <c r="W470" s="2106"/>
      <c r="X470" s="2030"/>
      <c r="Y470" s="483">
        <f>SUM(Y471:Y472)</f>
        <v>6000</v>
      </c>
      <c r="Z470" s="1898">
        <f>SUM(Z471:Z472)</f>
        <v>6000000</v>
      </c>
      <c r="AA470" s="547"/>
      <c r="AB470" s="1891"/>
      <c r="AC470" s="1895"/>
      <c r="AD470" s="456"/>
    </row>
    <row r="471" spans="1:30" s="1875" customFormat="1" ht="22.5" customHeight="1">
      <c r="A471" s="591"/>
      <c r="B471" s="548"/>
      <c r="C471" s="624"/>
      <c r="D471" s="2020"/>
      <c r="E471" s="2023"/>
      <c r="F471" s="549"/>
      <c r="G471" s="549"/>
      <c r="H471" s="551"/>
      <c r="I471" s="557"/>
      <c r="J471" s="2105" t="s">
        <v>2236</v>
      </c>
      <c r="K471" s="2082"/>
      <c r="L471" s="2082"/>
      <c r="M471" s="2082"/>
      <c r="N471" s="2082"/>
      <c r="O471" s="2082"/>
      <c r="P471" s="2082"/>
      <c r="Q471" s="2082"/>
      <c r="R471" s="552"/>
      <c r="S471" s="2106">
        <v>40000</v>
      </c>
      <c r="T471" s="2106" t="s">
        <v>4</v>
      </c>
      <c r="U471" s="2106"/>
      <c r="V471" s="2106">
        <v>100</v>
      </c>
      <c r="W471" s="2106" t="s">
        <v>369</v>
      </c>
      <c r="X471" s="2030" t="s">
        <v>5</v>
      </c>
      <c r="Y471" s="483">
        <f>Z471/1000</f>
        <v>4000</v>
      </c>
      <c r="Z471" s="1898">
        <f>S471*V471</f>
        <v>4000000</v>
      </c>
      <c r="AA471" s="547"/>
      <c r="AB471" s="1891"/>
      <c r="AC471" s="1895"/>
      <c r="AD471" s="456"/>
    </row>
    <row r="472" spans="1:30" s="1875" customFormat="1" ht="22.5" customHeight="1">
      <c r="A472" s="591"/>
      <c r="B472" s="548"/>
      <c r="C472" s="624"/>
      <c r="D472" s="2020"/>
      <c r="E472" s="2023"/>
      <c r="F472" s="549"/>
      <c r="G472" s="549"/>
      <c r="H472" s="551"/>
      <c r="I472" s="557"/>
      <c r="J472" s="2105" t="s">
        <v>2237</v>
      </c>
      <c r="K472" s="2082"/>
      <c r="L472" s="2082"/>
      <c r="M472" s="2082"/>
      <c r="N472" s="2082"/>
      <c r="O472" s="2082"/>
      <c r="P472" s="2082"/>
      <c r="Q472" s="2106">
        <v>2</v>
      </c>
      <c r="R472" s="2106" t="s">
        <v>36</v>
      </c>
      <c r="S472" s="2106">
        <v>10000</v>
      </c>
      <c r="T472" s="2106" t="s">
        <v>4</v>
      </c>
      <c r="U472" s="2106"/>
      <c r="V472" s="2106">
        <v>100</v>
      </c>
      <c r="W472" s="2106" t="s">
        <v>233</v>
      </c>
      <c r="X472" s="2030" t="s">
        <v>5</v>
      </c>
      <c r="Y472" s="483">
        <f>Z472/1000</f>
        <v>2000</v>
      </c>
      <c r="Z472" s="555">
        <f>Q472*S472*V472</f>
        <v>2000000</v>
      </c>
      <c r="AA472" s="547"/>
      <c r="AB472" s="1891"/>
      <c r="AC472" s="1895"/>
      <c r="AD472" s="456"/>
    </row>
    <row r="473" spans="1:30" s="1875" customFormat="1" ht="22.5" customHeight="1">
      <c r="A473" s="591"/>
      <c r="B473" s="548"/>
      <c r="C473" s="624"/>
      <c r="D473" s="2020"/>
      <c r="E473" s="2023" t="s">
        <v>379</v>
      </c>
      <c r="F473" s="549">
        <f>Y473</f>
        <v>1500</v>
      </c>
      <c r="G473" s="2717">
        <v>1500</v>
      </c>
      <c r="H473" s="551"/>
      <c r="I473" s="557"/>
      <c r="J473" s="2105" t="s">
        <v>2238</v>
      </c>
      <c r="K473" s="2082"/>
      <c r="L473" s="2082"/>
      <c r="M473" s="2082"/>
      <c r="N473" s="2082"/>
      <c r="O473" s="2082"/>
      <c r="P473" s="2082"/>
      <c r="Q473" s="475" t="s">
        <v>770</v>
      </c>
      <c r="R473" s="552" t="s">
        <v>770</v>
      </c>
      <c r="S473" s="474">
        <v>150000</v>
      </c>
      <c r="T473" s="2106" t="s">
        <v>4</v>
      </c>
      <c r="U473" s="2106"/>
      <c r="V473" s="2106">
        <v>10</v>
      </c>
      <c r="W473" s="2106" t="s">
        <v>230</v>
      </c>
      <c r="X473" s="2030" t="s">
        <v>5</v>
      </c>
      <c r="Y473" s="483">
        <f t="shared" ref="Y473" si="149">Z473/1000</f>
        <v>1500</v>
      </c>
      <c r="Z473" s="555">
        <f t="shared" ref="Z473" si="150">S473*V473</f>
        <v>1500000</v>
      </c>
      <c r="AA473" s="547"/>
      <c r="AB473" s="1891"/>
      <c r="AC473" s="1895"/>
      <c r="AD473" s="456"/>
    </row>
    <row r="474" spans="1:30" s="1875" customFormat="1" ht="22.5" customHeight="1">
      <c r="A474" s="591"/>
      <c r="B474" s="624"/>
      <c r="C474" s="624"/>
      <c r="D474" s="2020"/>
      <c r="E474" s="2034" t="s">
        <v>15</v>
      </c>
      <c r="F474" s="2720">
        <f>Y474</f>
        <v>232500</v>
      </c>
      <c r="G474" s="2720">
        <v>232500</v>
      </c>
      <c r="H474" s="551"/>
      <c r="I474" s="557"/>
      <c r="J474" s="2105" t="s">
        <v>224</v>
      </c>
      <c r="K474" s="2082"/>
      <c r="L474" s="2082"/>
      <c r="M474" s="2082"/>
      <c r="N474" s="2082"/>
      <c r="O474" s="2082"/>
      <c r="P474" s="2082"/>
      <c r="Q474" s="2082"/>
      <c r="R474" s="552"/>
      <c r="S474" s="474"/>
      <c r="T474" s="2106"/>
      <c r="U474" s="2106"/>
      <c r="V474" s="2106"/>
      <c r="W474" s="2106"/>
      <c r="X474" s="2030" t="s">
        <v>48</v>
      </c>
      <c r="Y474" s="483">
        <f t="shared" ref="Y474" si="151">+Z474/1000</f>
        <v>232500</v>
      </c>
      <c r="Z474" s="555">
        <f>SUM(Z475:Z480)</f>
        <v>232500000</v>
      </c>
      <c r="AA474" s="547"/>
      <c r="AB474" s="1891"/>
      <c r="AC474" s="1895"/>
      <c r="AD474" s="456"/>
    </row>
    <row r="475" spans="1:30" s="1875" customFormat="1" ht="22.5" customHeight="1">
      <c r="A475" s="591"/>
      <c r="B475" s="624"/>
      <c r="C475" s="624"/>
      <c r="D475" s="2020"/>
      <c r="E475" s="2034"/>
      <c r="F475" s="2720"/>
      <c r="G475" s="2720"/>
      <c r="H475" s="626"/>
      <c r="I475" s="557"/>
      <c r="J475" s="2105" t="s">
        <v>2239</v>
      </c>
      <c r="K475" s="2082"/>
      <c r="L475" s="2082"/>
      <c r="M475" s="2082"/>
      <c r="N475" s="2082"/>
      <c r="O475" s="2082"/>
      <c r="P475" s="2082"/>
      <c r="Q475" s="2106">
        <v>2</v>
      </c>
      <c r="R475" s="2106" t="s">
        <v>36</v>
      </c>
      <c r="S475" s="2106">
        <v>100000</v>
      </c>
      <c r="T475" s="2106" t="s">
        <v>4</v>
      </c>
      <c r="U475" s="2106"/>
      <c r="V475" s="2106">
        <v>600</v>
      </c>
      <c r="W475" s="2106" t="s">
        <v>233</v>
      </c>
      <c r="X475" s="2030" t="s">
        <v>5</v>
      </c>
      <c r="Y475" s="483">
        <f>Z475/1000</f>
        <v>120000</v>
      </c>
      <c r="Z475" s="555">
        <f>Q475*S475*V475</f>
        <v>120000000</v>
      </c>
      <c r="AA475" s="547"/>
      <c r="AB475" s="1891"/>
      <c r="AC475" s="1895"/>
      <c r="AD475" s="456"/>
    </row>
    <row r="476" spans="1:30" s="1875" customFormat="1" ht="22.5" customHeight="1">
      <c r="A476" s="591"/>
      <c r="B476" s="624"/>
      <c r="C476" s="624"/>
      <c r="D476" s="2020"/>
      <c r="E476" s="2034"/>
      <c r="F476" s="2720"/>
      <c r="G476" s="2720"/>
      <c r="H476" s="626"/>
      <c r="I476" s="557"/>
      <c r="J476" s="2105" t="s">
        <v>2240</v>
      </c>
      <c r="K476" s="2082"/>
      <c r="L476" s="2082"/>
      <c r="M476" s="2082"/>
      <c r="N476" s="2082"/>
      <c r="O476" s="2082"/>
      <c r="P476" s="2082"/>
      <c r="Q476" s="2106">
        <v>8</v>
      </c>
      <c r="R476" s="2106" t="s">
        <v>36</v>
      </c>
      <c r="S476" s="2106">
        <v>150000</v>
      </c>
      <c r="T476" s="2106" t="s">
        <v>4</v>
      </c>
      <c r="U476" s="2106"/>
      <c r="V476" s="2106">
        <v>75</v>
      </c>
      <c r="W476" s="2106" t="s">
        <v>233</v>
      </c>
      <c r="X476" s="2030" t="s">
        <v>5</v>
      </c>
      <c r="Y476" s="483">
        <f>Z476/1000</f>
        <v>90000</v>
      </c>
      <c r="Z476" s="555">
        <f>Q476*S476*V476</f>
        <v>90000000</v>
      </c>
      <c r="AA476" s="547"/>
      <c r="AB476" s="1891"/>
      <c r="AC476" s="1895"/>
      <c r="AD476" s="456"/>
    </row>
    <row r="477" spans="1:30" s="1875" customFormat="1" ht="22.5" customHeight="1">
      <c r="A477" s="591"/>
      <c r="B477" s="624"/>
      <c r="C477" s="624"/>
      <c r="D477" s="2020"/>
      <c r="E477" s="2034"/>
      <c r="F477" s="2720"/>
      <c r="G477" s="2720"/>
      <c r="H477" s="626"/>
      <c r="I477" s="557"/>
      <c r="J477" s="2105" t="s">
        <v>2241</v>
      </c>
      <c r="K477" s="2082"/>
      <c r="L477" s="2082"/>
      <c r="M477" s="2082"/>
      <c r="N477" s="2082"/>
      <c r="O477" s="2082"/>
      <c r="P477" s="2082"/>
      <c r="Q477" s="2106">
        <v>20</v>
      </c>
      <c r="R477" s="2106" t="s">
        <v>2235</v>
      </c>
      <c r="S477" s="2106">
        <v>100000</v>
      </c>
      <c r="T477" s="2106" t="s">
        <v>4</v>
      </c>
      <c r="U477" s="2106"/>
      <c r="V477" s="2106">
        <v>8</v>
      </c>
      <c r="W477" s="2106" t="s">
        <v>233</v>
      </c>
      <c r="X477" s="2030" t="s">
        <v>5</v>
      </c>
      <c r="Y477" s="483">
        <f t="shared" ref="Y477:Y478" si="152">Z477/1000</f>
        <v>16000</v>
      </c>
      <c r="Z477" s="555">
        <f t="shared" ref="Z477:Z478" si="153">Q477*S477*V477</f>
        <v>16000000</v>
      </c>
      <c r="AA477" s="547"/>
      <c r="AB477" s="1891"/>
      <c r="AC477" s="1895"/>
      <c r="AD477" s="456"/>
    </row>
    <row r="478" spans="1:30" s="1875" customFormat="1" ht="22.5" customHeight="1">
      <c r="A478" s="591"/>
      <c r="B478" s="624"/>
      <c r="C478" s="624"/>
      <c r="D478" s="624"/>
      <c r="E478" s="1885"/>
      <c r="F478" s="2720"/>
      <c r="G478" s="2720"/>
      <c r="H478" s="626"/>
      <c r="I478" s="557"/>
      <c r="J478" s="2105" t="s">
        <v>2242</v>
      </c>
      <c r="K478" s="2082"/>
      <c r="L478" s="2082"/>
      <c r="M478" s="2082"/>
      <c r="N478" s="2082"/>
      <c r="O478" s="2082"/>
      <c r="P478" s="2082"/>
      <c r="Q478" s="2106">
        <v>6</v>
      </c>
      <c r="R478" s="2106" t="s">
        <v>36</v>
      </c>
      <c r="S478" s="2106">
        <v>100000</v>
      </c>
      <c r="T478" s="2106" t="s">
        <v>4</v>
      </c>
      <c r="U478" s="2106"/>
      <c r="V478" s="2106">
        <v>6</v>
      </c>
      <c r="W478" s="2106" t="s">
        <v>233</v>
      </c>
      <c r="X478" s="2030" t="s">
        <v>5</v>
      </c>
      <c r="Y478" s="483">
        <f t="shared" si="152"/>
        <v>3600</v>
      </c>
      <c r="Z478" s="555">
        <f t="shared" si="153"/>
        <v>3600000</v>
      </c>
      <c r="AA478" s="547"/>
      <c r="AB478" s="1891"/>
      <c r="AC478" s="1895"/>
      <c r="AD478" s="456"/>
    </row>
    <row r="479" spans="1:30" s="1875" customFormat="1" ht="22.5" customHeight="1">
      <c r="A479" s="591"/>
      <c r="B479" s="624"/>
      <c r="C479" s="624"/>
      <c r="D479" s="2020"/>
      <c r="E479" s="2034"/>
      <c r="F479" s="2720"/>
      <c r="G479" s="2720"/>
      <c r="H479" s="626"/>
      <c r="I479" s="557"/>
      <c r="J479" s="2105" t="s">
        <v>2243</v>
      </c>
      <c r="K479" s="2082"/>
      <c r="L479" s="2082"/>
      <c r="M479" s="2082"/>
      <c r="N479" s="2082"/>
      <c r="O479" s="2082"/>
      <c r="P479" s="2082"/>
      <c r="Q479" s="2106">
        <v>1</v>
      </c>
      <c r="R479" s="2106" t="s">
        <v>36</v>
      </c>
      <c r="S479" s="2106">
        <v>150000</v>
      </c>
      <c r="T479" s="2106" t="s">
        <v>4</v>
      </c>
      <c r="U479" s="2106"/>
      <c r="V479" s="2106">
        <v>6</v>
      </c>
      <c r="W479" s="2106" t="s">
        <v>233</v>
      </c>
      <c r="X479" s="2030" t="s">
        <v>5</v>
      </c>
      <c r="Y479" s="483">
        <f t="shared" ref="Y479:Y480" si="154">Z479/1000</f>
        <v>900</v>
      </c>
      <c r="Z479" s="555">
        <f t="shared" ref="Z479:Z480" si="155">Q479*S479*V479</f>
        <v>900000</v>
      </c>
      <c r="AA479" s="547"/>
      <c r="AB479" s="1891"/>
      <c r="AC479" s="1895"/>
      <c r="AD479" s="456"/>
    </row>
    <row r="480" spans="1:30" s="1875" customFormat="1" ht="22.5" customHeight="1">
      <c r="A480" s="591"/>
      <c r="B480" s="624"/>
      <c r="C480" s="624"/>
      <c r="D480" s="624"/>
      <c r="E480" s="1885"/>
      <c r="F480" s="2720"/>
      <c r="G480" s="2720"/>
      <c r="H480" s="626"/>
      <c r="I480" s="557"/>
      <c r="J480" s="2105" t="s">
        <v>2244</v>
      </c>
      <c r="K480" s="2082"/>
      <c r="L480" s="2082"/>
      <c r="M480" s="2082"/>
      <c r="N480" s="2082"/>
      <c r="O480" s="2082"/>
      <c r="P480" s="2082"/>
      <c r="Q480" s="2106">
        <v>1</v>
      </c>
      <c r="R480" s="2106" t="s">
        <v>36</v>
      </c>
      <c r="S480" s="2106">
        <v>500000</v>
      </c>
      <c r="T480" s="2106" t="s">
        <v>4</v>
      </c>
      <c r="U480" s="2106"/>
      <c r="V480" s="2106">
        <v>4</v>
      </c>
      <c r="W480" s="2106" t="s">
        <v>233</v>
      </c>
      <c r="X480" s="2030" t="s">
        <v>5</v>
      </c>
      <c r="Y480" s="483">
        <f t="shared" si="154"/>
        <v>2000</v>
      </c>
      <c r="Z480" s="555">
        <f t="shared" si="155"/>
        <v>2000000</v>
      </c>
      <c r="AA480" s="547"/>
      <c r="AB480" s="1891"/>
      <c r="AC480" s="1895"/>
      <c r="AD480" s="456"/>
    </row>
    <row r="481" spans="1:30" s="1875" customFormat="1" ht="22.5" customHeight="1">
      <c r="A481" s="591"/>
      <c r="B481" s="624"/>
      <c r="C481" s="624"/>
      <c r="D481" s="2020"/>
      <c r="E481" s="2034" t="s">
        <v>431</v>
      </c>
      <c r="F481" s="2720">
        <f>Y481</f>
        <v>13500</v>
      </c>
      <c r="G481" s="2720">
        <v>13500</v>
      </c>
      <c r="H481" s="551"/>
      <c r="I481" s="557"/>
      <c r="J481" s="2105" t="s">
        <v>224</v>
      </c>
      <c r="K481" s="2082"/>
      <c r="L481" s="2082"/>
      <c r="M481" s="2082"/>
      <c r="N481" s="2082"/>
      <c r="O481" s="2082"/>
      <c r="P481" s="2082"/>
      <c r="Q481" s="2082"/>
      <c r="R481" s="552"/>
      <c r="S481" s="474"/>
      <c r="T481" s="2106"/>
      <c r="U481" s="2106"/>
      <c r="V481" s="2106"/>
      <c r="W481" s="2106"/>
      <c r="X481" s="2030" t="s">
        <v>48</v>
      </c>
      <c r="Y481" s="483">
        <f t="shared" ref="Y481" si="156">+Z481/1000</f>
        <v>13500</v>
      </c>
      <c r="Z481" s="555">
        <f>SUM(Z482:Z483)</f>
        <v>13500000</v>
      </c>
      <c r="AA481" s="547"/>
      <c r="AB481" s="1891"/>
      <c r="AC481" s="1895"/>
      <c r="AD481" s="456"/>
    </row>
    <row r="482" spans="1:30" s="1875" customFormat="1" ht="22.5" customHeight="1">
      <c r="A482" s="591"/>
      <c r="B482" s="624"/>
      <c r="C482" s="624"/>
      <c r="D482" s="2020"/>
      <c r="E482" s="2034"/>
      <c r="F482" s="2720"/>
      <c r="G482" s="2720"/>
      <c r="H482" s="626"/>
      <c r="I482" s="557"/>
      <c r="J482" s="2105" t="s">
        <v>2245</v>
      </c>
      <c r="K482" s="2082"/>
      <c r="L482" s="2082"/>
      <c r="M482" s="2082"/>
      <c r="N482" s="2082"/>
      <c r="O482" s="2082"/>
      <c r="P482" s="2082"/>
      <c r="Q482" s="2106"/>
      <c r="R482" s="2106"/>
      <c r="S482" s="2106">
        <v>1000000</v>
      </c>
      <c r="T482" s="2106" t="s">
        <v>4</v>
      </c>
      <c r="U482" s="2106"/>
      <c r="V482" s="2106">
        <v>1</v>
      </c>
      <c r="W482" s="2106" t="s">
        <v>579</v>
      </c>
      <c r="X482" s="2030" t="s">
        <v>5</v>
      </c>
      <c r="Y482" s="483">
        <f>Z482/1000</f>
        <v>1000</v>
      </c>
      <c r="Z482" s="555">
        <f t="shared" ref="Z482" si="157">S482*V482</f>
        <v>1000000</v>
      </c>
      <c r="AA482" s="547"/>
      <c r="AB482" s="1891"/>
      <c r="AC482" s="1895"/>
      <c r="AD482" s="456"/>
    </row>
    <row r="483" spans="1:30" s="1875" customFormat="1" ht="22.5" customHeight="1">
      <c r="A483" s="591"/>
      <c r="B483" s="624"/>
      <c r="C483" s="624"/>
      <c r="D483" s="2020"/>
      <c r="E483" s="2034"/>
      <c r="F483" s="2720"/>
      <c r="G483" s="2720"/>
      <c r="H483" s="626"/>
      <c r="I483" s="557"/>
      <c r="J483" s="2105" t="s">
        <v>2246</v>
      </c>
      <c r="K483" s="2082"/>
      <c r="L483" s="2082"/>
      <c r="M483" s="2082"/>
      <c r="N483" s="2082"/>
      <c r="O483" s="2082"/>
      <c r="P483" s="2082"/>
      <c r="Q483" s="2106"/>
      <c r="R483" s="2106"/>
      <c r="S483" s="2106">
        <v>12500000</v>
      </c>
      <c r="T483" s="2106" t="s">
        <v>4</v>
      </c>
      <c r="U483" s="2106"/>
      <c r="V483" s="2106">
        <v>1</v>
      </c>
      <c r="W483" s="2106" t="s">
        <v>579</v>
      </c>
      <c r="X483" s="2030" t="s">
        <v>5</v>
      </c>
      <c r="Y483" s="483">
        <f>Z483/1000</f>
        <v>12500</v>
      </c>
      <c r="Z483" s="555">
        <f t="shared" ref="Z483" si="158">S483*V483</f>
        <v>12500000</v>
      </c>
      <c r="AA483" s="547"/>
      <c r="AB483" s="1891"/>
      <c r="AC483" s="1895"/>
      <c r="AD483" s="456"/>
    </row>
    <row r="484" spans="1:30" s="1875" customFormat="1" ht="22.5" customHeight="1">
      <c r="A484" s="591"/>
      <c r="B484" s="624"/>
      <c r="C484" s="624"/>
      <c r="D484" s="2020"/>
      <c r="E484" s="2034" t="s">
        <v>262</v>
      </c>
      <c r="F484" s="2720">
        <f>Y484</f>
        <v>7200</v>
      </c>
      <c r="G484" s="2720">
        <v>7200</v>
      </c>
      <c r="H484" s="551"/>
      <c r="I484" s="557"/>
      <c r="J484" s="2105" t="s">
        <v>224</v>
      </c>
      <c r="K484" s="2082"/>
      <c r="L484" s="2082"/>
      <c r="M484" s="2082"/>
      <c r="N484" s="2082"/>
      <c r="O484" s="2082"/>
      <c r="P484" s="2082"/>
      <c r="Q484" s="2082"/>
      <c r="R484" s="552"/>
      <c r="S484" s="474"/>
      <c r="T484" s="2106"/>
      <c r="U484" s="2106"/>
      <c r="V484" s="2106"/>
      <c r="W484" s="2106"/>
      <c r="X484" s="2030" t="s">
        <v>48</v>
      </c>
      <c r="Y484" s="483">
        <f t="shared" ref="Y484" si="159">+Z484/1000</f>
        <v>7200</v>
      </c>
      <c r="Z484" s="555">
        <f>SUM(Z485:Z486)</f>
        <v>7200000</v>
      </c>
      <c r="AA484" s="547"/>
      <c r="AB484" s="1891"/>
      <c r="AC484" s="1895"/>
      <c r="AD484" s="456"/>
    </row>
    <row r="485" spans="1:30" s="1875" customFormat="1" ht="22.5" customHeight="1">
      <c r="A485" s="591"/>
      <c r="B485" s="624"/>
      <c r="C485" s="624"/>
      <c r="D485" s="2020"/>
      <c r="E485" s="2034"/>
      <c r="F485" s="2720"/>
      <c r="G485" s="2720"/>
      <c r="H485" s="626"/>
      <c r="I485" s="557"/>
      <c r="J485" s="2105" t="s">
        <v>2120</v>
      </c>
      <c r="K485" s="2082"/>
      <c r="L485" s="2082"/>
      <c r="M485" s="2082"/>
      <c r="N485" s="2082"/>
      <c r="O485" s="2082"/>
      <c r="P485" s="2082"/>
      <c r="Q485" s="2106"/>
      <c r="R485" s="2106"/>
      <c r="S485" s="2106">
        <v>200000</v>
      </c>
      <c r="T485" s="2106" t="s">
        <v>4</v>
      </c>
      <c r="U485" s="2106"/>
      <c r="V485" s="2106">
        <v>11</v>
      </c>
      <c r="W485" s="2106" t="s">
        <v>488</v>
      </c>
      <c r="X485" s="2030" t="s">
        <v>5</v>
      </c>
      <c r="Y485" s="483">
        <f>Z485/1000</f>
        <v>2200</v>
      </c>
      <c r="Z485" s="555">
        <f t="shared" ref="Z485:Z486" si="160">S485*V485</f>
        <v>2200000</v>
      </c>
      <c r="AA485" s="547"/>
      <c r="AB485" s="1891"/>
      <c r="AC485" s="1895"/>
      <c r="AD485" s="456"/>
    </row>
    <row r="486" spans="1:30" s="1875" customFormat="1" ht="22.5" customHeight="1">
      <c r="A486" s="591"/>
      <c r="B486" s="624"/>
      <c r="C486" s="624"/>
      <c r="D486" s="2020"/>
      <c r="E486" s="2034"/>
      <c r="F486" s="2720"/>
      <c r="G486" s="2720"/>
      <c r="H486" s="626"/>
      <c r="I486" s="557"/>
      <c r="J486" s="2105" t="s">
        <v>2247</v>
      </c>
      <c r="K486" s="2082"/>
      <c r="L486" s="2082"/>
      <c r="M486" s="2082"/>
      <c r="N486" s="2082"/>
      <c r="O486" s="2082"/>
      <c r="P486" s="2082"/>
      <c r="Q486" s="2106"/>
      <c r="R486" s="2106"/>
      <c r="S486" s="2106">
        <v>500000</v>
      </c>
      <c r="T486" s="2106" t="s">
        <v>4</v>
      </c>
      <c r="U486" s="2106"/>
      <c r="V486" s="2106">
        <v>10</v>
      </c>
      <c r="W486" s="2106" t="s">
        <v>488</v>
      </c>
      <c r="X486" s="2030" t="s">
        <v>5</v>
      </c>
      <c r="Y486" s="483">
        <f>Z486/1000</f>
        <v>5000</v>
      </c>
      <c r="Z486" s="555">
        <f t="shared" si="160"/>
        <v>5000000</v>
      </c>
      <c r="AA486" s="547"/>
      <c r="AB486" s="1891"/>
      <c r="AC486" s="1895"/>
      <c r="AD486" s="456"/>
    </row>
    <row r="487" spans="1:30" s="1875" customFormat="1" ht="22.5" customHeight="1">
      <c r="A487" s="591"/>
      <c r="B487" s="548"/>
      <c r="C487" s="624"/>
      <c r="D487" s="2020"/>
      <c r="E487" s="2023" t="s">
        <v>551</v>
      </c>
      <c r="F487" s="549">
        <f>Y487</f>
        <v>1000</v>
      </c>
      <c r="G487" s="549">
        <v>1000</v>
      </c>
      <c r="H487" s="551"/>
      <c r="I487" s="557"/>
      <c r="J487" s="2105" t="s">
        <v>2113</v>
      </c>
      <c r="K487" s="2082"/>
      <c r="L487" s="2082"/>
      <c r="M487" s="2082"/>
      <c r="N487" s="2082"/>
      <c r="O487" s="2082"/>
      <c r="P487" s="2082"/>
      <c r="Q487" s="475" t="s">
        <v>770</v>
      </c>
      <c r="R487" s="552" t="s">
        <v>770</v>
      </c>
      <c r="S487" s="474">
        <v>100000</v>
      </c>
      <c r="T487" s="2106" t="s">
        <v>4</v>
      </c>
      <c r="U487" s="2106"/>
      <c r="V487" s="2106">
        <v>10</v>
      </c>
      <c r="W487" s="2106" t="s">
        <v>369</v>
      </c>
      <c r="X487" s="2030" t="s">
        <v>5</v>
      </c>
      <c r="Y487" s="483">
        <f>Z487/1000</f>
        <v>1000</v>
      </c>
      <c r="Z487" s="555">
        <f t="shared" ref="Z487" si="161">S487*V487</f>
        <v>1000000</v>
      </c>
      <c r="AA487" s="547"/>
      <c r="AB487" s="1891"/>
      <c r="AC487" s="1895"/>
      <c r="AD487" s="456"/>
    </row>
    <row r="488" spans="1:30" s="1875" customFormat="1" ht="22.5" customHeight="1">
      <c r="A488" s="591"/>
      <c r="B488" s="548"/>
      <c r="C488" s="624"/>
      <c r="D488" s="2020"/>
      <c r="E488" s="2023" t="s">
        <v>73</v>
      </c>
      <c r="F488" s="549">
        <f>Y488</f>
        <v>78100</v>
      </c>
      <c r="G488" s="549">
        <v>78100</v>
      </c>
      <c r="H488" s="551"/>
      <c r="I488" s="557"/>
      <c r="J488" s="2105" t="s">
        <v>224</v>
      </c>
      <c r="K488" s="2082"/>
      <c r="L488" s="2082"/>
      <c r="M488" s="2082"/>
      <c r="N488" s="2082"/>
      <c r="O488" s="2082"/>
      <c r="P488" s="2082"/>
      <c r="Q488" s="2082"/>
      <c r="R488" s="552"/>
      <c r="S488" s="474"/>
      <c r="T488" s="2106"/>
      <c r="U488" s="2106"/>
      <c r="V488" s="2106"/>
      <c r="W488" s="2106"/>
      <c r="X488" s="2030" t="s">
        <v>48</v>
      </c>
      <c r="Y488" s="483">
        <f t="shared" ref="Y488" si="162">+Z488/1000</f>
        <v>78100</v>
      </c>
      <c r="Z488" s="555">
        <f>SUM(Z489:Z496)</f>
        <v>78100000</v>
      </c>
      <c r="AA488" s="547"/>
      <c r="AB488" s="1891"/>
      <c r="AC488" s="1895"/>
      <c r="AD488" s="456"/>
    </row>
    <row r="489" spans="1:30" s="1875" customFormat="1" ht="22.5" customHeight="1">
      <c r="A489" s="591"/>
      <c r="B489" s="548"/>
      <c r="C489" s="624"/>
      <c r="D489" s="2020"/>
      <c r="E489" s="2023"/>
      <c r="F489" s="549"/>
      <c r="G489" s="549"/>
      <c r="H489" s="551"/>
      <c r="I489" s="557"/>
      <c r="J489" s="2105" t="s">
        <v>2248</v>
      </c>
      <c r="K489" s="2082"/>
      <c r="L489" s="2082"/>
      <c r="M489" s="2082"/>
      <c r="N489" s="2082"/>
      <c r="O489" s="2106">
        <v>6</v>
      </c>
      <c r="P489" s="2106" t="s">
        <v>36</v>
      </c>
      <c r="Q489" s="2106">
        <v>32</v>
      </c>
      <c r="R489" s="2106" t="s">
        <v>607</v>
      </c>
      <c r="S489" s="2106">
        <v>20000</v>
      </c>
      <c r="T489" s="2106" t="s">
        <v>4</v>
      </c>
      <c r="U489" s="2106"/>
      <c r="V489" s="2106">
        <v>10</v>
      </c>
      <c r="W489" s="2106" t="s">
        <v>825</v>
      </c>
      <c r="X489" s="2030" t="s">
        <v>5</v>
      </c>
      <c r="Y489" s="483">
        <f t="shared" ref="Y489:Y496" si="163">Z489/1000</f>
        <v>38400</v>
      </c>
      <c r="Z489" s="555">
        <f>O489*Q489*S489*V489</f>
        <v>38400000</v>
      </c>
      <c r="AA489" s="547"/>
      <c r="AB489" s="1891"/>
      <c r="AC489" s="1895"/>
      <c r="AD489" s="456"/>
    </row>
    <row r="490" spans="1:30" s="1875" customFormat="1" ht="22.5" customHeight="1">
      <c r="A490" s="591"/>
      <c r="B490" s="548"/>
      <c r="C490" s="624"/>
      <c r="D490" s="2020"/>
      <c r="E490" s="2023"/>
      <c r="F490" s="549"/>
      <c r="G490" s="549"/>
      <c r="H490" s="551"/>
      <c r="I490" s="557"/>
      <c r="J490" s="2105" t="s">
        <v>2339</v>
      </c>
      <c r="K490" s="2082"/>
      <c r="L490" s="2082"/>
      <c r="M490" s="2082"/>
      <c r="N490" s="2082"/>
      <c r="O490" s="2082"/>
      <c r="P490" s="2082"/>
      <c r="Q490" s="2106"/>
      <c r="R490" s="2106"/>
      <c r="S490" s="2106">
        <v>1500000</v>
      </c>
      <c r="T490" s="2106" t="s">
        <v>4</v>
      </c>
      <c r="U490" s="2106"/>
      <c r="V490" s="2106">
        <v>4</v>
      </c>
      <c r="W490" s="2106" t="s">
        <v>537</v>
      </c>
      <c r="X490" s="2030" t="s">
        <v>5</v>
      </c>
      <c r="Y490" s="483">
        <f t="shared" si="163"/>
        <v>6000</v>
      </c>
      <c r="Z490" s="555">
        <f>S490*V490</f>
        <v>6000000</v>
      </c>
      <c r="AA490" s="547"/>
      <c r="AB490" s="1891"/>
      <c r="AC490" s="1895"/>
      <c r="AD490" s="456"/>
    </row>
    <row r="491" spans="1:30" s="1875" customFormat="1" ht="22.5" customHeight="1">
      <c r="A491" s="591"/>
      <c r="B491" s="548"/>
      <c r="C491" s="624"/>
      <c r="D491" s="2020"/>
      <c r="E491" s="2023"/>
      <c r="F491" s="549"/>
      <c r="G491" s="549"/>
      <c r="H491" s="551"/>
      <c r="I491" s="557"/>
      <c r="J491" s="2105" t="s">
        <v>2340</v>
      </c>
      <c r="K491" s="2082"/>
      <c r="L491" s="2082"/>
      <c r="M491" s="2082"/>
      <c r="N491" s="2082"/>
      <c r="O491" s="2082"/>
      <c r="P491" s="2082"/>
      <c r="Q491" s="2106"/>
      <c r="R491" s="2106"/>
      <c r="S491" s="2106">
        <v>500000</v>
      </c>
      <c r="T491" s="2106" t="s">
        <v>4</v>
      </c>
      <c r="U491" s="2106"/>
      <c r="V491" s="2106">
        <v>1</v>
      </c>
      <c r="W491" s="2106" t="s">
        <v>631</v>
      </c>
      <c r="X491" s="2030" t="s">
        <v>5</v>
      </c>
      <c r="Y491" s="483">
        <f t="shared" si="163"/>
        <v>500</v>
      </c>
      <c r="Z491" s="555">
        <f>S491*V491</f>
        <v>500000</v>
      </c>
      <c r="AA491" s="547"/>
      <c r="AB491" s="1891"/>
      <c r="AC491" s="1895"/>
      <c r="AD491" s="456"/>
    </row>
    <row r="492" spans="1:30" s="1887" customFormat="1" ht="22.5" customHeight="1">
      <c r="A492" s="591"/>
      <c r="B492" s="548"/>
      <c r="C492" s="624"/>
      <c r="D492" s="2020"/>
      <c r="E492" s="2023"/>
      <c r="F492" s="549"/>
      <c r="G492" s="549"/>
      <c r="H492" s="551"/>
      <c r="I492" s="557"/>
      <c r="J492" s="2105" t="s">
        <v>2341</v>
      </c>
      <c r="K492" s="2082"/>
      <c r="L492" s="2082"/>
      <c r="M492" s="2082"/>
      <c r="N492" s="2082"/>
      <c r="O492" s="2082"/>
      <c r="P492" s="2082"/>
      <c r="Q492" s="2106"/>
      <c r="R492" s="2106"/>
      <c r="S492" s="2106">
        <v>20000</v>
      </c>
      <c r="T492" s="2106" t="s">
        <v>4</v>
      </c>
      <c r="U492" s="2106"/>
      <c r="V492" s="2106">
        <v>600</v>
      </c>
      <c r="W492" s="2106" t="s">
        <v>233</v>
      </c>
      <c r="X492" s="2030" t="s">
        <v>5</v>
      </c>
      <c r="Y492" s="483">
        <f t="shared" si="163"/>
        <v>12000</v>
      </c>
      <c r="Z492" s="555">
        <f>S492*V492</f>
        <v>12000000</v>
      </c>
      <c r="AA492" s="547"/>
      <c r="AB492" s="1891"/>
      <c r="AC492" s="1895"/>
      <c r="AD492" s="456"/>
    </row>
    <row r="493" spans="1:30" s="1887" customFormat="1" ht="22.5" customHeight="1">
      <c r="A493" s="591"/>
      <c r="B493" s="548"/>
      <c r="C493" s="624"/>
      <c r="D493" s="2020"/>
      <c r="E493" s="2023"/>
      <c r="F493" s="549"/>
      <c r="G493" s="549"/>
      <c r="H493" s="551"/>
      <c r="I493" s="557"/>
      <c r="J493" s="2105" t="s">
        <v>2342</v>
      </c>
      <c r="K493" s="2082"/>
      <c r="L493" s="2082"/>
      <c r="M493" s="2082"/>
      <c r="N493" s="2082"/>
      <c r="O493" s="2082"/>
      <c r="P493" s="2082"/>
      <c r="Q493" s="2106"/>
      <c r="R493" s="2106"/>
      <c r="S493" s="2106">
        <v>4000000</v>
      </c>
      <c r="T493" s="2106" t="s">
        <v>4</v>
      </c>
      <c r="U493" s="2106"/>
      <c r="V493" s="2106">
        <v>1</v>
      </c>
      <c r="W493" s="2106" t="s">
        <v>631</v>
      </c>
      <c r="X493" s="2030" t="s">
        <v>5</v>
      </c>
      <c r="Y493" s="483">
        <f t="shared" si="163"/>
        <v>4000</v>
      </c>
      <c r="Z493" s="555">
        <f>S493*V493</f>
        <v>4000000</v>
      </c>
      <c r="AA493" s="547"/>
      <c r="AB493" s="1891"/>
      <c r="AC493" s="1895"/>
      <c r="AD493" s="456"/>
    </row>
    <row r="494" spans="1:30" s="1887" customFormat="1" ht="22.5" customHeight="1">
      <c r="A494" s="591"/>
      <c r="B494" s="548"/>
      <c r="C494" s="624"/>
      <c r="D494" s="2020"/>
      <c r="E494" s="2023"/>
      <c r="F494" s="549"/>
      <c r="G494" s="549"/>
      <c r="H494" s="551"/>
      <c r="I494" s="557"/>
      <c r="J494" s="2105" t="s">
        <v>2343</v>
      </c>
      <c r="K494" s="2082"/>
      <c r="L494" s="2082"/>
      <c r="M494" s="2082"/>
      <c r="N494" s="2082"/>
      <c r="O494" s="2106"/>
      <c r="P494" s="2106"/>
      <c r="Q494" s="2106">
        <v>20</v>
      </c>
      <c r="R494" s="2106" t="s">
        <v>2235</v>
      </c>
      <c r="S494" s="2106">
        <v>10000</v>
      </c>
      <c r="T494" s="2106" t="s">
        <v>4</v>
      </c>
      <c r="U494" s="2106"/>
      <c r="V494" s="2106">
        <v>8</v>
      </c>
      <c r="W494" s="2106" t="s">
        <v>537</v>
      </c>
      <c r="X494" s="2030" t="s">
        <v>5</v>
      </c>
      <c r="Y494" s="483">
        <f t="shared" si="163"/>
        <v>1600</v>
      </c>
      <c r="Z494" s="555">
        <f>Q494*S494*V494</f>
        <v>1600000</v>
      </c>
      <c r="AA494" s="547"/>
      <c r="AB494" s="1891"/>
      <c r="AC494" s="1895"/>
      <c r="AD494" s="456"/>
    </row>
    <row r="495" spans="1:30" s="1887" customFormat="1" ht="22.5" customHeight="1">
      <c r="A495" s="591"/>
      <c r="B495" s="548"/>
      <c r="C495" s="624"/>
      <c r="D495" s="2020"/>
      <c r="E495" s="2023"/>
      <c r="F495" s="549"/>
      <c r="G495" s="549"/>
      <c r="H495" s="551"/>
      <c r="I495" s="557"/>
      <c r="J495" s="2105" t="s">
        <v>2344</v>
      </c>
      <c r="K495" s="2082"/>
      <c r="L495" s="2082"/>
      <c r="M495" s="2082"/>
      <c r="N495" s="2082"/>
      <c r="O495" s="2082"/>
      <c r="P495" s="2082"/>
      <c r="Q495" s="2106"/>
      <c r="R495" s="2106"/>
      <c r="S495" s="2106">
        <v>2100000</v>
      </c>
      <c r="T495" s="2106" t="s">
        <v>4</v>
      </c>
      <c r="U495" s="2106"/>
      <c r="V495" s="2106">
        <v>6</v>
      </c>
      <c r="W495" s="2106" t="s">
        <v>537</v>
      </c>
      <c r="X495" s="2030" t="s">
        <v>5</v>
      </c>
      <c r="Y495" s="483">
        <f t="shared" si="163"/>
        <v>12600</v>
      </c>
      <c r="Z495" s="555">
        <f>S495*V495</f>
        <v>12600000</v>
      </c>
      <c r="AA495" s="547"/>
      <c r="AB495" s="1891"/>
      <c r="AC495" s="1895"/>
      <c r="AD495" s="456"/>
    </row>
    <row r="496" spans="1:30" s="1887" customFormat="1" ht="22.5" customHeight="1">
      <c r="A496" s="591"/>
      <c r="B496" s="548"/>
      <c r="C496" s="624"/>
      <c r="D496" s="2020"/>
      <c r="E496" s="2023"/>
      <c r="F496" s="549"/>
      <c r="G496" s="549"/>
      <c r="H496" s="551"/>
      <c r="I496" s="557"/>
      <c r="J496" s="2105" t="s">
        <v>2345</v>
      </c>
      <c r="K496" s="2082"/>
      <c r="L496" s="2082"/>
      <c r="M496" s="2082"/>
      <c r="N496" s="2082"/>
      <c r="O496" s="2082"/>
      <c r="P496" s="2082"/>
      <c r="Q496" s="2106"/>
      <c r="R496" s="2106"/>
      <c r="S496" s="2106">
        <v>3000000</v>
      </c>
      <c r="T496" s="2106" t="s">
        <v>4</v>
      </c>
      <c r="U496" s="2106"/>
      <c r="V496" s="2106">
        <v>1</v>
      </c>
      <c r="W496" s="2106" t="s">
        <v>631</v>
      </c>
      <c r="X496" s="2030" t="s">
        <v>5</v>
      </c>
      <c r="Y496" s="483">
        <f t="shared" si="163"/>
        <v>3000</v>
      </c>
      <c r="Z496" s="555">
        <f>S496*V496</f>
        <v>3000000</v>
      </c>
      <c r="AA496" s="547"/>
      <c r="AB496" s="1891"/>
      <c r="AC496" s="1895"/>
      <c r="AD496" s="456"/>
    </row>
    <row r="497" spans="1:30" s="1887" customFormat="1" ht="22.5" customHeight="1">
      <c r="A497" s="591"/>
      <c r="B497" s="548"/>
      <c r="C497" s="624"/>
      <c r="D497" s="2020"/>
      <c r="E497" s="2023" t="s">
        <v>2336</v>
      </c>
      <c r="F497" s="549">
        <f>Y497</f>
        <v>4300</v>
      </c>
      <c r="G497" s="549">
        <v>4300</v>
      </c>
      <c r="H497" s="551"/>
      <c r="I497" s="557"/>
      <c r="J497" s="2105" t="s">
        <v>224</v>
      </c>
      <c r="K497" s="2082"/>
      <c r="L497" s="2082"/>
      <c r="M497" s="2082"/>
      <c r="N497" s="2082"/>
      <c r="O497" s="2082"/>
      <c r="P497" s="2082"/>
      <c r="Q497" s="2082"/>
      <c r="R497" s="552"/>
      <c r="S497" s="474"/>
      <c r="T497" s="2106"/>
      <c r="U497" s="2106"/>
      <c r="V497" s="2106"/>
      <c r="W497" s="2106"/>
      <c r="X497" s="2030" t="s">
        <v>48</v>
      </c>
      <c r="Y497" s="483">
        <f t="shared" ref="Y497" si="164">+Z497/1000</f>
        <v>4300</v>
      </c>
      <c r="Z497" s="555">
        <f>SUM(Z498:Z499)</f>
        <v>4300000</v>
      </c>
      <c r="AA497" s="547"/>
      <c r="AB497" s="1891"/>
      <c r="AC497" s="1895"/>
      <c r="AD497" s="456"/>
    </row>
    <row r="498" spans="1:30" s="1887" customFormat="1" ht="22.5" customHeight="1">
      <c r="A498" s="591"/>
      <c r="B498" s="548"/>
      <c r="C498" s="624"/>
      <c r="D498" s="2020"/>
      <c r="E498" s="2023"/>
      <c r="F498" s="549"/>
      <c r="G498" s="549"/>
      <c r="H498" s="551"/>
      <c r="I498" s="557"/>
      <c r="J498" s="2105" t="s">
        <v>2338</v>
      </c>
      <c r="K498" s="2082"/>
      <c r="L498" s="2082"/>
      <c r="M498" s="2082"/>
      <c r="N498" s="2082"/>
      <c r="O498" s="2082"/>
      <c r="P498" s="2082"/>
      <c r="Q498" s="2106">
        <v>10</v>
      </c>
      <c r="R498" s="2106" t="s">
        <v>36</v>
      </c>
      <c r="S498" s="2106">
        <v>20000</v>
      </c>
      <c r="T498" s="2106" t="s">
        <v>4</v>
      </c>
      <c r="U498" s="2106"/>
      <c r="V498" s="2106">
        <v>20</v>
      </c>
      <c r="W498" s="2106" t="s">
        <v>537</v>
      </c>
      <c r="X498" s="2030" t="s">
        <v>5</v>
      </c>
      <c r="Y498" s="483">
        <f>Z498/1000</f>
        <v>4000</v>
      </c>
      <c r="Z498" s="555">
        <f>Q498*S498*V498</f>
        <v>4000000</v>
      </c>
      <c r="AA498" s="547"/>
      <c r="AB498" s="1891"/>
      <c r="AC498" s="1895"/>
      <c r="AD498" s="456"/>
    </row>
    <row r="499" spans="1:30" s="1875" customFormat="1" ht="22.5" customHeight="1" thickBot="1">
      <c r="A499" s="591"/>
      <c r="B499" s="592"/>
      <c r="C499" s="624"/>
      <c r="D499" s="2020"/>
      <c r="E499" s="2023"/>
      <c r="F499" s="526"/>
      <c r="G499" s="526"/>
      <c r="H499" s="551"/>
      <c r="I499" s="557"/>
      <c r="J499" s="2105" t="s">
        <v>2337</v>
      </c>
      <c r="K499" s="2082"/>
      <c r="L499" s="2082"/>
      <c r="M499" s="2082"/>
      <c r="N499" s="2082"/>
      <c r="O499" s="2082"/>
      <c r="P499" s="2082"/>
      <c r="Q499" s="2106"/>
      <c r="R499" s="2106"/>
      <c r="S499" s="2106">
        <v>300000</v>
      </c>
      <c r="T499" s="2106" t="s">
        <v>4</v>
      </c>
      <c r="U499" s="2106"/>
      <c r="V499" s="2106">
        <v>1</v>
      </c>
      <c r="W499" s="2106" t="s">
        <v>631</v>
      </c>
      <c r="X499" s="2030" t="s">
        <v>5</v>
      </c>
      <c r="Y499" s="483">
        <f>Z499/1000</f>
        <v>300</v>
      </c>
      <c r="Z499" s="555">
        <f t="shared" ref="Z499" si="165">S499*V499</f>
        <v>300000</v>
      </c>
      <c r="AA499" s="547"/>
      <c r="AB499" s="1891"/>
      <c r="AC499" s="1895"/>
      <c r="AD499" s="456"/>
    </row>
    <row r="500" spans="1:30" s="814" customFormat="1" ht="22.5" customHeight="1" thickBot="1">
      <c r="A500" s="1912"/>
      <c r="B500" s="4110" t="s">
        <v>200</v>
      </c>
      <c r="C500" s="4110"/>
      <c r="D500" s="4110"/>
      <c r="E500" s="4110"/>
      <c r="F500" s="846">
        <f>+F501+F523+F535+F546</f>
        <v>1715000</v>
      </c>
      <c r="G500" s="846">
        <f>+G501+G523+G535+G546</f>
        <v>1715000</v>
      </c>
      <c r="H500" s="573">
        <f t="shared" ref="H500:H501" si="166">F500-G500</f>
        <v>0</v>
      </c>
      <c r="I500" s="2682"/>
      <c r="J500" s="2704"/>
      <c r="K500" s="575"/>
      <c r="L500" s="575"/>
      <c r="M500" s="575"/>
      <c r="N500" s="575"/>
      <c r="O500" s="575"/>
      <c r="P500" s="575"/>
      <c r="Q500" s="2705"/>
      <c r="R500" s="2705"/>
      <c r="S500" s="2705"/>
      <c r="T500" s="2705"/>
      <c r="U500" s="2705"/>
      <c r="V500" s="2705"/>
      <c r="W500" s="2705"/>
      <c r="X500" s="2706"/>
      <c r="Y500" s="2707"/>
      <c r="Z500" s="2708"/>
      <c r="AA500" s="547"/>
      <c r="AB500" s="1891"/>
      <c r="AC500" s="2677"/>
      <c r="AD500" s="836"/>
    </row>
    <row r="501" spans="1:30" s="1878" customFormat="1" ht="22.5" customHeight="1">
      <c r="A501" s="540"/>
      <c r="B501" s="563"/>
      <c r="C501" s="3926" t="s">
        <v>2333</v>
      </c>
      <c r="D501" s="3927"/>
      <c r="E501" s="3928"/>
      <c r="F501" s="2709">
        <f>+F502</f>
        <v>950000</v>
      </c>
      <c r="G501" s="2709">
        <f>+G502</f>
        <v>950000</v>
      </c>
      <c r="H501" s="1332">
        <f t="shared" si="166"/>
        <v>0</v>
      </c>
      <c r="I501" s="594">
        <f t="shared" ref="I501" si="167">G501-H501</f>
        <v>950000</v>
      </c>
      <c r="J501" s="580"/>
      <c r="K501" s="2072"/>
      <c r="L501" s="2072"/>
      <c r="M501" s="2072"/>
      <c r="N501" s="2072"/>
      <c r="O501" s="2072"/>
      <c r="P501" s="2072"/>
      <c r="Q501" s="2072"/>
      <c r="R501" s="2072"/>
      <c r="S501" s="2072"/>
      <c r="T501" s="2072"/>
      <c r="U501" s="2072"/>
      <c r="V501" s="2072"/>
      <c r="W501" s="2072"/>
      <c r="X501" s="581"/>
      <c r="Y501" s="582"/>
      <c r="Z501" s="583"/>
      <c r="AA501" s="547"/>
      <c r="AB501" s="2073"/>
      <c r="AC501" s="1891">
        <f>F501</f>
        <v>950000</v>
      </c>
      <c r="AD501" s="456"/>
    </row>
    <row r="502" spans="1:30" s="1842" customFormat="1" ht="22.5" customHeight="1">
      <c r="A502" s="481"/>
      <c r="B502" s="2013"/>
      <c r="C502" s="2075"/>
      <c r="D502" s="3825" t="s">
        <v>1997</v>
      </c>
      <c r="E502" s="3826"/>
      <c r="F502" s="525">
        <f>SUM(F503:F522)</f>
        <v>950000</v>
      </c>
      <c r="G502" s="525">
        <f>SUM(G503:G522)</f>
        <v>950000</v>
      </c>
      <c r="H502" s="627">
        <f>F502-G502</f>
        <v>0</v>
      </c>
      <c r="I502" s="543"/>
      <c r="J502" s="538"/>
      <c r="K502" s="2068"/>
      <c r="L502" s="2068"/>
      <c r="M502" s="2068"/>
      <c r="N502" s="2068"/>
      <c r="O502" s="2068"/>
      <c r="P502" s="2068"/>
      <c r="Q502" s="2068"/>
      <c r="R502" s="539"/>
      <c r="S502" s="2068"/>
      <c r="T502" s="2068"/>
      <c r="U502" s="2068"/>
      <c r="V502" s="2068"/>
      <c r="W502" s="2068"/>
      <c r="X502" s="585"/>
      <c r="Y502" s="600"/>
      <c r="Z502" s="587">
        <f>+Z522+Z514+Z510+Z507+Z503+Z521+Z513</f>
        <v>184000000</v>
      </c>
      <c r="AA502" s="2075"/>
      <c r="AB502" s="2075"/>
      <c r="AC502" s="2075"/>
    </row>
    <row r="503" spans="1:30" s="1842" customFormat="1" ht="22.5" customHeight="1">
      <c r="A503" s="481"/>
      <c r="B503" s="2013"/>
      <c r="C503" s="2075"/>
      <c r="D503" s="548"/>
      <c r="E503" s="677" t="s">
        <v>5124</v>
      </c>
      <c r="F503" s="3575">
        <f>Y503</f>
        <v>40000</v>
      </c>
      <c r="G503" s="2126">
        <v>40000</v>
      </c>
      <c r="H503" s="957"/>
      <c r="I503" s="1984"/>
      <c r="J503" s="681" t="s">
        <v>5097</v>
      </c>
      <c r="K503" s="3515"/>
      <c r="L503" s="3515"/>
      <c r="M503" s="3515"/>
      <c r="N503" s="3515"/>
      <c r="O503" s="3515"/>
      <c r="P503" s="3515"/>
      <c r="Q503" s="1038">
        <v>2</v>
      </c>
      <c r="R503" s="3524" t="s">
        <v>5098</v>
      </c>
      <c r="S503" s="3164">
        <v>2000000</v>
      </c>
      <c r="T503" s="684" t="s">
        <v>0</v>
      </c>
      <c r="U503" s="684"/>
      <c r="V503" s="684">
        <v>10</v>
      </c>
      <c r="W503" s="684" t="s">
        <v>5099</v>
      </c>
      <c r="X503" s="686" t="s">
        <v>5100</v>
      </c>
      <c r="Y503" s="871">
        <f t="shared" ref="Y503:Y522" si="168">(Z503)/1000</f>
        <v>40000</v>
      </c>
      <c r="Z503" s="732">
        <f>Q503*S503*V503</f>
        <v>40000000</v>
      </c>
      <c r="AA503" s="2075"/>
      <c r="AB503" s="2075"/>
      <c r="AC503" s="2075"/>
    </row>
    <row r="504" spans="1:30" s="1842" customFormat="1" ht="22.5" customHeight="1">
      <c r="A504" s="481"/>
      <c r="B504" s="2013"/>
      <c r="C504" s="2075"/>
      <c r="D504" s="2050"/>
      <c r="E504" s="677" t="s">
        <v>5125</v>
      </c>
      <c r="F504" s="3575">
        <f>Y504</f>
        <v>24000</v>
      </c>
      <c r="G504" s="2126">
        <v>4000</v>
      </c>
      <c r="H504" s="949">
        <f t="shared" ref="H504:H507" si="169">F504-G504</f>
        <v>20000</v>
      </c>
      <c r="I504" s="1984"/>
      <c r="J504" s="681" t="s">
        <v>5101</v>
      </c>
      <c r="K504" s="3515"/>
      <c r="L504" s="3515"/>
      <c r="M504" s="3515"/>
      <c r="N504" s="3515"/>
      <c r="O504" s="3515"/>
      <c r="P504" s="3515"/>
      <c r="Q504" s="1038">
        <v>1</v>
      </c>
      <c r="R504" s="3524" t="s">
        <v>5102</v>
      </c>
      <c r="S504" s="3164">
        <v>24000000</v>
      </c>
      <c r="T504" s="684" t="s">
        <v>0</v>
      </c>
      <c r="U504" s="684"/>
      <c r="V504" s="684">
        <v>1</v>
      </c>
      <c r="W504" s="684" t="s">
        <v>5103</v>
      </c>
      <c r="X504" s="686" t="s">
        <v>5100</v>
      </c>
      <c r="Y504" s="871">
        <f t="shared" si="168"/>
        <v>24000</v>
      </c>
      <c r="Z504" s="732">
        <f>Q504*S504*V504</f>
        <v>24000000</v>
      </c>
      <c r="AA504" s="2075"/>
      <c r="AB504" s="2075"/>
      <c r="AC504" s="2075"/>
    </row>
    <row r="505" spans="1:30" s="1842" customFormat="1" ht="22.5" customHeight="1">
      <c r="A505" s="481"/>
      <c r="B505" s="2013"/>
      <c r="C505" s="2075"/>
      <c r="D505" s="2050"/>
      <c r="E505" s="677" t="s">
        <v>5126</v>
      </c>
      <c r="F505" s="3575">
        <f>Y505</f>
        <v>4000</v>
      </c>
      <c r="G505" s="2126">
        <v>4000</v>
      </c>
      <c r="H505" s="949"/>
      <c r="I505" s="1984"/>
      <c r="J505" s="681" t="s">
        <v>5104</v>
      </c>
      <c r="K505" s="3515"/>
      <c r="L505" s="3515"/>
      <c r="M505" s="3515"/>
      <c r="N505" s="3515"/>
      <c r="O505" s="3515"/>
      <c r="P505" s="3515"/>
      <c r="Q505" s="1038">
        <v>1</v>
      </c>
      <c r="R505" s="3524" t="s">
        <v>5102</v>
      </c>
      <c r="S505" s="3164">
        <v>4000000</v>
      </c>
      <c r="T505" s="684" t="s">
        <v>0</v>
      </c>
      <c r="U505" s="684"/>
      <c r="V505" s="684">
        <v>1</v>
      </c>
      <c r="W505" s="684" t="s">
        <v>5105</v>
      </c>
      <c r="X505" s="686" t="s">
        <v>5100</v>
      </c>
      <c r="Y505" s="871">
        <f t="shared" si="168"/>
        <v>4000</v>
      </c>
      <c r="Z505" s="732">
        <f>Q505*S505*V505</f>
        <v>4000000</v>
      </c>
      <c r="AA505" s="2075"/>
      <c r="AB505" s="2075"/>
      <c r="AC505" s="2075"/>
    </row>
    <row r="506" spans="1:30" s="1842" customFormat="1" ht="22.5" customHeight="1">
      <c r="A506" s="481"/>
      <c r="B506" s="2013"/>
      <c r="C506" s="2075"/>
      <c r="D506" s="2050"/>
      <c r="E506" s="677" t="s">
        <v>5127</v>
      </c>
      <c r="F506" s="3575">
        <f>Y506</f>
        <v>18000</v>
      </c>
      <c r="G506" s="2126">
        <v>18000</v>
      </c>
      <c r="H506" s="949"/>
      <c r="I506" s="1984"/>
      <c r="J506" s="681" t="s">
        <v>5106</v>
      </c>
      <c r="K506" s="3515"/>
      <c r="L506" s="3515"/>
      <c r="M506" s="3515"/>
      <c r="N506" s="3515"/>
      <c r="O506" s="3515"/>
      <c r="P506" s="3515"/>
      <c r="Q506" s="1038">
        <v>5</v>
      </c>
      <c r="R506" s="3524" t="s">
        <v>5098</v>
      </c>
      <c r="S506" s="3164">
        <v>360000</v>
      </c>
      <c r="T506" s="684" t="s">
        <v>0</v>
      </c>
      <c r="U506" s="684"/>
      <c r="V506" s="684">
        <v>10</v>
      </c>
      <c r="W506" s="684" t="s">
        <v>5105</v>
      </c>
      <c r="X506" s="686" t="s">
        <v>5100</v>
      </c>
      <c r="Y506" s="871">
        <f t="shared" si="168"/>
        <v>18000</v>
      </c>
      <c r="Z506" s="732">
        <f>Q506*S506*V506</f>
        <v>18000000</v>
      </c>
      <c r="AA506" s="2075"/>
      <c r="AB506" s="2075"/>
      <c r="AC506" s="2075"/>
    </row>
    <row r="507" spans="1:30" s="1842" customFormat="1" ht="22.5" customHeight="1">
      <c r="A507" s="481"/>
      <c r="B507" s="2013"/>
      <c r="C507" s="2075"/>
      <c r="D507" s="2050"/>
      <c r="E507" s="677" t="s">
        <v>5128</v>
      </c>
      <c r="F507" s="3575">
        <f>Y507</f>
        <v>38000</v>
      </c>
      <c r="G507" s="2126">
        <v>8000</v>
      </c>
      <c r="H507" s="949">
        <f t="shared" si="169"/>
        <v>30000</v>
      </c>
      <c r="I507" s="1984"/>
      <c r="J507" s="681" t="s">
        <v>5107</v>
      </c>
      <c r="K507" s="3515"/>
      <c r="L507" s="3515"/>
      <c r="M507" s="3515"/>
      <c r="N507" s="3515"/>
      <c r="O507" s="3515"/>
      <c r="P507" s="3515"/>
      <c r="Q507" s="1038"/>
      <c r="R507" s="3524"/>
      <c r="S507" s="3164"/>
      <c r="T507" s="684"/>
      <c r="U507" s="684"/>
      <c r="V507" s="684"/>
      <c r="W507" s="684"/>
      <c r="X507" s="686"/>
      <c r="Y507" s="871">
        <f t="shared" si="168"/>
        <v>38000</v>
      </c>
      <c r="Z507" s="732">
        <f>+Z508+Z511+Z509+Z510</f>
        <v>38000000</v>
      </c>
      <c r="AA507" s="2075"/>
      <c r="AB507" s="2075"/>
      <c r="AC507" s="2075"/>
    </row>
    <row r="508" spans="1:30" s="1842" customFormat="1" ht="22.5" customHeight="1">
      <c r="A508" s="481"/>
      <c r="B508" s="2013"/>
      <c r="C508" s="2075"/>
      <c r="D508" s="2050"/>
      <c r="E508" s="677"/>
      <c r="F508" s="2125"/>
      <c r="G508" s="2126"/>
      <c r="H508" s="949"/>
      <c r="I508" s="1984"/>
      <c r="J508" s="681" t="s">
        <v>5108</v>
      </c>
      <c r="K508" s="3515"/>
      <c r="L508" s="3515"/>
      <c r="M508" s="3515"/>
      <c r="N508" s="3515"/>
      <c r="O508" s="3515"/>
      <c r="P508" s="3515"/>
      <c r="Q508" s="1038">
        <v>1</v>
      </c>
      <c r="R508" s="3524" t="s">
        <v>5102</v>
      </c>
      <c r="S508" s="3164">
        <v>3000000</v>
      </c>
      <c r="T508" s="684" t="s">
        <v>0</v>
      </c>
      <c r="U508" s="684"/>
      <c r="V508" s="684">
        <v>1</v>
      </c>
      <c r="W508" s="684" t="s">
        <v>5105</v>
      </c>
      <c r="X508" s="686" t="s">
        <v>5100</v>
      </c>
      <c r="Y508" s="871">
        <f t="shared" si="168"/>
        <v>3000</v>
      </c>
      <c r="Z508" s="732">
        <f>Q508*S508*V508</f>
        <v>3000000</v>
      </c>
      <c r="AA508" s="2075"/>
      <c r="AB508" s="2075"/>
      <c r="AC508" s="2075"/>
    </row>
    <row r="509" spans="1:30" s="1842" customFormat="1" ht="22.5" customHeight="1">
      <c r="A509" s="481"/>
      <c r="B509" s="2013"/>
      <c r="C509" s="2075"/>
      <c r="D509" s="2050"/>
      <c r="E509" s="677"/>
      <c r="F509" s="2125"/>
      <c r="G509" s="2126"/>
      <c r="H509" s="949"/>
      <c r="I509" s="1984"/>
      <c r="J509" s="681" t="s">
        <v>5109</v>
      </c>
      <c r="K509" s="3515"/>
      <c r="L509" s="3515"/>
      <c r="M509" s="3515"/>
      <c r="N509" s="3515"/>
      <c r="O509" s="3515"/>
      <c r="P509" s="3515"/>
      <c r="Q509" s="1038">
        <v>25</v>
      </c>
      <c r="R509" s="3524" t="s">
        <v>142</v>
      </c>
      <c r="S509" s="3164">
        <v>20000</v>
      </c>
      <c r="T509" s="684" t="s">
        <v>0</v>
      </c>
      <c r="U509" s="684"/>
      <c r="V509" s="684">
        <v>10</v>
      </c>
      <c r="W509" s="684" t="s">
        <v>5105</v>
      </c>
      <c r="X509" s="686" t="s">
        <v>5100</v>
      </c>
      <c r="Y509" s="871">
        <f t="shared" si="168"/>
        <v>5000</v>
      </c>
      <c r="Z509" s="732">
        <f>Q509*S509*V509</f>
        <v>5000000</v>
      </c>
      <c r="AA509" s="2075"/>
      <c r="AB509" s="2075"/>
      <c r="AC509" s="2075"/>
    </row>
    <row r="510" spans="1:30" s="1842" customFormat="1" ht="22.5" customHeight="1">
      <c r="A510" s="481"/>
      <c r="B510" s="2013"/>
      <c r="C510" s="2075"/>
      <c r="D510" s="548"/>
      <c r="E510" s="677"/>
      <c r="F510" s="2125"/>
      <c r="G510" s="2126"/>
      <c r="H510" s="949"/>
      <c r="I510" s="1984"/>
      <c r="J510" s="681" t="s">
        <v>5110</v>
      </c>
      <c r="K510" s="3515"/>
      <c r="L510" s="3515"/>
      <c r="M510" s="3515"/>
      <c r="N510" s="3515"/>
      <c r="O510" s="3515"/>
      <c r="P510" s="3515"/>
      <c r="Q510" s="1038">
        <v>20</v>
      </c>
      <c r="R510" s="3524" t="s">
        <v>5111</v>
      </c>
      <c r="S510" s="3164">
        <v>500000</v>
      </c>
      <c r="T510" s="684" t="s">
        <v>0</v>
      </c>
      <c r="U510" s="684"/>
      <c r="V510" s="684">
        <v>1</v>
      </c>
      <c r="W510" s="684" t="s">
        <v>5105</v>
      </c>
      <c r="X510" s="686" t="s">
        <v>5100</v>
      </c>
      <c r="Y510" s="871">
        <f t="shared" si="168"/>
        <v>10000</v>
      </c>
      <c r="Z510" s="732">
        <f>Q510*S510*V510</f>
        <v>10000000</v>
      </c>
      <c r="AA510" s="2075"/>
      <c r="AB510" s="2075"/>
      <c r="AC510" s="2075"/>
    </row>
    <row r="511" spans="1:30" s="1842" customFormat="1" ht="22.5" customHeight="1">
      <c r="A511" s="481"/>
      <c r="B511" s="2013"/>
      <c r="C511" s="2075"/>
      <c r="D511" s="548"/>
      <c r="E511" s="677"/>
      <c r="F511" s="2125"/>
      <c r="G511" s="2126"/>
      <c r="H511" s="949"/>
      <c r="I511" s="1984"/>
      <c r="J511" s="681" t="s">
        <v>5112</v>
      </c>
      <c r="K511" s="3515"/>
      <c r="L511" s="3515"/>
      <c r="M511" s="3515"/>
      <c r="N511" s="3515"/>
      <c r="O511" s="3515"/>
      <c r="P511" s="3515"/>
      <c r="Q511" s="1038">
        <v>1</v>
      </c>
      <c r="R511" s="3524" t="s">
        <v>5102</v>
      </c>
      <c r="S511" s="3164">
        <v>20000000</v>
      </c>
      <c r="T511" s="684" t="s">
        <v>0</v>
      </c>
      <c r="U511" s="684"/>
      <c r="V511" s="684">
        <v>1</v>
      </c>
      <c r="W511" s="684" t="s">
        <v>5105</v>
      </c>
      <c r="X511" s="686" t="s">
        <v>5100</v>
      </c>
      <c r="Y511" s="871">
        <f t="shared" si="168"/>
        <v>20000</v>
      </c>
      <c r="Z511" s="732">
        <f>Q511*S511*V511</f>
        <v>20000000</v>
      </c>
      <c r="AA511" s="2075"/>
      <c r="AB511" s="2075"/>
      <c r="AC511" s="2075"/>
    </row>
    <row r="512" spans="1:30" s="1842" customFormat="1" ht="22.5" customHeight="1">
      <c r="A512" s="481"/>
      <c r="B512" s="2013"/>
      <c r="C512" s="2075"/>
      <c r="D512" s="548"/>
      <c r="E512" s="677" t="s">
        <v>5129</v>
      </c>
      <c r="F512" s="3575">
        <f>Y512</f>
        <v>105000</v>
      </c>
      <c r="G512" s="2126">
        <v>80000</v>
      </c>
      <c r="H512" s="949">
        <f t="shared" ref="H512" si="170">F512-G512</f>
        <v>25000</v>
      </c>
      <c r="I512" s="1984"/>
      <c r="J512" s="681" t="s">
        <v>5107</v>
      </c>
      <c r="K512" s="3515"/>
      <c r="L512" s="3515"/>
      <c r="M512" s="3515"/>
      <c r="N512" s="3515"/>
      <c r="O512" s="3515"/>
      <c r="P512" s="3515"/>
      <c r="Q512" s="3515"/>
      <c r="R512" s="2127"/>
      <c r="S512" s="3515"/>
      <c r="T512" s="3515"/>
      <c r="U512" s="3515"/>
      <c r="V512" s="3515"/>
      <c r="W512" s="3515"/>
      <c r="X512" s="686"/>
      <c r="Y512" s="871">
        <f t="shared" si="168"/>
        <v>105000</v>
      </c>
      <c r="Z512" s="732">
        <f>SUM(Z513:Z515)</f>
        <v>105000000</v>
      </c>
      <c r="AA512" s="2075"/>
      <c r="AB512" s="2075"/>
      <c r="AC512" s="2075"/>
    </row>
    <row r="513" spans="1:29" s="1842" customFormat="1" ht="22.5" customHeight="1">
      <c r="A513" s="481"/>
      <c r="B513" s="2013"/>
      <c r="C513" s="2075"/>
      <c r="D513" s="548"/>
      <c r="E513" s="677"/>
      <c r="F513" s="2125"/>
      <c r="G513" s="3272"/>
      <c r="H513" s="949"/>
      <c r="I513" s="1984"/>
      <c r="J513" s="681" t="s">
        <v>5113</v>
      </c>
      <c r="K513" s="3515"/>
      <c r="L513" s="3515"/>
      <c r="M513" s="3515"/>
      <c r="N513" s="3515"/>
      <c r="O513" s="3515"/>
      <c r="P513" s="3515"/>
      <c r="Q513" s="1038">
        <v>1</v>
      </c>
      <c r="R513" s="3524" t="s">
        <v>5102</v>
      </c>
      <c r="S513" s="3164">
        <v>30000000</v>
      </c>
      <c r="T513" s="684" t="s">
        <v>0</v>
      </c>
      <c r="U513" s="684"/>
      <c r="V513" s="684">
        <v>1</v>
      </c>
      <c r="W513" s="684" t="s">
        <v>5114</v>
      </c>
      <c r="X513" s="686" t="s">
        <v>5100</v>
      </c>
      <c r="Y513" s="871">
        <f t="shared" si="168"/>
        <v>30000</v>
      </c>
      <c r="Z513" s="732">
        <f>Q513*S513*V513</f>
        <v>30000000</v>
      </c>
      <c r="AA513" s="2075"/>
      <c r="AB513" s="2075"/>
      <c r="AC513" s="2075"/>
    </row>
    <row r="514" spans="1:29" s="1842" customFormat="1" ht="22.5" customHeight="1">
      <c r="A514" s="481"/>
      <c r="B514" s="2013"/>
      <c r="C514" s="2075"/>
      <c r="D514" s="548"/>
      <c r="E514" s="677"/>
      <c r="F514" s="2125"/>
      <c r="G514" s="3272"/>
      <c r="H514" s="949"/>
      <c r="I514" s="1984"/>
      <c r="J514" s="681" t="s">
        <v>5115</v>
      </c>
      <c r="K514" s="3515"/>
      <c r="L514" s="3515"/>
      <c r="M514" s="3515"/>
      <c r="N514" s="3515"/>
      <c r="O514" s="3515"/>
      <c r="P514" s="3515"/>
      <c r="Q514" s="1038">
        <v>1</v>
      </c>
      <c r="R514" s="3524" t="s">
        <v>5102</v>
      </c>
      <c r="S514" s="3164">
        <v>50000000</v>
      </c>
      <c r="T514" s="684" t="s">
        <v>0</v>
      </c>
      <c r="U514" s="684"/>
      <c r="V514" s="684">
        <v>1</v>
      </c>
      <c r="W514" s="684" t="s">
        <v>5114</v>
      </c>
      <c r="X514" s="686" t="s">
        <v>5100</v>
      </c>
      <c r="Y514" s="871">
        <f t="shared" si="168"/>
        <v>50000</v>
      </c>
      <c r="Z514" s="732">
        <f>Q514*S514*V514</f>
        <v>50000000</v>
      </c>
      <c r="AA514" s="2075"/>
      <c r="AB514" s="2075"/>
      <c r="AC514" s="2075"/>
    </row>
    <row r="515" spans="1:29" s="1842" customFormat="1" ht="22.5" customHeight="1">
      <c r="A515" s="481"/>
      <c r="B515" s="2013"/>
      <c r="C515" s="2075"/>
      <c r="D515" s="548"/>
      <c r="E515" s="677"/>
      <c r="F515" s="2125"/>
      <c r="G515" s="3272"/>
      <c r="H515" s="949"/>
      <c r="I515" s="1984"/>
      <c r="J515" s="681" t="s">
        <v>5116</v>
      </c>
      <c r="K515" s="3515"/>
      <c r="L515" s="3515"/>
      <c r="M515" s="3515"/>
      <c r="N515" s="3515"/>
      <c r="O515" s="3515"/>
      <c r="P515" s="3515"/>
      <c r="Q515" s="1038">
        <v>1</v>
      </c>
      <c r="R515" s="3524" t="s">
        <v>5102</v>
      </c>
      <c r="S515" s="3164">
        <v>25000000</v>
      </c>
      <c r="T515" s="684" t="s">
        <v>0</v>
      </c>
      <c r="U515" s="684"/>
      <c r="V515" s="684">
        <v>1</v>
      </c>
      <c r="W515" s="684" t="s">
        <v>5114</v>
      </c>
      <c r="X515" s="686" t="s">
        <v>5100</v>
      </c>
      <c r="Y515" s="871">
        <f t="shared" si="168"/>
        <v>25000</v>
      </c>
      <c r="Z515" s="732">
        <f>Q515*S515*V515</f>
        <v>25000000</v>
      </c>
      <c r="AA515" s="2075"/>
      <c r="AB515" s="2075"/>
      <c r="AC515" s="2075"/>
    </row>
    <row r="516" spans="1:29" s="1842" customFormat="1" ht="22.5" customHeight="1">
      <c r="A516" s="481"/>
      <c r="B516" s="2013"/>
      <c r="C516" s="2075"/>
      <c r="D516" s="548"/>
      <c r="E516" s="677" t="s">
        <v>5130</v>
      </c>
      <c r="F516" s="3575">
        <f t="shared" ref="F516:F517" si="171">Y516</f>
        <v>10000</v>
      </c>
      <c r="G516" s="2126">
        <v>10000</v>
      </c>
      <c r="H516" s="949"/>
      <c r="I516" s="1984"/>
      <c r="J516" s="681" t="s">
        <v>5117</v>
      </c>
      <c r="K516" s="684"/>
      <c r="L516" s="3515"/>
      <c r="M516" s="3515"/>
      <c r="N516" s="3515"/>
      <c r="O516" s="3515"/>
      <c r="P516" s="3515"/>
      <c r="Q516" s="1038">
        <v>1</v>
      </c>
      <c r="R516" s="3524" t="s">
        <v>5102</v>
      </c>
      <c r="S516" s="3164">
        <v>2500000</v>
      </c>
      <c r="T516" s="684" t="s">
        <v>0</v>
      </c>
      <c r="U516" s="684"/>
      <c r="V516" s="684">
        <v>4</v>
      </c>
      <c r="W516" s="684" t="s">
        <v>5105</v>
      </c>
      <c r="X516" s="686" t="s">
        <v>5100</v>
      </c>
      <c r="Y516" s="871">
        <f t="shared" si="168"/>
        <v>10000</v>
      </c>
      <c r="Z516" s="732">
        <f>Q516*S516*V516</f>
        <v>10000000</v>
      </c>
      <c r="AA516" s="2075"/>
      <c r="AB516" s="2075"/>
      <c r="AC516" s="2075"/>
    </row>
    <row r="517" spans="1:29" s="1842" customFormat="1" ht="22.5" customHeight="1">
      <c r="A517" s="481"/>
      <c r="B517" s="2013"/>
      <c r="C517" s="2075"/>
      <c r="D517" s="548"/>
      <c r="E517" s="677" t="s">
        <v>5131</v>
      </c>
      <c r="F517" s="3575">
        <f t="shared" si="171"/>
        <v>695000</v>
      </c>
      <c r="G517" s="2126">
        <v>770000</v>
      </c>
      <c r="H517" s="949">
        <f t="shared" ref="H517" si="172">F517-G517</f>
        <v>-75000</v>
      </c>
      <c r="I517" s="1984"/>
      <c r="J517" s="681" t="s">
        <v>5107</v>
      </c>
      <c r="K517" s="3515"/>
      <c r="L517" s="3515"/>
      <c r="M517" s="3515"/>
      <c r="N517" s="3515"/>
      <c r="O517" s="3515"/>
      <c r="P517" s="3515"/>
      <c r="Q517" s="3515"/>
      <c r="R517" s="2127"/>
      <c r="S517" s="3515"/>
      <c r="T517" s="3515"/>
      <c r="U517" s="3515"/>
      <c r="V517" s="3515"/>
      <c r="W517" s="3515"/>
      <c r="X517" s="686"/>
      <c r="Y517" s="871">
        <f t="shared" si="168"/>
        <v>695000</v>
      </c>
      <c r="Z517" s="732">
        <f>SUM(Z518:Z520)</f>
        <v>695000000</v>
      </c>
      <c r="AA517" s="2075"/>
      <c r="AB517" s="2075"/>
      <c r="AC517" s="2075"/>
    </row>
    <row r="518" spans="1:29" s="1842" customFormat="1" ht="22.5" customHeight="1">
      <c r="A518" s="481"/>
      <c r="B518" s="2013"/>
      <c r="C518" s="2075"/>
      <c r="D518" s="548"/>
      <c r="E518" s="677"/>
      <c r="F518" s="2125"/>
      <c r="G518" s="2126"/>
      <c r="H518" s="949"/>
      <c r="I518" s="1984"/>
      <c r="J518" s="681" t="s">
        <v>5118</v>
      </c>
      <c r="K518" s="3515"/>
      <c r="L518" s="3515"/>
      <c r="M518" s="3515"/>
      <c r="N518" s="3515"/>
      <c r="O518" s="3515"/>
      <c r="P518" s="3515"/>
      <c r="Q518" s="1038">
        <v>3</v>
      </c>
      <c r="R518" s="3524" t="s">
        <v>5119</v>
      </c>
      <c r="S518" s="3164">
        <v>200000000</v>
      </c>
      <c r="T518" s="684" t="s">
        <v>0</v>
      </c>
      <c r="U518" s="684"/>
      <c r="V518" s="684">
        <v>1</v>
      </c>
      <c r="W518" s="684" t="s">
        <v>5114</v>
      </c>
      <c r="X518" s="686" t="s">
        <v>5100</v>
      </c>
      <c r="Y518" s="871">
        <f t="shared" si="168"/>
        <v>600000</v>
      </c>
      <c r="Z518" s="732">
        <f>Q518*S518*V518</f>
        <v>600000000</v>
      </c>
      <c r="AA518" s="2075"/>
      <c r="AB518" s="2075"/>
      <c r="AC518" s="2075"/>
    </row>
    <row r="519" spans="1:29" s="1842" customFormat="1" ht="22.5" customHeight="1">
      <c r="A519" s="481"/>
      <c r="B519" s="2013"/>
      <c r="C519" s="2075"/>
      <c r="D519" s="548"/>
      <c r="E519" s="677"/>
      <c r="F519" s="2125"/>
      <c r="G519" s="2126"/>
      <c r="H519" s="949"/>
      <c r="I519" s="1984"/>
      <c r="J519" s="681" t="s">
        <v>5120</v>
      </c>
      <c r="K519" s="3515"/>
      <c r="L519" s="3515"/>
      <c r="M519" s="3515"/>
      <c r="N519" s="3515"/>
      <c r="O519" s="3515"/>
      <c r="P519" s="3515"/>
      <c r="Q519" s="1038">
        <v>1</v>
      </c>
      <c r="R519" s="3524" t="s">
        <v>5102</v>
      </c>
      <c r="S519" s="3164">
        <v>50000000</v>
      </c>
      <c r="T519" s="684" t="s">
        <v>0</v>
      </c>
      <c r="U519" s="684"/>
      <c r="V519" s="684">
        <v>1</v>
      </c>
      <c r="W519" s="684" t="s">
        <v>5114</v>
      </c>
      <c r="X519" s="686" t="s">
        <v>5100</v>
      </c>
      <c r="Y519" s="871">
        <f t="shared" si="168"/>
        <v>50000</v>
      </c>
      <c r="Z519" s="732">
        <f>Q519*S519*V519</f>
        <v>50000000</v>
      </c>
      <c r="AA519" s="2075"/>
      <c r="AB519" s="2075"/>
      <c r="AC519" s="2075"/>
    </row>
    <row r="520" spans="1:29" s="1842" customFormat="1" ht="22.5" customHeight="1">
      <c r="A520" s="481"/>
      <c r="B520" s="2013"/>
      <c r="C520" s="2075"/>
      <c r="D520" s="548"/>
      <c r="E520" s="677"/>
      <c r="F520" s="2125"/>
      <c r="G520" s="2126"/>
      <c r="H520" s="949"/>
      <c r="I520" s="1984"/>
      <c r="J520" s="681" t="s">
        <v>6143</v>
      </c>
      <c r="K520" s="3515"/>
      <c r="L520" s="3515"/>
      <c r="M520" s="3515"/>
      <c r="N520" s="3515"/>
      <c r="O520" s="3515"/>
      <c r="P520" s="3515"/>
      <c r="Q520" s="1038">
        <v>1</v>
      </c>
      <c r="R520" s="3524" t="s">
        <v>5102</v>
      </c>
      <c r="S520" s="3164">
        <v>45000000</v>
      </c>
      <c r="T520" s="684" t="s">
        <v>0</v>
      </c>
      <c r="U520" s="684"/>
      <c r="V520" s="684">
        <v>1</v>
      </c>
      <c r="W520" s="684" t="s">
        <v>5114</v>
      </c>
      <c r="X520" s="686" t="s">
        <v>5100</v>
      </c>
      <c r="Y520" s="871">
        <f t="shared" si="168"/>
        <v>45000</v>
      </c>
      <c r="Z520" s="732">
        <f>Q520*S520*V520</f>
        <v>45000000</v>
      </c>
      <c r="AA520" s="2075"/>
      <c r="AB520" s="2075"/>
      <c r="AC520" s="2075"/>
    </row>
    <row r="521" spans="1:29" s="1842" customFormat="1" ht="22.5" customHeight="1">
      <c r="A521" s="481"/>
      <c r="B521" s="2013"/>
      <c r="C521" s="2075"/>
      <c r="D521" s="548"/>
      <c r="E521" s="677" t="s">
        <v>5132</v>
      </c>
      <c r="F521" s="3575">
        <f>Y521</f>
        <v>10000</v>
      </c>
      <c r="G521" s="2126">
        <v>10000</v>
      </c>
      <c r="H521" s="949"/>
      <c r="I521" s="1984"/>
      <c r="J521" s="681" t="s">
        <v>5121</v>
      </c>
      <c r="K521" s="3515"/>
      <c r="L521" s="3515"/>
      <c r="M521" s="3515"/>
      <c r="N521" s="3515"/>
      <c r="O521" s="3515"/>
      <c r="P521" s="3515"/>
      <c r="Q521" s="1038">
        <v>2</v>
      </c>
      <c r="R521" s="3524" t="s">
        <v>5122</v>
      </c>
      <c r="S521" s="3164">
        <v>5000000</v>
      </c>
      <c r="T521" s="684" t="s">
        <v>0</v>
      </c>
      <c r="U521" s="684"/>
      <c r="V521" s="684">
        <v>1</v>
      </c>
      <c r="W521" s="684" t="s">
        <v>5114</v>
      </c>
      <c r="X521" s="686" t="s">
        <v>5100</v>
      </c>
      <c r="Y521" s="871">
        <f t="shared" si="168"/>
        <v>10000</v>
      </c>
      <c r="Z521" s="732">
        <f>Q521*S521*V521</f>
        <v>10000000</v>
      </c>
      <c r="AA521" s="2075"/>
      <c r="AB521" s="2075"/>
      <c r="AC521" s="2075"/>
    </row>
    <row r="522" spans="1:29" s="1842" customFormat="1" ht="22.5" customHeight="1">
      <c r="A522" s="481"/>
      <c r="B522" s="2013"/>
      <c r="C522" s="2075"/>
      <c r="D522" s="2050"/>
      <c r="E522" s="677" t="s">
        <v>5133</v>
      </c>
      <c r="F522" s="3575">
        <f>Y522</f>
        <v>6000</v>
      </c>
      <c r="G522" s="2126">
        <v>6000</v>
      </c>
      <c r="H522" s="2062"/>
      <c r="I522" s="1984"/>
      <c r="J522" s="681" t="s">
        <v>5123</v>
      </c>
      <c r="K522" s="3515"/>
      <c r="L522" s="3515"/>
      <c r="M522" s="3515"/>
      <c r="N522" s="3515"/>
      <c r="O522" s="3515"/>
      <c r="P522" s="3515"/>
      <c r="Q522" s="1038">
        <v>10</v>
      </c>
      <c r="R522" s="3524" t="s">
        <v>142</v>
      </c>
      <c r="S522" s="3164">
        <v>20000</v>
      </c>
      <c r="T522" s="684" t="s">
        <v>0</v>
      </c>
      <c r="U522" s="684"/>
      <c r="V522" s="684">
        <v>30</v>
      </c>
      <c r="W522" s="684" t="s">
        <v>5105</v>
      </c>
      <c r="X522" s="686" t="s">
        <v>5100</v>
      </c>
      <c r="Y522" s="871">
        <f t="shared" si="168"/>
        <v>6000</v>
      </c>
      <c r="Z522" s="732">
        <f t="shared" ref="Z522" si="173">Q522*S522*V522</f>
        <v>6000000</v>
      </c>
      <c r="AA522" s="2075"/>
      <c r="AB522" s="2075"/>
      <c r="AC522" s="2075"/>
    </row>
    <row r="523" spans="1:29" s="1842" customFormat="1" ht="22.5" customHeight="1">
      <c r="A523" s="481"/>
      <c r="B523" s="2013"/>
      <c r="C523" s="3836" t="s">
        <v>1998</v>
      </c>
      <c r="D523" s="3821"/>
      <c r="E523" s="3822"/>
      <c r="F523" s="527">
        <f>+F524</f>
        <v>650000</v>
      </c>
      <c r="G523" s="527">
        <f>+G524</f>
        <v>650000</v>
      </c>
      <c r="H523" s="627">
        <f t="shared" ref="H523" si="174">F523-G523</f>
        <v>0</v>
      </c>
      <c r="I523" s="543"/>
      <c r="J523" s="2025"/>
      <c r="K523" s="2068"/>
      <c r="L523" s="2068"/>
      <c r="M523" s="2068"/>
      <c r="N523" s="2068"/>
      <c r="O523" s="2068"/>
      <c r="P523" s="2068"/>
      <c r="Q523" s="2322"/>
      <c r="R523" s="2027"/>
      <c r="S523" s="545"/>
      <c r="T523" s="2026"/>
      <c r="U523" s="2026"/>
      <c r="V523" s="2026"/>
      <c r="W523" s="2026"/>
      <c r="X523" s="2028"/>
      <c r="Y523" s="517"/>
      <c r="Z523" s="622"/>
      <c r="AA523" s="2075"/>
      <c r="AB523" s="2075"/>
      <c r="AC523" s="2075"/>
    </row>
    <row r="524" spans="1:29" s="1842" customFormat="1" ht="22.5" customHeight="1">
      <c r="A524" s="481"/>
      <c r="B524" s="2013"/>
      <c r="C524" s="2075"/>
      <c r="D524" s="2085" t="s">
        <v>1998</v>
      </c>
      <c r="E524" s="2086"/>
      <c r="F524" s="2351">
        <f>SUM(F525:F534)</f>
        <v>650000</v>
      </c>
      <c r="G524" s="2351">
        <f>SUM(G525:G534)</f>
        <v>650000</v>
      </c>
      <c r="H524" s="2021">
        <f>F524-G524</f>
        <v>0</v>
      </c>
      <c r="I524" s="634"/>
      <c r="J524" s="2408"/>
      <c r="K524" s="2409"/>
      <c r="L524" s="2409"/>
      <c r="M524" s="2409"/>
      <c r="N524" s="2409"/>
      <c r="O524" s="2409"/>
      <c r="P524" s="2409"/>
      <c r="Q524" s="2410"/>
      <c r="R524" s="646"/>
      <c r="S524" s="2411"/>
      <c r="T524" s="621"/>
      <c r="U524" s="2101"/>
      <c r="V524" s="2410"/>
      <c r="W524" s="2410"/>
      <c r="X524" s="585"/>
      <c r="Y524" s="517"/>
      <c r="Z524" s="518"/>
      <c r="AA524" s="2075"/>
      <c r="AB524" s="2075"/>
      <c r="AC524" s="2075"/>
    </row>
    <row r="525" spans="1:29" s="1842" customFormat="1" ht="22.5" customHeight="1">
      <c r="A525" s="481"/>
      <c r="B525" s="2013"/>
      <c r="C525" s="2075"/>
      <c r="D525" s="2050"/>
      <c r="E525" s="2013" t="s">
        <v>562</v>
      </c>
      <c r="F525" s="1886">
        <f>Y525</f>
        <v>3000</v>
      </c>
      <c r="G525" s="2326">
        <v>3000</v>
      </c>
      <c r="H525" s="551"/>
      <c r="I525" s="634"/>
      <c r="J525" s="2105" t="s">
        <v>2334</v>
      </c>
      <c r="K525" s="473"/>
      <c r="L525" s="473"/>
      <c r="M525" s="473"/>
      <c r="N525" s="474"/>
      <c r="O525" s="474"/>
      <c r="P525" s="473"/>
      <c r="Q525" s="475"/>
      <c r="R525" s="473"/>
      <c r="S525" s="473">
        <v>3000000</v>
      </c>
      <c r="T525" s="473" t="s">
        <v>0</v>
      </c>
      <c r="U525" s="473"/>
      <c r="V525" s="473">
        <v>1</v>
      </c>
      <c r="W525" s="473" t="s">
        <v>568</v>
      </c>
      <c r="X525" s="542" t="s">
        <v>1</v>
      </c>
      <c r="Y525" s="483">
        <f>+Z525/1000</f>
        <v>3000</v>
      </c>
      <c r="Z525" s="489">
        <f>+S525*V525</f>
        <v>3000000</v>
      </c>
      <c r="AA525" s="2075"/>
      <c r="AB525" s="2075"/>
      <c r="AC525" s="2075"/>
    </row>
    <row r="526" spans="1:29" s="1842" customFormat="1" ht="22.5" customHeight="1">
      <c r="A526" s="481"/>
      <c r="B526" s="2013"/>
      <c r="C526" s="2075"/>
      <c r="D526" s="2050"/>
      <c r="E526" s="2013" t="s">
        <v>753</v>
      </c>
      <c r="F526" s="1886">
        <f>Y526</f>
        <v>4000</v>
      </c>
      <c r="G526" s="2326">
        <v>4000</v>
      </c>
      <c r="H526" s="551"/>
      <c r="I526" s="634"/>
      <c r="J526" s="2105" t="s">
        <v>2354</v>
      </c>
      <c r="K526" s="473"/>
      <c r="L526" s="473"/>
      <c r="M526" s="473"/>
      <c r="N526" s="474"/>
      <c r="O526" s="474"/>
      <c r="P526" s="473"/>
      <c r="Q526" s="556">
        <v>2</v>
      </c>
      <c r="R526" s="2092" t="s">
        <v>36</v>
      </c>
      <c r="S526" s="473">
        <v>200000</v>
      </c>
      <c r="T526" s="473" t="s">
        <v>0</v>
      </c>
      <c r="U526" s="473"/>
      <c r="V526" s="473">
        <v>10</v>
      </c>
      <c r="W526" s="473" t="s">
        <v>657</v>
      </c>
      <c r="X526" s="542" t="s">
        <v>1</v>
      </c>
      <c r="Y526" s="483">
        <f>+Z526/1000</f>
        <v>4000</v>
      </c>
      <c r="Z526" s="489">
        <f>+Q526*S526*V526</f>
        <v>4000000</v>
      </c>
      <c r="AA526" s="2075"/>
      <c r="AB526" s="2075"/>
      <c r="AC526" s="2075"/>
    </row>
    <row r="527" spans="1:29" s="1842" customFormat="1" ht="22.5" customHeight="1">
      <c r="A527" s="481"/>
      <c r="B527" s="2013"/>
      <c r="C527" s="2075"/>
      <c r="D527" s="2050"/>
      <c r="E527" s="2013" t="s">
        <v>530</v>
      </c>
      <c r="F527" s="1886">
        <f>Y527</f>
        <v>118000</v>
      </c>
      <c r="G527" s="2326">
        <v>118000</v>
      </c>
      <c r="H527" s="551"/>
      <c r="I527" s="634"/>
      <c r="J527" s="2105" t="s">
        <v>572</v>
      </c>
      <c r="K527" s="2082"/>
      <c r="L527" s="2082"/>
      <c r="M527" s="2082"/>
      <c r="N527" s="2082"/>
      <c r="O527" s="2082"/>
      <c r="P527" s="2082"/>
      <c r="Q527" s="556"/>
      <c r="R527" s="2092"/>
      <c r="S527" s="474"/>
      <c r="T527" s="2106"/>
      <c r="U527" s="2106"/>
      <c r="V527" s="2106"/>
      <c r="W527" s="2106"/>
      <c r="X527" s="2030"/>
      <c r="Y527" s="483">
        <f t="shared" ref="Y527" si="175">(Z527)/1000</f>
        <v>118000</v>
      </c>
      <c r="Z527" s="555">
        <f>SUM(Z528:Z530)</f>
        <v>118000000</v>
      </c>
      <c r="AA527" s="2075"/>
      <c r="AB527" s="2075"/>
      <c r="AC527" s="2075"/>
    </row>
    <row r="528" spans="1:29" s="1842" customFormat="1" ht="22.5" customHeight="1">
      <c r="A528" s="481"/>
      <c r="B528" s="2013"/>
      <c r="C528" s="2075"/>
      <c r="D528" s="2050"/>
      <c r="E528" s="2013"/>
      <c r="F528" s="2326"/>
      <c r="G528" s="2326"/>
      <c r="H528" s="551"/>
      <c r="I528" s="634"/>
      <c r="J528" s="2105" t="s">
        <v>2350</v>
      </c>
      <c r="K528" s="473"/>
      <c r="L528" s="473"/>
      <c r="M528" s="473"/>
      <c r="N528" s="474"/>
      <c r="O528" s="474"/>
      <c r="P528" s="473"/>
      <c r="Q528" s="475"/>
      <c r="R528" s="473"/>
      <c r="S528" s="473">
        <v>50000000</v>
      </c>
      <c r="T528" s="473" t="s">
        <v>0</v>
      </c>
      <c r="U528" s="473"/>
      <c r="V528" s="473">
        <v>1</v>
      </c>
      <c r="W528" s="473" t="s">
        <v>568</v>
      </c>
      <c r="X528" s="542" t="s">
        <v>1</v>
      </c>
      <c r="Y528" s="483">
        <f>+Z528/1000</f>
        <v>50000</v>
      </c>
      <c r="Z528" s="489">
        <f t="shared" ref="Z528" si="176">+S528*V528</f>
        <v>50000000</v>
      </c>
      <c r="AA528" s="2075"/>
      <c r="AB528" s="2075"/>
      <c r="AC528" s="2075"/>
    </row>
    <row r="529" spans="1:29" s="1842" customFormat="1" ht="22.5" customHeight="1">
      <c r="A529" s="481"/>
      <c r="B529" s="2013"/>
      <c r="C529" s="2075"/>
      <c r="D529" s="2050"/>
      <c r="E529" s="2013"/>
      <c r="F529" s="2326"/>
      <c r="G529" s="2326"/>
      <c r="H529" s="470"/>
      <c r="I529" s="634"/>
      <c r="J529" s="2105" t="s">
        <v>2351</v>
      </c>
      <c r="K529" s="473"/>
      <c r="L529" s="473"/>
      <c r="M529" s="473"/>
      <c r="N529" s="474"/>
      <c r="O529" s="474"/>
      <c r="P529" s="473"/>
      <c r="Q529" s="475"/>
      <c r="R529" s="473"/>
      <c r="S529" s="473">
        <v>1000000</v>
      </c>
      <c r="T529" s="473" t="s">
        <v>0</v>
      </c>
      <c r="U529" s="473"/>
      <c r="V529" s="473">
        <v>3</v>
      </c>
      <c r="W529" s="473" t="s">
        <v>561</v>
      </c>
      <c r="X529" s="542" t="s">
        <v>1</v>
      </c>
      <c r="Y529" s="483">
        <f>+Z529/1000</f>
        <v>3000</v>
      </c>
      <c r="Z529" s="489">
        <f>+S529*V529</f>
        <v>3000000</v>
      </c>
      <c r="AA529" s="2075"/>
      <c r="AB529" s="2075"/>
      <c r="AC529" s="2075"/>
    </row>
    <row r="530" spans="1:29" s="1842" customFormat="1" ht="22.5" customHeight="1">
      <c r="A530" s="481"/>
      <c r="B530" s="2013"/>
      <c r="C530" s="2075"/>
      <c r="D530" s="2050"/>
      <c r="E530" s="2013"/>
      <c r="F530" s="2326"/>
      <c r="G530" s="2326"/>
      <c r="H530" s="551"/>
      <c r="I530" s="634"/>
      <c r="J530" s="2105" t="s">
        <v>2352</v>
      </c>
      <c r="K530" s="473"/>
      <c r="L530" s="473"/>
      <c r="M530" s="473"/>
      <c r="N530" s="474"/>
      <c r="O530" s="474"/>
      <c r="P530" s="473"/>
      <c r="Q530" s="475"/>
      <c r="R530" s="473"/>
      <c r="S530" s="474">
        <v>650000000</v>
      </c>
      <c r="T530" s="473" t="s">
        <v>0</v>
      </c>
      <c r="U530" s="473"/>
      <c r="V530" s="2199">
        <v>10</v>
      </c>
      <c r="W530" s="473" t="s">
        <v>575</v>
      </c>
      <c r="X530" s="542" t="s">
        <v>1</v>
      </c>
      <c r="Y530" s="483">
        <f>+Z530/1000</f>
        <v>65000</v>
      </c>
      <c r="Z530" s="489">
        <f>+S530*V530/100</f>
        <v>65000000</v>
      </c>
      <c r="AA530" s="2075"/>
      <c r="AB530" s="2075"/>
      <c r="AC530" s="2075"/>
    </row>
    <row r="531" spans="1:29" s="1842" customFormat="1" ht="22.5" customHeight="1">
      <c r="A531" s="481"/>
      <c r="B531" s="2013"/>
      <c r="C531" s="2075"/>
      <c r="D531" s="2050"/>
      <c r="E531" s="2013" t="s">
        <v>538</v>
      </c>
      <c r="F531" s="1886">
        <f>Y531</f>
        <v>20000</v>
      </c>
      <c r="G531" s="2326">
        <v>20000</v>
      </c>
      <c r="H531" s="551"/>
      <c r="I531" s="634"/>
      <c r="J531" s="2105" t="s">
        <v>2349</v>
      </c>
      <c r="K531" s="2082"/>
      <c r="L531" s="2082"/>
      <c r="M531" s="2082"/>
      <c r="N531" s="2082"/>
      <c r="O531" s="2082"/>
      <c r="P531" s="2015"/>
      <c r="Q531" s="473"/>
      <c r="R531" s="473"/>
      <c r="S531" s="2106">
        <v>20000000</v>
      </c>
      <c r="T531" s="473" t="s">
        <v>0</v>
      </c>
      <c r="U531" s="2015"/>
      <c r="V531" s="2106">
        <v>1</v>
      </c>
      <c r="W531" s="2092" t="s">
        <v>568</v>
      </c>
      <c r="X531" s="542" t="s">
        <v>1</v>
      </c>
      <c r="Y531" s="483">
        <f>+Z531/1000</f>
        <v>20000</v>
      </c>
      <c r="Z531" s="489">
        <f>+S531*V531</f>
        <v>20000000</v>
      </c>
      <c r="AA531" s="2075"/>
      <c r="AB531" s="2075"/>
      <c r="AC531" s="2075"/>
    </row>
    <row r="532" spans="1:29" s="1842" customFormat="1" ht="22.5" customHeight="1">
      <c r="A532" s="481"/>
      <c r="B532" s="2013"/>
      <c r="C532" s="2075"/>
      <c r="D532" s="2050"/>
      <c r="E532" s="2013" t="s">
        <v>932</v>
      </c>
      <c r="F532" s="1886">
        <f>Y532</f>
        <v>500000</v>
      </c>
      <c r="G532" s="2326">
        <v>500000</v>
      </c>
      <c r="H532" s="551"/>
      <c r="I532" s="634"/>
      <c r="J532" s="2105" t="s">
        <v>2348</v>
      </c>
      <c r="K532" s="2082"/>
      <c r="L532" s="2082"/>
      <c r="M532" s="2082"/>
      <c r="N532" s="2082"/>
      <c r="O532" s="2082"/>
      <c r="P532" s="2015"/>
      <c r="Q532" s="2106"/>
      <c r="R532" s="2092"/>
      <c r="S532" s="2106">
        <v>500000000</v>
      </c>
      <c r="T532" s="473" t="s">
        <v>0</v>
      </c>
      <c r="U532" s="2015"/>
      <c r="V532" s="473">
        <v>1</v>
      </c>
      <c r="W532" s="2092" t="s">
        <v>568</v>
      </c>
      <c r="X532" s="542" t="s">
        <v>1</v>
      </c>
      <c r="Y532" s="483">
        <f t="shared" ref="Y532" si="177">+Z532/1000</f>
        <v>500000</v>
      </c>
      <c r="Z532" s="489">
        <f t="shared" ref="Z532" si="178">+S532*V532</f>
        <v>500000000</v>
      </c>
      <c r="AA532" s="2075"/>
      <c r="AB532" s="2075"/>
      <c r="AC532" s="2075"/>
    </row>
    <row r="533" spans="1:29" s="1842" customFormat="1" ht="22.5" customHeight="1">
      <c r="A533" s="481"/>
      <c r="B533" s="2013"/>
      <c r="C533" s="2075"/>
      <c r="D533" s="2050"/>
      <c r="E533" s="2013" t="s">
        <v>591</v>
      </c>
      <c r="F533" s="1886">
        <f>Y533</f>
        <v>2000</v>
      </c>
      <c r="G533" s="2326">
        <v>2000</v>
      </c>
      <c r="H533" s="551"/>
      <c r="I533" s="634"/>
      <c r="J533" s="2105" t="s">
        <v>1740</v>
      </c>
      <c r="K533" s="473"/>
      <c r="L533" s="473"/>
      <c r="M533" s="473"/>
      <c r="N533" s="474"/>
      <c r="O533" s="474"/>
      <c r="P533" s="473"/>
      <c r="Q533" s="475"/>
      <c r="R533" s="473"/>
      <c r="S533" s="473">
        <v>500000</v>
      </c>
      <c r="T533" s="473" t="s">
        <v>0</v>
      </c>
      <c r="U533" s="473"/>
      <c r="V533" s="473">
        <v>4</v>
      </c>
      <c r="W533" s="473" t="s">
        <v>561</v>
      </c>
      <c r="X533" s="542" t="s">
        <v>1</v>
      </c>
      <c r="Y533" s="483">
        <f>+Z533/1000</f>
        <v>2000</v>
      </c>
      <c r="Z533" s="489">
        <f>+S533*V533</f>
        <v>2000000</v>
      </c>
      <c r="AA533" s="2075"/>
      <c r="AB533" s="2075"/>
      <c r="AC533" s="2075"/>
    </row>
    <row r="534" spans="1:29" s="1842" customFormat="1" ht="22.5" customHeight="1">
      <c r="A534" s="481"/>
      <c r="B534" s="2013"/>
      <c r="C534" s="2075"/>
      <c r="D534" s="2050"/>
      <c r="E534" s="2013" t="s">
        <v>573</v>
      </c>
      <c r="F534" s="1886">
        <f>Y534</f>
        <v>3000</v>
      </c>
      <c r="G534" s="2326">
        <v>3000</v>
      </c>
      <c r="H534" s="551"/>
      <c r="I534" s="634"/>
      <c r="J534" s="2105" t="s">
        <v>2353</v>
      </c>
      <c r="K534" s="473"/>
      <c r="L534" s="473"/>
      <c r="M534" s="473"/>
      <c r="N534" s="474"/>
      <c r="O534" s="474"/>
      <c r="P534" s="473"/>
      <c r="Q534" s="556">
        <v>10</v>
      </c>
      <c r="R534" s="2092" t="s">
        <v>36</v>
      </c>
      <c r="S534" s="474">
        <v>15000</v>
      </c>
      <c r="T534" s="473" t="s">
        <v>0</v>
      </c>
      <c r="U534" s="473"/>
      <c r="V534" s="473">
        <v>20</v>
      </c>
      <c r="W534" s="473" t="s">
        <v>561</v>
      </c>
      <c r="X534" s="542" t="s">
        <v>1</v>
      </c>
      <c r="Y534" s="483">
        <f t="shared" ref="Y534" si="179">+Z534/1000</f>
        <v>3000</v>
      </c>
      <c r="Z534" s="489">
        <f>+Q534*S534*V534</f>
        <v>3000000</v>
      </c>
      <c r="AA534" s="2075"/>
      <c r="AB534" s="2075"/>
      <c r="AC534" s="2075"/>
    </row>
    <row r="535" spans="1:29" s="1842" customFormat="1" ht="22.5" customHeight="1">
      <c r="A535" s="481"/>
      <c r="B535" s="2013"/>
      <c r="C535" s="3836" t="s">
        <v>1999</v>
      </c>
      <c r="D535" s="3821"/>
      <c r="E535" s="3822"/>
      <c r="F535" s="1374">
        <f>+F536</f>
        <v>75000</v>
      </c>
      <c r="G535" s="825">
        <f t="shared" ref="G535:H535" si="180">+G536</f>
        <v>75000</v>
      </c>
      <c r="H535" s="2721">
        <f t="shared" si="180"/>
        <v>0</v>
      </c>
      <c r="I535" s="634"/>
      <c r="J535" s="2025"/>
      <c r="K535" s="621"/>
      <c r="L535" s="621"/>
      <c r="M535" s="621"/>
      <c r="N535" s="545"/>
      <c r="O535" s="545"/>
      <c r="P535" s="621"/>
      <c r="Q535" s="2322"/>
      <c r="R535" s="2027"/>
      <c r="S535" s="545"/>
      <c r="T535" s="621"/>
      <c r="U535" s="621"/>
      <c r="V535" s="621"/>
      <c r="W535" s="621"/>
      <c r="X535" s="585"/>
      <c r="Y535" s="517"/>
      <c r="Z535" s="2308"/>
      <c r="AA535" s="2075"/>
      <c r="AB535" s="2075"/>
      <c r="AC535" s="2075"/>
    </row>
    <row r="536" spans="1:29" s="1842" customFormat="1" ht="22.5" customHeight="1">
      <c r="A536" s="481"/>
      <c r="B536" s="2013"/>
      <c r="C536" s="2075"/>
      <c r="D536" s="2085" t="s">
        <v>1999</v>
      </c>
      <c r="E536" s="2086"/>
      <c r="F536" s="2351">
        <f>SUM(F537:F545)</f>
        <v>75000</v>
      </c>
      <c r="G536" s="2351">
        <f>SUM(G537:G545)</f>
        <v>75000</v>
      </c>
      <c r="H536" s="2021">
        <f>F536-G536</f>
        <v>0</v>
      </c>
      <c r="I536" s="634"/>
      <c r="J536" s="2408"/>
      <c r="K536" s="2409"/>
      <c r="L536" s="2409"/>
      <c r="M536" s="2409"/>
      <c r="N536" s="2409"/>
      <c r="O536" s="2409"/>
      <c r="P536" s="2409"/>
      <c r="Q536" s="2410"/>
      <c r="R536" s="646"/>
      <c r="S536" s="2411"/>
      <c r="T536" s="621"/>
      <c r="U536" s="2101"/>
      <c r="V536" s="2410"/>
      <c r="W536" s="2410"/>
      <c r="X536" s="585"/>
      <c r="Y536" s="517"/>
      <c r="Z536" s="518"/>
      <c r="AA536" s="2075"/>
      <c r="AB536" s="2075"/>
      <c r="AC536" s="2075"/>
    </row>
    <row r="537" spans="1:29" s="1842" customFormat="1" ht="22.5" customHeight="1">
      <c r="A537" s="481"/>
      <c r="B537" s="2013"/>
      <c r="C537" s="2075"/>
      <c r="D537" s="2050"/>
      <c r="E537" s="2013" t="s">
        <v>905</v>
      </c>
      <c r="F537" s="1886">
        <f>Y537</f>
        <v>6000</v>
      </c>
      <c r="G537" s="2326">
        <v>6000</v>
      </c>
      <c r="H537" s="551"/>
      <c r="I537" s="634"/>
      <c r="J537" s="3530" t="s">
        <v>5719</v>
      </c>
      <c r="K537" s="3527"/>
      <c r="L537" s="3527"/>
      <c r="M537" s="3527"/>
      <c r="N537" s="3527"/>
      <c r="O537" s="3527"/>
      <c r="P537" s="3119"/>
      <c r="Q537" s="3531"/>
      <c r="R537" s="3516"/>
      <c r="S537" s="3531">
        <v>3000000</v>
      </c>
      <c r="T537" s="3107" t="s">
        <v>0</v>
      </c>
      <c r="U537" s="3119"/>
      <c r="V537" s="3107">
        <v>2</v>
      </c>
      <c r="W537" s="3516" t="s">
        <v>5679</v>
      </c>
      <c r="X537" s="542" t="s">
        <v>1</v>
      </c>
      <c r="Y537" s="3110">
        <f t="shared" ref="Y537" si="181">+Z537/1000</f>
        <v>6000</v>
      </c>
      <c r="Z537" s="489">
        <f t="shared" ref="Z537" si="182">+S537*V537</f>
        <v>6000000</v>
      </c>
      <c r="AA537" s="2075"/>
      <c r="AB537" s="2075"/>
      <c r="AC537" s="2075"/>
    </row>
    <row r="538" spans="1:29" s="1842" customFormat="1" ht="22.5" customHeight="1">
      <c r="A538" s="481"/>
      <c r="B538" s="2013"/>
      <c r="C538" s="2075"/>
      <c r="D538" s="2050"/>
      <c r="E538" s="2023" t="s">
        <v>229</v>
      </c>
      <c r="F538" s="526">
        <f t="shared" ref="F538" si="183">Y538</f>
        <v>2000</v>
      </c>
      <c r="G538" s="1918">
        <v>2000</v>
      </c>
      <c r="H538" s="551"/>
      <c r="I538" s="543"/>
      <c r="J538" s="3530" t="s">
        <v>5720</v>
      </c>
      <c r="K538" s="3527"/>
      <c r="L538" s="3527"/>
      <c r="M538" s="3527"/>
      <c r="N538" s="3527"/>
      <c r="O538" s="3527"/>
      <c r="P538" s="3527"/>
      <c r="Q538" s="556"/>
      <c r="R538" s="3516"/>
      <c r="S538" s="3108">
        <v>1000</v>
      </c>
      <c r="T538" s="3531" t="s">
        <v>0</v>
      </c>
      <c r="U538" s="3531"/>
      <c r="V538" s="3531">
        <v>2000</v>
      </c>
      <c r="W538" s="3531" t="s">
        <v>5721</v>
      </c>
      <c r="X538" s="2030" t="s">
        <v>5666</v>
      </c>
      <c r="Y538" s="3110">
        <f>(Z538)/1000</f>
        <v>2000</v>
      </c>
      <c r="Z538" s="489">
        <f>+S538*V538</f>
        <v>2000000</v>
      </c>
      <c r="AA538" s="2075"/>
      <c r="AB538" s="2075"/>
      <c r="AC538" s="2075"/>
    </row>
    <row r="539" spans="1:29" s="1842" customFormat="1" ht="22.5" customHeight="1">
      <c r="A539" s="481"/>
      <c r="B539" s="2013"/>
      <c r="C539" s="2075"/>
      <c r="D539" s="2050"/>
      <c r="E539" s="2013" t="s">
        <v>562</v>
      </c>
      <c r="F539" s="1886">
        <f>Y539</f>
        <v>2800</v>
      </c>
      <c r="G539" s="2326">
        <v>2800</v>
      </c>
      <c r="H539" s="551"/>
      <c r="I539" s="634"/>
      <c r="J539" s="3530" t="s">
        <v>5722</v>
      </c>
      <c r="K539" s="3107"/>
      <c r="L539" s="3107"/>
      <c r="M539" s="3107"/>
      <c r="N539" s="3108"/>
      <c r="O539" s="3108"/>
      <c r="P539" s="3107"/>
      <c r="Q539" s="3109"/>
      <c r="R539" s="3107"/>
      <c r="S539" s="3107">
        <v>700000</v>
      </c>
      <c r="T539" s="3107" t="s">
        <v>0</v>
      </c>
      <c r="U539" s="3107"/>
      <c r="V539" s="3107">
        <v>4</v>
      </c>
      <c r="W539" s="3107" t="s">
        <v>5691</v>
      </c>
      <c r="X539" s="542" t="s">
        <v>1</v>
      </c>
      <c r="Y539" s="3110">
        <f>+Z539/1000</f>
        <v>2800</v>
      </c>
      <c r="Z539" s="489">
        <f>+S539*V539</f>
        <v>2800000</v>
      </c>
      <c r="AA539" s="2075"/>
      <c r="AB539" s="2075"/>
      <c r="AC539" s="2075"/>
    </row>
    <row r="540" spans="1:29" s="1842" customFormat="1" ht="22.5" customHeight="1">
      <c r="A540" s="481"/>
      <c r="B540" s="2013"/>
      <c r="C540" s="2075"/>
      <c r="D540" s="2050"/>
      <c r="E540" s="2013" t="s">
        <v>753</v>
      </c>
      <c r="F540" s="1886">
        <f>Y540</f>
        <v>1200</v>
      </c>
      <c r="G540" s="2326">
        <v>400</v>
      </c>
      <c r="H540" s="551">
        <f>F540-G540</f>
        <v>800</v>
      </c>
      <c r="I540" s="634"/>
      <c r="J540" s="3530" t="s">
        <v>5723</v>
      </c>
      <c r="K540" s="3107"/>
      <c r="L540" s="3107"/>
      <c r="M540" s="3107"/>
      <c r="N540" s="3108"/>
      <c r="O540" s="3108"/>
      <c r="P540" s="3107"/>
      <c r="Q540" s="556"/>
      <c r="R540" s="3516"/>
      <c r="S540" s="3107">
        <v>40000</v>
      </c>
      <c r="T540" s="3107" t="s">
        <v>0</v>
      </c>
      <c r="U540" s="3107"/>
      <c r="V540" s="3107">
        <v>30</v>
      </c>
      <c r="W540" s="3107" t="s">
        <v>5691</v>
      </c>
      <c r="X540" s="542" t="s">
        <v>1</v>
      </c>
      <c r="Y540" s="3110">
        <f>+Z540/1000</f>
        <v>1200</v>
      </c>
      <c r="Z540" s="489">
        <f>S540*V540</f>
        <v>1200000</v>
      </c>
      <c r="AA540" s="2075"/>
      <c r="AB540" s="2075"/>
      <c r="AC540" s="2075"/>
    </row>
    <row r="541" spans="1:29" s="1842" customFormat="1" ht="22.5" customHeight="1">
      <c r="A541" s="481"/>
      <c r="B541" s="2013"/>
      <c r="C541" s="2075"/>
      <c r="D541" s="2050"/>
      <c r="E541" s="2013" t="s">
        <v>530</v>
      </c>
      <c r="F541" s="1886">
        <f>Y541</f>
        <v>8300</v>
      </c>
      <c r="G541" s="2326">
        <v>8300</v>
      </c>
      <c r="H541" s="551"/>
      <c r="I541" s="634"/>
      <c r="J541" s="3530" t="s">
        <v>5662</v>
      </c>
      <c r="K541" s="3527"/>
      <c r="L541" s="3527"/>
      <c r="M541" s="3527"/>
      <c r="N541" s="3527"/>
      <c r="O541" s="3527"/>
      <c r="P541" s="3527"/>
      <c r="Q541" s="556"/>
      <c r="R541" s="3516"/>
      <c r="S541" s="3108"/>
      <c r="T541" s="3531"/>
      <c r="U541" s="3531"/>
      <c r="V541" s="3531"/>
      <c r="W541" s="3531"/>
      <c r="X541" s="2030"/>
      <c r="Y541" s="3110">
        <f t="shared" ref="Y541" si="184">(Z541)/1000</f>
        <v>8300</v>
      </c>
      <c r="Z541" s="1729">
        <f>SUM(Z542:Z543)</f>
        <v>8300000</v>
      </c>
      <c r="AA541" s="2075"/>
      <c r="AB541" s="2075"/>
      <c r="AC541" s="2075"/>
    </row>
    <row r="542" spans="1:29" s="1842" customFormat="1" ht="22.5" customHeight="1">
      <c r="A542" s="481"/>
      <c r="B542" s="2013"/>
      <c r="C542" s="2075"/>
      <c r="D542" s="2050"/>
      <c r="E542" s="2013"/>
      <c r="F542" s="2326"/>
      <c r="G542" s="2326"/>
      <c r="H542" s="551"/>
      <c r="I542" s="634"/>
      <c r="J542" s="3530" t="s">
        <v>5724</v>
      </c>
      <c r="K542" s="3107"/>
      <c r="L542" s="3107"/>
      <c r="M542" s="3107"/>
      <c r="N542" s="3108"/>
      <c r="O542" s="3108"/>
      <c r="P542" s="3107"/>
      <c r="Q542" s="3109"/>
      <c r="R542" s="3107"/>
      <c r="S542" s="3107">
        <v>200000</v>
      </c>
      <c r="T542" s="3107" t="s">
        <v>0</v>
      </c>
      <c r="U542" s="3107"/>
      <c r="V542" s="3107">
        <v>4</v>
      </c>
      <c r="W542" s="3107" t="s">
        <v>5725</v>
      </c>
      <c r="X542" s="542" t="s">
        <v>1</v>
      </c>
      <c r="Y542" s="3110">
        <f>+Z542/1000</f>
        <v>800</v>
      </c>
      <c r="Z542" s="489">
        <f t="shared" ref="Z542" si="185">+S542*V542</f>
        <v>800000</v>
      </c>
      <c r="AA542" s="2075"/>
      <c r="AB542" s="2075"/>
      <c r="AC542" s="2075"/>
    </row>
    <row r="543" spans="1:29" s="1842" customFormat="1" ht="22.5" customHeight="1">
      <c r="A543" s="481"/>
      <c r="B543" s="2013"/>
      <c r="C543" s="2075"/>
      <c r="D543" s="2050"/>
      <c r="E543" s="2013"/>
      <c r="F543" s="2326"/>
      <c r="G543" s="2326"/>
      <c r="H543" s="551"/>
      <c r="I543" s="634"/>
      <c r="J543" s="3530" t="s">
        <v>5726</v>
      </c>
      <c r="K543" s="3107"/>
      <c r="L543" s="3107"/>
      <c r="M543" s="3107"/>
      <c r="N543" s="3108"/>
      <c r="O543" s="3108"/>
      <c r="P543" s="3107"/>
      <c r="Q543" s="3109"/>
      <c r="R543" s="3107"/>
      <c r="S543" s="3108">
        <v>75000000</v>
      </c>
      <c r="T543" s="3107" t="s">
        <v>0</v>
      </c>
      <c r="U543" s="3107"/>
      <c r="V543" s="2199">
        <v>10</v>
      </c>
      <c r="W543" s="3107" t="s">
        <v>5681</v>
      </c>
      <c r="X543" s="542" t="s">
        <v>1</v>
      </c>
      <c r="Y543" s="3110">
        <f>+Z543/1000</f>
        <v>7500</v>
      </c>
      <c r="Z543" s="489">
        <f>+S543*V543/100</f>
        <v>7500000</v>
      </c>
      <c r="AA543" s="2075"/>
      <c r="AB543" s="2075"/>
      <c r="AC543" s="2075"/>
    </row>
    <row r="544" spans="1:29" s="1842" customFormat="1" ht="22.5" customHeight="1">
      <c r="A544" s="481"/>
      <c r="B544" s="2013"/>
      <c r="C544" s="2075"/>
      <c r="D544" s="2050"/>
      <c r="E544" s="2013" t="s">
        <v>932</v>
      </c>
      <c r="F544" s="1886">
        <f>Y544</f>
        <v>53700</v>
      </c>
      <c r="G544" s="2326">
        <v>54500</v>
      </c>
      <c r="H544" s="551">
        <f>F544-G544</f>
        <v>-800</v>
      </c>
      <c r="I544" s="634"/>
      <c r="J544" s="3530" t="s">
        <v>5727</v>
      </c>
      <c r="K544" s="3527"/>
      <c r="L544" s="3527"/>
      <c r="M544" s="3527"/>
      <c r="N544" s="3527"/>
      <c r="O544" s="3527"/>
      <c r="P544" s="3119"/>
      <c r="Q544" s="3531"/>
      <c r="R544" s="3516"/>
      <c r="S544" s="3531">
        <f>27250000-400000</f>
        <v>26850000</v>
      </c>
      <c r="T544" s="3107" t="s">
        <v>0</v>
      </c>
      <c r="U544" s="3119"/>
      <c r="V544" s="3107">
        <v>2</v>
      </c>
      <c r="W544" s="3516" t="s">
        <v>5679</v>
      </c>
      <c r="X544" s="542" t="s">
        <v>1</v>
      </c>
      <c r="Y544" s="3110">
        <f t="shared" ref="Y544" si="186">+Z544/1000</f>
        <v>53700</v>
      </c>
      <c r="Z544" s="489">
        <f t="shared" ref="Z544" si="187">+S544*V544</f>
        <v>53700000</v>
      </c>
      <c r="AA544" s="2075"/>
      <c r="AB544" s="2075"/>
      <c r="AC544" s="2075"/>
    </row>
    <row r="545" spans="1:30" s="1842" customFormat="1" ht="22.5" customHeight="1">
      <c r="A545" s="481"/>
      <c r="B545" s="2013"/>
      <c r="C545" s="2075"/>
      <c r="D545" s="2050"/>
      <c r="E545" s="2013" t="s">
        <v>591</v>
      </c>
      <c r="F545" s="1886">
        <f>Y545</f>
        <v>1000</v>
      </c>
      <c r="G545" s="2326">
        <v>1000</v>
      </c>
      <c r="H545" s="551"/>
      <c r="I545" s="634"/>
      <c r="J545" s="3530" t="s">
        <v>5728</v>
      </c>
      <c r="K545" s="3107"/>
      <c r="L545" s="3107"/>
      <c r="M545" s="3107"/>
      <c r="N545" s="3108"/>
      <c r="O545" s="3108"/>
      <c r="P545" s="3107"/>
      <c r="Q545" s="3109"/>
      <c r="R545" s="3107"/>
      <c r="S545" s="3107">
        <v>1000000</v>
      </c>
      <c r="T545" s="3107" t="s">
        <v>0</v>
      </c>
      <c r="U545" s="3107"/>
      <c r="V545" s="3107">
        <v>1</v>
      </c>
      <c r="W545" s="3107" t="s">
        <v>5679</v>
      </c>
      <c r="X545" s="542" t="s">
        <v>1</v>
      </c>
      <c r="Y545" s="3110">
        <f>+Z545/1000</f>
        <v>1000</v>
      </c>
      <c r="Z545" s="489">
        <f>+S545*V545</f>
        <v>1000000</v>
      </c>
      <c r="AA545" s="2075"/>
      <c r="AB545" s="2075"/>
      <c r="AC545" s="2075"/>
    </row>
    <row r="546" spans="1:30" s="1842" customFormat="1" ht="22.5" customHeight="1">
      <c r="A546" s="481"/>
      <c r="B546" s="2013"/>
      <c r="C546" s="3836" t="s">
        <v>2355</v>
      </c>
      <c r="D546" s="3821"/>
      <c r="E546" s="3822"/>
      <c r="F546" s="825">
        <f>+F547</f>
        <v>40000</v>
      </c>
      <c r="G546" s="825">
        <f>+G547</f>
        <v>40000</v>
      </c>
      <c r="H546" s="2721">
        <f t="shared" ref="H546" si="188">+H547</f>
        <v>0</v>
      </c>
      <c r="I546" s="634"/>
      <c r="J546" s="2025"/>
      <c r="K546" s="621"/>
      <c r="L546" s="621"/>
      <c r="M546" s="621"/>
      <c r="N546" s="545"/>
      <c r="O546" s="545"/>
      <c r="P546" s="621"/>
      <c r="Q546" s="2322"/>
      <c r="R546" s="2027"/>
      <c r="S546" s="545"/>
      <c r="T546" s="621"/>
      <c r="U546" s="621"/>
      <c r="V546" s="621"/>
      <c r="W546" s="621"/>
      <c r="X546" s="585"/>
      <c r="Y546" s="517"/>
      <c r="Z546" s="2308"/>
      <c r="AA546" s="2075"/>
      <c r="AB546" s="2075"/>
      <c r="AC546" s="2075"/>
    </row>
    <row r="547" spans="1:30" s="1842" customFormat="1" ht="22.5" customHeight="1">
      <c r="A547" s="481"/>
      <c r="B547" s="2013"/>
      <c r="C547" s="2075"/>
      <c r="D547" s="2085" t="s">
        <v>2355</v>
      </c>
      <c r="E547" s="2086"/>
      <c r="F547" s="2351">
        <f>SUM(F548:F549)</f>
        <v>40000</v>
      </c>
      <c r="G547" s="2351">
        <f>SUM(G548:G549)</f>
        <v>40000</v>
      </c>
      <c r="H547" s="2021">
        <f>F547-G547</f>
        <v>0</v>
      </c>
      <c r="I547" s="634"/>
      <c r="J547" s="2408"/>
      <c r="K547" s="2409"/>
      <c r="L547" s="2409"/>
      <c r="M547" s="2409"/>
      <c r="N547" s="2409"/>
      <c r="O547" s="2409"/>
      <c r="P547" s="2409"/>
      <c r="Q547" s="2410"/>
      <c r="R547" s="646"/>
      <c r="S547" s="2411"/>
      <c r="T547" s="621"/>
      <c r="U547" s="2101"/>
      <c r="V547" s="2410"/>
      <c r="W547" s="2410"/>
      <c r="X547" s="585"/>
      <c r="Y547" s="517"/>
      <c r="Z547" s="518"/>
      <c r="AA547" s="2075"/>
      <c r="AB547" s="2075"/>
      <c r="AC547" s="2075"/>
    </row>
    <row r="548" spans="1:30" s="1842" customFormat="1" ht="22.5" customHeight="1">
      <c r="A548" s="481"/>
      <c r="B548" s="2013"/>
      <c r="C548" s="2075"/>
      <c r="D548" s="2050"/>
      <c r="E548" s="2013" t="s">
        <v>530</v>
      </c>
      <c r="F548" s="1886">
        <f>Y548</f>
        <v>4000</v>
      </c>
      <c r="G548" s="2326">
        <v>4000</v>
      </c>
      <c r="H548" s="551"/>
      <c r="I548" s="634"/>
      <c r="J548" s="2105" t="s">
        <v>2356</v>
      </c>
      <c r="K548" s="2082"/>
      <c r="L548" s="2082"/>
      <c r="M548" s="2082"/>
      <c r="N548" s="2082"/>
      <c r="O548" s="2082"/>
      <c r="P548" s="2015"/>
      <c r="Q548" s="2106"/>
      <c r="R548" s="2092"/>
      <c r="S548" s="474">
        <v>40000000</v>
      </c>
      <c r="T548" s="473" t="s">
        <v>0</v>
      </c>
      <c r="U548" s="473"/>
      <c r="V548" s="2199">
        <v>10</v>
      </c>
      <c r="W548" s="473" t="s">
        <v>575</v>
      </c>
      <c r="X548" s="542" t="s">
        <v>1</v>
      </c>
      <c r="Y548" s="483">
        <f>+Z548/1000</f>
        <v>4000</v>
      </c>
      <c r="Z548" s="489">
        <f>+S548*V548/100</f>
        <v>4000000</v>
      </c>
      <c r="AA548" s="2075"/>
      <c r="AB548" s="2075"/>
      <c r="AC548" s="2075"/>
    </row>
    <row r="549" spans="1:30" s="1842" customFormat="1" ht="22.5" customHeight="1" thickBot="1">
      <c r="A549" s="481"/>
      <c r="B549" s="2013"/>
      <c r="C549" s="2075"/>
      <c r="D549" s="2050"/>
      <c r="E549" s="2023" t="s">
        <v>932</v>
      </c>
      <c r="F549" s="526">
        <f t="shared" ref="F549" si="189">Y549</f>
        <v>36000</v>
      </c>
      <c r="G549" s="1918">
        <v>36000</v>
      </c>
      <c r="H549" s="551"/>
      <c r="I549" s="543"/>
      <c r="J549" s="2105" t="s">
        <v>2357</v>
      </c>
      <c r="K549" s="2082"/>
      <c r="L549" s="2082"/>
      <c r="M549" s="2082"/>
      <c r="N549" s="2082"/>
      <c r="O549" s="2082"/>
      <c r="P549" s="2082"/>
      <c r="Q549" s="556"/>
      <c r="R549" s="2092"/>
      <c r="S549" s="474">
        <v>36000000</v>
      </c>
      <c r="T549" s="2106" t="s">
        <v>0</v>
      </c>
      <c r="U549" s="2106"/>
      <c r="V549" s="2106">
        <v>1</v>
      </c>
      <c r="W549" s="2106" t="s">
        <v>568</v>
      </c>
      <c r="X549" s="2030" t="s">
        <v>370</v>
      </c>
      <c r="Y549" s="483">
        <f>(Z549)/1000</f>
        <v>36000</v>
      </c>
      <c r="Z549" s="489">
        <f>+S549*V549</f>
        <v>36000000</v>
      </c>
      <c r="AA549" s="2075"/>
      <c r="AB549" s="2075"/>
      <c r="AC549" s="2075"/>
    </row>
    <row r="550" spans="1:30" s="814" customFormat="1" ht="22.5" customHeight="1" thickBot="1">
      <c r="A550" s="1912"/>
      <c r="B550" s="4110" t="s">
        <v>204</v>
      </c>
      <c r="C550" s="4110"/>
      <c r="D550" s="4110"/>
      <c r="E550" s="4110"/>
      <c r="F550" s="846">
        <f>+F551+F601</f>
        <v>950000</v>
      </c>
      <c r="G550" s="846">
        <f>+G551+G601</f>
        <v>950000</v>
      </c>
      <c r="H550" s="573">
        <f t="shared" ref="H550" si="190">F550-G550</f>
        <v>0</v>
      </c>
      <c r="I550" s="2682"/>
      <c r="J550" s="2704"/>
      <c r="K550" s="575"/>
      <c r="L550" s="575"/>
      <c r="M550" s="575"/>
      <c r="N550" s="575"/>
      <c r="O550" s="575"/>
      <c r="P550" s="575"/>
      <c r="Q550" s="2705"/>
      <c r="R550" s="2705"/>
      <c r="S550" s="2705"/>
      <c r="T550" s="2705"/>
      <c r="U550" s="2705"/>
      <c r="V550" s="2705"/>
      <c r="W550" s="2705"/>
      <c r="X550" s="2706"/>
      <c r="Y550" s="2707"/>
      <c r="Z550" s="2708"/>
      <c r="AA550" s="547"/>
      <c r="AB550" s="1891"/>
      <c r="AC550" s="2677"/>
      <c r="AD550" s="836"/>
    </row>
    <row r="551" spans="1:30" s="1874" customFormat="1" ht="22.5" customHeight="1">
      <c r="A551" s="540"/>
      <c r="B551" s="563"/>
      <c r="C551" s="3926" t="s">
        <v>2000</v>
      </c>
      <c r="D551" s="3927"/>
      <c r="E551" s="3928"/>
      <c r="F551" s="2709">
        <f>+F552</f>
        <v>500000</v>
      </c>
      <c r="G551" s="2709">
        <f>+G552</f>
        <v>500000</v>
      </c>
      <c r="H551" s="1332">
        <f t="shared" ref="H551:H602" si="191">F551-G551</f>
        <v>0</v>
      </c>
      <c r="I551" s="594">
        <f t="shared" ref="I551:I552" si="192">G551-H551</f>
        <v>500000</v>
      </c>
      <c r="J551" s="580"/>
      <c r="K551" s="2072"/>
      <c r="L551" s="2072"/>
      <c r="M551" s="2072"/>
      <c r="N551" s="2072"/>
      <c r="O551" s="2072"/>
      <c r="P551" s="2072"/>
      <c r="Q551" s="2072"/>
      <c r="R551" s="2072"/>
      <c r="S551" s="2072"/>
      <c r="T551" s="2072"/>
      <c r="U551" s="2072"/>
      <c r="V551" s="2072"/>
      <c r="W551" s="2072"/>
      <c r="X551" s="581"/>
      <c r="Y551" s="582"/>
      <c r="Z551" s="583"/>
      <c r="AA551" s="547"/>
      <c r="AB551" s="2073"/>
      <c r="AC551" s="1891">
        <f>F551</f>
        <v>500000</v>
      </c>
      <c r="AD551" s="456"/>
    </row>
    <row r="552" spans="1:30" s="1874" customFormat="1" ht="22.5" customHeight="1">
      <c r="A552" s="540"/>
      <c r="B552" s="548"/>
      <c r="C552" s="1904"/>
      <c r="D552" s="3925" t="s">
        <v>2000</v>
      </c>
      <c r="E552" s="3925"/>
      <c r="F552" s="2130">
        <f>SUM(F553:F600)</f>
        <v>500000</v>
      </c>
      <c r="G552" s="2130">
        <f>SUM(G553:G600)</f>
        <v>500000</v>
      </c>
      <c r="H552" s="627">
        <f t="shared" si="191"/>
        <v>0</v>
      </c>
      <c r="I552" s="594">
        <f t="shared" si="192"/>
        <v>500000</v>
      </c>
      <c r="J552" s="538"/>
      <c r="K552" s="2068"/>
      <c r="L552" s="2068"/>
      <c r="M552" s="2068"/>
      <c r="N552" s="2068"/>
      <c r="O552" s="2068"/>
      <c r="P552" s="2068"/>
      <c r="Q552" s="2068"/>
      <c r="R552" s="539"/>
      <c r="S552" s="2068"/>
      <c r="T552" s="2068"/>
      <c r="U552" s="2068"/>
      <c r="V552" s="2068"/>
      <c r="W552" s="2068"/>
      <c r="X552" s="585"/>
      <c r="Y552" s="586"/>
      <c r="Z552" s="587" t="e">
        <f>#REF!</f>
        <v>#REF!</v>
      </c>
      <c r="AA552" s="547"/>
      <c r="AB552" s="1891"/>
      <c r="AC552" s="1895"/>
      <c r="AD552" s="456"/>
    </row>
    <row r="553" spans="1:30" s="1842" customFormat="1" ht="22.5" customHeight="1">
      <c r="A553" s="481"/>
      <c r="B553" s="2013"/>
      <c r="C553" s="2075"/>
      <c r="D553" s="548"/>
      <c r="E553" s="2023" t="s">
        <v>65</v>
      </c>
      <c r="F553" s="526">
        <f>Y553</f>
        <v>58850</v>
      </c>
      <c r="G553" s="1918">
        <v>58850</v>
      </c>
      <c r="H553" s="551"/>
      <c r="I553" s="543"/>
      <c r="J553" s="3530" t="s">
        <v>572</v>
      </c>
      <c r="K553" s="3527"/>
      <c r="L553" s="3527"/>
      <c r="M553" s="3527"/>
      <c r="N553" s="3527"/>
      <c r="O553" s="3527"/>
      <c r="P553" s="3527"/>
      <c r="Q553" s="3527"/>
      <c r="R553" s="552"/>
      <c r="S553" s="3527"/>
      <c r="T553" s="3527"/>
      <c r="U553" s="3527"/>
      <c r="V553" s="3527"/>
      <c r="W553" s="3527"/>
      <c r="X553" s="2030"/>
      <c r="Y553" s="3110">
        <f t="shared" ref="Y553:Y558" si="193">(Z553)/1000</f>
        <v>58850</v>
      </c>
      <c r="Z553" s="555">
        <f>SUM(Z554:Z557)</f>
        <v>58850000</v>
      </c>
      <c r="AA553" s="2075"/>
      <c r="AB553" s="2075"/>
      <c r="AC553" s="2075"/>
    </row>
    <row r="554" spans="1:30" s="1842" customFormat="1" ht="22.5" customHeight="1">
      <c r="A554" s="481"/>
      <c r="B554" s="2013"/>
      <c r="C554" s="2075"/>
      <c r="D554" s="548"/>
      <c r="E554" s="2023"/>
      <c r="F554" s="526"/>
      <c r="G554" s="1918"/>
      <c r="H554" s="551"/>
      <c r="I554" s="543"/>
      <c r="J554" s="3530" t="s">
        <v>2359</v>
      </c>
      <c r="K554" s="3527"/>
      <c r="L554" s="3527"/>
      <c r="M554" s="3527"/>
      <c r="N554" s="3527"/>
      <c r="O554" s="3527"/>
      <c r="P554" s="3527"/>
      <c r="Q554" s="556">
        <v>1</v>
      </c>
      <c r="R554" s="3516" t="s">
        <v>36</v>
      </c>
      <c r="S554" s="3108">
        <v>2500000</v>
      </c>
      <c r="T554" s="3531" t="s">
        <v>0</v>
      </c>
      <c r="U554" s="3531"/>
      <c r="V554" s="3531">
        <v>10</v>
      </c>
      <c r="W554" s="3531" t="s">
        <v>774</v>
      </c>
      <c r="X554" s="2030" t="s">
        <v>370</v>
      </c>
      <c r="Y554" s="3110">
        <f t="shared" si="193"/>
        <v>25000</v>
      </c>
      <c r="Z554" s="555">
        <f>Q554*S554*V554</f>
        <v>25000000</v>
      </c>
      <c r="AA554" s="2075"/>
      <c r="AB554" s="2075"/>
      <c r="AC554" s="2075"/>
    </row>
    <row r="555" spans="1:30" s="1842" customFormat="1" ht="22.5" customHeight="1">
      <c r="A555" s="481"/>
      <c r="B555" s="2013"/>
      <c r="C555" s="2075"/>
      <c r="D555" s="548"/>
      <c r="E555" s="2023"/>
      <c r="F555" s="526"/>
      <c r="G555" s="1918"/>
      <c r="H555" s="551"/>
      <c r="I555" s="543"/>
      <c r="J555" s="3530" t="s">
        <v>2360</v>
      </c>
      <c r="K555" s="3527"/>
      <c r="L555" s="3527"/>
      <c r="M555" s="3527"/>
      <c r="N555" s="3527"/>
      <c r="O555" s="3527"/>
      <c r="P555" s="3527"/>
      <c r="Q555" s="556">
        <v>1</v>
      </c>
      <c r="R555" s="3516" t="s">
        <v>36</v>
      </c>
      <c r="S555" s="3108">
        <v>1900000</v>
      </c>
      <c r="T555" s="3531" t="s">
        <v>0</v>
      </c>
      <c r="U555" s="3531"/>
      <c r="V555" s="3531">
        <v>10</v>
      </c>
      <c r="W555" s="3531" t="s">
        <v>774</v>
      </c>
      <c r="X555" s="2030" t="s">
        <v>370</v>
      </c>
      <c r="Y555" s="3110">
        <f t="shared" si="193"/>
        <v>19000</v>
      </c>
      <c r="Z555" s="555">
        <f>Q555*S555*V555</f>
        <v>19000000</v>
      </c>
      <c r="AA555" s="2075"/>
      <c r="AB555" s="2075"/>
      <c r="AC555" s="2075"/>
    </row>
    <row r="556" spans="1:30" s="1842" customFormat="1" ht="22.5" customHeight="1">
      <c r="A556" s="481"/>
      <c r="B556" s="2013"/>
      <c r="C556" s="2075"/>
      <c r="D556" s="548"/>
      <c r="E556" s="2023"/>
      <c r="F556" s="526"/>
      <c r="G556" s="1918"/>
      <c r="H556" s="551"/>
      <c r="I556" s="543"/>
      <c r="J556" s="3530" t="s">
        <v>2361</v>
      </c>
      <c r="K556" s="3527"/>
      <c r="L556" s="3527"/>
      <c r="M556" s="3527"/>
      <c r="N556" s="3527"/>
      <c r="O556" s="3527"/>
      <c r="P556" s="3527"/>
      <c r="Q556" s="556">
        <v>1</v>
      </c>
      <c r="R556" s="3516" t="s">
        <v>36</v>
      </c>
      <c r="S556" s="3108">
        <v>1900000</v>
      </c>
      <c r="T556" s="3531" t="s">
        <v>0</v>
      </c>
      <c r="U556" s="3531"/>
      <c r="V556" s="3531">
        <v>5</v>
      </c>
      <c r="W556" s="3531" t="s">
        <v>774</v>
      </c>
      <c r="X556" s="2030" t="s">
        <v>370</v>
      </c>
      <c r="Y556" s="3110">
        <f t="shared" si="193"/>
        <v>9500</v>
      </c>
      <c r="Z556" s="555">
        <f>Q556*S556*V556</f>
        <v>9500000</v>
      </c>
      <c r="AA556" s="2075"/>
      <c r="AB556" s="2075"/>
      <c r="AC556" s="2075"/>
    </row>
    <row r="557" spans="1:30" s="1842" customFormat="1" ht="22.5" customHeight="1">
      <c r="A557" s="481"/>
      <c r="B557" s="2013"/>
      <c r="C557" s="2075"/>
      <c r="D557" s="548"/>
      <c r="E557" s="2023"/>
      <c r="F557" s="526"/>
      <c r="G557" s="1918"/>
      <c r="H557" s="551"/>
      <c r="I557" s="543"/>
      <c r="J557" s="3530" t="s">
        <v>2362</v>
      </c>
      <c r="K557" s="3527"/>
      <c r="L557" s="3527"/>
      <c r="M557" s="3527"/>
      <c r="N557" s="3527"/>
      <c r="O557" s="3527"/>
      <c r="P557" s="3527"/>
      <c r="Q557" s="556"/>
      <c r="R557" s="3516"/>
      <c r="S557" s="3108">
        <f>+Z554+Z555+Z556</f>
        <v>53500000</v>
      </c>
      <c r="T557" s="3531" t="s">
        <v>0</v>
      </c>
      <c r="U557" s="3531"/>
      <c r="V557" s="3531">
        <v>10</v>
      </c>
      <c r="W557" s="3531" t="s">
        <v>957</v>
      </c>
      <c r="X557" s="2030" t="s">
        <v>370</v>
      </c>
      <c r="Y557" s="3110">
        <f t="shared" si="193"/>
        <v>5350</v>
      </c>
      <c r="Z557" s="489">
        <f>+S557*V557/100</f>
        <v>5350000</v>
      </c>
      <c r="AA557" s="2075"/>
      <c r="AB557" s="2075"/>
      <c r="AC557" s="2075"/>
    </row>
    <row r="558" spans="1:30" s="1842" customFormat="1" ht="22.5" customHeight="1">
      <c r="A558" s="481"/>
      <c r="B558" s="2013"/>
      <c r="C558" s="2075"/>
      <c r="D558" s="2050"/>
      <c r="E558" s="2023" t="s">
        <v>229</v>
      </c>
      <c r="F558" s="526">
        <f t="shared" ref="F558:F564" si="194">Y558</f>
        <v>32000</v>
      </c>
      <c r="G558" s="1918">
        <v>32000</v>
      </c>
      <c r="H558" s="551"/>
      <c r="I558" s="543"/>
      <c r="J558" s="3530" t="s">
        <v>572</v>
      </c>
      <c r="K558" s="3527"/>
      <c r="L558" s="3527"/>
      <c r="M558" s="3527"/>
      <c r="N558" s="3527"/>
      <c r="O558" s="3527"/>
      <c r="P558" s="3527"/>
      <c r="Q558" s="556"/>
      <c r="R558" s="3516"/>
      <c r="S558" s="3108"/>
      <c r="T558" s="3531"/>
      <c r="U558" s="3531"/>
      <c r="V558" s="3531"/>
      <c r="W558" s="3531"/>
      <c r="X558" s="2030"/>
      <c r="Y558" s="3110">
        <f t="shared" si="193"/>
        <v>32000</v>
      </c>
      <c r="Z558" s="1729">
        <f>SUM(Z559:Z562)</f>
        <v>32000000</v>
      </c>
      <c r="AA558" s="2075"/>
      <c r="AB558" s="2075"/>
      <c r="AC558" s="2075"/>
    </row>
    <row r="559" spans="1:30" s="1842" customFormat="1" ht="22.5" customHeight="1">
      <c r="A559" s="481"/>
      <c r="B559" s="2013"/>
      <c r="C559" s="2075"/>
      <c r="D559" s="2050"/>
      <c r="E559" s="2023"/>
      <c r="F559" s="526"/>
      <c r="G559" s="1918"/>
      <c r="H559" s="551"/>
      <c r="I559" s="543"/>
      <c r="J559" s="3530" t="s">
        <v>2363</v>
      </c>
      <c r="K559" s="3107"/>
      <c r="L559" s="3107"/>
      <c r="M559" s="3107"/>
      <c r="N559" s="3108"/>
      <c r="O559" s="3108"/>
      <c r="P559" s="3107"/>
      <c r="Q559" s="3109"/>
      <c r="R559" s="3107"/>
      <c r="S559" s="3107">
        <v>25000</v>
      </c>
      <c r="T559" s="3107" t="s">
        <v>0</v>
      </c>
      <c r="U559" s="3107"/>
      <c r="V559" s="3107">
        <v>600</v>
      </c>
      <c r="W559" s="3107" t="s">
        <v>676</v>
      </c>
      <c r="X559" s="542" t="s">
        <v>1</v>
      </c>
      <c r="Y559" s="3110">
        <f>+Z559/1000</f>
        <v>15000</v>
      </c>
      <c r="Z559" s="489">
        <f>+S559*V559</f>
        <v>15000000</v>
      </c>
      <c r="AA559" s="2075"/>
      <c r="AB559" s="2075"/>
      <c r="AC559" s="2075"/>
    </row>
    <row r="560" spans="1:30" s="1842" customFormat="1" ht="22.5" customHeight="1">
      <c r="A560" s="481"/>
      <c r="B560" s="2013"/>
      <c r="C560" s="2075"/>
      <c r="D560" s="2050"/>
      <c r="E560" s="2023"/>
      <c r="F560" s="526"/>
      <c r="G560" s="1918"/>
      <c r="H560" s="551"/>
      <c r="I560" s="543"/>
      <c r="J560" s="3530" t="s">
        <v>2364</v>
      </c>
      <c r="K560" s="3107"/>
      <c r="L560" s="3107"/>
      <c r="M560" s="3107"/>
      <c r="N560" s="3108"/>
      <c r="O560" s="3108"/>
      <c r="P560" s="3107"/>
      <c r="Q560" s="3531"/>
      <c r="R560" s="3531"/>
      <c r="S560" s="3531">
        <v>2000</v>
      </c>
      <c r="T560" s="3531" t="s">
        <v>4</v>
      </c>
      <c r="U560" s="3531"/>
      <c r="V560" s="3531">
        <v>5000</v>
      </c>
      <c r="W560" s="3531" t="s">
        <v>598</v>
      </c>
      <c r="X560" s="2030" t="s">
        <v>5</v>
      </c>
      <c r="Y560" s="3110">
        <f>Z560/1000</f>
        <v>10000</v>
      </c>
      <c r="Z560" s="489">
        <f>+S560*V560</f>
        <v>10000000</v>
      </c>
      <c r="AA560" s="2075"/>
      <c r="AB560" s="2075"/>
      <c r="AC560" s="2075"/>
    </row>
    <row r="561" spans="1:29" s="1842" customFormat="1" ht="22.5" customHeight="1">
      <c r="A561" s="481"/>
      <c r="B561" s="2013"/>
      <c r="C561" s="2075"/>
      <c r="D561" s="2050"/>
      <c r="E561" s="2023"/>
      <c r="F561" s="526"/>
      <c r="G561" s="1918"/>
      <c r="H561" s="551"/>
      <c r="I561" s="543"/>
      <c r="J561" s="3530" t="s">
        <v>2365</v>
      </c>
      <c r="K561" s="3107"/>
      <c r="L561" s="3107"/>
      <c r="M561" s="3107"/>
      <c r="N561" s="3108"/>
      <c r="O561" s="3108"/>
      <c r="P561" s="3107"/>
      <c r="Q561" s="3531"/>
      <c r="R561" s="3531"/>
      <c r="S561" s="3531">
        <v>10000</v>
      </c>
      <c r="T561" s="3531" t="s">
        <v>4</v>
      </c>
      <c r="U561" s="3531"/>
      <c r="V561" s="3531">
        <v>500</v>
      </c>
      <c r="W561" s="3531" t="s">
        <v>598</v>
      </c>
      <c r="X561" s="2030" t="s">
        <v>5</v>
      </c>
      <c r="Y561" s="3110">
        <f>Z561/1000</f>
        <v>5000</v>
      </c>
      <c r="Z561" s="489">
        <f>+S561*V561</f>
        <v>5000000</v>
      </c>
      <c r="AA561" s="2075"/>
      <c r="AB561" s="2075"/>
      <c r="AC561" s="2075"/>
    </row>
    <row r="562" spans="1:29" s="1842" customFormat="1" ht="22.5" customHeight="1">
      <c r="A562" s="481"/>
      <c r="B562" s="2013"/>
      <c r="C562" s="2075"/>
      <c r="D562" s="2050"/>
      <c r="E562" s="2023"/>
      <c r="F562" s="526"/>
      <c r="G562" s="1918"/>
      <c r="H562" s="551"/>
      <c r="I562" s="543"/>
      <c r="J562" s="3530" t="s">
        <v>2366</v>
      </c>
      <c r="K562" s="3107"/>
      <c r="L562" s="3107"/>
      <c r="M562" s="3107"/>
      <c r="N562" s="3108"/>
      <c r="O562" s="3108"/>
      <c r="P562" s="3107"/>
      <c r="Q562" s="3531"/>
      <c r="R562" s="3531"/>
      <c r="S562" s="3531">
        <v>10000</v>
      </c>
      <c r="T562" s="3531" t="s">
        <v>4</v>
      </c>
      <c r="U562" s="3531"/>
      <c r="V562" s="3531">
        <v>200</v>
      </c>
      <c r="W562" s="3531" t="s">
        <v>598</v>
      </c>
      <c r="X562" s="2030" t="s">
        <v>5</v>
      </c>
      <c r="Y562" s="3110">
        <f>Z562/1000</f>
        <v>2000</v>
      </c>
      <c r="Z562" s="489">
        <f>+S562*V562</f>
        <v>2000000</v>
      </c>
      <c r="AA562" s="2075"/>
      <c r="AB562" s="2075"/>
      <c r="AC562" s="2075"/>
    </row>
    <row r="563" spans="1:29" s="1842" customFormat="1" ht="22.5" customHeight="1">
      <c r="A563" s="481"/>
      <c r="B563" s="2013"/>
      <c r="C563" s="2075"/>
      <c r="D563" s="2050"/>
      <c r="E563" s="2023" t="s">
        <v>264</v>
      </c>
      <c r="F563" s="526">
        <f t="shared" si="194"/>
        <v>2500</v>
      </c>
      <c r="G563" s="1918">
        <v>1000</v>
      </c>
      <c r="H563" s="551">
        <f>F563-G563</f>
        <v>1500</v>
      </c>
      <c r="I563" s="543"/>
      <c r="J563" s="3530" t="s">
        <v>5678</v>
      </c>
      <c r="K563" s="3527"/>
      <c r="L563" s="3527"/>
      <c r="M563" s="3527"/>
      <c r="N563" s="3527"/>
      <c r="O563" s="3527"/>
      <c r="P563" s="3527"/>
      <c r="Q563" s="556"/>
      <c r="R563" s="3516"/>
      <c r="S563" s="3108">
        <v>2500000</v>
      </c>
      <c r="T563" s="3531" t="s">
        <v>0</v>
      </c>
      <c r="U563" s="3531"/>
      <c r="V563" s="3531">
        <v>1</v>
      </c>
      <c r="W563" s="3531" t="s">
        <v>5679</v>
      </c>
      <c r="X563" s="2030" t="s">
        <v>5666</v>
      </c>
      <c r="Y563" s="3110">
        <f>(Z563)/1000</f>
        <v>2500</v>
      </c>
      <c r="Z563" s="2137">
        <f>S563*V563</f>
        <v>2500000</v>
      </c>
      <c r="AA563" s="2075"/>
      <c r="AB563" s="2075"/>
      <c r="AC563" s="2075"/>
    </row>
    <row r="564" spans="1:29" s="1842" customFormat="1" ht="22.5" customHeight="1">
      <c r="A564" s="481"/>
      <c r="B564" s="2013"/>
      <c r="C564" s="2075"/>
      <c r="D564" s="2050"/>
      <c r="E564" s="2023" t="s">
        <v>225</v>
      </c>
      <c r="F564" s="526">
        <f t="shared" si="194"/>
        <v>4500</v>
      </c>
      <c r="G564" s="1918">
        <v>4500</v>
      </c>
      <c r="H564" s="551"/>
      <c r="I564" s="543"/>
      <c r="J564" s="3530" t="s">
        <v>1321</v>
      </c>
      <c r="K564" s="3527"/>
      <c r="L564" s="3527"/>
      <c r="M564" s="3527"/>
      <c r="N564" s="3527"/>
      <c r="O564" s="3527"/>
      <c r="P564" s="3527"/>
      <c r="Q564" s="556">
        <v>3</v>
      </c>
      <c r="R564" s="3516" t="s">
        <v>36</v>
      </c>
      <c r="S564" s="3108">
        <v>150000</v>
      </c>
      <c r="T564" s="3531" t="s">
        <v>0</v>
      </c>
      <c r="U564" s="3531"/>
      <c r="V564" s="3531">
        <v>10</v>
      </c>
      <c r="W564" s="3531" t="s">
        <v>657</v>
      </c>
      <c r="X564" s="2030" t="s">
        <v>370</v>
      </c>
      <c r="Y564" s="3110">
        <f>(Z564)/1000</f>
        <v>4500</v>
      </c>
      <c r="Z564" s="555">
        <f>Q564*S564*V564</f>
        <v>4500000</v>
      </c>
      <c r="AA564" s="2075"/>
      <c r="AB564" s="2075"/>
      <c r="AC564" s="2075"/>
    </row>
    <row r="565" spans="1:29" s="1842" customFormat="1" ht="22.5" customHeight="1">
      <c r="A565" s="481"/>
      <c r="B565" s="2013"/>
      <c r="C565" s="2075"/>
      <c r="D565" s="2050"/>
      <c r="E565" s="2013" t="s">
        <v>564</v>
      </c>
      <c r="F565" s="1886">
        <f>Y565</f>
        <v>8600</v>
      </c>
      <c r="G565" s="2326">
        <v>8600</v>
      </c>
      <c r="H565" s="551"/>
      <c r="I565" s="634"/>
      <c r="J565" s="3530" t="s">
        <v>572</v>
      </c>
      <c r="K565" s="3527"/>
      <c r="L565" s="3527"/>
      <c r="M565" s="3527"/>
      <c r="N565" s="3527"/>
      <c r="O565" s="3527"/>
      <c r="P565" s="3527"/>
      <c r="Q565" s="556"/>
      <c r="R565" s="3516"/>
      <c r="S565" s="3108"/>
      <c r="T565" s="3531"/>
      <c r="U565" s="3531"/>
      <c r="V565" s="3531"/>
      <c r="W565" s="3531"/>
      <c r="X565" s="2030"/>
      <c r="Y565" s="3110">
        <f t="shared" ref="Y565" si="195">(Z565)/1000</f>
        <v>8600</v>
      </c>
      <c r="Z565" s="1729">
        <f>SUM(Z566:Z567)</f>
        <v>8600000</v>
      </c>
      <c r="AA565" s="2075"/>
      <c r="AB565" s="2075"/>
      <c r="AC565" s="2075"/>
    </row>
    <row r="566" spans="1:29" s="1842" customFormat="1" ht="22.5" customHeight="1">
      <c r="A566" s="481"/>
      <c r="B566" s="2013"/>
      <c r="C566" s="2075"/>
      <c r="D566" s="2050"/>
      <c r="E566" s="2013"/>
      <c r="F566" s="2326"/>
      <c r="G566" s="2326"/>
      <c r="H566" s="551"/>
      <c r="I566" s="634"/>
      <c r="J566" s="3530" t="s">
        <v>2368</v>
      </c>
      <c r="K566" s="3107"/>
      <c r="L566" s="3107"/>
      <c r="M566" s="3107"/>
      <c r="N566" s="3108"/>
      <c r="O566" s="3108"/>
      <c r="P566" s="3107"/>
      <c r="Q566" s="3109"/>
      <c r="R566" s="3107"/>
      <c r="S566" s="3107">
        <v>4500000</v>
      </c>
      <c r="T566" s="3107" t="s">
        <v>0</v>
      </c>
      <c r="U566" s="3107"/>
      <c r="V566" s="3107">
        <v>1</v>
      </c>
      <c r="W566" s="3107" t="s">
        <v>568</v>
      </c>
      <c r="X566" s="542" t="s">
        <v>1</v>
      </c>
      <c r="Y566" s="3110">
        <f>+Z566/1000</f>
        <v>4500</v>
      </c>
      <c r="Z566" s="489">
        <f>S566*V566</f>
        <v>4500000</v>
      </c>
      <c r="AA566" s="2075"/>
      <c r="AB566" s="2075"/>
      <c r="AC566" s="2075"/>
    </row>
    <row r="567" spans="1:29" s="1842" customFormat="1" ht="22.5" customHeight="1">
      <c r="A567" s="481"/>
      <c r="B567" s="2013"/>
      <c r="C567" s="2075"/>
      <c r="D567" s="2050"/>
      <c r="E567" s="2013"/>
      <c r="F567" s="2326"/>
      <c r="G567" s="2326"/>
      <c r="H567" s="551"/>
      <c r="I567" s="634"/>
      <c r="J567" s="3530" t="s">
        <v>2369</v>
      </c>
      <c r="K567" s="3107"/>
      <c r="L567" s="3107"/>
      <c r="M567" s="3107"/>
      <c r="N567" s="3108"/>
      <c r="O567" s="3108"/>
      <c r="P567" s="3107"/>
      <c r="Q567" s="3531"/>
      <c r="R567" s="3531"/>
      <c r="S567" s="3531">
        <v>410000</v>
      </c>
      <c r="T567" s="3531" t="s">
        <v>4</v>
      </c>
      <c r="U567" s="3531"/>
      <c r="V567" s="3531">
        <v>10</v>
      </c>
      <c r="W567" s="3531" t="s">
        <v>825</v>
      </c>
      <c r="X567" s="2030" t="s">
        <v>5</v>
      </c>
      <c r="Y567" s="3110">
        <f>Z567/1000</f>
        <v>4100</v>
      </c>
      <c r="Z567" s="489">
        <f>S567*V567</f>
        <v>4100000</v>
      </c>
      <c r="AA567" s="2075"/>
      <c r="AB567" s="2075"/>
      <c r="AC567" s="2075"/>
    </row>
    <row r="568" spans="1:29" s="1842" customFormat="1" ht="22.5" customHeight="1">
      <c r="A568" s="481"/>
      <c r="B568" s="2013"/>
      <c r="C568" s="2075"/>
      <c r="D568" s="2050"/>
      <c r="E568" s="2023" t="s">
        <v>680</v>
      </c>
      <c r="F568" s="526">
        <f>Y568</f>
        <v>1250</v>
      </c>
      <c r="G568" s="1918">
        <v>1250</v>
      </c>
      <c r="H568" s="551"/>
      <c r="I568" s="543"/>
      <c r="J568" s="3530" t="s">
        <v>2367</v>
      </c>
      <c r="K568" s="3107"/>
      <c r="L568" s="3107"/>
      <c r="M568" s="3107"/>
      <c r="N568" s="3108"/>
      <c r="O568" s="3108"/>
      <c r="P568" s="3107"/>
      <c r="Q568" s="556"/>
      <c r="R568" s="3516"/>
      <c r="S568" s="3107">
        <v>1250000</v>
      </c>
      <c r="T568" s="3107" t="s">
        <v>0</v>
      </c>
      <c r="U568" s="3107"/>
      <c r="V568" s="3107">
        <v>1</v>
      </c>
      <c r="W568" s="3107" t="s">
        <v>568</v>
      </c>
      <c r="X568" s="542" t="s">
        <v>1</v>
      </c>
      <c r="Y568" s="3110">
        <f>+Z568/1000</f>
        <v>1250</v>
      </c>
      <c r="Z568" s="489">
        <f>S568*V568</f>
        <v>1250000</v>
      </c>
      <c r="AA568" s="2075"/>
      <c r="AB568" s="2075"/>
      <c r="AC568" s="2075"/>
    </row>
    <row r="569" spans="1:29" s="1842" customFormat="1" ht="22.5" customHeight="1">
      <c r="A569" s="481"/>
      <c r="B569" s="2013"/>
      <c r="C569" s="2075"/>
      <c r="D569" s="2050"/>
      <c r="E569" s="2013" t="s">
        <v>530</v>
      </c>
      <c r="F569" s="1886">
        <f>Y569</f>
        <v>71500</v>
      </c>
      <c r="G569" s="2326">
        <v>69500</v>
      </c>
      <c r="H569" s="551">
        <f>F569-G569</f>
        <v>2000</v>
      </c>
      <c r="I569" s="634"/>
      <c r="J569" s="3530" t="s">
        <v>5662</v>
      </c>
      <c r="K569" s="3527"/>
      <c r="L569" s="3527"/>
      <c r="M569" s="3527"/>
      <c r="N569" s="3527"/>
      <c r="O569" s="3527"/>
      <c r="P569" s="3527"/>
      <c r="Q569" s="556"/>
      <c r="R569" s="3516"/>
      <c r="S569" s="3108"/>
      <c r="T569" s="3531"/>
      <c r="U569" s="3531"/>
      <c r="V569" s="3531"/>
      <c r="W569" s="3531"/>
      <c r="X569" s="2030"/>
      <c r="Y569" s="3110">
        <f>SUM(Y570:Y575)</f>
        <v>71500</v>
      </c>
      <c r="Z569" s="1729">
        <f>SUM(Z570:Z574)</f>
        <v>69500000</v>
      </c>
      <c r="AA569" s="2075"/>
      <c r="AB569" s="2075"/>
      <c r="AC569" s="2075"/>
    </row>
    <row r="570" spans="1:29" s="1842" customFormat="1" ht="22.5" customHeight="1">
      <c r="A570" s="481"/>
      <c r="B570" s="2013"/>
      <c r="C570" s="2075"/>
      <c r="D570" s="2050"/>
      <c r="E570" s="2013"/>
      <c r="F570" s="2326"/>
      <c r="G570" s="2326"/>
      <c r="H570" s="551"/>
      <c r="I570" s="634"/>
      <c r="J570" s="3530" t="s">
        <v>5680</v>
      </c>
      <c r="K570" s="3107"/>
      <c r="L570" s="3107"/>
      <c r="M570" s="3107"/>
      <c r="N570" s="3108"/>
      <c r="O570" s="3108"/>
      <c r="P570" s="3107"/>
      <c r="Q570" s="3109"/>
      <c r="R570" s="3107"/>
      <c r="S570" s="3107">
        <v>500000000</v>
      </c>
      <c r="T570" s="3107" t="s">
        <v>0</v>
      </c>
      <c r="U570" s="3107"/>
      <c r="V570" s="3107">
        <v>10</v>
      </c>
      <c r="W570" s="3107" t="s">
        <v>5681</v>
      </c>
      <c r="X570" s="542" t="s">
        <v>1</v>
      </c>
      <c r="Y570" s="3110">
        <f>+Z570/1000</f>
        <v>50000</v>
      </c>
      <c r="Z570" s="2137">
        <f>+S570*V570/100</f>
        <v>50000000</v>
      </c>
      <c r="AA570" s="2075"/>
      <c r="AB570" s="2075"/>
      <c r="AC570" s="2075"/>
    </row>
    <row r="571" spans="1:29" s="1842" customFormat="1" ht="22.5" customHeight="1">
      <c r="A571" s="481"/>
      <c r="B571" s="2013"/>
      <c r="C571" s="2075"/>
      <c r="D571" s="2050"/>
      <c r="E571" s="2013"/>
      <c r="F571" s="2326"/>
      <c r="G571" s="2326"/>
      <c r="H571" s="551"/>
      <c r="I571" s="634"/>
      <c r="J571" s="3530" t="s">
        <v>5682</v>
      </c>
      <c r="K571" s="3107"/>
      <c r="L571" s="3107"/>
      <c r="M571" s="3107"/>
      <c r="N571" s="3108"/>
      <c r="O571" s="3108"/>
      <c r="P571" s="3107"/>
      <c r="Q571" s="3531">
        <v>1</v>
      </c>
      <c r="R571" s="3531" t="s">
        <v>5683</v>
      </c>
      <c r="S571" s="3531">
        <v>10000</v>
      </c>
      <c r="T571" s="3531" t="s">
        <v>5684</v>
      </c>
      <c r="U571" s="3531"/>
      <c r="V571" s="3531">
        <v>850</v>
      </c>
      <c r="W571" s="3531" t="s">
        <v>5685</v>
      </c>
      <c r="X571" s="2030" t="s">
        <v>5666</v>
      </c>
      <c r="Y571" s="3110">
        <f>Z571/1000</f>
        <v>8500</v>
      </c>
      <c r="Z571" s="1729">
        <f>Q571*S571*V571</f>
        <v>8500000</v>
      </c>
      <c r="AA571" s="2075"/>
      <c r="AB571" s="2075"/>
      <c r="AC571" s="2075"/>
    </row>
    <row r="572" spans="1:29" s="1842" customFormat="1" ht="22.5" customHeight="1">
      <c r="A572" s="481"/>
      <c r="B572" s="2013"/>
      <c r="C572" s="2075"/>
      <c r="D572" s="2050"/>
      <c r="E572" s="2013"/>
      <c r="F572" s="2326"/>
      <c r="G572" s="2326"/>
      <c r="H572" s="551"/>
      <c r="I572" s="634"/>
      <c r="J572" s="3530" t="s">
        <v>5686</v>
      </c>
      <c r="K572" s="3107"/>
      <c r="L572" s="3107"/>
      <c r="M572" s="3107"/>
      <c r="N572" s="3108"/>
      <c r="O572" s="3108"/>
      <c r="P572" s="3107"/>
      <c r="Q572" s="3531">
        <v>1</v>
      </c>
      <c r="R572" s="3531" t="s">
        <v>5683</v>
      </c>
      <c r="S572" s="3531">
        <v>10000</v>
      </c>
      <c r="T572" s="3531" t="s">
        <v>5684</v>
      </c>
      <c r="U572" s="3531"/>
      <c r="V572" s="3531">
        <v>850</v>
      </c>
      <c r="W572" s="3531" t="s">
        <v>5685</v>
      </c>
      <c r="X572" s="2030" t="s">
        <v>5666</v>
      </c>
      <c r="Y572" s="3110">
        <f>Z572/1000</f>
        <v>8500</v>
      </c>
      <c r="Z572" s="1729">
        <f>Q572*S572*V572</f>
        <v>8500000</v>
      </c>
      <c r="AA572" s="2075"/>
      <c r="AB572" s="2075"/>
      <c r="AC572" s="2075"/>
    </row>
    <row r="573" spans="1:29" s="1842" customFormat="1" ht="22.5" customHeight="1">
      <c r="A573" s="481"/>
      <c r="B573" s="2013"/>
      <c r="C573" s="2075"/>
      <c r="D573" s="2050"/>
      <c r="E573" s="2013"/>
      <c r="F573" s="2326"/>
      <c r="G573" s="2326"/>
      <c r="H573" s="551"/>
      <c r="I573" s="634"/>
      <c r="J573" s="3530" t="s">
        <v>5687</v>
      </c>
      <c r="K573" s="3107"/>
      <c r="L573" s="3107"/>
      <c r="M573" s="3107"/>
      <c r="N573" s="3108"/>
      <c r="O573" s="3108"/>
      <c r="P573" s="3107"/>
      <c r="Q573" s="3531">
        <v>5</v>
      </c>
      <c r="R573" s="3531" t="s">
        <v>5683</v>
      </c>
      <c r="S573" s="3531">
        <v>200000</v>
      </c>
      <c r="T573" s="3531" t="s">
        <v>5684</v>
      </c>
      <c r="U573" s="3531"/>
      <c r="V573" s="3531">
        <v>2</v>
      </c>
      <c r="W573" s="3531" t="s">
        <v>5688</v>
      </c>
      <c r="X573" s="2030" t="s">
        <v>5666</v>
      </c>
      <c r="Y573" s="3110">
        <f>Z573/1000</f>
        <v>2000</v>
      </c>
      <c r="Z573" s="1729">
        <f>Q573*S573*V573</f>
        <v>2000000</v>
      </c>
      <c r="AA573" s="2075"/>
      <c r="AB573" s="2075"/>
      <c r="AC573" s="2075"/>
    </row>
    <row r="574" spans="1:29" s="1842" customFormat="1" ht="22.5" customHeight="1">
      <c r="A574" s="481"/>
      <c r="B574" s="2013"/>
      <c r="C574" s="2075"/>
      <c r="D574" s="2050"/>
      <c r="E574" s="2013"/>
      <c r="F574" s="2326"/>
      <c r="G574" s="2326"/>
      <c r="H574" s="551"/>
      <c r="I574" s="634"/>
      <c r="J574" s="3530" t="s">
        <v>5689</v>
      </c>
      <c r="K574" s="3107"/>
      <c r="L574" s="3107"/>
      <c r="M574" s="3107"/>
      <c r="N574" s="3108"/>
      <c r="O574" s="3108"/>
      <c r="P574" s="3107"/>
      <c r="Q574" s="3531">
        <v>1</v>
      </c>
      <c r="R574" s="3531" t="s">
        <v>5683</v>
      </c>
      <c r="S574" s="3531">
        <v>1000</v>
      </c>
      <c r="T574" s="3531" t="s">
        <v>5684</v>
      </c>
      <c r="U574" s="3531"/>
      <c r="V574" s="3531">
        <v>500</v>
      </c>
      <c r="W574" s="3531" t="s">
        <v>5685</v>
      </c>
      <c r="X574" s="2030" t="s">
        <v>5666</v>
      </c>
      <c r="Y574" s="3110">
        <f>Z574/1000</f>
        <v>500</v>
      </c>
      <c r="Z574" s="1729">
        <f>Q574*S574*V574</f>
        <v>500000</v>
      </c>
      <c r="AA574" s="2075"/>
      <c r="AB574" s="2075"/>
      <c r="AC574" s="2075"/>
    </row>
    <row r="575" spans="1:29" s="1842" customFormat="1" ht="22.5" customHeight="1">
      <c r="A575" s="481"/>
      <c r="B575" s="2013"/>
      <c r="C575" s="2075"/>
      <c r="D575" s="2050"/>
      <c r="E575" s="2013"/>
      <c r="F575" s="2326"/>
      <c r="G575" s="2326"/>
      <c r="H575" s="551"/>
      <c r="I575" s="634"/>
      <c r="J575" s="3530" t="s">
        <v>5690</v>
      </c>
      <c r="K575" s="3107"/>
      <c r="L575" s="3107"/>
      <c r="M575" s="3107"/>
      <c r="N575" s="3108"/>
      <c r="O575" s="3108"/>
      <c r="P575" s="3107"/>
      <c r="Q575" s="3531">
        <v>4</v>
      </c>
      <c r="R575" s="3531" t="s">
        <v>5683</v>
      </c>
      <c r="S575" s="3531">
        <v>500000</v>
      </c>
      <c r="T575" s="3531" t="s">
        <v>5684</v>
      </c>
      <c r="U575" s="3531"/>
      <c r="V575" s="3531">
        <v>1</v>
      </c>
      <c r="W575" s="3531" t="s">
        <v>5691</v>
      </c>
      <c r="X575" s="2030" t="s">
        <v>5666</v>
      </c>
      <c r="Y575" s="3110">
        <f>Z575/1000</f>
        <v>2000</v>
      </c>
      <c r="Z575" s="1729">
        <f>Q575*S575*V575</f>
        <v>2000000</v>
      </c>
      <c r="AA575" s="2075"/>
      <c r="AB575" s="2075"/>
      <c r="AC575" s="2075"/>
    </row>
    <row r="576" spans="1:29" s="1842" customFormat="1" ht="22.5" customHeight="1">
      <c r="A576" s="481"/>
      <c r="B576" s="2013"/>
      <c r="C576" s="2075"/>
      <c r="D576" s="548"/>
      <c r="E576" s="2023" t="s">
        <v>431</v>
      </c>
      <c r="F576" s="526">
        <f>Y576</f>
        <v>256000</v>
      </c>
      <c r="G576" s="1918">
        <v>289000</v>
      </c>
      <c r="H576" s="551">
        <f>F576-G576</f>
        <v>-33000</v>
      </c>
      <c r="I576" s="543"/>
      <c r="J576" s="3530" t="s">
        <v>5662</v>
      </c>
      <c r="K576" s="3527"/>
      <c r="L576" s="3527"/>
      <c r="M576" s="3527"/>
      <c r="N576" s="3527"/>
      <c r="O576" s="3527"/>
      <c r="P576" s="3527"/>
      <c r="Q576" s="3527"/>
      <c r="R576" s="552"/>
      <c r="S576" s="3527"/>
      <c r="T576" s="3527"/>
      <c r="U576" s="3527"/>
      <c r="V576" s="3527"/>
      <c r="W576" s="3527"/>
      <c r="X576" s="2030"/>
      <c r="Y576" s="3110">
        <f t="shared" ref="Y576:Y590" si="196">(Z576)/1000</f>
        <v>256000</v>
      </c>
      <c r="Z576" s="1729">
        <f>SUM(Z577:Z587)</f>
        <v>256000000</v>
      </c>
      <c r="AA576" s="2075"/>
      <c r="AB576" s="2075"/>
      <c r="AC576" s="2075"/>
    </row>
    <row r="577" spans="1:29" s="1842" customFormat="1" ht="22.5" customHeight="1">
      <c r="A577" s="481"/>
      <c r="B577" s="2013"/>
      <c r="C577" s="2075"/>
      <c r="D577" s="548"/>
      <c r="E577" s="2023"/>
      <c r="F577" s="526"/>
      <c r="G577" s="2326"/>
      <c r="H577" s="551"/>
      <c r="I577" s="543"/>
      <c r="J577" s="3530" t="s">
        <v>5663</v>
      </c>
      <c r="K577" s="3527"/>
      <c r="L577" s="3527"/>
      <c r="M577" s="3527"/>
      <c r="N577" s="3527"/>
      <c r="O577" s="3527"/>
      <c r="P577" s="3527"/>
      <c r="Q577" s="556">
        <v>2</v>
      </c>
      <c r="R577" s="3516" t="s">
        <v>5664</v>
      </c>
      <c r="S577" s="3108">
        <v>1400000</v>
      </c>
      <c r="T577" s="3531" t="s">
        <v>0</v>
      </c>
      <c r="U577" s="3531"/>
      <c r="V577" s="3531">
        <v>30</v>
      </c>
      <c r="W577" s="3531" t="s">
        <v>5665</v>
      </c>
      <c r="X577" s="2030" t="s">
        <v>5666</v>
      </c>
      <c r="Y577" s="3110">
        <f t="shared" si="196"/>
        <v>84000</v>
      </c>
      <c r="Z577" s="1729">
        <f>Q577*S577*V577</f>
        <v>84000000</v>
      </c>
      <c r="AA577" s="2075"/>
      <c r="AB577" s="2075"/>
      <c r="AC577" s="2075"/>
    </row>
    <row r="578" spans="1:29" s="1842" customFormat="1" ht="22.5" customHeight="1">
      <c r="A578" s="481"/>
      <c r="B578" s="2013"/>
      <c r="C578" s="2075"/>
      <c r="D578" s="548"/>
      <c r="E578" s="2023"/>
      <c r="F578" s="526"/>
      <c r="G578" s="2326"/>
      <c r="H578" s="551"/>
      <c r="I578" s="543"/>
      <c r="J578" s="3530" t="s">
        <v>5667</v>
      </c>
      <c r="K578" s="3527"/>
      <c r="L578" s="3527"/>
      <c r="M578" s="3527"/>
      <c r="N578" s="3527"/>
      <c r="O578" s="3527"/>
      <c r="P578" s="3527"/>
      <c r="Q578" s="556"/>
      <c r="R578" s="3516"/>
      <c r="S578" s="3108">
        <v>5250000</v>
      </c>
      <c r="T578" s="3531" t="s">
        <v>0</v>
      </c>
      <c r="U578" s="3531"/>
      <c r="V578" s="3531">
        <v>4</v>
      </c>
      <c r="W578" s="3531" t="s">
        <v>5665</v>
      </c>
      <c r="X578" s="2030" t="s">
        <v>5666</v>
      </c>
      <c r="Y578" s="3110">
        <f t="shared" si="196"/>
        <v>21000</v>
      </c>
      <c r="Z578" s="2137">
        <f t="shared" ref="Z578:Z587" si="197">+S578*V578</f>
        <v>21000000</v>
      </c>
      <c r="AA578" s="2075"/>
      <c r="AB578" s="2075"/>
      <c r="AC578" s="2075"/>
    </row>
    <row r="579" spans="1:29" s="1842" customFormat="1" ht="22.5" customHeight="1">
      <c r="A579" s="481"/>
      <c r="B579" s="2013"/>
      <c r="C579" s="2075"/>
      <c r="D579" s="548"/>
      <c r="E579" s="2023"/>
      <c r="F579" s="526"/>
      <c r="G579" s="2326"/>
      <c r="H579" s="551"/>
      <c r="I579" s="543"/>
      <c r="J579" s="3530" t="s">
        <v>5668</v>
      </c>
      <c r="K579" s="3527"/>
      <c r="L579" s="3527"/>
      <c r="M579" s="3527"/>
      <c r="N579" s="3527"/>
      <c r="O579" s="3527"/>
      <c r="P579" s="3527"/>
      <c r="Q579" s="556"/>
      <c r="R579" s="3516"/>
      <c r="S579" s="3108">
        <v>1500000</v>
      </c>
      <c r="T579" s="3531" t="s">
        <v>0</v>
      </c>
      <c r="U579" s="3531"/>
      <c r="V579" s="3531">
        <v>10</v>
      </c>
      <c r="W579" s="3531" t="s">
        <v>5665</v>
      </c>
      <c r="X579" s="2030" t="s">
        <v>5666</v>
      </c>
      <c r="Y579" s="3110">
        <f t="shared" si="196"/>
        <v>15000</v>
      </c>
      <c r="Z579" s="2137">
        <f t="shared" si="197"/>
        <v>15000000</v>
      </c>
      <c r="AA579" s="2075"/>
      <c r="AB579" s="2075"/>
      <c r="AC579" s="2075"/>
    </row>
    <row r="580" spans="1:29" s="1842" customFormat="1" ht="22.5" customHeight="1">
      <c r="A580" s="481"/>
      <c r="B580" s="2013"/>
      <c r="C580" s="2075"/>
      <c r="D580" s="548"/>
      <c r="E580" s="2023"/>
      <c r="F580" s="526"/>
      <c r="G580" s="2326"/>
      <c r="H580" s="551"/>
      <c r="I580" s="543"/>
      <c r="J580" s="3530" t="s">
        <v>5669</v>
      </c>
      <c r="K580" s="3527"/>
      <c r="L580" s="3527"/>
      <c r="M580" s="3527"/>
      <c r="N580" s="3527"/>
      <c r="O580" s="3527"/>
      <c r="P580" s="3527"/>
      <c r="Q580" s="556"/>
      <c r="R580" s="3516"/>
      <c r="S580" s="3108">
        <v>32000000</v>
      </c>
      <c r="T580" s="3531" t="s">
        <v>0</v>
      </c>
      <c r="U580" s="3531"/>
      <c r="V580" s="3531">
        <v>1</v>
      </c>
      <c r="W580" s="3531" t="s">
        <v>5670</v>
      </c>
      <c r="X580" s="2030" t="s">
        <v>5666</v>
      </c>
      <c r="Y580" s="3110">
        <f>(Z580)/1000</f>
        <v>32000</v>
      </c>
      <c r="Z580" s="2137">
        <f t="shared" si="197"/>
        <v>32000000</v>
      </c>
      <c r="AA580" s="2075"/>
      <c r="AB580" s="2075"/>
      <c r="AC580" s="2075"/>
    </row>
    <row r="581" spans="1:29" s="1842" customFormat="1" ht="22.5" customHeight="1">
      <c r="A581" s="481"/>
      <c r="B581" s="2013"/>
      <c r="C581" s="2075"/>
      <c r="D581" s="548"/>
      <c r="E581" s="2023"/>
      <c r="F581" s="526"/>
      <c r="G581" s="2326"/>
      <c r="H581" s="551"/>
      <c r="I581" s="543"/>
      <c r="J581" s="3530" t="s">
        <v>5671</v>
      </c>
      <c r="K581" s="3527"/>
      <c r="L581" s="3527"/>
      <c r="M581" s="3527"/>
      <c r="N581" s="3527"/>
      <c r="O581" s="3527"/>
      <c r="P581" s="3527"/>
      <c r="Q581" s="556"/>
      <c r="R581" s="3516"/>
      <c r="S581" s="3108">
        <v>30000000</v>
      </c>
      <c r="T581" s="3531" t="s">
        <v>0</v>
      </c>
      <c r="U581" s="3531"/>
      <c r="V581" s="3531">
        <v>1</v>
      </c>
      <c r="W581" s="3531" t="s">
        <v>5670</v>
      </c>
      <c r="X581" s="2030" t="s">
        <v>5666</v>
      </c>
      <c r="Y581" s="3110">
        <f t="shared" si="196"/>
        <v>30000</v>
      </c>
      <c r="Z581" s="2137">
        <f t="shared" si="197"/>
        <v>30000000</v>
      </c>
      <c r="AA581" s="2075"/>
      <c r="AB581" s="2075"/>
      <c r="AC581" s="2075"/>
    </row>
    <row r="582" spans="1:29" s="1842" customFormat="1" ht="22.5" customHeight="1">
      <c r="A582" s="481"/>
      <c r="B582" s="2013"/>
      <c r="C582" s="2075"/>
      <c r="D582" s="548"/>
      <c r="E582" s="2023"/>
      <c r="F582" s="526"/>
      <c r="G582" s="2326"/>
      <c r="H582" s="551"/>
      <c r="I582" s="543"/>
      <c r="J582" s="3530" t="s">
        <v>5672</v>
      </c>
      <c r="K582" s="3527"/>
      <c r="L582" s="3527"/>
      <c r="M582" s="3527"/>
      <c r="N582" s="3527"/>
      <c r="O582" s="3527"/>
      <c r="P582" s="3527"/>
      <c r="Q582" s="556"/>
      <c r="R582" s="3516"/>
      <c r="S582" s="3108">
        <v>20000000</v>
      </c>
      <c r="T582" s="3531" t="s">
        <v>0</v>
      </c>
      <c r="U582" s="3531"/>
      <c r="V582" s="3531">
        <v>1</v>
      </c>
      <c r="W582" s="3531" t="s">
        <v>5670</v>
      </c>
      <c r="X582" s="2030" t="s">
        <v>5666</v>
      </c>
      <c r="Y582" s="3110">
        <f t="shared" si="196"/>
        <v>20000</v>
      </c>
      <c r="Z582" s="2137">
        <f t="shared" si="197"/>
        <v>20000000</v>
      </c>
      <c r="AA582" s="2075"/>
      <c r="AB582" s="2075"/>
      <c r="AC582" s="2075"/>
    </row>
    <row r="583" spans="1:29" s="1842" customFormat="1" ht="22.5" customHeight="1">
      <c r="A583" s="481"/>
      <c r="B583" s="2013"/>
      <c r="C583" s="2075"/>
      <c r="D583" s="548"/>
      <c r="E583" s="2023"/>
      <c r="F583" s="526"/>
      <c r="G583" s="2326"/>
      <c r="H583" s="551"/>
      <c r="I583" s="543"/>
      <c r="J583" s="3530" t="s">
        <v>5673</v>
      </c>
      <c r="K583" s="3527"/>
      <c r="L583" s="3527"/>
      <c r="M583" s="3527"/>
      <c r="N583" s="3527"/>
      <c r="O583" s="3527"/>
      <c r="P583" s="3527"/>
      <c r="Q583" s="556"/>
      <c r="R583" s="3516"/>
      <c r="S583" s="3108">
        <v>8000000</v>
      </c>
      <c r="T583" s="3531" t="s">
        <v>0</v>
      </c>
      <c r="U583" s="3531"/>
      <c r="V583" s="3531">
        <v>1</v>
      </c>
      <c r="W583" s="3531" t="s">
        <v>5670</v>
      </c>
      <c r="X583" s="2030" t="s">
        <v>5666</v>
      </c>
      <c r="Y583" s="3110">
        <f t="shared" si="196"/>
        <v>8000</v>
      </c>
      <c r="Z583" s="2137">
        <f t="shared" si="197"/>
        <v>8000000</v>
      </c>
      <c r="AA583" s="2075"/>
      <c r="AB583" s="2075"/>
      <c r="AC583" s="2075"/>
    </row>
    <row r="584" spans="1:29" s="1842" customFormat="1" ht="22.5" customHeight="1">
      <c r="A584" s="481"/>
      <c r="B584" s="2013"/>
      <c r="C584" s="2075"/>
      <c r="D584" s="548"/>
      <c r="E584" s="2023"/>
      <c r="F584" s="526"/>
      <c r="G584" s="2326"/>
      <c r="H584" s="551"/>
      <c r="I584" s="543"/>
      <c r="J584" s="3530" t="s">
        <v>5674</v>
      </c>
      <c r="K584" s="3527"/>
      <c r="L584" s="3527"/>
      <c r="M584" s="3527"/>
      <c r="N584" s="3527"/>
      <c r="O584" s="3527"/>
      <c r="P584" s="3527"/>
      <c r="Q584" s="556"/>
      <c r="R584" s="3516"/>
      <c r="S584" s="3108">
        <v>18000000</v>
      </c>
      <c r="T584" s="3531" t="s">
        <v>0</v>
      </c>
      <c r="U584" s="3531"/>
      <c r="V584" s="3531">
        <v>1</v>
      </c>
      <c r="W584" s="3531" t="s">
        <v>5670</v>
      </c>
      <c r="X584" s="2030" t="s">
        <v>5666</v>
      </c>
      <c r="Y584" s="3110">
        <f t="shared" si="196"/>
        <v>18000</v>
      </c>
      <c r="Z584" s="2137">
        <f t="shared" si="197"/>
        <v>18000000</v>
      </c>
      <c r="AA584" s="2075"/>
      <c r="AB584" s="2075"/>
      <c r="AC584" s="2075"/>
    </row>
    <row r="585" spans="1:29" s="1842" customFormat="1" ht="22.5" customHeight="1">
      <c r="A585" s="481"/>
      <c r="B585" s="2013"/>
      <c r="C585" s="2075"/>
      <c r="D585" s="548"/>
      <c r="E585" s="2023"/>
      <c r="F585" s="526"/>
      <c r="G585" s="2326"/>
      <c r="H585" s="551"/>
      <c r="I585" s="543"/>
      <c r="J585" s="3530" t="s">
        <v>5675</v>
      </c>
      <c r="K585" s="3527"/>
      <c r="L585" s="3527"/>
      <c r="M585" s="3527"/>
      <c r="N585" s="3527"/>
      <c r="O585" s="3527"/>
      <c r="P585" s="3527"/>
      <c r="Q585" s="556"/>
      <c r="R585" s="3516"/>
      <c r="S585" s="3108">
        <v>8000000</v>
      </c>
      <c r="T585" s="3531" t="s">
        <v>0</v>
      </c>
      <c r="U585" s="3531"/>
      <c r="V585" s="3531">
        <v>1</v>
      </c>
      <c r="W585" s="3531" t="s">
        <v>5670</v>
      </c>
      <c r="X585" s="2030" t="s">
        <v>5666</v>
      </c>
      <c r="Y585" s="3110">
        <f t="shared" si="196"/>
        <v>8000</v>
      </c>
      <c r="Z585" s="2137">
        <f t="shared" si="197"/>
        <v>8000000</v>
      </c>
      <c r="AA585" s="2075"/>
      <c r="AB585" s="2075"/>
      <c r="AC585" s="2075"/>
    </row>
    <row r="586" spans="1:29" s="1842" customFormat="1" ht="22.5" customHeight="1">
      <c r="A586" s="481"/>
      <c r="B586" s="2013"/>
      <c r="C586" s="2075"/>
      <c r="D586" s="548"/>
      <c r="E586" s="2023"/>
      <c r="F586" s="526"/>
      <c r="G586" s="2326"/>
      <c r="H586" s="551"/>
      <c r="I586" s="543"/>
      <c r="J586" s="3530" t="s">
        <v>5676</v>
      </c>
      <c r="K586" s="3527"/>
      <c r="L586" s="3527"/>
      <c r="M586" s="3527"/>
      <c r="N586" s="3527"/>
      <c r="O586" s="3527"/>
      <c r="P586" s="3527"/>
      <c r="Q586" s="556"/>
      <c r="R586" s="3516"/>
      <c r="S586" s="3108">
        <v>5000000</v>
      </c>
      <c r="T586" s="3531" t="s">
        <v>0</v>
      </c>
      <c r="U586" s="3531"/>
      <c r="V586" s="3531">
        <v>1</v>
      </c>
      <c r="W586" s="3531" t="s">
        <v>5670</v>
      </c>
      <c r="X586" s="2030" t="s">
        <v>5666</v>
      </c>
      <c r="Y586" s="3110">
        <f t="shared" si="196"/>
        <v>5000</v>
      </c>
      <c r="Z586" s="2137">
        <f t="shared" si="197"/>
        <v>5000000</v>
      </c>
      <c r="AA586" s="2075"/>
      <c r="AB586" s="2075"/>
      <c r="AC586" s="2075"/>
    </row>
    <row r="587" spans="1:29" s="1842" customFormat="1" ht="22.5" customHeight="1">
      <c r="A587" s="481"/>
      <c r="B587" s="2013"/>
      <c r="C587" s="2075"/>
      <c r="D587" s="548"/>
      <c r="E587" s="2023"/>
      <c r="F587" s="526"/>
      <c r="G587" s="2326"/>
      <c r="H587" s="551"/>
      <c r="I587" s="543"/>
      <c r="J587" s="3530" t="s">
        <v>5677</v>
      </c>
      <c r="K587" s="3527"/>
      <c r="L587" s="3527"/>
      <c r="M587" s="3527"/>
      <c r="N587" s="3527"/>
      <c r="O587" s="3527"/>
      <c r="P587" s="3527"/>
      <c r="Q587" s="556"/>
      <c r="R587" s="3516"/>
      <c r="S587" s="3108">
        <v>15000000</v>
      </c>
      <c r="T587" s="3531" t="s">
        <v>0</v>
      </c>
      <c r="U587" s="3531"/>
      <c r="V587" s="3531">
        <v>1</v>
      </c>
      <c r="W587" s="3531" t="s">
        <v>5670</v>
      </c>
      <c r="X587" s="2030" t="s">
        <v>5666</v>
      </c>
      <c r="Y587" s="3110">
        <f t="shared" si="196"/>
        <v>15000</v>
      </c>
      <c r="Z587" s="2137">
        <f t="shared" si="197"/>
        <v>15000000</v>
      </c>
      <c r="AA587" s="2075"/>
      <c r="AB587" s="2075"/>
      <c r="AC587" s="2075"/>
    </row>
    <row r="588" spans="1:29" s="1842" customFormat="1" ht="22.5" customHeight="1">
      <c r="A588" s="481"/>
      <c r="B588" s="2013"/>
      <c r="C588" s="2075"/>
      <c r="D588" s="2050"/>
      <c r="E588" s="2023" t="s">
        <v>671</v>
      </c>
      <c r="F588" s="526">
        <f>Y588</f>
        <v>14500</v>
      </c>
      <c r="G588" s="1918">
        <v>9500</v>
      </c>
      <c r="H588" s="551">
        <f>F588-G588</f>
        <v>5000</v>
      </c>
      <c r="I588" s="543"/>
      <c r="J588" s="3530" t="s">
        <v>5662</v>
      </c>
      <c r="K588" s="3527"/>
      <c r="L588" s="3527"/>
      <c r="M588" s="3527"/>
      <c r="N588" s="3527"/>
      <c r="O588" s="3527"/>
      <c r="P588" s="3527"/>
      <c r="Q588" s="556"/>
      <c r="R588" s="3516"/>
      <c r="S588" s="3108"/>
      <c r="T588" s="3531"/>
      <c r="U588" s="3531"/>
      <c r="V588" s="3531"/>
      <c r="W588" s="3531"/>
      <c r="X588" s="2030"/>
      <c r="Y588" s="3110">
        <f t="shared" si="196"/>
        <v>14500</v>
      </c>
      <c r="Z588" s="1729">
        <f>SUM(Z589:Z592)</f>
        <v>14500000</v>
      </c>
      <c r="AA588" s="2075"/>
      <c r="AB588" s="2075"/>
      <c r="AC588" s="2075"/>
    </row>
    <row r="589" spans="1:29" s="1842" customFormat="1" ht="22.5" customHeight="1">
      <c r="A589" s="481"/>
      <c r="B589" s="2013"/>
      <c r="C589" s="2075"/>
      <c r="D589" s="2050"/>
      <c r="E589" s="2023"/>
      <c r="F589" s="526"/>
      <c r="G589" s="1918"/>
      <c r="H589" s="551"/>
      <c r="I589" s="543"/>
      <c r="J589" s="3530" t="s">
        <v>5692</v>
      </c>
      <c r="K589" s="3527"/>
      <c r="L589" s="3527"/>
      <c r="M589" s="3527"/>
      <c r="N589" s="3527"/>
      <c r="O589" s="3527"/>
      <c r="P589" s="3527"/>
      <c r="Q589" s="556">
        <v>1</v>
      </c>
      <c r="R589" s="3516" t="s">
        <v>5693</v>
      </c>
      <c r="S589" s="3108">
        <v>500000</v>
      </c>
      <c r="T589" s="3531" t="s">
        <v>0</v>
      </c>
      <c r="U589" s="3531"/>
      <c r="V589" s="3531">
        <v>10</v>
      </c>
      <c r="W589" s="3531" t="s">
        <v>5694</v>
      </c>
      <c r="X589" s="2030" t="s">
        <v>5666</v>
      </c>
      <c r="Y589" s="3110">
        <f t="shared" si="196"/>
        <v>5000</v>
      </c>
      <c r="Z589" s="1729">
        <f>Q589*S589*V589</f>
        <v>5000000</v>
      </c>
      <c r="AA589" s="2075"/>
      <c r="AB589" s="2075"/>
      <c r="AC589" s="2075"/>
    </row>
    <row r="590" spans="1:29" s="1842" customFormat="1" ht="22.5" customHeight="1">
      <c r="A590" s="481"/>
      <c r="B590" s="2013"/>
      <c r="C590" s="2075"/>
      <c r="D590" s="2050"/>
      <c r="E590" s="2023"/>
      <c r="F590" s="526"/>
      <c r="G590" s="1918"/>
      <c r="H590" s="551"/>
      <c r="I590" s="543"/>
      <c r="J590" s="3530" t="s">
        <v>5695</v>
      </c>
      <c r="K590" s="3527"/>
      <c r="L590" s="3527"/>
      <c r="M590" s="3527"/>
      <c r="N590" s="3527"/>
      <c r="O590" s="3527"/>
      <c r="P590" s="3527"/>
      <c r="Q590" s="556">
        <v>2</v>
      </c>
      <c r="R590" s="3516" t="s">
        <v>5693</v>
      </c>
      <c r="S590" s="3108">
        <v>500000</v>
      </c>
      <c r="T590" s="3531" t="s">
        <v>0</v>
      </c>
      <c r="U590" s="3531"/>
      <c r="V590" s="3531">
        <v>3</v>
      </c>
      <c r="W590" s="3531" t="s">
        <v>5691</v>
      </c>
      <c r="X590" s="2030" t="s">
        <v>5666</v>
      </c>
      <c r="Y590" s="3110">
        <f t="shared" si="196"/>
        <v>3000</v>
      </c>
      <c r="Z590" s="1729">
        <f>Q590*S590*V590</f>
        <v>3000000</v>
      </c>
      <c r="AA590" s="2075"/>
      <c r="AB590" s="2075"/>
      <c r="AC590" s="2075"/>
    </row>
    <row r="591" spans="1:29" s="1842" customFormat="1" ht="22.5" customHeight="1">
      <c r="A591" s="481"/>
      <c r="B591" s="2013"/>
      <c r="C591" s="2075"/>
      <c r="D591" s="2050"/>
      <c r="E591" s="2023"/>
      <c r="F591" s="526"/>
      <c r="G591" s="1918"/>
      <c r="H591" s="551"/>
      <c r="I591" s="543"/>
      <c r="J591" s="3530" t="s">
        <v>5696</v>
      </c>
      <c r="K591" s="3527"/>
      <c r="L591" s="3527"/>
      <c r="M591" s="3527"/>
      <c r="N591" s="3527"/>
      <c r="O591" s="3527"/>
      <c r="P591" s="3527"/>
      <c r="Q591" s="556"/>
      <c r="R591" s="3516"/>
      <c r="S591" s="3108">
        <v>1500000</v>
      </c>
      <c r="T591" s="3531" t="s">
        <v>0</v>
      </c>
      <c r="U591" s="3531"/>
      <c r="V591" s="3531">
        <v>1</v>
      </c>
      <c r="W591" s="3531" t="s">
        <v>5697</v>
      </c>
      <c r="X591" s="2030" t="s">
        <v>5666</v>
      </c>
      <c r="Y591" s="3110">
        <f>(Z591)/1000</f>
        <v>1500</v>
      </c>
      <c r="Z591" s="2137">
        <f t="shared" ref="Z591" si="198">+S591*V591</f>
        <v>1500000</v>
      </c>
      <c r="AA591" s="2075"/>
      <c r="AB591" s="2075"/>
      <c r="AC591" s="2075"/>
    </row>
    <row r="592" spans="1:29" s="1842" customFormat="1" ht="22.5" customHeight="1">
      <c r="A592" s="481"/>
      <c r="B592" s="2013"/>
      <c r="C592" s="2075"/>
      <c r="D592" s="2050"/>
      <c r="E592" s="2023"/>
      <c r="F592" s="526"/>
      <c r="G592" s="1918"/>
      <c r="H592" s="551"/>
      <c r="I592" s="543"/>
      <c r="J592" s="3530" t="s">
        <v>5698</v>
      </c>
      <c r="K592" s="3527"/>
      <c r="L592" s="3527"/>
      <c r="M592" s="3527"/>
      <c r="N592" s="3527"/>
      <c r="O592" s="3527"/>
      <c r="P592" s="3527"/>
      <c r="Q592" s="556">
        <v>1</v>
      </c>
      <c r="R592" s="3516" t="s">
        <v>5664</v>
      </c>
      <c r="S592" s="3108">
        <v>5000000</v>
      </c>
      <c r="T592" s="3531" t="s">
        <v>5684</v>
      </c>
      <c r="U592" s="3531"/>
      <c r="V592" s="3531"/>
      <c r="W592" s="3531"/>
      <c r="X592" s="2030" t="s">
        <v>5666</v>
      </c>
      <c r="Y592" s="3110">
        <f>(Z592)/1000</f>
        <v>5000</v>
      </c>
      <c r="Z592" s="2137">
        <f>+Q592*S592</f>
        <v>5000000</v>
      </c>
      <c r="AA592" s="2075"/>
      <c r="AB592" s="2075"/>
      <c r="AC592" s="2075"/>
    </row>
    <row r="593" spans="1:30" s="1842" customFormat="1" ht="22.5" customHeight="1">
      <c r="A593" s="481"/>
      <c r="B593" s="2013"/>
      <c r="C593" s="2075"/>
      <c r="D593" s="2050"/>
      <c r="E593" s="2023" t="s">
        <v>850</v>
      </c>
      <c r="F593" s="526">
        <f>Y593</f>
        <v>500</v>
      </c>
      <c r="G593" s="1918">
        <v>500</v>
      </c>
      <c r="H593" s="551"/>
      <c r="I593" s="543"/>
      <c r="J593" s="3530" t="s">
        <v>1704</v>
      </c>
      <c r="K593" s="3107"/>
      <c r="L593" s="3107"/>
      <c r="M593" s="3107"/>
      <c r="N593" s="3108"/>
      <c r="O593" s="3108"/>
      <c r="P593" s="3107"/>
      <c r="Q593" s="556"/>
      <c r="R593" s="3516"/>
      <c r="S593" s="3107">
        <v>50000</v>
      </c>
      <c r="T593" s="3107" t="s">
        <v>0</v>
      </c>
      <c r="U593" s="3107"/>
      <c r="V593" s="3107">
        <v>10</v>
      </c>
      <c r="W593" s="3107" t="s">
        <v>657</v>
      </c>
      <c r="X593" s="542" t="s">
        <v>1</v>
      </c>
      <c r="Y593" s="3110">
        <f>+Z593/1000</f>
        <v>500</v>
      </c>
      <c r="Z593" s="489">
        <f>S593*V593</f>
        <v>500000</v>
      </c>
      <c r="AA593" s="2075"/>
      <c r="AB593" s="2075"/>
      <c r="AC593" s="2075"/>
    </row>
    <row r="594" spans="1:30" s="425" customFormat="1" ht="22.5" customHeight="1">
      <c r="A594" s="2373"/>
      <c r="B594" s="2035"/>
      <c r="C594" s="649"/>
      <c r="D594" s="659"/>
      <c r="E594" s="660" t="s">
        <v>591</v>
      </c>
      <c r="F594" s="653">
        <f>Y594</f>
        <v>46600</v>
      </c>
      <c r="G594" s="653">
        <v>22100</v>
      </c>
      <c r="H594" s="2037">
        <f>F594-G594</f>
        <v>24500</v>
      </c>
      <c r="I594" s="2014"/>
      <c r="J594" s="3530" t="s">
        <v>5662</v>
      </c>
      <c r="K594" s="2075"/>
      <c r="L594" s="2075"/>
      <c r="M594" s="2075"/>
      <c r="N594" s="2075"/>
      <c r="O594" s="2075"/>
      <c r="P594" s="2016"/>
      <c r="Q594" s="511"/>
      <c r="R594" s="3527"/>
      <c r="S594" s="2329"/>
      <c r="T594" s="477"/>
      <c r="U594" s="3119"/>
      <c r="V594" s="511"/>
      <c r="W594" s="3527"/>
      <c r="X594" s="2030"/>
      <c r="Y594" s="554">
        <f t="shared" ref="Y594" si="199">Z594/1000</f>
        <v>46600</v>
      </c>
      <c r="Z594" s="1139">
        <f>SUM(Z595:Z599)</f>
        <v>46600000</v>
      </c>
      <c r="AA594" s="308"/>
      <c r="AB594" s="491"/>
      <c r="AC594" s="491"/>
    </row>
    <row r="595" spans="1:30" s="425" customFormat="1" ht="22.5" customHeight="1">
      <c r="A595" s="2079"/>
      <c r="B595" s="2035"/>
      <c r="C595" s="649"/>
      <c r="D595" s="659"/>
      <c r="E595" s="662"/>
      <c r="F595" s="653"/>
      <c r="G595" s="653"/>
      <c r="H595" s="2037"/>
      <c r="I595" s="2014"/>
      <c r="J595" s="3530" t="s">
        <v>5699</v>
      </c>
      <c r="K595" s="2075"/>
      <c r="L595" s="2075"/>
      <c r="M595" s="2075"/>
      <c r="N595" s="2075"/>
      <c r="O595" s="2075"/>
      <c r="P595" s="2016"/>
      <c r="Q595" s="511"/>
      <c r="R595" s="3527"/>
      <c r="S595" s="656">
        <v>30000</v>
      </c>
      <c r="T595" s="477" t="s">
        <v>5700</v>
      </c>
      <c r="U595" s="3119"/>
      <c r="V595" s="656">
        <v>1000</v>
      </c>
      <c r="W595" s="3527" t="s">
        <v>5701</v>
      </c>
      <c r="X595" s="2030" t="s">
        <v>5666</v>
      </c>
      <c r="Y595" s="554">
        <f>Z595/1000</f>
        <v>30000</v>
      </c>
      <c r="Z595" s="1729">
        <f>S595*V595</f>
        <v>30000000</v>
      </c>
      <c r="AA595" s="308"/>
      <c r="AB595" s="491"/>
      <c r="AC595" s="491"/>
    </row>
    <row r="596" spans="1:30" s="425" customFormat="1" ht="22.5" customHeight="1">
      <c r="A596" s="2373"/>
      <c r="B596" s="2035"/>
      <c r="C596" s="649"/>
      <c r="D596" s="659"/>
      <c r="E596" s="660"/>
      <c r="F596" s="653"/>
      <c r="G596" s="653"/>
      <c r="H596" s="2037"/>
      <c r="I596" s="2014"/>
      <c r="J596" s="3530" t="s">
        <v>5702</v>
      </c>
      <c r="K596" s="2075"/>
      <c r="L596" s="2075"/>
      <c r="M596" s="2075"/>
      <c r="N596" s="2075"/>
      <c r="O596" s="2075"/>
      <c r="P596" s="2016"/>
      <c r="Q596" s="511"/>
      <c r="R596" s="3527"/>
      <c r="S596" s="3108">
        <v>5000000</v>
      </c>
      <c r="T596" s="477" t="s">
        <v>5700</v>
      </c>
      <c r="U596" s="3119"/>
      <c r="V596" s="656">
        <v>1</v>
      </c>
      <c r="W596" s="3527" t="s">
        <v>5701</v>
      </c>
      <c r="X596" s="2030" t="s">
        <v>5666</v>
      </c>
      <c r="Y596" s="554">
        <f>Z596/1000</f>
        <v>5000</v>
      </c>
      <c r="Z596" s="1729">
        <f>S596*V596</f>
        <v>5000000</v>
      </c>
      <c r="AA596" s="308"/>
      <c r="AB596" s="491"/>
      <c r="AC596" s="491"/>
    </row>
    <row r="597" spans="1:30" s="425" customFormat="1" ht="22.5" customHeight="1">
      <c r="A597" s="2373"/>
      <c r="B597" s="2035"/>
      <c r="C597" s="592"/>
      <c r="D597" s="659"/>
      <c r="E597" s="660"/>
      <c r="F597" s="653"/>
      <c r="G597" s="653"/>
      <c r="H597" s="2037"/>
      <c r="I597" s="3119"/>
      <c r="J597" s="3530" t="s">
        <v>5703</v>
      </c>
      <c r="K597" s="2075"/>
      <c r="L597" s="2075"/>
      <c r="M597" s="2075"/>
      <c r="N597" s="2075"/>
      <c r="O597" s="2075"/>
      <c r="P597" s="2016"/>
      <c r="Q597" s="511"/>
      <c r="R597" s="657"/>
      <c r="S597" s="3531">
        <v>2000000</v>
      </c>
      <c r="T597" s="477" t="s">
        <v>56</v>
      </c>
      <c r="U597" s="3119"/>
      <c r="V597" s="656">
        <v>3</v>
      </c>
      <c r="W597" s="3527" t="s">
        <v>5691</v>
      </c>
      <c r="X597" s="2030" t="s">
        <v>1</v>
      </c>
      <c r="Y597" s="554">
        <f t="shared" ref="Y597" si="200">Z597/1000</f>
        <v>6000</v>
      </c>
      <c r="Z597" s="1729">
        <f>S597*V597</f>
        <v>6000000</v>
      </c>
      <c r="AA597" s="308"/>
      <c r="AB597" s="491"/>
      <c r="AC597" s="491"/>
    </row>
    <row r="598" spans="1:30" s="425" customFormat="1" ht="22.5" customHeight="1">
      <c r="A598" s="2079"/>
      <c r="B598" s="2035"/>
      <c r="C598" s="649"/>
      <c r="D598" s="659"/>
      <c r="E598" s="662"/>
      <c r="F598" s="653"/>
      <c r="G598" s="653"/>
      <c r="H598" s="2037"/>
      <c r="I598" s="2014"/>
      <c r="J598" s="3530" t="s">
        <v>5704</v>
      </c>
      <c r="K598" s="2075"/>
      <c r="L598" s="2075"/>
      <c r="M598" s="2075"/>
      <c r="N598" s="2075"/>
      <c r="O598" s="2075"/>
      <c r="P598" s="2016"/>
      <c r="Q598" s="3531">
        <v>20</v>
      </c>
      <c r="R598" s="3531" t="s">
        <v>5683</v>
      </c>
      <c r="S598" s="3531">
        <v>25000</v>
      </c>
      <c r="T598" s="3531" t="s">
        <v>5684</v>
      </c>
      <c r="U598" s="3531"/>
      <c r="V598" s="3531">
        <v>10</v>
      </c>
      <c r="W598" s="3531" t="s">
        <v>5688</v>
      </c>
      <c r="X598" s="2030" t="s">
        <v>5666</v>
      </c>
      <c r="Y598" s="3110">
        <f>Z598/1000</f>
        <v>5000</v>
      </c>
      <c r="Z598" s="1729">
        <f>Q598*S598*V598</f>
        <v>5000000</v>
      </c>
      <c r="AA598" s="308"/>
      <c r="AB598" s="491"/>
      <c r="AC598" s="491"/>
    </row>
    <row r="599" spans="1:30" s="425" customFormat="1" ht="22.5" customHeight="1">
      <c r="A599" s="2373"/>
      <c r="B599" s="2035"/>
      <c r="C599" s="649"/>
      <c r="D599" s="659"/>
      <c r="E599" s="660"/>
      <c r="F599" s="653"/>
      <c r="G599" s="653"/>
      <c r="H599" s="2037"/>
      <c r="I599" s="2014"/>
      <c r="J599" s="3530" t="s">
        <v>5705</v>
      </c>
      <c r="K599" s="2075"/>
      <c r="L599" s="2075"/>
      <c r="M599" s="2075"/>
      <c r="N599" s="2075"/>
      <c r="O599" s="2075"/>
      <c r="P599" s="2016"/>
      <c r="Q599" s="511"/>
      <c r="R599" s="657"/>
      <c r="S599" s="3108">
        <v>200000</v>
      </c>
      <c r="T599" s="477" t="s">
        <v>56</v>
      </c>
      <c r="U599" s="3119"/>
      <c r="V599" s="656">
        <v>3</v>
      </c>
      <c r="W599" s="3527" t="s">
        <v>5691</v>
      </c>
      <c r="X599" s="2030" t="s">
        <v>1</v>
      </c>
      <c r="Y599" s="554">
        <f t="shared" ref="Y599" si="201">Z599/1000</f>
        <v>600</v>
      </c>
      <c r="Z599" s="1729">
        <f>S599*V599</f>
        <v>600000</v>
      </c>
      <c r="AA599" s="308"/>
      <c r="AB599" s="491"/>
      <c r="AC599" s="491"/>
    </row>
    <row r="600" spans="1:30" s="1887" customFormat="1" ht="22.5" customHeight="1">
      <c r="A600" s="591"/>
      <c r="B600" s="592"/>
      <c r="C600" s="624"/>
      <c r="D600" s="2020"/>
      <c r="E600" s="2023" t="s">
        <v>14</v>
      </c>
      <c r="F600" s="526">
        <f>Y600</f>
        <v>3200</v>
      </c>
      <c r="G600" s="526">
        <v>3200</v>
      </c>
      <c r="H600" s="551"/>
      <c r="I600" s="557"/>
      <c r="J600" s="3530" t="s">
        <v>1471</v>
      </c>
      <c r="K600" s="3107"/>
      <c r="L600" s="3107"/>
      <c r="M600" s="3107"/>
      <c r="N600" s="3107"/>
      <c r="O600" s="3107"/>
      <c r="P600" s="3107"/>
      <c r="Q600" s="3531">
        <v>5</v>
      </c>
      <c r="R600" s="3531" t="s">
        <v>36</v>
      </c>
      <c r="S600" s="3531">
        <v>20000</v>
      </c>
      <c r="T600" s="3531" t="s">
        <v>4</v>
      </c>
      <c r="U600" s="3531"/>
      <c r="V600" s="3531">
        <v>32</v>
      </c>
      <c r="W600" s="3531" t="s">
        <v>39</v>
      </c>
      <c r="X600" s="2030" t="s">
        <v>5</v>
      </c>
      <c r="Y600" s="3110">
        <f t="shared" ref="Y600" si="202">Z600/1000</f>
        <v>3200</v>
      </c>
      <c r="Z600" s="555">
        <f>Q600*S600*V600</f>
        <v>3200000</v>
      </c>
      <c r="AA600" s="547"/>
      <c r="AB600" s="1891"/>
      <c r="AC600" s="1895"/>
      <c r="AD600" s="456"/>
    </row>
    <row r="601" spans="1:30" s="1874" customFormat="1" ht="22.5" customHeight="1">
      <c r="A601" s="591"/>
      <c r="B601" s="624"/>
      <c r="C601" s="4109" t="s">
        <v>2001</v>
      </c>
      <c r="D601" s="4109"/>
      <c r="E601" s="4109"/>
      <c r="F601" s="825">
        <f>+F602+F619+F628</f>
        <v>450000</v>
      </c>
      <c r="G601" s="825">
        <f>+G602+G619+G628</f>
        <v>450000</v>
      </c>
      <c r="H601" s="627">
        <f t="shared" si="191"/>
        <v>0</v>
      </c>
      <c r="I601" s="557"/>
      <c r="J601" s="2025"/>
      <c r="K601" s="2068"/>
      <c r="L601" s="2068"/>
      <c r="M601" s="2068"/>
      <c r="N601" s="2068"/>
      <c r="O601" s="2068"/>
      <c r="P601" s="2068"/>
      <c r="Q601" s="2026"/>
      <c r="R601" s="2026"/>
      <c r="S601" s="2026"/>
      <c r="T601" s="2026"/>
      <c r="U601" s="2026"/>
      <c r="V601" s="2026"/>
      <c r="W601" s="2026"/>
      <c r="X601" s="2028"/>
      <c r="Y601" s="586"/>
      <c r="Z601" s="622"/>
      <c r="AA601" s="547"/>
      <c r="AB601" s="1891">
        <f>F601</f>
        <v>450000</v>
      </c>
      <c r="AC601" s="1895"/>
      <c r="AD601" s="456"/>
    </row>
    <row r="602" spans="1:30" s="1874" customFormat="1" ht="22.5" customHeight="1">
      <c r="A602" s="591"/>
      <c r="B602" s="563"/>
      <c r="C602" s="1319"/>
      <c r="D602" s="4115" t="s">
        <v>2002</v>
      </c>
      <c r="E602" s="4115"/>
      <c r="F602" s="598">
        <f>SUM(F603:F618)</f>
        <v>200000</v>
      </c>
      <c r="G602" s="598">
        <f>SUM(G603:G618)</f>
        <v>200000</v>
      </c>
      <c r="H602" s="627">
        <f t="shared" si="191"/>
        <v>0</v>
      </c>
      <c r="I602" s="557"/>
      <c r="J602" s="2025"/>
      <c r="K602" s="2068"/>
      <c r="L602" s="2068"/>
      <c r="M602" s="2068"/>
      <c r="N602" s="2068"/>
      <c r="O602" s="2068"/>
      <c r="P602" s="2068"/>
      <c r="Q602" s="2068"/>
      <c r="R602" s="539"/>
      <c r="S602" s="2026"/>
      <c r="T602" s="2026"/>
      <c r="U602" s="2026"/>
      <c r="V602" s="2026"/>
      <c r="W602" s="2026"/>
      <c r="X602" s="2028"/>
      <c r="Y602" s="586"/>
      <c r="Z602" s="622"/>
      <c r="AA602" s="547"/>
      <c r="AB602" s="1891"/>
      <c r="AC602" s="1895"/>
      <c r="AD602" s="456"/>
    </row>
    <row r="603" spans="1:30" s="1874" customFormat="1" ht="22.5" customHeight="1">
      <c r="A603" s="591"/>
      <c r="B603" s="548"/>
      <c r="C603" s="624"/>
      <c r="D603" s="2020"/>
      <c r="E603" s="602" t="s">
        <v>65</v>
      </c>
      <c r="F603" s="1883">
        <f>Y603</f>
        <v>31400</v>
      </c>
      <c r="G603" s="1883">
        <v>31400</v>
      </c>
      <c r="H603" s="1320"/>
      <c r="I603" s="557"/>
      <c r="J603" s="2105" t="s">
        <v>2103</v>
      </c>
      <c r="K603" s="2082"/>
      <c r="L603" s="2082"/>
      <c r="M603" s="2082"/>
      <c r="N603" s="2082"/>
      <c r="O603" s="2082"/>
      <c r="P603" s="2082"/>
      <c r="Q603" s="556">
        <v>2</v>
      </c>
      <c r="R603" s="2080" t="s">
        <v>36</v>
      </c>
      <c r="S603" s="2106">
        <v>1962500</v>
      </c>
      <c r="T603" s="2106" t="s">
        <v>4</v>
      </c>
      <c r="U603" s="2106"/>
      <c r="V603" s="2106">
        <v>8</v>
      </c>
      <c r="W603" s="2106" t="s">
        <v>774</v>
      </c>
      <c r="X603" s="2030" t="s">
        <v>21</v>
      </c>
      <c r="Y603" s="554">
        <f t="shared" ref="Y603" si="203">Z603/1000</f>
        <v>31400</v>
      </c>
      <c r="Z603" s="1898">
        <f>Q603*S603*V603</f>
        <v>31400000</v>
      </c>
      <c r="AA603" s="547"/>
      <c r="AB603" s="1891"/>
      <c r="AC603" s="1895"/>
      <c r="AD603" s="456"/>
    </row>
    <row r="604" spans="1:30" s="1874" customFormat="1" ht="22.5" customHeight="1">
      <c r="A604" s="591"/>
      <c r="B604" s="624"/>
      <c r="C604" s="624"/>
      <c r="D604" s="2020"/>
      <c r="E604" s="2023" t="s">
        <v>229</v>
      </c>
      <c r="F604" s="526">
        <f>Y604</f>
        <v>140000</v>
      </c>
      <c r="G604" s="526">
        <v>140000</v>
      </c>
      <c r="H604" s="551"/>
      <c r="I604" s="557"/>
      <c r="J604" s="2105" t="s">
        <v>224</v>
      </c>
      <c r="K604" s="2082"/>
      <c r="L604" s="2082"/>
      <c r="M604" s="2082"/>
      <c r="N604" s="2082"/>
      <c r="O604" s="2082"/>
      <c r="P604" s="2082"/>
      <c r="Q604" s="2082"/>
      <c r="R604" s="552"/>
      <c r="S604" s="2106"/>
      <c r="T604" s="2106"/>
      <c r="U604" s="2106"/>
      <c r="V604" s="2106"/>
      <c r="W604" s="2106"/>
      <c r="X604" s="2030"/>
      <c r="Y604" s="483">
        <f>SUM(Y605:Y606)</f>
        <v>140000</v>
      </c>
      <c r="Z604" s="1898">
        <f>SUM(Z605:Z606)</f>
        <v>140000000</v>
      </c>
      <c r="AA604" s="547"/>
      <c r="AB604" s="1891"/>
      <c r="AC604" s="1895"/>
      <c r="AD604" s="456"/>
    </row>
    <row r="605" spans="1:30" s="1874" customFormat="1" ht="22.5" customHeight="1">
      <c r="A605" s="591"/>
      <c r="B605" s="624"/>
      <c r="C605" s="624"/>
      <c r="D605" s="2020"/>
      <c r="E605" s="2023"/>
      <c r="F605" s="526"/>
      <c r="G605" s="526"/>
      <c r="H605" s="551"/>
      <c r="I605" s="557"/>
      <c r="J605" s="2105" t="s">
        <v>2104</v>
      </c>
      <c r="K605" s="2082"/>
      <c r="L605" s="2082"/>
      <c r="M605" s="2082"/>
      <c r="N605" s="2082"/>
      <c r="O605" s="2082"/>
      <c r="P605" s="2082"/>
      <c r="Q605" s="2082"/>
      <c r="R605" s="552"/>
      <c r="S605" s="2106">
        <v>5000</v>
      </c>
      <c r="T605" s="2106" t="s">
        <v>4</v>
      </c>
      <c r="U605" s="2106"/>
      <c r="V605" s="2106">
        <v>26000</v>
      </c>
      <c r="W605" s="2106" t="s">
        <v>254</v>
      </c>
      <c r="X605" s="2030" t="s">
        <v>5</v>
      </c>
      <c r="Y605" s="483">
        <f>Z605/1000</f>
        <v>130000</v>
      </c>
      <c r="Z605" s="1898">
        <f>S605*V605</f>
        <v>130000000</v>
      </c>
      <c r="AA605" s="547"/>
      <c r="AB605" s="1891"/>
      <c r="AC605" s="1895"/>
      <c r="AD605" s="456"/>
    </row>
    <row r="606" spans="1:30" s="1874" customFormat="1" ht="22.5" customHeight="1">
      <c r="A606" s="591"/>
      <c r="B606" s="624"/>
      <c r="C606" s="624"/>
      <c r="D606" s="2020"/>
      <c r="E606" s="2023"/>
      <c r="F606" s="526"/>
      <c r="G606" s="526"/>
      <c r="H606" s="551"/>
      <c r="I606" s="557"/>
      <c r="J606" s="2105" t="s">
        <v>2105</v>
      </c>
      <c r="K606" s="2082"/>
      <c r="L606" s="2082"/>
      <c r="M606" s="2082"/>
      <c r="N606" s="2082"/>
      <c r="O606" s="2082"/>
      <c r="P606" s="2082"/>
      <c r="Q606" s="2082"/>
      <c r="R606" s="552"/>
      <c r="S606" s="2106">
        <v>1000</v>
      </c>
      <c r="T606" s="2106" t="s">
        <v>4</v>
      </c>
      <c r="U606" s="2106"/>
      <c r="V606" s="2106">
        <v>10000</v>
      </c>
      <c r="W606" s="2106" t="s">
        <v>226</v>
      </c>
      <c r="X606" s="2030" t="s">
        <v>5</v>
      </c>
      <c r="Y606" s="483">
        <f>Z606/1000</f>
        <v>10000</v>
      </c>
      <c r="Z606" s="1898">
        <f>S606*V606</f>
        <v>10000000</v>
      </c>
      <c r="AA606" s="547"/>
      <c r="AB606" s="1891"/>
      <c r="AC606" s="1895"/>
      <c r="AD606" s="456"/>
    </row>
    <row r="607" spans="1:30" s="1874" customFormat="1" ht="22.5" customHeight="1">
      <c r="A607" s="591"/>
      <c r="B607" s="548"/>
      <c r="C607" s="624"/>
      <c r="D607" s="2020"/>
      <c r="E607" s="1885" t="s">
        <v>264</v>
      </c>
      <c r="F607" s="1886">
        <f>Y607</f>
        <v>100</v>
      </c>
      <c r="G607" s="1886">
        <v>100</v>
      </c>
      <c r="H607" s="551"/>
      <c r="I607" s="557"/>
      <c r="J607" s="2105" t="s">
        <v>784</v>
      </c>
      <c r="K607" s="2082"/>
      <c r="L607" s="2082"/>
      <c r="M607" s="2082"/>
      <c r="N607" s="2082"/>
      <c r="O607" s="2082"/>
      <c r="P607" s="2082"/>
      <c r="Q607" s="475" t="s">
        <v>770</v>
      </c>
      <c r="R607" s="552" t="s">
        <v>770</v>
      </c>
      <c r="S607" s="474">
        <v>100000</v>
      </c>
      <c r="T607" s="2106" t="s">
        <v>4</v>
      </c>
      <c r="U607" s="2106"/>
      <c r="V607" s="2106">
        <v>1</v>
      </c>
      <c r="W607" s="2106" t="s">
        <v>226</v>
      </c>
      <c r="X607" s="2030" t="s">
        <v>5</v>
      </c>
      <c r="Y607" s="554">
        <f>Z607/1000</f>
        <v>100</v>
      </c>
      <c r="Z607" s="555">
        <f>S607*V607</f>
        <v>100000</v>
      </c>
      <c r="AA607" s="547"/>
      <c r="AB607" s="1891"/>
      <c r="AC607" s="1895"/>
      <c r="AD607" s="456"/>
    </row>
    <row r="608" spans="1:30" s="1874" customFormat="1" ht="22.5" customHeight="1">
      <c r="A608" s="591"/>
      <c r="B608" s="548"/>
      <c r="C608" s="624"/>
      <c r="D608" s="2020"/>
      <c r="E608" s="2023" t="s">
        <v>225</v>
      </c>
      <c r="F608" s="549">
        <f>Y608</f>
        <v>1000</v>
      </c>
      <c r="G608" s="549">
        <v>1000</v>
      </c>
      <c r="H608" s="551"/>
      <c r="I608" s="557"/>
      <c r="J608" s="2105" t="s">
        <v>911</v>
      </c>
      <c r="K608" s="2082"/>
      <c r="L608" s="2082"/>
      <c r="M608" s="2082"/>
      <c r="N608" s="2082"/>
      <c r="O608" s="2082"/>
      <c r="P608" s="2082"/>
      <c r="Q608" s="2106">
        <v>1</v>
      </c>
      <c r="R608" s="2106" t="s">
        <v>36</v>
      </c>
      <c r="S608" s="2106">
        <v>100000</v>
      </c>
      <c r="T608" s="2106" t="s">
        <v>4</v>
      </c>
      <c r="U608" s="2106"/>
      <c r="V608" s="2106">
        <v>10</v>
      </c>
      <c r="W608" s="2106" t="s">
        <v>230</v>
      </c>
      <c r="X608" s="2030" t="s">
        <v>5</v>
      </c>
      <c r="Y608" s="554">
        <f t="shared" ref="Y608" si="204">Z608/1000</f>
        <v>1000</v>
      </c>
      <c r="Z608" s="555">
        <f>Q608*S608*V608</f>
        <v>1000000</v>
      </c>
      <c r="AA608" s="547"/>
      <c r="AB608" s="1891"/>
      <c r="AC608" s="1895"/>
      <c r="AD608" s="456"/>
    </row>
    <row r="609" spans="1:30" s="1874" customFormat="1" ht="22.5" customHeight="1">
      <c r="A609" s="591"/>
      <c r="B609" s="624"/>
      <c r="C609" s="624"/>
      <c r="D609" s="2020"/>
      <c r="E609" s="2034" t="s">
        <v>15</v>
      </c>
      <c r="F609" s="2720">
        <f>Y609</f>
        <v>19000</v>
      </c>
      <c r="G609" s="2720">
        <v>19000</v>
      </c>
      <c r="H609" s="551"/>
      <c r="I609" s="557"/>
      <c r="J609" s="2105" t="s">
        <v>224</v>
      </c>
      <c r="K609" s="2082"/>
      <c r="L609" s="2082"/>
      <c r="M609" s="2082"/>
      <c r="N609" s="2082"/>
      <c r="O609" s="2082"/>
      <c r="P609" s="2082"/>
      <c r="Q609" s="2082"/>
      <c r="R609" s="552"/>
      <c r="S609" s="474"/>
      <c r="T609" s="2106"/>
      <c r="U609" s="2106"/>
      <c r="V609" s="2106"/>
      <c r="W609" s="2106"/>
      <c r="X609" s="2030" t="s">
        <v>48</v>
      </c>
      <c r="Y609" s="483">
        <f t="shared" ref="Y609" si="205">+Z609/1000</f>
        <v>19000</v>
      </c>
      <c r="Z609" s="555">
        <f>SUM(Z610:Z613)</f>
        <v>19000000</v>
      </c>
      <c r="AA609" s="547"/>
      <c r="AB609" s="1891"/>
      <c r="AC609" s="1895"/>
      <c r="AD609" s="456"/>
    </row>
    <row r="610" spans="1:30" s="1874" customFormat="1" ht="22.5" customHeight="1">
      <c r="A610" s="591"/>
      <c r="B610" s="624"/>
      <c r="C610" s="624"/>
      <c r="D610" s="2020"/>
      <c r="E610" s="2034"/>
      <c r="F610" s="2720"/>
      <c r="G610" s="2720"/>
      <c r="H610" s="626"/>
      <c r="I610" s="557"/>
      <c r="J610" s="2105" t="s">
        <v>2106</v>
      </c>
      <c r="K610" s="2082"/>
      <c r="L610" s="2082"/>
      <c r="M610" s="2082"/>
      <c r="N610" s="2082"/>
      <c r="O610" s="2082"/>
      <c r="P610" s="2082"/>
      <c r="Q610" s="2106">
        <v>4</v>
      </c>
      <c r="R610" s="2106" t="s">
        <v>36</v>
      </c>
      <c r="S610" s="2106">
        <v>10000</v>
      </c>
      <c r="T610" s="2106" t="s">
        <v>4</v>
      </c>
      <c r="U610" s="2106"/>
      <c r="V610" s="2106">
        <v>300</v>
      </c>
      <c r="W610" s="2106" t="s">
        <v>646</v>
      </c>
      <c r="X610" s="2030" t="s">
        <v>5</v>
      </c>
      <c r="Y610" s="483">
        <f>Z610/1000</f>
        <v>12000</v>
      </c>
      <c r="Z610" s="555">
        <f>Q610*S610*V610</f>
        <v>12000000</v>
      </c>
      <c r="AA610" s="547"/>
      <c r="AB610" s="1891"/>
      <c r="AC610" s="1895"/>
      <c r="AD610" s="456"/>
    </row>
    <row r="611" spans="1:30" s="1874" customFormat="1" ht="22.5" customHeight="1">
      <c r="A611" s="591"/>
      <c r="B611" s="624"/>
      <c r="C611" s="624"/>
      <c r="D611" s="2020"/>
      <c r="E611" s="2034"/>
      <c r="F611" s="2720"/>
      <c r="G611" s="2720"/>
      <c r="H611" s="626"/>
      <c r="I611" s="557"/>
      <c r="J611" s="2105" t="s">
        <v>2107</v>
      </c>
      <c r="K611" s="2082"/>
      <c r="L611" s="2082"/>
      <c r="M611" s="2082"/>
      <c r="N611" s="2082"/>
      <c r="O611" s="2082"/>
      <c r="P611" s="2082"/>
      <c r="Q611" s="2106">
        <v>2</v>
      </c>
      <c r="R611" s="2106" t="s">
        <v>36</v>
      </c>
      <c r="S611" s="2106">
        <v>500000</v>
      </c>
      <c r="T611" s="2106" t="s">
        <v>4</v>
      </c>
      <c r="U611" s="2106"/>
      <c r="V611" s="2106">
        <v>3</v>
      </c>
      <c r="W611" s="2106" t="s">
        <v>233</v>
      </c>
      <c r="X611" s="2030" t="s">
        <v>5</v>
      </c>
      <c r="Y611" s="483">
        <f>Z611/1000</f>
        <v>3000</v>
      </c>
      <c r="Z611" s="555">
        <f>Q611*S611*V611</f>
        <v>3000000</v>
      </c>
      <c r="AA611" s="547"/>
      <c r="AB611" s="1891"/>
      <c r="AC611" s="1895"/>
      <c r="AD611" s="456"/>
    </row>
    <row r="612" spans="1:30" s="1874" customFormat="1" ht="22.5" customHeight="1">
      <c r="A612" s="591"/>
      <c r="B612" s="624"/>
      <c r="C612" s="624"/>
      <c r="D612" s="2020"/>
      <c r="E612" s="2034"/>
      <c r="F612" s="2720"/>
      <c r="G612" s="2720"/>
      <c r="H612" s="626"/>
      <c r="I612" s="557"/>
      <c r="J612" s="2105" t="s">
        <v>2108</v>
      </c>
      <c r="K612" s="2082"/>
      <c r="L612" s="2082"/>
      <c r="M612" s="2082"/>
      <c r="N612" s="2082"/>
      <c r="O612" s="2082"/>
      <c r="P612" s="2082"/>
      <c r="Q612" s="2106">
        <v>5</v>
      </c>
      <c r="R612" s="2106" t="s">
        <v>36</v>
      </c>
      <c r="S612" s="2106">
        <v>200000</v>
      </c>
      <c r="T612" s="2106" t="s">
        <v>4</v>
      </c>
      <c r="U612" s="2106"/>
      <c r="V612" s="2106">
        <v>2</v>
      </c>
      <c r="W612" s="2106" t="s">
        <v>233</v>
      </c>
      <c r="X612" s="2030" t="s">
        <v>5</v>
      </c>
      <c r="Y612" s="483">
        <f t="shared" ref="Y612" si="206">Z612/1000</f>
        <v>2000</v>
      </c>
      <c r="Z612" s="555">
        <f t="shared" ref="Z612" si="207">Q612*S612*V612</f>
        <v>2000000</v>
      </c>
      <c r="AA612" s="547"/>
      <c r="AB612" s="1891"/>
      <c r="AC612" s="1895"/>
      <c r="AD612" s="456"/>
    </row>
    <row r="613" spans="1:30" s="1874" customFormat="1" ht="22.5" customHeight="1">
      <c r="A613" s="591"/>
      <c r="B613" s="624"/>
      <c r="C613" s="624"/>
      <c r="D613" s="624"/>
      <c r="E613" s="1885"/>
      <c r="F613" s="2720"/>
      <c r="G613" s="2720"/>
      <c r="H613" s="626"/>
      <c r="I613" s="557"/>
      <c r="J613" s="2105" t="s">
        <v>2109</v>
      </c>
      <c r="K613" s="2082"/>
      <c r="L613" s="2082"/>
      <c r="M613" s="2082"/>
      <c r="N613" s="2082"/>
      <c r="O613" s="2082"/>
      <c r="P613" s="2082"/>
      <c r="Q613" s="2106">
        <v>5</v>
      </c>
      <c r="R613" s="2106" t="s">
        <v>36</v>
      </c>
      <c r="S613" s="2106">
        <v>200000</v>
      </c>
      <c r="T613" s="2106" t="s">
        <v>4</v>
      </c>
      <c r="U613" s="2106"/>
      <c r="V613" s="2106">
        <v>2</v>
      </c>
      <c r="W613" s="2106" t="s">
        <v>233</v>
      </c>
      <c r="X613" s="2030" t="s">
        <v>5</v>
      </c>
      <c r="Y613" s="483">
        <f t="shared" ref="Y613" si="208">Z613/1000</f>
        <v>2000</v>
      </c>
      <c r="Z613" s="555">
        <f t="shared" ref="Z613" si="209">Q613*S613*V613</f>
        <v>2000000</v>
      </c>
      <c r="AA613" s="547"/>
      <c r="AB613" s="1891"/>
      <c r="AC613" s="1895"/>
      <c r="AD613" s="456"/>
    </row>
    <row r="614" spans="1:30" s="1874" customFormat="1" ht="22.5" customHeight="1">
      <c r="A614" s="591"/>
      <c r="B614" s="548"/>
      <c r="C614" s="624"/>
      <c r="D614" s="2020"/>
      <c r="E614" s="2023" t="s">
        <v>551</v>
      </c>
      <c r="F614" s="549">
        <f>Y614</f>
        <v>3000</v>
      </c>
      <c r="G614" s="549">
        <v>3000</v>
      </c>
      <c r="H614" s="551"/>
      <c r="I614" s="557"/>
      <c r="J614" s="2105" t="s">
        <v>2113</v>
      </c>
      <c r="K614" s="2082"/>
      <c r="L614" s="2082"/>
      <c r="M614" s="2082"/>
      <c r="N614" s="2082"/>
      <c r="O614" s="2082"/>
      <c r="P614" s="2082"/>
      <c r="Q614" s="475" t="s">
        <v>770</v>
      </c>
      <c r="R614" s="552" t="s">
        <v>770</v>
      </c>
      <c r="S614" s="474">
        <v>3000000</v>
      </c>
      <c r="T614" s="2106" t="s">
        <v>4</v>
      </c>
      <c r="U614" s="2106"/>
      <c r="V614" s="2106">
        <v>1</v>
      </c>
      <c r="W614" s="2106" t="s">
        <v>226</v>
      </c>
      <c r="X614" s="2030" t="s">
        <v>5</v>
      </c>
      <c r="Y614" s="554">
        <f t="shared" ref="Y614" si="210">Z614/1000</f>
        <v>3000</v>
      </c>
      <c r="Z614" s="555">
        <f t="shared" ref="Z614" si="211">S614*V614</f>
        <v>3000000</v>
      </c>
      <c r="AA614" s="547"/>
      <c r="AB614" s="1891"/>
      <c r="AC614" s="1895"/>
      <c r="AD614" s="456"/>
    </row>
    <row r="615" spans="1:30" s="1874" customFormat="1" ht="22.5" customHeight="1">
      <c r="A615" s="591"/>
      <c r="B615" s="548"/>
      <c r="C615" s="624"/>
      <c r="D615" s="2020"/>
      <c r="E615" s="2023" t="s">
        <v>73</v>
      </c>
      <c r="F615" s="549">
        <f>Y615</f>
        <v>4000</v>
      </c>
      <c r="G615" s="549">
        <v>4000</v>
      </c>
      <c r="H615" s="551"/>
      <c r="I615" s="557"/>
      <c r="J615" s="2105" t="s">
        <v>224</v>
      </c>
      <c r="K615" s="2082"/>
      <c r="L615" s="2082"/>
      <c r="M615" s="2082"/>
      <c r="N615" s="2082"/>
      <c r="O615" s="2082"/>
      <c r="P615" s="2082"/>
      <c r="Q615" s="2082"/>
      <c r="R615" s="552"/>
      <c r="S615" s="474"/>
      <c r="T615" s="2106"/>
      <c r="U615" s="2106"/>
      <c r="V615" s="2106"/>
      <c r="W615" s="2106"/>
      <c r="X615" s="2030" t="s">
        <v>48</v>
      </c>
      <c r="Y615" s="483">
        <f t="shared" ref="Y615" si="212">+Z615/1000</f>
        <v>4000</v>
      </c>
      <c r="Z615" s="555">
        <f>SUM(Z616:Z617)</f>
        <v>4000000</v>
      </c>
      <c r="AA615" s="547"/>
      <c r="AB615" s="1891"/>
      <c r="AC615" s="1895"/>
      <c r="AD615" s="456"/>
    </row>
    <row r="616" spans="1:30" s="1874" customFormat="1" ht="22.5" customHeight="1">
      <c r="A616" s="591"/>
      <c r="B616" s="548"/>
      <c r="C616" s="624"/>
      <c r="D616" s="2020"/>
      <c r="E616" s="2023"/>
      <c r="F616" s="549"/>
      <c r="G616" s="549"/>
      <c r="H616" s="551"/>
      <c r="I616" s="557"/>
      <c r="J616" s="2105" t="s">
        <v>2110</v>
      </c>
      <c r="K616" s="2082"/>
      <c r="L616" s="2082"/>
      <c r="M616" s="2082"/>
      <c r="N616" s="2082"/>
      <c r="O616" s="2082"/>
      <c r="P616" s="2082"/>
      <c r="Q616" s="2106"/>
      <c r="R616" s="2106"/>
      <c r="S616" s="2106">
        <v>1000000</v>
      </c>
      <c r="T616" s="2106" t="s">
        <v>4</v>
      </c>
      <c r="U616" s="2106"/>
      <c r="V616" s="2106">
        <v>3</v>
      </c>
      <c r="W616" s="2106" t="s">
        <v>233</v>
      </c>
      <c r="X616" s="2030" t="s">
        <v>5</v>
      </c>
      <c r="Y616" s="483">
        <f>Z616/1000</f>
        <v>3000</v>
      </c>
      <c r="Z616" s="555">
        <f>S616*V616</f>
        <v>3000000</v>
      </c>
      <c r="AA616" s="547"/>
      <c r="AB616" s="1891"/>
      <c r="AC616" s="1895"/>
      <c r="AD616" s="456"/>
    </row>
    <row r="617" spans="1:30" s="1874" customFormat="1" ht="22.5" customHeight="1">
      <c r="A617" s="591"/>
      <c r="B617" s="548"/>
      <c r="C617" s="624"/>
      <c r="D617" s="2020"/>
      <c r="E617" s="2023"/>
      <c r="F617" s="549"/>
      <c r="G617" s="549"/>
      <c r="H617" s="551"/>
      <c r="I617" s="557"/>
      <c r="J617" s="2105" t="s">
        <v>2111</v>
      </c>
      <c r="K617" s="2082"/>
      <c r="L617" s="2082"/>
      <c r="M617" s="2082"/>
      <c r="N617" s="2082"/>
      <c r="O617" s="2082"/>
      <c r="P617" s="2082"/>
      <c r="Q617" s="2106"/>
      <c r="R617" s="2106"/>
      <c r="S617" s="2106">
        <v>500000</v>
      </c>
      <c r="T617" s="2106" t="s">
        <v>4</v>
      </c>
      <c r="U617" s="2106"/>
      <c r="V617" s="2106">
        <v>2</v>
      </c>
      <c r="W617" s="2106" t="s">
        <v>233</v>
      </c>
      <c r="X617" s="2030" t="s">
        <v>5</v>
      </c>
      <c r="Y617" s="483">
        <f>Z617/1000</f>
        <v>1000</v>
      </c>
      <c r="Z617" s="555">
        <f>S617*V617</f>
        <v>1000000</v>
      </c>
      <c r="AA617" s="547"/>
      <c r="AB617" s="1891"/>
      <c r="AC617" s="1895"/>
      <c r="AD617" s="456"/>
    </row>
    <row r="618" spans="1:30" s="1874" customFormat="1" ht="22.5" customHeight="1">
      <c r="A618" s="591"/>
      <c r="B618" s="592"/>
      <c r="C618" s="624"/>
      <c r="D618" s="2020"/>
      <c r="E618" s="2023" t="s">
        <v>14</v>
      </c>
      <c r="F618" s="526">
        <f>Y618</f>
        <v>1500</v>
      </c>
      <c r="G618" s="526">
        <v>1500</v>
      </c>
      <c r="H618" s="551"/>
      <c r="I618" s="557"/>
      <c r="J618" s="2105" t="s">
        <v>1471</v>
      </c>
      <c r="K618" s="473"/>
      <c r="L618" s="473"/>
      <c r="M618" s="473"/>
      <c r="N618" s="473"/>
      <c r="O618" s="473"/>
      <c r="P618" s="473"/>
      <c r="Q618" s="2106">
        <v>10</v>
      </c>
      <c r="R618" s="2106" t="s">
        <v>2112</v>
      </c>
      <c r="S618" s="2106">
        <v>10000</v>
      </c>
      <c r="T618" s="2106" t="s">
        <v>4</v>
      </c>
      <c r="U618" s="2106"/>
      <c r="V618" s="2106">
        <v>15</v>
      </c>
      <c r="W618" s="2106" t="s">
        <v>39</v>
      </c>
      <c r="X618" s="2030" t="s">
        <v>5</v>
      </c>
      <c r="Y618" s="483">
        <f t="shared" ref="Y618" si="213">Z618/1000</f>
        <v>1500</v>
      </c>
      <c r="Z618" s="555">
        <f>Q618*S618*V618</f>
        <v>1500000</v>
      </c>
      <c r="AA618" s="547"/>
      <c r="AB618" s="1891"/>
      <c r="AC618" s="1895"/>
      <c r="AD618" s="456"/>
    </row>
    <row r="619" spans="1:30" s="1874" customFormat="1" ht="22.5" customHeight="1">
      <c r="A619" s="591"/>
      <c r="B619" s="563"/>
      <c r="C619" s="624"/>
      <c r="D619" s="3925" t="s">
        <v>2003</v>
      </c>
      <c r="E619" s="3925"/>
      <c r="F619" s="598">
        <f>SUM(F620:F627)</f>
        <v>60000</v>
      </c>
      <c r="G619" s="598">
        <f>SUM(G620:G627)</f>
        <v>60000</v>
      </c>
      <c r="H619" s="627">
        <f>F619-G619</f>
        <v>0</v>
      </c>
      <c r="I619" s="557"/>
      <c r="J619" s="2025"/>
      <c r="K619" s="2068"/>
      <c r="L619" s="2068"/>
      <c r="M619" s="2068"/>
      <c r="N619" s="2068"/>
      <c r="O619" s="2068"/>
      <c r="P619" s="2068"/>
      <c r="Q619" s="2068"/>
      <c r="R619" s="539"/>
      <c r="S619" s="2026"/>
      <c r="T619" s="2026"/>
      <c r="U619" s="2026"/>
      <c r="V619" s="2026"/>
      <c r="W619" s="2026"/>
      <c r="X619" s="2028"/>
      <c r="Y619" s="586"/>
      <c r="Z619" s="622"/>
      <c r="AA619" s="547"/>
      <c r="AB619" s="1891"/>
      <c r="AC619" s="1895"/>
      <c r="AD619" s="456"/>
    </row>
    <row r="620" spans="1:30" s="1874" customFormat="1" ht="22.5" customHeight="1">
      <c r="A620" s="591"/>
      <c r="B620" s="624"/>
      <c r="C620" s="624"/>
      <c r="D620" s="2020"/>
      <c r="E620" s="2023" t="s">
        <v>229</v>
      </c>
      <c r="F620" s="526">
        <f>Y620</f>
        <v>12000</v>
      </c>
      <c r="G620" s="526">
        <v>12000</v>
      </c>
      <c r="H620" s="551"/>
      <c r="I620" s="557"/>
      <c r="J620" s="2105" t="s">
        <v>2114</v>
      </c>
      <c r="K620" s="2082"/>
      <c r="L620" s="2082"/>
      <c r="M620" s="2082"/>
      <c r="N620" s="2082"/>
      <c r="O620" s="2082"/>
      <c r="P620" s="2082"/>
      <c r="Q620" s="475" t="s">
        <v>770</v>
      </c>
      <c r="R620" s="552" t="s">
        <v>770</v>
      </c>
      <c r="S620" s="474">
        <v>12000</v>
      </c>
      <c r="T620" s="2106" t="s">
        <v>4</v>
      </c>
      <c r="U620" s="2106"/>
      <c r="V620" s="2106">
        <v>1000</v>
      </c>
      <c r="W620" s="2106" t="s">
        <v>254</v>
      </c>
      <c r="X620" s="2030" t="s">
        <v>5</v>
      </c>
      <c r="Y620" s="554">
        <f>Z620/1000</f>
        <v>12000</v>
      </c>
      <c r="Z620" s="555">
        <f>S620*V620</f>
        <v>12000000</v>
      </c>
      <c r="AA620" s="547"/>
      <c r="AB620" s="1891"/>
      <c r="AC620" s="1895"/>
      <c r="AD620" s="456"/>
    </row>
    <row r="621" spans="1:30" s="1874" customFormat="1" ht="22.5" customHeight="1">
      <c r="A621" s="591"/>
      <c r="B621" s="548"/>
      <c r="C621" s="624"/>
      <c r="D621" s="2020"/>
      <c r="E621" s="2023" t="s">
        <v>225</v>
      </c>
      <c r="F621" s="549">
        <f>Y621</f>
        <v>2000</v>
      </c>
      <c r="G621" s="549">
        <v>2000</v>
      </c>
      <c r="H621" s="551"/>
      <c r="I621" s="557"/>
      <c r="J621" s="2105" t="s">
        <v>911</v>
      </c>
      <c r="K621" s="2082"/>
      <c r="L621" s="2082"/>
      <c r="M621" s="2082"/>
      <c r="N621" s="2082"/>
      <c r="O621" s="2082"/>
      <c r="P621" s="2082"/>
      <c r="Q621" s="2106">
        <v>2</v>
      </c>
      <c r="R621" s="2106" t="s">
        <v>36</v>
      </c>
      <c r="S621" s="2106">
        <v>100000</v>
      </c>
      <c r="T621" s="2106" t="s">
        <v>4</v>
      </c>
      <c r="U621" s="2106"/>
      <c r="V621" s="2106">
        <v>10</v>
      </c>
      <c r="W621" s="2106" t="s">
        <v>230</v>
      </c>
      <c r="X621" s="2030" t="s">
        <v>5</v>
      </c>
      <c r="Y621" s="554">
        <f t="shared" ref="Y621" si="214">Z621/1000</f>
        <v>2000</v>
      </c>
      <c r="Z621" s="555">
        <f>Q621*S621*V621</f>
        <v>2000000</v>
      </c>
      <c r="AA621" s="547"/>
      <c r="AB621" s="1891"/>
      <c r="AC621" s="1895"/>
      <c r="AD621" s="456"/>
    </row>
    <row r="622" spans="1:30" s="1874" customFormat="1" ht="22.5" customHeight="1">
      <c r="A622" s="591"/>
      <c r="B622" s="624"/>
      <c r="C622" s="624"/>
      <c r="D622" s="2020"/>
      <c r="E622" s="2034" t="s">
        <v>15</v>
      </c>
      <c r="F622" s="2720">
        <f>Y622</f>
        <v>43000</v>
      </c>
      <c r="G622" s="2720">
        <v>43000</v>
      </c>
      <c r="H622" s="551"/>
      <c r="I622" s="557"/>
      <c r="J622" s="2105" t="s">
        <v>224</v>
      </c>
      <c r="K622" s="2082"/>
      <c r="L622" s="2082"/>
      <c r="M622" s="2082"/>
      <c r="N622" s="2082"/>
      <c r="O622" s="2082"/>
      <c r="P622" s="2082"/>
      <c r="Q622" s="2082"/>
      <c r="R622" s="552"/>
      <c r="S622" s="474"/>
      <c r="T622" s="2106"/>
      <c r="U622" s="2106"/>
      <c r="V622" s="2106"/>
      <c r="W622" s="2106"/>
      <c r="X622" s="2030" t="s">
        <v>48</v>
      </c>
      <c r="Y622" s="483">
        <f t="shared" ref="Y622" si="215">+Z622/1000</f>
        <v>43000</v>
      </c>
      <c r="Z622" s="555">
        <f>SUM(Z623:Z625)</f>
        <v>43000000</v>
      </c>
      <c r="AA622" s="547"/>
      <c r="AB622" s="1891"/>
      <c r="AC622" s="1895"/>
      <c r="AD622" s="456"/>
    </row>
    <row r="623" spans="1:30" s="1874" customFormat="1" ht="22.5" customHeight="1">
      <c r="A623" s="591"/>
      <c r="B623" s="624"/>
      <c r="C623" s="624"/>
      <c r="D623" s="2020"/>
      <c r="E623" s="2034"/>
      <c r="F623" s="2720"/>
      <c r="G623" s="2720"/>
      <c r="H623" s="626"/>
      <c r="I623" s="557"/>
      <c r="J623" s="2105" t="s">
        <v>2115</v>
      </c>
      <c r="K623" s="2082"/>
      <c r="L623" s="2082"/>
      <c r="M623" s="2082"/>
      <c r="N623" s="2082"/>
      <c r="O623" s="2082"/>
      <c r="P623" s="2082"/>
      <c r="Q623" s="2106">
        <v>10</v>
      </c>
      <c r="R623" s="2106" t="s">
        <v>36</v>
      </c>
      <c r="S623" s="2106">
        <v>10000</v>
      </c>
      <c r="T623" s="2106" t="s">
        <v>4</v>
      </c>
      <c r="U623" s="2106"/>
      <c r="V623" s="2106">
        <v>300</v>
      </c>
      <c r="W623" s="2106" t="s">
        <v>646</v>
      </c>
      <c r="X623" s="2030" t="s">
        <v>5</v>
      </c>
      <c r="Y623" s="483">
        <f>Z623/1000</f>
        <v>30000</v>
      </c>
      <c r="Z623" s="555">
        <f>Q623*S623*V623</f>
        <v>30000000</v>
      </c>
      <c r="AA623" s="547"/>
      <c r="AB623" s="1891"/>
      <c r="AC623" s="1895"/>
      <c r="AD623" s="456"/>
    </row>
    <row r="624" spans="1:30" s="1874" customFormat="1" ht="22.5" customHeight="1">
      <c r="A624" s="591"/>
      <c r="B624" s="624"/>
      <c r="C624" s="624"/>
      <c r="D624" s="2020"/>
      <c r="E624" s="2034"/>
      <c r="F624" s="2720"/>
      <c r="G624" s="2720"/>
      <c r="H624" s="626"/>
      <c r="I624" s="557"/>
      <c r="J624" s="2105" t="s">
        <v>2116</v>
      </c>
      <c r="K624" s="2082"/>
      <c r="L624" s="2082"/>
      <c r="M624" s="2082"/>
      <c r="N624" s="2082"/>
      <c r="O624" s="2082"/>
      <c r="P624" s="2082"/>
      <c r="Q624" s="2106"/>
      <c r="R624" s="2106"/>
      <c r="S624" s="2106">
        <v>10000</v>
      </c>
      <c r="T624" s="2106" t="s">
        <v>4</v>
      </c>
      <c r="U624" s="2106"/>
      <c r="V624" s="2106">
        <v>1000</v>
      </c>
      <c r="W624" s="2106" t="s">
        <v>233</v>
      </c>
      <c r="X624" s="2030" t="s">
        <v>5</v>
      </c>
      <c r="Y624" s="483">
        <f>Z624/1000</f>
        <v>10000</v>
      </c>
      <c r="Z624" s="555">
        <f t="shared" ref="Z624" si="216">S624*V624</f>
        <v>10000000</v>
      </c>
      <c r="AA624" s="547"/>
      <c r="AB624" s="1891"/>
      <c r="AC624" s="1895"/>
      <c r="AD624" s="456"/>
    </row>
    <row r="625" spans="1:30" s="1874" customFormat="1" ht="22.5" customHeight="1">
      <c r="A625" s="591"/>
      <c r="B625" s="624"/>
      <c r="C625" s="624"/>
      <c r="D625" s="624"/>
      <c r="E625" s="1885"/>
      <c r="F625" s="2720"/>
      <c r="G625" s="2720"/>
      <c r="H625" s="626"/>
      <c r="I625" s="557"/>
      <c r="J625" s="2105" t="s">
        <v>2108</v>
      </c>
      <c r="K625" s="2082"/>
      <c r="L625" s="2082"/>
      <c r="M625" s="2082"/>
      <c r="N625" s="2082"/>
      <c r="O625" s="2082"/>
      <c r="P625" s="2082"/>
      <c r="Q625" s="2106">
        <v>5</v>
      </c>
      <c r="R625" s="2106" t="s">
        <v>36</v>
      </c>
      <c r="S625" s="2106">
        <v>200000</v>
      </c>
      <c r="T625" s="2106" t="s">
        <v>4</v>
      </c>
      <c r="U625" s="2106"/>
      <c r="V625" s="2106">
        <v>3</v>
      </c>
      <c r="W625" s="2106" t="s">
        <v>233</v>
      </c>
      <c r="X625" s="2030" t="s">
        <v>5</v>
      </c>
      <c r="Y625" s="483">
        <f t="shared" ref="Y625" si="217">Z625/1000</f>
        <v>3000</v>
      </c>
      <c r="Z625" s="555">
        <f t="shared" ref="Z625" si="218">Q625*S625*V625</f>
        <v>3000000</v>
      </c>
      <c r="AA625" s="547"/>
      <c r="AB625" s="1891"/>
      <c r="AC625" s="1895"/>
      <c r="AD625" s="456"/>
    </row>
    <row r="626" spans="1:30" s="1874" customFormat="1" ht="22.5" customHeight="1">
      <c r="A626" s="591"/>
      <c r="B626" s="548"/>
      <c r="C626" s="624"/>
      <c r="D626" s="2020"/>
      <c r="E626" s="2023" t="s">
        <v>73</v>
      </c>
      <c r="F626" s="549">
        <f>Y626</f>
        <v>2000</v>
      </c>
      <c r="G626" s="549">
        <v>2000</v>
      </c>
      <c r="H626" s="551"/>
      <c r="I626" s="557"/>
      <c r="J626" s="2105" t="s">
        <v>2117</v>
      </c>
      <c r="K626" s="2082"/>
      <c r="L626" s="2082"/>
      <c r="M626" s="2082"/>
      <c r="N626" s="2082"/>
      <c r="O626" s="2082"/>
      <c r="P626" s="2082"/>
      <c r="Q626" s="2082"/>
      <c r="R626" s="552"/>
      <c r="S626" s="2106">
        <v>500000</v>
      </c>
      <c r="T626" s="2106" t="s">
        <v>4</v>
      </c>
      <c r="U626" s="2106"/>
      <c r="V626" s="2106">
        <v>4</v>
      </c>
      <c r="W626" s="2106" t="s">
        <v>233</v>
      </c>
      <c r="X626" s="2030" t="s">
        <v>48</v>
      </c>
      <c r="Y626" s="483">
        <f t="shared" ref="Y626" si="219">+Z626/1000</f>
        <v>2000</v>
      </c>
      <c r="Z626" s="555">
        <f>S626*V626</f>
        <v>2000000</v>
      </c>
      <c r="AA626" s="547"/>
      <c r="AB626" s="1891"/>
      <c r="AC626" s="1895"/>
      <c r="AD626" s="456"/>
    </row>
    <row r="627" spans="1:30" s="1874" customFormat="1" ht="22.5" customHeight="1">
      <c r="A627" s="591"/>
      <c r="B627" s="592"/>
      <c r="C627" s="624"/>
      <c r="D627" s="2020"/>
      <c r="E627" s="2023" t="s">
        <v>14</v>
      </c>
      <c r="F627" s="526">
        <f>Y627</f>
        <v>1000</v>
      </c>
      <c r="G627" s="526">
        <v>1000</v>
      </c>
      <c r="H627" s="551"/>
      <c r="I627" s="557"/>
      <c r="J627" s="2105" t="s">
        <v>1471</v>
      </c>
      <c r="K627" s="473"/>
      <c r="L627" s="473"/>
      <c r="M627" s="473"/>
      <c r="N627" s="473"/>
      <c r="O627" s="473"/>
      <c r="P627" s="473"/>
      <c r="Q627" s="2106">
        <v>10</v>
      </c>
      <c r="R627" s="2106" t="s">
        <v>2112</v>
      </c>
      <c r="S627" s="2106">
        <v>10000</v>
      </c>
      <c r="T627" s="2106" t="s">
        <v>4</v>
      </c>
      <c r="U627" s="2106"/>
      <c r="V627" s="2106">
        <v>10</v>
      </c>
      <c r="W627" s="2106" t="s">
        <v>39</v>
      </c>
      <c r="X627" s="2030" t="s">
        <v>5</v>
      </c>
      <c r="Y627" s="483">
        <f t="shared" ref="Y627" si="220">Z627/1000</f>
        <v>1000</v>
      </c>
      <c r="Z627" s="555">
        <f>Q627*S627*V627</f>
        <v>1000000</v>
      </c>
      <c r="AA627" s="547"/>
      <c r="AB627" s="1891"/>
      <c r="AC627" s="1895"/>
      <c r="AD627" s="456"/>
    </row>
    <row r="628" spans="1:30" s="1874" customFormat="1" ht="22.5" customHeight="1">
      <c r="A628" s="591"/>
      <c r="B628" s="563"/>
      <c r="C628" s="624"/>
      <c r="D628" s="3925" t="s">
        <v>2004</v>
      </c>
      <c r="E628" s="3925"/>
      <c r="F628" s="598">
        <f>SUM(F629:F644)</f>
        <v>190000</v>
      </c>
      <c r="G628" s="598">
        <f>SUM(G629:G644)</f>
        <v>190000</v>
      </c>
      <c r="H628" s="627">
        <f>SUM(H629:H644)</f>
        <v>0</v>
      </c>
      <c r="I628" s="557"/>
      <c r="J628" s="2025"/>
      <c r="K628" s="2068"/>
      <c r="L628" s="2068"/>
      <c r="M628" s="2068"/>
      <c r="N628" s="2068"/>
      <c r="O628" s="2068"/>
      <c r="P628" s="2068"/>
      <c r="Q628" s="2068"/>
      <c r="R628" s="539"/>
      <c r="S628" s="2026"/>
      <c r="T628" s="2026"/>
      <c r="U628" s="2026"/>
      <c r="V628" s="2026"/>
      <c r="W628" s="2026"/>
      <c r="X628" s="2028"/>
      <c r="Y628" s="586"/>
      <c r="Z628" s="622"/>
      <c r="AA628" s="547"/>
      <c r="AB628" s="1891"/>
      <c r="AC628" s="1895"/>
      <c r="AD628" s="456"/>
    </row>
    <row r="629" spans="1:30" s="1874" customFormat="1" ht="22.5" customHeight="1">
      <c r="A629" s="591"/>
      <c r="B629" s="548"/>
      <c r="C629" s="624"/>
      <c r="D629" s="2020"/>
      <c r="E629" s="3191" t="s">
        <v>4338</v>
      </c>
      <c r="F629" s="1445">
        <v>0</v>
      </c>
      <c r="G629" s="1445">
        <v>2500</v>
      </c>
      <c r="H629" s="3297">
        <f t="shared" ref="H629:H634" si="221">F629-G629</f>
        <v>-2500</v>
      </c>
      <c r="I629" s="2359"/>
      <c r="J629" s="681"/>
      <c r="K629" s="3256"/>
      <c r="L629" s="3256"/>
      <c r="M629" s="3256"/>
      <c r="N629" s="3256"/>
      <c r="O629" s="3256"/>
      <c r="P629" s="3256"/>
      <c r="Q629" s="3256"/>
      <c r="R629" s="2127"/>
      <c r="S629" s="3164"/>
      <c r="T629" s="684"/>
      <c r="U629" s="684"/>
      <c r="V629" s="684"/>
      <c r="W629" s="684"/>
      <c r="X629" s="684"/>
      <c r="Y629" s="871"/>
      <c r="Z629" s="732"/>
      <c r="AA629" s="547"/>
      <c r="AB629" s="1891"/>
      <c r="AC629" s="1895"/>
      <c r="AD629" s="456"/>
    </row>
    <row r="630" spans="1:30" s="1874" customFormat="1" ht="22.5" customHeight="1">
      <c r="A630" s="591"/>
      <c r="B630" s="624"/>
      <c r="C630" s="624"/>
      <c r="D630" s="2020"/>
      <c r="E630" s="3191" t="s">
        <v>790</v>
      </c>
      <c r="F630" s="1445">
        <f>Y630</f>
        <v>20000</v>
      </c>
      <c r="G630" s="1445">
        <v>0</v>
      </c>
      <c r="H630" s="3297">
        <f t="shared" si="221"/>
        <v>20000</v>
      </c>
      <c r="I630" s="2359"/>
      <c r="J630" s="681" t="s">
        <v>4490</v>
      </c>
      <c r="K630" s="3256"/>
      <c r="L630" s="3256"/>
      <c r="M630" s="3256"/>
      <c r="N630" s="3256"/>
      <c r="O630" s="3256"/>
      <c r="P630" s="3256"/>
      <c r="Q630" s="1038"/>
      <c r="R630" s="684"/>
      <c r="S630" s="684">
        <v>20000000</v>
      </c>
      <c r="T630" s="684" t="s">
        <v>37</v>
      </c>
      <c r="U630" s="684"/>
      <c r="V630" s="684">
        <v>1</v>
      </c>
      <c r="W630" s="684" t="s">
        <v>2468</v>
      </c>
      <c r="X630" s="686"/>
      <c r="Y630" s="1022">
        <f>Z630/1000</f>
        <v>20000</v>
      </c>
      <c r="Z630" s="2233">
        <f>S630*V630</f>
        <v>20000000</v>
      </c>
      <c r="AA630" s="547"/>
      <c r="AB630" s="1891"/>
      <c r="AC630" s="1895"/>
      <c r="AD630" s="456"/>
    </row>
    <row r="631" spans="1:30" s="1874" customFormat="1" ht="22.5" customHeight="1">
      <c r="A631" s="591"/>
      <c r="B631" s="624"/>
      <c r="C631" s="624"/>
      <c r="D631" s="2020"/>
      <c r="E631" s="3191" t="s">
        <v>229</v>
      </c>
      <c r="F631" s="2125">
        <f>Y631</f>
        <v>4500</v>
      </c>
      <c r="G631" s="2125">
        <v>38000</v>
      </c>
      <c r="H631" s="3297">
        <f t="shared" si="221"/>
        <v>-33500</v>
      </c>
      <c r="I631" s="2359"/>
      <c r="J631" s="681" t="s">
        <v>4491</v>
      </c>
      <c r="K631" s="3256"/>
      <c r="L631" s="3256"/>
      <c r="M631" s="3256"/>
      <c r="N631" s="3256"/>
      <c r="O631" s="3256"/>
      <c r="P631" s="3256"/>
      <c r="Q631" s="3256"/>
      <c r="R631" s="2127"/>
      <c r="S631" s="684">
        <v>4500000</v>
      </c>
      <c r="T631" s="684" t="s">
        <v>37</v>
      </c>
      <c r="U631" s="684"/>
      <c r="V631" s="684">
        <v>1</v>
      </c>
      <c r="W631" s="684" t="s">
        <v>4492</v>
      </c>
      <c r="X631" s="684"/>
      <c r="Y631" s="871">
        <f>Z631/1000</f>
        <v>4500</v>
      </c>
      <c r="Z631" s="2233">
        <f>S631*V631</f>
        <v>4500000</v>
      </c>
      <c r="AA631" s="547"/>
      <c r="AB631" s="1891"/>
      <c r="AC631" s="1895"/>
      <c r="AD631" s="456"/>
    </row>
    <row r="632" spans="1:30" s="1874" customFormat="1" ht="22.5" customHeight="1">
      <c r="A632" s="591"/>
      <c r="B632" s="624"/>
      <c r="C632" s="624"/>
      <c r="D632" s="2020"/>
      <c r="E632" s="3191" t="s">
        <v>264</v>
      </c>
      <c r="F632" s="1445">
        <f>Y632</f>
        <v>600</v>
      </c>
      <c r="G632" s="1445">
        <v>1560</v>
      </c>
      <c r="H632" s="3297">
        <f t="shared" si="221"/>
        <v>-960</v>
      </c>
      <c r="I632" s="2359"/>
      <c r="J632" s="681" t="s">
        <v>784</v>
      </c>
      <c r="K632" s="3256"/>
      <c r="L632" s="3256"/>
      <c r="M632" s="3256"/>
      <c r="N632" s="3256"/>
      <c r="O632" s="3256"/>
      <c r="P632" s="3256"/>
      <c r="Q632" s="869" t="s">
        <v>770</v>
      </c>
      <c r="R632" s="2127" t="s">
        <v>770</v>
      </c>
      <c r="S632" s="3164">
        <v>600000</v>
      </c>
      <c r="T632" s="684" t="s">
        <v>37</v>
      </c>
      <c r="U632" s="684"/>
      <c r="V632" s="684">
        <v>1</v>
      </c>
      <c r="W632" s="684" t="s">
        <v>226</v>
      </c>
      <c r="X632" s="686" t="s">
        <v>38</v>
      </c>
      <c r="Y632" s="1022">
        <f>Z632/1000</f>
        <v>600</v>
      </c>
      <c r="Z632" s="732">
        <f>S632*V632</f>
        <v>600000</v>
      </c>
      <c r="AA632" s="547"/>
      <c r="AB632" s="1891"/>
      <c r="AC632" s="1895"/>
      <c r="AD632" s="456"/>
    </row>
    <row r="633" spans="1:30" s="1874" customFormat="1" ht="22.5" customHeight="1">
      <c r="A633" s="591"/>
      <c r="B633" s="548"/>
      <c r="C633" s="624"/>
      <c r="D633" s="2020"/>
      <c r="E633" s="3191" t="s">
        <v>225</v>
      </c>
      <c r="F633" s="1445">
        <f>Y633</f>
        <v>1000</v>
      </c>
      <c r="G633" s="1445">
        <v>2000</v>
      </c>
      <c r="H633" s="3297">
        <f t="shared" si="221"/>
        <v>-1000</v>
      </c>
      <c r="I633" s="2359"/>
      <c r="J633" s="681" t="s">
        <v>911</v>
      </c>
      <c r="K633" s="3256"/>
      <c r="L633" s="3256"/>
      <c r="M633" s="3256"/>
      <c r="N633" s="3256"/>
      <c r="O633" s="3256"/>
      <c r="P633" s="3256"/>
      <c r="Q633" s="684">
        <v>1</v>
      </c>
      <c r="R633" s="684" t="s">
        <v>227</v>
      </c>
      <c r="S633" s="684">
        <v>100000</v>
      </c>
      <c r="T633" s="684" t="s">
        <v>37</v>
      </c>
      <c r="U633" s="684"/>
      <c r="V633" s="684">
        <v>10</v>
      </c>
      <c r="W633" s="684" t="s">
        <v>230</v>
      </c>
      <c r="X633" s="686" t="s">
        <v>38</v>
      </c>
      <c r="Y633" s="1022">
        <f t="shared" ref="Y633" si="222">Z633/1000</f>
        <v>1000</v>
      </c>
      <c r="Z633" s="732">
        <f>Q633*S633*V633</f>
        <v>1000000</v>
      </c>
      <c r="AA633" s="547"/>
      <c r="AB633" s="1891"/>
      <c r="AC633" s="1895"/>
      <c r="AD633" s="456"/>
    </row>
    <row r="634" spans="1:30" s="1874" customFormat="1" ht="22.5" customHeight="1">
      <c r="A634" s="591"/>
      <c r="B634" s="548"/>
      <c r="C634" s="624"/>
      <c r="D634" s="2020"/>
      <c r="E634" s="693" t="s">
        <v>380</v>
      </c>
      <c r="F634" s="2125">
        <f>Y634</f>
        <v>6000</v>
      </c>
      <c r="G634" s="2125">
        <v>78000</v>
      </c>
      <c r="H634" s="3297">
        <f t="shared" si="221"/>
        <v>-72000</v>
      </c>
      <c r="I634" s="2359"/>
      <c r="J634" s="681" t="s">
        <v>224</v>
      </c>
      <c r="K634" s="3256"/>
      <c r="L634" s="3256"/>
      <c r="M634" s="3256"/>
      <c r="N634" s="3256"/>
      <c r="O634" s="3256"/>
      <c r="P634" s="3256"/>
      <c r="Q634" s="3256"/>
      <c r="R634" s="2127"/>
      <c r="S634" s="3164"/>
      <c r="T634" s="684"/>
      <c r="U634" s="684"/>
      <c r="V634" s="684"/>
      <c r="W634" s="684"/>
      <c r="X634" s="684" t="s">
        <v>378</v>
      </c>
      <c r="Y634" s="871">
        <f t="shared" ref="Y634" si="223">+Z634/1000</f>
        <v>6000</v>
      </c>
      <c r="Z634" s="732">
        <f>SUM(Z635:Z637)</f>
        <v>6000000</v>
      </c>
      <c r="AA634" s="547"/>
      <c r="AB634" s="1891"/>
      <c r="AC634" s="1895"/>
      <c r="AD634" s="456"/>
    </row>
    <row r="635" spans="1:30" s="1874" customFormat="1" ht="22.5" customHeight="1">
      <c r="A635" s="591"/>
      <c r="B635" s="548"/>
      <c r="C635" s="624"/>
      <c r="D635" s="2020"/>
      <c r="E635" s="3191"/>
      <c r="F635" s="1445"/>
      <c r="G635" s="1445"/>
      <c r="H635" s="3297"/>
      <c r="I635" s="2359"/>
      <c r="J635" s="681" t="s">
        <v>4493</v>
      </c>
      <c r="K635" s="3256"/>
      <c r="L635" s="3256"/>
      <c r="M635" s="3256"/>
      <c r="N635" s="3256"/>
      <c r="O635" s="3256"/>
      <c r="P635" s="3256"/>
      <c r="Q635" s="684">
        <v>1</v>
      </c>
      <c r="R635" s="684" t="s">
        <v>227</v>
      </c>
      <c r="S635" s="684">
        <v>10000</v>
      </c>
      <c r="T635" s="684" t="s">
        <v>37</v>
      </c>
      <c r="U635" s="684"/>
      <c r="V635" s="684">
        <v>100</v>
      </c>
      <c r="W635" s="684" t="s">
        <v>646</v>
      </c>
      <c r="X635" s="684" t="s">
        <v>38</v>
      </c>
      <c r="Y635" s="871">
        <f>Z635/1000</f>
        <v>1000</v>
      </c>
      <c r="Z635" s="732">
        <f>Q635*S635*V635</f>
        <v>1000000</v>
      </c>
      <c r="AA635" s="547"/>
      <c r="AB635" s="1891"/>
      <c r="AC635" s="1895"/>
      <c r="AD635" s="456"/>
    </row>
    <row r="636" spans="1:30" s="1874" customFormat="1" ht="22.5" customHeight="1">
      <c r="A636" s="591"/>
      <c r="B636" s="624"/>
      <c r="C636" s="624"/>
      <c r="D636" s="2020"/>
      <c r="E636" s="3191"/>
      <c r="F636" s="2125"/>
      <c r="G636" s="2125"/>
      <c r="H636" s="3297"/>
      <c r="I636" s="2359"/>
      <c r="J636" s="681" t="s">
        <v>2118</v>
      </c>
      <c r="K636" s="3256"/>
      <c r="L636" s="3256"/>
      <c r="M636" s="3256"/>
      <c r="N636" s="3256"/>
      <c r="O636" s="3256"/>
      <c r="P636" s="3256"/>
      <c r="Q636" s="684">
        <v>5</v>
      </c>
      <c r="R636" s="684" t="s">
        <v>227</v>
      </c>
      <c r="S636" s="684">
        <v>300000</v>
      </c>
      <c r="T636" s="684" t="s">
        <v>37</v>
      </c>
      <c r="U636" s="684"/>
      <c r="V636" s="684">
        <v>2</v>
      </c>
      <c r="W636" s="684" t="s">
        <v>233</v>
      </c>
      <c r="X636" s="684" t="s">
        <v>38</v>
      </c>
      <c r="Y636" s="871">
        <f>Z636/1000</f>
        <v>3000</v>
      </c>
      <c r="Z636" s="732">
        <f>Q636*S636*V636</f>
        <v>3000000</v>
      </c>
      <c r="AA636" s="547"/>
      <c r="AB636" s="1891"/>
      <c r="AC636" s="1895"/>
      <c r="AD636" s="456"/>
    </row>
    <row r="637" spans="1:30" s="1874" customFormat="1" ht="22.5" customHeight="1">
      <c r="A637" s="591"/>
      <c r="B637" s="548"/>
      <c r="C637" s="624"/>
      <c r="D637" s="2020"/>
      <c r="E637" s="3191"/>
      <c r="F637" s="2125"/>
      <c r="G637" s="2125"/>
      <c r="H637" s="3297"/>
      <c r="I637" s="2359"/>
      <c r="J637" s="681" t="s">
        <v>4494</v>
      </c>
      <c r="K637" s="3256"/>
      <c r="L637" s="3256"/>
      <c r="M637" s="3256"/>
      <c r="N637" s="3256"/>
      <c r="O637" s="3256"/>
      <c r="P637" s="3256"/>
      <c r="Q637" s="684">
        <v>5</v>
      </c>
      <c r="R637" s="684" t="s">
        <v>227</v>
      </c>
      <c r="S637" s="684">
        <v>200000</v>
      </c>
      <c r="T637" s="684" t="s">
        <v>37</v>
      </c>
      <c r="U637" s="684"/>
      <c r="V637" s="684">
        <v>2</v>
      </c>
      <c r="W637" s="684" t="s">
        <v>233</v>
      </c>
      <c r="X637" s="684" t="s">
        <v>38</v>
      </c>
      <c r="Y637" s="871">
        <f t="shared" ref="Y637" si="224">Z637/1000</f>
        <v>2000</v>
      </c>
      <c r="Z637" s="732">
        <f t="shared" ref="Z637" si="225">Q637*S637*V637</f>
        <v>2000000</v>
      </c>
      <c r="AA637" s="547"/>
      <c r="AB637" s="1891"/>
      <c r="AC637" s="1895"/>
      <c r="AD637" s="456"/>
    </row>
    <row r="638" spans="1:30" s="1874" customFormat="1" ht="22.5" customHeight="1">
      <c r="A638" s="591"/>
      <c r="B638" s="624"/>
      <c r="C638" s="624"/>
      <c r="D638" s="2020"/>
      <c r="E638" s="677" t="s">
        <v>262</v>
      </c>
      <c r="F638" s="1445">
        <f>Y638</f>
        <v>4400</v>
      </c>
      <c r="G638" s="1445">
        <v>3940</v>
      </c>
      <c r="H638" s="3297">
        <f>F638-G638</f>
        <v>460</v>
      </c>
      <c r="I638" s="2359"/>
      <c r="J638" s="681" t="s">
        <v>224</v>
      </c>
      <c r="K638" s="3256"/>
      <c r="L638" s="3256"/>
      <c r="M638" s="3256"/>
      <c r="N638" s="3256"/>
      <c r="O638" s="3256"/>
      <c r="P638" s="3256"/>
      <c r="Q638" s="869" t="s">
        <v>770</v>
      </c>
      <c r="R638" s="2127" t="s">
        <v>770</v>
      </c>
      <c r="S638" s="3164"/>
      <c r="T638" s="684"/>
      <c r="U638" s="684"/>
      <c r="V638" s="684"/>
      <c r="W638" s="684"/>
      <c r="X638" s="686"/>
      <c r="Y638" s="871">
        <f t="shared" ref="Y638" si="226">+Z638/1000</f>
        <v>4400</v>
      </c>
      <c r="Z638" s="732">
        <f>SUM(Z639:Z640)</f>
        <v>4400000</v>
      </c>
      <c r="AA638" s="547"/>
      <c r="AB638" s="1891"/>
      <c r="AC638" s="1895"/>
      <c r="AD638" s="456"/>
    </row>
    <row r="639" spans="1:30" s="1874" customFormat="1" ht="22.5" customHeight="1">
      <c r="A639" s="591"/>
      <c r="B639" s="624"/>
      <c r="C639" s="624"/>
      <c r="D639" s="624"/>
      <c r="E639" s="677"/>
      <c r="F639" s="1445"/>
      <c r="G639" s="1445"/>
      <c r="H639" s="949"/>
      <c r="I639" s="2359"/>
      <c r="J639" s="681" t="s">
        <v>2120</v>
      </c>
      <c r="K639" s="3256"/>
      <c r="L639" s="3256"/>
      <c r="M639" s="3256"/>
      <c r="N639" s="3256"/>
      <c r="O639" s="3256"/>
      <c r="P639" s="3256"/>
      <c r="Q639" s="869">
        <v>2</v>
      </c>
      <c r="R639" s="2127" t="s">
        <v>525</v>
      </c>
      <c r="S639" s="3164">
        <v>125000</v>
      </c>
      <c r="T639" s="684" t="s">
        <v>37</v>
      </c>
      <c r="U639" s="684"/>
      <c r="V639" s="684">
        <v>8</v>
      </c>
      <c r="W639" s="684" t="s">
        <v>230</v>
      </c>
      <c r="X639" s="686" t="s">
        <v>38</v>
      </c>
      <c r="Y639" s="871">
        <f>Z639/1000</f>
        <v>2000</v>
      </c>
      <c r="Z639" s="732">
        <f>Q639*S639*V639</f>
        <v>2000000</v>
      </c>
      <c r="AA639" s="547"/>
      <c r="AB639" s="1891"/>
      <c r="AC639" s="1895"/>
      <c r="AD639" s="456"/>
    </row>
    <row r="640" spans="1:30" s="1874" customFormat="1" ht="22.5" customHeight="1">
      <c r="A640" s="591"/>
      <c r="B640" s="624"/>
      <c r="C640" s="624"/>
      <c r="D640" s="624"/>
      <c r="E640" s="677"/>
      <c r="F640" s="1445"/>
      <c r="G640" s="1445"/>
      <c r="H640" s="949"/>
      <c r="I640" s="2359"/>
      <c r="J640" s="681" t="s">
        <v>2121</v>
      </c>
      <c r="K640" s="3256"/>
      <c r="L640" s="3256"/>
      <c r="M640" s="3256"/>
      <c r="N640" s="3256"/>
      <c r="O640" s="3256"/>
      <c r="P640" s="3256"/>
      <c r="Q640" s="869">
        <v>1</v>
      </c>
      <c r="R640" s="2127" t="s">
        <v>525</v>
      </c>
      <c r="S640" s="3164">
        <v>300000</v>
      </c>
      <c r="T640" s="684" t="s">
        <v>37</v>
      </c>
      <c r="U640" s="684"/>
      <c r="V640" s="684">
        <v>8</v>
      </c>
      <c r="W640" s="684" t="s">
        <v>230</v>
      </c>
      <c r="X640" s="686" t="s">
        <v>38</v>
      </c>
      <c r="Y640" s="871">
        <f>Z640/1000</f>
        <v>2400</v>
      </c>
      <c r="Z640" s="732">
        <f>Q640*S640*V640</f>
        <v>2400000</v>
      </c>
      <c r="AA640" s="547"/>
      <c r="AB640" s="1891"/>
      <c r="AC640" s="1895"/>
      <c r="AD640" s="456"/>
    </row>
    <row r="641" spans="1:30" s="1874" customFormat="1" ht="22.5" customHeight="1">
      <c r="A641" s="591"/>
      <c r="B641" s="548"/>
      <c r="C641" s="624"/>
      <c r="D641" s="624"/>
      <c r="E641" s="677" t="s">
        <v>261</v>
      </c>
      <c r="F641" s="1445">
        <f>Y641</f>
        <v>150000</v>
      </c>
      <c r="G641" s="1445">
        <v>30000</v>
      </c>
      <c r="H641" s="3297">
        <f>F641-G641</f>
        <v>120000</v>
      </c>
      <c r="I641" s="2359"/>
      <c r="J641" s="681" t="s">
        <v>2119</v>
      </c>
      <c r="K641" s="3256"/>
      <c r="L641" s="3256"/>
      <c r="M641" s="3256"/>
      <c r="N641" s="3256"/>
      <c r="O641" s="3256"/>
      <c r="P641" s="3256"/>
      <c r="Q641" s="869"/>
      <c r="R641" s="2127"/>
      <c r="S641" s="3164">
        <v>30000000</v>
      </c>
      <c r="T641" s="684" t="s">
        <v>37</v>
      </c>
      <c r="U641" s="684"/>
      <c r="V641" s="684">
        <v>5</v>
      </c>
      <c r="W641" s="684" t="s">
        <v>1294</v>
      </c>
      <c r="X641" s="686" t="s">
        <v>38</v>
      </c>
      <c r="Y641" s="871">
        <f t="shared" ref="Y641" si="227">+Z641/1000</f>
        <v>150000</v>
      </c>
      <c r="Z641" s="732">
        <f t="shared" ref="Z641" si="228">S641*V641</f>
        <v>150000000</v>
      </c>
      <c r="AA641" s="547"/>
      <c r="AB641" s="1891"/>
      <c r="AC641" s="1895"/>
      <c r="AD641" s="456"/>
    </row>
    <row r="642" spans="1:30" s="1874" customFormat="1" ht="22.5" customHeight="1">
      <c r="A642" s="591"/>
      <c r="B642" s="548"/>
      <c r="C642" s="624"/>
      <c r="D642" s="2020"/>
      <c r="E642" s="3191" t="s">
        <v>17</v>
      </c>
      <c r="F642" s="1445">
        <f>Y642</f>
        <v>500</v>
      </c>
      <c r="G642" s="1445">
        <v>1000</v>
      </c>
      <c r="H642" s="3297">
        <f>F642-G642</f>
        <v>-500</v>
      </c>
      <c r="I642" s="2359"/>
      <c r="J642" s="681" t="s">
        <v>4495</v>
      </c>
      <c r="K642" s="3256"/>
      <c r="L642" s="3256"/>
      <c r="M642" s="3256"/>
      <c r="N642" s="3256"/>
      <c r="O642" s="3256"/>
      <c r="P642" s="3256"/>
      <c r="Q642" s="869" t="s">
        <v>770</v>
      </c>
      <c r="R642" s="2127" t="s">
        <v>770</v>
      </c>
      <c r="S642" s="3164">
        <v>500000</v>
      </c>
      <c r="T642" s="684" t="s">
        <v>37</v>
      </c>
      <c r="U642" s="684"/>
      <c r="V642" s="684">
        <v>1</v>
      </c>
      <c r="W642" s="684" t="s">
        <v>226</v>
      </c>
      <c r="X642" s="686" t="s">
        <v>38</v>
      </c>
      <c r="Y642" s="871">
        <f>Z642/1000</f>
        <v>500</v>
      </c>
      <c r="Z642" s="732">
        <f>S642*V642</f>
        <v>500000</v>
      </c>
      <c r="AA642" s="547"/>
      <c r="AB642" s="1891"/>
      <c r="AC642" s="1895"/>
      <c r="AD642" s="456"/>
    </row>
    <row r="643" spans="1:30" s="1874" customFormat="1" ht="22.5" customHeight="1">
      <c r="A643" s="591"/>
      <c r="B643" s="548"/>
      <c r="C643" s="624"/>
      <c r="D643" s="2020"/>
      <c r="E643" s="3191" t="s">
        <v>451</v>
      </c>
      <c r="F643" s="1445">
        <f>Y643</f>
        <v>2000</v>
      </c>
      <c r="G643" s="1445">
        <v>30000</v>
      </c>
      <c r="H643" s="3297">
        <f>F643-G643</f>
        <v>-28000</v>
      </c>
      <c r="I643" s="2359"/>
      <c r="J643" s="681" t="s">
        <v>4496</v>
      </c>
      <c r="K643" s="3256"/>
      <c r="L643" s="3256"/>
      <c r="M643" s="3256"/>
      <c r="N643" s="3256"/>
      <c r="O643" s="3256"/>
      <c r="P643" s="3256"/>
      <c r="Q643" s="3256"/>
      <c r="R643" s="2127"/>
      <c r="S643" s="3164">
        <v>2000000</v>
      </c>
      <c r="T643" s="684" t="s">
        <v>37</v>
      </c>
      <c r="U643" s="684"/>
      <c r="V643" s="684">
        <v>1</v>
      </c>
      <c r="W643" s="684" t="s">
        <v>2468</v>
      </c>
      <c r="X643" s="684" t="s">
        <v>378</v>
      </c>
      <c r="Y643" s="871">
        <f>Z643/1000</f>
        <v>2000</v>
      </c>
      <c r="Z643" s="732">
        <f>S643*V643</f>
        <v>2000000</v>
      </c>
      <c r="AA643" s="547"/>
      <c r="AB643" s="1891"/>
      <c r="AC643" s="1895"/>
      <c r="AD643" s="456"/>
    </row>
    <row r="644" spans="1:30" s="1874" customFormat="1" ht="22.5" customHeight="1" thickBot="1">
      <c r="A644" s="591"/>
      <c r="B644" s="548"/>
      <c r="C644" s="624"/>
      <c r="D644" s="2020"/>
      <c r="E644" s="3191" t="s">
        <v>384</v>
      </c>
      <c r="F644" s="3274">
        <f>Y644</f>
        <v>1000</v>
      </c>
      <c r="G644" s="3274">
        <v>3000</v>
      </c>
      <c r="H644" s="3297">
        <f>F644-G644</f>
        <v>-2000</v>
      </c>
      <c r="I644" s="2359"/>
      <c r="J644" s="681" t="s">
        <v>4497</v>
      </c>
      <c r="K644" s="3163"/>
      <c r="L644" s="3163"/>
      <c r="M644" s="3163"/>
      <c r="N644" s="3163"/>
      <c r="O644" s="3163"/>
      <c r="P644" s="3163"/>
      <c r="Q644" s="684">
        <v>10</v>
      </c>
      <c r="R644" s="684" t="s">
        <v>227</v>
      </c>
      <c r="S644" s="684">
        <v>10000</v>
      </c>
      <c r="T644" s="684" t="s">
        <v>37</v>
      </c>
      <c r="U644" s="684"/>
      <c r="V644" s="684">
        <v>10</v>
      </c>
      <c r="W644" s="684" t="s">
        <v>39</v>
      </c>
      <c r="X644" s="684" t="s">
        <v>38</v>
      </c>
      <c r="Y644" s="871">
        <f t="shared" ref="Y644" si="229">Z644/1000</f>
        <v>1000</v>
      </c>
      <c r="Z644" s="732">
        <f>Q644*S644*V644</f>
        <v>1000000</v>
      </c>
      <c r="AA644" s="547"/>
      <c r="AB644" s="1891"/>
      <c r="AC644" s="1895"/>
      <c r="AD644" s="456"/>
    </row>
    <row r="645" spans="1:30" s="1874" customFormat="1" ht="22.5" customHeight="1" thickBot="1">
      <c r="A645" s="574" t="s">
        <v>1356</v>
      </c>
      <c r="B645" s="1902"/>
      <c r="C645" s="1902"/>
      <c r="D645" s="1902"/>
      <c r="E645" s="1902"/>
      <c r="F645" s="821">
        <f t="shared" ref="F645:G645" si="230">+F646</f>
        <v>710000</v>
      </c>
      <c r="G645" s="821">
        <f t="shared" si="230"/>
        <v>710000</v>
      </c>
      <c r="H645" s="2655">
        <f>F645-G645</f>
        <v>0</v>
      </c>
      <c r="I645" s="557"/>
      <c r="J645" s="2316"/>
      <c r="K645" s="2317"/>
      <c r="L645" s="2317"/>
      <c r="M645" s="2317"/>
      <c r="N645" s="2317"/>
      <c r="O645" s="2317"/>
      <c r="P645" s="2317"/>
      <c r="Q645" s="2317"/>
      <c r="R645" s="2722"/>
      <c r="S645" s="2317"/>
      <c r="T645" s="2317"/>
      <c r="U645" s="2317"/>
      <c r="V645" s="2317"/>
      <c r="W645" s="2317"/>
      <c r="X645" s="2314"/>
      <c r="Y645" s="2723"/>
      <c r="Z645" s="2724"/>
      <c r="AA645" s="547"/>
      <c r="AB645" s="1891"/>
      <c r="AC645" s="1895"/>
      <c r="AD645" s="456"/>
    </row>
    <row r="646" spans="1:30" s="814" customFormat="1" ht="22.5" customHeight="1" thickBot="1">
      <c r="A646" s="1912"/>
      <c r="B646" s="568" t="s">
        <v>1057</v>
      </c>
      <c r="C646" s="569"/>
      <c r="D646" s="570"/>
      <c r="E646" s="571"/>
      <c r="F646" s="822">
        <f>+F647+F667+F699+F709+F720</f>
        <v>710000</v>
      </c>
      <c r="G646" s="822">
        <f>+G647+G667+G699+G709+G720</f>
        <v>710000</v>
      </c>
      <c r="H646" s="573">
        <f t="shared" ref="H646" si="231">F646-G646</f>
        <v>0</v>
      </c>
      <c r="I646" s="2682"/>
      <c r="J646" s="2725"/>
      <c r="K646" s="2726"/>
      <c r="L646" s="2726"/>
      <c r="M646" s="2726"/>
      <c r="N646" s="2726"/>
      <c r="O646" s="2726"/>
      <c r="P646" s="2726"/>
      <c r="Q646" s="2726"/>
      <c r="R646" s="2726"/>
      <c r="S646" s="2726"/>
      <c r="T646" s="2726"/>
      <c r="U646" s="2726"/>
      <c r="V646" s="2726"/>
      <c r="W646" s="2726"/>
      <c r="X646" s="2727"/>
      <c r="Y646" s="2728"/>
      <c r="Z646" s="2659"/>
      <c r="AA646" s="547"/>
      <c r="AB646" s="1891"/>
      <c r="AC646" s="2677"/>
      <c r="AD646" s="836"/>
    </row>
    <row r="647" spans="1:30" s="93" customFormat="1" ht="22.5" customHeight="1">
      <c r="A647" s="2079"/>
      <c r="B647" s="2035"/>
      <c r="C647" s="1386" t="s">
        <v>2255</v>
      </c>
      <c r="D647" s="2104"/>
      <c r="E647" s="1252"/>
      <c r="F647" s="1253">
        <f>+F648+F655</f>
        <v>230000</v>
      </c>
      <c r="G647" s="1253">
        <f>+G648+G655</f>
        <v>230000</v>
      </c>
      <c r="H647" s="2021">
        <f>F647-G647</f>
        <v>0</v>
      </c>
      <c r="I647" s="557"/>
      <c r="J647" s="2025"/>
      <c r="K647" s="2068"/>
      <c r="L647" s="2068"/>
      <c r="M647" s="2068"/>
      <c r="N647" s="2068"/>
      <c r="O647" s="2068"/>
      <c r="P647" s="2101"/>
      <c r="Q647" s="2026"/>
      <c r="R647" s="2027"/>
      <c r="S647" s="2026"/>
      <c r="T647" s="2026"/>
      <c r="U647" s="2101"/>
      <c r="V647" s="2026"/>
      <c r="W647" s="2026"/>
      <c r="X647" s="2028"/>
      <c r="Y647" s="517"/>
      <c r="Z647" s="518" t="e">
        <f>#REF!</f>
        <v>#REF!</v>
      </c>
      <c r="AA647" s="547"/>
      <c r="AB647" s="1891">
        <f>F647</f>
        <v>230000</v>
      </c>
      <c r="AC647" s="2729"/>
      <c r="AD647" s="1662"/>
    </row>
    <row r="648" spans="1:30" s="1679" customFormat="1" ht="22.5" customHeight="1">
      <c r="A648" s="2079"/>
      <c r="B648" s="2035"/>
      <c r="C648" s="649"/>
      <c r="D648" s="4116" t="s">
        <v>2256</v>
      </c>
      <c r="E648" s="4117"/>
      <c r="F648" s="650">
        <f>SUM(F649:F654)</f>
        <v>110000</v>
      </c>
      <c r="G648" s="650">
        <f>SUM(G649:G654)</f>
        <v>110000</v>
      </c>
      <c r="H648" s="627">
        <f>F648-G648</f>
        <v>0</v>
      </c>
      <c r="I648" s="2014"/>
      <c r="J648" s="538"/>
      <c r="K648" s="2101"/>
      <c r="L648" s="2101"/>
      <c r="M648" s="2101"/>
      <c r="N648" s="2101"/>
      <c r="O648" s="2101"/>
      <c r="P648" s="645"/>
      <c r="Q648" s="648"/>
      <c r="R648" s="647"/>
      <c r="S648" s="648"/>
      <c r="T648" s="647"/>
      <c r="U648" s="2036"/>
      <c r="V648" s="648"/>
      <c r="W648" s="2068"/>
      <c r="X648" s="585"/>
      <c r="Y648" s="594"/>
      <c r="Z648" s="2730"/>
      <c r="AA648" s="308"/>
      <c r="AB648" s="2015"/>
      <c r="AC648" s="2015"/>
    </row>
    <row r="649" spans="1:30" s="425" customFormat="1" ht="22.5" customHeight="1">
      <c r="A649" s="2079"/>
      <c r="B649" s="2035"/>
      <c r="C649" s="649"/>
      <c r="D649" s="659"/>
      <c r="E649" s="2731" t="s">
        <v>225</v>
      </c>
      <c r="F649" s="1883">
        <f>Y649</f>
        <v>1000</v>
      </c>
      <c r="G649" s="2732">
        <v>1000</v>
      </c>
      <c r="H649" s="1364"/>
      <c r="I649" s="2014"/>
      <c r="J649" s="2105" t="s">
        <v>260</v>
      </c>
      <c r="K649" s="2075"/>
      <c r="L649" s="2075"/>
      <c r="M649" s="2075"/>
      <c r="N649" s="2075"/>
      <c r="O649" s="2075"/>
      <c r="P649" s="2016"/>
      <c r="Q649" s="656"/>
      <c r="R649" s="657"/>
      <c r="S649" s="656">
        <v>100000</v>
      </c>
      <c r="T649" s="477" t="s">
        <v>56</v>
      </c>
      <c r="U649" s="2015"/>
      <c r="V649" s="656">
        <v>10</v>
      </c>
      <c r="W649" s="2082" t="s">
        <v>369</v>
      </c>
      <c r="X649" s="2030" t="s">
        <v>1</v>
      </c>
      <c r="Y649" s="483">
        <f>Z649/1000</f>
        <v>1000</v>
      </c>
      <c r="Z649" s="658">
        <f>S649*V649</f>
        <v>1000000</v>
      </c>
      <c r="AA649" s="308"/>
      <c r="AB649" s="491"/>
      <c r="AC649" s="491"/>
    </row>
    <row r="650" spans="1:30" s="1679" customFormat="1" ht="22.5" customHeight="1">
      <c r="A650" s="2079"/>
      <c r="B650" s="2035"/>
      <c r="C650" s="631"/>
      <c r="D650" s="652"/>
      <c r="E650" s="2013" t="s">
        <v>380</v>
      </c>
      <c r="F650" s="549">
        <f>Y650</f>
        <v>25000</v>
      </c>
      <c r="G650" s="469">
        <v>25000</v>
      </c>
      <c r="H650" s="2037"/>
      <c r="I650" s="2014"/>
      <c r="J650" s="2105" t="s">
        <v>224</v>
      </c>
      <c r="K650" s="2082"/>
      <c r="L650" s="2082"/>
      <c r="M650" s="2082"/>
      <c r="N650" s="2082"/>
      <c r="O650" s="2082"/>
      <c r="P650" s="2082"/>
      <c r="Q650" s="2082"/>
      <c r="R650" s="552"/>
      <c r="S650" s="474"/>
      <c r="T650" s="2106"/>
      <c r="U650" s="2106"/>
      <c r="V650" s="2106"/>
      <c r="W650" s="2106"/>
      <c r="X650" s="2030" t="s">
        <v>48</v>
      </c>
      <c r="Y650" s="483">
        <f t="shared" ref="Y650" si="232">+Z650/1000</f>
        <v>25000</v>
      </c>
      <c r="Z650" s="555">
        <f>SUM(Z651:Z652)</f>
        <v>25000000</v>
      </c>
      <c r="AA650" s="308"/>
      <c r="AB650" s="2015"/>
      <c r="AC650" s="2015"/>
    </row>
    <row r="651" spans="1:30" s="1679" customFormat="1" ht="22.5" customHeight="1">
      <c r="A651" s="2079"/>
      <c r="B651" s="2035"/>
      <c r="C651" s="631"/>
      <c r="D651" s="652"/>
      <c r="E651" s="2013"/>
      <c r="F651" s="549"/>
      <c r="G651" s="469"/>
      <c r="H651" s="2037"/>
      <c r="I651" s="2014"/>
      <c r="J651" s="2105" t="s">
        <v>2267</v>
      </c>
      <c r="K651" s="2075"/>
      <c r="L651" s="2075"/>
      <c r="M651" s="2075"/>
      <c r="N651" s="2075"/>
      <c r="O651" s="2075"/>
      <c r="P651" s="2016"/>
      <c r="Q651" s="656"/>
      <c r="R651" s="657"/>
      <c r="S651" s="474">
        <v>3000000</v>
      </c>
      <c r="T651" s="477" t="s">
        <v>56</v>
      </c>
      <c r="U651" s="2015"/>
      <c r="V651" s="656">
        <v>5</v>
      </c>
      <c r="W651" s="2082" t="s">
        <v>369</v>
      </c>
      <c r="X651" s="2030" t="s">
        <v>1</v>
      </c>
      <c r="Y651" s="483">
        <f>Z651/1000</f>
        <v>15000</v>
      </c>
      <c r="Z651" s="555">
        <f>S651*V651</f>
        <v>15000000</v>
      </c>
      <c r="AA651" s="308"/>
      <c r="AB651" s="2015"/>
      <c r="AC651" s="2015"/>
    </row>
    <row r="652" spans="1:30" s="1679" customFormat="1" ht="22.5" customHeight="1">
      <c r="A652" s="2079"/>
      <c r="B652" s="2035"/>
      <c r="C652" s="631"/>
      <c r="D652" s="652"/>
      <c r="E652" s="2013"/>
      <c r="F652" s="2031"/>
      <c r="G652" s="469"/>
      <c r="H652" s="2037"/>
      <c r="I652" s="2014"/>
      <c r="J652" s="2105" t="s">
        <v>1663</v>
      </c>
      <c r="K652" s="2075"/>
      <c r="L652" s="2075"/>
      <c r="M652" s="2075"/>
      <c r="N652" s="2075"/>
      <c r="O652" s="2075"/>
      <c r="P652" s="2016"/>
      <c r="Q652" s="656">
        <v>10</v>
      </c>
      <c r="R652" s="657" t="s">
        <v>385</v>
      </c>
      <c r="S652" s="474">
        <v>200000</v>
      </c>
      <c r="T652" s="477" t="s">
        <v>68</v>
      </c>
      <c r="U652" s="2015"/>
      <c r="V652" s="656">
        <v>5</v>
      </c>
      <c r="W652" s="2082" t="s">
        <v>369</v>
      </c>
      <c r="X652" s="2030" t="s">
        <v>1</v>
      </c>
      <c r="Y652" s="483">
        <f>Z652/1000</f>
        <v>10000</v>
      </c>
      <c r="Z652" s="555">
        <f>Q652*S652*V652</f>
        <v>10000000</v>
      </c>
      <c r="AA652" s="308"/>
      <c r="AB652" s="2015"/>
      <c r="AC652" s="2015"/>
    </row>
    <row r="653" spans="1:30" s="1679" customFormat="1" ht="22.5" customHeight="1">
      <c r="A653" s="2079"/>
      <c r="B653" s="2035"/>
      <c r="C653" s="631"/>
      <c r="D653" s="652"/>
      <c r="E653" s="2013" t="s">
        <v>246</v>
      </c>
      <c r="F653" s="549">
        <f>Y653</f>
        <v>82000</v>
      </c>
      <c r="G653" s="654">
        <v>82000</v>
      </c>
      <c r="H653" s="2037"/>
      <c r="I653" s="2014"/>
      <c r="J653" s="2105" t="s">
        <v>2258</v>
      </c>
      <c r="K653" s="2075"/>
      <c r="L653" s="2075"/>
      <c r="M653" s="2075"/>
      <c r="N653" s="2075"/>
      <c r="O653" s="2075"/>
      <c r="P653" s="2016"/>
      <c r="Q653" s="511"/>
      <c r="R653" s="2082"/>
      <c r="S653" s="474">
        <v>16400000</v>
      </c>
      <c r="T653" s="477" t="s">
        <v>56</v>
      </c>
      <c r="U653" s="2015"/>
      <c r="V653" s="656">
        <v>5</v>
      </c>
      <c r="W653" s="2082" t="s">
        <v>369</v>
      </c>
      <c r="X653" s="2030" t="s">
        <v>1</v>
      </c>
      <c r="Y653" s="483">
        <f>Z653/1000</f>
        <v>82000</v>
      </c>
      <c r="Z653" s="555">
        <f>S653*V653</f>
        <v>82000000</v>
      </c>
      <c r="AA653" s="308"/>
      <c r="AB653" s="2015"/>
      <c r="AC653" s="2015"/>
    </row>
    <row r="654" spans="1:30" s="425" customFormat="1" ht="22.5" customHeight="1">
      <c r="A654" s="2079"/>
      <c r="B654" s="2035"/>
      <c r="C654" s="649"/>
      <c r="D654" s="659"/>
      <c r="E654" s="660" t="s">
        <v>242</v>
      </c>
      <c r="F654" s="549">
        <f>Y654</f>
        <v>2000</v>
      </c>
      <c r="G654" s="661">
        <v>2000</v>
      </c>
      <c r="H654" s="2037"/>
      <c r="I654" s="2014"/>
      <c r="J654" s="2105" t="s">
        <v>2259</v>
      </c>
      <c r="K654" s="2075"/>
      <c r="L654" s="2075"/>
      <c r="M654" s="2075"/>
      <c r="N654" s="2075"/>
      <c r="O654" s="2075"/>
      <c r="P654" s="2016"/>
      <c r="Q654" s="656"/>
      <c r="R654" s="657"/>
      <c r="S654" s="474">
        <v>500000</v>
      </c>
      <c r="T654" s="477" t="s">
        <v>68</v>
      </c>
      <c r="U654" s="2082"/>
      <c r="V654" s="656">
        <v>4</v>
      </c>
      <c r="W654" s="2082" t="s">
        <v>369</v>
      </c>
      <c r="X654" s="2030" t="s">
        <v>1</v>
      </c>
      <c r="Y654" s="483">
        <f>Z654/1000</f>
        <v>2000</v>
      </c>
      <c r="Z654" s="555">
        <f>S654*V654</f>
        <v>2000000</v>
      </c>
      <c r="AA654" s="308"/>
      <c r="AB654" s="491"/>
      <c r="AC654" s="491"/>
    </row>
    <row r="655" spans="1:30" s="1679" customFormat="1" ht="22.5" customHeight="1">
      <c r="A655" s="2079"/>
      <c r="B655" s="2035"/>
      <c r="C655" s="649"/>
      <c r="D655" s="4116" t="s">
        <v>2257</v>
      </c>
      <c r="E655" s="4117"/>
      <c r="F655" s="650">
        <f>SUM(F656:F666)</f>
        <v>120000</v>
      </c>
      <c r="G655" s="650">
        <f>SUM(G656:G666)</f>
        <v>120000</v>
      </c>
      <c r="H655" s="627">
        <f>F655-G655</f>
        <v>0</v>
      </c>
      <c r="I655" s="2014"/>
      <c r="J655" s="538"/>
      <c r="K655" s="2101"/>
      <c r="L655" s="2101"/>
      <c r="M655" s="2101"/>
      <c r="N655" s="2101"/>
      <c r="O655" s="2101"/>
      <c r="P655" s="645"/>
      <c r="Q655" s="648"/>
      <c r="R655" s="647"/>
      <c r="S655" s="648"/>
      <c r="T655" s="647"/>
      <c r="U655" s="2036"/>
      <c r="V655" s="648"/>
      <c r="W655" s="2068"/>
      <c r="X655" s="585"/>
      <c r="Y655" s="594"/>
      <c r="Z655" s="2730"/>
      <c r="AA655" s="308"/>
      <c r="AB655" s="2015"/>
      <c r="AC655" s="2015"/>
    </row>
    <row r="656" spans="1:30" s="1679" customFormat="1" ht="22.5" customHeight="1">
      <c r="A656" s="2079"/>
      <c r="B656" s="2035"/>
      <c r="C656" s="631"/>
      <c r="D656" s="652"/>
      <c r="E656" s="2013" t="s">
        <v>388</v>
      </c>
      <c r="F656" s="549">
        <f>Y656</f>
        <v>22000</v>
      </c>
      <c r="G656" s="654">
        <v>22000</v>
      </c>
      <c r="H656" s="2037"/>
      <c r="I656" s="2014"/>
      <c r="J656" s="2105" t="s">
        <v>2260</v>
      </c>
      <c r="K656" s="2075"/>
      <c r="L656" s="2075"/>
      <c r="M656" s="2075"/>
      <c r="N656" s="2075"/>
      <c r="O656" s="2075"/>
      <c r="P656" s="2016"/>
      <c r="Q656" s="656"/>
      <c r="R656" s="657"/>
      <c r="S656" s="656">
        <v>2200000</v>
      </c>
      <c r="T656" s="477" t="s">
        <v>56</v>
      </c>
      <c r="U656" s="2015"/>
      <c r="V656" s="656">
        <v>10</v>
      </c>
      <c r="W656" s="2082" t="s">
        <v>55</v>
      </c>
      <c r="X656" s="2030" t="s">
        <v>1</v>
      </c>
      <c r="Y656" s="483">
        <f>Z656/1000</f>
        <v>22000</v>
      </c>
      <c r="Z656" s="555">
        <f>S656*V656</f>
        <v>22000000</v>
      </c>
      <c r="AA656" s="308"/>
      <c r="AB656" s="2015"/>
      <c r="AC656" s="2015"/>
    </row>
    <row r="657" spans="1:29" s="425" customFormat="1" ht="22.5" customHeight="1">
      <c r="A657" s="2079"/>
      <c r="B657" s="2035"/>
      <c r="C657" s="649"/>
      <c r="D657" s="659"/>
      <c r="E657" s="662" t="s">
        <v>229</v>
      </c>
      <c r="F657" s="549">
        <f>Y657</f>
        <v>40200</v>
      </c>
      <c r="G657" s="661">
        <v>40200</v>
      </c>
      <c r="H657" s="2037"/>
      <c r="I657" s="2014"/>
      <c r="J657" s="2105" t="s">
        <v>2261</v>
      </c>
      <c r="K657" s="2075"/>
      <c r="L657" s="2075"/>
      <c r="M657" s="2075"/>
      <c r="N657" s="2075"/>
      <c r="O657" s="2075"/>
      <c r="P657" s="2016"/>
      <c r="Q657" s="511">
        <v>2</v>
      </c>
      <c r="R657" s="2082" t="s">
        <v>387</v>
      </c>
      <c r="S657" s="656">
        <v>67000</v>
      </c>
      <c r="T657" s="477" t="s">
        <v>56</v>
      </c>
      <c r="U657" s="2015"/>
      <c r="V657" s="656">
        <v>300</v>
      </c>
      <c r="W657" s="2082" t="s">
        <v>254</v>
      </c>
      <c r="X657" s="2030" t="s">
        <v>1</v>
      </c>
      <c r="Y657" s="483">
        <f>Z657/1000</f>
        <v>40200</v>
      </c>
      <c r="Z657" s="555">
        <f>Q657*S657*V657</f>
        <v>40200000</v>
      </c>
      <c r="AA657" s="308"/>
      <c r="AB657" s="491"/>
      <c r="AC657" s="491"/>
    </row>
    <row r="658" spans="1:29" s="425" customFormat="1" ht="22.5" customHeight="1">
      <c r="A658" s="2079"/>
      <c r="B658" s="2035"/>
      <c r="C658" s="649"/>
      <c r="D658" s="659"/>
      <c r="E658" s="662" t="s">
        <v>264</v>
      </c>
      <c r="F658" s="549">
        <f>Y658</f>
        <v>4990</v>
      </c>
      <c r="G658" s="661">
        <v>4990</v>
      </c>
      <c r="H658" s="2037"/>
      <c r="I658" s="2014"/>
      <c r="J658" s="2105" t="s">
        <v>2265</v>
      </c>
      <c r="K658" s="2075"/>
      <c r="L658" s="2075"/>
      <c r="M658" s="2075"/>
      <c r="N658" s="2075"/>
      <c r="O658" s="2075"/>
      <c r="P658" s="2016"/>
      <c r="Q658" s="511"/>
      <c r="R658" s="2082"/>
      <c r="S658" s="2329">
        <v>4990000</v>
      </c>
      <c r="T658" s="477" t="s">
        <v>56</v>
      </c>
      <c r="U658" s="2015"/>
      <c r="V658" s="511">
        <v>1</v>
      </c>
      <c r="W658" s="2082" t="s">
        <v>2270</v>
      </c>
      <c r="X658" s="2030" t="s">
        <v>1</v>
      </c>
      <c r="Y658" s="483">
        <f>Z658/1000</f>
        <v>4990</v>
      </c>
      <c r="Z658" s="555">
        <f>S658*V658</f>
        <v>4990000</v>
      </c>
      <c r="AA658" s="308"/>
      <c r="AB658" s="491"/>
      <c r="AC658" s="491"/>
    </row>
    <row r="659" spans="1:29" s="425" customFormat="1" ht="22.5" customHeight="1">
      <c r="A659" s="2079"/>
      <c r="B659" s="2035"/>
      <c r="C659" s="649"/>
      <c r="D659" s="659"/>
      <c r="E659" s="662" t="s">
        <v>225</v>
      </c>
      <c r="F659" s="549">
        <f>Y659</f>
        <v>8000</v>
      </c>
      <c r="G659" s="661">
        <v>8000</v>
      </c>
      <c r="H659" s="2037"/>
      <c r="I659" s="2014"/>
      <c r="J659" s="2105" t="s">
        <v>2266</v>
      </c>
      <c r="K659" s="2075"/>
      <c r="L659" s="2075"/>
      <c r="M659" s="2075"/>
      <c r="N659" s="2075"/>
      <c r="O659" s="2075"/>
      <c r="P659" s="2016"/>
      <c r="Q659" s="656">
        <v>20</v>
      </c>
      <c r="R659" s="657" t="s">
        <v>385</v>
      </c>
      <c r="S659" s="656">
        <v>40000</v>
      </c>
      <c r="T659" s="477" t="s">
        <v>56</v>
      </c>
      <c r="U659" s="2015"/>
      <c r="V659" s="511">
        <v>10</v>
      </c>
      <c r="W659" s="2082" t="s">
        <v>55</v>
      </c>
      <c r="X659" s="2030" t="s">
        <v>1</v>
      </c>
      <c r="Y659" s="483">
        <f>Z659/1000</f>
        <v>8000</v>
      </c>
      <c r="Z659" s="555">
        <f>Q659*S659*V659</f>
        <v>8000000</v>
      </c>
      <c r="AA659" s="308"/>
      <c r="AB659" s="491"/>
      <c r="AC659" s="491"/>
    </row>
    <row r="660" spans="1:29" s="425" customFormat="1" ht="22.5" customHeight="1">
      <c r="A660" s="2079"/>
      <c r="B660" s="2035"/>
      <c r="C660" s="649"/>
      <c r="D660" s="659"/>
      <c r="E660" s="2733" t="s">
        <v>245</v>
      </c>
      <c r="F660" s="549">
        <f>Y660</f>
        <v>23600</v>
      </c>
      <c r="G660" s="661">
        <v>23600</v>
      </c>
      <c r="H660" s="2037"/>
      <c r="I660" s="2014"/>
      <c r="J660" s="2105" t="s">
        <v>224</v>
      </c>
      <c r="K660" s="2082"/>
      <c r="L660" s="2082"/>
      <c r="M660" s="2082"/>
      <c r="N660" s="2082"/>
      <c r="O660" s="2082"/>
      <c r="P660" s="2082"/>
      <c r="Q660" s="2082"/>
      <c r="R660" s="552"/>
      <c r="S660" s="2106"/>
      <c r="T660" s="2106"/>
      <c r="U660" s="2106"/>
      <c r="V660" s="2106"/>
      <c r="W660" s="2106"/>
      <c r="X660" s="2030"/>
      <c r="Y660" s="483">
        <f>SUM(Y661:Y663)</f>
        <v>23600</v>
      </c>
      <c r="Z660" s="1898">
        <f>SUM(Z661:Z663)</f>
        <v>23600000</v>
      </c>
      <c r="AA660" s="308"/>
      <c r="AB660" s="491"/>
      <c r="AC660" s="491"/>
    </row>
    <row r="661" spans="1:29" s="425" customFormat="1" ht="22.5" customHeight="1">
      <c r="A661" s="2079"/>
      <c r="B661" s="2035"/>
      <c r="C661" s="649"/>
      <c r="D661" s="659"/>
      <c r="E661" s="2733"/>
      <c r="F661" s="653"/>
      <c r="G661" s="661"/>
      <c r="H661" s="2037"/>
      <c r="I661" s="2014"/>
      <c r="J661" s="2105" t="s">
        <v>2063</v>
      </c>
      <c r="K661" s="2075"/>
      <c r="L661" s="2075"/>
      <c r="M661" s="2075"/>
      <c r="N661" s="2075"/>
      <c r="O661" s="2075"/>
      <c r="P661" s="2016"/>
      <c r="Q661" s="511"/>
      <c r="R661" s="2082"/>
      <c r="S661" s="656">
        <v>10000</v>
      </c>
      <c r="T661" s="477" t="s">
        <v>56</v>
      </c>
      <c r="U661" s="2015"/>
      <c r="V661" s="656">
        <v>1000</v>
      </c>
      <c r="W661" s="2082" t="s">
        <v>389</v>
      </c>
      <c r="X661" s="2030" t="s">
        <v>1</v>
      </c>
      <c r="Y661" s="483">
        <f t="shared" ref="Y661:Y666" si="233">Z661/1000</f>
        <v>10000</v>
      </c>
      <c r="Z661" s="555">
        <f>S661*V661</f>
        <v>10000000</v>
      </c>
      <c r="AA661" s="308"/>
      <c r="AB661" s="491"/>
      <c r="AC661" s="491"/>
    </row>
    <row r="662" spans="1:29" s="425" customFormat="1" ht="22.5" customHeight="1">
      <c r="A662" s="2079"/>
      <c r="B662" s="2035"/>
      <c r="C662" s="649"/>
      <c r="D662" s="659"/>
      <c r="E662" s="2733"/>
      <c r="F662" s="653"/>
      <c r="G662" s="661"/>
      <c r="H662" s="2037"/>
      <c r="I662" s="2014"/>
      <c r="J662" s="2105" t="s">
        <v>2268</v>
      </c>
      <c r="K662" s="2075"/>
      <c r="L662" s="2075"/>
      <c r="M662" s="2075"/>
      <c r="N662" s="2075"/>
      <c r="O662" s="2075"/>
      <c r="P662" s="2016"/>
      <c r="Q662" s="511"/>
      <c r="R662" s="2082"/>
      <c r="S662" s="656">
        <v>2000</v>
      </c>
      <c r="T662" s="477" t="s">
        <v>56</v>
      </c>
      <c r="U662" s="2015"/>
      <c r="V662" s="656">
        <v>5000</v>
      </c>
      <c r="W662" s="2082" t="s">
        <v>389</v>
      </c>
      <c r="X662" s="2030" t="s">
        <v>1</v>
      </c>
      <c r="Y662" s="483">
        <f t="shared" si="233"/>
        <v>10000</v>
      </c>
      <c r="Z662" s="555">
        <f>S662*V662</f>
        <v>10000000</v>
      </c>
      <c r="AA662" s="308"/>
      <c r="AB662" s="491"/>
      <c r="AC662" s="491"/>
    </row>
    <row r="663" spans="1:29" s="425" customFormat="1" ht="22.5" customHeight="1">
      <c r="A663" s="2079"/>
      <c r="B663" s="2035"/>
      <c r="C663" s="649"/>
      <c r="D663" s="659"/>
      <c r="E663" s="2733"/>
      <c r="F663" s="653"/>
      <c r="G663" s="661"/>
      <c r="H663" s="2037"/>
      <c r="I663" s="2014"/>
      <c r="J663" s="2105" t="s">
        <v>2269</v>
      </c>
      <c r="K663" s="2075"/>
      <c r="L663" s="2075"/>
      <c r="M663" s="2075"/>
      <c r="N663" s="2075"/>
      <c r="O663" s="2075"/>
      <c r="P663" s="2016"/>
      <c r="Q663" s="511">
        <v>6</v>
      </c>
      <c r="R663" s="657" t="s">
        <v>385</v>
      </c>
      <c r="S663" s="656">
        <v>200000</v>
      </c>
      <c r="T663" s="477" t="s">
        <v>56</v>
      </c>
      <c r="U663" s="2015"/>
      <c r="V663" s="656">
        <v>3</v>
      </c>
      <c r="W663" s="2082" t="s">
        <v>369</v>
      </c>
      <c r="X663" s="2030" t="s">
        <v>1</v>
      </c>
      <c r="Y663" s="483">
        <f t="shared" si="233"/>
        <v>3600</v>
      </c>
      <c r="Z663" s="555">
        <f>Q663*S663*V663</f>
        <v>3600000</v>
      </c>
      <c r="AA663" s="308"/>
      <c r="AB663" s="491"/>
      <c r="AC663" s="491"/>
    </row>
    <row r="664" spans="1:29" s="425" customFormat="1" ht="22.5" customHeight="1">
      <c r="A664" s="2079"/>
      <c r="B664" s="2035"/>
      <c r="C664" s="649"/>
      <c r="D664" s="659"/>
      <c r="E664" s="660" t="s">
        <v>431</v>
      </c>
      <c r="F664" s="549">
        <f>Y664</f>
        <v>17500</v>
      </c>
      <c r="G664" s="661">
        <v>17500</v>
      </c>
      <c r="H664" s="2037"/>
      <c r="I664" s="2014"/>
      <c r="J664" s="2105" t="s">
        <v>2262</v>
      </c>
      <c r="K664" s="2075"/>
      <c r="L664" s="2075"/>
      <c r="M664" s="2075"/>
      <c r="N664" s="2075"/>
      <c r="O664" s="2075"/>
      <c r="P664" s="2016"/>
      <c r="Q664" s="511"/>
      <c r="R664" s="2082"/>
      <c r="S664" s="656">
        <v>50000</v>
      </c>
      <c r="T664" s="477" t="s">
        <v>56</v>
      </c>
      <c r="U664" s="2082"/>
      <c r="V664" s="656">
        <v>350</v>
      </c>
      <c r="W664" s="2082" t="s">
        <v>908</v>
      </c>
      <c r="X664" s="2030" t="s">
        <v>1</v>
      </c>
      <c r="Y664" s="483">
        <f t="shared" si="233"/>
        <v>17500</v>
      </c>
      <c r="Z664" s="555">
        <f>S664*V664</f>
        <v>17500000</v>
      </c>
      <c r="AA664" s="308"/>
      <c r="AB664" s="491"/>
      <c r="AC664" s="491"/>
    </row>
    <row r="665" spans="1:29" s="425" customFormat="1" ht="22.5" customHeight="1">
      <c r="A665" s="2373"/>
      <c r="B665" s="2035"/>
      <c r="C665" s="649"/>
      <c r="D665" s="659"/>
      <c r="E665" s="660" t="s">
        <v>262</v>
      </c>
      <c r="F665" s="549">
        <f>Y665</f>
        <v>1210</v>
      </c>
      <c r="G665" s="661">
        <v>1210</v>
      </c>
      <c r="H665" s="2037"/>
      <c r="I665" s="2014"/>
      <c r="J665" s="2105" t="s">
        <v>2263</v>
      </c>
      <c r="K665" s="2075"/>
      <c r="L665" s="2075"/>
      <c r="M665" s="2075"/>
      <c r="N665" s="2075"/>
      <c r="O665" s="2075"/>
      <c r="P665" s="2016"/>
      <c r="Q665" s="511"/>
      <c r="R665" s="2082"/>
      <c r="S665" s="2329">
        <v>121000</v>
      </c>
      <c r="T665" s="477" t="s">
        <v>56</v>
      </c>
      <c r="U665" s="2015"/>
      <c r="V665" s="511">
        <v>10</v>
      </c>
      <c r="W665" s="2082" t="s">
        <v>55</v>
      </c>
      <c r="X665" s="2030" t="s">
        <v>1</v>
      </c>
      <c r="Y665" s="483">
        <f t="shared" si="233"/>
        <v>1210</v>
      </c>
      <c r="Z665" s="555">
        <f>S665*V665</f>
        <v>1210000</v>
      </c>
      <c r="AA665" s="308"/>
      <c r="AB665" s="491"/>
      <c r="AC665" s="491"/>
    </row>
    <row r="666" spans="1:29" s="425" customFormat="1" ht="22.5" customHeight="1">
      <c r="A666" s="2079"/>
      <c r="B666" s="2035"/>
      <c r="C666" s="649"/>
      <c r="D666" s="659"/>
      <c r="E666" s="660" t="s">
        <v>384</v>
      </c>
      <c r="F666" s="549">
        <f>Y666</f>
        <v>2500</v>
      </c>
      <c r="G666" s="661">
        <v>2500</v>
      </c>
      <c r="H666" s="2037"/>
      <c r="I666" s="2014"/>
      <c r="J666" s="2105" t="s">
        <v>2264</v>
      </c>
      <c r="K666" s="2075"/>
      <c r="L666" s="2075"/>
      <c r="M666" s="2075"/>
      <c r="N666" s="2075"/>
      <c r="O666" s="2075"/>
      <c r="P666" s="2016"/>
      <c r="Q666" s="511">
        <v>10</v>
      </c>
      <c r="R666" s="657" t="s">
        <v>385</v>
      </c>
      <c r="S666" s="2329">
        <v>25000</v>
      </c>
      <c r="T666" s="477" t="s">
        <v>56</v>
      </c>
      <c r="U666" s="2015"/>
      <c r="V666" s="656">
        <v>10</v>
      </c>
      <c r="W666" s="2082" t="s">
        <v>369</v>
      </c>
      <c r="X666" s="2030" t="s">
        <v>1</v>
      </c>
      <c r="Y666" s="483">
        <f t="shared" si="233"/>
        <v>2500</v>
      </c>
      <c r="Z666" s="555">
        <f>Q666*S666*V666</f>
        <v>2500000</v>
      </c>
      <c r="AA666" s="308"/>
      <c r="AB666" s="491"/>
      <c r="AC666" s="491"/>
    </row>
    <row r="667" spans="1:29" s="1889" customFormat="1" ht="22.5" customHeight="1">
      <c r="A667" s="673"/>
      <c r="B667" s="674"/>
      <c r="C667" s="3949" t="s">
        <v>2271</v>
      </c>
      <c r="D667" s="3949"/>
      <c r="E667" s="3949"/>
      <c r="F667" s="2550">
        <f>F668+F676+F682</f>
        <v>200000</v>
      </c>
      <c r="G667" s="2550">
        <f>G668+G676+G682</f>
        <v>200000</v>
      </c>
      <c r="H667" s="2496">
        <f>F667-G667</f>
        <v>0</v>
      </c>
      <c r="I667" s="2734"/>
      <c r="J667" s="1989"/>
      <c r="K667" s="2094"/>
      <c r="L667" s="2094"/>
      <c r="M667" s="2094"/>
      <c r="N667" s="2094"/>
      <c r="O667" s="2094"/>
      <c r="P667" s="1075"/>
      <c r="Q667" s="1119"/>
      <c r="R667" s="2469"/>
      <c r="S667" s="2468"/>
      <c r="T667" s="2469"/>
      <c r="U667" s="1536"/>
      <c r="V667" s="2468"/>
      <c r="W667" s="1536"/>
      <c r="X667" s="1422"/>
      <c r="Y667" s="2551"/>
      <c r="Z667" s="2551"/>
      <c r="AA667" s="683"/>
      <c r="AB667" s="967"/>
      <c r="AC667" s="967"/>
    </row>
    <row r="668" spans="1:29" s="1679" customFormat="1" ht="22.5" customHeight="1">
      <c r="A668" s="2079"/>
      <c r="B668" s="2035"/>
      <c r="C668" s="649"/>
      <c r="D668" s="4116" t="s">
        <v>2272</v>
      </c>
      <c r="E668" s="4117"/>
      <c r="F668" s="2735">
        <f>SUM(F669:F675)</f>
        <v>120000</v>
      </c>
      <c r="G668" s="2735">
        <f>SUM(G669:G675)</f>
        <v>120000</v>
      </c>
      <c r="H668" s="627">
        <f>F668-G668</f>
        <v>0</v>
      </c>
      <c r="I668" s="2014"/>
      <c r="J668" s="538"/>
      <c r="K668" s="2101"/>
      <c r="L668" s="2101"/>
      <c r="M668" s="2101"/>
      <c r="N668" s="2101"/>
      <c r="O668" s="2101"/>
      <c r="P668" s="645"/>
      <c r="Q668" s="648"/>
      <c r="R668" s="647"/>
      <c r="S668" s="648"/>
      <c r="T668" s="647"/>
      <c r="U668" s="2036"/>
      <c r="V668" s="648"/>
      <c r="W668" s="2068"/>
      <c r="X668" s="585"/>
      <c r="Y668" s="594"/>
      <c r="Z668" s="2736"/>
      <c r="AA668" s="308"/>
      <c r="AB668" s="2015"/>
      <c r="AC668" s="2015"/>
    </row>
    <row r="669" spans="1:29" s="1679" customFormat="1" ht="22.5" customHeight="1">
      <c r="A669" s="2079"/>
      <c r="B669" s="2035"/>
      <c r="C669" s="631"/>
      <c r="D669" s="652"/>
      <c r="E669" s="1034" t="s">
        <v>65</v>
      </c>
      <c r="F669" s="1194">
        <f t="shared" ref="F669:F675" si="234">Y669</f>
        <v>21000</v>
      </c>
      <c r="G669" s="3176">
        <v>25000</v>
      </c>
      <c r="H669" s="1320">
        <f>F669-G669</f>
        <v>-4000</v>
      </c>
      <c r="I669" s="2060"/>
      <c r="J669" s="681" t="s">
        <v>5071</v>
      </c>
      <c r="K669" s="3525"/>
      <c r="L669" s="3525"/>
      <c r="M669" s="3525"/>
      <c r="N669" s="3525"/>
      <c r="O669" s="3525"/>
      <c r="P669" s="736"/>
      <c r="Q669" s="2453">
        <v>1</v>
      </c>
      <c r="R669" s="2472" t="s">
        <v>385</v>
      </c>
      <c r="S669" s="2453">
        <v>2100000</v>
      </c>
      <c r="T669" s="1678" t="s">
        <v>56</v>
      </c>
      <c r="U669" s="683"/>
      <c r="V669" s="2453">
        <v>10</v>
      </c>
      <c r="W669" s="3515" t="s">
        <v>5072</v>
      </c>
      <c r="X669" s="686" t="s">
        <v>1</v>
      </c>
      <c r="Y669" s="1022">
        <f>Z669/1000</f>
        <v>21000</v>
      </c>
      <c r="Z669" s="688">
        <f>Q669*S669*V669</f>
        <v>21000000</v>
      </c>
      <c r="AA669" s="3382">
        <f t="shared" ref="AA669:AA675" si="235">F669*1000000</f>
        <v>21000000000</v>
      </c>
      <c r="AB669" s="2015"/>
      <c r="AC669" s="2015"/>
    </row>
    <row r="670" spans="1:29" s="1679" customFormat="1" ht="22.5" customHeight="1">
      <c r="A670" s="2079"/>
      <c r="B670" s="2035"/>
      <c r="C670" s="631"/>
      <c r="D670" s="652"/>
      <c r="E670" s="675" t="s">
        <v>225</v>
      </c>
      <c r="F670" s="1078">
        <f t="shared" si="234"/>
        <v>4000</v>
      </c>
      <c r="G670" s="1261">
        <v>0</v>
      </c>
      <c r="H670" s="551">
        <f>F670-G670</f>
        <v>4000</v>
      </c>
      <c r="I670" s="2060"/>
      <c r="J670" s="681" t="s">
        <v>5073</v>
      </c>
      <c r="K670" s="3525"/>
      <c r="L670" s="3525"/>
      <c r="M670" s="3525"/>
      <c r="N670" s="3525"/>
      <c r="O670" s="3525"/>
      <c r="P670" s="736"/>
      <c r="Q670" s="2453">
        <v>1</v>
      </c>
      <c r="R670" s="2472" t="s">
        <v>5074</v>
      </c>
      <c r="S670" s="2453">
        <v>400000</v>
      </c>
      <c r="T670" s="1678" t="s">
        <v>56</v>
      </c>
      <c r="U670" s="683"/>
      <c r="V670" s="2453">
        <v>10</v>
      </c>
      <c r="W670" s="3515" t="s">
        <v>5072</v>
      </c>
      <c r="X670" s="686" t="s">
        <v>1</v>
      </c>
      <c r="Y670" s="1022">
        <f>Z670/1000</f>
        <v>4000</v>
      </c>
      <c r="Z670" s="688">
        <f>Q670*S670*V670</f>
        <v>4000000</v>
      </c>
      <c r="AA670" s="3382">
        <f t="shared" si="235"/>
        <v>4000000000</v>
      </c>
      <c r="AB670" s="2015"/>
      <c r="AC670" s="2015"/>
    </row>
    <row r="671" spans="1:29" s="1679" customFormat="1" ht="22.5" customHeight="1">
      <c r="A671" s="2079"/>
      <c r="B671" s="2035"/>
      <c r="C671" s="631"/>
      <c r="D671" s="652"/>
      <c r="E671" s="2013" t="s">
        <v>431</v>
      </c>
      <c r="F671" s="736">
        <f t="shared" si="234"/>
        <v>66000</v>
      </c>
      <c r="G671" s="1261">
        <f>72000</f>
        <v>72000</v>
      </c>
      <c r="H671" s="551">
        <f>F671-G671</f>
        <v>-6000</v>
      </c>
      <c r="I671" s="2014"/>
      <c r="J671" s="681" t="s">
        <v>5075</v>
      </c>
      <c r="K671" s="3525"/>
      <c r="L671" s="3525"/>
      <c r="M671" s="3525"/>
      <c r="N671" s="3525"/>
      <c r="O671" s="3525"/>
      <c r="P671" s="736"/>
      <c r="Q671" s="2453">
        <v>1</v>
      </c>
      <c r="R671" s="2472" t="s">
        <v>5076</v>
      </c>
      <c r="S671" s="2453">
        <v>66000000</v>
      </c>
      <c r="T671" s="1678" t="s">
        <v>5077</v>
      </c>
      <c r="U671" s="683"/>
      <c r="V671" s="2453">
        <v>1</v>
      </c>
      <c r="W671" s="3515" t="s">
        <v>5078</v>
      </c>
      <c r="X671" s="686" t="s">
        <v>1</v>
      </c>
      <c r="Y671" s="1022">
        <f t="shared" ref="Y671:Y675" si="236">Z671/1000</f>
        <v>66000</v>
      </c>
      <c r="Z671" s="688">
        <f t="shared" ref="Z671:Z675" si="237">Q671*S671*V671</f>
        <v>66000000</v>
      </c>
      <c r="AA671" s="3382">
        <f t="shared" si="235"/>
        <v>66000000000</v>
      </c>
      <c r="AB671" s="2015"/>
      <c r="AC671" s="2015"/>
    </row>
    <row r="672" spans="1:29" s="1679" customFormat="1" ht="22.5" customHeight="1">
      <c r="A672" s="2079"/>
      <c r="B672" s="2035"/>
      <c r="C672" s="631"/>
      <c r="D672" s="652"/>
      <c r="E672" s="2013" t="s">
        <v>647</v>
      </c>
      <c r="F672" s="1078">
        <f t="shared" si="234"/>
        <v>10000</v>
      </c>
      <c r="G672" s="1261">
        <f t="shared" ref="G672" si="238">Y672</f>
        <v>10000</v>
      </c>
      <c r="H672" s="2037"/>
      <c r="I672" s="2014"/>
      <c r="J672" s="681" t="s">
        <v>5079</v>
      </c>
      <c r="K672" s="3525"/>
      <c r="L672" s="3525"/>
      <c r="M672" s="3525"/>
      <c r="N672" s="3525"/>
      <c r="O672" s="3525"/>
      <c r="P672" s="736"/>
      <c r="Q672" s="735">
        <v>1</v>
      </c>
      <c r="R672" s="3515" t="s">
        <v>5076</v>
      </c>
      <c r="S672" s="2453">
        <f>10000000</f>
        <v>10000000</v>
      </c>
      <c r="T672" s="1678" t="s">
        <v>56</v>
      </c>
      <c r="U672" s="683"/>
      <c r="V672" s="2453">
        <v>1</v>
      </c>
      <c r="W672" s="3515" t="s">
        <v>5078</v>
      </c>
      <c r="X672" s="686" t="s">
        <v>1</v>
      </c>
      <c r="Y672" s="1022">
        <f t="shared" si="236"/>
        <v>10000</v>
      </c>
      <c r="Z672" s="688">
        <f t="shared" si="237"/>
        <v>10000000</v>
      </c>
      <c r="AA672" s="3382">
        <f t="shared" si="235"/>
        <v>10000000000</v>
      </c>
      <c r="AB672" s="2015"/>
      <c r="AC672" s="2015"/>
    </row>
    <row r="673" spans="1:29" s="425" customFormat="1" ht="22.5" customHeight="1">
      <c r="A673" s="2079"/>
      <c r="B673" s="2035"/>
      <c r="C673" s="649"/>
      <c r="D673" s="659"/>
      <c r="E673" s="2328" t="s">
        <v>2299</v>
      </c>
      <c r="F673" s="736">
        <f t="shared" si="234"/>
        <v>4600</v>
      </c>
      <c r="G673" s="1261">
        <v>2600</v>
      </c>
      <c r="H673" s="551">
        <f>F673-G673</f>
        <v>2000</v>
      </c>
      <c r="I673" s="2014"/>
      <c r="J673" s="681" t="s">
        <v>5080</v>
      </c>
      <c r="K673" s="3525"/>
      <c r="L673" s="3525"/>
      <c r="M673" s="3525"/>
      <c r="N673" s="3525"/>
      <c r="O673" s="3525"/>
      <c r="P673" s="736"/>
      <c r="Q673" s="2453">
        <v>1</v>
      </c>
      <c r="R673" s="2472" t="s">
        <v>5076</v>
      </c>
      <c r="S673" s="2453">
        <v>200000</v>
      </c>
      <c r="T673" s="1678" t="s">
        <v>5077</v>
      </c>
      <c r="U673" s="3515"/>
      <c r="V673" s="2453">
        <v>23</v>
      </c>
      <c r="W673" s="3515" t="s">
        <v>5078</v>
      </c>
      <c r="X673" s="686" t="s">
        <v>1</v>
      </c>
      <c r="Y673" s="1022">
        <f>Z673/1000</f>
        <v>4600</v>
      </c>
      <c r="Z673" s="688">
        <f>Q673*S673*V673</f>
        <v>4600000</v>
      </c>
      <c r="AA673" s="3382">
        <f t="shared" si="235"/>
        <v>4600000000</v>
      </c>
      <c r="AB673" s="491"/>
      <c r="AC673" s="491"/>
    </row>
    <row r="674" spans="1:29" s="425" customFormat="1" ht="22.5" customHeight="1">
      <c r="A674" s="2079"/>
      <c r="B674" s="2035"/>
      <c r="C674" s="649"/>
      <c r="D674" s="659"/>
      <c r="E674" s="2328" t="s">
        <v>2303</v>
      </c>
      <c r="F674" s="1078">
        <f t="shared" si="234"/>
        <v>6400</v>
      </c>
      <c r="G674" s="1261">
        <v>2400</v>
      </c>
      <c r="H674" s="551">
        <f>F674-G674</f>
        <v>4000</v>
      </c>
      <c r="I674" s="2014"/>
      <c r="J674" s="681" t="s">
        <v>5081</v>
      </c>
      <c r="K674" s="3525"/>
      <c r="L674" s="3525"/>
      <c r="M674" s="3525"/>
      <c r="N674" s="3525"/>
      <c r="O674" s="3525"/>
      <c r="P674" s="736"/>
      <c r="Q674" s="2453">
        <v>1</v>
      </c>
      <c r="R674" s="2472" t="s">
        <v>5076</v>
      </c>
      <c r="S674" s="2453">
        <v>200000</v>
      </c>
      <c r="T674" s="1678" t="s">
        <v>5077</v>
      </c>
      <c r="U674" s="3515"/>
      <c r="V674" s="2453">
        <v>32</v>
      </c>
      <c r="W674" s="3515" t="s">
        <v>5078</v>
      </c>
      <c r="X674" s="686" t="s">
        <v>1</v>
      </c>
      <c r="Y674" s="1022">
        <f t="shared" ref="Y674" si="239">Z674/1000</f>
        <v>6400</v>
      </c>
      <c r="Z674" s="688">
        <f t="shared" ref="Z674" si="240">Q674*S674*V674</f>
        <v>6400000</v>
      </c>
      <c r="AA674" s="3382">
        <f t="shared" si="235"/>
        <v>6400000000</v>
      </c>
      <c r="AB674" s="491"/>
      <c r="AC674" s="491"/>
    </row>
    <row r="675" spans="1:29" s="425" customFormat="1" ht="22.5" customHeight="1">
      <c r="A675" s="2079"/>
      <c r="B675" s="2035"/>
      <c r="C675" s="649"/>
      <c r="D675" s="659"/>
      <c r="E675" s="2334" t="s">
        <v>2304</v>
      </c>
      <c r="F675" s="736">
        <f t="shared" si="234"/>
        <v>8000</v>
      </c>
      <c r="G675" s="1385">
        <f>Y675</f>
        <v>8000</v>
      </c>
      <c r="H675" s="1362"/>
      <c r="I675" s="2014"/>
      <c r="J675" s="681" t="s">
        <v>5082</v>
      </c>
      <c r="K675" s="3525"/>
      <c r="L675" s="3525"/>
      <c r="M675" s="3525"/>
      <c r="N675" s="3525"/>
      <c r="O675" s="1093"/>
      <c r="P675" s="736"/>
      <c r="Q675" s="2453">
        <v>1</v>
      </c>
      <c r="R675" s="2472" t="s">
        <v>5076</v>
      </c>
      <c r="S675" s="2453">
        <v>8000000</v>
      </c>
      <c r="T675" s="1678" t="s">
        <v>56</v>
      </c>
      <c r="U675" s="683"/>
      <c r="V675" s="2453">
        <v>1</v>
      </c>
      <c r="W675" s="3515" t="s">
        <v>5078</v>
      </c>
      <c r="X675" s="686" t="s">
        <v>1</v>
      </c>
      <c r="Y675" s="1022">
        <f t="shared" si="236"/>
        <v>8000</v>
      </c>
      <c r="Z675" s="688">
        <f t="shared" si="237"/>
        <v>8000000</v>
      </c>
      <c r="AA675" s="3382">
        <f t="shared" si="235"/>
        <v>8000000000</v>
      </c>
      <c r="AB675" s="491"/>
      <c r="AC675" s="491"/>
    </row>
    <row r="676" spans="1:29" s="1679" customFormat="1" ht="22.5" customHeight="1">
      <c r="A676" s="2079"/>
      <c r="B676" s="2035"/>
      <c r="C676" s="649"/>
      <c r="D676" s="4116" t="s">
        <v>2275</v>
      </c>
      <c r="E676" s="4117"/>
      <c r="F676" s="650">
        <f>SUM(F677:F681)</f>
        <v>55000</v>
      </c>
      <c r="G676" s="2738">
        <f>SUM(G677:G681)</f>
        <v>55000</v>
      </c>
      <c r="H676" s="627">
        <f>F676-G676</f>
        <v>0</v>
      </c>
      <c r="I676" s="2014"/>
      <c r="J676" s="538"/>
      <c r="K676" s="2101"/>
      <c r="L676" s="2101"/>
      <c r="M676" s="2101"/>
      <c r="N676" s="2101"/>
      <c r="O676" s="2075"/>
      <c r="P676" s="645"/>
      <c r="Q676" s="648"/>
      <c r="R676" s="647"/>
      <c r="S676" s="648"/>
      <c r="T676" s="647"/>
      <c r="U676" s="2036"/>
      <c r="V676" s="648"/>
      <c r="W676" s="2068"/>
      <c r="X676" s="585"/>
      <c r="Y676" s="586"/>
      <c r="Z676" s="2412"/>
      <c r="AA676" s="308"/>
      <c r="AB676" s="2015"/>
      <c r="AC676" s="2015"/>
    </row>
    <row r="677" spans="1:29" s="1679" customFormat="1" ht="22.5" customHeight="1">
      <c r="A677" s="2079"/>
      <c r="B677" s="2035"/>
      <c r="C677" s="631"/>
      <c r="D677" s="652"/>
      <c r="E677" s="675" t="s">
        <v>388</v>
      </c>
      <c r="F677" s="1131">
        <f>Y677</f>
        <v>21000</v>
      </c>
      <c r="G677" s="2475">
        <v>21000</v>
      </c>
      <c r="H677" s="680"/>
      <c r="I677" s="2060"/>
      <c r="J677" s="681" t="s">
        <v>5071</v>
      </c>
      <c r="K677" s="3525"/>
      <c r="L677" s="3525"/>
      <c r="M677" s="3525"/>
      <c r="N677" s="3525"/>
      <c r="O677" s="3526"/>
      <c r="P677" s="736"/>
      <c r="Q677" s="2453">
        <v>1</v>
      </c>
      <c r="R677" s="2472" t="s">
        <v>385</v>
      </c>
      <c r="S677" s="2453">
        <v>2100000</v>
      </c>
      <c r="T677" s="1678" t="s">
        <v>56</v>
      </c>
      <c r="U677" s="683"/>
      <c r="V677" s="2453">
        <v>10</v>
      </c>
      <c r="W677" s="3515" t="s">
        <v>5072</v>
      </c>
      <c r="X677" s="686" t="s">
        <v>1</v>
      </c>
      <c r="Y677" s="1022">
        <f t="shared" ref="Y677:Y681" si="241">Z677/1000</f>
        <v>21000</v>
      </c>
      <c r="Z677" s="3577">
        <f t="shared" ref="Z677:Z681" si="242">Q677*S677*V677</f>
        <v>21000000</v>
      </c>
      <c r="AA677" s="3382">
        <f t="shared" ref="AA677:AA681" si="243">F677*1000000</f>
        <v>21000000000</v>
      </c>
      <c r="AB677" s="2015"/>
      <c r="AC677" s="2015"/>
    </row>
    <row r="678" spans="1:29" s="1679" customFormat="1" ht="22.5" customHeight="1">
      <c r="A678" s="2079"/>
      <c r="B678" s="2035"/>
      <c r="C678" s="631"/>
      <c r="D678" s="652"/>
      <c r="E678" s="675" t="s">
        <v>5083</v>
      </c>
      <c r="F678" s="1131">
        <f>Y678</f>
        <v>4000</v>
      </c>
      <c r="G678" s="2475">
        <v>4000</v>
      </c>
      <c r="H678" s="680"/>
      <c r="I678" s="2060"/>
      <c r="J678" s="681" t="s">
        <v>5073</v>
      </c>
      <c r="K678" s="3525"/>
      <c r="L678" s="3525"/>
      <c r="M678" s="3525"/>
      <c r="N678" s="3525"/>
      <c r="O678" s="3525"/>
      <c r="P678" s="736"/>
      <c r="Q678" s="2453">
        <v>1</v>
      </c>
      <c r="R678" s="2472" t="s">
        <v>5074</v>
      </c>
      <c r="S678" s="2453">
        <v>400000</v>
      </c>
      <c r="T678" s="1678" t="s">
        <v>56</v>
      </c>
      <c r="U678" s="683"/>
      <c r="V678" s="2453">
        <v>10</v>
      </c>
      <c r="W678" s="3515" t="s">
        <v>5072</v>
      </c>
      <c r="X678" s="686" t="s">
        <v>1</v>
      </c>
      <c r="Y678" s="1022">
        <f t="shared" si="241"/>
        <v>4000</v>
      </c>
      <c r="Z678" s="2454">
        <f t="shared" si="242"/>
        <v>4000000</v>
      </c>
      <c r="AA678" s="3382">
        <f t="shared" si="243"/>
        <v>4000000000</v>
      </c>
      <c r="AB678" s="2015"/>
      <c r="AC678" s="2015"/>
    </row>
    <row r="679" spans="1:29" s="425" customFormat="1" ht="22.5" customHeight="1">
      <c r="A679" s="2079"/>
      <c r="B679" s="2035"/>
      <c r="C679" s="649"/>
      <c r="D679" s="659"/>
      <c r="E679" s="3578" t="s">
        <v>5084</v>
      </c>
      <c r="F679" s="1131">
        <f t="shared" ref="F679:F681" si="244">Y679</f>
        <v>20000</v>
      </c>
      <c r="G679" s="2475">
        <v>20000</v>
      </c>
      <c r="H679" s="680"/>
      <c r="I679" s="2060"/>
      <c r="J679" s="681" t="s">
        <v>5079</v>
      </c>
      <c r="K679" s="3525"/>
      <c r="L679" s="3525"/>
      <c r="M679" s="3525"/>
      <c r="N679" s="3525"/>
      <c r="O679" s="3525"/>
      <c r="P679" s="736"/>
      <c r="Q679" s="735">
        <v>1</v>
      </c>
      <c r="R679" s="3515" t="s">
        <v>5076</v>
      </c>
      <c r="S679" s="2453">
        <v>20000000</v>
      </c>
      <c r="T679" s="1678" t="s">
        <v>56</v>
      </c>
      <c r="U679" s="683"/>
      <c r="V679" s="2453">
        <v>1</v>
      </c>
      <c r="W679" s="3515" t="s">
        <v>5078</v>
      </c>
      <c r="X679" s="686" t="s">
        <v>1</v>
      </c>
      <c r="Y679" s="1022">
        <f t="shared" si="241"/>
        <v>20000</v>
      </c>
      <c r="Z679" s="688">
        <f t="shared" si="242"/>
        <v>20000000</v>
      </c>
      <c r="AA679" s="3382">
        <f t="shared" si="243"/>
        <v>20000000000</v>
      </c>
      <c r="AB679" s="491"/>
      <c r="AC679" s="491"/>
    </row>
    <row r="680" spans="1:29" s="425" customFormat="1" ht="22.5" customHeight="1">
      <c r="A680" s="3375"/>
      <c r="B680" s="2035"/>
      <c r="C680" s="649"/>
      <c r="D680" s="659"/>
      <c r="E680" s="3578" t="s">
        <v>5085</v>
      </c>
      <c r="F680" s="1131">
        <f t="shared" si="244"/>
        <v>2000</v>
      </c>
      <c r="G680" s="2475">
        <v>0</v>
      </c>
      <c r="H680" s="949">
        <f>F680-G680</f>
        <v>2000</v>
      </c>
      <c r="I680" s="2060"/>
      <c r="J680" s="681" t="s">
        <v>5086</v>
      </c>
      <c r="K680" s="3525"/>
      <c r="L680" s="3525"/>
      <c r="M680" s="3525"/>
      <c r="N680" s="3525"/>
      <c r="O680" s="3525"/>
      <c r="P680" s="736"/>
      <c r="Q680" s="2453">
        <v>1</v>
      </c>
      <c r="R680" s="2472" t="s">
        <v>5076</v>
      </c>
      <c r="S680" s="2453">
        <v>1000000</v>
      </c>
      <c r="T680" s="1678" t="s">
        <v>5077</v>
      </c>
      <c r="U680" s="3515"/>
      <c r="V680" s="2453">
        <v>2</v>
      </c>
      <c r="W680" s="3515" t="s">
        <v>5078</v>
      </c>
      <c r="X680" s="686" t="s">
        <v>1</v>
      </c>
      <c r="Y680" s="1022">
        <f t="shared" si="241"/>
        <v>2000</v>
      </c>
      <c r="Z680" s="688">
        <f t="shared" si="242"/>
        <v>2000000</v>
      </c>
      <c r="AA680" s="3382">
        <f t="shared" si="243"/>
        <v>2000000000</v>
      </c>
      <c r="AB680" s="491"/>
      <c r="AC680" s="491"/>
    </row>
    <row r="681" spans="1:29" s="425" customFormat="1" ht="22.5" customHeight="1">
      <c r="A681" s="2079"/>
      <c r="B681" s="2035"/>
      <c r="C681" s="649"/>
      <c r="D681" s="659"/>
      <c r="E681" s="3578" t="s">
        <v>5087</v>
      </c>
      <c r="F681" s="1131">
        <f t="shared" si="244"/>
        <v>8000</v>
      </c>
      <c r="G681" s="2475">
        <v>10000</v>
      </c>
      <c r="H681" s="2062">
        <f>F681-G681</f>
        <v>-2000</v>
      </c>
      <c r="I681" s="2060"/>
      <c r="J681" s="681" t="s">
        <v>5088</v>
      </c>
      <c r="K681" s="3525"/>
      <c r="L681" s="3525"/>
      <c r="M681" s="3525"/>
      <c r="N681" s="3525"/>
      <c r="O681" s="3525"/>
      <c r="P681" s="736"/>
      <c r="Q681" s="735">
        <v>1</v>
      </c>
      <c r="R681" s="3515" t="s">
        <v>5076</v>
      </c>
      <c r="S681" s="2453">
        <v>8000000</v>
      </c>
      <c r="T681" s="1678" t="s">
        <v>56</v>
      </c>
      <c r="U681" s="683"/>
      <c r="V681" s="2453">
        <v>1</v>
      </c>
      <c r="W681" s="3515" t="s">
        <v>5078</v>
      </c>
      <c r="X681" s="686" t="s">
        <v>1</v>
      </c>
      <c r="Y681" s="1022">
        <f t="shared" si="241"/>
        <v>8000</v>
      </c>
      <c r="Z681" s="688">
        <f t="shared" si="242"/>
        <v>8000000</v>
      </c>
      <c r="AA681" s="3382">
        <f t="shared" si="243"/>
        <v>8000000000</v>
      </c>
      <c r="AB681" s="491"/>
      <c r="AC681" s="491"/>
    </row>
    <row r="682" spans="1:29" s="425" customFormat="1" ht="22.5" customHeight="1">
      <c r="A682" s="2079"/>
      <c r="B682" s="2035"/>
      <c r="C682" s="649"/>
      <c r="D682" s="3877" t="s">
        <v>2278</v>
      </c>
      <c r="E682" s="3878"/>
      <c r="F682" s="644">
        <f>SUM(F683:F698)</f>
        <v>25000</v>
      </c>
      <c r="G682" s="644">
        <f>SUM(G683:G698)</f>
        <v>25000</v>
      </c>
      <c r="H682" s="620">
        <f>F682-G682</f>
        <v>0</v>
      </c>
      <c r="I682" s="2373"/>
      <c r="J682" s="2025"/>
      <c r="K682" s="2101"/>
      <c r="L682" s="2101"/>
      <c r="M682" s="2101"/>
      <c r="N682" s="2101"/>
      <c r="O682" s="2101"/>
      <c r="P682" s="645"/>
      <c r="Q682" s="646"/>
      <c r="R682" s="647"/>
      <c r="S682" s="648"/>
      <c r="T682" s="1717"/>
      <c r="U682" s="2036"/>
      <c r="V682" s="648"/>
      <c r="W682" s="2068"/>
      <c r="X682" s="2028"/>
      <c r="Y682" s="748"/>
      <c r="Z682" s="2412"/>
      <c r="AA682" s="308"/>
      <c r="AB682" s="491"/>
      <c r="AC682" s="491"/>
    </row>
    <row r="683" spans="1:29" s="425" customFormat="1" ht="22.5" customHeight="1">
      <c r="A683" s="2079"/>
      <c r="B683" s="2035"/>
      <c r="C683" s="649"/>
      <c r="D683" s="659"/>
      <c r="E683" s="662" t="s">
        <v>2279</v>
      </c>
      <c r="F683" s="653">
        <v>7500</v>
      </c>
      <c r="G683" s="653">
        <v>7500</v>
      </c>
      <c r="H683" s="2037"/>
      <c r="I683" s="2014"/>
      <c r="J683" s="2105" t="s">
        <v>224</v>
      </c>
      <c r="K683" s="2075"/>
      <c r="L683" s="2075"/>
      <c r="M683" s="2075"/>
      <c r="N683" s="2075"/>
      <c r="O683" s="2075"/>
      <c r="P683" s="2016"/>
      <c r="Q683" s="511"/>
      <c r="R683" s="2082"/>
      <c r="S683" s="656"/>
      <c r="T683" s="477"/>
      <c r="U683" s="2015"/>
      <c r="V683" s="656"/>
      <c r="W683" s="2082"/>
      <c r="X683" s="2030"/>
      <c r="Y683" s="748">
        <f t="shared" ref="Y683:Y689" si="245">Z683/1000</f>
        <v>7500</v>
      </c>
      <c r="Z683" s="2412">
        <f>SUM(Z684:Z686)</f>
        <v>7500000</v>
      </c>
      <c r="AA683" s="308"/>
      <c r="AB683" s="491"/>
      <c r="AC683" s="491"/>
    </row>
    <row r="684" spans="1:29" s="425" customFormat="1" ht="22.5" customHeight="1">
      <c r="A684" s="2373"/>
      <c r="B684" s="2035"/>
      <c r="C684" s="649"/>
      <c r="D684" s="659"/>
      <c r="E684" s="660"/>
      <c r="F684" s="653"/>
      <c r="G684" s="653"/>
      <c r="H684" s="2037"/>
      <c r="I684" s="2014"/>
      <c r="J684" s="2105" t="s">
        <v>2280</v>
      </c>
      <c r="K684" s="2075"/>
      <c r="L684" s="2075"/>
      <c r="M684" s="2075"/>
      <c r="N684" s="2075"/>
      <c r="O684" s="2075"/>
      <c r="P684" s="2016"/>
      <c r="Q684" s="511"/>
      <c r="R684" s="657"/>
      <c r="S684" s="2329">
        <v>200000</v>
      </c>
      <c r="T684" s="477" t="s">
        <v>56</v>
      </c>
      <c r="U684" s="2015"/>
      <c r="V684" s="656">
        <v>10</v>
      </c>
      <c r="W684" s="2082" t="s">
        <v>2281</v>
      </c>
      <c r="X684" s="2030" t="s">
        <v>1</v>
      </c>
      <c r="Y684" s="554">
        <f>Z684/1000</f>
        <v>2000</v>
      </c>
      <c r="Z684" s="555">
        <f>S684*V684</f>
        <v>2000000</v>
      </c>
      <c r="AA684" s="308"/>
      <c r="AB684" s="491"/>
      <c r="AC684" s="491"/>
    </row>
    <row r="685" spans="1:29" s="425" customFormat="1" ht="22.5" customHeight="1">
      <c r="A685" s="2373"/>
      <c r="B685" s="2035"/>
      <c r="C685" s="649"/>
      <c r="D685" s="659"/>
      <c r="E685" s="660"/>
      <c r="F685" s="653"/>
      <c r="G685" s="653"/>
      <c r="H685" s="2037"/>
      <c r="I685" s="2014"/>
      <c r="J685" s="2105" t="s">
        <v>2282</v>
      </c>
      <c r="K685" s="2075"/>
      <c r="L685" s="2075"/>
      <c r="M685" s="2075"/>
      <c r="N685" s="2075"/>
      <c r="O685" s="2075"/>
      <c r="P685" s="2016"/>
      <c r="Q685" s="511"/>
      <c r="R685" s="2082"/>
      <c r="S685" s="2329">
        <v>300000</v>
      </c>
      <c r="T685" s="477" t="s">
        <v>2283</v>
      </c>
      <c r="U685" s="2015"/>
      <c r="V685" s="511">
        <v>5</v>
      </c>
      <c r="W685" s="2082" t="s">
        <v>2284</v>
      </c>
      <c r="X685" s="2030" t="s">
        <v>2285</v>
      </c>
      <c r="Y685" s="554">
        <f>Z685/1000</f>
        <v>1500</v>
      </c>
      <c r="Z685" s="555">
        <f>S685*V685</f>
        <v>1500000</v>
      </c>
      <c r="AA685" s="308"/>
      <c r="AB685" s="491"/>
      <c r="AC685" s="491"/>
    </row>
    <row r="686" spans="1:29" s="425" customFormat="1" ht="22.5" customHeight="1">
      <c r="A686" s="2373"/>
      <c r="B686" s="2035"/>
      <c r="C686" s="649"/>
      <c r="D686" s="659"/>
      <c r="E686" s="660"/>
      <c r="F686" s="653"/>
      <c r="G686" s="653"/>
      <c r="H686" s="2037"/>
      <c r="I686" s="2014"/>
      <c r="J686" s="2105" t="s">
        <v>2286</v>
      </c>
      <c r="K686" s="2075"/>
      <c r="L686" s="2075"/>
      <c r="M686" s="2075"/>
      <c r="N686" s="2075"/>
      <c r="O686" s="2075"/>
      <c r="P686" s="2016"/>
      <c r="Q686" s="511"/>
      <c r="R686" s="2082"/>
      <c r="S686" s="2329">
        <v>1000000</v>
      </c>
      <c r="T686" s="477" t="s">
        <v>56</v>
      </c>
      <c r="U686" s="2015"/>
      <c r="V686" s="511">
        <v>4</v>
      </c>
      <c r="W686" s="2082" t="s">
        <v>2284</v>
      </c>
      <c r="X686" s="2030" t="s">
        <v>1</v>
      </c>
      <c r="Y686" s="554">
        <f>Z686/1000</f>
        <v>4000</v>
      </c>
      <c r="Z686" s="555">
        <f>S686*V686</f>
        <v>4000000</v>
      </c>
      <c r="AA686" s="308"/>
      <c r="AB686" s="491"/>
      <c r="AC686" s="491"/>
    </row>
    <row r="687" spans="1:29" s="425" customFormat="1" ht="22.5" customHeight="1">
      <c r="A687" s="2079"/>
      <c r="B687" s="2035"/>
      <c r="C687" s="649"/>
      <c r="D687" s="659"/>
      <c r="E687" s="660" t="s">
        <v>2276</v>
      </c>
      <c r="F687" s="653">
        <f>Y687</f>
        <v>7000</v>
      </c>
      <c r="G687" s="653">
        <v>7000</v>
      </c>
      <c r="H687" s="2037"/>
      <c r="I687" s="2014"/>
      <c r="J687" s="481" t="s">
        <v>224</v>
      </c>
      <c r="K687" s="2015"/>
      <c r="L687" s="2015"/>
      <c r="M687" s="2015"/>
      <c r="N687" s="2015"/>
      <c r="O687" s="2015"/>
      <c r="P687" s="2015"/>
      <c r="Q687" s="2015"/>
      <c r="R687" s="2015"/>
      <c r="S687" s="2015"/>
      <c r="T687" s="2015"/>
      <c r="U687" s="2015"/>
      <c r="V687" s="2015"/>
      <c r="W687" s="2015"/>
      <c r="X687" s="2456"/>
      <c r="Y687" s="554">
        <f t="shared" si="245"/>
        <v>7000</v>
      </c>
      <c r="Z687" s="658">
        <f>SUM(Z688:Z689)</f>
        <v>7000000</v>
      </c>
      <c r="AA687" s="308"/>
      <c r="AB687" s="491"/>
      <c r="AC687" s="491"/>
    </row>
    <row r="688" spans="1:29" s="425" customFormat="1" ht="22.5" customHeight="1">
      <c r="A688" s="2079"/>
      <c r="B688" s="2035"/>
      <c r="C688" s="649"/>
      <c r="D688" s="659"/>
      <c r="E688" s="660"/>
      <c r="F688" s="653"/>
      <c r="G688" s="653"/>
      <c r="H688" s="2037"/>
      <c r="I688" s="2014"/>
      <c r="J688" s="2105" t="s">
        <v>2273</v>
      </c>
      <c r="K688" s="2075"/>
      <c r="L688" s="2075"/>
      <c r="M688" s="2075"/>
      <c r="N688" s="2075"/>
      <c r="O688" s="2075"/>
      <c r="P688" s="2016"/>
      <c r="Q688" s="511"/>
      <c r="R688" s="2082"/>
      <c r="S688" s="656">
        <v>15000</v>
      </c>
      <c r="T688" s="477" t="s">
        <v>56</v>
      </c>
      <c r="U688" s="2082"/>
      <c r="V688" s="656">
        <v>400</v>
      </c>
      <c r="W688" s="2082" t="s">
        <v>2287</v>
      </c>
      <c r="X688" s="2030" t="s">
        <v>1</v>
      </c>
      <c r="Y688" s="554">
        <f t="shared" si="245"/>
        <v>6000</v>
      </c>
      <c r="Z688" s="555">
        <f>S688*V688</f>
        <v>6000000</v>
      </c>
      <c r="AA688" s="308"/>
      <c r="AB688" s="491"/>
      <c r="AC688" s="491"/>
    </row>
    <row r="689" spans="1:29" s="425" customFormat="1" ht="22.5" customHeight="1">
      <c r="A689" s="2079"/>
      <c r="B689" s="2035"/>
      <c r="C689" s="649"/>
      <c r="D689" s="659"/>
      <c r="E689" s="660"/>
      <c r="F689" s="653"/>
      <c r="G689" s="653"/>
      <c r="H689" s="2037"/>
      <c r="I689" s="2014"/>
      <c r="J689" s="2105" t="s">
        <v>2288</v>
      </c>
      <c r="K689" s="2075"/>
      <c r="L689" s="2075"/>
      <c r="M689" s="2075"/>
      <c r="N689" s="2075"/>
      <c r="O689" s="2075"/>
      <c r="P689" s="2016"/>
      <c r="Q689" s="511"/>
      <c r="R689" s="2082"/>
      <c r="S689" s="656">
        <v>1000000</v>
      </c>
      <c r="T689" s="477" t="s">
        <v>2283</v>
      </c>
      <c r="U689" s="2082"/>
      <c r="V689" s="656">
        <v>1</v>
      </c>
      <c r="W689" s="2082" t="s">
        <v>2274</v>
      </c>
      <c r="X689" s="2030" t="s">
        <v>2285</v>
      </c>
      <c r="Y689" s="554">
        <f t="shared" si="245"/>
        <v>1000</v>
      </c>
      <c r="Z689" s="555">
        <f>S689*V689</f>
        <v>1000000</v>
      </c>
      <c r="AA689" s="308"/>
      <c r="AB689" s="491"/>
      <c r="AC689" s="491"/>
    </row>
    <row r="690" spans="1:29" s="425" customFormat="1" ht="22.5" customHeight="1">
      <c r="A690" s="2373"/>
      <c r="B690" s="2035"/>
      <c r="C690" s="649"/>
      <c r="D690" s="659"/>
      <c r="E690" s="660" t="s">
        <v>2289</v>
      </c>
      <c r="F690" s="653">
        <v>750</v>
      </c>
      <c r="G690" s="653">
        <v>750</v>
      </c>
      <c r="H690" s="2037"/>
      <c r="I690" s="2014"/>
      <c r="J690" s="2105" t="s">
        <v>2308</v>
      </c>
      <c r="K690" s="2075"/>
      <c r="L690" s="2075"/>
      <c r="M690" s="2075"/>
      <c r="N690" s="2075"/>
      <c r="O690" s="2075"/>
      <c r="P690" s="2016"/>
      <c r="Q690" s="511"/>
      <c r="R690" s="2082"/>
      <c r="S690" s="2329">
        <v>750000</v>
      </c>
      <c r="T690" s="477" t="s">
        <v>2283</v>
      </c>
      <c r="U690" s="2015"/>
      <c r="V690" s="511">
        <v>1</v>
      </c>
      <c r="W690" s="2082" t="s">
        <v>2274</v>
      </c>
      <c r="X690" s="2030" t="s">
        <v>2285</v>
      </c>
      <c r="Y690" s="554">
        <f>Z690/1000</f>
        <v>750</v>
      </c>
      <c r="Z690" s="555">
        <f>S690*V690</f>
        <v>750000</v>
      </c>
      <c r="AA690" s="308"/>
      <c r="AB690" s="491"/>
      <c r="AC690" s="491"/>
    </row>
    <row r="691" spans="1:29" s="425" customFormat="1" ht="22.5" customHeight="1">
      <c r="A691" s="2373"/>
      <c r="B691" s="2035"/>
      <c r="C691" s="649"/>
      <c r="D691" s="659"/>
      <c r="E691" s="660" t="s">
        <v>2290</v>
      </c>
      <c r="F691" s="653">
        <f>Y691</f>
        <v>4750</v>
      </c>
      <c r="G691" s="653">
        <v>4750</v>
      </c>
      <c r="H691" s="2037"/>
      <c r="I691" s="2014"/>
      <c r="J691" s="2105" t="s">
        <v>224</v>
      </c>
      <c r="K691" s="2075"/>
      <c r="L691" s="2075"/>
      <c r="M691" s="2075"/>
      <c r="N691" s="2075"/>
      <c r="O691" s="2075"/>
      <c r="P691" s="2016"/>
      <c r="Q691" s="511"/>
      <c r="R691" s="2082"/>
      <c r="S691" s="2329"/>
      <c r="T691" s="477"/>
      <c r="U691" s="2015"/>
      <c r="V691" s="511"/>
      <c r="W691" s="2082"/>
      <c r="X691" s="2030"/>
      <c r="Y691" s="554">
        <f t="shared" ref="Y691" si="246">Z691/1000</f>
        <v>4750</v>
      </c>
      <c r="Z691" s="658">
        <f>SUM(Z692:Z694)</f>
        <v>4750000</v>
      </c>
      <c r="AA691" s="308"/>
      <c r="AB691" s="491"/>
      <c r="AC691" s="491"/>
    </row>
    <row r="692" spans="1:29" s="425" customFormat="1" ht="22.5" customHeight="1">
      <c r="A692" s="2079"/>
      <c r="B692" s="2035"/>
      <c r="C692" s="649"/>
      <c r="D692" s="659"/>
      <c r="E692" s="662"/>
      <c r="F692" s="653"/>
      <c r="G692" s="653"/>
      <c r="H692" s="2037"/>
      <c r="I692" s="2014"/>
      <c r="J692" s="2105" t="s">
        <v>2291</v>
      </c>
      <c r="K692" s="2075"/>
      <c r="L692" s="2075"/>
      <c r="M692" s="2075"/>
      <c r="N692" s="2075"/>
      <c r="O692" s="2075"/>
      <c r="P692" s="2016"/>
      <c r="Q692" s="511"/>
      <c r="R692" s="2082"/>
      <c r="S692" s="656">
        <v>5000</v>
      </c>
      <c r="T692" s="477" t="s">
        <v>2283</v>
      </c>
      <c r="U692" s="2015"/>
      <c r="V692" s="656">
        <v>300</v>
      </c>
      <c r="W692" s="2082" t="s">
        <v>2292</v>
      </c>
      <c r="X692" s="2030" t="s">
        <v>2285</v>
      </c>
      <c r="Y692" s="554">
        <f>Z692/1000</f>
        <v>1500</v>
      </c>
      <c r="Z692" s="555">
        <f>S692*V692</f>
        <v>1500000</v>
      </c>
      <c r="AA692" s="308"/>
      <c r="AB692" s="491"/>
      <c r="AC692" s="491"/>
    </row>
    <row r="693" spans="1:29" s="425" customFormat="1" ht="22.5" customHeight="1">
      <c r="A693" s="2373"/>
      <c r="B693" s="2035"/>
      <c r="C693" s="649"/>
      <c r="D693" s="659"/>
      <c r="E693" s="660"/>
      <c r="F693" s="653"/>
      <c r="G693" s="653"/>
      <c r="H693" s="2037"/>
      <c r="I693" s="2014"/>
      <c r="J693" s="2105" t="s">
        <v>2293</v>
      </c>
      <c r="K693" s="2075"/>
      <c r="L693" s="2075"/>
      <c r="M693" s="2075"/>
      <c r="N693" s="2075"/>
      <c r="O693" s="2075"/>
      <c r="P693" s="2016"/>
      <c r="Q693" s="511"/>
      <c r="R693" s="657"/>
      <c r="S693" s="2329">
        <v>2000000</v>
      </c>
      <c r="T693" s="477" t="s">
        <v>56</v>
      </c>
      <c r="U693" s="2015"/>
      <c r="V693" s="656">
        <v>1</v>
      </c>
      <c r="W693" s="2082" t="s">
        <v>2274</v>
      </c>
      <c r="X693" s="2030" t="s">
        <v>1</v>
      </c>
      <c r="Y693" s="554">
        <f t="shared" ref="Y693" si="247">Z693/1000</f>
        <v>2000</v>
      </c>
      <c r="Z693" s="555">
        <f>S693*V693</f>
        <v>2000000</v>
      </c>
      <c r="AA693" s="308"/>
      <c r="AB693" s="491"/>
      <c r="AC693" s="491"/>
    </row>
    <row r="694" spans="1:29" s="425" customFormat="1" ht="22.5" customHeight="1">
      <c r="A694" s="2373"/>
      <c r="B694" s="2035"/>
      <c r="C694" s="592"/>
      <c r="D694" s="659"/>
      <c r="E694" s="660"/>
      <c r="F694" s="653"/>
      <c r="G694" s="653"/>
      <c r="H694" s="2037"/>
      <c r="I694" s="2015"/>
      <c r="J694" s="2105" t="s">
        <v>2294</v>
      </c>
      <c r="K694" s="2075"/>
      <c r="L694" s="2075"/>
      <c r="M694" s="2075"/>
      <c r="N694" s="2075"/>
      <c r="O694" s="2075"/>
      <c r="P694" s="2016"/>
      <c r="Q694" s="511"/>
      <c r="R694" s="2082"/>
      <c r="S694" s="2329">
        <v>1250000</v>
      </c>
      <c r="T694" s="477" t="s">
        <v>2283</v>
      </c>
      <c r="U694" s="2015"/>
      <c r="V694" s="511">
        <v>1</v>
      </c>
      <c r="W694" s="2082" t="s">
        <v>2274</v>
      </c>
      <c r="X694" s="2030" t="s">
        <v>2285</v>
      </c>
      <c r="Y694" s="554">
        <f>Z694/1000</f>
        <v>1250</v>
      </c>
      <c r="Z694" s="555">
        <f>S694*V694</f>
        <v>1250000</v>
      </c>
      <c r="AA694" s="308"/>
      <c r="AB694" s="491"/>
      <c r="AC694" s="491"/>
    </row>
    <row r="695" spans="1:29" s="425" customFormat="1" ht="22.5" customHeight="1">
      <c r="A695" s="2373"/>
      <c r="B695" s="2035"/>
      <c r="C695" s="592"/>
      <c r="D695" s="659"/>
      <c r="E695" s="660" t="s">
        <v>2295</v>
      </c>
      <c r="F695" s="653">
        <v>2000</v>
      </c>
      <c r="G695" s="653">
        <v>2000</v>
      </c>
      <c r="H695" s="2037"/>
      <c r="I695" s="2015"/>
      <c r="J695" s="2105" t="s">
        <v>2309</v>
      </c>
      <c r="K695" s="2075"/>
      <c r="L695" s="2075"/>
      <c r="M695" s="2075"/>
      <c r="N695" s="2075"/>
      <c r="O695" s="2075"/>
      <c r="P695" s="2016"/>
      <c r="Q695" s="511"/>
      <c r="R695" s="2082"/>
      <c r="S695" s="656">
        <v>2000000</v>
      </c>
      <c r="T695" s="477" t="s">
        <v>56</v>
      </c>
      <c r="U695" s="2015"/>
      <c r="V695" s="656">
        <v>1</v>
      </c>
      <c r="W695" s="2082" t="s">
        <v>2274</v>
      </c>
      <c r="X695" s="2030" t="s">
        <v>1</v>
      </c>
      <c r="Y695" s="554">
        <f t="shared" ref="Y695:Y696" si="248">Z695/1000</f>
        <v>2000</v>
      </c>
      <c r="Z695" s="555">
        <f>S695*V695</f>
        <v>2000000</v>
      </c>
      <c r="AA695" s="308"/>
      <c r="AB695" s="491"/>
      <c r="AC695" s="491"/>
    </row>
    <row r="696" spans="1:29" s="425" customFormat="1" ht="22.5" customHeight="1">
      <c r="A696" s="2373"/>
      <c r="B696" s="2035"/>
      <c r="C696" s="592"/>
      <c r="D696" s="659"/>
      <c r="E696" s="660" t="s">
        <v>2296</v>
      </c>
      <c r="F696" s="653">
        <v>3000</v>
      </c>
      <c r="G696" s="653">
        <v>3000</v>
      </c>
      <c r="H696" s="2037"/>
      <c r="I696" s="2015"/>
      <c r="J696" s="2105" t="s">
        <v>224</v>
      </c>
      <c r="K696" s="2075"/>
      <c r="L696" s="2075"/>
      <c r="M696" s="2075"/>
      <c r="N696" s="2075"/>
      <c r="O696" s="2075"/>
      <c r="P696" s="2016"/>
      <c r="Q696" s="511"/>
      <c r="R696" s="2082"/>
      <c r="S696" s="2329"/>
      <c r="T696" s="477"/>
      <c r="U696" s="2015"/>
      <c r="V696" s="511"/>
      <c r="W696" s="2082"/>
      <c r="X696" s="2030"/>
      <c r="Y696" s="554">
        <f t="shared" si="248"/>
        <v>3000</v>
      </c>
      <c r="Z696" s="658">
        <f>SUM(Z697:Z698)</f>
        <v>3000000</v>
      </c>
      <c r="AA696" s="308"/>
      <c r="AB696" s="491"/>
      <c r="AC696" s="491"/>
    </row>
    <row r="697" spans="1:29" s="425" customFormat="1" ht="22.5" customHeight="1">
      <c r="A697" s="2079"/>
      <c r="B697" s="2035"/>
      <c r="C697" s="649"/>
      <c r="D697" s="659"/>
      <c r="E697" s="662"/>
      <c r="F697" s="653"/>
      <c r="G697" s="653"/>
      <c r="H697" s="2037"/>
      <c r="I697" s="2014"/>
      <c r="J697" s="2105" t="s">
        <v>2297</v>
      </c>
      <c r="K697" s="2075"/>
      <c r="L697" s="2075"/>
      <c r="M697" s="2075"/>
      <c r="N697" s="2075"/>
      <c r="O697" s="2075"/>
      <c r="P697" s="2016"/>
      <c r="Q697" s="511"/>
      <c r="R697" s="2082"/>
      <c r="S697" s="656">
        <v>1000000</v>
      </c>
      <c r="T697" s="477" t="s">
        <v>2283</v>
      </c>
      <c r="U697" s="2015"/>
      <c r="V697" s="656">
        <v>1</v>
      </c>
      <c r="W697" s="2082" t="s">
        <v>2292</v>
      </c>
      <c r="X697" s="2030" t="s">
        <v>2285</v>
      </c>
      <c r="Y697" s="554">
        <f>Z697/1000</f>
        <v>1000</v>
      </c>
      <c r="Z697" s="555">
        <f>S697*V697</f>
        <v>1000000</v>
      </c>
      <c r="AA697" s="308"/>
      <c r="AB697" s="491"/>
      <c r="AC697" s="491"/>
    </row>
    <row r="698" spans="1:29" s="425" customFormat="1" ht="22.5" customHeight="1">
      <c r="A698" s="2373"/>
      <c r="B698" s="2035"/>
      <c r="C698" s="649"/>
      <c r="D698" s="659"/>
      <c r="E698" s="660"/>
      <c r="F698" s="653"/>
      <c r="G698" s="653"/>
      <c r="H698" s="2037"/>
      <c r="I698" s="2014"/>
      <c r="J698" s="2105" t="s">
        <v>2298</v>
      </c>
      <c r="K698" s="2075"/>
      <c r="L698" s="2075"/>
      <c r="M698" s="2075"/>
      <c r="N698" s="2075"/>
      <c r="O698" s="2075"/>
      <c r="P698" s="2016"/>
      <c r="Q698" s="511"/>
      <c r="R698" s="657"/>
      <c r="S698" s="2329">
        <v>2000000</v>
      </c>
      <c r="T698" s="477" t="s">
        <v>56</v>
      </c>
      <c r="U698" s="2015"/>
      <c r="V698" s="656">
        <v>1</v>
      </c>
      <c r="W698" s="2082" t="s">
        <v>2274</v>
      </c>
      <c r="X698" s="2030" t="s">
        <v>1</v>
      </c>
      <c r="Y698" s="554">
        <f t="shared" ref="Y698" si="249">Z698/1000</f>
        <v>2000</v>
      </c>
      <c r="Z698" s="555">
        <f>S698*V698</f>
        <v>2000000</v>
      </c>
      <c r="AA698" s="308"/>
      <c r="AB698" s="491"/>
      <c r="AC698" s="491"/>
    </row>
    <row r="699" spans="1:29" s="1889" customFormat="1" ht="22.5" customHeight="1">
      <c r="A699" s="673"/>
      <c r="B699" s="674"/>
      <c r="C699" s="3949" t="s">
        <v>2310</v>
      </c>
      <c r="D699" s="3949"/>
      <c r="E699" s="3949"/>
      <c r="F699" s="2550">
        <f>F700</f>
        <v>200000</v>
      </c>
      <c r="G699" s="2550">
        <f>G700</f>
        <v>200000</v>
      </c>
      <c r="H699" s="2496">
        <f>F699-G699</f>
        <v>0</v>
      </c>
      <c r="I699" s="2060"/>
      <c r="J699" s="1989"/>
      <c r="K699" s="2094"/>
      <c r="L699" s="2094"/>
      <c r="M699" s="2094"/>
      <c r="N699" s="2094"/>
      <c r="O699" s="2094"/>
      <c r="P699" s="1075"/>
      <c r="Q699" s="1119"/>
      <c r="R699" s="2469"/>
      <c r="S699" s="2468"/>
      <c r="T699" s="2469"/>
      <c r="U699" s="1536"/>
      <c r="V699" s="2468"/>
      <c r="W699" s="1536"/>
      <c r="X699" s="1422"/>
      <c r="Y699" s="2551"/>
      <c r="Z699" s="967"/>
      <c r="AA699" s="967"/>
      <c r="AB699" s="967"/>
      <c r="AC699" s="967"/>
    </row>
    <row r="700" spans="1:29" s="1679" customFormat="1" ht="22.5" customHeight="1">
      <c r="A700" s="2079"/>
      <c r="B700" s="2035"/>
      <c r="C700" s="649"/>
      <c r="D700" s="4116" t="s">
        <v>2310</v>
      </c>
      <c r="E700" s="4117"/>
      <c r="F700" s="650">
        <f>SUM(F701:F708)</f>
        <v>200000</v>
      </c>
      <c r="G700" s="650">
        <f>SUM(G701:G708)</f>
        <v>200000</v>
      </c>
      <c r="H700" s="627">
        <f>F700-G700</f>
        <v>0</v>
      </c>
      <c r="I700" s="2014"/>
      <c r="J700" s="538"/>
      <c r="K700" s="2101"/>
      <c r="L700" s="2101"/>
      <c r="M700" s="2101"/>
      <c r="N700" s="2101"/>
      <c r="O700" s="2101"/>
      <c r="P700" s="645"/>
      <c r="Q700" s="648"/>
      <c r="R700" s="647"/>
      <c r="S700" s="648"/>
      <c r="T700" s="647"/>
      <c r="U700" s="2036"/>
      <c r="V700" s="648"/>
      <c r="W700" s="2068"/>
      <c r="X700" s="585"/>
      <c r="Y700" s="594"/>
      <c r="Z700" s="2015"/>
      <c r="AA700" s="2015"/>
      <c r="AB700" s="2015"/>
      <c r="AC700" s="2015"/>
    </row>
    <row r="701" spans="1:29" s="1679" customFormat="1" ht="22.5" customHeight="1">
      <c r="A701" s="2079"/>
      <c r="B701" s="2035"/>
      <c r="C701" s="631"/>
      <c r="D701" s="652"/>
      <c r="E701" s="2013" t="s">
        <v>2311</v>
      </c>
      <c r="F701" s="653">
        <f t="shared" ref="F701:F708" si="250">Y701</f>
        <v>18900</v>
      </c>
      <c r="G701" s="654">
        <v>18900</v>
      </c>
      <c r="H701" s="2037"/>
      <c r="I701" s="2014"/>
      <c r="J701" s="3702" t="s">
        <v>6144</v>
      </c>
      <c r="K701" s="2075"/>
      <c r="L701" s="2075"/>
      <c r="M701" s="2075"/>
      <c r="N701" s="2075"/>
      <c r="O701" s="2075"/>
      <c r="P701" s="2016"/>
      <c r="Q701" s="656">
        <v>1</v>
      </c>
      <c r="R701" s="657" t="s">
        <v>2312</v>
      </c>
      <c r="S701" s="656">
        <v>2100000</v>
      </c>
      <c r="T701" s="477" t="s">
        <v>56</v>
      </c>
      <c r="U701" s="2015"/>
      <c r="V701" s="656">
        <v>9</v>
      </c>
      <c r="W701" s="2082" t="s">
        <v>2313</v>
      </c>
      <c r="X701" s="2030" t="s">
        <v>1</v>
      </c>
      <c r="Y701" s="554">
        <f t="shared" ref="Y701:Y708" si="251">Z701/1000</f>
        <v>18900</v>
      </c>
      <c r="Z701" s="555">
        <f>Q701*S701*V701</f>
        <v>18900000</v>
      </c>
      <c r="AA701" s="2015"/>
      <c r="AB701" s="2015"/>
      <c r="AC701" s="2015"/>
    </row>
    <row r="702" spans="1:29" s="425" customFormat="1" ht="22.5" customHeight="1">
      <c r="A702" s="2079"/>
      <c r="B702" s="2035"/>
      <c r="C702" s="649"/>
      <c r="D702" s="659"/>
      <c r="E702" s="2733" t="s">
        <v>2314</v>
      </c>
      <c r="F702" s="653">
        <f t="shared" si="250"/>
        <v>3000</v>
      </c>
      <c r="G702" s="661">
        <v>3000</v>
      </c>
      <c r="H702" s="2037"/>
      <c r="I702" s="2014"/>
      <c r="J702" s="2105" t="s">
        <v>2321</v>
      </c>
      <c r="K702" s="2075"/>
      <c r="L702" s="2075"/>
      <c r="M702" s="2075"/>
      <c r="N702" s="2075"/>
      <c r="O702" s="2075"/>
      <c r="P702" s="2016"/>
      <c r="Q702" s="511">
        <v>5</v>
      </c>
      <c r="R702" s="657" t="s">
        <v>2312</v>
      </c>
      <c r="S702" s="656">
        <v>300000</v>
      </c>
      <c r="T702" s="477" t="s">
        <v>56</v>
      </c>
      <c r="U702" s="2015"/>
      <c r="V702" s="656">
        <v>2</v>
      </c>
      <c r="W702" s="2082" t="s">
        <v>2302</v>
      </c>
      <c r="X702" s="2030" t="s">
        <v>1</v>
      </c>
      <c r="Y702" s="554">
        <f t="shared" si="251"/>
        <v>3000</v>
      </c>
      <c r="Z702" s="555">
        <f>Q702*S702*V702</f>
        <v>3000000</v>
      </c>
      <c r="AA702" s="491"/>
      <c r="AB702" s="491"/>
      <c r="AC702" s="491"/>
    </row>
    <row r="703" spans="1:29" s="425" customFormat="1" ht="22.5" customHeight="1">
      <c r="A703" s="2079"/>
      <c r="B703" s="2035"/>
      <c r="C703" s="649"/>
      <c r="D703" s="659"/>
      <c r="E703" s="660" t="s">
        <v>2315</v>
      </c>
      <c r="F703" s="653">
        <f t="shared" si="250"/>
        <v>156000</v>
      </c>
      <c r="G703" s="661">
        <v>156000</v>
      </c>
      <c r="H703" s="2037"/>
      <c r="I703" s="2014"/>
      <c r="J703" s="481" t="s">
        <v>224</v>
      </c>
      <c r="K703" s="2015"/>
      <c r="L703" s="2015"/>
      <c r="M703" s="2015"/>
      <c r="N703" s="2015"/>
      <c r="O703" s="2015"/>
      <c r="P703" s="2015"/>
      <c r="Q703" s="2015"/>
      <c r="R703" s="2015"/>
      <c r="S703" s="2015"/>
      <c r="T703" s="2015"/>
      <c r="U703" s="2015"/>
      <c r="V703" s="2015"/>
      <c r="W703" s="2015"/>
      <c r="X703" s="2456"/>
      <c r="Y703" s="554">
        <f t="shared" si="251"/>
        <v>156000</v>
      </c>
      <c r="Z703" s="658">
        <f>SUM(Z704:Z705)</f>
        <v>156000000</v>
      </c>
      <c r="AA703" s="491"/>
      <c r="AB703" s="491"/>
      <c r="AC703" s="491"/>
    </row>
    <row r="704" spans="1:29" s="425" customFormat="1" ht="22.5" customHeight="1">
      <c r="A704" s="2079"/>
      <c r="B704" s="2035"/>
      <c r="C704" s="649"/>
      <c r="D704" s="659"/>
      <c r="E704" s="660"/>
      <c r="F704" s="653"/>
      <c r="G704" s="661"/>
      <c r="H704" s="2037"/>
      <c r="I704" s="2014"/>
      <c r="J704" s="2105" t="s">
        <v>2322</v>
      </c>
      <c r="K704" s="2075"/>
      <c r="L704" s="2075"/>
      <c r="M704" s="2075"/>
      <c r="N704" s="2075"/>
      <c r="O704" s="2075"/>
      <c r="P704" s="2016"/>
      <c r="Q704" s="511"/>
      <c r="R704" s="657"/>
      <c r="S704" s="2329">
        <v>106000000</v>
      </c>
      <c r="T704" s="477" t="s">
        <v>56</v>
      </c>
      <c r="U704" s="2015"/>
      <c r="V704" s="656">
        <v>1</v>
      </c>
      <c r="W704" s="2082" t="s">
        <v>226</v>
      </c>
      <c r="X704" s="2030" t="s">
        <v>1</v>
      </c>
      <c r="Y704" s="554">
        <f t="shared" si="251"/>
        <v>106000</v>
      </c>
      <c r="Z704" s="555">
        <f>S704*V704</f>
        <v>106000000</v>
      </c>
      <c r="AA704" s="491"/>
      <c r="AB704" s="491"/>
      <c r="AC704" s="491"/>
    </row>
    <row r="705" spans="1:29" s="425" customFormat="1" ht="22.5" customHeight="1">
      <c r="A705" s="2079"/>
      <c r="B705" s="2035"/>
      <c r="C705" s="649"/>
      <c r="D705" s="659"/>
      <c r="E705" s="660"/>
      <c r="F705" s="653"/>
      <c r="G705" s="661"/>
      <c r="H705" s="2037"/>
      <c r="I705" s="2014"/>
      <c r="J705" s="2952" t="s">
        <v>3937</v>
      </c>
      <c r="K705" s="2075"/>
      <c r="L705" s="2075"/>
      <c r="M705" s="2075"/>
      <c r="N705" s="2075"/>
      <c r="O705" s="2075"/>
      <c r="P705" s="2016"/>
      <c r="Q705" s="511"/>
      <c r="R705" s="657"/>
      <c r="S705" s="2329">
        <v>50000000</v>
      </c>
      <c r="T705" s="477" t="s">
        <v>56</v>
      </c>
      <c r="U705" s="2015"/>
      <c r="V705" s="656">
        <v>1</v>
      </c>
      <c r="W705" s="2082" t="s">
        <v>226</v>
      </c>
      <c r="X705" s="2030" t="s">
        <v>1</v>
      </c>
      <c r="Y705" s="554">
        <f t="shared" si="251"/>
        <v>50000</v>
      </c>
      <c r="Z705" s="555">
        <f>S705*V705</f>
        <v>50000000</v>
      </c>
      <c r="AA705" s="491"/>
      <c r="AB705" s="491"/>
      <c r="AC705" s="491"/>
    </row>
    <row r="706" spans="1:29" s="425" customFormat="1" ht="22.5" customHeight="1">
      <c r="A706" s="2079"/>
      <c r="B706" s="2035"/>
      <c r="C706" s="649"/>
      <c r="D706" s="659"/>
      <c r="E706" s="660" t="s">
        <v>2316</v>
      </c>
      <c r="F706" s="653">
        <f t="shared" si="250"/>
        <v>20000</v>
      </c>
      <c r="G706" s="661">
        <v>20000</v>
      </c>
      <c r="H706" s="2037"/>
      <c r="I706" s="2014"/>
      <c r="J706" s="2105" t="s">
        <v>1976</v>
      </c>
      <c r="K706" s="2075"/>
      <c r="L706" s="2075"/>
      <c r="M706" s="2075"/>
      <c r="N706" s="2075"/>
      <c r="O706" s="2075"/>
      <c r="P706" s="2016"/>
      <c r="Q706" s="2015"/>
      <c r="R706" s="2015"/>
      <c r="S706" s="656">
        <v>20000</v>
      </c>
      <c r="T706" s="477" t="s">
        <v>56</v>
      </c>
      <c r="U706" s="2015"/>
      <c r="V706" s="656">
        <v>1000</v>
      </c>
      <c r="W706" s="657" t="s">
        <v>2317</v>
      </c>
      <c r="X706" s="2030" t="s">
        <v>1</v>
      </c>
      <c r="Y706" s="554">
        <f t="shared" si="251"/>
        <v>20000</v>
      </c>
      <c r="Z706" s="555">
        <f>S706*V706</f>
        <v>20000000</v>
      </c>
      <c r="AA706" s="491"/>
      <c r="AB706" s="491"/>
      <c r="AC706" s="491"/>
    </row>
    <row r="707" spans="1:29" s="425" customFormat="1" ht="22.5" customHeight="1">
      <c r="A707" s="2079"/>
      <c r="B707" s="2035"/>
      <c r="C707" s="649"/>
      <c r="D707" s="659"/>
      <c r="E707" s="660" t="s">
        <v>2318</v>
      </c>
      <c r="F707" s="653">
        <f t="shared" si="250"/>
        <v>600</v>
      </c>
      <c r="G707" s="661">
        <v>600</v>
      </c>
      <c r="H707" s="2037"/>
      <c r="I707" s="2014"/>
      <c r="J707" s="2105" t="s">
        <v>2096</v>
      </c>
      <c r="K707" s="2075"/>
      <c r="L707" s="2075"/>
      <c r="M707" s="2075"/>
      <c r="N707" s="2075"/>
      <c r="O707" s="2075"/>
      <c r="P707" s="2016"/>
      <c r="Q707" s="656"/>
      <c r="R707" s="657"/>
      <c r="S707" s="656">
        <v>300000</v>
      </c>
      <c r="T707" s="477" t="s">
        <v>56</v>
      </c>
      <c r="U707" s="2015"/>
      <c r="V707" s="656">
        <v>2</v>
      </c>
      <c r="W707" s="657" t="s">
        <v>2319</v>
      </c>
      <c r="X707" s="2030" t="s">
        <v>1</v>
      </c>
      <c r="Y707" s="554">
        <f t="shared" si="251"/>
        <v>600</v>
      </c>
      <c r="Z707" s="555">
        <f>S707*V707</f>
        <v>600000</v>
      </c>
      <c r="AA707" s="491"/>
      <c r="AB707" s="491"/>
      <c r="AC707" s="491"/>
    </row>
    <row r="708" spans="1:29" s="425" customFormat="1" ht="22.5" customHeight="1">
      <c r="A708" s="2079"/>
      <c r="B708" s="2035"/>
      <c r="C708" s="649"/>
      <c r="D708" s="659"/>
      <c r="E708" s="662" t="s">
        <v>2320</v>
      </c>
      <c r="F708" s="653">
        <f t="shared" si="250"/>
        <v>1500</v>
      </c>
      <c r="G708" s="661">
        <v>1500</v>
      </c>
      <c r="H708" s="2037"/>
      <c r="I708" s="2014"/>
      <c r="J708" s="2105" t="s">
        <v>917</v>
      </c>
      <c r="K708" s="2075"/>
      <c r="L708" s="2075"/>
      <c r="M708" s="2075"/>
      <c r="N708" s="2075"/>
      <c r="O708" s="2075"/>
      <c r="P708" s="2016"/>
      <c r="Q708" s="656"/>
      <c r="R708" s="657"/>
      <c r="S708" s="656">
        <v>100000</v>
      </c>
      <c r="T708" s="477" t="s">
        <v>56</v>
      </c>
      <c r="U708" s="2015"/>
      <c r="V708" s="656">
        <v>15</v>
      </c>
      <c r="W708" s="657" t="s">
        <v>390</v>
      </c>
      <c r="X708" s="2030" t="s">
        <v>1</v>
      </c>
      <c r="Y708" s="554">
        <f t="shared" si="251"/>
        <v>1500</v>
      </c>
      <c r="Z708" s="555">
        <f>S708*V708</f>
        <v>1500000</v>
      </c>
      <c r="AA708" s="491"/>
      <c r="AB708" s="491"/>
      <c r="AC708" s="491"/>
    </row>
    <row r="709" spans="1:29" s="1889" customFormat="1" ht="22.5" customHeight="1">
      <c r="A709" s="673"/>
      <c r="B709" s="674"/>
      <c r="C709" s="3949" t="s">
        <v>2323</v>
      </c>
      <c r="D709" s="3949"/>
      <c r="E709" s="3949"/>
      <c r="F709" s="2550">
        <f>F710</f>
        <v>50000</v>
      </c>
      <c r="G709" s="2550">
        <f>G710</f>
        <v>50000</v>
      </c>
      <c r="H709" s="2496">
        <f t="shared" ref="H709:H732" si="252">F709-G709</f>
        <v>0</v>
      </c>
      <c r="I709" s="2734"/>
      <c r="J709" s="1989"/>
      <c r="K709" s="2094"/>
      <c r="L709" s="2094"/>
      <c r="M709" s="2094"/>
      <c r="N709" s="2094"/>
      <c r="O709" s="2094"/>
      <c r="P709" s="1075"/>
      <c r="Q709" s="1119"/>
      <c r="R709" s="2469"/>
      <c r="S709" s="2468"/>
      <c r="T709" s="2469"/>
      <c r="U709" s="1536"/>
      <c r="V709" s="2468"/>
      <c r="W709" s="1536"/>
      <c r="X709" s="1422"/>
      <c r="Y709" s="2551"/>
      <c r="Z709" s="2551"/>
      <c r="AA709" s="683"/>
      <c r="AB709" s="967"/>
      <c r="AC709" s="967"/>
    </row>
    <row r="710" spans="1:29" s="1679" customFormat="1" ht="22.5" customHeight="1">
      <c r="A710" s="2079"/>
      <c r="B710" s="2035"/>
      <c r="C710" s="649"/>
      <c r="D710" s="4116" t="s">
        <v>2323</v>
      </c>
      <c r="E710" s="4117"/>
      <c r="F710" s="2735">
        <f>SUM(F711:F719)</f>
        <v>50000</v>
      </c>
      <c r="G710" s="2735">
        <f>SUM(G711:G719)</f>
        <v>50000</v>
      </c>
      <c r="H710" s="2496">
        <f t="shared" si="252"/>
        <v>0</v>
      </c>
      <c r="I710" s="2014"/>
      <c r="J710" s="538"/>
      <c r="K710" s="2101"/>
      <c r="L710" s="2101"/>
      <c r="M710" s="2101"/>
      <c r="N710" s="2101"/>
      <c r="O710" s="2101"/>
      <c r="P710" s="645"/>
      <c r="Q710" s="648"/>
      <c r="R710" s="647"/>
      <c r="S710" s="648"/>
      <c r="T710" s="647"/>
      <c r="U710" s="2036"/>
      <c r="V710" s="648"/>
      <c r="W710" s="2068"/>
      <c r="X710" s="585"/>
      <c r="Y710" s="594"/>
      <c r="Z710" s="2736"/>
      <c r="AA710" s="308"/>
      <c r="AB710" s="2015"/>
      <c r="AC710" s="2015"/>
    </row>
    <row r="711" spans="1:29" s="1679" customFormat="1" ht="22.5" customHeight="1">
      <c r="A711" s="2079"/>
      <c r="B711" s="2035"/>
      <c r="C711" s="631"/>
      <c r="D711" s="652"/>
      <c r="E711" s="484" t="s">
        <v>2324</v>
      </c>
      <c r="F711" s="487">
        <f>Y711</f>
        <v>2000</v>
      </c>
      <c r="G711" s="485">
        <v>2000</v>
      </c>
      <c r="H711" s="1364"/>
      <c r="I711" s="2014"/>
      <c r="J711" s="2105" t="s">
        <v>2305</v>
      </c>
      <c r="K711" s="2075"/>
      <c r="L711" s="2075"/>
      <c r="M711" s="2075"/>
      <c r="N711" s="2075"/>
      <c r="O711" s="2075"/>
      <c r="P711" s="2016"/>
      <c r="Q711" s="656">
        <v>1</v>
      </c>
      <c r="R711" s="657" t="s">
        <v>2312</v>
      </c>
      <c r="S711" s="656">
        <v>2000000</v>
      </c>
      <c r="T711" s="477" t="s">
        <v>56</v>
      </c>
      <c r="U711" s="2015"/>
      <c r="V711" s="656">
        <v>1</v>
      </c>
      <c r="W711" s="2082" t="s">
        <v>2325</v>
      </c>
      <c r="X711" s="2030" t="s">
        <v>1</v>
      </c>
      <c r="Y711" s="554">
        <f>Z711/1000</f>
        <v>2000</v>
      </c>
      <c r="Z711" s="658">
        <f>Q711*S711*V711</f>
        <v>2000000</v>
      </c>
      <c r="AA711" s="2739"/>
      <c r="AB711" s="2015"/>
      <c r="AC711" s="2015"/>
    </row>
    <row r="712" spans="1:29" s="1679" customFormat="1" ht="22.5" customHeight="1">
      <c r="A712" s="2079"/>
      <c r="B712" s="2035"/>
      <c r="C712" s="631"/>
      <c r="D712" s="652"/>
      <c r="E712" s="2050" t="s">
        <v>2328</v>
      </c>
      <c r="F712" s="2737">
        <f>Y712</f>
        <v>2000</v>
      </c>
      <c r="G712" s="469">
        <v>2000</v>
      </c>
      <c r="H712" s="2037"/>
      <c r="I712" s="2014"/>
      <c r="J712" s="2105" t="s">
        <v>2306</v>
      </c>
      <c r="K712" s="2075"/>
      <c r="L712" s="2075"/>
      <c r="M712" s="2075"/>
      <c r="N712" s="2075"/>
      <c r="O712" s="2075"/>
      <c r="P712" s="2016"/>
      <c r="Q712" s="511">
        <v>1</v>
      </c>
      <c r="R712" s="2082" t="s">
        <v>2300</v>
      </c>
      <c r="S712" s="656">
        <f>2000000</f>
        <v>2000000</v>
      </c>
      <c r="T712" s="477" t="s">
        <v>56</v>
      </c>
      <c r="U712" s="2015"/>
      <c r="V712" s="656">
        <v>1</v>
      </c>
      <c r="W712" s="2082" t="s">
        <v>2302</v>
      </c>
      <c r="X712" s="2030" t="s">
        <v>1</v>
      </c>
      <c r="Y712" s="554">
        <f>Z712/1000</f>
        <v>2000</v>
      </c>
      <c r="Z712" s="658">
        <f>Q712*S712*V712</f>
        <v>2000000</v>
      </c>
      <c r="AA712" s="308"/>
      <c r="AB712" s="2015"/>
      <c r="AC712" s="2015"/>
    </row>
    <row r="713" spans="1:29" s="1679" customFormat="1" ht="22.5" customHeight="1">
      <c r="A713" s="2079"/>
      <c r="B713" s="2035"/>
      <c r="C713" s="631"/>
      <c r="D713" s="652"/>
      <c r="E713" s="2050" t="s">
        <v>2320</v>
      </c>
      <c r="F713" s="2737">
        <f>Y713</f>
        <v>15000</v>
      </c>
      <c r="G713" s="469">
        <v>15000</v>
      </c>
      <c r="H713" s="2037"/>
      <c r="I713" s="2014"/>
      <c r="J713" s="2105" t="s">
        <v>260</v>
      </c>
      <c r="K713" s="2075"/>
      <c r="L713" s="2075"/>
      <c r="M713" s="2075"/>
      <c r="N713" s="2075"/>
      <c r="O713" s="2075"/>
      <c r="P713" s="2016"/>
      <c r="Q713" s="656">
        <v>3</v>
      </c>
      <c r="R713" s="657" t="s">
        <v>2312</v>
      </c>
      <c r="S713" s="656">
        <f>5000000</f>
        <v>5000000</v>
      </c>
      <c r="T713" s="477" t="s">
        <v>56</v>
      </c>
      <c r="U713" s="2015"/>
      <c r="V713" s="656">
        <v>1</v>
      </c>
      <c r="W713" s="2082" t="s">
        <v>2302</v>
      </c>
      <c r="X713" s="2030" t="s">
        <v>1</v>
      </c>
      <c r="Y713" s="554">
        <f>Z713/1000</f>
        <v>15000</v>
      </c>
      <c r="Z713" s="658">
        <f>Q713*S713*V713</f>
        <v>15000000</v>
      </c>
      <c r="AA713" s="2739"/>
      <c r="AB713" s="2015"/>
      <c r="AC713" s="2015"/>
    </row>
    <row r="714" spans="1:29" s="425" customFormat="1" ht="22.5" customHeight="1">
      <c r="A714" s="2079"/>
      <c r="B714" s="2035"/>
      <c r="C714" s="649"/>
      <c r="D714" s="659"/>
      <c r="E714" s="662" t="s">
        <v>2304</v>
      </c>
      <c r="F714" s="2737">
        <f>Y714</f>
        <v>3000</v>
      </c>
      <c r="G714" s="469">
        <v>3000</v>
      </c>
      <c r="H714" s="2037"/>
      <c r="I714" s="2014"/>
      <c r="J714" s="2952" t="s">
        <v>2307</v>
      </c>
      <c r="K714" s="2075"/>
      <c r="L714" s="2075"/>
      <c r="M714" s="2075"/>
      <c r="N714" s="2075"/>
      <c r="O714" s="2075"/>
      <c r="P714" s="2016"/>
      <c r="Q714" s="656">
        <v>1</v>
      </c>
      <c r="R714" s="657" t="s">
        <v>2300</v>
      </c>
      <c r="S714" s="656">
        <v>3000000</v>
      </c>
      <c r="T714" s="477" t="s">
        <v>56</v>
      </c>
      <c r="U714" s="2015"/>
      <c r="V714" s="656">
        <v>1</v>
      </c>
      <c r="W714" s="2082" t="s">
        <v>2302</v>
      </c>
      <c r="X714" s="2030" t="s">
        <v>1</v>
      </c>
      <c r="Y714" s="554">
        <f>Z714/1000</f>
        <v>3000</v>
      </c>
      <c r="Z714" s="658">
        <f>Q714*S714*V714</f>
        <v>3000000</v>
      </c>
      <c r="AA714" s="308"/>
      <c r="AB714" s="491"/>
      <c r="AC714" s="491"/>
    </row>
    <row r="715" spans="1:29" s="425" customFormat="1" ht="22.5" customHeight="1">
      <c r="A715" s="2079"/>
      <c r="B715" s="2035"/>
      <c r="C715" s="649"/>
      <c r="D715" s="659"/>
      <c r="E715" s="662" t="s">
        <v>380</v>
      </c>
      <c r="F715" s="2737">
        <v>2800</v>
      </c>
      <c r="G715" s="469">
        <v>2800</v>
      </c>
      <c r="H715" s="2037"/>
      <c r="I715" s="2014"/>
      <c r="J715" s="2105" t="s">
        <v>2331</v>
      </c>
      <c r="K715" s="2075"/>
      <c r="L715" s="2075"/>
      <c r="M715" s="2075"/>
      <c r="N715" s="2075"/>
      <c r="O715" s="2075"/>
      <c r="P715" s="2016"/>
      <c r="Q715" s="656">
        <v>2</v>
      </c>
      <c r="R715" s="657" t="s">
        <v>385</v>
      </c>
      <c r="S715" s="656">
        <v>200000</v>
      </c>
      <c r="T715" s="477" t="s">
        <v>68</v>
      </c>
      <c r="U715" s="2082"/>
      <c r="V715" s="656">
        <v>7</v>
      </c>
      <c r="W715" s="2082" t="s">
        <v>369</v>
      </c>
      <c r="X715" s="2030"/>
      <c r="Y715" s="554">
        <f>Z715/1000</f>
        <v>2800</v>
      </c>
      <c r="Z715" s="658">
        <f>Q715*S715*V715</f>
        <v>2800000</v>
      </c>
      <c r="AA715" s="308"/>
      <c r="AB715" s="491"/>
      <c r="AC715" s="491"/>
    </row>
    <row r="716" spans="1:29" s="1679" customFormat="1" ht="22.5" customHeight="1">
      <c r="A716" s="2079"/>
      <c r="B716" s="2035"/>
      <c r="C716" s="631"/>
      <c r="D716" s="652"/>
      <c r="E716" s="2050" t="s">
        <v>2315</v>
      </c>
      <c r="F716" s="2737">
        <f t="shared" ref="F716" si="253">Y716</f>
        <v>20000</v>
      </c>
      <c r="G716" s="469">
        <v>20000</v>
      </c>
      <c r="H716" s="2037"/>
      <c r="I716" s="2014"/>
      <c r="J716" s="2105" t="s">
        <v>2329</v>
      </c>
      <c r="K716" s="2075"/>
      <c r="L716" s="2075"/>
      <c r="M716" s="2075"/>
      <c r="N716" s="2075"/>
      <c r="O716" s="2075"/>
      <c r="P716" s="2016"/>
      <c r="Q716" s="656">
        <v>1</v>
      </c>
      <c r="R716" s="657" t="s">
        <v>2300</v>
      </c>
      <c r="S716" s="656">
        <v>20000000</v>
      </c>
      <c r="T716" s="477" t="s">
        <v>2301</v>
      </c>
      <c r="U716" s="2015"/>
      <c r="V716" s="656">
        <v>1</v>
      </c>
      <c r="W716" s="2082" t="s">
        <v>2302</v>
      </c>
      <c r="X716" s="2030" t="s">
        <v>1</v>
      </c>
      <c r="Y716" s="554">
        <f t="shared" ref="Y716:Y719" si="254">Z716/1000</f>
        <v>20000</v>
      </c>
      <c r="Z716" s="658">
        <f t="shared" ref="Z716:Z719" si="255">Q716*S716*V716</f>
        <v>20000000</v>
      </c>
      <c r="AA716" s="308"/>
      <c r="AB716" s="2015"/>
      <c r="AC716" s="2015"/>
    </row>
    <row r="717" spans="1:29" s="425" customFormat="1" ht="22.5" customHeight="1">
      <c r="A717" s="2373"/>
      <c r="B717" s="2035"/>
      <c r="C717" s="649"/>
      <c r="D717" s="659"/>
      <c r="E717" s="660" t="s">
        <v>2326</v>
      </c>
      <c r="F717" s="653">
        <f>Y717</f>
        <v>3200</v>
      </c>
      <c r="G717" s="653">
        <v>3200</v>
      </c>
      <c r="H717" s="2037"/>
      <c r="I717" s="2014"/>
      <c r="J717" s="2105" t="s">
        <v>2330</v>
      </c>
      <c r="K717" s="2075"/>
      <c r="L717" s="2075"/>
      <c r="M717" s="2075"/>
      <c r="N717" s="2075"/>
      <c r="O717" s="2075"/>
      <c r="P717" s="2016"/>
      <c r="Q717" s="511">
        <v>2</v>
      </c>
      <c r="R717" s="2082" t="s">
        <v>2327</v>
      </c>
      <c r="S717" s="2329">
        <v>200000</v>
      </c>
      <c r="T717" s="477" t="s">
        <v>56</v>
      </c>
      <c r="U717" s="2015"/>
      <c r="V717" s="511">
        <v>8</v>
      </c>
      <c r="W717" s="2082" t="s">
        <v>2325</v>
      </c>
      <c r="X717" s="2030" t="s">
        <v>1</v>
      </c>
      <c r="Y717" s="554">
        <f t="shared" si="254"/>
        <v>3200</v>
      </c>
      <c r="Z717" s="658">
        <f t="shared" si="255"/>
        <v>3200000</v>
      </c>
      <c r="AA717" s="308"/>
      <c r="AB717" s="491"/>
      <c r="AC717" s="491"/>
    </row>
    <row r="718" spans="1:29" s="425" customFormat="1" ht="22.5" customHeight="1">
      <c r="A718" s="2079"/>
      <c r="B718" s="2035"/>
      <c r="C718" s="649"/>
      <c r="D718" s="659"/>
      <c r="E718" s="662" t="s">
        <v>451</v>
      </c>
      <c r="F718" s="2737">
        <v>1000</v>
      </c>
      <c r="G718" s="469">
        <v>1000</v>
      </c>
      <c r="H718" s="2037"/>
      <c r="I718" s="2014"/>
      <c r="J718" s="2105" t="s">
        <v>2332</v>
      </c>
      <c r="K718" s="2075"/>
      <c r="L718" s="2075"/>
      <c r="M718" s="2075"/>
      <c r="N718" s="2075"/>
      <c r="O718" s="2075"/>
      <c r="P718" s="2016"/>
      <c r="Q718" s="656">
        <v>1</v>
      </c>
      <c r="R718" s="657" t="s">
        <v>387</v>
      </c>
      <c r="S718" s="656">
        <v>1000000</v>
      </c>
      <c r="T718" s="477" t="s">
        <v>68</v>
      </c>
      <c r="U718" s="2082"/>
      <c r="V718" s="656">
        <v>1</v>
      </c>
      <c r="W718" s="2082" t="s">
        <v>369</v>
      </c>
      <c r="X718" s="2030"/>
      <c r="Y718" s="554">
        <f>Z718/1000</f>
        <v>1000</v>
      </c>
      <c r="Z718" s="658">
        <f>Q718*S718*V718</f>
        <v>1000000</v>
      </c>
      <c r="AA718" s="308"/>
      <c r="AB718" s="491"/>
      <c r="AC718" s="491"/>
    </row>
    <row r="719" spans="1:29" s="425" customFormat="1" ht="22.5" customHeight="1">
      <c r="A719" s="2079"/>
      <c r="B719" s="2035"/>
      <c r="C719" s="649"/>
      <c r="D719" s="659"/>
      <c r="E719" s="662" t="s">
        <v>242</v>
      </c>
      <c r="F719" s="2737">
        <v>1000</v>
      </c>
      <c r="G719" s="469">
        <v>1000</v>
      </c>
      <c r="H719" s="2037"/>
      <c r="I719" s="2014"/>
      <c r="J719" s="3702" t="s">
        <v>6145</v>
      </c>
      <c r="K719" s="2075"/>
      <c r="L719" s="2075"/>
      <c r="M719" s="2075"/>
      <c r="N719" s="2075"/>
      <c r="O719" s="2075"/>
      <c r="P719" s="2016"/>
      <c r="Q719" s="656">
        <v>2</v>
      </c>
      <c r="R719" s="657" t="s">
        <v>385</v>
      </c>
      <c r="S719" s="656">
        <v>100000</v>
      </c>
      <c r="T719" s="477" t="s">
        <v>68</v>
      </c>
      <c r="U719" s="2082"/>
      <c r="V719" s="656">
        <v>5</v>
      </c>
      <c r="W719" s="2082" t="s">
        <v>369</v>
      </c>
      <c r="X719" s="2030" t="s">
        <v>1</v>
      </c>
      <c r="Y719" s="554">
        <f t="shared" si="254"/>
        <v>1000</v>
      </c>
      <c r="Z719" s="658">
        <f t="shared" si="255"/>
        <v>1000000</v>
      </c>
      <c r="AA719" s="308"/>
      <c r="AB719" s="491"/>
      <c r="AC719" s="491"/>
    </row>
    <row r="720" spans="1:29" s="1889" customFormat="1" ht="22.5" customHeight="1">
      <c r="A720" s="2976"/>
      <c r="B720" s="2977"/>
      <c r="C720" s="4102" t="s">
        <v>3923</v>
      </c>
      <c r="D720" s="4102"/>
      <c r="E720" s="4102"/>
      <c r="F720" s="2978">
        <f>F721</f>
        <v>30000</v>
      </c>
      <c r="G720" s="2978">
        <f>SUM(G721)</f>
        <v>30000</v>
      </c>
      <c r="H720" s="2979">
        <f>F720-G720</f>
        <v>0</v>
      </c>
      <c r="I720" s="2980"/>
      <c r="J720" s="2981"/>
      <c r="K720" s="881"/>
      <c r="L720" s="881"/>
      <c r="M720" s="881"/>
      <c r="N720" s="881"/>
      <c r="O720" s="881"/>
      <c r="P720" s="2982"/>
      <c r="Q720" s="2983"/>
      <c r="R720" s="2984"/>
      <c r="S720" s="2985"/>
      <c r="T720" s="2984"/>
      <c r="U720" s="2986"/>
      <c r="V720" s="2985"/>
      <c r="W720" s="2986"/>
      <c r="X720" s="2986"/>
      <c r="Y720" s="2987"/>
      <c r="Z720" s="234"/>
    </row>
    <row r="721" spans="1:30" s="1679" customFormat="1" ht="22.5" customHeight="1">
      <c r="A721" s="2988"/>
      <c r="B721" s="2989"/>
      <c r="C721" s="2990"/>
      <c r="D721" s="4103" t="s">
        <v>3923</v>
      </c>
      <c r="E721" s="4104"/>
      <c r="F721" s="2991">
        <f>SUM(F722:F731)</f>
        <v>30000</v>
      </c>
      <c r="G721" s="2991">
        <f>SUM(G722:G731)</f>
        <v>30000</v>
      </c>
      <c r="H721" s="424">
        <f>F721-G721</f>
        <v>0</v>
      </c>
      <c r="I721" s="2992"/>
      <c r="J721" s="2993"/>
      <c r="K721" s="2994"/>
      <c r="L721" s="2994"/>
      <c r="M721" s="2994"/>
      <c r="N721" s="2994"/>
      <c r="O721" s="2994"/>
      <c r="P721" s="2995"/>
      <c r="Q721" s="2996"/>
      <c r="R721" s="2997"/>
      <c r="S721" s="2996"/>
      <c r="T721" s="2997"/>
      <c r="U721" s="2998"/>
      <c r="V721" s="2996"/>
      <c r="W721" s="2956"/>
      <c r="X721" s="459"/>
      <c r="Y721" s="460"/>
      <c r="Z721" s="2992"/>
    </row>
    <row r="722" spans="1:30" s="425" customFormat="1" ht="22.5" customHeight="1">
      <c r="A722" s="2988"/>
      <c r="B722" s="2989"/>
      <c r="C722" s="2990"/>
      <c r="D722" s="2999"/>
      <c r="E722" s="2733" t="s">
        <v>3924</v>
      </c>
      <c r="F722" s="653">
        <f>+Y722</f>
        <v>3500</v>
      </c>
      <c r="G722" s="661">
        <v>3500</v>
      </c>
      <c r="H722" s="2037"/>
      <c r="I722" s="2014"/>
      <c r="J722" s="481" t="s">
        <v>224</v>
      </c>
      <c r="K722" s="3119"/>
      <c r="L722" s="3119"/>
      <c r="M722" s="3119"/>
      <c r="N722" s="3119"/>
      <c r="O722" s="3119"/>
      <c r="P722" s="3119"/>
      <c r="Q722" s="3119"/>
      <c r="R722" s="3119"/>
      <c r="S722" s="3119"/>
      <c r="T722" s="3119"/>
      <c r="U722" s="3119"/>
      <c r="V722" s="3119"/>
      <c r="W722" s="3119"/>
      <c r="X722" s="2456"/>
      <c r="Y722" s="554">
        <f>SUM(Y723:Y725)</f>
        <v>3500</v>
      </c>
      <c r="Z722" s="658">
        <f>SUM(Z723:Z725)</f>
        <v>3500000</v>
      </c>
    </row>
    <row r="723" spans="1:30" s="425" customFormat="1" ht="22.5" customHeight="1">
      <c r="A723" s="2988"/>
      <c r="B723" s="2989"/>
      <c r="C723" s="2990"/>
      <c r="D723" s="2999"/>
      <c r="E723" s="3213"/>
      <c r="F723" s="653"/>
      <c r="G723" s="661"/>
      <c r="H723" s="2037"/>
      <c r="I723" s="2014"/>
      <c r="J723" s="3204" t="s">
        <v>3938</v>
      </c>
      <c r="K723" s="2075"/>
      <c r="L723" s="2075"/>
      <c r="M723" s="2075"/>
      <c r="N723" s="2075"/>
      <c r="O723" s="2075"/>
      <c r="P723" s="2016"/>
      <c r="Q723" s="511">
        <v>1</v>
      </c>
      <c r="R723" s="657" t="s">
        <v>3925</v>
      </c>
      <c r="S723" s="656">
        <v>300000</v>
      </c>
      <c r="T723" s="477" t="s">
        <v>56</v>
      </c>
      <c r="U723" s="3119"/>
      <c r="V723" s="656">
        <v>5</v>
      </c>
      <c r="W723" s="3203" t="s">
        <v>3926</v>
      </c>
      <c r="X723" s="2030" t="s">
        <v>1</v>
      </c>
      <c r="Y723" s="554">
        <f>Z723/1000</f>
        <v>1500</v>
      </c>
      <c r="Z723" s="554">
        <f>Q723*S723*V723</f>
        <v>1500000</v>
      </c>
    </row>
    <row r="724" spans="1:30" s="425" customFormat="1" ht="22.5" customHeight="1">
      <c r="A724" s="2988"/>
      <c r="B724" s="2989"/>
      <c r="C724" s="2990"/>
      <c r="D724" s="2999"/>
      <c r="E724" s="660"/>
      <c r="F724" s="653"/>
      <c r="G724" s="661"/>
      <c r="H724" s="2037"/>
      <c r="I724" s="2014"/>
      <c r="J724" s="3204" t="s">
        <v>3939</v>
      </c>
      <c r="K724" s="2075"/>
      <c r="L724" s="2075"/>
      <c r="M724" s="2075"/>
      <c r="N724" s="2075"/>
      <c r="O724" s="2075"/>
      <c r="P724" s="2016"/>
      <c r="Q724" s="511">
        <v>1</v>
      </c>
      <c r="R724" s="657" t="s">
        <v>3927</v>
      </c>
      <c r="S724" s="2329">
        <v>200000</v>
      </c>
      <c r="T724" s="477" t="s">
        <v>56</v>
      </c>
      <c r="U724" s="3119"/>
      <c r="V724" s="656">
        <v>5</v>
      </c>
      <c r="W724" s="3203" t="s">
        <v>3928</v>
      </c>
      <c r="X724" s="2030" t="s">
        <v>1</v>
      </c>
      <c r="Y724" s="554">
        <f>Z724/1000</f>
        <v>1000</v>
      </c>
      <c r="Z724" s="554">
        <f>Q724*S724*V724</f>
        <v>1000000</v>
      </c>
    </row>
    <row r="725" spans="1:30" s="425" customFormat="1" ht="22.5" customHeight="1">
      <c r="A725" s="2988"/>
      <c r="B725" s="2989"/>
      <c r="C725" s="2990"/>
      <c r="D725" s="2999"/>
      <c r="E725" s="660"/>
      <c r="F725" s="653"/>
      <c r="G725" s="661"/>
      <c r="H725" s="2037"/>
      <c r="I725" s="2014"/>
      <c r="J725" s="3204" t="s">
        <v>3940</v>
      </c>
      <c r="K725" s="2075"/>
      <c r="L725" s="2075"/>
      <c r="M725" s="2075"/>
      <c r="N725" s="2075"/>
      <c r="O725" s="2075"/>
      <c r="P725" s="2016"/>
      <c r="Q725" s="511">
        <v>1</v>
      </c>
      <c r="R725" s="657" t="s">
        <v>3927</v>
      </c>
      <c r="S725" s="2329">
        <v>1000000</v>
      </c>
      <c r="T725" s="477" t="s">
        <v>56</v>
      </c>
      <c r="U725" s="3119"/>
      <c r="V725" s="656">
        <v>1</v>
      </c>
      <c r="W725" s="3203" t="s">
        <v>3929</v>
      </c>
      <c r="X725" s="2030" t="s">
        <v>1</v>
      </c>
      <c r="Y725" s="554">
        <f>Z725/1000</f>
        <v>1000</v>
      </c>
      <c r="Z725" s="554">
        <f>Q725*S725*V725</f>
        <v>1000000</v>
      </c>
    </row>
    <row r="726" spans="1:30" s="425" customFormat="1" ht="22.5" customHeight="1">
      <c r="A726" s="2988"/>
      <c r="B726" s="2989"/>
      <c r="C726" s="2990"/>
      <c r="D726" s="2999"/>
      <c r="E726" s="660" t="s">
        <v>3930</v>
      </c>
      <c r="F726" s="653">
        <f>+Y726</f>
        <v>17700</v>
      </c>
      <c r="G726" s="661">
        <v>17700</v>
      </c>
      <c r="H726" s="2037"/>
      <c r="I726" s="2014"/>
      <c r="J726" s="3204" t="s">
        <v>224</v>
      </c>
      <c r="K726" s="2075"/>
      <c r="L726" s="2075"/>
      <c r="M726" s="2075"/>
      <c r="N726" s="2075"/>
      <c r="O726" s="2075"/>
      <c r="P726" s="2016"/>
      <c r="Q726" s="511"/>
      <c r="R726" s="3203"/>
      <c r="S726" s="2329"/>
      <c r="T726" s="477"/>
      <c r="U726" s="3119"/>
      <c r="V726" s="511"/>
      <c r="W726" s="3203"/>
      <c r="X726" s="2030"/>
      <c r="Y726" s="554">
        <f t="shared" ref="Y726" si="256">Z726/1000</f>
        <v>17700</v>
      </c>
      <c r="Z726" s="658">
        <f>SUM(Z727:Z728)</f>
        <v>17700000</v>
      </c>
    </row>
    <row r="727" spans="1:30" s="425" customFormat="1" ht="22.5" customHeight="1">
      <c r="A727" s="2988"/>
      <c r="B727" s="2989"/>
      <c r="C727" s="2990"/>
      <c r="D727" s="2999"/>
      <c r="E727" s="660"/>
      <c r="F727" s="653"/>
      <c r="G727" s="661"/>
      <c r="H727" s="2037"/>
      <c r="I727" s="2014"/>
      <c r="J727" s="4036" t="s">
        <v>3941</v>
      </c>
      <c r="K727" s="4114"/>
      <c r="L727" s="4114"/>
      <c r="M727" s="4114"/>
      <c r="N727" s="4114"/>
      <c r="O727" s="2075"/>
      <c r="P727" s="2016"/>
      <c r="Q727" s="511">
        <v>1</v>
      </c>
      <c r="R727" s="657" t="s">
        <v>3927</v>
      </c>
      <c r="S727" s="2329">
        <v>6000000</v>
      </c>
      <c r="T727" s="477" t="s">
        <v>56</v>
      </c>
      <c r="U727" s="3119"/>
      <c r="V727" s="656"/>
      <c r="W727" s="3203"/>
      <c r="X727" s="2030"/>
      <c r="Y727" s="554">
        <f>Z727/1000</f>
        <v>6000</v>
      </c>
      <c r="Z727" s="554">
        <f>Q727*S727</f>
        <v>6000000</v>
      </c>
    </row>
    <row r="728" spans="1:30" s="425" customFormat="1" ht="22.5" customHeight="1">
      <c r="A728" s="2988"/>
      <c r="B728" s="2989"/>
      <c r="C728" s="2990"/>
      <c r="D728" s="2999"/>
      <c r="E728" s="660"/>
      <c r="F728" s="653"/>
      <c r="G728" s="661"/>
      <c r="H728" s="2037"/>
      <c r="I728" s="2014"/>
      <c r="J728" s="3204" t="s">
        <v>3942</v>
      </c>
      <c r="K728" s="2075"/>
      <c r="L728" s="2075"/>
      <c r="M728" s="2075"/>
      <c r="N728" s="2075"/>
      <c r="O728" s="2075"/>
      <c r="P728" s="2016"/>
      <c r="Q728" s="511">
        <v>1</v>
      </c>
      <c r="R728" s="657" t="s">
        <v>3927</v>
      </c>
      <c r="S728" s="2329">
        <v>11700000</v>
      </c>
      <c r="T728" s="477" t="s">
        <v>56</v>
      </c>
      <c r="U728" s="3119"/>
      <c r="V728" s="656">
        <v>1</v>
      </c>
      <c r="W728" s="3203" t="s">
        <v>3928</v>
      </c>
      <c r="X728" s="2030" t="s">
        <v>1</v>
      </c>
      <c r="Y728" s="554">
        <f>Z728/1000</f>
        <v>11700</v>
      </c>
      <c r="Z728" s="554">
        <f>Q728*S728*V728</f>
        <v>11700000</v>
      </c>
    </row>
    <row r="729" spans="1:30" s="425" customFormat="1" ht="22.5" customHeight="1">
      <c r="A729" s="2988"/>
      <c r="B729" s="2989"/>
      <c r="C729" s="2990"/>
      <c r="D729" s="2999"/>
      <c r="E729" s="660" t="s">
        <v>3931</v>
      </c>
      <c r="F729" s="653">
        <f>+Y729</f>
        <v>8000</v>
      </c>
      <c r="G729" s="661">
        <v>8000</v>
      </c>
      <c r="H729" s="2037"/>
      <c r="I729" s="2014"/>
      <c r="J729" s="3204" t="s">
        <v>3943</v>
      </c>
      <c r="K729" s="2075"/>
      <c r="L729" s="2075"/>
      <c r="M729" s="2075"/>
      <c r="N729" s="2075"/>
      <c r="O729" s="2075"/>
      <c r="P729" s="2016"/>
      <c r="Q729" s="656">
        <v>200</v>
      </c>
      <c r="R729" s="657" t="s">
        <v>3932</v>
      </c>
      <c r="S729" s="656">
        <v>40000</v>
      </c>
      <c r="T729" s="477" t="s">
        <v>56</v>
      </c>
      <c r="U729" s="3119"/>
      <c r="V729" s="511"/>
      <c r="W729" s="3203"/>
      <c r="X729" s="2030" t="s">
        <v>1</v>
      </c>
      <c r="Y729" s="554">
        <f>Z729/1000</f>
        <v>8000</v>
      </c>
      <c r="Z729" s="554">
        <f>Q729*S729</f>
        <v>8000000</v>
      </c>
    </row>
    <row r="730" spans="1:30" s="425" customFormat="1" ht="22.5" customHeight="1">
      <c r="A730" s="2988"/>
      <c r="B730" s="2989"/>
      <c r="C730" s="2990"/>
      <c r="D730" s="2999"/>
      <c r="E730" s="660" t="s">
        <v>3933</v>
      </c>
      <c r="F730" s="653">
        <f>+Y730</f>
        <v>500</v>
      </c>
      <c r="G730" s="661">
        <v>500</v>
      </c>
      <c r="H730" s="2037"/>
      <c r="I730" s="2014"/>
      <c r="J730" s="3204" t="s">
        <v>3944</v>
      </c>
      <c r="K730" s="2075"/>
      <c r="L730" s="2075"/>
      <c r="M730" s="2075"/>
      <c r="N730" s="2075"/>
      <c r="O730" s="2075"/>
      <c r="P730" s="2016"/>
      <c r="Q730" s="656">
        <v>2</v>
      </c>
      <c r="R730" s="657" t="s">
        <v>3934</v>
      </c>
      <c r="S730" s="656">
        <v>250000</v>
      </c>
      <c r="T730" s="477" t="s">
        <v>56</v>
      </c>
      <c r="U730" s="3119"/>
      <c r="V730" s="511"/>
      <c r="W730" s="3203"/>
      <c r="X730" s="2030" t="s">
        <v>1</v>
      </c>
      <c r="Y730" s="554">
        <f>Z730/1000</f>
        <v>500</v>
      </c>
      <c r="Z730" s="554">
        <f>Q730*S730</f>
        <v>500000</v>
      </c>
    </row>
    <row r="731" spans="1:30" s="425" customFormat="1" ht="22.5" customHeight="1" thickBot="1">
      <c r="A731" s="2988"/>
      <c r="B731" s="2989"/>
      <c r="C731" s="2990"/>
      <c r="D731" s="2999"/>
      <c r="E731" s="662" t="s">
        <v>3935</v>
      </c>
      <c r="F731" s="653">
        <f>+Y731</f>
        <v>300</v>
      </c>
      <c r="G731" s="661">
        <v>300</v>
      </c>
      <c r="H731" s="2037"/>
      <c r="I731" s="2014"/>
      <c r="J731" s="3204" t="s">
        <v>960</v>
      </c>
      <c r="K731" s="2075"/>
      <c r="L731" s="2075"/>
      <c r="M731" s="2075"/>
      <c r="N731" s="2075"/>
      <c r="O731" s="2075"/>
      <c r="P731" s="2016"/>
      <c r="Q731" s="656">
        <v>3</v>
      </c>
      <c r="R731" s="657" t="s">
        <v>3936</v>
      </c>
      <c r="S731" s="656">
        <v>50000</v>
      </c>
      <c r="T731" s="477" t="s">
        <v>56</v>
      </c>
      <c r="U731" s="3119"/>
      <c r="V731" s="511">
        <v>2</v>
      </c>
      <c r="W731" s="3203" t="s">
        <v>3926</v>
      </c>
      <c r="X731" s="2030" t="s">
        <v>1</v>
      </c>
      <c r="Y731" s="554">
        <f>Z731/1000</f>
        <v>300</v>
      </c>
      <c r="Z731" s="554">
        <f>Q731*S731*V731</f>
        <v>300000</v>
      </c>
    </row>
    <row r="732" spans="1:30" s="1651" customFormat="1" ht="22.5" customHeight="1" thickBot="1">
      <c r="A732" s="574" t="s">
        <v>1390</v>
      </c>
      <c r="B732" s="1902"/>
      <c r="C732" s="1902"/>
      <c r="D732" s="1902"/>
      <c r="E732" s="1902"/>
      <c r="F732" s="821">
        <f t="shared" ref="F732:G732" si="257">+F733</f>
        <v>175000</v>
      </c>
      <c r="G732" s="821">
        <f t="shared" si="257"/>
        <v>175000</v>
      </c>
      <c r="H732" s="2655">
        <f t="shared" si="252"/>
        <v>0</v>
      </c>
      <c r="I732" s="557"/>
      <c r="J732" s="2316"/>
      <c r="K732" s="2317"/>
      <c r="L732" s="2317"/>
      <c r="M732" s="2317"/>
      <c r="N732" s="2317"/>
      <c r="O732" s="2317"/>
      <c r="P732" s="2317"/>
      <c r="Q732" s="2317"/>
      <c r="R732" s="2722"/>
      <c r="S732" s="2317"/>
      <c r="T732" s="2317"/>
      <c r="U732" s="2317"/>
      <c r="V732" s="2317"/>
      <c r="W732" s="2317"/>
      <c r="X732" s="2314"/>
      <c r="Y732" s="2723"/>
      <c r="Z732" s="587"/>
      <c r="AA732" s="547"/>
      <c r="AB732" s="1891"/>
      <c r="AC732" s="1895"/>
      <c r="AD732" s="456"/>
    </row>
    <row r="733" spans="1:30" s="814" customFormat="1" ht="22.5" customHeight="1" thickBot="1">
      <c r="A733" s="1912"/>
      <c r="B733" s="568" t="s">
        <v>52</v>
      </c>
      <c r="C733" s="569"/>
      <c r="D733" s="570"/>
      <c r="E733" s="571"/>
      <c r="F733" s="822">
        <f>+F734+F743</f>
        <v>175000</v>
      </c>
      <c r="G733" s="822">
        <f>+G734+G743</f>
        <v>175000</v>
      </c>
      <c r="H733" s="573">
        <f t="shared" ref="H733" si="258">F733-G733</f>
        <v>0</v>
      </c>
      <c r="I733" s="2682"/>
      <c r="J733" s="574"/>
      <c r="K733" s="575"/>
      <c r="L733" s="575"/>
      <c r="M733" s="575"/>
      <c r="N733" s="575"/>
      <c r="O733" s="575"/>
      <c r="P733" s="575"/>
      <c r="Q733" s="575"/>
      <c r="R733" s="575"/>
      <c r="S733" s="575"/>
      <c r="T733" s="575"/>
      <c r="U733" s="575"/>
      <c r="V733" s="575"/>
      <c r="W733" s="575"/>
      <c r="X733" s="576"/>
      <c r="Y733" s="2658"/>
      <c r="Z733" s="2667"/>
      <c r="AA733" s="547"/>
      <c r="AB733" s="1891"/>
      <c r="AC733" s="2677"/>
      <c r="AD733" s="836"/>
    </row>
    <row r="734" spans="1:30" s="93" customFormat="1" ht="22.5" customHeight="1">
      <c r="A734" s="2079"/>
      <c r="B734" s="2035"/>
      <c r="C734" s="1386" t="s">
        <v>1409</v>
      </c>
      <c r="D734" s="2104"/>
      <c r="E734" s="1252"/>
      <c r="F734" s="1253">
        <f>F735</f>
        <v>160000</v>
      </c>
      <c r="G734" s="1253">
        <f>G735</f>
        <v>160000</v>
      </c>
      <c r="H734" s="2021">
        <f>F734-G734</f>
        <v>0</v>
      </c>
      <c r="I734" s="557"/>
      <c r="J734" s="2025"/>
      <c r="K734" s="2068"/>
      <c r="L734" s="2068"/>
      <c r="M734" s="2068"/>
      <c r="N734" s="2068"/>
      <c r="O734" s="2068"/>
      <c r="P734" s="2101"/>
      <c r="Q734" s="2026"/>
      <c r="R734" s="2027"/>
      <c r="S734" s="2026"/>
      <c r="T734" s="2026"/>
      <c r="U734" s="2101"/>
      <c r="V734" s="2026"/>
      <c r="W734" s="2026"/>
      <c r="X734" s="2028"/>
      <c r="Y734" s="517"/>
      <c r="Z734" s="518">
        <f>Z735</f>
        <v>160000000</v>
      </c>
      <c r="AA734" s="547"/>
      <c r="AB734" s="1891">
        <f>F734</f>
        <v>160000</v>
      </c>
      <c r="AC734" s="2729"/>
      <c r="AD734" s="1662"/>
    </row>
    <row r="735" spans="1:30" s="93" customFormat="1" ht="22.5" customHeight="1">
      <c r="A735" s="2079"/>
      <c r="B735" s="2035"/>
      <c r="C735" s="2013"/>
      <c r="D735" s="3823" t="s">
        <v>1409</v>
      </c>
      <c r="E735" s="3824"/>
      <c r="F735" s="2052">
        <f>SUM(F736:F742)</f>
        <v>160000</v>
      </c>
      <c r="G735" s="2052">
        <f>SUM(G736:G742)</f>
        <v>160000</v>
      </c>
      <c r="H735" s="769">
        <f>F735-G735</f>
        <v>0</v>
      </c>
      <c r="I735" s="557"/>
      <c r="J735" s="2017"/>
      <c r="K735" s="2065"/>
      <c r="L735" s="2065"/>
      <c r="M735" s="2065"/>
      <c r="N735" s="2065"/>
      <c r="O735" s="2065"/>
      <c r="P735" s="2018"/>
      <c r="Q735" s="2065"/>
      <c r="R735" s="2019"/>
      <c r="S735" s="2018"/>
      <c r="T735" s="2065"/>
      <c r="U735" s="2065"/>
      <c r="V735" s="2018"/>
      <c r="W735" s="2065"/>
      <c r="X735" s="2053"/>
      <c r="Y735" s="2054"/>
      <c r="Z735" s="667">
        <f>Z736+Z742</f>
        <v>160000000</v>
      </c>
      <c r="AA735" s="547"/>
      <c r="AB735" s="1891"/>
      <c r="AC735" s="2729"/>
      <c r="AD735" s="1662"/>
    </row>
    <row r="736" spans="1:30" s="93" customFormat="1" ht="22.5" customHeight="1">
      <c r="A736" s="2079"/>
      <c r="B736" s="2035"/>
      <c r="C736" s="2013"/>
      <c r="D736" s="2038"/>
      <c r="E736" s="2023" t="s">
        <v>246</v>
      </c>
      <c r="F736" s="2031">
        <f>+Y736</f>
        <v>159813</v>
      </c>
      <c r="G736" s="2029">
        <v>159000</v>
      </c>
      <c r="H736" s="2037">
        <f>F736-G736</f>
        <v>813</v>
      </c>
      <c r="I736" s="557"/>
      <c r="J736" s="3530" t="s">
        <v>5612</v>
      </c>
      <c r="K736" s="3527"/>
      <c r="L736" s="3527"/>
      <c r="M736" s="3527"/>
      <c r="N736" s="3527"/>
      <c r="O736" s="3527"/>
      <c r="P736" s="3119"/>
      <c r="Q736" s="3531"/>
      <c r="R736" s="3516"/>
      <c r="S736" s="3531"/>
      <c r="T736" s="3531"/>
      <c r="U736" s="3119"/>
      <c r="V736" s="3531"/>
      <c r="W736" s="3531"/>
      <c r="X736" s="2030"/>
      <c r="Y736" s="3110">
        <f>SUM(Y737:Y741)</f>
        <v>159813</v>
      </c>
      <c r="Z736" s="658">
        <f>SUM(Z737:Z741)</f>
        <v>159813000</v>
      </c>
      <c r="AA736" s="547"/>
      <c r="AB736" s="1891"/>
      <c r="AC736" s="2729"/>
      <c r="AD736" s="1662"/>
    </row>
    <row r="737" spans="1:30" s="93" customFormat="1" ht="22.5" customHeight="1">
      <c r="A737" s="2079"/>
      <c r="B737" s="2035"/>
      <c r="C737" s="2013"/>
      <c r="D737" s="2038"/>
      <c r="E737" s="2023"/>
      <c r="F737" s="2031"/>
      <c r="G737" s="2029"/>
      <c r="H737" s="2037"/>
      <c r="I737" s="557"/>
      <c r="J737" s="3530" t="s">
        <v>5613</v>
      </c>
      <c r="K737" s="3527"/>
      <c r="L737" s="3527"/>
      <c r="M737" s="3527"/>
      <c r="N737" s="2075"/>
      <c r="O737" s="2075"/>
      <c r="P737" s="2075"/>
      <c r="Q737" s="3531"/>
      <c r="R737" s="3516"/>
      <c r="S737" s="3531">
        <v>4000000</v>
      </c>
      <c r="T737" s="3531" t="s">
        <v>0</v>
      </c>
      <c r="U737" s="3531"/>
      <c r="V737" s="3531">
        <v>1</v>
      </c>
      <c r="W737" s="3531" t="s">
        <v>5611</v>
      </c>
      <c r="X737" s="1256" t="s">
        <v>1</v>
      </c>
      <c r="Y737" s="3110">
        <f t="shared" ref="Y737:Y742" si="259">+S737*V737/1000</f>
        <v>4000</v>
      </c>
      <c r="Z737" s="896">
        <f>S737*V737</f>
        <v>4000000</v>
      </c>
      <c r="AA737" s="547"/>
      <c r="AB737" s="1891"/>
      <c r="AC737" s="2729"/>
      <c r="AD737" s="1662"/>
    </row>
    <row r="738" spans="1:30" s="93" customFormat="1" ht="22.5" customHeight="1">
      <c r="A738" s="2079"/>
      <c r="B738" s="2035"/>
      <c r="C738" s="2035"/>
      <c r="D738" s="2038"/>
      <c r="E738" s="2023"/>
      <c r="F738" s="2031"/>
      <c r="G738" s="2029"/>
      <c r="H738" s="2037"/>
      <c r="I738" s="557"/>
      <c r="J738" s="3530" t="s">
        <v>5614</v>
      </c>
      <c r="K738" s="3527"/>
      <c r="L738" s="3527"/>
      <c r="M738" s="3527"/>
      <c r="N738" s="3527"/>
      <c r="O738" s="3527"/>
      <c r="P738" s="3119"/>
      <c r="Q738" s="3531"/>
      <c r="R738" s="3516"/>
      <c r="S738" s="3531">
        <v>150000000</v>
      </c>
      <c r="T738" s="3531" t="s">
        <v>0</v>
      </c>
      <c r="U738" s="3531"/>
      <c r="V738" s="3531">
        <v>1</v>
      </c>
      <c r="W738" s="3531" t="s">
        <v>5611</v>
      </c>
      <c r="X738" s="1256" t="s">
        <v>1</v>
      </c>
      <c r="Y738" s="3110">
        <f t="shared" si="259"/>
        <v>150000</v>
      </c>
      <c r="Z738" s="896">
        <f t="shared" ref="Z738:Z742" si="260">S738*V738</f>
        <v>150000000</v>
      </c>
      <c r="AA738" s="547"/>
      <c r="AB738" s="1891"/>
      <c r="AC738" s="2729"/>
      <c r="AD738" s="1662"/>
    </row>
    <row r="739" spans="1:30" s="93" customFormat="1" ht="22.5" customHeight="1">
      <c r="A739" s="3464"/>
      <c r="B739" s="2035"/>
      <c r="C739" s="2035"/>
      <c r="D739" s="2038"/>
      <c r="E739" s="2023"/>
      <c r="F739" s="2031"/>
      <c r="G739" s="2029"/>
      <c r="H739" s="2037"/>
      <c r="I739" s="557"/>
      <c r="J739" s="3530" t="s">
        <v>5615</v>
      </c>
      <c r="K739" s="3527"/>
      <c r="L739" s="3527"/>
      <c r="M739" s="3527"/>
      <c r="N739" s="2075"/>
      <c r="O739" s="2075"/>
      <c r="P739" s="2075"/>
      <c r="Q739" s="3531"/>
      <c r="R739" s="3516"/>
      <c r="S739" s="3531">
        <v>2000000</v>
      </c>
      <c r="T739" s="3531" t="s">
        <v>0</v>
      </c>
      <c r="U739" s="3531"/>
      <c r="V739" s="3531">
        <v>1</v>
      </c>
      <c r="W739" s="3531" t="s">
        <v>5611</v>
      </c>
      <c r="X739" s="1256" t="s">
        <v>1</v>
      </c>
      <c r="Y739" s="3110">
        <f t="shared" si="259"/>
        <v>2000</v>
      </c>
      <c r="Z739" s="896">
        <f t="shared" si="260"/>
        <v>2000000</v>
      </c>
      <c r="AA739" s="547"/>
      <c r="AB739" s="1891"/>
      <c r="AC739" s="2729"/>
      <c r="AD739" s="1662"/>
    </row>
    <row r="740" spans="1:30" s="93" customFormat="1" ht="22.5" customHeight="1">
      <c r="A740" s="2079"/>
      <c r="B740" s="2035"/>
      <c r="C740" s="2035"/>
      <c r="D740" s="2038"/>
      <c r="E740" s="2023"/>
      <c r="F740" s="2031"/>
      <c r="G740" s="2029"/>
      <c r="H740" s="2037"/>
      <c r="I740" s="557"/>
      <c r="J740" s="3530" t="s">
        <v>5616</v>
      </c>
      <c r="K740" s="3527"/>
      <c r="L740" s="3527"/>
      <c r="M740" s="3527"/>
      <c r="N740" s="2075"/>
      <c r="O740" s="2075"/>
      <c r="P740" s="2075"/>
      <c r="Q740" s="3531"/>
      <c r="R740" s="3516"/>
      <c r="S740" s="3531">
        <v>3000000</v>
      </c>
      <c r="T740" s="3531" t="s">
        <v>0</v>
      </c>
      <c r="U740" s="3531"/>
      <c r="V740" s="3531">
        <v>1</v>
      </c>
      <c r="W740" s="3531" t="s">
        <v>5611</v>
      </c>
      <c r="X740" s="1256" t="s">
        <v>1</v>
      </c>
      <c r="Y740" s="3110">
        <f t="shared" si="259"/>
        <v>3000</v>
      </c>
      <c r="Z740" s="896">
        <f t="shared" si="260"/>
        <v>3000000</v>
      </c>
      <c r="AA740" s="547"/>
      <c r="AB740" s="1891"/>
      <c r="AC740" s="2729"/>
      <c r="AD740" s="1662"/>
    </row>
    <row r="741" spans="1:30" s="93" customFormat="1" ht="22.5" customHeight="1">
      <c r="A741" s="2079"/>
      <c r="B741" s="2035"/>
      <c r="C741" s="2035"/>
      <c r="D741" s="2038"/>
      <c r="E741" s="2023"/>
      <c r="F741" s="2031"/>
      <c r="G741" s="2029"/>
      <c r="H741" s="2037"/>
      <c r="I741" s="557"/>
      <c r="J741" s="3530" t="s">
        <v>5617</v>
      </c>
      <c r="K741" s="3527"/>
      <c r="L741" s="3527"/>
      <c r="M741" s="3527"/>
      <c r="N741" s="2075"/>
      <c r="O741" s="2075"/>
      <c r="P741" s="2075"/>
      <c r="Q741" s="3531"/>
      <c r="R741" s="3516"/>
      <c r="S741" s="3531">
        <v>813000</v>
      </c>
      <c r="T741" s="3531" t="s">
        <v>0</v>
      </c>
      <c r="U741" s="3531"/>
      <c r="V741" s="3531">
        <v>1</v>
      </c>
      <c r="W741" s="3531" t="s">
        <v>5611</v>
      </c>
      <c r="X741" s="1256" t="s">
        <v>1</v>
      </c>
      <c r="Y741" s="3110">
        <f t="shared" si="259"/>
        <v>813</v>
      </c>
      <c r="Z741" s="896">
        <f t="shared" si="260"/>
        <v>813000</v>
      </c>
      <c r="AA741" s="547"/>
      <c r="AB741" s="1891"/>
      <c r="AC741" s="2729"/>
      <c r="AD741" s="1662"/>
    </row>
    <row r="742" spans="1:30" s="93" customFormat="1" ht="22.5" customHeight="1">
      <c r="A742" s="2079"/>
      <c r="B742" s="2035"/>
      <c r="C742" s="2035"/>
      <c r="D742" s="2038"/>
      <c r="E742" s="2023" t="s">
        <v>15</v>
      </c>
      <c r="F742" s="593">
        <f>+Y742</f>
        <v>187</v>
      </c>
      <c r="G742" s="2029">
        <v>1000</v>
      </c>
      <c r="H742" s="2037">
        <f>F742-G742</f>
        <v>-813</v>
      </c>
      <c r="I742" s="557"/>
      <c r="J742" s="3530" t="s">
        <v>5618</v>
      </c>
      <c r="K742" s="3527"/>
      <c r="L742" s="3527"/>
      <c r="M742" s="3527"/>
      <c r="N742" s="2075"/>
      <c r="O742" s="2075"/>
      <c r="P742" s="2075"/>
      <c r="Q742" s="3531"/>
      <c r="R742" s="3516"/>
      <c r="S742" s="3531">
        <v>187000</v>
      </c>
      <c r="T742" s="3531" t="s">
        <v>0</v>
      </c>
      <c r="U742" s="3531"/>
      <c r="V742" s="3531">
        <v>1</v>
      </c>
      <c r="W742" s="3531" t="s">
        <v>5611</v>
      </c>
      <c r="X742" s="1256" t="s">
        <v>1</v>
      </c>
      <c r="Y742" s="3110">
        <f t="shared" si="259"/>
        <v>187</v>
      </c>
      <c r="Z742" s="896">
        <f t="shared" si="260"/>
        <v>187000</v>
      </c>
      <c r="AA742" s="547"/>
      <c r="AB742" s="1891"/>
      <c r="AC742" s="2729"/>
      <c r="AD742" s="1662"/>
    </row>
    <row r="743" spans="1:30" s="93" customFormat="1" ht="22.5" customHeight="1">
      <c r="A743" s="2079"/>
      <c r="B743" s="2035"/>
      <c r="C743" s="1386" t="s">
        <v>2026</v>
      </c>
      <c r="D743" s="2104"/>
      <c r="E743" s="1252"/>
      <c r="F743" s="1253">
        <f>F744</f>
        <v>15000</v>
      </c>
      <c r="G743" s="1253">
        <f>G744</f>
        <v>15000</v>
      </c>
      <c r="H743" s="620">
        <f>F743-G743</f>
        <v>0</v>
      </c>
      <c r="I743" s="557"/>
      <c r="J743" s="2025"/>
      <c r="K743" s="2068"/>
      <c r="L743" s="2068"/>
      <c r="M743" s="2068"/>
      <c r="N743" s="2068"/>
      <c r="O743" s="2068"/>
      <c r="P743" s="2101"/>
      <c r="Q743" s="2026"/>
      <c r="R743" s="2027"/>
      <c r="S743" s="2026"/>
      <c r="T743" s="2026"/>
      <c r="U743" s="2101"/>
      <c r="V743" s="2026"/>
      <c r="W743" s="2026"/>
      <c r="X743" s="2028"/>
      <c r="Y743" s="517"/>
      <c r="Z743" s="518">
        <f>Z744</f>
        <v>24000000</v>
      </c>
      <c r="AA743" s="547"/>
      <c r="AB743" s="1891">
        <f>F743</f>
        <v>15000</v>
      </c>
      <c r="AC743" s="2729"/>
      <c r="AD743" s="1662"/>
    </row>
    <row r="744" spans="1:30" s="93" customFormat="1" ht="22.5" customHeight="1">
      <c r="A744" s="2079"/>
      <c r="B744" s="2035"/>
      <c r="C744" s="2013"/>
      <c r="D744" s="3823" t="s">
        <v>2249</v>
      </c>
      <c r="E744" s="3824"/>
      <c r="F744" s="2052">
        <f>SUM(F745:F751)</f>
        <v>15000</v>
      </c>
      <c r="G744" s="2052">
        <f>SUM(G745:G751)</f>
        <v>15000</v>
      </c>
      <c r="H744" s="769">
        <f>F744-G744</f>
        <v>0</v>
      </c>
      <c r="I744" s="557"/>
      <c r="J744" s="2017"/>
      <c r="K744" s="2065"/>
      <c r="L744" s="2065"/>
      <c r="M744" s="2065"/>
      <c r="N744" s="2065"/>
      <c r="O744" s="2065"/>
      <c r="P744" s="2018"/>
      <c r="Q744" s="2065"/>
      <c r="R744" s="2019"/>
      <c r="S744" s="2018"/>
      <c r="T744" s="2065"/>
      <c r="U744" s="2065"/>
      <c r="V744" s="2018"/>
      <c r="W744" s="2065"/>
      <c r="X744" s="2053"/>
      <c r="Y744" s="2054"/>
      <c r="Z744" s="667">
        <f>SUM(Z748:Z750)</f>
        <v>24000000</v>
      </c>
      <c r="AA744" s="547"/>
      <c r="AB744" s="1891"/>
      <c r="AC744" s="2729"/>
      <c r="AD744" s="1662"/>
    </row>
    <row r="745" spans="1:30" s="93" customFormat="1" ht="22.5" customHeight="1">
      <c r="A745" s="2079"/>
      <c r="B745" s="2035"/>
      <c r="C745" s="2013"/>
      <c r="D745" s="2038"/>
      <c r="E745" s="2023" t="s">
        <v>264</v>
      </c>
      <c r="F745" s="2031">
        <f>+Y745</f>
        <v>2600</v>
      </c>
      <c r="G745" s="2029">
        <v>2600</v>
      </c>
      <c r="H745" s="2037"/>
      <c r="I745" s="557"/>
      <c r="J745" s="2105" t="s">
        <v>8</v>
      </c>
      <c r="K745" s="2082"/>
      <c r="L745" s="2082"/>
      <c r="M745" s="2082"/>
      <c r="N745" s="2082"/>
      <c r="O745" s="2082"/>
      <c r="P745" s="2015"/>
      <c r="Q745" s="2106"/>
      <c r="R745" s="2092"/>
      <c r="S745" s="2106"/>
      <c r="T745" s="2106"/>
      <c r="U745" s="2015"/>
      <c r="V745" s="2106"/>
      <c r="W745" s="2106"/>
      <c r="X745" s="2030"/>
      <c r="Y745" s="2032">
        <f t="shared" ref="Y745" si="261">+Z745/1000</f>
        <v>2600</v>
      </c>
      <c r="Z745" s="658">
        <f>SUM(Z746:Z747)</f>
        <v>2600000</v>
      </c>
      <c r="AA745" s="547"/>
      <c r="AB745" s="1891"/>
      <c r="AC745" s="2729"/>
      <c r="AD745" s="1662"/>
    </row>
    <row r="746" spans="1:30" s="93" customFormat="1" ht="22.5" customHeight="1">
      <c r="A746" s="2079"/>
      <c r="B746" s="2035"/>
      <c r="C746" s="2013"/>
      <c r="D746" s="2038"/>
      <c r="E746" s="2023"/>
      <c r="F746" s="2031"/>
      <c r="G746" s="2029"/>
      <c r="H746" s="2037"/>
      <c r="I746" s="557"/>
      <c r="J746" s="2105" t="s">
        <v>2253</v>
      </c>
      <c r="K746" s="2082"/>
      <c r="L746" s="2082"/>
      <c r="M746" s="2082"/>
      <c r="N746" s="2075"/>
      <c r="O746" s="2075"/>
      <c r="P746" s="2075"/>
      <c r="Q746" s="2106"/>
      <c r="R746" s="2106"/>
      <c r="S746" s="2106">
        <v>60000</v>
      </c>
      <c r="T746" s="2106" t="s">
        <v>0</v>
      </c>
      <c r="U746" s="2106"/>
      <c r="V746" s="2106">
        <v>40</v>
      </c>
      <c r="W746" s="2106" t="s">
        <v>369</v>
      </c>
      <c r="X746" s="1256" t="s">
        <v>1</v>
      </c>
      <c r="Y746" s="483">
        <f>+S746*V746/1000</f>
        <v>2400</v>
      </c>
      <c r="Z746" s="896">
        <f>S746*V746</f>
        <v>2400000</v>
      </c>
      <c r="AA746" s="547"/>
      <c r="AB746" s="1891"/>
      <c r="AC746" s="2729"/>
      <c r="AD746" s="1662"/>
    </row>
    <row r="747" spans="1:30" s="93" customFormat="1" ht="22.5" customHeight="1">
      <c r="A747" s="2079"/>
      <c r="B747" s="2035"/>
      <c r="C747" s="2035"/>
      <c r="D747" s="2038"/>
      <c r="E747" s="2023"/>
      <c r="F747" s="2031"/>
      <c r="G747" s="2029"/>
      <c r="H747" s="2037"/>
      <c r="I747" s="557"/>
      <c r="J747" s="2105" t="s">
        <v>2254</v>
      </c>
      <c r="K747" s="2082"/>
      <c r="L747" s="2082"/>
      <c r="M747" s="2082"/>
      <c r="N747" s="2082"/>
      <c r="O747" s="2082"/>
      <c r="P747" s="2015"/>
      <c r="Q747" s="2106"/>
      <c r="R747" s="2106"/>
      <c r="S747" s="2106">
        <v>10000</v>
      </c>
      <c r="T747" s="2106" t="s">
        <v>0</v>
      </c>
      <c r="U747" s="2106"/>
      <c r="V747" s="2106">
        <v>20</v>
      </c>
      <c r="W747" s="2106" t="s">
        <v>243</v>
      </c>
      <c r="X747" s="1256" t="s">
        <v>1</v>
      </c>
      <c r="Y747" s="483">
        <f>+S747*V747/1000</f>
        <v>200</v>
      </c>
      <c r="Z747" s="896">
        <f>S747*V747</f>
        <v>200000</v>
      </c>
      <c r="AA747" s="547"/>
      <c r="AB747" s="1891"/>
      <c r="AC747" s="2729"/>
      <c r="AD747" s="1662"/>
    </row>
    <row r="748" spans="1:30" s="93" customFormat="1" ht="22.5" customHeight="1">
      <c r="A748" s="2079"/>
      <c r="B748" s="2035"/>
      <c r="C748" s="2013"/>
      <c r="D748" s="2038"/>
      <c r="E748" s="2023" t="s">
        <v>380</v>
      </c>
      <c r="F748" s="2031">
        <f>+Y748</f>
        <v>12000</v>
      </c>
      <c r="G748" s="2029">
        <v>12000</v>
      </c>
      <c r="H748" s="2037"/>
      <c r="I748" s="557"/>
      <c r="J748" s="2105" t="s">
        <v>8</v>
      </c>
      <c r="K748" s="2082"/>
      <c r="L748" s="2082"/>
      <c r="M748" s="2082"/>
      <c r="N748" s="2082"/>
      <c r="O748" s="2082"/>
      <c r="P748" s="2015"/>
      <c r="Q748" s="2106"/>
      <c r="R748" s="2092"/>
      <c r="S748" s="2106"/>
      <c r="T748" s="2106"/>
      <c r="U748" s="2015"/>
      <c r="V748" s="2106"/>
      <c r="W748" s="2106"/>
      <c r="X748" s="2030"/>
      <c r="Y748" s="2032">
        <f t="shared" ref="Y748" si="262">+Z748/1000</f>
        <v>12000</v>
      </c>
      <c r="Z748" s="658">
        <f>SUM(Z749:Z750)</f>
        <v>12000000</v>
      </c>
      <c r="AA748" s="547"/>
      <c r="AB748" s="1891"/>
      <c r="AC748" s="2729"/>
      <c r="AD748" s="1662"/>
    </row>
    <row r="749" spans="1:30" s="93" customFormat="1" ht="22.5" customHeight="1">
      <c r="A749" s="2079"/>
      <c r="B749" s="2035"/>
      <c r="C749" s="2013"/>
      <c r="D749" s="2038"/>
      <c r="E749" s="2023"/>
      <c r="F749" s="2031"/>
      <c r="G749" s="2029"/>
      <c r="H749" s="2037"/>
      <c r="I749" s="557"/>
      <c r="J749" s="2105" t="s">
        <v>2250</v>
      </c>
      <c r="K749" s="2082"/>
      <c r="L749" s="2082"/>
      <c r="M749" s="2082"/>
      <c r="N749" s="2075"/>
      <c r="O749" s="2075"/>
      <c r="P749" s="2075"/>
      <c r="Q749" s="2106">
        <v>10</v>
      </c>
      <c r="R749" s="2106" t="s">
        <v>2251</v>
      </c>
      <c r="S749" s="2106">
        <v>100000</v>
      </c>
      <c r="T749" s="2106" t="s">
        <v>0</v>
      </c>
      <c r="U749" s="2106"/>
      <c r="V749" s="2106">
        <v>8</v>
      </c>
      <c r="W749" s="2106" t="s">
        <v>230</v>
      </c>
      <c r="X749" s="1256" t="s">
        <v>1</v>
      </c>
      <c r="Y749" s="483">
        <f>+S749*V749/1000</f>
        <v>800</v>
      </c>
      <c r="Z749" s="896">
        <f>Q749*S749*V749</f>
        <v>8000000</v>
      </c>
      <c r="AA749" s="547"/>
      <c r="AB749" s="1891"/>
      <c r="AC749" s="2729"/>
      <c r="AD749" s="1662"/>
    </row>
    <row r="750" spans="1:30" s="93" customFormat="1" ht="22.5" customHeight="1">
      <c r="A750" s="2079"/>
      <c r="B750" s="2035"/>
      <c r="C750" s="2035"/>
      <c r="D750" s="2038"/>
      <c r="E750" s="2023"/>
      <c r="F750" s="2031"/>
      <c r="G750" s="2029"/>
      <c r="H750" s="2037"/>
      <c r="I750" s="557"/>
      <c r="J750" s="2105" t="s">
        <v>2252</v>
      </c>
      <c r="K750" s="2082"/>
      <c r="L750" s="2082"/>
      <c r="M750" s="2082"/>
      <c r="N750" s="2082"/>
      <c r="O750" s="2082"/>
      <c r="P750" s="2015"/>
      <c r="Q750" s="2106">
        <v>10</v>
      </c>
      <c r="R750" s="2106" t="s">
        <v>2251</v>
      </c>
      <c r="S750" s="2106">
        <v>50000</v>
      </c>
      <c r="T750" s="2106" t="s">
        <v>0</v>
      </c>
      <c r="U750" s="2106"/>
      <c r="V750" s="2106">
        <v>8</v>
      </c>
      <c r="W750" s="2106" t="s">
        <v>230</v>
      </c>
      <c r="X750" s="1256" t="s">
        <v>1</v>
      </c>
      <c r="Y750" s="483">
        <f>+S750*V750/1000</f>
        <v>400</v>
      </c>
      <c r="Z750" s="896">
        <f>Q750*S750*V750</f>
        <v>4000000</v>
      </c>
      <c r="AA750" s="547"/>
      <c r="AB750" s="1891"/>
      <c r="AC750" s="2729"/>
      <c r="AD750" s="1662"/>
    </row>
    <row r="751" spans="1:30" s="1878" customFormat="1" ht="22.5" customHeight="1" thickBot="1">
      <c r="A751" s="591"/>
      <c r="B751" s="624"/>
      <c r="C751" s="624"/>
      <c r="D751" s="2063"/>
      <c r="E751" s="2055" t="s">
        <v>14</v>
      </c>
      <c r="F751" s="1877">
        <f>Y751</f>
        <v>400</v>
      </c>
      <c r="G751" s="1877">
        <v>400</v>
      </c>
      <c r="H751" s="1658"/>
      <c r="I751" s="557"/>
      <c r="J751" s="2056" t="s">
        <v>1486</v>
      </c>
      <c r="K751" s="640"/>
      <c r="L751" s="640"/>
      <c r="M751" s="640"/>
      <c r="N751" s="640"/>
      <c r="O751" s="640"/>
      <c r="P751" s="640"/>
      <c r="Q751" s="2058">
        <v>4</v>
      </c>
      <c r="R751" s="2058" t="s">
        <v>36</v>
      </c>
      <c r="S751" s="2058">
        <v>10000</v>
      </c>
      <c r="T751" s="2058" t="s">
        <v>4</v>
      </c>
      <c r="U751" s="2058"/>
      <c r="V751" s="2058">
        <v>10</v>
      </c>
      <c r="W751" s="2058" t="s">
        <v>39</v>
      </c>
      <c r="X751" s="2059" t="s">
        <v>5</v>
      </c>
      <c r="Y751" s="522">
        <f>Z751/1000</f>
        <v>400</v>
      </c>
      <c r="Z751" s="1882">
        <f>Q751*S751*V751</f>
        <v>400000</v>
      </c>
      <c r="AA751" s="547"/>
      <c r="AB751" s="1891"/>
      <c r="AC751" s="1895"/>
      <c r="AD751" s="456"/>
    </row>
    <row r="752" spans="1:30" s="1651" customFormat="1" ht="22.5" customHeight="1" thickBot="1">
      <c r="A752" s="574" t="s">
        <v>1337</v>
      </c>
      <c r="B752" s="1902"/>
      <c r="C752" s="1902"/>
      <c r="D752" s="1902"/>
      <c r="E752" s="1902"/>
      <c r="F752" s="821">
        <f>+F753</f>
        <v>1768999.53</v>
      </c>
      <c r="G752" s="821">
        <f>+G753</f>
        <v>1543999.82</v>
      </c>
      <c r="H752" s="2655">
        <f>F752-G752</f>
        <v>224999.70999999996</v>
      </c>
      <c r="I752" s="557"/>
      <c r="J752" s="2316"/>
      <c r="K752" s="2317"/>
      <c r="L752" s="2317"/>
      <c r="M752" s="2317"/>
      <c r="N752" s="2317"/>
      <c r="O752" s="2317"/>
      <c r="P752" s="2317"/>
      <c r="Q752" s="2317"/>
      <c r="R752" s="2722"/>
      <c r="S752" s="2317"/>
      <c r="T752" s="2317"/>
      <c r="U752" s="2317"/>
      <c r="V752" s="2317"/>
      <c r="W752" s="2317"/>
      <c r="X752" s="2314"/>
      <c r="Y752" s="2723"/>
      <c r="Z752" s="587"/>
      <c r="AA752" s="547"/>
      <c r="AB752" s="1891"/>
      <c r="AC752" s="1895"/>
      <c r="AD752" s="456"/>
    </row>
    <row r="753" spans="1:30" s="814" customFormat="1" ht="22.5" customHeight="1" thickBot="1">
      <c r="A753" s="1912"/>
      <c r="B753" s="568" t="s">
        <v>915</v>
      </c>
      <c r="C753" s="569"/>
      <c r="D753" s="570"/>
      <c r="E753" s="571"/>
      <c r="F753" s="822">
        <f>+F754+F838+F901+F906</f>
        <v>1768999.53</v>
      </c>
      <c r="G753" s="822">
        <f>+G754+G838+G901+G906</f>
        <v>1543999.82</v>
      </c>
      <c r="H753" s="573">
        <f t="shared" ref="H753" si="263">F753-G753</f>
        <v>224999.70999999996</v>
      </c>
      <c r="I753" s="2682"/>
      <c r="J753" s="574"/>
      <c r="K753" s="575"/>
      <c r="L753" s="575"/>
      <c r="M753" s="575"/>
      <c r="N753" s="575"/>
      <c r="O753" s="575"/>
      <c r="P753" s="575"/>
      <c r="Q753" s="575"/>
      <c r="R753" s="575"/>
      <c r="S753" s="575"/>
      <c r="T753" s="575"/>
      <c r="U753" s="575"/>
      <c r="V753" s="575"/>
      <c r="W753" s="575"/>
      <c r="X753" s="576"/>
      <c r="Y753" s="2658"/>
      <c r="Z753" s="2667"/>
      <c r="AA753" s="547"/>
      <c r="AB753" s="1891"/>
      <c r="AC753" s="2677"/>
      <c r="AD753" s="836"/>
    </row>
    <row r="754" spans="1:30" s="815" customFormat="1" ht="22.5" customHeight="1">
      <c r="A754" s="562"/>
      <c r="B754" s="563"/>
      <c r="C754" s="4099" t="s">
        <v>1338</v>
      </c>
      <c r="D754" s="4099"/>
      <c r="E754" s="3839"/>
      <c r="F754" s="826">
        <f>+F755+F776+F789+F797+F819</f>
        <v>774000.02</v>
      </c>
      <c r="G754" s="826">
        <f>+G755+G776+G789+G797+G819</f>
        <v>774000.02</v>
      </c>
      <c r="H754" s="2450">
        <f t="shared" ref="H754:H755" si="264">F754-G754</f>
        <v>0</v>
      </c>
      <c r="I754" s="557"/>
      <c r="J754" s="2740"/>
      <c r="K754" s="2741"/>
      <c r="L754" s="2741"/>
      <c r="M754" s="2741"/>
      <c r="N754" s="2741"/>
      <c r="O754" s="2741"/>
      <c r="P754" s="2741"/>
      <c r="Q754" s="2742"/>
      <c r="R754" s="2743"/>
      <c r="S754" s="2744"/>
      <c r="T754" s="2745"/>
      <c r="U754" s="2745"/>
      <c r="V754" s="2745"/>
      <c r="W754" s="2745"/>
      <c r="X754" s="2746"/>
      <c r="Y754" s="2747"/>
      <c r="Z754" s="555"/>
      <c r="AA754" s="547"/>
      <c r="AB754" s="1891">
        <f>F754</f>
        <v>774000.02</v>
      </c>
      <c r="AC754" s="1892"/>
      <c r="AD754" s="837"/>
    </row>
    <row r="755" spans="1:30" s="815" customFormat="1" ht="22.5" customHeight="1">
      <c r="A755" s="562"/>
      <c r="B755" s="563"/>
      <c r="C755" s="564"/>
      <c r="D755" s="3825" t="s">
        <v>1339</v>
      </c>
      <c r="E755" s="3826"/>
      <c r="F755" s="598">
        <f>SUM(F756:F775)</f>
        <v>500000</v>
      </c>
      <c r="G755" s="598">
        <f>SUM(G756:G775)</f>
        <v>500000</v>
      </c>
      <c r="H755" s="620">
        <f t="shared" si="264"/>
        <v>0</v>
      </c>
      <c r="I755" s="557"/>
      <c r="J755" s="2025"/>
      <c r="K755" s="2068"/>
      <c r="L755" s="2068"/>
      <c r="M755" s="2068"/>
      <c r="N755" s="2068"/>
      <c r="O755" s="2068"/>
      <c r="P755" s="2068"/>
      <c r="Q755" s="2068"/>
      <c r="R755" s="539"/>
      <c r="S755" s="2026"/>
      <c r="T755" s="2026"/>
      <c r="U755" s="2026"/>
      <c r="V755" s="2026"/>
      <c r="W755" s="2026"/>
      <c r="X755" s="2028"/>
      <c r="Y755" s="586"/>
      <c r="Z755" s="622"/>
      <c r="AA755" s="547"/>
      <c r="AB755" s="1891"/>
      <c r="AC755" s="1892"/>
      <c r="AD755" s="837"/>
    </row>
    <row r="756" spans="1:30" s="1651" customFormat="1" ht="22.5" customHeight="1">
      <c r="A756" s="591"/>
      <c r="B756" s="548"/>
      <c r="C756" s="624"/>
      <c r="D756" s="2020"/>
      <c r="E756" s="602" t="s">
        <v>4821</v>
      </c>
      <c r="F756" s="1883">
        <f>Y756</f>
        <v>23100</v>
      </c>
      <c r="G756" s="1883">
        <v>23100</v>
      </c>
      <c r="H756" s="626"/>
      <c r="I756" s="557"/>
      <c r="J756" s="3254" t="s">
        <v>4797</v>
      </c>
      <c r="K756" s="3253"/>
      <c r="L756" s="3253"/>
      <c r="M756" s="3253"/>
      <c r="N756" s="3253"/>
      <c r="O756" s="3253"/>
      <c r="P756" s="3253"/>
      <c r="Q756" s="556">
        <v>1</v>
      </c>
      <c r="R756" s="3180" t="s">
        <v>4798</v>
      </c>
      <c r="S756" s="3255">
        <v>1925000</v>
      </c>
      <c r="T756" s="3255" t="s">
        <v>4782</v>
      </c>
      <c r="U756" s="3255"/>
      <c r="V756" s="3255">
        <v>12</v>
      </c>
      <c r="W756" s="3255" t="s">
        <v>4799</v>
      </c>
      <c r="X756" s="2030" t="s">
        <v>4791</v>
      </c>
      <c r="Y756" s="554">
        <f t="shared" ref="Y756" si="265">Z756/1000</f>
        <v>23100</v>
      </c>
      <c r="Z756" s="1898">
        <f>Q756*S756*V756</f>
        <v>23100000</v>
      </c>
      <c r="AA756" s="547"/>
      <c r="AB756" s="1891"/>
      <c r="AC756" s="1895"/>
      <c r="AD756" s="456"/>
    </row>
    <row r="757" spans="1:30" s="1651" customFormat="1" ht="22.5" customHeight="1">
      <c r="A757" s="591"/>
      <c r="B757" s="548"/>
      <c r="C757" s="624"/>
      <c r="D757" s="2020"/>
      <c r="E757" s="2023" t="s">
        <v>4822</v>
      </c>
      <c r="F757" s="526">
        <f>Y757</f>
        <v>0</v>
      </c>
      <c r="G757" s="526">
        <v>5000</v>
      </c>
      <c r="H757" s="2037">
        <f>F757-G757</f>
        <v>-5000</v>
      </c>
      <c r="I757" s="557"/>
      <c r="J757" s="3530" t="s">
        <v>5755</v>
      </c>
      <c r="K757" s="3253"/>
      <c r="L757" s="3253"/>
      <c r="M757" s="3253"/>
      <c r="N757" s="3253"/>
      <c r="O757" s="3253"/>
      <c r="P757" s="3253"/>
      <c r="Q757" s="3109"/>
      <c r="R757" s="552"/>
      <c r="S757" s="3108"/>
      <c r="T757" s="3255"/>
      <c r="U757" s="3255"/>
      <c r="V757" s="3255"/>
      <c r="W757" s="3255"/>
      <c r="X757" s="3255"/>
      <c r="Y757" s="3110"/>
      <c r="Z757" s="555"/>
      <c r="AA757" s="547"/>
      <c r="AB757" s="1891"/>
      <c r="AC757" s="1895"/>
      <c r="AD757" s="456"/>
    </row>
    <row r="758" spans="1:30" s="1651" customFormat="1" ht="22.5" customHeight="1">
      <c r="A758" s="591"/>
      <c r="B758" s="624"/>
      <c r="C758" s="624"/>
      <c r="D758" s="2020"/>
      <c r="E758" s="2023" t="s">
        <v>4823</v>
      </c>
      <c r="F758" s="526">
        <f>Y758</f>
        <v>1710</v>
      </c>
      <c r="G758" s="526">
        <v>1900</v>
      </c>
      <c r="H758" s="2037">
        <f>F758-G758</f>
        <v>-190</v>
      </c>
      <c r="I758" s="557"/>
      <c r="J758" s="3254" t="s">
        <v>4800</v>
      </c>
      <c r="K758" s="3253"/>
      <c r="L758" s="3253"/>
      <c r="M758" s="3253"/>
      <c r="N758" s="3253"/>
      <c r="O758" s="3253"/>
      <c r="P758" s="3253"/>
      <c r="Q758" s="3109"/>
      <c r="R758" s="552"/>
      <c r="S758" s="3108">
        <v>342000</v>
      </c>
      <c r="T758" s="3255" t="s">
        <v>4782</v>
      </c>
      <c r="U758" s="3255"/>
      <c r="V758" s="3255">
        <v>5</v>
      </c>
      <c r="W758" s="3255" t="s">
        <v>4787</v>
      </c>
      <c r="X758" s="3255" t="s">
        <v>4784</v>
      </c>
      <c r="Y758" s="3110">
        <f>Z758/1000</f>
        <v>1710</v>
      </c>
      <c r="Z758" s="555">
        <f t="shared" ref="Z758" si="266">S758*V758</f>
        <v>1710000</v>
      </c>
      <c r="AA758" s="547"/>
      <c r="AB758" s="1891"/>
      <c r="AC758" s="1895"/>
      <c r="AD758" s="456"/>
    </row>
    <row r="759" spans="1:30" s="1651" customFormat="1" ht="22.5" customHeight="1">
      <c r="A759" s="591"/>
      <c r="B759" s="548"/>
      <c r="C759" s="624"/>
      <c r="D759" s="2020"/>
      <c r="E759" s="2023" t="s">
        <v>4824</v>
      </c>
      <c r="F759" s="549">
        <f>Y759</f>
        <v>400</v>
      </c>
      <c r="G759" s="549">
        <v>1000</v>
      </c>
      <c r="H759" s="2037">
        <f>F759-G759</f>
        <v>-600</v>
      </c>
      <c r="I759" s="557"/>
      <c r="J759" s="3254" t="s">
        <v>4801</v>
      </c>
      <c r="K759" s="3253"/>
      <c r="L759" s="3253"/>
      <c r="M759" s="3253"/>
      <c r="N759" s="3253"/>
      <c r="O759" s="3253"/>
      <c r="P759" s="3253"/>
      <c r="Q759" s="3255">
        <v>2</v>
      </c>
      <c r="R759" s="3255" t="s">
        <v>4798</v>
      </c>
      <c r="S759" s="3255">
        <v>10000</v>
      </c>
      <c r="T759" s="3255" t="s">
        <v>4782</v>
      </c>
      <c r="U759" s="3255"/>
      <c r="V759" s="3255">
        <v>20</v>
      </c>
      <c r="W759" s="3255" t="s">
        <v>4783</v>
      </c>
      <c r="X759" s="2030" t="s">
        <v>4784</v>
      </c>
      <c r="Y759" s="554">
        <f t="shared" ref="Y759" si="267">Z759/1000</f>
        <v>400</v>
      </c>
      <c r="Z759" s="555">
        <f>Q759*S759*V759</f>
        <v>400000</v>
      </c>
      <c r="AA759" s="547"/>
      <c r="AB759" s="1891"/>
      <c r="AC759" s="1895"/>
      <c r="AD759" s="456"/>
    </row>
    <row r="760" spans="1:30" s="1682" customFormat="1" ht="22.5" customHeight="1">
      <c r="A760" s="591"/>
      <c r="B760" s="548"/>
      <c r="C760" s="624"/>
      <c r="D760" s="2020"/>
      <c r="E760" s="2023" t="s">
        <v>4780</v>
      </c>
      <c r="F760" s="549">
        <f>+Y760</f>
        <v>26600</v>
      </c>
      <c r="G760" s="549">
        <v>30000</v>
      </c>
      <c r="H760" s="2037">
        <f>F760-G760</f>
        <v>-3400</v>
      </c>
      <c r="I760" s="557"/>
      <c r="J760" s="3254" t="s">
        <v>4802</v>
      </c>
      <c r="K760" s="3253"/>
      <c r="L760" s="3253"/>
      <c r="M760" s="3253"/>
      <c r="N760" s="3253"/>
      <c r="O760" s="3253"/>
      <c r="P760" s="3253"/>
      <c r="Q760" s="3253"/>
      <c r="R760" s="552"/>
      <c r="S760" s="3108"/>
      <c r="T760" s="3255"/>
      <c r="U760" s="3255"/>
      <c r="V760" s="3255"/>
      <c r="W760" s="3255"/>
      <c r="X760" s="3255" t="s">
        <v>4803</v>
      </c>
      <c r="Y760" s="3110">
        <f t="shared" ref="Y760" si="268">+Z760/1000</f>
        <v>26600</v>
      </c>
      <c r="Z760" s="555">
        <f>SUM(Z761:Z763)</f>
        <v>26600000</v>
      </c>
      <c r="AA760" s="547"/>
      <c r="AB760" s="1891"/>
      <c r="AC760" s="1895"/>
      <c r="AD760" s="456"/>
    </row>
    <row r="761" spans="1:30" s="1682" customFormat="1" ht="22.5" customHeight="1">
      <c r="A761" s="591"/>
      <c r="B761" s="548"/>
      <c r="C761" s="624"/>
      <c r="D761" s="2020"/>
      <c r="E761" s="2023"/>
      <c r="F761" s="549"/>
      <c r="G761" s="549"/>
      <c r="H761" s="551"/>
      <c r="I761" s="557"/>
      <c r="J761" s="3254" t="s">
        <v>4804</v>
      </c>
      <c r="K761" s="3253"/>
      <c r="L761" s="3253"/>
      <c r="M761" s="3253"/>
      <c r="N761" s="3253"/>
      <c r="O761" s="3253"/>
      <c r="P761" s="3253"/>
      <c r="Q761" s="3255"/>
      <c r="R761" s="3255"/>
      <c r="S761" s="3255">
        <v>500000000</v>
      </c>
      <c r="T761" s="3255" t="s">
        <v>4782</v>
      </c>
      <c r="U761" s="3255"/>
      <c r="V761" s="1367">
        <v>5.2</v>
      </c>
      <c r="W761" s="3255" t="s">
        <v>4805</v>
      </c>
      <c r="X761" s="3255" t="s">
        <v>4784</v>
      </c>
      <c r="Y761" s="3110">
        <f>Z761/1000</f>
        <v>26000</v>
      </c>
      <c r="Z761" s="555">
        <f>S761*V761/100</f>
        <v>26000000</v>
      </c>
      <c r="AA761" s="547"/>
      <c r="AB761" s="1891"/>
      <c r="AC761" s="1895"/>
      <c r="AD761" s="456"/>
    </row>
    <row r="762" spans="1:30" s="1682" customFormat="1" ht="22.5" customHeight="1">
      <c r="A762" s="591"/>
      <c r="B762" s="548"/>
      <c r="C762" s="624"/>
      <c r="D762" s="2020"/>
      <c r="E762" s="2023"/>
      <c r="F762" s="549"/>
      <c r="G762" s="549"/>
      <c r="H762" s="551"/>
      <c r="I762" s="557"/>
      <c r="J762" s="3254" t="s">
        <v>4806</v>
      </c>
      <c r="K762" s="3253"/>
      <c r="L762" s="3253"/>
      <c r="M762" s="3253"/>
      <c r="N762" s="3253"/>
      <c r="O762" s="3253"/>
      <c r="P762" s="3253"/>
      <c r="Q762" s="3255"/>
      <c r="R762" s="3255"/>
      <c r="S762" s="3255">
        <v>0</v>
      </c>
      <c r="T762" s="3255" t="s">
        <v>4782</v>
      </c>
      <c r="U762" s="3255"/>
      <c r="V762" s="3255">
        <v>1</v>
      </c>
      <c r="W762" s="3255" t="s">
        <v>4807</v>
      </c>
      <c r="X762" s="3255" t="s">
        <v>4784</v>
      </c>
      <c r="Y762" s="3110">
        <f>Z762/1000</f>
        <v>0</v>
      </c>
      <c r="Z762" s="555">
        <f>S762*V762</f>
        <v>0</v>
      </c>
      <c r="AA762" s="547"/>
      <c r="AB762" s="1891"/>
      <c r="AC762" s="1895"/>
      <c r="AD762" s="456"/>
    </row>
    <row r="763" spans="1:30" s="1682" customFormat="1" ht="22.5" customHeight="1">
      <c r="A763" s="591"/>
      <c r="B763" s="548"/>
      <c r="C763" s="624"/>
      <c r="D763" s="2020"/>
      <c r="E763" s="2023"/>
      <c r="F763" s="549"/>
      <c r="G763" s="549"/>
      <c r="H763" s="551"/>
      <c r="I763" s="557"/>
      <c r="J763" s="3254" t="s">
        <v>4808</v>
      </c>
      <c r="K763" s="3253"/>
      <c r="L763" s="3253"/>
      <c r="M763" s="3253"/>
      <c r="N763" s="3253"/>
      <c r="O763" s="3253"/>
      <c r="P763" s="3253"/>
      <c r="Q763" s="3255"/>
      <c r="R763" s="3255"/>
      <c r="S763" s="3255">
        <v>200000</v>
      </c>
      <c r="T763" s="3255" t="s">
        <v>4782</v>
      </c>
      <c r="U763" s="3255"/>
      <c r="V763" s="3255">
        <v>3</v>
      </c>
      <c r="W763" s="3255" t="s">
        <v>4809</v>
      </c>
      <c r="X763" s="3255" t="s">
        <v>4784</v>
      </c>
      <c r="Y763" s="3110">
        <f t="shared" ref="Y763" si="269">Z763/1000</f>
        <v>600</v>
      </c>
      <c r="Z763" s="555">
        <f>S763*V763</f>
        <v>600000</v>
      </c>
      <c r="AA763" s="547"/>
      <c r="AB763" s="1891"/>
      <c r="AC763" s="1895"/>
      <c r="AD763" s="456"/>
    </row>
    <row r="764" spans="1:30" s="93" customFormat="1" ht="22.5" customHeight="1">
      <c r="A764" s="2079"/>
      <c r="B764" s="2035"/>
      <c r="C764" s="2013"/>
      <c r="D764" s="2020"/>
      <c r="E764" s="2023" t="s">
        <v>4825</v>
      </c>
      <c r="F764" s="2031">
        <f>+Y764</f>
        <v>447190</v>
      </c>
      <c r="G764" s="2029">
        <v>438000</v>
      </c>
      <c r="H764" s="2037">
        <f>F764-G764</f>
        <v>9190</v>
      </c>
      <c r="I764" s="557"/>
      <c r="J764" s="3254" t="s">
        <v>8</v>
      </c>
      <c r="K764" s="3253"/>
      <c r="L764" s="3253"/>
      <c r="M764" s="3253"/>
      <c r="N764" s="3253"/>
      <c r="O764" s="3253"/>
      <c r="P764" s="3119"/>
      <c r="Q764" s="3255"/>
      <c r="R764" s="3249"/>
      <c r="S764" s="3255"/>
      <c r="T764" s="3255"/>
      <c r="U764" s="3119"/>
      <c r="V764" s="3255"/>
      <c r="W764" s="3255"/>
      <c r="X764" s="2030"/>
      <c r="Y764" s="3110">
        <f>Z764/1000</f>
        <v>447190</v>
      </c>
      <c r="Z764" s="658">
        <f>SUM(Z765:Z774)</f>
        <v>447190000</v>
      </c>
      <c r="AA764" s="547"/>
      <c r="AB764" s="1891"/>
      <c r="AC764" s="2729"/>
      <c r="AD764" s="1662"/>
    </row>
    <row r="765" spans="1:30" s="93" customFormat="1" ht="22.5" customHeight="1">
      <c r="A765" s="2079"/>
      <c r="B765" s="2035"/>
      <c r="C765" s="2013"/>
      <c r="D765" s="2020"/>
      <c r="E765" s="2023"/>
      <c r="F765" s="2031"/>
      <c r="G765" s="2029"/>
      <c r="H765" s="2037"/>
      <c r="I765" s="557"/>
      <c r="J765" s="3254" t="s">
        <v>4810</v>
      </c>
      <c r="K765" s="3253"/>
      <c r="L765" s="3253"/>
      <c r="M765" s="3253"/>
      <c r="N765" s="2075"/>
      <c r="O765" s="2075"/>
      <c r="P765" s="2075"/>
      <c r="Q765" s="3255"/>
      <c r="R765" s="3249"/>
      <c r="S765" s="3255">
        <v>4000000</v>
      </c>
      <c r="T765" s="3255" t="s">
        <v>0</v>
      </c>
      <c r="U765" s="3255"/>
      <c r="V765" s="3255">
        <v>1</v>
      </c>
      <c r="W765" s="3255" t="s">
        <v>4787</v>
      </c>
      <c r="X765" s="1256" t="s">
        <v>1</v>
      </c>
      <c r="Y765" s="3110">
        <f>+S765*V765/1000</f>
        <v>4000</v>
      </c>
      <c r="Z765" s="896">
        <f>S765*V765</f>
        <v>4000000</v>
      </c>
      <c r="AA765" s="547"/>
      <c r="AB765" s="1891"/>
      <c r="AC765" s="2729"/>
      <c r="AD765" s="1662"/>
    </row>
    <row r="766" spans="1:30" s="93" customFormat="1" ht="22.5" customHeight="1">
      <c r="A766" s="2079"/>
      <c r="B766" s="2035"/>
      <c r="C766" s="2035"/>
      <c r="D766" s="2020"/>
      <c r="E766" s="2023"/>
      <c r="F766" s="2031"/>
      <c r="G766" s="2029"/>
      <c r="H766" s="2037"/>
      <c r="I766" s="557"/>
      <c r="J766" s="3254" t="s">
        <v>4811</v>
      </c>
      <c r="K766" s="3253"/>
      <c r="L766" s="3253"/>
      <c r="M766" s="3253"/>
      <c r="N766" s="2075"/>
      <c r="O766" s="2075"/>
      <c r="P766" s="2075"/>
      <c r="Q766" s="3255"/>
      <c r="R766" s="3249"/>
      <c r="S766" s="3255">
        <v>95000000</v>
      </c>
      <c r="T766" s="3255" t="s">
        <v>0</v>
      </c>
      <c r="U766" s="3255"/>
      <c r="V766" s="3255">
        <v>1</v>
      </c>
      <c r="W766" s="3255" t="s">
        <v>4787</v>
      </c>
      <c r="X766" s="1256" t="s">
        <v>1</v>
      </c>
      <c r="Y766" s="3110">
        <f>+S766*V766/1000</f>
        <v>95000</v>
      </c>
      <c r="Z766" s="896">
        <f>S766*V766</f>
        <v>95000000</v>
      </c>
      <c r="AA766" s="547"/>
      <c r="AB766" s="1891"/>
      <c r="AC766" s="2729"/>
      <c r="AD766" s="1662"/>
    </row>
    <row r="767" spans="1:30" s="93" customFormat="1" ht="22.5" customHeight="1">
      <c r="A767" s="2079"/>
      <c r="B767" s="2035"/>
      <c r="C767" s="2013"/>
      <c r="D767" s="2020"/>
      <c r="E767" s="2023"/>
      <c r="F767" s="2031"/>
      <c r="G767" s="2029"/>
      <c r="H767" s="2037"/>
      <c r="I767" s="557"/>
      <c r="J767" s="3254" t="s">
        <v>4812</v>
      </c>
      <c r="K767" s="3253"/>
      <c r="L767" s="3253"/>
      <c r="M767" s="3253"/>
      <c r="N767" s="2075"/>
      <c r="O767" s="2075"/>
      <c r="P767" s="2075"/>
      <c r="Q767" s="3255"/>
      <c r="R767" s="3249"/>
      <c r="S767" s="3255">
        <v>10000000</v>
      </c>
      <c r="T767" s="3255" t="s">
        <v>0</v>
      </c>
      <c r="U767" s="3255"/>
      <c r="V767" s="3255">
        <v>1</v>
      </c>
      <c r="W767" s="3255" t="s">
        <v>4787</v>
      </c>
      <c r="X767" s="1256" t="s">
        <v>1</v>
      </c>
      <c r="Y767" s="3110">
        <f>+S767*V767/1000</f>
        <v>10000</v>
      </c>
      <c r="Z767" s="896">
        <f>S767*V767</f>
        <v>10000000</v>
      </c>
      <c r="AA767" s="547"/>
      <c r="AB767" s="1891"/>
      <c r="AC767" s="2729"/>
      <c r="AD767" s="1662"/>
    </row>
    <row r="768" spans="1:30" s="93" customFormat="1" ht="22.5" customHeight="1">
      <c r="A768" s="2079"/>
      <c r="B768" s="2035"/>
      <c r="C768" s="2035"/>
      <c r="D768" s="2038"/>
      <c r="E768" s="2023"/>
      <c r="F768" s="2031"/>
      <c r="G768" s="2029"/>
      <c r="H768" s="2037"/>
      <c r="I768" s="557"/>
      <c r="J768" s="3254" t="s">
        <v>4813</v>
      </c>
      <c r="K768" s="3253"/>
      <c r="L768" s="3253"/>
      <c r="M768" s="3253"/>
      <c r="N768" s="2075"/>
      <c r="O768" s="2075"/>
      <c r="P768" s="2075"/>
      <c r="Q768" s="3255"/>
      <c r="R768" s="3249"/>
      <c r="S768" s="3255">
        <v>298190000</v>
      </c>
      <c r="T768" s="3255" t="s">
        <v>0</v>
      </c>
      <c r="U768" s="3255"/>
      <c r="V768" s="3255">
        <v>1</v>
      </c>
      <c r="W768" s="3255" t="s">
        <v>4787</v>
      </c>
      <c r="X768" s="1256" t="s">
        <v>1</v>
      </c>
      <c r="Y768" s="3110">
        <f>+S768*V768/1000</f>
        <v>298190</v>
      </c>
      <c r="Z768" s="896">
        <f>S768*V768</f>
        <v>298190000</v>
      </c>
      <c r="AA768" s="547"/>
      <c r="AB768" s="1891"/>
      <c r="AC768" s="2729"/>
      <c r="AD768" s="1662"/>
    </row>
    <row r="769" spans="1:30" s="93" customFormat="1" ht="22.5" customHeight="1">
      <c r="A769" s="2079"/>
      <c r="B769" s="2035"/>
      <c r="C769" s="2035"/>
      <c r="D769" s="2038"/>
      <c r="E769" s="2023"/>
      <c r="F769" s="2031"/>
      <c r="G769" s="2029"/>
      <c r="H769" s="2037"/>
      <c r="I769" s="557"/>
      <c r="J769" s="3254" t="s">
        <v>4814</v>
      </c>
      <c r="K769" s="3253"/>
      <c r="L769" s="3253"/>
      <c r="M769" s="3253"/>
      <c r="N769" s="2075"/>
      <c r="O769" s="2075"/>
      <c r="P769" s="2075"/>
      <c r="Q769" s="3255"/>
      <c r="R769" s="3249"/>
      <c r="S769" s="3255">
        <v>11000000</v>
      </c>
      <c r="T769" s="3255" t="s">
        <v>0</v>
      </c>
      <c r="U769" s="3255"/>
      <c r="V769" s="3255">
        <v>1</v>
      </c>
      <c r="W769" s="3255" t="s">
        <v>4787</v>
      </c>
      <c r="X769" s="1256" t="s">
        <v>1</v>
      </c>
      <c r="Y769" s="3110">
        <f t="shared" ref="Y769:Y774" si="270">+S769*V769/1000</f>
        <v>11000</v>
      </c>
      <c r="Z769" s="896">
        <f t="shared" ref="Z769:Z774" si="271">S769*V769</f>
        <v>11000000</v>
      </c>
      <c r="AA769" s="547"/>
      <c r="AB769" s="1891"/>
      <c r="AC769" s="2729"/>
      <c r="AD769" s="1662"/>
    </row>
    <row r="770" spans="1:30" s="93" customFormat="1" ht="22.5" customHeight="1">
      <c r="A770" s="2079"/>
      <c r="B770" s="2035"/>
      <c r="C770" s="2035"/>
      <c r="D770" s="2038"/>
      <c r="E770" s="2023"/>
      <c r="F770" s="2031"/>
      <c r="G770" s="2029"/>
      <c r="H770" s="2037"/>
      <c r="I770" s="557"/>
      <c r="J770" s="3254" t="s">
        <v>4815</v>
      </c>
      <c r="K770" s="3253"/>
      <c r="L770" s="3253"/>
      <c r="M770" s="3253"/>
      <c r="N770" s="2075"/>
      <c r="O770" s="2075"/>
      <c r="P770" s="2075"/>
      <c r="Q770" s="3255"/>
      <c r="R770" s="3249"/>
      <c r="S770" s="3255">
        <v>4000000</v>
      </c>
      <c r="T770" s="3255" t="s">
        <v>0</v>
      </c>
      <c r="U770" s="3255"/>
      <c r="V770" s="3255">
        <v>1</v>
      </c>
      <c r="W770" s="3255" t="s">
        <v>4787</v>
      </c>
      <c r="X770" s="1256" t="s">
        <v>1</v>
      </c>
      <c r="Y770" s="3110">
        <f t="shared" si="270"/>
        <v>4000</v>
      </c>
      <c r="Z770" s="896">
        <f t="shared" si="271"/>
        <v>4000000</v>
      </c>
      <c r="AA770" s="547"/>
      <c r="AB770" s="1891"/>
      <c r="AC770" s="2729"/>
      <c r="AD770" s="1662"/>
    </row>
    <row r="771" spans="1:30" s="93" customFormat="1" ht="22.5" customHeight="1">
      <c r="A771" s="2079"/>
      <c r="B771" s="2035"/>
      <c r="C771" s="2013"/>
      <c r="D771" s="2038"/>
      <c r="E771" s="2023"/>
      <c r="F771" s="2031"/>
      <c r="G771" s="2029"/>
      <c r="H771" s="2037"/>
      <c r="I771" s="557"/>
      <c r="J771" s="3254" t="s">
        <v>4816</v>
      </c>
      <c r="K771" s="3253"/>
      <c r="L771" s="3253"/>
      <c r="M771" s="3253"/>
      <c r="N771" s="2075"/>
      <c r="O771" s="2075"/>
      <c r="P771" s="2075"/>
      <c r="Q771" s="3255"/>
      <c r="R771" s="3249"/>
      <c r="S771" s="3255">
        <v>2000000</v>
      </c>
      <c r="T771" s="3255" t="s">
        <v>0</v>
      </c>
      <c r="U771" s="3255"/>
      <c r="V771" s="3255">
        <v>1</v>
      </c>
      <c r="W771" s="3255" t="s">
        <v>4787</v>
      </c>
      <c r="X771" s="1256" t="s">
        <v>1</v>
      </c>
      <c r="Y771" s="3110">
        <f t="shared" si="270"/>
        <v>2000</v>
      </c>
      <c r="Z771" s="896">
        <f t="shared" si="271"/>
        <v>2000000</v>
      </c>
      <c r="AA771" s="547"/>
      <c r="AB771" s="1891"/>
      <c r="AC771" s="2729"/>
      <c r="AD771" s="1662"/>
    </row>
    <row r="772" spans="1:30" s="93" customFormat="1" ht="22.5" customHeight="1">
      <c r="A772" s="3207"/>
      <c r="B772" s="2035"/>
      <c r="C772" s="2013"/>
      <c r="D772" s="2038"/>
      <c r="E772" s="2023"/>
      <c r="F772" s="2031"/>
      <c r="G772" s="2029"/>
      <c r="H772" s="2037"/>
      <c r="I772" s="557"/>
      <c r="J772" s="3254" t="s">
        <v>4817</v>
      </c>
      <c r="K772" s="3253"/>
      <c r="L772" s="3253"/>
      <c r="M772" s="3253"/>
      <c r="N772" s="2075"/>
      <c r="O772" s="2075"/>
      <c r="P772" s="2075"/>
      <c r="Q772" s="3255"/>
      <c r="R772" s="3249"/>
      <c r="S772" s="3255">
        <v>10000000</v>
      </c>
      <c r="T772" s="3255" t="s">
        <v>0</v>
      </c>
      <c r="U772" s="3255"/>
      <c r="V772" s="3255">
        <v>1</v>
      </c>
      <c r="W772" s="3255" t="s">
        <v>4787</v>
      </c>
      <c r="X772" s="1256" t="s">
        <v>1</v>
      </c>
      <c r="Y772" s="3110">
        <f t="shared" si="270"/>
        <v>10000</v>
      </c>
      <c r="Z772" s="896">
        <f t="shared" si="271"/>
        <v>10000000</v>
      </c>
      <c r="AA772" s="547"/>
      <c r="AB772" s="1891"/>
      <c r="AC772" s="2729"/>
      <c r="AD772" s="1662"/>
    </row>
    <row r="773" spans="1:30" s="93" customFormat="1" ht="22.5" customHeight="1">
      <c r="A773" s="2079"/>
      <c r="B773" s="2035"/>
      <c r="C773" s="2035"/>
      <c r="D773" s="2038"/>
      <c r="E773" s="2023"/>
      <c r="F773" s="2031"/>
      <c r="G773" s="2029"/>
      <c r="H773" s="2037"/>
      <c r="I773" s="557"/>
      <c r="J773" s="3254" t="s">
        <v>4818</v>
      </c>
      <c r="K773" s="3253"/>
      <c r="L773" s="3253"/>
      <c r="M773" s="3253"/>
      <c r="N773" s="2075"/>
      <c r="O773" s="2075"/>
      <c r="P773" s="2075"/>
      <c r="Q773" s="3255"/>
      <c r="R773" s="3249"/>
      <c r="S773" s="3255">
        <v>10000000</v>
      </c>
      <c r="T773" s="3255" t="s">
        <v>0</v>
      </c>
      <c r="U773" s="3255"/>
      <c r="V773" s="3255">
        <v>1</v>
      </c>
      <c r="W773" s="3255" t="s">
        <v>4787</v>
      </c>
      <c r="X773" s="1256" t="s">
        <v>1</v>
      </c>
      <c r="Y773" s="3110">
        <f t="shared" si="270"/>
        <v>10000</v>
      </c>
      <c r="Z773" s="896">
        <f t="shared" si="271"/>
        <v>10000000</v>
      </c>
      <c r="AA773" s="547"/>
      <c r="AB773" s="1891"/>
      <c r="AC773" s="2729"/>
      <c r="AD773" s="1662"/>
    </row>
    <row r="774" spans="1:30" s="93" customFormat="1" ht="22.5" customHeight="1">
      <c r="A774" s="2079"/>
      <c r="B774" s="2035"/>
      <c r="C774" s="2035"/>
      <c r="D774" s="2038"/>
      <c r="E774" s="2023"/>
      <c r="F774" s="2031"/>
      <c r="G774" s="2029"/>
      <c r="H774" s="2037"/>
      <c r="I774" s="557"/>
      <c r="J774" s="3254" t="s">
        <v>4819</v>
      </c>
      <c r="K774" s="3253"/>
      <c r="L774" s="3253"/>
      <c r="M774" s="3253"/>
      <c r="N774" s="2075"/>
      <c r="O774" s="2075"/>
      <c r="P774" s="2075"/>
      <c r="Q774" s="3255"/>
      <c r="R774" s="3249"/>
      <c r="S774" s="3255">
        <v>3000000</v>
      </c>
      <c r="T774" s="3255" t="s">
        <v>0</v>
      </c>
      <c r="U774" s="3255"/>
      <c r="V774" s="3255">
        <v>1</v>
      </c>
      <c r="W774" s="3255" t="s">
        <v>4787</v>
      </c>
      <c r="X774" s="1256" t="s">
        <v>1</v>
      </c>
      <c r="Y774" s="3110">
        <f t="shared" si="270"/>
        <v>3000</v>
      </c>
      <c r="Z774" s="896">
        <f t="shared" si="271"/>
        <v>3000000</v>
      </c>
      <c r="AA774" s="547"/>
      <c r="AB774" s="1891"/>
      <c r="AC774" s="2729"/>
      <c r="AD774" s="1662"/>
    </row>
    <row r="775" spans="1:30" s="93" customFormat="1" ht="22.5" customHeight="1">
      <c r="A775" s="2079"/>
      <c r="B775" s="2035"/>
      <c r="C775" s="2013"/>
      <c r="D775" s="2038"/>
      <c r="E775" s="1370" t="s">
        <v>4795</v>
      </c>
      <c r="F775" s="526">
        <f>Y775</f>
        <v>1000</v>
      </c>
      <c r="G775" s="2029">
        <v>1000</v>
      </c>
      <c r="H775" s="2037"/>
      <c r="I775" s="557"/>
      <c r="J775" s="2960" t="s">
        <v>4820</v>
      </c>
      <c r="K775" s="510"/>
      <c r="L775" s="510"/>
      <c r="M775" s="510"/>
      <c r="N775" s="510"/>
      <c r="O775" s="510"/>
      <c r="P775" s="510"/>
      <c r="Q775" s="618">
        <v>10</v>
      </c>
      <c r="R775" s="618" t="s">
        <v>4798</v>
      </c>
      <c r="S775" s="618">
        <v>25000</v>
      </c>
      <c r="T775" s="618" t="s">
        <v>4782</v>
      </c>
      <c r="U775" s="618"/>
      <c r="V775" s="618">
        <v>4</v>
      </c>
      <c r="W775" s="618" t="s">
        <v>4783</v>
      </c>
      <c r="X775" s="618" t="s">
        <v>4784</v>
      </c>
      <c r="Y775" s="478">
        <f>Z775/1000</f>
        <v>1000</v>
      </c>
      <c r="Z775" s="546">
        <f>Q775*S775*V775</f>
        <v>1000000</v>
      </c>
      <c r="AA775" s="547"/>
      <c r="AB775" s="1891"/>
      <c r="AC775" s="2729"/>
      <c r="AD775" s="1662"/>
    </row>
    <row r="776" spans="1:30" s="1894" customFormat="1" ht="22.5" customHeight="1">
      <c r="A776" s="562"/>
      <c r="B776" s="563"/>
      <c r="C776" s="564"/>
      <c r="D776" s="3825" t="s">
        <v>1979</v>
      </c>
      <c r="E776" s="3839"/>
      <c r="F776" s="598">
        <f>SUM(F777:F788)</f>
        <v>50000</v>
      </c>
      <c r="G776" s="598">
        <f>SUM(G777:G788)</f>
        <v>50000</v>
      </c>
      <c r="H776" s="620">
        <f>F776-G776</f>
        <v>0</v>
      </c>
      <c r="I776" s="557"/>
      <c r="J776" s="2960"/>
      <c r="K776" s="3446"/>
      <c r="L776" s="3446"/>
      <c r="M776" s="3446"/>
      <c r="N776" s="3446"/>
      <c r="O776" s="3446"/>
      <c r="P776" s="3446"/>
      <c r="Q776" s="3446"/>
      <c r="R776" s="2348"/>
      <c r="S776" s="618"/>
      <c r="T776" s="618"/>
      <c r="U776" s="618"/>
      <c r="V776" s="618"/>
      <c r="W776" s="618"/>
      <c r="X776" s="619"/>
      <c r="Y776" s="756"/>
      <c r="Z776" s="546"/>
      <c r="AA776" s="547"/>
      <c r="AB776" s="1891"/>
      <c r="AC776" s="1892"/>
      <c r="AD776" s="1893"/>
    </row>
    <row r="777" spans="1:30" s="1888" customFormat="1" ht="22.5" customHeight="1">
      <c r="A777" s="591"/>
      <c r="B777" s="624"/>
      <c r="C777" s="624"/>
      <c r="D777" s="2020"/>
      <c r="E777" s="2023" t="s">
        <v>562</v>
      </c>
      <c r="F777" s="526">
        <f>Y777</f>
        <v>201.08</v>
      </c>
      <c r="G777" s="526">
        <v>300</v>
      </c>
      <c r="H777" s="2037">
        <f t="shared" ref="H777:H778" si="272">F777-G777</f>
        <v>-98.919999999999987</v>
      </c>
      <c r="I777" s="557"/>
      <c r="J777" s="681" t="s">
        <v>5549</v>
      </c>
      <c r="K777" s="3515"/>
      <c r="L777" s="3515"/>
      <c r="M777" s="3515"/>
      <c r="N777" s="3515"/>
      <c r="O777" s="3515"/>
      <c r="P777" s="3515"/>
      <c r="Q777" s="869"/>
      <c r="R777" s="2127"/>
      <c r="S777" s="3164">
        <v>201080</v>
      </c>
      <c r="T777" s="684" t="s">
        <v>5550</v>
      </c>
      <c r="U777" s="684"/>
      <c r="V777" s="684">
        <v>1</v>
      </c>
      <c r="W777" s="684" t="s">
        <v>5551</v>
      </c>
      <c r="X777" s="684" t="s">
        <v>5552</v>
      </c>
      <c r="Y777" s="871">
        <f t="shared" ref="Y777:Y780" si="273">Z777/1000</f>
        <v>201.08</v>
      </c>
      <c r="Z777" s="732">
        <f t="shared" ref="Z777" si="274">S777*V777</f>
        <v>201080</v>
      </c>
      <c r="AA777" s="547"/>
      <c r="AB777" s="1891"/>
      <c r="AC777" s="1895"/>
      <c r="AD777" s="542"/>
    </row>
    <row r="778" spans="1:30" s="1888" customFormat="1" ht="22.5" customHeight="1">
      <c r="A778" s="591"/>
      <c r="B778" s="548"/>
      <c r="C778" s="624"/>
      <c r="D778" s="2020"/>
      <c r="E778" s="2023" t="s">
        <v>753</v>
      </c>
      <c r="F778" s="549">
        <f>Y778</f>
        <v>4345.7</v>
      </c>
      <c r="G778" s="549">
        <v>3300</v>
      </c>
      <c r="H778" s="2037">
        <f t="shared" si="272"/>
        <v>1045.6999999999998</v>
      </c>
      <c r="I778" s="557"/>
      <c r="J778" s="681" t="s">
        <v>5568</v>
      </c>
      <c r="K778" s="3527"/>
      <c r="L778" s="3515"/>
      <c r="M778" s="3515"/>
      <c r="N778" s="3515"/>
      <c r="O778" s="3515"/>
      <c r="P778" s="3515"/>
      <c r="Q778" s="684">
        <v>1</v>
      </c>
      <c r="R778" s="684" t="s">
        <v>36</v>
      </c>
      <c r="S778" s="684">
        <v>4345700</v>
      </c>
      <c r="T778" s="684" t="s">
        <v>4</v>
      </c>
      <c r="U778" s="684"/>
      <c r="V778" s="684">
        <v>1</v>
      </c>
      <c r="W778" s="684" t="s">
        <v>226</v>
      </c>
      <c r="X778" s="684" t="s">
        <v>5</v>
      </c>
      <c r="Y778" s="871">
        <f t="shared" ref="Y778" si="275">Z778/1000</f>
        <v>4345.7</v>
      </c>
      <c r="Z778" s="732">
        <f>S778*V778</f>
        <v>4345700</v>
      </c>
      <c r="AA778" s="547"/>
      <c r="AB778" s="1891"/>
      <c r="AC778" s="1895"/>
      <c r="AD778" s="542"/>
    </row>
    <row r="779" spans="1:30" s="1888" customFormat="1" ht="22.5" customHeight="1">
      <c r="A779" s="591"/>
      <c r="B779" s="548"/>
      <c r="C779" s="624"/>
      <c r="D779" s="2020"/>
      <c r="E779" s="2023" t="s">
        <v>530</v>
      </c>
      <c r="F779" s="549">
        <f>+Y779</f>
        <v>3000</v>
      </c>
      <c r="G779" s="549">
        <v>3000</v>
      </c>
      <c r="H779" s="2037"/>
      <c r="I779" s="557"/>
      <c r="J779" s="681" t="s">
        <v>5555</v>
      </c>
      <c r="K779" s="3515"/>
      <c r="L779" s="3515"/>
      <c r="M779" s="3515"/>
      <c r="N779" s="3515"/>
      <c r="O779" s="3515"/>
      <c r="P779" s="3515"/>
      <c r="Q779" s="3515"/>
      <c r="R779" s="2127"/>
      <c r="S779" s="684">
        <v>50000000</v>
      </c>
      <c r="T779" s="684" t="s">
        <v>5550</v>
      </c>
      <c r="U779" s="684"/>
      <c r="V779" s="684">
        <v>6</v>
      </c>
      <c r="W779" s="684" t="s">
        <v>5556</v>
      </c>
      <c r="X779" s="684" t="s">
        <v>5552</v>
      </c>
      <c r="Y779" s="871">
        <f t="shared" si="273"/>
        <v>3000</v>
      </c>
      <c r="Z779" s="1452">
        <f>S779*V779/100</f>
        <v>3000000</v>
      </c>
      <c r="AA779" s="547"/>
      <c r="AB779" s="1891"/>
      <c r="AC779" s="1895"/>
      <c r="AD779" s="542"/>
    </row>
    <row r="780" spans="1:30" s="1894" customFormat="1" ht="22.5" customHeight="1">
      <c r="A780" s="2079"/>
      <c r="B780" s="2035"/>
      <c r="C780" s="2013"/>
      <c r="D780" s="2020"/>
      <c r="E780" s="2023" t="s">
        <v>662</v>
      </c>
      <c r="F780" s="2031">
        <f>+Y780</f>
        <v>41953.22</v>
      </c>
      <c r="G780" s="2029">
        <v>43150</v>
      </c>
      <c r="H780" s="2037">
        <f t="shared" ref="H780" si="276">F780-G780</f>
        <v>-1196.7799999999988</v>
      </c>
      <c r="I780" s="557"/>
      <c r="J780" s="681" t="s">
        <v>8</v>
      </c>
      <c r="K780" s="3515"/>
      <c r="L780" s="3515"/>
      <c r="M780" s="3515"/>
      <c r="N780" s="3515"/>
      <c r="O780" s="3515"/>
      <c r="P780" s="683"/>
      <c r="Q780" s="684"/>
      <c r="R780" s="3524"/>
      <c r="S780" s="684"/>
      <c r="T780" s="684"/>
      <c r="U780" s="683"/>
      <c r="V780" s="684"/>
      <c r="W780" s="684"/>
      <c r="X780" s="686"/>
      <c r="Y780" s="871">
        <f t="shared" si="273"/>
        <v>41953.22</v>
      </c>
      <c r="Z780" s="688">
        <f>SUM(Z781:Z787)</f>
        <v>41953220</v>
      </c>
      <c r="AA780" s="547"/>
      <c r="AB780" s="1891"/>
      <c r="AC780" s="1892"/>
      <c r="AD780" s="1893"/>
    </row>
    <row r="781" spans="1:30" s="1894" customFormat="1" ht="22.5" customHeight="1">
      <c r="A781" s="2079"/>
      <c r="B781" s="2035"/>
      <c r="C781" s="2013"/>
      <c r="D781" s="2020"/>
      <c r="E781" s="2023"/>
      <c r="F781" s="2031"/>
      <c r="G781" s="2029"/>
      <c r="H781" s="2037"/>
      <c r="I781" s="557"/>
      <c r="J781" s="681" t="s">
        <v>5557</v>
      </c>
      <c r="K781" s="3515"/>
      <c r="L781" s="3515"/>
      <c r="M781" s="3515"/>
      <c r="N781" s="3525"/>
      <c r="O781" s="3525"/>
      <c r="P781" s="3525"/>
      <c r="Q781" s="684"/>
      <c r="R781" s="684"/>
      <c r="S781" s="684">
        <v>4500000</v>
      </c>
      <c r="T781" s="684" t="s">
        <v>0</v>
      </c>
      <c r="U781" s="684"/>
      <c r="V781" s="684">
        <v>1</v>
      </c>
      <c r="W781" s="684" t="s">
        <v>5558</v>
      </c>
      <c r="X781" s="2600" t="s">
        <v>1</v>
      </c>
      <c r="Y781" s="871">
        <f>+S781*V781/1000</f>
        <v>4500</v>
      </c>
      <c r="Z781" s="2313">
        <f>S781*V781</f>
        <v>4500000</v>
      </c>
      <c r="AA781" s="547"/>
      <c r="AB781" s="1891"/>
      <c r="AC781" s="1892"/>
      <c r="AD781" s="1893"/>
    </row>
    <row r="782" spans="1:30" s="1894" customFormat="1" ht="22.5" customHeight="1">
      <c r="A782" s="2079"/>
      <c r="B782" s="2035"/>
      <c r="C782" s="2035"/>
      <c r="D782" s="2020"/>
      <c r="E782" s="2023"/>
      <c r="F782" s="2031"/>
      <c r="G782" s="2029"/>
      <c r="H782" s="2037"/>
      <c r="I782" s="557"/>
      <c r="J782" s="681" t="s">
        <v>5559</v>
      </c>
      <c r="K782" s="3515"/>
      <c r="L782" s="3515"/>
      <c r="M782" s="3515"/>
      <c r="N782" s="3525"/>
      <c r="O782" s="3525"/>
      <c r="P782" s="3525"/>
      <c r="Q782" s="684"/>
      <c r="R782" s="3524"/>
      <c r="S782" s="684">
        <v>30300000</v>
      </c>
      <c r="T782" s="684" t="s">
        <v>0</v>
      </c>
      <c r="U782" s="684"/>
      <c r="V782" s="684">
        <v>1</v>
      </c>
      <c r="W782" s="684" t="s">
        <v>5554</v>
      </c>
      <c r="X782" s="2600" t="s">
        <v>1</v>
      </c>
      <c r="Y782" s="871">
        <f>+S782*V782/1000</f>
        <v>30300</v>
      </c>
      <c r="Z782" s="2313">
        <f>S782*V782</f>
        <v>30300000</v>
      </c>
      <c r="AA782" s="547"/>
      <c r="AB782" s="1891"/>
      <c r="AC782" s="1892"/>
      <c r="AD782" s="1893"/>
    </row>
    <row r="783" spans="1:30" s="1894" customFormat="1" ht="22.5" customHeight="1">
      <c r="A783" s="2079"/>
      <c r="B783" s="2035"/>
      <c r="C783" s="2013"/>
      <c r="D783" s="2020"/>
      <c r="E783" s="2023"/>
      <c r="F783" s="2031"/>
      <c r="G783" s="2029"/>
      <c r="H783" s="2037"/>
      <c r="I783" s="557"/>
      <c r="J783" s="681" t="s">
        <v>5560</v>
      </c>
      <c r="K783" s="3515"/>
      <c r="L783" s="3515"/>
      <c r="M783" s="3515"/>
      <c r="N783" s="3525"/>
      <c r="O783" s="3525"/>
      <c r="P783" s="3525"/>
      <c r="Q783" s="684"/>
      <c r="R783" s="3524"/>
      <c r="S783" s="684">
        <v>1000000</v>
      </c>
      <c r="T783" s="684" t="s">
        <v>0</v>
      </c>
      <c r="U783" s="684"/>
      <c r="V783" s="684">
        <v>1</v>
      </c>
      <c r="W783" s="684" t="s">
        <v>5554</v>
      </c>
      <c r="X783" s="2600" t="s">
        <v>1</v>
      </c>
      <c r="Y783" s="871">
        <f>+S783*V783/1000</f>
        <v>1000</v>
      </c>
      <c r="Z783" s="2313">
        <f>S783*V783</f>
        <v>1000000</v>
      </c>
      <c r="AA783" s="547"/>
      <c r="AB783" s="1891"/>
      <c r="AC783" s="1892"/>
      <c r="AD783" s="1893"/>
    </row>
    <row r="784" spans="1:30" s="1894" customFormat="1" ht="22.5" customHeight="1">
      <c r="A784" s="2079"/>
      <c r="B784" s="2035"/>
      <c r="C784" s="2035"/>
      <c r="D784" s="2038"/>
      <c r="E784" s="2023"/>
      <c r="F784" s="2031"/>
      <c r="G784" s="2029"/>
      <c r="H784" s="2037"/>
      <c r="I784" s="557"/>
      <c r="J784" s="681" t="s">
        <v>5561</v>
      </c>
      <c r="K784" s="3515"/>
      <c r="L784" s="3515"/>
      <c r="M784" s="3515"/>
      <c r="N784" s="3525"/>
      <c r="O784" s="3525"/>
      <c r="P784" s="3525"/>
      <c r="Q784" s="684"/>
      <c r="R784" s="3524"/>
      <c r="S784" s="684">
        <v>1500000</v>
      </c>
      <c r="T784" s="684" t="s">
        <v>0</v>
      </c>
      <c r="U784" s="684"/>
      <c r="V784" s="684">
        <v>1</v>
      </c>
      <c r="W784" s="684" t="s">
        <v>5554</v>
      </c>
      <c r="X784" s="2600" t="s">
        <v>1</v>
      </c>
      <c r="Y784" s="871">
        <f>+S784*V784/1000</f>
        <v>1500</v>
      </c>
      <c r="Z784" s="2313">
        <f>S784*V784</f>
        <v>1500000</v>
      </c>
      <c r="AA784" s="547"/>
      <c r="AB784" s="1891"/>
      <c r="AC784" s="1892"/>
      <c r="AD784" s="1893"/>
    </row>
    <row r="785" spans="1:30" s="1894" customFormat="1" ht="22.5" customHeight="1">
      <c r="A785" s="2079"/>
      <c r="B785" s="2035"/>
      <c r="C785" s="2035"/>
      <c r="D785" s="2038"/>
      <c r="E785" s="2023"/>
      <c r="F785" s="2031"/>
      <c r="G785" s="2029"/>
      <c r="H785" s="2037"/>
      <c r="I785" s="557"/>
      <c r="J785" s="681" t="s">
        <v>5562</v>
      </c>
      <c r="K785" s="3515"/>
      <c r="L785" s="3515"/>
      <c r="M785" s="3515"/>
      <c r="N785" s="3525"/>
      <c r="O785" s="3525"/>
      <c r="P785" s="3525"/>
      <c r="Q785" s="684"/>
      <c r="R785" s="3524"/>
      <c r="S785" s="684">
        <v>9500</v>
      </c>
      <c r="T785" s="684" t="s">
        <v>0</v>
      </c>
      <c r="U785" s="684"/>
      <c r="V785" s="684">
        <v>300</v>
      </c>
      <c r="W785" s="684" t="s">
        <v>5563</v>
      </c>
      <c r="X785" s="2600" t="s">
        <v>1</v>
      </c>
      <c r="Y785" s="871">
        <f t="shared" ref="Y785:Y787" si="277">+S785*V785/1000</f>
        <v>2850</v>
      </c>
      <c r="Z785" s="2313">
        <f t="shared" ref="Z785:Z787" si="278">S785*V785</f>
        <v>2850000</v>
      </c>
      <c r="AA785" s="547"/>
      <c r="AB785" s="1891"/>
      <c r="AC785" s="1892"/>
      <c r="AD785" s="1893"/>
    </row>
    <row r="786" spans="1:30" s="1894" customFormat="1" ht="22.5" customHeight="1">
      <c r="A786" s="2079"/>
      <c r="B786" s="2035"/>
      <c r="C786" s="2035"/>
      <c r="D786" s="2038"/>
      <c r="E786" s="2023"/>
      <c r="F786" s="2031"/>
      <c r="G786" s="2029"/>
      <c r="H786" s="2037"/>
      <c r="I786" s="557"/>
      <c r="J786" s="681" t="s">
        <v>5564</v>
      </c>
      <c r="K786" s="3515"/>
      <c r="L786" s="3515"/>
      <c r="M786" s="3515"/>
      <c r="N786" s="3525"/>
      <c r="O786" s="3525"/>
      <c r="P786" s="3525"/>
      <c r="Q786" s="684"/>
      <c r="R786" s="3524"/>
      <c r="S786" s="684">
        <v>1000000</v>
      </c>
      <c r="T786" s="684" t="s">
        <v>0</v>
      </c>
      <c r="U786" s="684"/>
      <c r="V786" s="684">
        <v>1</v>
      </c>
      <c r="W786" s="684" t="s">
        <v>5554</v>
      </c>
      <c r="X786" s="2600" t="s">
        <v>1</v>
      </c>
      <c r="Y786" s="871">
        <f t="shared" si="277"/>
        <v>1000</v>
      </c>
      <c r="Z786" s="2313">
        <f t="shared" si="278"/>
        <v>1000000</v>
      </c>
      <c r="AA786" s="547"/>
      <c r="AB786" s="1891"/>
      <c r="AC786" s="1892"/>
      <c r="AD786" s="1893"/>
    </row>
    <row r="787" spans="1:30" s="1894" customFormat="1" ht="22.5" customHeight="1">
      <c r="A787" s="2079"/>
      <c r="B787" s="2035"/>
      <c r="C787" s="2013"/>
      <c r="D787" s="2038"/>
      <c r="E787" s="2023"/>
      <c r="F787" s="2031"/>
      <c r="G787" s="2029"/>
      <c r="H787" s="2037"/>
      <c r="I787" s="557"/>
      <c r="J787" s="681" t="s">
        <v>5565</v>
      </c>
      <c r="K787" s="3515"/>
      <c r="L787" s="3515"/>
      <c r="M787" s="3515"/>
      <c r="N787" s="3525"/>
      <c r="O787" s="3525"/>
      <c r="P787" s="3525"/>
      <c r="Q787" s="684"/>
      <c r="R787" s="3524"/>
      <c r="S787" s="684">
        <v>803220</v>
      </c>
      <c r="T787" s="684" t="s">
        <v>0</v>
      </c>
      <c r="U787" s="684"/>
      <c r="V787" s="684">
        <v>1</v>
      </c>
      <c r="W787" s="684" t="s">
        <v>5554</v>
      </c>
      <c r="X787" s="2600" t="s">
        <v>1</v>
      </c>
      <c r="Y787" s="871">
        <f t="shared" si="277"/>
        <v>803.22</v>
      </c>
      <c r="Z787" s="2313">
        <f t="shared" si="278"/>
        <v>803220</v>
      </c>
      <c r="AA787" s="547"/>
      <c r="AB787" s="1891"/>
      <c r="AC787" s="1892"/>
      <c r="AD787" s="1893"/>
    </row>
    <row r="788" spans="1:30" s="1888" customFormat="1" ht="22.5" customHeight="1">
      <c r="A788" s="591"/>
      <c r="B788" s="624"/>
      <c r="C788" s="624"/>
      <c r="D788" s="2020"/>
      <c r="E788" s="2023" t="s">
        <v>573</v>
      </c>
      <c r="F788" s="526">
        <f>Y788</f>
        <v>500</v>
      </c>
      <c r="G788" s="526">
        <v>250</v>
      </c>
      <c r="H788" s="2037">
        <f t="shared" ref="H788:H791" si="279">F788-G788</f>
        <v>250</v>
      </c>
      <c r="I788" s="557"/>
      <c r="J788" s="2042" t="s">
        <v>5566</v>
      </c>
      <c r="K788" s="978"/>
      <c r="L788" s="978"/>
      <c r="M788" s="978"/>
      <c r="N788" s="978"/>
      <c r="O788" s="978"/>
      <c r="P788" s="978"/>
      <c r="Q788" s="2045">
        <v>5</v>
      </c>
      <c r="R788" s="2045" t="s">
        <v>5553</v>
      </c>
      <c r="S788" s="2045">
        <v>25000</v>
      </c>
      <c r="T788" s="2045" t="s">
        <v>5550</v>
      </c>
      <c r="U788" s="2045"/>
      <c r="V788" s="2045">
        <v>4</v>
      </c>
      <c r="W788" s="2045" t="s">
        <v>5551</v>
      </c>
      <c r="X788" s="2045" t="s">
        <v>5552</v>
      </c>
      <c r="Y788" s="981">
        <f>Z788/1000</f>
        <v>500</v>
      </c>
      <c r="Z788" s="1114">
        <f>Q788*S788*V788</f>
        <v>500000</v>
      </c>
      <c r="AA788" s="547"/>
      <c r="AB788" s="1891"/>
      <c r="AC788" s="1895"/>
      <c r="AD788" s="542"/>
    </row>
    <row r="789" spans="1:30" s="1894" customFormat="1" ht="22.5" customHeight="1">
      <c r="A789" s="562"/>
      <c r="B789" s="563"/>
      <c r="C789" s="564"/>
      <c r="D789" s="3825" t="s">
        <v>2016</v>
      </c>
      <c r="E789" s="3826"/>
      <c r="F789" s="598">
        <f>SUM(F790:F796)</f>
        <v>14000</v>
      </c>
      <c r="G789" s="598">
        <f>SUM(G790:G796)</f>
        <v>14000</v>
      </c>
      <c r="H789" s="620">
        <f t="shared" si="279"/>
        <v>0</v>
      </c>
      <c r="I789" s="557"/>
      <c r="J789" s="2960"/>
      <c r="K789" s="3442"/>
      <c r="L789" s="3442"/>
      <c r="M789" s="3442"/>
      <c r="N789" s="3442"/>
      <c r="O789" s="3442"/>
      <c r="P789" s="3442"/>
      <c r="Q789" s="3442"/>
      <c r="R789" s="2348"/>
      <c r="S789" s="618"/>
      <c r="T789" s="618"/>
      <c r="U789" s="618"/>
      <c r="V789" s="618"/>
      <c r="W789" s="618"/>
      <c r="X789" s="619"/>
      <c r="Y789" s="756"/>
      <c r="Z789" s="546"/>
      <c r="AA789" s="547"/>
      <c r="AB789" s="1891"/>
      <c r="AC789" s="1892"/>
      <c r="AD789" s="1893"/>
    </row>
    <row r="790" spans="1:30" s="1894" customFormat="1" ht="22.5" customHeight="1">
      <c r="A790" s="2079"/>
      <c r="B790" s="2035"/>
      <c r="C790" s="2013"/>
      <c r="D790" s="2020"/>
      <c r="E790" s="677" t="s">
        <v>647</v>
      </c>
      <c r="F790" s="526">
        <f>Y790</f>
        <v>0</v>
      </c>
      <c r="G790" s="679">
        <v>1000</v>
      </c>
      <c r="H790" s="1364">
        <f t="shared" si="279"/>
        <v>-1000</v>
      </c>
      <c r="I790" s="2359"/>
      <c r="J790" s="681" t="s">
        <v>5205</v>
      </c>
      <c r="K790" s="3515"/>
      <c r="L790" s="3515"/>
      <c r="M790" s="3515"/>
      <c r="N790" s="3515"/>
      <c r="O790" s="3515"/>
      <c r="P790" s="683"/>
      <c r="Q790" s="684"/>
      <c r="R790" s="3524"/>
      <c r="S790" s="684"/>
      <c r="T790" s="684"/>
      <c r="U790" s="684"/>
      <c r="V790" s="684"/>
      <c r="W790" s="684"/>
      <c r="X790" s="686"/>
      <c r="Y790" s="1022">
        <v>0</v>
      </c>
      <c r="Z790" s="732">
        <f>S790*V790</f>
        <v>0</v>
      </c>
      <c r="AA790" s="547"/>
      <c r="AB790" s="1891"/>
      <c r="AC790" s="1892"/>
      <c r="AD790" s="1893"/>
    </row>
    <row r="791" spans="1:30" s="1888" customFormat="1" ht="22.5" customHeight="1">
      <c r="A791" s="591"/>
      <c r="B791" s="624"/>
      <c r="C791" s="624"/>
      <c r="D791" s="2020"/>
      <c r="E791" s="677" t="s">
        <v>264</v>
      </c>
      <c r="F791" s="526">
        <f>Y791</f>
        <v>9000</v>
      </c>
      <c r="G791" s="2125">
        <v>7900</v>
      </c>
      <c r="H791" s="2037">
        <f t="shared" si="279"/>
        <v>1100</v>
      </c>
      <c r="I791" s="2359"/>
      <c r="J791" s="681" t="s">
        <v>5204</v>
      </c>
      <c r="K791" s="3515"/>
      <c r="L791" s="3515"/>
      <c r="M791" s="3515"/>
      <c r="N791" s="3515"/>
      <c r="O791" s="3515"/>
      <c r="P791" s="3515"/>
      <c r="Q791" s="684">
        <v>60</v>
      </c>
      <c r="R791" s="684" t="s">
        <v>25</v>
      </c>
      <c r="S791" s="684">
        <v>15000</v>
      </c>
      <c r="T791" s="684" t="s">
        <v>4</v>
      </c>
      <c r="U791" s="684"/>
      <c r="V791" s="684">
        <v>10</v>
      </c>
      <c r="W791" s="684" t="s">
        <v>233</v>
      </c>
      <c r="X791" s="684" t="s">
        <v>5</v>
      </c>
      <c r="Y791" s="871">
        <f>Z791/1000</f>
        <v>9000</v>
      </c>
      <c r="Z791" s="732">
        <f>Q791*S791*V791</f>
        <v>9000000</v>
      </c>
      <c r="AA791" s="547"/>
      <c r="AB791" s="1891"/>
      <c r="AC791" s="1895"/>
      <c r="AD791" s="542"/>
    </row>
    <row r="792" spans="1:30" s="1888" customFormat="1" ht="22.5" customHeight="1">
      <c r="A792" s="591"/>
      <c r="B792" s="548"/>
      <c r="C792" s="624"/>
      <c r="D792" s="2020"/>
      <c r="E792" s="677" t="s">
        <v>15</v>
      </c>
      <c r="F792" s="526">
        <f>Y792</f>
        <v>4300</v>
      </c>
      <c r="G792" s="1445">
        <v>4300</v>
      </c>
      <c r="H792" s="949"/>
      <c r="I792" s="2359"/>
      <c r="J792" s="681" t="s">
        <v>224</v>
      </c>
      <c r="K792" s="3515"/>
      <c r="L792" s="3515"/>
      <c r="M792" s="3515"/>
      <c r="N792" s="3515"/>
      <c r="O792" s="3515"/>
      <c r="P792" s="3515"/>
      <c r="Q792" s="3515"/>
      <c r="R792" s="2127"/>
      <c r="S792" s="3164"/>
      <c r="T792" s="684"/>
      <c r="U792" s="684"/>
      <c r="V792" s="684"/>
      <c r="W792" s="684"/>
      <c r="X792" s="684" t="s">
        <v>48</v>
      </c>
      <c r="Y792" s="871">
        <f t="shared" ref="Y792" si="280">+Z792/1000</f>
        <v>4300</v>
      </c>
      <c r="Z792" s="732">
        <f>SUM(Z793:Z794)</f>
        <v>4300000</v>
      </c>
      <c r="AA792" s="547"/>
      <c r="AB792" s="1891"/>
      <c r="AC792" s="1895"/>
      <c r="AD792" s="542"/>
    </row>
    <row r="793" spans="1:30" s="1888" customFormat="1" ht="22.5" customHeight="1">
      <c r="A793" s="591"/>
      <c r="B793" s="548"/>
      <c r="C793" s="624"/>
      <c r="D793" s="2020"/>
      <c r="E793" s="677"/>
      <c r="F793" s="1445"/>
      <c r="G793" s="1445"/>
      <c r="H793" s="949"/>
      <c r="I793" s="2359"/>
      <c r="J793" s="681" t="s">
        <v>2250</v>
      </c>
      <c r="K793" s="3515"/>
      <c r="L793" s="3515"/>
      <c r="M793" s="3515"/>
      <c r="N793" s="3515"/>
      <c r="O793" s="3515"/>
      <c r="P793" s="3515"/>
      <c r="Q793" s="684">
        <v>1</v>
      </c>
      <c r="R793" s="684" t="s">
        <v>25</v>
      </c>
      <c r="S793" s="684">
        <v>300000</v>
      </c>
      <c r="T793" s="684" t="s">
        <v>4</v>
      </c>
      <c r="U793" s="684"/>
      <c r="V793" s="684">
        <v>10</v>
      </c>
      <c r="W793" s="684" t="s">
        <v>233</v>
      </c>
      <c r="X793" s="684" t="s">
        <v>5</v>
      </c>
      <c r="Y793" s="871">
        <f>Z793/1000</f>
        <v>3000</v>
      </c>
      <c r="Z793" s="732">
        <f>Q793*S793*V793</f>
        <v>3000000</v>
      </c>
      <c r="AA793" s="547"/>
      <c r="AB793" s="1891"/>
      <c r="AC793" s="1895"/>
      <c r="AD793" s="542"/>
    </row>
    <row r="794" spans="1:30" s="1888" customFormat="1" ht="22.5" customHeight="1">
      <c r="A794" s="591"/>
      <c r="B794" s="548"/>
      <c r="C794" s="624"/>
      <c r="D794" s="2020"/>
      <c r="E794" s="677"/>
      <c r="F794" s="1445"/>
      <c r="G794" s="1445"/>
      <c r="H794" s="949"/>
      <c r="I794" s="2359"/>
      <c r="J794" s="681" t="s">
        <v>2252</v>
      </c>
      <c r="K794" s="3515"/>
      <c r="L794" s="3515"/>
      <c r="M794" s="3515"/>
      <c r="N794" s="3515"/>
      <c r="O794" s="3515"/>
      <c r="P794" s="3515"/>
      <c r="Q794" s="684">
        <v>1</v>
      </c>
      <c r="R794" s="684" t="s">
        <v>25</v>
      </c>
      <c r="S794" s="684">
        <v>130000</v>
      </c>
      <c r="T794" s="684" t="s">
        <v>4</v>
      </c>
      <c r="U794" s="684"/>
      <c r="V794" s="684">
        <v>10</v>
      </c>
      <c r="W794" s="684" t="s">
        <v>233</v>
      </c>
      <c r="X794" s="684" t="s">
        <v>5</v>
      </c>
      <c r="Y794" s="871">
        <f>Z794/1000</f>
        <v>1300</v>
      </c>
      <c r="Z794" s="732">
        <f>Q794*S794*V794</f>
        <v>1300000</v>
      </c>
      <c r="AA794" s="547"/>
      <c r="AB794" s="1891"/>
      <c r="AC794" s="1895"/>
      <c r="AD794" s="542"/>
    </row>
    <row r="795" spans="1:30" s="1888" customFormat="1" ht="22.5" customHeight="1">
      <c r="A795" s="591"/>
      <c r="B795" s="548"/>
      <c r="C795" s="624"/>
      <c r="D795" s="2020"/>
      <c r="E795" s="677" t="s">
        <v>73</v>
      </c>
      <c r="F795" s="526">
        <f>Y795</f>
        <v>400</v>
      </c>
      <c r="G795" s="1445">
        <v>400</v>
      </c>
      <c r="H795" s="949"/>
      <c r="I795" s="2359"/>
      <c r="J795" s="681" t="s">
        <v>2388</v>
      </c>
      <c r="K795" s="3515"/>
      <c r="L795" s="3515"/>
      <c r="M795" s="3515"/>
      <c r="N795" s="3515"/>
      <c r="O795" s="3515"/>
      <c r="P795" s="3515"/>
      <c r="Q795" s="684"/>
      <c r="R795" s="684"/>
      <c r="S795" s="684">
        <v>100000</v>
      </c>
      <c r="T795" s="684" t="s">
        <v>4</v>
      </c>
      <c r="U795" s="684"/>
      <c r="V795" s="684">
        <v>4</v>
      </c>
      <c r="W795" s="684" t="s">
        <v>39</v>
      </c>
      <c r="X795" s="686" t="s">
        <v>5</v>
      </c>
      <c r="Y795" s="1022">
        <f t="shared" ref="Y795" si="281">Z795/1000</f>
        <v>400</v>
      </c>
      <c r="Z795" s="732">
        <f>S795*V795</f>
        <v>400000</v>
      </c>
      <c r="AA795" s="547"/>
      <c r="AB795" s="1891"/>
      <c r="AC795" s="1895"/>
      <c r="AD795" s="542"/>
    </row>
    <row r="796" spans="1:30" s="1888" customFormat="1" ht="22.5" customHeight="1">
      <c r="A796" s="591"/>
      <c r="B796" s="548"/>
      <c r="C796" s="624"/>
      <c r="D796" s="2020"/>
      <c r="E796" s="677" t="s">
        <v>14</v>
      </c>
      <c r="F796" s="526">
        <f>Y796</f>
        <v>300</v>
      </c>
      <c r="G796" s="2125">
        <v>400</v>
      </c>
      <c r="H796" s="769">
        <f t="shared" ref="H796" si="282">F796-G796</f>
        <v>-100</v>
      </c>
      <c r="I796" s="2359"/>
      <c r="J796" s="681" t="s">
        <v>1486</v>
      </c>
      <c r="K796" s="3163"/>
      <c r="L796" s="3163"/>
      <c r="M796" s="3163"/>
      <c r="N796" s="3163"/>
      <c r="O796" s="3163"/>
      <c r="P796" s="3163"/>
      <c r="Q796" s="684">
        <v>6</v>
      </c>
      <c r="R796" s="684" t="s">
        <v>36</v>
      </c>
      <c r="S796" s="684">
        <v>25000</v>
      </c>
      <c r="T796" s="684" t="s">
        <v>4</v>
      </c>
      <c r="U796" s="684"/>
      <c r="V796" s="684">
        <v>2</v>
      </c>
      <c r="W796" s="684" t="s">
        <v>39</v>
      </c>
      <c r="X796" s="684" t="s">
        <v>5</v>
      </c>
      <c r="Y796" s="871">
        <f>Z796/1000</f>
        <v>300</v>
      </c>
      <c r="Z796" s="732">
        <f>Q796*S796*V796</f>
        <v>300000</v>
      </c>
      <c r="AA796" s="547"/>
      <c r="AB796" s="1891"/>
      <c r="AC796" s="1895"/>
      <c r="AD796" s="542"/>
    </row>
    <row r="797" spans="1:30" s="1894" customFormat="1" ht="22.5" customHeight="1">
      <c r="A797" s="562"/>
      <c r="B797" s="563"/>
      <c r="C797" s="564"/>
      <c r="D797" s="3825" t="s">
        <v>2389</v>
      </c>
      <c r="E797" s="3826"/>
      <c r="F797" s="598">
        <f>SUM(F798:F818)</f>
        <v>150000.02000000002</v>
      </c>
      <c r="G797" s="598">
        <f>SUM(G798:G818)</f>
        <v>150000.02000000002</v>
      </c>
      <c r="H797" s="620">
        <f t="shared" ref="H797" si="283">F797-G797</f>
        <v>0</v>
      </c>
      <c r="I797" s="557"/>
      <c r="J797" s="2025"/>
      <c r="K797" s="2934"/>
      <c r="L797" s="2934"/>
      <c r="M797" s="2934"/>
      <c r="N797" s="2934"/>
      <c r="O797" s="2934"/>
      <c r="P797" s="2934"/>
      <c r="Q797" s="2934"/>
      <c r="R797" s="539"/>
      <c r="S797" s="2026"/>
      <c r="T797" s="2026"/>
      <c r="U797" s="2026"/>
      <c r="V797" s="2026"/>
      <c r="W797" s="2026"/>
      <c r="X797" s="2028"/>
      <c r="Y797" s="586"/>
      <c r="Z797" s="622"/>
      <c r="AA797" s="547"/>
      <c r="AB797" s="1891"/>
      <c r="AC797" s="1892"/>
      <c r="AD797" s="1893"/>
    </row>
    <row r="798" spans="1:30" s="1888" customFormat="1" ht="22.5" customHeight="1">
      <c r="A798" s="591"/>
      <c r="B798" s="624"/>
      <c r="C798" s="624"/>
      <c r="D798" s="2020"/>
      <c r="E798" s="2023" t="s">
        <v>905</v>
      </c>
      <c r="F798" s="526">
        <f>Y798</f>
        <v>5400</v>
      </c>
      <c r="G798" s="526">
        <v>5400</v>
      </c>
      <c r="H798" s="626"/>
      <c r="I798" s="557"/>
      <c r="J798" s="2105" t="s">
        <v>2390</v>
      </c>
      <c r="K798" s="2082"/>
      <c r="L798" s="2082"/>
      <c r="M798" s="2082"/>
      <c r="N798" s="2082"/>
      <c r="O798" s="2082"/>
      <c r="P798" s="2082"/>
      <c r="Q798" s="475"/>
      <c r="R798" s="552"/>
      <c r="S798" s="474">
        <v>1800000</v>
      </c>
      <c r="T798" s="2106" t="s">
        <v>751</v>
      </c>
      <c r="U798" s="2106"/>
      <c r="V798" s="2106">
        <v>3</v>
      </c>
      <c r="W798" s="2106" t="s">
        <v>561</v>
      </c>
      <c r="X798" s="2106" t="s">
        <v>566</v>
      </c>
      <c r="Y798" s="1452">
        <f>Z798/1000</f>
        <v>5400</v>
      </c>
      <c r="Z798" s="1452">
        <f t="shared" ref="Z798:Z800" si="284">S798*V798</f>
        <v>5400000</v>
      </c>
      <c r="AA798" s="547"/>
      <c r="AB798" s="1891"/>
      <c r="AC798" s="1895"/>
      <c r="AD798" s="542"/>
    </row>
    <row r="799" spans="1:30" s="1888" customFormat="1" ht="22.5" customHeight="1">
      <c r="A799" s="591"/>
      <c r="B799" s="548"/>
      <c r="C799" s="624"/>
      <c r="D799" s="2020"/>
      <c r="E799" s="2023" t="s">
        <v>592</v>
      </c>
      <c r="F799" s="549">
        <f>Y799</f>
        <v>4000</v>
      </c>
      <c r="G799" s="549">
        <v>4000</v>
      </c>
      <c r="H799" s="551"/>
      <c r="I799" s="557"/>
      <c r="J799" s="2105" t="s">
        <v>572</v>
      </c>
      <c r="K799" s="2082"/>
      <c r="L799" s="2082"/>
      <c r="M799" s="2082"/>
      <c r="N799" s="2082"/>
      <c r="O799" s="2082"/>
      <c r="P799" s="2082"/>
      <c r="Q799" s="2082"/>
      <c r="R799" s="552"/>
      <c r="S799" s="474"/>
      <c r="T799" s="2106"/>
      <c r="U799" s="2106"/>
      <c r="V799" s="2106"/>
      <c r="W799" s="2106"/>
      <c r="X799" s="2106" t="s">
        <v>570</v>
      </c>
      <c r="Y799" s="1452">
        <f t="shared" ref="Y799" si="285">+Z799/1000</f>
        <v>4000</v>
      </c>
      <c r="Z799" s="1452">
        <f>SUM(Z800:Z801)</f>
        <v>4000000</v>
      </c>
      <c r="AA799" s="547"/>
      <c r="AB799" s="1891"/>
      <c r="AC799" s="1895"/>
      <c r="AD799" s="542"/>
    </row>
    <row r="800" spans="1:30" s="1888" customFormat="1" ht="22.5" customHeight="1">
      <c r="A800" s="591"/>
      <c r="B800" s="548"/>
      <c r="C800" s="624"/>
      <c r="D800" s="2020"/>
      <c r="E800" s="2023"/>
      <c r="F800" s="549"/>
      <c r="G800" s="549"/>
      <c r="H800" s="551"/>
      <c r="I800" s="557"/>
      <c r="J800" s="2105" t="s">
        <v>2391</v>
      </c>
      <c r="K800" s="2082"/>
      <c r="L800" s="2082"/>
      <c r="M800" s="2082"/>
      <c r="N800" s="2082"/>
      <c r="O800" s="2082"/>
      <c r="P800" s="2082"/>
      <c r="Q800" s="2106"/>
      <c r="R800" s="2106"/>
      <c r="S800" s="2106">
        <v>3500</v>
      </c>
      <c r="T800" s="2106" t="s">
        <v>751</v>
      </c>
      <c r="U800" s="2106"/>
      <c r="V800" s="2106">
        <v>1000</v>
      </c>
      <c r="W800" s="2106" t="s">
        <v>598</v>
      </c>
      <c r="X800" s="2106" t="s">
        <v>566</v>
      </c>
      <c r="Y800" s="1452">
        <f>Z800/1000</f>
        <v>3500</v>
      </c>
      <c r="Z800" s="1452">
        <f t="shared" si="284"/>
        <v>3500000</v>
      </c>
      <c r="AA800" s="547"/>
      <c r="AB800" s="1891"/>
      <c r="AC800" s="1895"/>
      <c r="AD800" s="542"/>
    </row>
    <row r="801" spans="1:30" s="1888" customFormat="1" ht="22.5" customHeight="1">
      <c r="A801" s="591"/>
      <c r="B801" s="548"/>
      <c r="C801" s="624"/>
      <c r="D801" s="2020"/>
      <c r="E801" s="2023"/>
      <c r="F801" s="549"/>
      <c r="G801" s="549"/>
      <c r="H801" s="551"/>
      <c r="I801" s="557"/>
      <c r="J801" s="2105" t="s">
        <v>2392</v>
      </c>
      <c r="K801" s="2082"/>
      <c r="L801" s="2082"/>
      <c r="M801" s="2082"/>
      <c r="N801" s="2082"/>
      <c r="O801" s="2082"/>
      <c r="P801" s="2082"/>
      <c r="Q801" s="2106"/>
      <c r="R801" s="2106"/>
      <c r="S801" s="2106">
        <v>500000</v>
      </c>
      <c r="T801" s="2106" t="s">
        <v>751</v>
      </c>
      <c r="U801" s="2106"/>
      <c r="V801" s="2106">
        <v>1</v>
      </c>
      <c r="W801" s="2106" t="s">
        <v>631</v>
      </c>
      <c r="X801" s="2106" t="s">
        <v>566</v>
      </c>
      <c r="Y801" s="1452">
        <f>Z801/1000</f>
        <v>500</v>
      </c>
      <c r="Z801" s="1452">
        <f>S801*V801</f>
        <v>500000</v>
      </c>
      <c r="AA801" s="547"/>
      <c r="AB801" s="1891"/>
      <c r="AC801" s="1895"/>
      <c r="AD801" s="542"/>
    </row>
    <row r="802" spans="1:30" s="1888" customFormat="1" ht="22.5" customHeight="1">
      <c r="A802" s="591"/>
      <c r="B802" s="624"/>
      <c r="C802" s="624"/>
      <c r="D802" s="2020"/>
      <c r="E802" s="2023" t="s">
        <v>594</v>
      </c>
      <c r="F802" s="526">
        <f>Y802</f>
        <v>500</v>
      </c>
      <c r="G802" s="526">
        <v>500</v>
      </c>
      <c r="H802" s="626"/>
      <c r="I802" s="557"/>
      <c r="J802" s="2105" t="s">
        <v>2393</v>
      </c>
      <c r="K802" s="2082"/>
      <c r="L802" s="2082"/>
      <c r="M802" s="2082"/>
      <c r="N802" s="2082"/>
      <c r="O802" s="2082"/>
      <c r="P802" s="2082"/>
      <c r="Q802" s="475"/>
      <c r="R802" s="552"/>
      <c r="S802" s="474">
        <v>100000000</v>
      </c>
      <c r="T802" s="2106" t="s">
        <v>751</v>
      </c>
      <c r="U802" s="2106"/>
      <c r="V802" s="2106">
        <v>0.5</v>
      </c>
      <c r="W802" s="2106" t="s">
        <v>575</v>
      </c>
      <c r="X802" s="2106" t="s">
        <v>566</v>
      </c>
      <c r="Y802" s="1452">
        <f>Z802/1000</f>
        <v>500</v>
      </c>
      <c r="Z802" s="1452">
        <f>S802*V802/100</f>
        <v>500000</v>
      </c>
      <c r="AA802" s="547"/>
      <c r="AB802" s="1891"/>
      <c r="AC802" s="1895"/>
      <c r="AD802" s="542"/>
    </row>
    <row r="803" spans="1:30" s="1888" customFormat="1" ht="22.5" customHeight="1">
      <c r="A803" s="2081"/>
      <c r="B803" s="548"/>
      <c r="C803" s="624"/>
      <c r="D803" s="2020"/>
      <c r="E803" s="2023" t="s">
        <v>562</v>
      </c>
      <c r="F803" s="526">
        <f>Y803</f>
        <v>2000</v>
      </c>
      <c r="G803" s="526">
        <v>2000</v>
      </c>
      <c r="H803" s="626"/>
      <c r="I803" s="557"/>
      <c r="J803" s="2105" t="s">
        <v>784</v>
      </c>
      <c r="K803" s="2082"/>
      <c r="L803" s="2082"/>
      <c r="M803" s="2082"/>
      <c r="N803" s="2082"/>
      <c r="O803" s="2082"/>
      <c r="P803" s="2082"/>
      <c r="Q803" s="475"/>
      <c r="R803" s="552"/>
      <c r="S803" s="474">
        <v>200000</v>
      </c>
      <c r="T803" s="2106" t="s">
        <v>751</v>
      </c>
      <c r="U803" s="2106"/>
      <c r="V803" s="2106">
        <v>10</v>
      </c>
      <c r="W803" s="2106" t="s">
        <v>561</v>
      </c>
      <c r="X803" s="2106" t="s">
        <v>566</v>
      </c>
      <c r="Y803" s="1452">
        <f>Z803/1000</f>
        <v>2000</v>
      </c>
      <c r="Z803" s="1452">
        <f t="shared" ref="Z803" si="286">S803*V803</f>
        <v>2000000</v>
      </c>
      <c r="AA803" s="547"/>
      <c r="AB803" s="1891"/>
      <c r="AC803" s="1895"/>
      <c r="AD803" s="542"/>
    </row>
    <row r="804" spans="1:30" s="1888" customFormat="1" ht="22.5" customHeight="1">
      <c r="A804" s="2081"/>
      <c r="B804" s="548"/>
      <c r="C804" s="624"/>
      <c r="D804" s="2020"/>
      <c r="E804" s="2023" t="s">
        <v>753</v>
      </c>
      <c r="F804" s="526">
        <f>Y804</f>
        <v>500</v>
      </c>
      <c r="G804" s="526">
        <v>500</v>
      </c>
      <c r="H804" s="626"/>
      <c r="I804" s="557"/>
      <c r="J804" s="2105" t="s">
        <v>911</v>
      </c>
      <c r="K804" s="2082"/>
      <c r="L804" s="2082"/>
      <c r="M804" s="2082"/>
      <c r="N804" s="2082"/>
      <c r="O804" s="2082"/>
      <c r="P804" s="2082"/>
      <c r="Q804" s="2106">
        <v>2</v>
      </c>
      <c r="R804" s="2106" t="s">
        <v>36</v>
      </c>
      <c r="S804" s="2106">
        <v>25000</v>
      </c>
      <c r="T804" s="2106" t="s">
        <v>751</v>
      </c>
      <c r="U804" s="2106"/>
      <c r="V804" s="2106">
        <v>10</v>
      </c>
      <c r="W804" s="2106" t="s">
        <v>561</v>
      </c>
      <c r="X804" s="2030" t="s">
        <v>566</v>
      </c>
      <c r="Y804" s="1452">
        <f t="shared" ref="Y804" si="287">Z804/1000</f>
        <v>500</v>
      </c>
      <c r="Z804" s="1452">
        <f>Q804*S804*V804</f>
        <v>500000</v>
      </c>
      <c r="AA804" s="547"/>
      <c r="AB804" s="1891"/>
      <c r="AC804" s="1895"/>
      <c r="AD804" s="542"/>
    </row>
    <row r="805" spans="1:30" s="1888" customFormat="1" ht="22.5" customHeight="1">
      <c r="A805" s="2081"/>
      <c r="B805" s="548"/>
      <c r="C805" s="624"/>
      <c r="D805" s="2020"/>
      <c r="E805" s="2023" t="s">
        <v>22</v>
      </c>
      <c r="F805" s="526">
        <f>Y805</f>
        <v>100000.02</v>
      </c>
      <c r="G805" s="526">
        <v>100000.02</v>
      </c>
      <c r="H805" s="626"/>
      <c r="I805" s="557"/>
      <c r="J805" s="2105" t="s">
        <v>2394</v>
      </c>
      <c r="K805" s="2082"/>
      <c r="L805" s="2082"/>
      <c r="M805" s="2082"/>
      <c r="N805" s="2082"/>
      <c r="O805" s="2082"/>
      <c r="P805" s="2082"/>
      <c r="Q805" s="475"/>
      <c r="R805" s="552"/>
      <c r="S805" s="474">
        <v>3333334</v>
      </c>
      <c r="T805" s="2106" t="s">
        <v>751</v>
      </c>
      <c r="U805" s="2106"/>
      <c r="V805" s="2106">
        <v>30</v>
      </c>
      <c r="W805" s="2106" t="s">
        <v>2395</v>
      </c>
      <c r="X805" s="2106" t="s">
        <v>566</v>
      </c>
      <c r="Y805" s="1452">
        <f>Z805/1000</f>
        <v>100000.02</v>
      </c>
      <c r="Z805" s="1452">
        <f t="shared" ref="Z805" si="288">S805*V805</f>
        <v>100000020</v>
      </c>
      <c r="AA805" s="547"/>
      <c r="AB805" s="1891"/>
      <c r="AC805" s="1895"/>
      <c r="AD805" s="542"/>
    </row>
    <row r="806" spans="1:30" s="1894" customFormat="1" ht="22.5" customHeight="1">
      <c r="A806" s="2079"/>
      <c r="B806" s="2035"/>
      <c r="C806" s="2013"/>
      <c r="D806" s="2020"/>
      <c r="E806" s="2023" t="s">
        <v>660</v>
      </c>
      <c r="F806" s="2031">
        <f>+Y806</f>
        <v>11900</v>
      </c>
      <c r="G806" s="2029">
        <v>11900</v>
      </c>
      <c r="H806" s="2037"/>
      <c r="I806" s="557"/>
      <c r="J806" s="2105" t="s">
        <v>8</v>
      </c>
      <c r="K806" s="2082"/>
      <c r="L806" s="2082"/>
      <c r="M806" s="2082"/>
      <c r="N806" s="2082"/>
      <c r="O806" s="2082"/>
      <c r="P806" s="559"/>
      <c r="Q806" s="2106"/>
      <c r="R806" s="2092"/>
      <c r="S806" s="2106"/>
      <c r="T806" s="2106"/>
      <c r="U806" s="559"/>
      <c r="V806" s="2106"/>
      <c r="W806" s="2106"/>
      <c r="X806" s="2030"/>
      <c r="Y806" s="1452">
        <f>Z806/1000</f>
        <v>11900</v>
      </c>
      <c r="Z806" s="1890">
        <f>SUM(Z807:Z810)</f>
        <v>11900000</v>
      </c>
      <c r="AA806" s="547"/>
      <c r="AB806" s="1891"/>
      <c r="AC806" s="1892"/>
      <c r="AD806" s="1893"/>
    </row>
    <row r="807" spans="1:30" s="1894" customFormat="1" ht="22.5" customHeight="1">
      <c r="A807" s="2079"/>
      <c r="B807" s="2035"/>
      <c r="C807" s="2013"/>
      <c r="D807" s="2020"/>
      <c r="E807" s="2023"/>
      <c r="F807" s="2031"/>
      <c r="G807" s="2029"/>
      <c r="H807" s="2037"/>
      <c r="I807" s="557"/>
      <c r="J807" s="2105" t="s">
        <v>2396</v>
      </c>
      <c r="K807" s="2082"/>
      <c r="L807" s="2082"/>
      <c r="M807" s="2082"/>
      <c r="N807" s="2075"/>
      <c r="O807" s="2075"/>
      <c r="P807" s="2075"/>
      <c r="Q807" s="2106"/>
      <c r="R807" s="2092"/>
      <c r="S807" s="2106">
        <v>500000</v>
      </c>
      <c r="T807" s="2106" t="s">
        <v>0</v>
      </c>
      <c r="U807" s="2106"/>
      <c r="V807" s="2106">
        <v>1</v>
      </c>
      <c r="W807" s="2106" t="s">
        <v>568</v>
      </c>
      <c r="X807" s="1256" t="s">
        <v>1</v>
      </c>
      <c r="Y807" s="1452">
        <f>+S807*V807/1000</f>
        <v>500</v>
      </c>
      <c r="Z807" s="1890">
        <f>S807*V807</f>
        <v>500000</v>
      </c>
      <c r="AA807" s="547"/>
      <c r="AB807" s="1891"/>
      <c r="AC807" s="1892"/>
      <c r="AD807" s="1893"/>
    </row>
    <row r="808" spans="1:30" s="1894" customFormat="1" ht="22.5" customHeight="1">
      <c r="A808" s="2079"/>
      <c r="B808" s="2035"/>
      <c r="C808" s="2035"/>
      <c r="D808" s="2020"/>
      <c r="E808" s="2023"/>
      <c r="F808" s="2031"/>
      <c r="G808" s="2029"/>
      <c r="H808" s="2037"/>
      <c r="I808" s="557"/>
      <c r="J808" s="2105" t="s">
        <v>2397</v>
      </c>
      <c r="K808" s="2082"/>
      <c r="L808" s="2082"/>
      <c r="M808" s="2082"/>
      <c r="N808" s="2075"/>
      <c r="O808" s="2075"/>
      <c r="P808" s="2075"/>
      <c r="Q808" s="2106"/>
      <c r="R808" s="2092"/>
      <c r="S808" s="2106">
        <v>3000000</v>
      </c>
      <c r="T808" s="2106" t="s">
        <v>0</v>
      </c>
      <c r="U808" s="2106"/>
      <c r="V808" s="2106">
        <v>1</v>
      </c>
      <c r="W808" s="2106" t="s">
        <v>568</v>
      </c>
      <c r="X808" s="1256" t="s">
        <v>1</v>
      </c>
      <c r="Y808" s="1452">
        <f>+S808*V808/1000</f>
        <v>3000</v>
      </c>
      <c r="Z808" s="1890">
        <f>S808*V808</f>
        <v>3000000</v>
      </c>
      <c r="AA808" s="547"/>
      <c r="AB808" s="1891"/>
      <c r="AC808" s="1892"/>
      <c r="AD808" s="1893"/>
    </row>
    <row r="809" spans="1:30" s="1894" customFormat="1" ht="22.5" customHeight="1">
      <c r="A809" s="2079"/>
      <c r="B809" s="2035"/>
      <c r="C809" s="2013"/>
      <c r="D809" s="2020"/>
      <c r="E809" s="2023"/>
      <c r="F809" s="2031"/>
      <c r="G809" s="2029"/>
      <c r="H809" s="2037"/>
      <c r="I809" s="557"/>
      <c r="J809" s="2105" t="s">
        <v>2398</v>
      </c>
      <c r="K809" s="2082"/>
      <c r="L809" s="2082"/>
      <c r="M809" s="2082"/>
      <c r="N809" s="2075"/>
      <c r="O809" s="2075"/>
      <c r="P809" s="2075"/>
      <c r="Q809" s="2106"/>
      <c r="R809" s="2092"/>
      <c r="S809" s="2106">
        <v>1500000</v>
      </c>
      <c r="T809" s="2106" t="s">
        <v>0</v>
      </c>
      <c r="U809" s="2106"/>
      <c r="V809" s="2106">
        <v>4</v>
      </c>
      <c r="W809" s="2106" t="s">
        <v>55</v>
      </c>
      <c r="X809" s="1256" t="s">
        <v>1</v>
      </c>
      <c r="Y809" s="1452">
        <f>+S809*V809/1000</f>
        <v>6000</v>
      </c>
      <c r="Z809" s="1890">
        <f>S809*V809</f>
        <v>6000000</v>
      </c>
      <c r="AA809" s="547"/>
      <c r="AB809" s="1891"/>
      <c r="AC809" s="1892"/>
      <c r="AD809" s="1893"/>
    </row>
    <row r="810" spans="1:30" s="1894" customFormat="1" ht="22.5" customHeight="1">
      <c r="A810" s="2079"/>
      <c r="B810" s="2035"/>
      <c r="C810" s="2035"/>
      <c r="D810" s="2038"/>
      <c r="E810" s="2023"/>
      <c r="F810" s="2031"/>
      <c r="G810" s="2029"/>
      <c r="H810" s="2037"/>
      <c r="I810" s="557"/>
      <c r="J810" s="2105" t="s">
        <v>2399</v>
      </c>
      <c r="K810" s="2082"/>
      <c r="L810" s="2082"/>
      <c r="M810" s="2082"/>
      <c r="N810" s="2082"/>
      <c r="O810" s="2082"/>
      <c r="P810" s="2082"/>
      <c r="Q810" s="2106">
        <v>12</v>
      </c>
      <c r="R810" s="2106" t="s">
        <v>36</v>
      </c>
      <c r="S810" s="2106">
        <v>200000</v>
      </c>
      <c r="T810" s="2106" t="s">
        <v>751</v>
      </c>
      <c r="U810" s="2106"/>
      <c r="V810" s="2106">
        <v>1</v>
      </c>
      <c r="W810" s="2106" t="s">
        <v>561</v>
      </c>
      <c r="X810" s="2030" t="s">
        <v>566</v>
      </c>
      <c r="Y810" s="1452">
        <f t="shared" ref="Y810" si="289">Z810/1000</f>
        <v>2400</v>
      </c>
      <c r="Z810" s="1896">
        <f>Q810*S810*V810</f>
        <v>2400000</v>
      </c>
      <c r="AA810" s="547"/>
      <c r="AB810" s="1891"/>
      <c r="AC810" s="1892"/>
      <c r="AD810" s="1893"/>
    </row>
    <row r="811" spans="1:30" s="1894" customFormat="1" ht="22.5" customHeight="1">
      <c r="A811" s="2079"/>
      <c r="B811" s="2035"/>
      <c r="C811" s="2013"/>
      <c r="D811" s="2020"/>
      <c r="E811" s="2023" t="s">
        <v>662</v>
      </c>
      <c r="F811" s="2031">
        <f>+Y811</f>
        <v>20000</v>
      </c>
      <c r="G811" s="2029">
        <v>20000</v>
      </c>
      <c r="H811" s="2037"/>
      <c r="I811" s="557"/>
      <c r="J811" s="2105" t="s">
        <v>8</v>
      </c>
      <c r="K811" s="2082"/>
      <c r="L811" s="2082"/>
      <c r="M811" s="2082"/>
      <c r="N811" s="2082"/>
      <c r="O811" s="2082"/>
      <c r="P811" s="559"/>
      <c r="Q811" s="2106"/>
      <c r="R811" s="2092"/>
      <c r="S811" s="2106"/>
      <c r="T811" s="2106"/>
      <c r="U811" s="559"/>
      <c r="V811" s="2106"/>
      <c r="W811" s="2106"/>
      <c r="X811" s="2030"/>
      <c r="Y811" s="1452">
        <f>Z811/1000</f>
        <v>20000</v>
      </c>
      <c r="Z811" s="1890">
        <f>SUM(Z812:Z815)</f>
        <v>20000000</v>
      </c>
      <c r="AA811" s="547"/>
      <c r="AB811" s="1891"/>
      <c r="AC811" s="1892"/>
      <c r="AD811" s="1893"/>
    </row>
    <row r="812" spans="1:30" s="1894" customFormat="1" ht="22.5" customHeight="1">
      <c r="A812" s="2079"/>
      <c r="B812" s="2035"/>
      <c r="C812" s="2013"/>
      <c r="D812" s="2020"/>
      <c r="E812" s="2023"/>
      <c r="F812" s="2031"/>
      <c r="G812" s="2029"/>
      <c r="H812" s="2037"/>
      <c r="I812" s="557"/>
      <c r="J812" s="2105" t="s">
        <v>2400</v>
      </c>
      <c r="K812" s="2082"/>
      <c r="L812" s="2082"/>
      <c r="M812" s="2082"/>
      <c r="N812" s="2075"/>
      <c r="O812" s="2075"/>
      <c r="P812" s="2075"/>
      <c r="Q812" s="2106"/>
      <c r="R812" s="2092"/>
      <c r="S812" s="2106">
        <v>8000000</v>
      </c>
      <c r="T812" s="2106" t="s">
        <v>0</v>
      </c>
      <c r="U812" s="2106"/>
      <c r="V812" s="2106">
        <v>1</v>
      </c>
      <c r="W812" s="2106" t="s">
        <v>561</v>
      </c>
      <c r="X812" s="1256" t="s">
        <v>1</v>
      </c>
      <c r="Y812" s="1452">
        <f>+S812*V812/1000</f>
        <v>8000</v>
      </c>
      <c r="Z812" s="1890">
        <f>S812*V812</f>
        <v>8000000</v>
      </c>
      <c r="AA812" s="547"/>
      <c r="AB812" s="1891"/>
      <c r="AC812" s="1892"/>
      <c r="AD812" s="1893"/>
    </row>
    <row r="813" spans="1:30" s="1894" customFormat="1" ht="22.5" customHeight="1">
      <c r="A813" s="2079"/>
      <c r="B813" s="2035"/>
      <c r="C813" s="2035"/>
      <c r="D813" s="2020"/>
      <c r="E813" s="2023"/>
      <c r="F813" s="2031"/>
      <c r="G813" s="2029"/>
      <c r="H813" s="2037"/>
      <c r="I813" s="557"/>
      <c r="J813" s="2105" t="s">
        <v>2401</v>
      </c>
      <c r="K813" s="2082"/>
      <c r="L813" s="2082"/>
      <c r="M813" s="2082"/>
      <c r="N813" s="2075"/>
      <c r="O813" s="2075"/>
      <c r="P813" s="2075"/>
      <c r="Q813" s="2106"/>
      <c r="R813" s="2092"/>
      <c r="S813" s="2106">
        <v>3500000</v>
      </c>
      <c r="T813" s="2106" t="s">
        <v>0</v>
      </c>
      <c r="U813" s="2106"/>
      <c r="V813" s="2106">
        <v>1</v>
      </c>
      <c r="W813" s="2106" t="s">
        <v>568</v>
      </c>
      <c r="X813" s="1256" t="s">
        <v>1</v>
      </c>
      <c r="Y813" s="1452">
        <f>+S813*V813/1000</f>
        <v>3500</v>
      </c>
      <c r="Z813" s="1890">
        <f>S813*V813</f>
        <v>3500000</v>
      </c>
      <c r="AA813" s="547"/>
      <c r="AB813" s="1891"/>
      <c r="AC813" s="1892"/>
      <c r="AD813" s="1893"/>
    </row>
    <row r="814" spans="1:30" s="1894" customFormat="1" ht="22.5" customHeight="1">
      <c r="A814" s="2079"/>
      <c r="B814" s="2035"/>
      <c r="C814" s="2013"/>
      <c r="D814" s="2020"/>
      <c r="E814" s="2023"/>
      <c r="F814" s="2031"/>
      <c r="G814" s="2029"/>
      <c r="H814" s="2037"/>
      <c r="I814" s="557"/>
      <c r="J814" s="2105" t="s">
        <v>2402</v>
      </c>
      <c r="K814" s="2082"/>
      <c r="L814" s="2082"/>
      <c r="M814" s="2082"/>
      <c r="N814" s="2075"/>
      <c r="O814" s="2075"/>
      <c r="P814" s="2075"/>
      <c r="Q814" s="2106"/>
      <c r="R814" s="2092"/>
      <c r="S814" s="2106">
        <v>7000000</v>
      </c>
      <c r="T814" s="2106" t="s">
        <v>0</v>
      </c>
      <c r="U814" s="2106"/>
      <c r="V814" s="2106">
        <v>1</v>
      </c>
      <c r="W814" s="2106" t="s">
        <v>568</v>
      </c>
      <c r="X814" s="1256" t="s">
        <v>1</v>
      </c>
      <c r="Y814" s="1452">
        <f>+S814*V814/1000</f>
        <v>7000</v>
      </c>
      <c r="Z814" s="1890">
        <f>S814*V814</f>
        <v>7000000</v>
      </c>
      <c r="AA814" s="547"/>
      <c r="AB814" s="1891"/>
      <c r="AC814" s="1892"/>
      <c r="AD814" s="1893"/>
    </row>
    <row r="815" spans="1:30" s="1894" customFormat="1" ht="22.5" customHeight="1">
      <c r="A815" s="2079"/>
      <c r="B815" s="2035"/>
      <c r="C815" s="2035"/>
      <c r="D815" s="2038"/>
      <c r="E815" s="2023"/>
      <c r="F815" s="2031"/>
      <c r="G815" s="2029"/>
      <c r="H815" s="2037"/>
      <c r="I815" s="557"/>
      <c r="J815" s="2105" t="s">
        <v>2403</v>
      </c>
      <c r="K815" s="2082"/>
      <c r="L815" s="2082"/>
      <c r="M815" s="2082"/>
      <c r="N815" s="2082"/>
      <c r="O815" s="2082"/>
      <c r="P815" s="2082"/>
      <c r="Q815" s="2106"/>
      <c r="R815" s="2106"/>
      <c r="S815" s="2106">
        <v>1500000</v>
      </c>
      <c r="T815" s="2106" t="s">
        <v>0</v>
      </c>
      <c r="U815" s="2106"/>
      <c r="V815" s="2106">
        <v>1</v>
      </c>
      <c r="W815" s="2106" t="s">
        <v>561</v>
      </c>
      <c r="X815" s="1256" t="s">
        <v>1</v>
      </c>
      <c r="Y815" s="1452">
        <f>+S815*V815/1000</f>
        <v>1500</v>
      </c>
      <c r="Z815" s="1890">
        <f>S815*V815</f>
        <v>1500000</v>
      </c>
      <c r="AA815" s="547"/>
      <c r="AB815" s="1891"/>
      <c r="AC815" s="1892"/>
      <c r="AD815" s="1893"/>
    </row>
    <row r="816" spans="1:30" s="1894" customFormat="1" ht="22.5" customHeight="1">
      <c r="A816" s="2079"/>
      <c r="B816" s="2035"/>
      <c r="C816" s="2013"/>
      <c r="D816" s="2038"/>
      <c r="E816" s="2023" t="s">
        <v>671</v>
      </c>
      <c r="F816" s="526">
        <f>Y816</f>
        <v>3000</v>
      </c>
      <c r="G816" s="526">
        <v>3000</v>
      </c>
      <c r="H816" s="626"/>
      <c r="I816" s="557"/>
      <c r="J816" s="2105" t="s">
        <v>2404</v>
      </c>
      <c r="K816" s="2082"/>
      <c r="L816" s="2082"/>
      <c r="M816" s="2082"/>
      <c r="N816" s="2082"/>
      <c r="O816" s="2082"/>
      <c r="P816" s="2082"/>
      <c r="Q816" s="475"/>
      <c r="R816" s="552"/>
      <c r="S816" s="474">
        <v>3000000</v>
      </c>
      <c r="T816" s="2106" t="s">
        <v>751</v>
      </c>
      <c r="U816" s="2106"/>
      <c r="V816" s="2106">
        <v>1</v>
      </c>
      <c r="W816" s="2106" t="s">
        <v>568</v>
      </c>
      <c r="X816" s="2106" t="s">
        <v>566</v>
      </c>
      <c r="Y816" s="1452">
        <f>Z816/1000</f>
        <v>3000</v>
      </c>
      <c r="Z816" s="1452">
        <f t="shared" ref="Z816:Z817" si="290">S816*V816</f>
        <v>3000000</v>
      </c>
      <c r="AA816" s="547"/>
      <c r="AB816" s="1891"/>
      <c r="AC816" s="1892"/>
      <c r="AD816" s="1893"/>
    </row>
    <row r="817" spans="1:30" s="1894" customFormat="1" ht="22.5" customHeight="1">
      <c r="A817" s="2079"/>
      <c r="B817" s="2035"/>
      <c r="C817" s="2013"/>
      <c r="D817" s="2038"/>
      <c r="E817" s="2023" t="s">
        <v>591</v>
      </c>
      <c r="F817" s="526">
        <f>Y817</f>
        <v>2200</v>
      </c>
      <c r="G817" s="526">
        <v>2200</v>
      </c>
      <c r="H817" s="626"/>
      <c r="I817" s="557"/>
      <c r="J817" s="2105" t="s">
        <v>2405</v>
      </c>
      <c r="K817" s="2082"/>
      <c r="L817" s="2082"/>
      <c r="M817" s="2082"/>
      <c r="N817" s="2082"/>
      <c r="O817" s="2082"/>
      <c r="P817" s="2082"/>
      <c r="Q817" s="475"/>
      <c r="R817" s="552"/>
      <c r="S817" s="474">
        <v>2200000</v>
      </c>
      <c r="T817" s="2106" t="s">
        <v>751</v>
      </c>
      <c r="U817" s="2106"/>
      <c r="V817" s="2106">
        <v>1</v>
      </c>
      <c r="W817" s="2106" t="s">
        <v>561</v>
      </c>
      <c r="X817" s="2106" t="s">
        <v>566</v>
      </c>
      <c r="Y817" s="1452">
        <f>Z817/1000</f>
        <v>2200</v>
      </c>
      <c r="Z817" s="1452">
        <f t="shared" si="290"/>
        <v>2200000</v>
      </c>
      <c r="AA817" s="547"/>
      <c r="AB817" s="1891"/>
      <c r="AC817" s="1892"/>
      <c r="AD817" s="1893"/>
    </row>
    <row r="818" spans="1:30" s="1888" customFormat="1" ht="22.5" customHeight="1">
      <c r="A818" s="591"/>
      <c r="B818" s="624"/>
      <c r="C818" s="624"/>
      <c r="D818" s="2020"/>
      <c r="E818" s="2023" t="s">
        <v>573</v>
      </c>
      <c r="F818" s="526">
        <f>Y818</f>
        <v>500</v>
      </c>
      <c r="G818" s="526">
        <v>500</v>
      </c>
      <c r="H818" s="551"/>
      <c r="I818" s="557"/>
      <c r="J818" s="2952" t="s">
        <v>2406</v>
      </c>
      <c r="K818" s="473"/>
      <c r="L818" s="473"/>
      <c r="M818" s="473"/>
      <c r="N818" s="473"/>
      <c r="O818" s="473"/>
      <c r="P818" s="473"/>
      <c r="Q818" s="2953">
        <v>5</v>
      </c>
      <c r="R818" s="2953" t="s">
        <v>36</v>
      </c>
      <c r="S818" s="2953">
        <v>20000</v>
      </c>
      <c r="T818" s="2953" t="s">
        <v>751</v>
      </c>
      <c r="U818" s="2953"/>
      <c r="V818" s="2953">
        <v>5</v>
      </c>
      <c r="W818" s="2953" t="s">
        <v>561</v>
      </c>
      <c r="X818" s="2953" t="s">
        <v>566</v>
      </c>
      <c r="Y818" s="1452">
        <f>Z818/1000</f>
        <v>500</v>
      </c>
      <c r="Z818" s="1452">
        <f>Q818*S818*V818</f>
        <v>500000</v>
      </c>
      <c r="AA818" s="547"/>
      <c r="AB818" s="1891"/>
      <c r="AC818" s="1895"/>
      <c r="AD818" s="542"/>
    </row>
    <row r="819" spans="1:30" s="1894" customFormat="1" ht="22.5" customHeight="1">
      <c r="A819" s="562"/>
      <c r="B819" s="563"/>
      <c r="C819" s="564"/>
      <c r="D819" s="3825" t="s">
        <v>3953</v>
      </c>
      <c r="E819" s="3826"/>
      <c r="F819" s="598">
        <f>SUM(F820:F837)</f>
        <v>60000</v>
      </c>
      <c r="G819" s="598">
        <f>SUM(G820:G837)</f>
        <v>60000</v>
      </c>
      <c r="H819" s="620">
        <f t="shared" ref="H819" si="291">F819-G819</f>
        <v>0</v>
      </c>
      <c r="I819" s="557"/>
      <c r="J819" s="2025"/>
      <c r="K819" s="3028"/>
      <c r="L819" s="3028"/>
      <c r="M819" s="3028"/>
      <c r="N819" s="3028"/>
      <c r="O819" s="3028"/>
      <c r="P819" s="3028"/>
      <c r="Q819" s="3028"/>
      <c r="R819" s="539"/>
      <c r="S819" s="2026"/>
      <c r="T819" s="2026"/>
      <c r="U819" s="2026"/>
      <c r="V819" s="2026"/>
      <c r="W819" s="2026"/>
      <c r="X819" s="2028"/>
      <c r="Y819" s="586"/>
      <c r="Z819" s="622"/>
      <c r="AA819" s="547"/>
      <c r="AB819" s="1891"/>
      <c r="AC819" s="1892"/>
      <c r="AD819" s="1893"/>
    </row>
    <row r="820" spans="1:30" s="3033" customFormat="1" ht="22.5" customHeight="1">
      <c r="A820" s="591"/>
      <c r="B820" s="548"/>
      <c r="C820" s="624"/>
      <c r="D820" s="2020"/>
      <c r="E820" s="2023" t="s">
        <v>229</v>
      </c>
      <c r="F820" s="549">
        <f>Y820</f>
        <v>4000</v>
      </c>
      <c r="G820" s="549">
        <v>4000</v>
      </c>
      <c r="H820" s="551"/>
      <c r="I820" s="557"/>
      <c r="J820" s="3029" t="s">
        <v>4037</v>
      </c>
      <c r="Q820" s="475"/>
      <c r="R820" s="552"/>
      <c r="S820" s="474">
        <v>4000000</v>
      </c>
      <c r="T820" s="3034" t="s">
        <v>751</v>
      </c>
      <c r="U820" s="3034"/>
      <c r="V820" s="3034">
        <v>1</v>
      </c>
      <c r="W820" s="3034" t="s">
        <v>767</v>
      </c>
      <c r="X820" s="3034" t="s">
        <v>566</v>
      </c>
      <c r="Y820" s="1452">
        <f>Z820/1000</f>
        <v>4000</v>
      </c>
      <c r="Z820" s="1452">
        <f t="shared" ref="Z820" si="292">S820*V820</f>
        <v>4000000</v>
      </c>
      <c r="AA820" s="547"/>
      <c r="AB820" s="1891"/>
      <c r="AC820" s="1895"/>
      <c r="AD820" s="542"/>
    </row>
    <row r="821" spans="1:30" s="3033" customFormat="1" ht="22.5" customHeight="1">
      <c r="A821" s="3032"/>
      <c r="B821" s="548"/>
      <c r="C821" s="624"/>
      <c r="D821" s="2020"/>
      <c r="E821" s="2023" t="s">
        <v>264</v>
      </c>
      <c r="F821" s="526">
        <f>Y821</f>
        <v>400</v>
      </c>
      <c r="G821" s="526">
        <v>400</v>
      </c>
      <c r="H821" s="626"/>
      <c r="I821" s="557"/>
      <c r="J821" s="3029" t="s">
        <v>784</v>
      </c>
      <c r="Q821" s="475"/>
      <c r="R821" s="552"/>
      <c r="S821" s="474">
        <v>200000</v>
      </c>
      <c r="T821" s="3034" t="s">
        <v>751</v>
      </c>
      <c r="U821" s="3034"/>
      <c r="V821" s="3034">
        <v>2</v>
      </c>
      <c r="W821" s="3034" t="s">
        <v>39</v>
      </c>
      <c r="X821" s="3034" t="s">
        <v>566</v>
      </c>
      <c r="Y821" s="1452">
        <f>Z821/1000</f>
        <v>400</v>
      </c>
      <c r="Z821" s="1452">
        <f t="shared" ref="Z821" si="293">S821*V821</f>
        <v>400000</v>
      </c>
      <c r="AA821" s="547"/>
      <c r="AB821" s="1891"/>
      <c r="AC821" s="1895"/>
      <c r="AD821" s="542"/>
    </row>
    <row r="822" spans="1:30" s="3033" customFormat="1" ht="22.5" customHeight="1">
      <c r="A822" s="3032"/>
      <c r="B822" s="548"/>
      <c r="C822" s="624"/>
      <c r="D822" s="2020"/>
      <c r="E822" s="2023" t="s">
        <v>753</v>
      </c>
      <c r="F822" s="526">
        <f>Y822</f>
        <v>3600</v>
      </c>
      <c r="G822" s="526">
        <v>3600</v>
      </c>
      <c r="H822" s="626"/>
      <c r="I822" s="557"/>
      <c r="J822" s="3029" t="s">
        <v>572</v>
      </c>
      <c r="Q822" s="3034"/>
      <c r="R822" s="3034"/>
      <c r="S822" s="3034"/>
      <c r="T822" s="3034"/>
      <c r="U822" s="3034"/>
      <c r="V822" s="3034"/>
      <c r="W822" s="3034"/>
      <c r="X822" s="2030"/>
      <c r="Y822" s="483">
        <f t="shared" ref="Y822" si="294">Z822/1000</f>
        <v>3600</v>
      </c>
      <c r="Z822" s="555">
        <f>SUM(Z823:Z824)</f>
        <v>3600000</v>
      </c>
      <c r="AA822" s="547"/>
      <c r="AB822" s="1891"/>
      <c r="AC822" s="1895"/>
      <c r="AD822" s="542"/>
    </row>
    <row r="823" spans="1:30" s="3033" customFormat="1" ht="22.5" customHeight="1">
      <c r="A823" s="3032"/>
      <c r="B823" s="548"/>
      <c r="C823" s="624"/>
      <c r="D823" s="2020"/>
      <c r="E823" s="2023"/>
      <c r="F823" s="526"/>
      <c r="G823" s="526"/>
      <c r="H823" s="626"/>
      <c r="I823" s="557"/>
      <c r="J823" s="3029" t="s">
        <v>4038</v>
      </c>
      <c r="Q823" s="3034"/>
      <c r="R823" s="3034"/>
      <c r="S823" s="3034">
        <v>3000000</v>
      </c>
      <c r="T823" s="3034" t="s">
        <v>751</v>
      </c>
      <c r="U823" s="3034"/>
      <c r="V823" s="3034">
        <v>1</v>
      </c>
      <c r="W823" s="3034" t="s">
        <v>827</v>
      </c>
      <c r="X823" s="3034" t="s">
        <v>566</v>
      </c>
      <c r="Y823" s="1452">
        <f>Z823/1000</f>
        <v>3000</v>
      </c>
      <c r="Z823" s="555">
        <f>S823*V823</f>
        <v>3000000</v>
      </c>
      <c r="AA823" s="547"/>
      <c r="AB823" s="1891"/>
      <c r="AC823" s="1895"/>
      <c r="AD823" s="542"/>
    </row>
    <row r="824" spans="1:30" s="3033" customFormat="1" ht="22.5" customHeight="1">
      <c r="A824" s="3032"/>
      <c r="B824" s="548"/>
      <c r="C824" s="624"/>
      <c r="D824" s="2020"/>
      <c r="E824" s="2023"/>
      <c r="F824" s="526"/>
      <c r="G824" s="526"/>
      <c r="H824" s="626"/>
      <c r="I824" s="557"/>
      <c r="J824" s="3029" t="s">
        <v>2385</v>
      </c>
      <c r="Q824" s="3034">
        <v>2</v>
      </c>
      <c r="R824" s="3034" t="s">
        <v>36</v>
      </c>
      <c r="S824" s="3034">
        <v>30000</v>
      </c>
      <c r="T824" s="3034" t="s">
        <v>751</v>
      </c>
      <c r="U824" s="3034"/>
      <c r="V824" s="3034">
        <v>10</v>
      </c>
      <c r="W824" s="3034" t="s">
        <v>39</v>
      </c>
      <c r="X824" s="2030" t="s">
        <v>566</v>
      </c>
      <c r="Y824" s="1452">
        <f>Z824/1000</f>
        <v>600</v>
      </c>
      <c r="Z824" s="1896">
        <f>Q824*S824*V824</f>
        <v>600000</v>
      </c>
      <c r="AA824" s="547"/>
      <c r="AB824" s="1891"/>
      <c r="AC824" s="1895"/>
      <c r="AD824" s="542"/>
    </row>
    <row r="825" spans="1:30" s="1894" customFormat="1" ht="22.5" customHeight="1">
      <c r="A825" s="3037"/>
      <c r="B825" s="2035"/>
      <c r="C825" s="2013"/>
      <c r="D825" s="2020"/>
      <c r="E825" s="2023" t="s">
        <v>660</v>
      </c>
      <c r="F825" s="2031">
        <f>+Y825</f>
        <v>5500</v>
      </c>
      <c r="G825" s="2029">
        <v>5500</v>
      </c>
      <c r="H825" s="626"/>
      <c r="I825" s="557"/>
      <c r="J825" s="3029" t="s">
        <v>8</v>
      </c>
      <c r="K825" s="3033"/>
      <c r="L825" s="3033"/>
      <c r="M825" s="3033"/>
      <c r="N825" s="3033"/>
      <c r="O825" s="3033"/>
      <c r="P825" s="3035"/>
      <c r="Q825" s="3034"/>
      <c r="R825" s="3030"/>
      <c r="S825" s="3034"/>
      <c r="T825" s="3034"/>
      <c r="U825" s="3035"/>
      <c r="V825" s="3034"/>
      <c r="W825" s="3034"/>
      <c r="X825" s="2030"/>
      <c r="Y825" s="1452">
        <f>Z825/1000</f>
        <v>5500</v>
      </c>
      <c r="Z825" s="1890">
        <f>SUM(Z826:Z829)</f>
        <v>5500000</v>
      </c>
      <c r="AA825" s="547"/>
      <c r="AB825" s="1891"/>
      <c r="AC825" s="1892"/>
      <c r="AD825" s="1893"/>
    </row>
    <row r="826" spans="1:30" s="1894" customFormat="1" ht="22.5" customHeight="1">
      <c r="A826" s="3037"/>
      <c r="B826" s="2035"/>
      <c r="C826" s="2013"/>
      <c r="D826" s="2020"/>
      <c r="E826" s="2023"/>
      <c r="F826" s="2031"/>
      <c r="G826" s="2029"/>
      <c r="H826" s="2037"/>
      <c r="I826" s="557"/>
      <c r="J826" s="3029" t="s">
        <v>4045</v>
      </c>
      <c r="K826" s="3033"/>
      <c r="L826" s="3033"/>
      <c r="M826" s="3033"/>
      <c r="N826" s="2075"/>
      <c r="O826" s="2075"/>
      <c r="P826" s="2075"/>
      <c r="Q826" s="3034"/>
      <c r="R826" s="3030"/>
      <c r="S826" s="3034">
        <v>4000000</v>
      </c>
      <c r="T826" s="3034" t="s">
        <v>0</v>
      </c>
      <c r="U826" s="3034"/>
      <c r="V826" s="3034">
        <v>1</v>
      </c>
      <c r="W826" s="3034" t="s">
        <v>568</v>
      </c>
      <c r="X826" s="1256" t="s">
        <v>1</v>
      </c>
      <c r="Y826" s="1452">
        <f>+S826*V826/1000</f>
        <v>4000</v>
      </c>
      <c r="Z826" s="1890">
        <f>S826*V826</f>
        <v>4000000</v>
      </c>
      <c r="AA826" s="547"/>
      <c r="AB826" s="1891"/>
      <c r="AC826" s="1892"/>
      <c r="AD826" s="1893"/>
    </row>
    <row r="827" spans="1:30" s="1894" customFormat="1" ht="22.5" customHeight="1">
      <c r="A827" s="3037"/>
      <c r="B827" s="2035"/>
      <c r="C827" s="2035"/>
      <c r="D827" s="2020"/>
      <c r="E827" s="2023"/>
      <c r="F827" s="2031"/>
      <c r="G827" s="2029"/>
      <c r="H827" s="2037"/>
      <c r="I827" s="557"/>
      <c r="J827" s="3029" t="s">
        <v>4046</v>
      </c>
      <c r="K827" s="3033"/>
      <c r="L827" s="3033"/>
      <c r="M827" s="3033"/>
      <c r="N827" s="2075"/>
      <c r="O827" s="2075"/>
      <c r="P827" s="2075"/>
      <c r="Q827" s="3034"/>
      <c r="R827" s="3030"/>
      <c r="S827" s="3034">
        <v>200000</v>
      </c>
      <c r="T827" s="3034" t="s">
        <v>0</v>
      </c>
      <c r="U827" s="3034"/>
      <c r="V827" s="3034">
        <v>4</v>
      </c>
      <c r="W827" s="3034" t="s">
        <v>827</v>
      </c>
      <c r="X827" s="1256" t="s">
        <v>1</v>
      </c>
      <c r="Y827" s="1452">
        <f>Z827/1000</f>
        <v>800</v>
      </c>
      <c r="Z827" s="1890">
        <f>S827*V827</f>
        <v>800000</v>
      </c>
      <c r="AA827" s="547"/>
      <c r="AB827" s="1891"/>
      <c r="AC827" s="1892"/>
      <c r="AD827" s="1893"/>
    </row>
    <row r="828" spans="1:30" s="1894" customFormat="1" ht="22.5" customHeight="1">
      <c r="A828" s="3037"/>
      <c r="B828" s="2035"/>
      <c r="C828" s="2013"/>
      <c r="D828" s="2020"/>
      <c r="E828" s="2023"/>
      <c r="F828" s="2031"/>
      <c r="G828" s="2029"/>
      <c r="H828" s="2037"/>
      <c r="I828" s="557"/>
      <c r="J828" s="3029" t="s">
        <v>4047</v>
      </c>
      <c r="K828" s="3033"/>
      <c r="L828" s="3033"/>
      <c r="M828" s="3033"/>
      <c r="N828" s="2075"/>
      <c r="O828" s="2075"/>
      <c r="P828" s="2075"/>
      <c r="Q828" s="3034"/>
      <c r="R828" s="3030"/>
      <c r="S828" s="3034">
        <v>500000</v>
      </c>
      <c r="T828" s="3034" t="s">
        <v>0</v>
      </c>
      <c r="U828" s="3034"/>
      <c r="V828" s="3034">
        <v>1</v>
      </c>
      <c r="W828" s="3034" t="s">
        <v>767</v>
      </c>
      <c r="X828" s="1256" t="s">
        <v>1</v>
      </c>
      <c r="Y828" s="1452">
        <f>Z828/1000</f>
        <v>500</v>
      </c>
      <c r="Z828" s="1890">
        <f>S828*V828</f>
        <v>500000</v>
      </c>
      <c r="AA828" s="547"/>
      <c r="AB828" s="1891"/>
      <c r="AC828" s="1892"/>
      <c r="AD828" s="1893"/>
    </row>
    <row r="829" spans="1:30" s="1894" customFormat="1" ht="22.5" customHeight="1">
      <c r="A829" s="3037"/>
      <c r="B829" s="2035"/>
      <c r="C829" s="2035"/>
      <c r="D829" s="2038"/>
      <c r="E829" s="2023"/>
      <c r="F829" s="2031"/>
      <c r="G829" s="2029"/>
      <c r="H829" s="2037"/>
      <c r="I829" s="557"/>
      <c r="J829" s="3029" t="s">
        <v>4048</v>
      </c>
      <c r="K829" s="3033"/>
      <c r="L829" s="3033"/>
      <c r="M829" s="3033"/>
      <c r="N829" s="3033"/>
      <c r="O829" s="3033"/>
      <c r="P829" s="3033"/>
      <c r="Q829" s="3034"/>
      <c r="R829" s="3034"/>
      <c r="S829" s="3034">
        <v>200000</v>
      </c>
      <c r="T829" s="3034" t="s">
        <v>751</v>
      </c>
      <c r="U829" s="3034"/>
      <c r="V829" s="3034">
        <v>1</v>
      </c>
      <c r="W829" s="3034" t="s">
        <v>827</v>
      </c>
      <c r="X829" s="2030" t="s">
        <v>566</v>
      </c>
      <c r="Y829" s="1452">
        <f>Z829/1000</f>
        <v>200</v>
      </c>
      <c r="Z829" s="1890">
        <f>S829*V829</f>
        <v>200000</v>
      </c>
      <c r="AA829" s="547"/>
      <c r="AB829" s="1891"/>
      <c r="AC829" s="1892"/>
      <c r="AD829" s="1893"/>
    </row>
    <row r="830" spans="1:30" s="1894" customFormat="1" ht="22.5" customHeight="1">
      <c r="A830" s="3037"/>
      <c r="B830" s="2035"/>
      <c r="C830" s="2013"/>
      <c r="D830" s="2020"/>
      <c r="E830" s="2023" t="s">
        <v>662</v>
      </c>
      <c r="F830" s="2031">
        <f>+Y830</f>
        <v>46000</v>
      </c>
      <c r="G830" s="2029">
        <v>46000</v>
      </c>
      <c r="H830" s="626"/>
      <c r="I830" s="557"/>
      <c r="J830" s="3029" t="s">
        <v>8</v>
      </c>
      <c r="K830" s="3033"/>
      <c r="L830" s="3033"/>
      <c r="M830" s="3033"/>
      <c r="N830" s="3033"/>
      <c r="O830" s="3033"/>
      <c r="P830" s="3035"/>
      <c r="Q830" s="3034"/>
      <c r="R830" s="3030"/>
      <c r="S830" s="3034"/>
      <c r="T830" s="3034"/>
      <c r="U830" s="3035"/>
      <c r="V830" s="3034"/>
      <c r="W830" s="3034"/>
      <c r="X830" s="2030"/>
      <c r="Y830" s="1452">
        <f>Z830/1000</f>
        <v>46000</v>
      </c>
      <c r="Z830" s="1890">
        <f>SUM(Z831:Z836)</f>
        <v>46000000</v>
      </c>
      <c r="AA830" s="547"/>
      <c r="AB830" s="1891"/>
      <c r="AC830" s="1892"/>
      <c r="AD830" s="1893"/>
    </row>
    <row r="831" spans="1:30" s="1894" customFormat="1" ht="22.5" customHeight="1">
      <c r="A831" s="3037"/>
      <c r="B831" s="2035"/>
      <c r="C831" s="2013"/>
      <c r="D831" s="2020"/>
      <c r="E831" s="2023"/>
      <c r="F831" s="2031"/>
      <c r="G831" s="2029"/>
      <c r="H831" s="2037"/>
      <c r="I831" s="557"/>
      <c r="J831" s="3029" t="s">
        <v>4039</v>
      </c>
      <c r="K831" s="3033"/>
      <c r="L831" s="3033"/>
      <c r="M831" s="3033"/>
      <c r="N831" s="2075"/>
      <c r="O831" s="2075"/>
      <c r="P831" s="2075"/>
      <c r="Q831" s="3034"/>
      <c r="R831" s="3030"/>
      <c r="S831" s="3034">
        <v>31000000</v>
      </c>
      <c r="T831" s="3034" t="s">
        <v>0</v>
      </c>
      <c r="U831" s="3034"/>
      <c r="V831" s="3034">
        <v>1</v>
      </c>
      <c r="W831" s="3034" t="s">
        <v>827</v>
      </c>
      <c r="X831" s="1256" t="s">
        <v>1</v>
      </c>
      <c r="Y831" s="1452">
        <f>+S831*V831/1000</f>
        <v>31000</v>
      </c>
      <c r="Z831" s="1890">
        <f>S831*V831</f>
        <v>31000000</v>
      </c>
      <c r="AA831" s="547"/>
      <c r="AB831" s="1891"/>
      <c r="AC831" s="1892"/>
      <c r="AD831" s="1893"/>
    </row>
    <row r="832" spans="1:30" s="1894" customFormat="1" ht="22.5" customHeight="1">
      <c r="A832" s="3037"/>
      <c r="B832" s="2035"/>
      <c r="C832" s="2035"/>
      <c r="D832" s="2020"/>
      <c r="E832" s="2023"/>
      <c r="F832" s="2031"/>
      <c r="G832" s="2029"/>
      <c r="H832" s="2037"/>
      <c r="I832" s="557"/>
      <c r="J832" s="3029" t="s">
        <v>4040</v>
      </c>
      <c r="K832" s="3033"/>
      <c r="L832" s="3033"/>
      <c r="M832" s="3033"/>
      <c r="N832" s="2075"/>
      <c r="O832" s="2075"/>
      <c r="P832" s="2075"/>
      <c r="Q832" s="3034"/>
      <c r="R832" s="3030"/>
      <c r="S832" s="3034">
        <v>40000000</v>
      </c>
      <c r="T832" s="3034" t="s">
        <v>0</v>
      </c>
      <c r="U832" s="3034"/>
      <c r="V832" s="3034">
        <v>10</v>
      </c>
      <c r="W832" s="3034" t="s">
        <v>1445</v>
      </c>
      <c r="X832" s="1256" t="s">
        <v>1</v>
      </c>
      <c r="Y832" s="1452">
        <f t="shared" ref="Y832:Y837" si="295">Z832/1000</f>
        <v>4000</v>
      </c>
      <c r="Z832" s="1890">
        <f>S832*V832/100</f>
        <v>4000000</v>
      </c>
      <c r="AA832" s="547"/>
      <c r="AB832" s="1891"/>
      <c r="AC832" s="1892"/>
      <c r="AD832" s="1893"/>
    </row>
    <row r="833" spans="1:30" s="1894" customFormat="1" ht="22.5" customHeight="1">
      <c r="A833" s="3037"/>
      <c r="B833" s="2035"/>
      <c r="C833" s="2013"/>
      <c r="D833" s="2020"/>
      <c r="E833" s="2023"/>
      <c r="F833" s="2031"/>
      <c r="G833" s="2029"/>
      <c r="H833" s="2037"/>
      <c r="I833" s="557"/>
      <c r="J833" s="3029" t="s">
        <v>4041</v>
      </c>
      <c r="K833" s="3033"/>
      <c r="L833" s="3033"/>
      <c r="M833" s="3033"/>
      <c r="N833" s="2075"/>
      <c r="O833" s="2075"/>
      <c r="P833" s="2075"/>
      <c r="Q833" s="3034"/>
      <c r="R833" s="3030"/>
      <c r="S833" s="3034">
        <v>2000000</v>
      </c>
      <c r="T833" s="3034" t="s">
        <v>0</v>
      </c>
      <c r="U833" s="3034"/>
      <c r="V833" s="3034">
        <v>1</v>
      </c>
      <c r="W833" s="3034" t="s">
        <v>568</v>
      </c>
      <c r="X833" s="1256" t="s">
        <v>1</v>
      </c>
      <c r="Y833" s="1452">
        <f t="shared" si="295"/>
        <v>2000</v>
      </c>
      <c r="Z833" s="1890">
        <f>S833*V833</f>
        <v>2000000</v>
      </c>
      <c r="AA833" s="547"/>
      <c r="AB833" s="1891"/>
      <c r="AC833" s="1892"/>
      <c r="AD833" s="1893"/>
    </row>
    <row r="834" spans="1:30" s="1894" customFormat="1" ht="22.5" customHeight="1">
      <c r="A834" s="3037"/>
      <c r="B834" s="2035"/>
      <c r="C834" s="2035"/>
      <c r="D834" s="2038"/>
      <c r="E834" s="2023"/>
      <c r="F834" s="2031"/>
      <c r="G834" s="2029"/>
      <c r="H834" s="2037"/>
      <c r="I834" s="557"/>
      <c r="J834" s="3029" t="s">
        <v>4042</v>
      </c>
      <c r="K834" s="3033"/>
      <c r="L834" s="3033"/>
      <c r="M834" s="3033"/>
      <c r="N834" s="3033"/>
      <c r="O834" s="3033"/>
      <c r="P834" s="3033"/>
      <c r="Q834" s="3034"/>
      <c r="R834" s="3034"/>
      <c r="S834" s="3034">
        <v>2000000</v>
      </c>
      <c r="T834" s="3034" t="s">
        <v>0</v>
      </c>
      <c r="U834" s="3034"/>
      <c r="V834" s="3034">
        <v>1</v>
      </c>
      <c r="W834" s="3034" t="s">
        <v>767</v>
      </c>
      <c r="X834" s="1256" t="s">
        <v>1</v>
      </c>
      <c r="Y834" s="1452">
        <f t="shared" si="295"/>
        <v>2000</v>
      </c>
      <c r="Z834" s="1890">
        <f>S834*V834</f>
        <v>2000000</v>
      </c>
      <c r="AA834" s="547"/>
      <c r="AB834" s="1891"/>
      <c r="AC834" s="1892"/>
      <c r="AD834" s="1893"/>
    </row>
    <row r="835" spans="1:30" s="1894" customFormat="1" ht="22.5" customHeight="1">
      <c r="A835" s="3037"/>
      <c r="B835" s="2035"/>
      <c r="C835" s="2013"/>
      <c r="D835" s="2020"/>
      <c r="E835" s="2023"/>
      <c r="F835" s="2031"/>
      <c r="G835" s="2029"/>
      <c r="H835" s="2037"/>
      <c r="I835" s="557"/>
      <c r="J835" s="3029" t="s">
        <v>4043</v>
      </c>
      <c r="K835" s="3033"/>
      <c r="L835" s="3033"/>
      <c r="M835" s="3033"/>
      <c r="N835" s="2075"/>
      <c r="O835" s="2075"/>
      <c r="P835" s="2075"/>
      <c r="Q835" s="3034"/>
      <c r="R835" s="3030"/>
      <c r="S835" s="3034">
        <v>4000000</v>
      </c>
      <c r="T835" s="3034" t="s">
        <v>0</v>
      </c>
      <c r="U835" s="3034"/>
      <c r="V835" s="3034">
        <v>1</v>
      </c>
      <c r="W835" s="3034" t="s">
        <v>568</v>
      </c>
      <c r="X835" s="1256" t="s">
        <v>1</v>
      </c>
      <c r="Y835" s="1452">
        <f t="shared" si="295"/>
        <v>4000</v>
      </c>
      <c r="Z835" s="1890">
        <f>S835*V835</f>
        <v>4000000</v>
      </c>
      <c r="AA835" s="547"/>
      <c r="AB835" s="1891"/>
      <c r="AC835" s="1892"/>
      <c r="AD835" s="1893"/>
    </row>
    <row r="836" spans="1:30" s="1894" customFormat="1" ht="22.5" customHeight="1">
      <c r="A836" s="3037"/>
      <c r="B836" s="2035"/>
      <c r="C836" s="2035"/>
      <c r="D836" s="2038"/>
      <c r="E836" s="2023"/>
      <c r="F836" s="2031"/>
      <c r="G836" s="2029"/>
      <c r="H836" s="2037"/>
      <c r="I836" s="557"/>
      <c r="J836" s="3029" t="s">
        <v>4044</v>
      </c>
      <c r="K836" s="3033"/>
      <c r="L836" s="3033"/>
      <c r="M836" s="3033"/>
      <c r="N836" s="3033"/>
      <c r="O836" s="3033"/>
      <c r="P836" s="3033"/>
      <c r="Q836" s="3034"/>
      <c r="R836" s="3034"/>
      <c r="S836" s="3034">
        <v>3000000</v>
      </c>
      <c r="T836" s="3034" t="s">
        <v>0</v>
      </c>
      <c r="U836" s="3034"/>
      <c r="V836" s="3034">
        <v>1</v>
      </c>
      <c r="W836" s="3034" t="s">
        <v>767</v>
      </c>
      <c r="X836" s="1256" t="s">
        <v>1</v>
      </c>
      <c r="Y836" s="1452">
        <f t="shared" si="295"/>
        <v>3000</v>
      </c>
      <c r="Z836" s="1890">
        <f>S836*V836</f>
        <v>3000000</v>
      </c>
      <c r="AA836" s="547"/>
      <c r="AB836" s="1891"/>
      <c r="AC836" s="1892"/>
      <c r="AD836" s="1893"/>
    </row>
    <row r="837" spans="1:30" s="3033" customFormat="1" ht="22.5" customHeight="1">
      <c r="A837" s="591"/>
      <c r="B837" s="624"/>
      <c r="C837" s="624"/>
      <c r="D837" s="2020"/>
      <c r="E837" s="2023" t="s">
        <v>573</v>
      </c>
      <c r="F837" s="526">
        <f>Y837</f>
        <v>500</v>
      </c>
      <c r="G837" s="526">
        <v>500</v>
      </c>
      <c r="H837" s="626"/>
      <c r="I837" s="557"/>
      <c r="J837" s="3029" t="s">
        <v>2406</v>
      </c>
      <c r="K837" s="473"/>
      <c r="L837" s="473"/>
      <c r="M837" s="473"/>
      <c r="N837" s="473"/>
      <c r="O837" s="473"/>
      <c r="P837" s="473"/>
      <c r="Q837" s="3034">
        <v>10</v>
      </c>
      <c r="R837" s="3034" t="s">
        <v>36</v>
      </c>
      <c r="S837" s="3034">
        <v>25000</v>
      </c>
      <c r="T837" s="3034" t="s">
        <v>751</v>
      </c>
      <c r="U837" s="3034"/>
      <c r="V837" s="3034">
        <v>2</v>
      </c>
      <c r="W837" s="3034" t="s">
        <v>39</v>
      </c>
      <c r="X837" s="3034" t="s">
        <v>566</v>
      </c>
      <c r="Y837" s="1452">
        <f t="shared" si="295"/>
        <v>500</v>
      </c>
      <c r="Z837" s="1452">
        <f>Q837*S837*V837</f>
        <v>500000</v>
      </c>
      <c r="AA837" s="547"/>
      <c r="AB837" s="1891"/>
      <c r="AC837" s="1895"/>
      <c r="AD837" s="542"/>
    </row>
    <row r="838" spans="1:30" s="1894" customFormat="1" ht="22.5" customHeight="1">
      <c r="A838" s="562"/>
      <c r="B838" s="563"/>
      <c r="C838" s="3825" t="s">
        <v>2407</v>
      </c>
      <c r="D838" s="3924"/>
      <c r="E838" s="3826"/>
      <c r="F838" s="598">
        <f>F839+F855+F870+F886</f>
        <v>799999.56</v>
      </c>
      <c r="G838" s="598">
        <f>G839+G855+G870+G886</f>
        <v>739999.8</v>
      </c>
      <c r="H838" s="620">
        <f>F838-G838</f>
        <v>59999.760000000009</v>
      </c>
      <c r="I838" s="557"/>
      <c r="J838" s="2025"/>
      <c r="K838" s="2934"/>
      <c r="L838" s="2934"/>
      <c r="M838" s="2934"/>
      <c r="N838" s="2934"/>
      <c r="O838" s="2934"/>
      <c r="P838" s="2934"/>
      <c r="Q838" s="2934"/>
      <c r="R838" s="539"/>
      <c r="S838" s="2026"/>
      <c r="T838" s="2026"/>
      <c r="U838" s="2026"/>
      <c r="V838" s="2026"/>
      <c r="W838" s="2026"/>
      <c r="X838" s="2028"/>
      <c r="Y838" s="586"/>
      <c r="Z838" s="622"/>
      <c r="AA838" s="547"/>
      <c r="AB838" s="1891"/>
      <c r="AC838" s="1892"/>
      <c r="AD838" s="1893"/>
    </row>
    <row r="839" spans="1:30" s="1894" customFormat="1" ht="22.5" customHeight="1">
      <c r="A839" s="562"/>
      <c r="B839" s="1897"/>
      <c r="C839" s="588"/>
      <c r="D839" s="3825" t="s">
        <v>2408</v>
      </c>
      <c r="E839" s="3826"/>
      <c r="F839" s="598">
        <f>SUM(F840:F854)</f>
        <v>273118.07</v>
      </c>
      <c r="G839" s="955">
        <f>SUM(G840:G854)</f>
        <v>213118</v>
      </c>
      <c r="H839" s="620">
        <f>F839-G839</f>
        <v>60000.070000000007</v>
      </c>
      <c r="I839" s="557"/>
      <c r="J839" s="2025"/>
      <c r="K839" s="2068"/>
      <c r="L839" s="2068"/>
      <c r="M839" s="2068"/>
      <c r="N839" s="2068"/>
      <c r="O839" s="2068"/>
      <c r="P839" s="2068"/>
      <c r="Q839" s="2068"/>
      <c r="R839" s="539"/>
      <c r="S839" s="2026"/>
      <c r="T839" s="2026"/>
      <c r="U839" s="2026"/>
      <c r="V839" s="2026"/>
      <c r="W839" s="2026"/>
      <c r="X839" s="2028"/>
      <c r="Y839" s="586"/>
      <c r="Z839" s="622"/>
      <c r="AA839" s="547"/>
      <c r="AB839" s="1891"/>
      <c r="AC839" s="1892"/>
      <c r="AD839" s="1893"/>
    </row>
    <row r="840" spans="1:30" s="1888" customFormat="1" ht="22.5" customHeight="1">
      <c r="A840" s="591"/>
      <c r="B840" s="624"/>
      <c r="C840" s="624"/>
      <c r="D840" s="2020"/>
      <c r="E840" s="677" t="s">
        <v>264</v>
      </c>
      <c r="F840" s="1445">
        <f>Y840</f>
        <v>530</v>
      </c>
      <c r="G840" s="2125">
        <v>530</v>
      </c>
      <c r="H840" s="2037"/>
      <c r="I840" s="2359"/>
      <c r="J840" s="681" t="s">
        <v>4372</v>
      </c>
      <c r="K840" s="3515"/>
      <c r="L840" s="3515"/>
      <c r="M840" s="3515"/>
      <c r="N840" s="3515"/>
      <c r="O840" s="3515"/>
      <c r="P840" s="3515"/>
      <c r="Q840" s="869"/>
      <c r="R840" s="2127"/>
      <c r="S840" s="3164">
        <v>530000</v>
      </c>
      <c r="T840" s="684" t="s">
        <v>4</v>
      </c>
      <c r="U840" s="684"/>
      <c r="V840" s="684">
        <v>1</v>
      </c>
      <c r="W840" s="684" t="s">
        <v>226</v>
      </c>
      <c r="X840" s="684" t="s">
        <v>5</v>
      </c>
      <c r="Y840" s="871">
        <f>Z840/1000</f>
        <v>530</v>
      </c>
      <c r="Z840" s="732">
        <f t="shared" ref="Z840" si="296">S840*V840</f>
        <v>530000</v>
      </c>
      <c r="AA840" s="547"/>
      <c r="AB840" s="1891"/>
      <c r="AC840" s="1895"/>
      <c r="AD840" s="542"/>
    </row>
    <row r="841" spans="1:30" s="1888" customFormat="1" ht="22.5" customHeight="1">
      <c r="A841" s="591"/>
      <c r="B841" s="548"/>
      <c r="C841" s="624"/>
      <c r="D841" s="2020"/>
      <c r="E841" s="677" t="s">
        <v>225</v>
      </c>
      <c r="F841" s="1445">
        <f>Y841</f>
        <v>1000</v>
      </c>
      <c r="G841" s="1445">
        <v>1000</v>
      </c>
      <c r="H841" s="949"/>
      <c r="I841" s="2359"/>
      <c r="J841" s="681" t="s">
        <v>911</v>
      </c>
      <c r="K841" s="3515"/>
      <c r="L841" s="3515"/>
      <c r="M841" s="3515"/>
      <c r="N841" s="3515"/>
      <c r="O841" s="3515"/>
      <c r="P841" s="3515"/>
      <c r="Q841" s="684">
        <v>2</v>
      </c>
      <c r="R841" s="684" t="s">
        <v>36</v>
      </c>
      <c r="S841" s="684">
        <v>25000</v>
      </c>
      <c r="T841" s="684" t="s">
        <v>4</v>
      </c>
      <c r="U841" s="684"/>
      <c r="V841" s="684">
        <v>20</v>
      </c>
      <c r="W841" s="684" t="s">
        <v>39</v>
      </c>
      <c r="X841" s="686" t="s">
        <v>5</v>
      </c>
      <c r="Y841" s="871">
        <f>Z841/1000</f>
        <v>1000</v>
      </c>
      <c r="Z841" s="732">
        <f>Q841*S841*V841</f>
        <v>1000000</v>
      </c>
      <c r="AA841" s="547"/>
      <c r="AB841" s="1891"/>
      <c r="AC841" s="1895"/>
      <c r="AD841" s="542"/>
    </row>
    <row r="842" spans="1:30" s="1888" customFormat="1" ht="22.5" customHeight="1">
      <c r="A842" s="591"/>
      <c r="B842" s="548"/>
      <c r="C842" s="624"/>
      <c r="D842" s="2020"/>
      <c r="E842" s="677" t="s">
        <v>15</v>
      </c>
      <c r="F842" s="1445">
        <f>Y842</f>
        <v>13800</v>
      </c>
      <c r="G842" s="1445">
        <v>10800</v>
      </c>
      <c r="H842" s="2037">
        <f>F842-G842</f>
        <v>3000</v>
      </c>
      <c r="I842" s="2359"/>
      <c r="J842" s="681" t="s">
        <v>224</v>
      </c>
      <c r="K842" s="3515"/>
      <c r="L842" s="3515"/>
      <c r="M842" s="3515"/>
      <c r="N842" s="3515"/>
      <c r="O842" s="3515"/>
      <c r="P842" s="3515"/>
      <c r="Q842" s="3515"/>
      <c r="R842" s="2127"/>
      <c r="S842" s="3164"/>
      <c r="T842" s="684"/>
      <c r="U842" s="684"/>
      <c r="V842" s="684"/>
      <c r="W842" s="684"/>
      <c r="X842" s="684" t="s">
        <v>48</v>
      </c>
      <c r="Y842" s="871">
        <f t="shared" ref="Y842" si="297">+Z842/1000</f>
        <v>13800</v>
      </c>
      <c r="Z842" s="732">
        <f>SUM(Z843:Z844)</f>
        <v>13800000</v>
      </c>
      <c r="AA842" s="547"/>
      <c r="AB842" s="1891"/>
      <c r="AC842" s="1895"/>
      <c r="AD842" s="542"/>
    </row>
    <row r="843" spans="1:30" s="1888" customFormat="1" ht="22.5" customHeight="1">
      <c r="A843" s="591"/>
      <c r="B843" s="548"/>
      <c r="C843" s="624"/>
      <c r="D843" s="2020"/>
      <c r="E843" s="677"/>
      <c r="F843" s="1445"/>
      <c r="G843" s="1445"/>
      <c r="H843" s="949"/>
      <c r="I843" s="2359"/>
      <c r="J843" s="681" t="s">
        <v>1485</v>
      </c>
      <c r="K843" s="3515"/>
      <c r="L843" s="3515"/>
      <c r="M843" s="3515"/>
      <c r="N843" s="3515"/>
      <c r="O843" s="3515"/>
      <c r="P843" s="3515"/>
      <c r="Q843" s="684"/>
      <c r="R843" s="684"/>
      <c r="S843" s="684">
        <v>260000000</v>
      </c>
      <c r="T843" s="684" t="s">
        <v>4</v>
      </c>
      <c r="U843" s="684"/>
      <c r="V843" s="1382">
        <v>5</v>
      </c>
      <c r="W843" s="684" t="s">
        <v>758</v>
      </c>
      <c r="X843" s="684" t="s">
        <v>5</v>
      </c>
      <c r="Y843" s="871">
        <f>Z843/1000</f>
        <v>13000</v>
      </c>
      <c r="Z843" s="732">
        <f>S843*V843/100</f>
        <v>13000000</v>
      </c>
      <c r="AA843" s="547"/>
      <c r="AB843" s="1891"/>
      <c r="AC843" s="1895"/>
      <c r="AD843" s="542"/>
    </row>
    <row r="844" spans="1:30" s="1888" customFormat="1" ht="22.5" customHeight="1">
      <c r="A844" s="591"/>
      <c r="B844" s="548"/>
      <c r="C844" s="624"/>
      <c r="D844" s="2020"/>
      <c r="E844" s="677"/>
      <c r="F844" s="1445"/>
      <c r="G844" s="1445"/>
      <c r="H844" s="949"/>
      <c r="I844" s="2359"/>
      <c r="J844" s="681" t="s">
        <v>4373</v>
      </c>
      <c r="K844" s="3515"/>
      <c r="L844" s="3515"/>
      <c r="M844" s="3515"/>
      <c r="N844" s="3515"/>
      <c r="O844" s="3515"/>
      <c r="P844" s="3515"/>
      <c r="Q844" s="684"/>
      <c r="R844" s="684"/>
      <c r="S844" s="684">
        <v>200000</v>
      </c>
      <c r="T844" s="684" t="s">
        <v>4</v>
      </c>
      <c r="U844" s="684"/>
      <c r="V844" s="684">
        <v>4</v>
      </c>
      <c r="W844" s="684" t="s">
        <v>651</v>
      </c>
      <c r="X844" s="684" t="s">
        <v>5</v>
      </c>
      <c r="Y844" s="871">
        <f t="shared" ref="Y844" si="298">Z844/1000</f>
        <v>800</v>
      </c>
      <c r="Z844" s="732">
        <f>S844*V844</f>
        <v>800000</v>
      </c>
      <c r="AA844" s="547"/>
      <c r="AB844" s="1891"/>
      <c r="AC844" s="1895"/>
      <c r="AD844" s="542"/>
    </row>
    <row r="845" spans="1:30" s="1894" customFormat="1" ht="22.5" customHeight="1">
      <c r="A845" s="2079"/>
      <c r="B845" s="2035"/>
      <c r="C845" s="2013"/>
      <c r="D845" s="2020"/>
      <c r="E845" s="677" t="s">
        <v>246</v>
      </c>
      <c r="F845" s="1445">
        <f>Y845</f>
        <v>257305</v>
      </c>
      <c r="G845" s="678">
        <v>200305</v>
      </c>
      <c r="H845" s="2037">
        <f>F845-G845</f>
        <v>57000</v>
      </c>
      <c r="I845" s="2359"/>
      <c r="J845" s="681" t="s">
        <v>8</v>
      </c>
      <c r="K845" s="3515"/>
      <c r="L845" s="3515"/>
      <c r="M845" s="3515"/>
      <c r="N845" s="3515"/>
      <c r="O845" s="3515"/>
      <c r="P845" s="683"/>
      <c r="Q845" s="684"/>
      <c r="R845" s="3524"/>
      <c r="S845" s="684"/>
      <c r="T845" s="684"/>
      <c r="U845" s="683"/>
      <c r="V845" s="684"/>
      <c r="W845" s="684"/>
      <c r="X845" s="686"/>
      <c r="Y845" s="871">
        <f>Z845/1000</f>
        <v>257305</v>
      </c>
      <c r="Z845" s="688">
        <f>SUM(Z846:Z853)</f>
        <v>257305000</v>
      </c>
      <c r="AA845" s="547"/>
      <c r="AB845" s="1891"/>
      <c r="AC845" s="1892"/>
      <c r="AD845" s="1893"/>
    </row>
    <row r="846" spans="1:30" s="1894" customFormat="1" ht="22.5" customHeight="1">
      <c r="A846" s="2079"/>
      <c r="B846" s="2035"/>
      <c r="C846" s="2013"/>
      <c r="D846" s="2020"/>
      <c r="E846" s="677"/>
      <c r="F846" s="678"/>
      <c r="G846" s="678"/>
      <c r="H846" s="680"/>
      <c r="I846" s="2359"/>
      <c r="J846" s="681" t="s">
        <v>4374</v>
      </c>
      <c r="K846" s="3515"/>
      <c r="L846" s="3515"/>
      <c r="M846" s="3515"/>
      <c r="N846" s="3525"/>
      <c r="O846" s="3525"/>
      <c r="P846" s="3525"/>
      <c r="Q846" s="684"/>
      <c r="R846" s="3524"/>
      <c r="S846" s="684">
        <v>42000000</v>
      </c>
      <c r="T846" s="684" t="s">
        <v>0</v>
      </c>
      <c r="U846" s="684"/>
      <c r="V846" s="684">
        <v>1</v>
      </c>
      <c r="W846" s="684" t="s">
        <v>226</v>
      </c>
      <c r="X846" s="2600" t="s">
        <v>1</v>
      </c>
      <c r="Y846" s="871">
        <f>+S846*V846/1000</f>
        <v>42000</v>
      </c>
      <c r="Z846" s="2313">
        <f>S846*V846</f>
        <v>42000000</v>
      </c>
      <c r="AA846" s="547"/>
      <c r="AB846" s="1891"/>
      <c r="AC846" s="1892"/>
      <c r="AD846" s="1893"/>
    </row>
    <row r="847" spans="1:30" s="1894" customFormat="1" ht="22.5" customHeight="1">
      <c r="A847" s="2079"/>
      <c r="B847" s="2035"/>
      <c r="C847" s="2035"/>
      <c r="D847" s="2020"/>
      <c r="E847" s="677"/>
      <c r="F847" s="678"/>
      <c r="G847" s="678"/>
      <c r="H847" s="680"/>
      <c r="I847" s="2359"/>
      <c r="J847" s="681" t="s">
        <v>4375</v>
      </c>
      <c r="K847" s="3515"/>
      <c r="L847" s="3515"/>
      <c r="M847" s="3515"/>
      <c r="N847" s="3525"/>
      <c r="O847" s="3525"/>
      <c r="P847" s="3525"/>
      <c r="Q847" s="684"/>
      <c r="R847" s="3524"/>
      <c r="S847" s="684">
        <v>5000000</v>
      </c>
      <c r="T847" s="684" t="s">
        <v>0</v>
      </c>
      <c r="U847" s="684"/>
      <c r="V847" s="684">
        <v>1</v>
      </c>
      <c r="W847" s="684" t="s">
        <v>226</v>
      </c>
      <c r="X847" s="2600" t="s">
        <v>1</v>
      </c>
      <c r="Y847" s="871">
        <f>+S847*V847/1000</f>
        <v>5000</v>
      </c>
      <c r="Z847" s="2313">
        <f>S847*V847</f>
        <v>5000000</v>
      </c>
      <c r="AA847" s="547"/>
      <c r="AB847" s="1891"/>
      <c r="AC847" s="1892"/>
      <c r="AD847" s="1893"/>
    </row>
    <row r="848" spans="1:30" s="1894" customFormat="1" ht="22.5" customHeight="1">
      <c r="A848" s="2079"/>
      <c r="B848" s="2035"/>
      <c r="C848" s="2013"/>
      <c r="D848" s="2020"/>
      <c r="E848" s="677"/>
      <c r="F848" s="678"/>
      <c r="G848" s="678"/>
      <c r="H848" s="680"/>
      <c r="I848" s="2359"/>
      <c r="J848" s="681" t="s">
        <v>4376</v>
      </c>
      <c r="K848" s="3515"/>
      <c r="L848" s="3515"/>
      <c r="M848" s="3515"/>
      <c r="N848" s="3525"/>
      <c r="O848" s="3525"/>
      <c r="P848" s="3525"/>
      <c r="Q848" s="684"/>
      <c r="R848" s="3524"/>
      <c r="S848" s="684">
        <v>129305000</v>
      </c>
      <c r="T848" s="684" t="s">
        <v>0</v>
      </c>
      <c r="U848" s="684"/>
      <c r="V848" s="684">
        <v>1</v>
      </c>
      <c r="W848" s="684" t="s">
        <v>226</v>
      </c>
      <c r="X848" s="2600" t="s">
        <v>1</v>
      </c>
      <c r="Y848" s="871">
        <f>+S848*V848/1000</f>
        <v>129305</v>
      </c>
      <c r="Z848" s="2313">
        <f>S848*V848</f>
        <v>129305000</v>
      </c>
      <c r="AA848" s="547"/>
      <c r="AB848" s="1891"/>
      <c r="AC848" s="1892"/>
      <c r="AD848" s="1893"/>
    </row>
    <row r="849" spans="1:30" s="1894" customFormat="1" ht="22.5" customHeight="1">
      <c r="A849" s="2079"/>
      <c r="B849" s="2035"/>
      <c r="C849" s="2035"/>
      <c r="D849" s="2038"/>
      <c r="E849" s="677"/>
      <c r="F849" s="678"/>
      <c r="G849" s="678"/>
      <c r="H849" s="680"/>
      <c r="I849" s="2359"/>
      <c r="J849" s="681" t="s">
        <v>4377</v>
      </c>
      <c r="K849" s="3515"/>
      <c r="L849" s="3515"/>
      <c r="M849" s="3515"/>
      <c r="N849" s="3525"/>
      <c r="O849" s="3525"/>
      <c r="P849" s="3525"/>
      <c r="Q849" s="684"/>
      <c r="R849" s="3524"/>
      <c r="S849" s="684">
        <v>4500000</v>
      </c>
      <c r="T849" s="684" t="s">
        <v>0</v>
      </c>
      <c r="U849" s="684"/>
      <c r="V849" s="684">
        <v>1</v>
      </c>
      <c r="W849" s="684" t="s">
        <v>226</v>
      </c>
      <c r="X849" s="2600" t="s">
        <v>1</v>
      </c>
      <c r="Y849" s="871">
        <f>+S849*V849/1000</f>
        <v>4500</v>
      </c>
      <c r="Z849" s="2313">
        <f>S849*V849</f>
        <v>4500000</v>
      </c>
      <c r="AA849" s="547"/>
      <c r="AB849" s="1891"/>
      <c r="AC849" s="1892"/>
      <c r="AD849" s="1893"/>
    </row>
    <row r="850" spans="1:30" s="1894" customFormat="1" ht="22.5" customHeight="1">
      <c r="A850" s="2079"/>
      <c r="B850" s="2035"/>
      <c r="C850" s="2035"/>
      <c r="D850" s="2038"/>
      <c r="E850" s="677"/>
      <c r="F850" s="678"/>
      <c r="G850" s="678"/>
      <c r="H850" s="680"/>
      <c r="I850" s="2359"/>
      <c r="J850" s="681" t="s">
        <v>4378</v>
      </c>
      <c r="K850" s="3515"/>
      <c r="L850" s="3515"/>
      <c r="M850" s="3515"/>
      <c r="N850" s="3525"/>
      <c r="O850" s="3525"/>
      <c r="P850" s="3525"/>
      <c r="Q850" s="684"/>
      <c r="R850" s="3524"/>
      <c r="S850" s="684">
        <v>4000000</v>
      </c>
      <c r="T850" s="684" t="s">
        <v>0</v>
      </c>
      <c r="U850" s="684"/>
      <c r="V850" s="684">
        <v>1</v>
      </c>
      <c r="W850" s="684" t="s">
        <v>226</v>
      </c>
      <c r="X850" s="2600" t="s">
        <v>1</v>
      </c>
      <c r="Y850" s="871">
        <f t="shared" ref="Y850:Y852" si="299">+S850*V850/1000</f>
        <v>4000</v>
      </c>
      <c r="Z850" s="2313">
        <f t="shared" ref="Z850:Z852" si="300">S850*V850</f>
        <v>4000000</v>
      </c>
      <c r="AA850" s="547"/>
      <c r="AB850" s="1891"/>
      <c r="AC850" s="1892"/>
      <c r="AD850" s="1893"/>
    </row>
    <row r="851" spans="1:30" s="1894" customFormat="1" ht="22.5" customHeight="1">
      <c r="A851" s="2079"/>
      <c r="B851" s="2035"/>
      <c r="C851" s="2035"/>
      <c r="D851" s="2038"/>
      <c r="E851" s="677"/>
      <c r="F851" s="678"/>
      <c r="G851" s="678"/>
      <c r="H851" s="680"/>
      <c r="I851" s="2359"/>
      <c r="J851" s="681" t="s">
        <v>4379</v>
      </c>
      <c r="K851" s="3515"/>
      <c r="L851" s="3515"/>
      <c r="M851" s="3515"/>
      <c r="N851" s="3525"/>
      <c r="O851" s="3525"/>
      <c r="P851" s="3525"/>
      <c r="Q851" s="684"/>
      <c r="R851" s="3524"/>
      <c r="S851" s="684">
        <v>3500000</v>
      </c>
      <c r="T851" s="684" t="s">
        <v>0</v>
      </c>
      <c r="U851" s="684"/>
      <c r="V851" s="684">
        <v>1</v>
      </c>
      <c r="W851" s="684" t="s">
        <v>226</v>
      </c>
      <c r="X851" s="2600" t="s">
        <v>1</v>
      </c>
      <c r="Y851" s="871">
        <f t="shared" si="299"/>
        <v>3500</v>
      </c>
      <c r="Z851" s="2313">
        <f t="shared" si="300"/>
        <v>3500000</v>
      </c>
      <c r="AA851" s="547"/>
      <c r="AB851" s="1891"/>
      <c r="AC851" s="1892"/>
      <c r="AD851" s="1893"/>
    </row>
    <row r="852" spans="1:30" s="1894" customFormat="1" ht="22.5" customHeight="1">
      <c r="A852" s="2079"/>
      <c r="B852" s="2035"/>
      <c r="C852" s="2013"/>
      <c r="D852" s="2038"/>
      <c r="E852" s="677"/>
      <c r="F852" s="678"/>
      <c r="G852" s="678"/>
      <c r="H852" s="680"/>
      <c r="I852" s="2359"/>
      <c r="J852" s="681" t="s">
        <v>4380</v>
      </c>
      <c r="K852" s="3515"/>
      <c r="L852" s="3515"/>
      <c r="M852" s="3515"/>
      <c r="N852" s="3525"/>
      <c r="O852" s="3525"/>
      <c r="P852" s="3525"/>
      <c r="Q852" s="684"/>
      <c r="R852" s="3524"/>
      <c r="S852" s="684">
        <v>12000000</v>
      </c>
      <c r="T852" s="684" t="s">
        <v>0</v>
      </c>
      <c r="U852" s="684"/>
      <c r="V852" s="684">
        <v>1</v>
      </c>
      <c r="W852" s="684" t="s">
        <v>226</v>
      </c>
      <c r="X852" s="2600" t="s">
        <v>1</v>
      </c>
      <c r="Y852" s="871">
        <f t="shared" si="299"/>
        <v>12000</v>
      </c>
      <c r="Z852" s="2313">
        <f t="shared" si="300"/>
        <v>12000000</v>
      </c>
      <c r="AA852" s="547"/>
      <c r="AB852" s="1891"/>
      <c r="AC852" s="1892"/>
      <c r="AD852" s="1893"/>
    </row>
    <row r="853" spans="1:30" s="1894" customFormat="1" ht="22.5" customHeight="1">
      <c r="A853" s="3658"/>
      <c r="B853" s="2035"/>
      <c r="C853" s="2013"/>
      <c r="D853" s="2038"/>
      <c r="E853" s="677"/>
      <c r="F853" s="678"/>
      <c r="G853" s="678"/>
      <c r="H853" s="680"/>
      <c r="I853" s="2359"/>
      <c r="J853" s="681" t="s">
        <v>6040</v>
      </c>
      <c r="K853" s="3637"/>
      <c r="L853" s="3637"/>
      <c r="M853" s="3637"/>
      <c r="N853" s="3641"/>
      <c r="O853" s="3641"/>
      <c r="P853" s="3641"/>
      <c r="Q853" s="684"/>
      <c r="R853" s="3643"/>
      <c r="S853" s="684">
        <v>57000000</v>
      </c>
      <c r="T853" s="684" t="s">
        <v>0</v>
      </c>
      <c r="U853" s="684"/>
      <c r="V853" s="684">
        <v>1</v>
      </c>
      <c r="W853" s="684" t="s">
        <v>226</v>
      </c>
      <c r="X853" s="2600" t="s">
        <v>1</v>
      </c>
      <c r="Y853" s="871">
        <f t="shared" ref="Y853" si="301">+S853*V853/1000</f>
        <v>57000</v>
      </c>
      <c r="Z853" s="2313">
        <f t="shared" ref="Z853" si="302">S853*V853</f>
        <v>57000000</v>
      </c>
      <c r="AA853" s="547"/>
      <c r="AB853" s="1891"/>
      <c r="AC853" s="1892"/>
      <c r="AD853" s="1893"/>
    </row>
    <row r="854" spans="1:30" s="1888" customFormat="1" ht="22.5" customHeight="1">
      <c r="A854" s="591"/>
      <c r="B854" s="624"/>
      <c r="C854" s="624"/>
      <c r="D854" s="2020"/>
      <c r="E854" s="677" t="s">
        <v>14</v>
      </c>
      <c r="F854" s="1445">
        <f>Y854</f>
        <v>483.07</v>
      </c>
      <c r="G854" s="2125">
        <v>483</v>
      </c>
      <c r="H854" s="2037"/>
      <c r="I854" s="2359"/>
      <c r="J854" s="681" t="s">
        <v>1486</v>
      </c>
      <c r="K854" s="3163"/>
      <c r="L854" s="3163"/>
      <c r="M854" s="3163"/>
      <c r="N854" s="3163"/>
      <c r="O854" s="3163"/>
      <c r="P854" s="3163"/>
      <c r="Q854" s="684">
        <v>5</v>
      </c>
      <c r="R854" s="684" t="s">
        <v>36</v>
      </c>
      <c r="S854" s="684">
        <v>48307</v>
      </c>
      <c r="T854" s="684" t="s">
        <v>4</v>
      </c>
      <c r="U854" s="684"/>
      <c r="V854" s="684">
        <v>2</v>
      </c>
      <c r="W854" s="684" t="s">
        <v>39</v>
      </c>
      <c r="X854" s="684" t="s">
        <v>5</v>
      </c>
      <c r="Y854" s="871">
        <f>Z854/1000</f>
        <v>483.07</v>
      </c>
      <c r="Z854" s="732">
        <f>Q854*S854*V854</f>
        <v>483070</v>
      </c>
      <c r="AA854" s="547"/>
      <c r="AB854" s="1891"/>
      <c r="AC854" s="1895"/>
      <c r="AD854" s="542"/>
    </row>
    <row r="855" spans="1:30" s="1894" customFormat="1" ht="22.5" customHeight="1">
      <c r="A855" s="562"/>
      <c r="B855" s="1897"/>
      <c r="C855" s="588"/>
      <c r="D855" s="3825" t="s">
        <v>2020</v>
      </c>
      <c r="E855" s="3826"/>
      <c r="F855" s="598">
        <f>SUM(F856:F869)</f>
        <v>128081.5</v>
      </c>
      <c r="G855" s="598">
        <f>SUM(G856:G869)</f>
        <v>128082</v>
      </c>
      <c r="H855" s="620">
        <f>SUM(H856:H869)</f>
        <v>0</v>
      </c>
      <c r="I855" s="557"/>
      <c r="J855" s="2025"/>
      <c r="K855" s="2068"/>
      <c r="L855" s="2068"/>
      <c r="M855" s="2068"/>
      <c r="N855" s="2068"/>
      <c r="O855" s="2068"/>
      <c r="P855" s="2068"/>
      <c r="Q855" s="2068"/>
      <c r="R855" s="539"/>
      <c r="S855" s="2026"/>
      <c r="T855" s="2026"/>
      <c r="U855" s="2026"/>
      <c r="V855" s="2026"/>
      <c r="W855" s="2026"/>
      <c r="X855" s="2028"/>
      <c r="Y855" s="586"/>
      <c r="Z855" s="622"/>
      <c r="AA855" s="547"/>
      <c r="AB855" s="1891"/>
      <c r="AC855" s="1892"/>
      <c r="AD855" s="1893"/>
    </row>
    <row r="856" spans="1:30" s="1888" customFormat="1" ht="22.5" customHeight="1">
      <c r="A856" s="591"/>
      <c r="B856" s="624"/>
      <c r="C856" s="624"/>
      <c r="D856" s="2020"/>
      <c r="E856" s="2023" t="s">
        <v>562</v>
      </c>
      <c r="F856" s="526">
        <f>Y856</f>
        <v>1000</v>
      </c>
      <c r="G856" s="526">
        <v>1000</v>
      </c>
      <c r="H856" s="626"/>
      <c r="I856" s="557"/>
      <c r="J856" s="681" t="s">
        <v>2409</v>
      </c>
      <c r="K856" s="3515"/>
      <c r="L856" s="3515"/>
      <c r="M856" s="3515"/>
      <c r="N856" s="3515"/>
      <c r="O856" s="3515"/>
      <c r="P856" s="3515"/>
      <c r="Q856" s="869"/>
      <c r="R856" s="2127"/>
      <c r="S856" s="3164">
        <v>1000000</v>
      </c>
      <c r="T856" s="684" t="s">
        <v>37</v>
      </c>
      <c r="U856" s="684"/>
      <c r="V856" s="684">
        <v>1</v>
      </c>
      <c r="W856" s="684" t="s">
        <v>226</v>
      </c>
      <c r="X856" s="684" t="s">
        <v>38</v>
      </c>
      <c r="Y856" s="871">
        <f>Z856/1000</f>
        <v>1000</v>
      </c>
      <c r="Z856" s="732">
        <f t="shared" ref="Z856" si="303">S856*V856</f>
        <v>1000000</v>
      </c>
      <c r="AA856" s="547"/>
      <c r="AB856" s="1891"/>
      <c r="AC856" s="1895"/>
      <c r="AD856" s="542"/>
    </row>
    <row r="857" spans="1:30" s="1888" customFormat="1" ht="22.5" customHeight="1">
      <c r="A857" s="591"/>
      <c r="B857" s="548"/>
      <c r="C857" s="624"/>
      <c r="D857" s="2020"/>
      <c r="E857" s="2023" t="s">
        <v>753</v>
      </c>
      <c r="F857" s="549">
        <f>Y857</f>
        <v>699.5</v>
      </c>
      <c r="G857" s="549">
        <v>700</v>
      </c>
      <c r="H857" s="551"/>
      <c r="I857" s="557"/>
      <c r="J857" s="681" t="s">
        <v>911</v>
      </c>
      <c r="K857" s="3515"/>
      <c r="L857" s="3515"/>
      <c r="M857" s="3515"/>
      <c r="N857" s="3515"/>
      <c r="O857" s="3515"/>
      <c r="P857" s="3515"/>
      <c r="Q857" s="684">
        <v>1</v>
      </c>
      <c r="R857" s="684" t="s">
        <v>227</v>
      </c>
      <c r="S857" s="684">
        <v>69950</v>
      </c>
      <c r="T857" s="684" t="s">
        <v>37</v>
      </c>
      <c r="U857" s="684"/>
      <c r="V857" s="684">
        <v>10</v>
      </c>
      <c r="W857" s="684" t="s">
        <v>39</v>
      </c>
      <c r="X857" s="686" t="s">
        <v>38</v>
      </c>
      <c r="Y857" s="871">
        <f>Z857/1000</f>
        <v>699.5</v>
      </c>
      <c r="Z857" s="732">
        <f>Q857*S857*V857</f>
        <v>699500</v>
      </c>
      <c r="AA857" s="547"/>
      <c r="AB857" s="1891"/>
      <c r="AC857" s="1895"/>
      <c r="AD857" s="542"/>
    </row>
    <row r="858" spans="1:30" s="1888" customFormat="1" ht="22.5" customHeight="1">
      <c r="A858" s="591"/>
      <c r="B858" s="548"/>
      <c r="C858" s="624"/>
      <c r="D858" s="2020"/>
      <c r="E858" s="2023" t="s">
        <v>530</v>
      </c>
      <c r="F858" s="549">
        <f>Y858</f>
        <v>7600</v>
      </c>
      <c r="G858" s="549">
        <v>7600</v>
      </c>
      <c r="H858" s="2037"/>
      <c r="I858" s="557"/>
      <c r="J858" s="681" t="s">
        <v>224</v>
      </c>
      <c r="K858" s="3515"/>
      <c r="L858" s="3515"/>
      <c r="M858" s="3515"/>
      <c r="N858" s="3515"/>
      <c r="O858" s="3515"/>
      <c r="P858" s="3515"/>
      <c r="Q858" s="3515"/>
      <c r="R858" s="2127"/>
      <c r="S858" s="3164"/>
      <c r="T858" s="684"/>
      <c r="U858" s="684"/>
      <c r="V858" s="684"/>
      <c r="W858" s="684"/>
      <c r="X858" s="684" t="s">
        <v>378</v>
      </c>
      <c r="Y858" s="871">
        <f t="shared" ref="Y858" si="304">+Z858/1000</f>
        <v>7600</v>
      </c>
      <c r="Z858" s="732">
        <f>SUM(Z859:Z861)</f>
        <v>7600000</v>
      </c>
      <c r="AA858" s="547"/>
      <c r="AB858" s="1891"/>
      <c r="AC858" s="1895"/>
      <c r="AD858" s="542"/>
    </row>
    <row r="859" spans="1:30" s="1888" customFormat="1" ht="22.5" customHeight="1">
      <c r="A859" s="591"/>
      <c r="B859" s="548"/>
      <c r="C859" s="624"/>
      <c r="D859" s="2020"/>
      <c r="E859" s="2023"/>
      <c r="F859" s="549"/>
      <c r="G859" s="549"/>
      <c r="H859" s="551"/>
      <c r="I859" s="557"/>
      <c r="J859" s="681" t="s">
        <v>1485</v>
      </c>
      <c r="K859" s="3515"/>
      <c r="L859" s="3515"/>
      <c r="M859" s="3515"/>
      <c r="N859" s="3515"/>
      <c r="O859" s="3515"/>
      <c r="P859" s="3515"/>
      <c r="Q859" s="684"/>
      <c r="R859" s="684"/>
      <c r="S859" s="684">
        <v>1400000</v>
      </c>
      <c r="T859" s="684" t="s">
        <v>37</v>
      </c>
      <c r="U859" s="684"/>
      <c r="V859" s="1382">
        <v>5</v>
      </c>
      <c r="W859" s="684" t="s">
        <v>758</v>
      </c>
      <c r="X859" s="684" t="s">
        <v>38</v>
      </c>
      <c r="Y859" s="871">
        <f>Z859/1000</f>
        <v>7000</v>
      </c>
      <c r="Z859" s="732">
        <f t="shared" ref="Z859:Z861" si="305">S859*V859</f>
        <v>7000000</v>
      </c>
      <c r="AA859" s="547"/>
      <c r="AB859" s="1891"/>
      <c r="AC859" s="1895"/>
      <c r="AD859" s="542"/>
    </row>
    <row r="860" spans="1:30" s="1888" customFormat="1" ht="22.5" customHeight="1">
      <c r="A860" s="591"/>
      <c r="B860" s="548"/>
      <c r="C860" s="624"/>
      <c r="D860" s="2020"/>
      <c r="E860" s="2023"/>
      <c r="F860" s="549"/>
      <c r="G860" s="549"/>
      <c r="H860" s="551"/>
      <c r="I860" s="557"/>
      <c r="J860" s="681" t="s">
        <v>2410</v>
      </c>
      <c r="K860" s="3515"/>
      <c r="L860" s="3515"/>
      <c r="M860" s="3515"/>
      <c r="N860" s="3515"/>
      <c r="O860" s="3515"/>
      <c r="P860" s="3515"/>
      <c r="Q860" s="684"/>
      <c r="R860" s="684"/>
      <c r="S860" s="684">
        <v>100000</v>
      </c>
      <c r="T860" s="684" t="s">
        <v>37</v>
      </c>
      <c r="U860" s="684"/>
      <c r="V860" s="684">
        <v>2</v>
      </c>
      <c r="W860" s="684" t="s">
        <v>651</v>
      </c>
      <c r="X860" s="684" t="s">
        <v>38</v>
      </c>
      <c r="Y860" s="871">
        <f>Z860/1000</f>
        <v>200</v>
      </c>
      <c r="Z860" s="732">
        <f t="shared" si="305"/>
        <v>200000</v>
      </c>
      <c r="AA860" s="547"/>
      <c r="AB860" s="1891"/>
      <c r="AC860" s="1895"/>
      <c r="AD860" s="542"/>
    </row>
    <row r="861" spans="1:30" s="1888" customFormat="1" ht="22.5" customHeight="1">
      <c r="A861" s="591"/>
      <c r="B861" s="548"/>
      <c r="C861" s="624"/>
      <c r="D861" s="2020"/>
      <c r="E861" s="2023"/>
      <c r="F861" s="549"/>
      <c r="G861" s="549"/>
      <c r="H861" s="551"/>
      <c r="I861" s="557"/>
      <c r="J861" s="681" t="s">
        <v>2411</v>
      </c>
      <c r="K861" s="3515"/>
      <c r="L861" s="3515"/>
      <c r="M861" s="3515"/>
      <c r="N861" s="3515"/>
      <c r="O861" s="3515"/>
      <c r="P861" s="3515"/>
      <c r="Q861" s="684"/>
      <c r="R861" s="684"/>
      <c r="S861" s="684">
        <v>400000</v>
      </c>
      <c r="T861" s="684" t="s">
        <v>37</v>
      </c>
      <c r="U861" s="684"/>
      <c r="V861" s="684">
        <v>1</v>
      </c>
      <c r="W861" s="684" t="s">
        <v>579</v>
      </c>
      <c r="X861" s="684" t="s">
        <v>38</v>
      </c>
      <c r="Y861" s="871">
        <f t="shared" ref="Y861" si="306">Z861/1000</f>
        <v>400</v>
      </c>
      <c r="Z861" s="732">
        <f t="shared" si="305"/>
        <v>400000</v>
      </c>
      <c r="AA861" s="547"/>
      <c r="AB861" s="1891"/>
      <c r="AC861" s="1895"/>
      <c r="AD861" s="542"/>
    </row>
    <row r="862" spans="1:30" s="1894" customFormat="1" ht="22.5" customHeight="1">
      <c r="A862" s="2079"/>
      <c r="B862" s="2035"/>
      <c r="C862" s="2013"/>
      <c r="D862" s="2020"/>
      <c r="E862" s="2023" t="s">
        <v>662</v>
      </c>
      <c r="F862" s="2031">
        <f>+Y862</f>
        <v>118500</v>
      </c>
      <c r="G862" s="2029">
        <v>118500</v>
      </c>
      <c r="H862" s="2037"/>
      <c r="I862" s="557"/>
      <c r="J862" s="681" t="s">
        <v>8</v>
      </c>
      <c r="K862" s="3515"/>
      <c r="L862" s="3515"/>
      <c r="M862" s="3515"/>
      <c r="N862" s="3515"/>
      <c r="O862" s="3515"/>
      <c r="P862" s="683"/>
      <c r="Q862" s="684"/>
      <c r="R862" s="3524"/>
      <c r="S862" s="684"/>
      <c r="T862" s="684"/>
      <c r="U862" s="683"/>
      <c r="V862" s="684"/>
      <c r="W862" s="684"/>
      <c r="X862" s="686"/>
      <c r="Y862" s="871">
        <f>Z862/1000</f>
        <v>118500</v>
      </c>
      <c r="Z862" s="688">
        <f>SUM(Z863:Z868)</f>
        <v>118500000</v>
      </c>
      <c r="AA862" s="547"/>
      <c r="AB862" s="1891"/>
      <c r="AC862" s="1892"/>
      <c r="AD862" s="1893"/>
    </row>
    <row r="863" spans="1:30" s="1894" customFormat="1" ht="22.5" customHeight="1">
      <c r="A863" s="2079"/>
      <c r="B863" s="2035"/>
      <c r="C863" s="2013"/>
      <c r="D863" s="2020"/>
      <c r="E863" s="2023"/>
      <c r="F863" s="2031"/>
      <c r="G863" s="2029"/>
      <c r="H863" s="2037"/>
      <c r="I863" s="557"/>
      <c r="J863" s="681" t="s">
        <v>2412</v>
      </c>
      <c r="K863" s="3515"/>
      <c r="L863" s="3515"/>
      <c r="M863" s="3515"/>
      <c r="N863" s="3525"/>
      <c r="O863" s="3525"/>
      <c r="P863" s="3525"/>
      <c r="Q863" s="684"/>
      <c r="R863" s="3524"/>
      <c r="S863" s="684">
        <v>90000000</v>
      </c>
      <c r="T863" s="684" t="s">
        <v>0</v>
      </c>
      <c r="U863" s="684"/>
      <c r="V863" s="684">
        <v>1</v>
      </c>
      <c r="W863" s="684" t="s">
        <v>259</v>
      </c>
      <c r="X863" s="2600" t="s">
        <v>1</v>
      </c>
      <c r="Y863" s="871">
        <f>+S863*V863/1000</f>
        <v>90000</v>
      </c>
      <c r="Z863" s="732">
        <f t="shared" ref="Z863:Z869" si="307">S863*V863</f>
        <v>90000000</v>
      </c>
      <c r="AA863" s="547"/>
      <c r="AB863" s="1891"/>
      <c r="AC863" s="1892"/>
      <c r="AD863" s="1893"/>
    </row>
    <row r="864" spans="1:30" s="1894" customFormat="1" ht="22.5" customHeight="1">
      <c r="A864" s="2079"/>
      <c r="B864" s="2035"/>
      <c r="C864" s="2035"/>
      <c r="D864" s="2020"/>
      <c r="E864" s="2023"/>
      <c r="F864" s="2031"/>
      <c r="G864" s="2029"/>
      <c r="H864" s="2037"/>
      <c r="I864" s="557"/>
      <c r="J864" s="681" t="s">
        <v>2413</v>
      </c>
      <c r="K864" s="3515"/>
      <c r="L864" s="3515"/>
      <c r="M864" s="3515"/>
      <c r="N864" s="3525"/>
      <c r="O864" s="3525"/>
      <c r="P864" s="3525"/>
      <c r="Q864" s="684"/>
      <c r="R864" s="3524"/>
      <c r="S864" s="684">
        <v>1500000</v>
      </c>
      <c r="T864" s="684" t="s">
        <v>0</v>
      </c>
      <c r="U864" s="684"/>
      <c r="V864" s="684">
        <v>1</v>
      </c>
      <c r="W864" s="684" t="s">
        <v>226</v>
      </c>
      <c r="X864" s="2600" t="s">
        <v>1</v>
      </c>
      <c r="Y864" s="871">
        <f>+S864*V864/1000</f>
        <v>1500</v>
      </c>
      <c r="Z864" s="732">
        <f t="shared" si="307"/>
        <v>1500000</v>
      </c>
      <c r="AA864" s="547"/>
      <c r="AB864" s="1891"/>
      <c r="AC864" s="1892"/>
      <c r="AD864" s="1893"/>
    </row>
    <row r="865" spans="1:30" s="1894" customFormat="1" ht="22.5" customHeight="1">
      <c r="A865" s="2079"/>
      <c r="B865" s="2035"/>
      <c r="C865" s="2013"/>
      <c r="D865" s="2020"/>
      <c r="E865" s="2023"/>
      <c r="F865" s="2031"/>
      <c r="G865" s="2029"/>
      <c r="H865" s="2037"/>
      <c r="I865" s="557"/>
      <c r="J865" s="681" t="s">
        <v>2414</v>
      </c>
      <c r="K865" s="3515"/>
      <c r="L865" s="3515"/>
      <c r="M865" s="3515"/>
      <c r="N865" s="3525"/>
      <c r="O865" s="3525"/>
      <c r="P865" s="3525"/>
      <c r="Q865" s="684"/>
      <c r="R865" s="3524"/>
      <c r="S865" s="684">
        <v>17000000</v>
      </c>
      <c r="T865" s="684" t="s">
        <v>0</v>
      </c>
      <c r="U865" s="684"/>
      <c r="V865" s="684">
        <v>1</v>
      </c>
      <c r="W865" s="684" t="s">
        <v>226</v>
      </c>
      <c r="X865" s="2600" t="s">
        <v>1</v>
      </c>
      <c r="Y865" s="871">
        <f>+S865*V865/1000</f>
        <v>17000</v>
      </c>
      <c r="Z865" s="732">
        <f t="shared" si="307"/>
        <v>17000000</v>
      </c>
      <c r="AA865" s="547"/>
      <c r="AB865" s="1891"/>
      <c r="AC865" s="1892"/>
      <c r="AD865" s="1893"/>
    </row>
    <row r="866" spans="1:30" s="1894" customFormat="1" ht="22.5" customHeight="1">
      <c r="A866" s="2079"/>
      <c r="B866" s="2035"/>
      <c r="C866" s="2035"/>
      <c r="D866" s="2038"/>
      <c r="E866" s="2023"/>
      <c r="F866" s="2031"/>
      <c r="G866" s="2029"/>
      <c r="H866" s="2037"/>
      <c r="I866" s="557"/>
      <c r="J866" s="681" t="s">
        <v>2415</v>
      </c>
      <c r="K866" s="3515"/>
      <c r="L866" s="3515"/>
      <c r="M866" s="3515"/>
      <c r="N866" s="3525"/>
      <c r="O866" s="3525"/>
      <c r="P866" s="3525"/>
      <c r="Q866" s="684"/>
      <c r="R866" s="3524"/>
      <c r="S866" s="684">
        <v>2000000</v>
      </c>
      <c r="T866" s="684" t="s">
        <v>0</v>
      </c>
      <c r="U866" s="684"/>
      <c r="V866" s="684">
        <v>1</v>
      </c>
      <c r="W866" s="684" t="s">
        <v>226</v>
      </c>
      <c r="X866" s="2600" t="s">
        <v>1</v>
      </c>
      <c r="Y866" s="871">
        <f>+S866*V866/1000</f>
        <v>2000</v>
      </c>
      <c r="Z866" s="732">
        <f t="shared" si="307"/>
        <v>2000000</v>
      </c>
      <c r="AA866" s="547"/>
      <c r="AB866" s="1891"/>
      <c r="AC866" s="1892"/>
      <c r="AD866" s="1893"/>
    </row>
    <row r="867" spans="1:30" s="1894" customFormat="1" ht="22.5" customHeight="1">
      <c r="A867" s="2079"/>
      <c r="B867" s="2035"/>
      <c r="C867" s="2035"/>
      <c r="D867" s="2038"/>
      <c r="E867" s="2023"/>
      <c r="F867" s="2031"/>
      <c r="G867" s="2029"/>
      <c r="H867" s="2037"/>
      <c r="I867" s="557"/>
      <c r="J867" s="681" t="s">
        <v>2416</v>
      </c>
      <c r="K867" s="3515"/>
      <c r="L867" s="3515"/>
      <c r="M867" s="3515"/>
      <c r="N867" s="3525"/>
      <c r="O867" s="3525"/>
      <c r="P867" s="3525"/>
      <c r="Q867" s="684"/>
      <c r="R867" s="3524"/>
      <c r="S867" s="684">
        <v>2000000</v>
      </c>
      <c r="T867" s="684" t="s">
        <v>0</v>
      </c>
      <c r="U867" s="684"/>
      <c r="V867" s="684">
        <v>1</v>
      </c>
      <c r="W867" s="684" t="s">
        <v>226</v>
      </c>
      <c r="X867" s="2600" t="s">
        <v>1</v>
      </c>
      <c r="Y867" s="871">
        <f t="shared" ref="Y867:Y868" si="308">+S867*V867/1000</f>
        <v>2000</v>
      </c>
      <c r="Z867" s="732">
        <f t="shared" si="307"/>
        <v>2000000</v>
      </c>
      <c r="AA867" s="547"/>
      <c r="AB867" s="1891"/>
      <c r="AC867" s="1892"/>
      <c r="AD867" s="1893"/>
    </row>
    <row r="868" spans="1:30" s="1894" customFormat="1" ht="22.5" customHeight="1">
      <c r="A868" s="2079"/>
      <c r="B868" s="2035"/>
      <c r="C868" s="2035"/>
      <c r="D868" s="2038"/>
      <c r="E868" s="2023"/>
      <c r="F868" s="2031"/>
      <c r="G868" s="2029"/>
      <c r="H868" s="2037"/>
      <c r="I868" s="557"/>
      <c r="J868" s="681" t="s">
        <v>2417</v>
      </c>
      <c r="K868" s="3515"/>
      <c r="L868" s="3515"/>
      <c r="M868" s="3515"/>
      <c r="N868" s="3525"/>
      <c r="O868" s="3525"/>
      <c r="P868" s="3525"/>
      <c r="Q868" s="684"/>
      <c r="R868" s="3524"/>
      <c r="S868" s="684">
        <v>6000000</v>
      </c>
      <c r="T868" s="684" t="s">
        <v>0</v>
      </c>
      <c r="U868" s="684"/>
      <c r="V868" s="684">
        <v>1</v>
      </c>
      <c r="W868" s="684" t="s">
        <v>226</v>
      </c>
      <c r="X868" s="2600" t="s">
        <v>1</v>
      </c>
      <c r="Y868" s="871">
        <f t="shared" si="308"/>
        <v>6000</v>
      </c>
      <c r="Z868" s="732">
        <f t="shared" si="307"/>
        <v>6000000</v>
      </c>
      <c r="AA868" s="547"/>
      <c r="AB868" s="1891"/>
      <c r="AC868" s="1892"/>
      <c r="AD868" s="1893"/>
    </row>
    <row r="869" spans="1:30" s="1888" customFormat="1" ht="22.5" customHeight="1">
      <c r="A869" s="591"/>
      <c r="B869" s="624"/>
      <c r="C869" s="624"/>
      <c r="D869" s="2020"/>
      <c r="E869" s="2023" t="s">
        <v>573</v>
      </c>
      <c r="F869" s="526">
        <f>Y869</f>
        <v>282</v>
      </c>
      <c r="G869" s="526">
        <v>282</v>
      </c>
      <c r="H869" s="2037"/>
      <c r="I869" s="557"/>
      <c r="J869" s="681" t="s">
        <v>1486</v>
      </c>
      <c r="K869" s="3163"/>
      <c r="L869" s="3163"/>
      <c r="M869" s="3163"/>
      <c r="N869" s="3163"/>
      <c r="O869" s="3163"/>
      <c r="P869" s="3163"/>
      <c r="Q869" s="684"/>
      <c r="R869" s="684"/>
      <c r="S869" s="684">
        <v>282000</v>
      </c>
      <c r="T869" s="684" t="s">
        <v>37</v>
      </c>
      <c r="U869" s="684"/>
      <c r="V869" s="684">
        <v>1</v>
      </c>
      <c r="W869" s="684" t="s">
        <v>39</v>
      </c>
      <c r="X869" s="684" t="s">
        <v>38</v>
      </c>
      <c r="Y869" s="871">
        <f>Z869/1000</f>
        <v>282</v>
      </c>
      <c r="Z869" s="732">
        <f t="shared" si="307"/>
        <v>282000</v>
      </c>
      <c r="AA869" s="547"/>
      <c r="AB869" s="1891"/>
      <c r="AC869" s="1895"/>
      <c r="AD869" s="542"/>
    </row>
    <row r="870" spans="1:30" s="1894" customFormat="1" ht="22.5" customHeight="1">
      <c r="A870" s="562"/>
      <c r="B870" s="1897"/>
      <c r="C870" s="588"/>
      <c r="D870" s="3825" t="s">
        <v>2021</v>
      </c>
      <c r="E870" s="3826"/>
      <c r="F870" s="3158">
        <f>SUM(F871:F885)</f>
        <v>98800.19</v>
      </c>
      <c r="G870" s="3158">
        <f>SUM(G871:G885)</f>
        <v>98800</v>
      </c>
      <c r="H870" s="620">
        <f>SUM(H871:H885)</f>
        <v>0</v>
      </c>
      <c r="I870" s="557"/>
      <c r="J870" s="2025"/>
      <c r="K870" s="2068"/>
      <c r="L870" s="3214"/>
      <c r="M870" s="2068"/>
      <c r="N870" s="2068"/>
      <c r="O870" s="2068"/>
      <c r="P870" s="2068"/>
      <c r="Q870" s="2068"/>
      <c r="R870" s="539"/>
      <c r="S870" s="2026"/>
      <c r="T870" s="2026"/>
      <c r="U870" s="2026"/>
      <c r="V870" s="2026"/>
      <c r="W870" s="2026"/>
      <c r="X870" s="2028"/>
      <c r="Y870" s="586"/>
      <c r="Z870" s="622"/>
      <c r="AA870" s="2068"/>
      <c r="AB870" s="1891"/>
      <c r="AC870" s="1892"/>
      <c r="AD870" s="1893"/>
    </row>
    <row r="871" spans="1:30" s="1888" customFormat="1" ht="22.5" customHeight="1">
      <c r="A871" s="591"/>
      <c r="B871" s="624"/>
      <c r="C871" s="624"/>
      <c r="D871" s="2020"/>
      <c r="E871" s="677" t="s">
        <v>4382</v>
      </c>
      <c r="F871" s="2125">
        <f>Y871</f>
        <v>679.35</v>
      </c>
      <c r="G871" s="2125">
        <v>679</v>
      </c>
      <c r="H871" s="2037"/>
      <c r="I871" s="2359"/>
      <c r="J871" s="681" t="s">
        <v>784</v>
      </c>
      <c r="K871" s="3256"/>
      <c r="L871" s="3256"/>
      <c r="M871" s="3256"/>
      <c r="N871" s="3256"/>
      <c r="O871" s="3256"/>
      <c r="P871" s="3256"/>
      <c r="Q871" s="869"/>
      <c r="R871" s="2127"/>
      <c r="S871" s="3164">
        <v>679350</v>
      </c>
      <c r="T871" s="684" t="s">
        <v>37</v>
      </c>
      <c r="U871" s="684"/>
      <c r="V871" s="684">
        <v>1</v>
      </c>
      <c r="W871" s="684" t="s">
        <v>226</v>
      </c>
      <c r="X871" s="684" t="s">
        <v>38</v>
      </c>
      <c r="Y871" s="871">
        <f>Z871/1000</f>
        <v>679.35</v>
      </c>
      <c r="Z871" s="732">
        <f t="shared" ref="Z871" si="309">S871*V871</f>
        <v>679350</v>
      </c>
      <c r="AA871" s="547"/>
      <c r="AB871" s="1891"/>
      <c r="AC871" s="1895"/>
      <c r="AD871" s="542"/>
    </row>
    <row r="872" spans="1:30" s="1888" customFormat="1" ht="22.5" customHeight="1">
      <c r="A872" s="591"/>
      <c r="B872" s="548"/>
      <c r="C872" s="624"/>
      <c r="D872" s="2020"/>
      <c r="E872" s="677" t="s">
        <v>4383</v>
      </c>
      <c r="F872" s="1445">
        <f>+Y872</f>
        <v>1721</v>
      </c>
      <c r="G872" s="1445">
        <v>1721</v>
      </c>
      <c r="H872" s="2037"/>
      <c r="I872" s="2359"/>
      <c r="J872" s="681" t="s">
        <v>224</v>
      </c>
      <c r="K872" s="3256"/>
      <c r="L872" s="3256"/>
      <c r="M872" s="3256"/>
      <c r="N872" s="3256"/>
      <c r="O872" s="3256"/>
      <c r="P872" s="3256"/>
      <c r="Q872" s="3256"/>
      <c r="R872" s="2127"/>
      <c r="S872" s="3164"/>
      <c r="T872" s="684"/>
      <c r="U872" s="684"/>
      <c r="V872" s="684"/>
      <c r="W872" s="684"/>
      <c r="X872" s="684" t="s">
        <v>378</v>
      </c>
      <c r="Y872" s="871">
        <f t="shared" ref="Y872" si="310">+Z872/1000</f>
        <v>1721</v>
      </c>
      <c r="Z872" s="732">
        <f>SUM(Z873:Z875)</f>
        <v>1721000</v>
      </c>
      <c r="AA872" s="547"/>
      <c r="AB872" s="1891"/>
      <c r="AC872" s="1895"/>
      <c r="AD872" s="542"/>
    </row>
    <row r="873" spans="1:30" s="1888" customFormat="1" ht="22.5" customHeight="1">
      <c r="A873" s="591"/>
      <c r="B873" s="548"/>
      <c r="C873" s="624"/>
      <c r="D873" s="2020"/>
      <c r="E873" s="677"/>
      <c r="F873" s="1445"/>
      <c r="G873" s="1445"/>
      <c r="H873" s="949"/>
      <c r="I873" s="2359"/>
      <c r="J873" s="681" t="s">
        <v>2418</v>
      </c>
      <c r="K873" s="3256"/>
      <c r="L873" s="3256"/>
      <c r="M873" s="3256"/>
      <c r="N873" s="3256"/>
      <c r="O873" s="3256"/>
      <c r="P873" s="3256"/>
      <c r="Q873" s="684"/>
      <c r="R873" s="684"/>
      <c r="S873" s="684">
        <v>0</v>
      </c>
      <c r="T873" s="684" t="s">
        <v>37</v>
      </c>
      <c r="U873" s="684"/>
      <c r="V873" s="684">
        <v>0</v>
      </c>
      <c r="W873" s="684" t="s">
        <v>651</v>
      </c>
      <c r="X873" s="684" t="s">
        <v>38</v>
      </c>
      <c r="Y873" s="871">
        <f>Z873/1000</f>
        <v>0</v>
      </c>
      <c r="Z873" s="732">
        <f>S873*V873</f>
        <v>0</v>
      </c>
      <c r="AA873" s="547"/>
      <c r="AB873" s="1891"/>
      <c r="AC873" s="1895"/>
      <c r="AD873" s="542"/>
    </row>
    <row r="874" spans="1:30" s="1888" customFormat="1" ht="22.5" customHeight="1">
      <c r="A874" s="591"/>
      <c r="B874" s="548"/>
      <c r="C874" s="624"/>
      <c r="D874" s="2020"/>
      <c r="E874" s="677"/>
      <c r="F874" s="1445"/>
      <c r="G874" s="1445"/>
      <c r="H874" s="949"/>
      <c r="I874" s="2359"/>
      <c r="J874" s="681" t="s">
        <v>4388</v>
      </c>
      <c r="K874" s="3256"/>
      <c r="L874" s="3256"/>
      <c r="M874" s="3256"/>
      <c r="N874" s="3256"/>
      <c r="O874" s="3256"/>
      <c r="P874" s="3256"/>
      <c r="Q874" s="684">
        <v>5</v>
      </c>
      <c r="R874" s="684" t="s">
        <v>227</v>
      </c>
      <c r="S874" s="684">
        <v>34420</v>
      </c>
      <c r="T874" s="684" t="s">
        <v>37</v>
      </c>
      <c r="U874" s="684"/>
      <c r="V874" s="684">
        <v>10</v>
      </c>
      <c r="W874" s="684" t="s">
        <v>653</v>
      </c>
      <c r="X874" s="684" t="s">
        <v>38</v>
      </c>
      <c r="Y874" s="871">
        <f>Z874/1000</f>
        <v>1721</v>
      </c>
      <c r="Z874" s="732">
        <f>Q874*S874*V874</f>
        <v>1721000</v>
      </c>
      <c r="AA874" s="547"/>
      <c r="AB874" s="1891"/>
      <c r="AC874" s="1895"/>
      <c r="AD874" s="542"/>
    </row>
    <row r="875" spans="1:30" s="1888" customFormat="1" ht="22.5" customHeight="1">
      <c r="A875" s="591"/>
      <c r="B875" s="548"/>
      <c r="C875" s="624"/>
      <c r="D875" s="2020"/>
      <c r="E875" s="677"/>
      <c r="F875" s="1445"/>
      <c r="G875" s="1445"/>
      <c r="H875" s="949"/>
      <c r="I875" s="2359"/>
      <c r="J875" s="681" t="s">
        <v>2419</v>
      </c>
      <c r="K875" s="3256"/>
      <c r="L875" s="3256"/>
      <c r="M875" s="3256"/>
      <c r="N875" s="3256"/>
      <c r="O875" s="3256"/>
      <c r="P875" s="3256"/>
      <c r="Q875" s="684">
        <v>0</v>
      </c>
      <c r="R875" s="684" t="s">
        <v>227</v>
      </c>
      <c r="S875" s="684">
        <v>25000</v>
      </c>
      <c r="T875" s="684" t="s">
        <v>37</v>
      </c>
      <c r="U875" s="684"/>
      <c r="V875" s="684">
        <v>20</v>
      </c>
      <c r="W875" s="684" t="s">
        <v>233</v>
      </c>
      <c r="X875" s="684" t="s">
        <v>38</v>
      </c>
      <c r="Y875" s="871">
        <f t="shared" ref="Y875" si="311">Z875/1000</f>
        <v>0</v>
      </c>
      <c r="Z875" s="732">
        <f>Q875*V875*S875</f>
        <v>0</v>
      </c>
      <c r="AA875" s="547"/>
      <c r="AB875" s="1891"/>
      <c r="AC875" s="1895"/>
      <c r="AD875" s="542"/>
    </row>
    <row r="876" spans="1:30" s="1888" customFormat="1" ht="22.5" customHeight="1">
      <c r="A876" s="591"/>
      <c r="B876" s="548"/>
      <c r="C876" s="624"/>
      <c r="D876" s="2020"/>
      <c r="E876" s="677" t="s">
        <v>4384</v>
      </c>
      <c r="F876" s="1445">
        <f>Y876</f>
        <v>5800</v>
      </c>
      <c r="G876" s="1445">
        <v>5800</v>
      </c>
      <c r="H876" s="2037"/>
      <c r="I876" s="2359"/>
      <c r="J876" s="681" t="s">
        <v>2386</v>
      </c>
      <c r="K876" s="3256"/>
      <c r="L876" s="3256"/>
      <c r="M876" s="3256"/>
      <c r="N876" s="3256"/>
      <c r="O876" s="3256"/>
      <c r="P876" s="3256"/>
      <c r="Q876" s="684"/>
      <c r="R876" s="684"/>
      <c r="S876" s="684">
        <v>100000000</v>
      </c>
      <c r="T876" s="684" t="s">
        <v>37</v>
      </c>
      <c r="U876" s="684"/>
      <c r="V876" s="1382">
        <v>5.8</v>
      </c>
      <c r="W876" s="684" t="s">
        <v>758</v>
      </c>
      <c r="X876" s="684" t="s">
        <v>38</v>
      </c>
      <c r="Y876" s="871">
        <f>Z876/1000</f>
        <v>5800</v>
      </c>
      <c r="Z876" s="732">
        <f>S876*V876/100</f>
        <v>5800000</v>
      </c>
      <c r="AA876" s="547"/>
      <c r="AB876" s="1891"/>
      <c r="AC876" s="1895"/>
      <c r="AD876" s="542"/>
    </row>
    <row r="877" spans="1:30" s="1894" customFormat="1" ht="22.5" customHeight="1">
      <c r="A877" s="2079"/>
      <c r="B877" s="2035"/>
      <c r="C877" s="2013"/>
      <c r="D877" s="2020"/>
      <c r="E877" s="677" t="s">
        <v>4386</v>
      </c>
      <c r="F877" s="678">
        <f>+Y877</f>
        <v>69171</v>
      </c>
      <c r="G877" s="679">
        <v>69171</v>
      </c>
      <c r="H877" s="2037"/>
      <c r="I877" s="2359"/>
      <c r="J877" s="681" t="s">
        <v>8</v>
      </c>
      <c r="K877" s="3256"/>
      <c r="L877" s="3256"/>
      <c r="M877" s="3256"/>
      <c r="N877" s="3256"/>
      <c r="O877" s="3256"/>
      <c r="P877" s="683"/>
      <c r="Q877" s="684"/>
      <c r="R877" s="3250"/>
      <c r="S877" s="684"/>
      <c r="T877" s="684"/>
      <c r="U877" s="683"/>
      <c r="V877" s="684"/>
      <c r="W877" s="684"/>
      <c r="X877" s="686"/>
      <c r="Y877" s="871">
        <f>Z877/1000</f>
        <v>69171</v>
      </c>
      <c r="Z877" s="688">
        <f>SUM(Z878:Z883)</f>
        <v>69171000</v>
      </c>
      <c r="AA877" s="547"/>
      <c r="AB877" s="1891"/>
      <c r="AC877" s="1892"/>
      <c r="AD877" s="1893"/>
    </row>
    <row r="878" spans="1:30" s="1894" customFormat="1" ht="22.5" customHeight="1">
      <c r="A878" s="2079"/>
      <c r="B878" s="2035"/>
      <c r="C878" s="2013"/>
      <c r="D878" s="2020"/>
      <c r="E878" s="677"/>
      <c r="F878" s="678"/>
      <c r="G878" s="679"/>
      <c r="H878" s="680"/>
      <c r="I878" s="2359"/>
      <c r="J878" s="681" t="s">
        <v>2421</v>
      </c>
      <c r="K878" s="3256"/>
      <c r="L878" s="3256"/>
      <c r="M878" s="3256"/>
      <c r="N878" s="3251"/>
      <c r="O878" s="3251"/>
      <c r="P878" s="3251"/>
      <c r="Q878" s="684"/>
      <c r="R878" s="3250"/>
      <c r="S878" s="684">
        <v>3000000</v>
      </c>
      <c r="T878" s="684" t="s">
        <v>0</v>
      </c>
      <c r="U878" s="684"/>
      <c r="V878" s="684">
        <v>9</v>
      </c>
      <c r="W878" s="684" t="s">
        <v>259</v>
      </c>
      <c r="X878" s="2600" t="s">
        <v>1</v>
      </c>
      <c r="Y878" s="871">
        <f>+S878*V878/1000</f>
        <v>27000</v>
      </c>
      <c r="Z878" s="2313">
        <f>S878*V878</f>
        <v>27000000</v>
      </c>
      <c r="AA878" s="547"/>
      <c r="AB878" s="1891"/>
      <c r="AC878" s="1892"/>
      <c r="AD878" s="1893"/>
    </row>
    <row r="879" spans="1:30" s="1894" customFormat="1" ht="22.5" customHeight="1">
      <c r="A879" s="2079"/>
      <c r="B879" s="2035"/>
      <c r="C879" s="2035"/>
      <c r="D879" s="2020"/>
      <c r="E879" s="677"/>
      <c r="F879" s="678"/>
      <c r="G879" s="679"/>
      <c r="H879" s="680"/>
      <c r="I879" s="2359"/>
      <c r="J879" s="681" t="s">
        <v>2422</v>
      </c>
      <c r="K879" s="3256"/>
      <c r="L879" s="3256"/>
      <c r="M879" s="3256"/>
      <c r="N879" s="3251"/>
      <c r="O879" s="3251"/>
      <c r="P879" s="3251"/>
      <c r="Q879" s="684"/>
      <c r="R879" s="3250"/>
      <c r="S879" s="684">
        <v>10000</v>
      </c>
      <c r="T879" s="684" t="s">
        <v>0</v>
      </c>
      <c r="U879" s="684"/>
      <c r="V879" s="684">
        <v>1200</v>
      </c>
      <c r="W879" s="684" t="s">
        <v>457</v>
      </c>
      <c r="X879" s="2600" t="s">
        <v>1</v>
      </c>
      <c r="Y879" s="871">
        <f>+S879*V879/1000</f>
        <v>12000</v>
      </c>
      <c r="Z879" s="2313">
        <f>S879*V879</f>
        <v>12000000</v>
      </c>
      <c r="AA879" s="547"/>
      <c r="AB879" s="1891"/>
      <c r="AC879" s="1892"/>
      <c r="AD879" s="1893"/>
    </row>
    <row r="880" spans="1:30" s="1894" customFormat="1" ht="22.5" customHeight="1">
      <c r="A880" s="2079"/>
      <c r="B880" s="2035"/>
      <c r="C880" s="2013"/>
      <c r="D880" s="2020"/>
      <c r="E880" s="677"/>
      <c r="F880" s="678"/>
      <c r="G880" s="679"/>
      <c r="H880" s="680"/>
      <c r="I880" s="2359"/>
      <c r="J880" s="681" t="s">
        <v>2423</v>
      </c>
      <c r="K880" s="3256"/>
      <c r="L880" s="3256"/>
      <c r="M880" s="3256"/>
      <c r="N880" s="3251"/>
      <c r="O880" s="3251"/>
      <c r="P880" s="3251"/>
      <c r="Q880" s="684"/>
      <c r="R880" s="3250"/>
      <c r="S880" s="684">
        <v>2000000</v>
      </c>
      <c r="T880" s="684" t="s">
        <v>0</v>
      </c>
      <c r="U880" s="684"/>
      <c r="V880" s="684">
        <v>6</v>
      </c>
      <c r="W880" s="684" t="s">
        <v>2424</v>
      </c>
      <c r="X880" s="2600" t="s">
        <v>1</v>
      </c>
      <c r="Y880" s="871">
        <f>+S880*V880/1000</f>
        <v>12000</v>
      </c>
      <c r="Z880" s="2313">
        <f>S880*V880</f>
        <v>12000000</v>
      </c>
      <c r="AA880" s="547"/>
      <c r="AB880" s="1891"/>
      <c r="AC880" s="1892"/>
      <c r="AD880" s="1893"/>
    </row>
    <row r="881" spans="1:30" s="1894" customFormat="1" ht="22.5" customHeight="1">
      <c r="A881" s="2079"/>
      <c r="B881" s="2035"/>
      <c r="C881" s="2035"/>
      <c r="D881" s="2038"/>
      <c r="E881" s="677"/>
      <c r="F881" s="678"/>
      <c r="G881" s="679"/>
      <c r="H881" s="680"/>
      <c r="I881" s="2359"/>
      <c r="J881" s="681" t="s">
        <v>2425</v>
      </c>
      <c r="K881" s="3256"/>
      <c r="L881" s="3256"/>
      <c r="M881" s="3256"/>
      <c r="N881" s="3251"/>
      <c r="O881" s="3251"/>
      <c r="P881" s="3251"/>
      <c r="Q881" s="684"/>
      <c r="R881" s="3250"/>
      <c r="S881" s="684">
        <v>2000000</v>
      </c>
      <c r="T881" s="684" t="s">
        <v>0</v>
      </c>
      <c r="U881" s="684"/>
      <c r="V881" s="684">
        <v>6</v>
      </c>
      <c r="W881" s="684" t="s">
        <v>2424</v>
      </c>
      <c r="X881" s="2600" t="s">
        <v>1</v>
      </c>
      <c r="Y881" s="871">
        <f>+S881*V881/1000</f>
        <v>12000</v>
      </c>
      <c r="Z881" s="2313">
        <f>S881*V881</f>
        <v>12000000</v>
      </c>
      <c r="AA881" s="547"/>
      <c r="AB881" s="1891"/>
      <c r="AC881" s="1892"/>
      <c r="AD881" s="1893"/>
    </row>
    <row r="882" spans="1:30" s="1894" customFormat="1" ht="22.5" customHeight="1">
      <c r="A882" s="2079"/>
      <c r="B882" s="2035"/>
      <c r="C882" s="2035"/>
      <c r="D882" s="2038"/>
      <c r="E882" s="677"/>
      <c r="F882" s="678"/>
      <c r="G882" s="679"/>
      <c r="H882" s="680"/>
      <c r="I882" s="2359"/>
      <c r="J882" s="681" t="s">
        <v>2426</v>
      </c>
      <c r="K882" s="3256"/>
      <c r="L882" s="3256"/>
      <c r="M882" s="3256"/>
      <c r="N882" s="3251"/>
      <c r="O882" s="3251"/>
      <c r="P882" s="3251"/>
      <c r="Q882" s="684"/>
      <c r="R882" s="3250"/>
      <c r="S882" s="684">
        <v>500000</v>
      </c>
      <c r="T882" s="684" t="s">
        <v>0</v>
      </c>
      <c r="U882" s="684"/>
      <c r="V882" s="684">
        <v>4</v>
      </c>
      <c r="W882" s="684" t="s">
        <v>2424</v>
      </c>
      <c r="X882" s="2600" t="s">
        <v>1</v>
      </c>
      <c r="Y882" s="871">
        <f t="shared" ref="Y882:Y883" si="312">+S882*V882/1000</f>
        <v>2000</v>
      </c>
      <c r="Z882" s="2313">
        <f t="shared" ref="Z882:Z883" si="313">S882*V882</f>
        <v>2000000</v>
      </c>
      <c r="AA882" s="3156">
        <f>AB882/1000</f>
        <v>0</v>
      </c>
      <c r="AB882" s="1891"/>
      <c r="AC882" s="1892"/>
      <c r="AD882" s="1893"/>
    </row>
    <row r="883" spans="1:30" s="1894" customFormat="1" ht="22.5" customHeight="1">
      <c r="A883" s="2079"/>
      <c r="B883" s="2035"/>
      <c r="C883" s="2035"/>
      <c r="D883" s="2038"/>
      <c r="E883" s="677"/>
      <c r="F883" s="678"/>
      <c r="G883" s="679"/>
      <c r="H883" s="680"/>
      <c r="I883" s="2359"/>
      <c r="J883" s="681" t="s">
        <v>2427</v>
      </c>
      <c r="K883" s="3256"/>
      <c r="L883" s="3256"/>
      <c r="M883" s="3256"/>
      <c r="N883" s="3251"/>
      <c r="O883" s="3251"/>
      <c r="P883" s="3251"/>
      <c r="Q883" s="684"/>
      <c r="R883" s="3250"/>
      <c r="S883" s="684">
        <v>4171000</v>
      </c>
      <c r="T883" s="684" t="s">
        <v>0</v>
      </c>
      <c r="U883" s="684"/>
      <c r="V883" s="684">
        <v>1</v>
      </c>
      <c r="W883" s="684" t="s">
        <v>226</v>
      </c>
      <c r="X883" s="2600" t="s">
        <v>1</v>
      </c>
      <c r="Y883" s="871">
        <f t="shared" si="312"/>
        <v>4171</v>
      </c>
      <c r="Z883" s="2313">
        <f t="shared" si="313"/>
        <v>4171000</v>
      </c>
      <c r="AA883" s="547"/>
      <c r="AB883" s="1891"/>
      <c r="AC883" s="1892"/>
      <c r="AD883" s="1893"/>
    </row>
    <row r="884" spans="1:30" s="1888" customFormat="1" ht="22.5" customHeight="1">
      <c r="A884" s="591"/>
      <c r="B884" s="548"/>
      <c r="C884" s="624"/>
      <c r="D884" s="2020"/>
      <c r="E884" s="677" t="s">
        <v>4385</v>
      </c>
      <c r="F884" s="1445">
        <f>Y884</f>
        <v>21200</v>
      </c>
      <c r="G884" s="1445">
        <v>21200</v>
      </c>
      <c r="H884" s="2037"/>
      <c r="I884" s="2359"/>
      <c r="J884" s="681" t="s">
        <v>2420</v>
      </c>
      <c r="K884" s="3256"/>
      <c r="L884" s="3256"/>
      <c r="M884" s="3256"/>
      <c r="N884" s="3256"/>
      <c r="O884" s="3256"/>
      <c r="P884" s="3256"/>
      <c r="Q884" s="684">
        <v>5</v>
      </c>
      <c r="R884" s="684" t="s">
        <v>525</v>
      </c>
      <c r="S884" s="684">
        <v>424000</v>
      </c>
      <c r="T884" s="684" t="s">
        <v>37</v>
      </c>
      <c r="U884" s="684"/>
      <c r="V884" s="684">
        <v>10</v>
      </c>
      <c r="W884" s="684" t="s">
        <v>653</v>
      </c>
      <c r="X884" s="684" t="s">
        <v>38</v>
      </c>
      <c r="Y884" s="871">
        <f t="shared" ref="Y884" si="314">Z884/1000</f>
        <v>21200</v>
      </c>
      <c r="Z884" s="732">
        <f>Q884*V884*S884</f>
        <v>21200000</v>
      </c>
      <c r="AA884" s="547"/>
      <c r="AB884" s="1891"/>
      <c r="AC884" s="1895"/>
      <c r="AD884" s="542"/>
    </row>
    <row r="885" spans="1:30" s="1888" customFormat="1" ht="22.5" customHeight="1">
      <c r="A885" s="591"/>
      <c r="B885" s="624"/>
      <c r="C885" s="624"/>
      <c r="D885" s="2020"/>
      <c r="E885" s="677" t="s">
        <v>4387</v>
      </c>
      <c r="F885" s="2125">
        <f>Y885</f>
        <v>228.84</v>
      </c>
      <c r="G885" s="2125">
        <v>229</v>
      </c>
      <c r="H885" s="2037"/>
      <c r="I885" s="2359"/>
      <c r="J885" s="681" t="s">
        <v>1486</v>
      </c>
      <c r="K885" s="3163"/>
      <c r="L885" s="3163"/>
      <c r="M885" s="3163"/>
      <c r="N885" s="3163"/>
      <c r="O885" s="3163"/>
      <c r="P885" s="3163"/>
      <c r="Q885" s="684">
        <v>5</v>
      </c>
      <c r="R885" s="684" t="s">
        <v>227</v>
      </c>
      <c r="S885" s="684">
        <v>11442</v>
      </c>
      <c r="T885" s="684" t="s">
        <v>37</v>
      </c>
      <c r="U885" s="684"/>
      <c r="V885" s="684">
        <v>4</v>
      </c>
      <c r="W885" s="684" t="s">
        <v>39</v>
      </c>
      <c r="X885" s="684" t="s">
        <v>38</v>
      </c>
      <c r="Y885" s="871">
        <f>Z885/1000</f>
        <v>228.84</v>
      </c>
      <c r="Z885" s="732">
        <f>Q885*S885*V885</f>
        <v>228840</v>
      </c>
      <c r="AA885" s="547"/>
      <c r="AB885" s="1891"/>
      <c r="AC885" s="1895"/>
      <c r="AD885" s="542"/>
    </row>
    <row r="886" spans="1:30" s="1894" customFormat="1" ht="22.5" customHeight="1">
      <c r="A886" s="562"/>
      <c r="B886" s="1897"/>
      <c r="C886" s="588"/>
      <c r="D886" s="3825" t="s">
        <v>2428</v>
      </c>
      <c r="E886" s="3826"/>
      <c r="F886" s="598">
        <f>SUM(F887:F900)</f>
        <v>299999.8</v>
      </c>
      <c r="G886" s="598">
        <f>SUM(G887:G900)</f>
        <v>299999.8</v>
      </c>
      <c r="H886" s="620">
        <f t="shared" ref="H886" si="315">F886-G886</f>
        <v>0</v>
      </c>
      <c r="I886" s="557"/>
      <c r="J886" s="2025"/>
      <c r="K886" s="2068"/>
      <c r="L886" s="2068"/>
      <c r="M886" s="2068"/>
      <c r="N886" s="2068"/>
      <c r="O886" s="2068"/>
      <c r="P886" s="2068"/>
      <c r="Q886" s="2068"/>
      <c r="R886" s="539"/>
      <c r="S886" s="2026"/>
      <c r="T886" s="2026"/>
      <c r="U886" s="2026"/>
      <c r="V886" s="2026"/>
      <c r="W886" s="2026"/>
      <c r="X886" s="2028"/>
      <c r="Y886" s="586"/>
      <c r="Z886" s="622"/>
      <c r="AA886" s="547"/>
      <c r="AB886" s="1891"/>
      <c r="AC886" s="1892"/>
      <c r="AD886" s="1893"/>
    </row>
    <row r="887" spans="1:30" s="1888" customFormat="1" ht="22.5" customHeight="1">
      <c r="A887" s="591"/>
      <c r="B887" s="548"/>
      <c r="C887" s="624"/>
      <c r="D887" s="2020"/>
      <c r="E887" s="2023" t="s">
        <v>65</v>
      </c>
      <c r="F887" s="549">
        <f>Y887</f>
        <v>5850</v>
      </c>
      <c r="G887" s="549">
        <v>5850</v>
      </c>
      <c r="H887" s="626"/>
      <c r="I887" s="557"/>
      <c r="J887" s="2105" t="s">
        <v>2429</v>
      </c>
      <c r="K887" s="2082"/>
      <c r="L887" s="2082"/>
      <c r="M887" s="2082"/>
      <c r="N887" s="2082"/>
      <c r="O887" s="2082"/>
      <c r="P887" s="2082"/>
      <c r="Q887" s="556">
        <v>1</v>
      </c>
      <c r="R887" s="2080" t="s">
        <v>36</v>
      </c>
      <c r="S887" s="2106">
        <v>1950000</v>
      </c>
      <c r="T887" s="2106" t="s">
        <v>751</v>
      </c>
      <c r="U887" s="2106"/>
      <c r="V887" s="2106">
        <v>3</v>
      </c>
      <c r="W887" s="2106" t="s">
        <v>774</v>
      </c>
      <c r="X887" s="2030" t="s">
        <v>21</v>
      </c>
      <c r="Y887" s="554">
        <f t="shared" ref="Y887" si="316">Z887/1000</f>
        <v>5850</v>
      </c>
      <c r="Z887" s="1898">
        <f>Q887*S887*V887</f>
        <v>5850000</v>
      </c>
      <c r="AA887" s="547"/>
      <c r="AB887" s="1891"/>
      <c r="AC887" s="1895"/>
      <c r="AD887" s="542"/>
    </row>
    <row r="888" spans="1:30" s="1888" customFormat="1" ht="22.5" customHeight="1">
      <c r="A888" s="591"/>
      <c r="B888" s="624"/>
      <c r="C888" s="624"/>
      <c r="D888" s="2020"/>
      <c r="E888" s="2023" t="s">
        <v>562</v>
      </c>
      <c r="F888" s="526">
        <f>Y888</f>
        <v>450</v>
      </c>
      <c r="G888" s="526">
        <v>450</v>
      </c>
      <c r="H888" s="626"/>
      <c r="I888" s="557"/>
      <c r="J888" s="2105" t="s">
        <v>784</v>
      </c>
      <c r="K888" s="2082"/>
      <c r="L888" s="2082"/>
      <c r="M888" s="2082"/>
      <c r="N888" s="2082"/>
      <c r="O888" s="2082"/>
      <c r="P888" s="2082"/>
      <c r="Q888" s="475"/>
      <c r="R888" s="552"/>
      <c r="S888" s="474">
        <v>450000</v>
      </c>
      <c r="T888" s="2106" t="s">
        <v>751</v>
      </c>
      <c r="U888" s="2106"/>
      <c r="V888" s="2106">
        <v>1</v>
      </c>
      <c r="W888" s="2106" t="s">
        <v>568</v>
      </c>
      <c r="X888" s="2106" t="s">
        <v>566</v>
      </c>
      <c r="Y888" s="483">
        <f>Z888/1000</f>
        <v>450</v>
      </c>
      <c r="Z888" s="555">
        <f t="shared" ref="Z888" si="317">S888*V888</f>
        <v>450000</v>
      </c>
      <c r="AA888" s="547"/>
      <c r="AB888" s="1891"/>
      <c r="AC888" s="1895"/>
      <c r="AD888" s="542"/>
    </row>
    <row r="889" spans="1:30" s="1888" customFormat="1" ht="22.5" customHeight="1">
      <c r="A889" s="591"/>
      <c r="B889" s="548"/>
      <c r="C889" s="624"/>
      <c r="D889" s="2020"/>
      <c r="E889" s="2023" t="s">
        <v>753</v>
      </c>
      <c r="F889" s="549">
        <f>Y889</f>
        <v>1000</v>
      </c>
      <c r="G889" s="549">
        <v>1000</v>
      </c>
      <c r="H889" s="551"/>
      <c r="I889" s="557"/>
      <c r="J889" s="2105" t="s">
        <v>911</v>
      </c>
      <c r="K889" s="2082"/>
      <c r="L889" s="2082"/>
      <c r="M889" s="2082"/>
      <c r="N889" s="2082"/>
      <c r="O889" s="2082"/>
      <c r="P889" s="2082"/>
      <c r="Q889" s="2106">
        <v>2</v>
      </c>
      <c r="R889" s="2106" t="s">
        <v>36</v>
      </c>
      <c r="S889" s="2106">
        <v>25000</v>
      </c>
      <c r="T889" s="2106" t="s">
        <v>751</v>
      </c>
      <c r="U889" s="2106"/>
      <c r="V889" s="2106">
        <v>20</v>
      </c>
      <c r="W889" s="2106" t="s">
        <v>561</v>
      </c>
      <c r="X889" s="2030" t="s">
        <v>566</v>
      </c>
      <c r="Y889" s="554">
        <f t="shared" ref="Y889" si="318">Z889/1000</f>
        <v>1000</v>
      </c>
      <c r="Z889" s="555">
        <f>Q889*S889*V889</f>
        <v>1000000</v>
      </c>
      <c r="AA889" s="547"/>
      <c r="AB889" s="1891"/>
      <c r="AC889" s="1895"/>
      <c r="AD889" s="542"/>
    </row>
    <row r="890" spans="1:30" s="1888" customFormat="1" ht="22.5" customHeight="1">
      <c r="A890" s="591"/>
      <c r="B890" s="548"/>
      <c r="C890" s="624"/>
      <c r="D890" s="2020"/>
      <c r="E890" s="2023" t="s">
        <v>530</v>
      </c>
      <c r="F890" s="549">
        <f>+Y890</f>
        <v>21699.8</v>
      </c>
      <c r="G890" s="549">
        <v>21699.8</v>
      </c>
      <c r="H890" s="551"/>
      <c r="I890" s="557"/>
      <c r="J890" s="2105" t="s">
        <v>572</v>
      </c>
      <c r="K890" s="2082"/>
      <c r="L890" s="2082"/>
      <c r="M890" s="2082"/>
      <c r="N890" s="2082"/>
      <c r="O890" s="2082"/>
      <c r="P890" s="2082"/>
      <c r="Q890" s="2082"/>
      <c r="R890" s="552"/>
      <c r="S890" s="474"/>
      <c r="T890" s="2106"/>
      <c r="U890" s="2106"/>
      <c r="V890" s="2106"/>
      <c r="W890" s="2106"/>
      <c r="X890" s="2106" t="s">
        <v>570</v>
      </c>
      <c r="Y890" s="483">
        <f t="shared" ref="Y890" si="319">+Z890/1000</f>
        <v>21699.8</v>
      </c>
      <c r="Z890" s="555">
        <f>SUM(Z891:Z893)</f>
        <v>21699800</v>
      </c>
      <c r="AA890" s="547"/>
      <c r="AB890" s="1891"/>
      <c r="AC890" s="1895"/>
      <c r="AD890" s="542"/>
    </row>
    <row r="891" spans="1:30" s="1888" customFormat="1" ht="22.5" customHeight="1">
      <c r="A891" s="591"/>
      <c r="B891" s="548"/>
      <c r="C891" s="624"/>
      <c r="D891" s="2020"/>
      <c r="E891" s="2023"/>
      <c r="F891" s="549"/>
      <c r="G891" s="549"/>
      <c r="H891" s="551"/>
      <c r="I891" s="557"/>
      <c r="J891" s="2105" t="s">
        <v>1485</v>
      </c>
      <c r="K891" s="2082"/>
      <c r="L891" s="2082"/>
      <c r="M891" s="2082"/>
      <c r="N891" s="2082"/>
      <c r="O891" s="2082"/>
      <c r="P891" s="2082"/>
      <c r="Q891" s="2106"/>
      <c r="R891" s="2106"/>
      <c r="S891" s="2106">
        <v>300000000</v>
      </c>
      <c r="T891" s="2106" t="s">
        <v>751</v>
      </c>
      <c r="U891" s="2106"/>
      <c r="V891" s="1367">
        <v>6.6665999999999999</v>
      </c>
      <c r="W891" s="2106" t="s">
        <v>2387</v>
      </c>
      <c r="X891" s="2106" t="s">
        <v>566</v>
      </c>
      <c r="Y891" s="483">
        <f>Z891/1000</f>
        <v>19999.8</v>
      </c>
      <c r="Z891" s="555">
        <f>S891*V891/100</f>
        <v>19999800</v>
      </c>
      <c r="AA891" s="547"/>
      <c r="AB891" s="1891"/>
      <c r="AC891" s="1895"/>
      <c r="AD891" s="542"/>
    </row>
    <row r="892" spans="1:30" s="1888" customFormat="1" ht="22.5" customHeight="1">
      <c r="A892" s="591"/>
      <c r="B892" s="548"/>
      <c r="C892" s="624"/>
      <c r="D892" s="2020"/>
      <c r="E892" s="2023"/>
      <c r="F892" s="549"/>
      <c r="G892" s="549"/>
      <c r="H892" s="551"/>
      <c r="I892" s="557"/>
      <c r="J892" s="2105" t="s">
        <v>2430</v>
      </c>
      <c r="K892" s="2082"/>
      <c r="L892" s="2082"/>
      <c r="M892" s="2082"/>
      <c r="N892" s="2082"/>
      <c r="O892" s="2082"/>
      <c r="P892" s="2082"/>
      <c r="Q892" s="2106"/>
      <c r="R892" s="2106"/>
      <c r="S892" s="2106">
        <v>200000</v>
      </c>
      <c r="T892" s="2106" t="s">
        <v>751</v>
      </c>
      <c r="U892" s="2106"/>
      <c r="V892" s="2106">
        <v>5</v>
      </c>
      <c r="W892" s="2106" t="s">
        <v>651</v>
      </c>
      <c r="X892" s="2106" t="s">
        <v>566</v>
      </c>
      <c r="Y892" s="483">
        <f>Z892/1000</f>
        <v>1000</v>
      </c>
      <c r="Z892" s="555">
        <f>S892*V892</f>
        <v>1000000</v>
      </c>
      <c r="AA892" s="547"/>
      <c r="AB892" s="1891"/>
      <c r="AC892" s="1895"/>
      <c r="AD892" s="542"/>
    </row>
    <row r="893" spans="1:30" s="1888" customFormat="1" ht="22.5" customHeight="1">
      <c r="A893" s="591"/>
      <c r="B893" s="548"/>
      <c r="C893" s="624"/>
      <c r="D893" s="2020"/>
      <c r="E893" s="2023"/>
      <c r="F893" s="549"/>
      <c r="G893" s="549"/>
      <c r="H893" s="551"/>
      <c r="I893" s="557"/>
      <c r="J893" s="2105" t="s">
        <v>2431</v>
      </c>
      <c r="K893" s="2082"/>
      <c r="L893" s="2082"/>
      <c r="M893" s="2082"/>
      <c r="N893" s="2082"/>
      <c r="O893" s="2082"/>
      <c r="P893" s="2082"/>
      <c r="Q893" s="2106">
        <v>5</v>
      </c>
      <c r="R893" s="2106" t="s">
        <v>36</v>
      </c>
      <c r="S893" s="2106">
        <v>70000</v>
      </c>
      <c r="T893" s="2106" t="s">
        <v>751</v>
      </c>
      <c r="U893" s="2106"/>
      <c r="V893" s="2106">
        <v>2</v>
      </c>
      <c r="W893" s="2106" t="s">
        <v>653</v>
      </c>
      <c r="X893" s="2106" t="s">
        <v>566</v>
      </c>
      <c r="Y893" s="483">
        <f t="shared" ref="Y893" si="320">Z893/1000</f>
        <v>700</v>
      </c>
      <c r="Z893" s="555">
        <f>S893*V893*Q893</f>
        <v>700000</v>
      </c>
      <c r="AA893" s="547"/>
      <c r="AB893" s="1891"/>
      <c r="AC893" s="1895"/>
      <c r="AD893" s="542"/>
    </row>
    <row r="894" spans="1:30" s="1894" customFormat="1" ht="22.5" customHeight="1">
      <c r="A894" s="2079"/>
      <c r="B894" s="2035"/>
      <c r="C894" s="2013"/>
      <c r="D894" s="2020"/>
      <c r="E894" s="2023" t="s">
        <v>662</v>
      </c>
      <c r="F894" s="2031">
        <f>+Y894</f>
        <v>270000</v>
      </c>
      <c r="G894" s="2029">
        <v>270000</v>
      </c>
      <c r="H894" s="2037"/>
      <c r="I894" s="557"/>
      <c r="J894" s="2105" t="s">
        <v>8</v>
      </c>
      <c r="K894" s="2082"/>
      <c r="L894" s="2082"/>
      <c r="M894" s="2082"/>
      <c r="N894" s="2082"/>
      <c r="O894" s="2082"/>
      <c r="P894" s="559"/>
      <c r="Q894" s="2106"/>
      <c r="R894" s="2092"/>
      <c r="S894" s="2106"/>
      <c r="T894" s="2106"/>
      <c r="U894" s="559"/>
      <c r="V894" s="2106"/>
      <c r="W894" s="2106"/>
      <c r="X894" s="2030"/>
      <c r="Y894" s="483">
        <f>Z894/1000</f>
        <v>270000</v>
      </c>
      <c r="Z894" s="658">
        <f>SUM(Z895:Z899)</f>
        <v>270000000</v>
      </c>
      <c r="AA894" s="547"/>
      <c r="AB894" s="1891"/>
      <c r="AC894" s="1892"/>
      <c r="AD894" s="1893"/>
    </row>
    <row r="895" spans="1:30" s="1894" customFormat="1" ht="22.5" customHeight="1">
      <c r="A895" s="2079"/>
      <c r="B895" s="2035"/>
      <c r="C895" s="2013"/>
      <c r="D895" s="2020"/>
      <c r="E895" s="2023"/>
      <c r="F895" s="2031"/>
      <c r="G895" s="2029"/>
      <c r="H895" s="2037"/>
      <c r="I895" s="557"/>
      <c r="J895" s="2105" t="s">
        <v>2432</v>
      </c>
      <c r="K895" s="2082"/>
      <c r="L895" s="2082"/>
      <c r="M895" s="2082"/>
      <c r="N895" s="2075"/>
      <c r="O895" s="2075"/>
      <c r="P895" s="2075"/>
      <c r="Q895" s="2106"/>
      <c r="R895" s="2092"/>
      <c r="S895" s="2106">
        <v>157000000</v>
      </c>
      <c r="T895" s="2106" t="s">
        <v>0</v>
      </c>
      <c r="U895" s="2106"/>
      <c r="V895" s="2106">
        <v>1</v>
      </c>
      <c r="W895" s="2106" t="s">
        <v>568</v>
      </c>
      <c r="X895" s="1256" t="s">
        <v>1</v>
      </c>
      <c r="Y895" s="483">
        <f>+S895*V895/1000</f>
        <v>157000</v>
      </c>
      <c r="Z895" s="896">
        <f>S895*V895</f>
        <v>157000000</v>
      </c>
      <c r="AA895" s="547"/>
      <c r="AB895" s="1891"/>
      <c r="AC895" s="1892"/>
      <c r="AD895" s="1893"/>
    </row>
    <row r="896" spans="1:30" s="1894" customFormat="1" ht="22.5" customHeight="1">
      <c r="A896" s="2079"/>
      <c r="B896" s="2035"/>
      <c r="C896" s="2035"/>
      <c r="D896" s="2020"/>
      <c r="E896" s="2023"/>
      <c r="F896" s="2031"/>
      <c r="G896" s="2029"/>
      <c r="H896" s="2037"/>
      <c r="I896" s="557"/>
      <c r="J896" s="2105" t="s">
        <v>2433</v>
      </c>
      <c r="K896" s="2082"/>
      <c r="L896" s="2082"/>
      <c r="M896" s="2082"/>
      <c r="N896" s="2075"/>
      <c r="O896" s="2075"/>
      <c r="P896" s="2075"/>
      <c r="Q896" s="2106"/>
      <c r="R896" s="2092"/>
      <c r="S896" s="2106">
        <v>100000000</v>
      </c>
      <c r="T896" s="2106" t="s">
        <v>0</v>
      </c>
      <c r="U896" s="2106"/>
      <c r="V896" s="2106">
        <v>1</v>
      </c>
      <c r="W896" s="2106" t="s">
        <v>568</v>
      </c>
      <c r="X896" s="1256" t="s">
        <v>1</v>
      </c>
      <c r="Y896" s="483">
        <f>+S896*V896/1000</f>
        <v>100000</v>
      </c>
      <c r="Z896" s="896">
        <f>S896*V896</f>
        <v>100000000</v>
      </c>
      <c r="AA896" s="547"/>
      <c r="AB896" s="1891"/>
      <c r="AC896" s="1892"/>
      <c r="AD896" s="1893"/>
    </row>
    <row r="897" spans="1:30" s="1894" customFormat="1" ht="22.5" customHeight="1">
      <c r="A897" s="2079"/>
      <c r="B897" s="2035"/>
      <c r="C897" s="2013"/>
      <c r="D897" s="2020"/>
      <c r="E897" s="2023"/>
      <c r="F897" s="2031"/>
      <c r="G897" s="2029"/>
      <c r="H897" s="2037"/>
      <c r="I897" s="557"/>
      <c r="J897" s="2105" t="s">
        <v>2434</v>
      </c>
      <c r="K897" s="2082"/>
      <c r="L897" s="2082"/>
      <c r="M897" s="2082"/>
      <c r="N897" s="2075"/>
      <c r="O897" s="2075"/>
      <c r="P897" s="2075"/>
      <c r="Q897" s="2106"/>
      <c r="R897" s="2092"/>
      <c r="S897" s="2106">
        <v>3000000</v>
      </c>
      <c r="T897" s="2106" t="s">
        <v>0</v>
      </c>
      <c r="U897" s="2106"/>
      <c r="V897" s="2106">
        <v>1</v>
      </c>
      <c r="W897" s="2106" t="s">
        <v>568</v>
      </c>
      <c r="X897" s="1256" t="s">
        <v>1</v>
      </c>
      <c r="Y897" s="483">
        <f>+S897*V897/1000</f>
        <v>3000</v>
      </c>
      <c r="Z897" s="896">
        <f>S897*V897</f>
        <v>3000000</v>
      </c>
      <c r="AA897" s="547"/>
      <c r="AB897" s="1891"/>
      <c r="AC897" s="1892"/>
      <c r="AD897" s="1893"/>
    </row>
    <row r="898" spans="1:30" s="1894" customFormat="1" ht="22.5" customHeight="1">
      <c r="A898" s="2079"/>
      <c r="B898" s="2035"/>
      <c r="C898" s="2035"/>
      <c r="D898" s="2038"/>
      <c r="E898" s="2023"/>
      <c r="F898" s="2031"/>
      <c r="G898" s="2029"/>
      <c r="H898" s="2037"/>
      <c r="I898" s="557"/>
      <c r="J898" s="2105" t="s">
        <v>2435</v>
      </c>
      <c r="K898" s="2082"/>
      <c r="L898" s="2082"/>
      <c r="M898" s="2082"/>
      <c r="N898" s="2075"/>
      <c r="O898" s="2075"/>
      <c r="P898" s="2075"/>
      <c r="Q898" s="2106"/>
      <c r="R898" s="2092"/>
      <c r="S898" s="2106">
        <v>5000000</v>
      </c>
      <c r="T898" s="2106" t="s">
        <v>0</v>
      </c>
      <c r="U898" s="2106"/>
      <c r="V898" s="2106">
        <v>1</v>
      </c>
      <c r="W898" s="2106" t="s">
        <v>568</v>
      </c>
      <c r="X898" s="1256" t="s">
        <v>1</v>
      </c>
      <c r="Y898" s="483">
        <f>+S898*V898/1000</f>
        <v>5000</v>
      </c>
      <c r="Z898" s="896">
        <f>S898*V898</f>
        <v>5000000</v>
      </c>
      <c r="AA898" s="547"/>
      <c r="AB898" s="1891"/>
      <c r="AC898" s="1892"/>
      <c r="AD898" s="1893"/>
    </row>
    <row r="899" spans="1:30" s="1894" customFormat="1" ht="22.5" customHeight="1">
      <c r="A899" s="2079"/>
      <c r="B899" s="2035"/>
      <c r="C899" s="2035"/>
      <c r="D899" s="2038"/>
      <c r="E899" s="2023"/>
      <c r="F899" s="2031"/>
      <c r="G899" s="2029"/>
      <c r="H899" s="2037"/>
      <c r="I899" s="557"/>
      <c r="J899" s="2105" t="s">
        <v>2436</v>
      </c>
      <c r="K899" s="2082"/>
      <c r="L899" s="2082"/>
      <c r="M899" s="2082"/>
      <c r="N899" s="2075"/>
      <c r="O899" s="2075"/>
      <c r="P899" s="2075"/>
      <c r="Q899" s="2106"/>
      <c r="R899" s="2092"/>
      <c r="S899" s="2106">
        <v>5000000</v>
      </c>
      <c r="T899" s="2106" t="s">
        <v>0</v>
      </c>
      <c r="U899" s="2106"/>
      <c r="V899" s="2106">
        <v>1</v>
      </c>
      <c r="W899" s="2106" t="s">
        <v>568</v>
      </c>
      <c r="X899" s="1256" t="s">
        <v>1</v>
      </c>
      <c r="Y899" s="483">
        <f t="shared" ref="Y899" si="321">+S899*V899/1000</f>
        <v>5000</v>
      </c>
      <c r="Z899" s="896">
        <f t="shared" ref="Z899" si="322">S899*V899</f>
        <v>5000000</v>
      </c>
      <c r="AA899" s="547"/>
      <c r="AB899" s="1891"/>
      <c r="AC899" s="1892"/>
      <c r="AD899" s="1893"/>
    </row>
    <row r="900" spans="1:30" s="1888" customFormat="1" ht="22.5" customHeight="1">
      <c r="A900" s="591"/>
      <c r="B900" s="624"/>
      <c r="C900" s="624"/>
      <c r="D900" s="2020"/>
      <c r="E900" s="2023" t="s">
        <v>573</v>
      </c>
      <c r="F900" s="526">
        <f>Y900</f>
        <v>1000</v>
      </c>
      <c r="G900" s="526">
        <v>1000</v>
      </c>
      <c r="H900" s="551"/>
      <c r="I900" s="557"/>
      <c r="J900" s="3415" t="s">
        <v>1486</v>
      </c>
      <c r="K900" s="3107"/>
      <c r="L900" s="3107"/>
      <c r="M900" s="3107"/>
      <c r="N900" s="3107"/>
      <c r="O900" s="3107"/>
      <c r="P900" s="3107"/>
      <c r="Q900" s="3416">
        <v>10</v>
      </c>
      <c r="R900" s="3416" t="s">
        <v>36</v>
      </c>
      <c r="S900" s="3416">
        <v>25000</v>
      </c>
      <c r="T900" s="3416" t="s">
        <v>751</v>
      </c>
      <c r="U900" s="3416"/>
      <c r="V900" s="3416">
        <v>4</v>
      </c>
      <c r="W900" s="3416" t="s">
        <v>561</v>
      </c>
      <c r="X900" s="3416" t="s">
        <v>566</v>
      </c>
      <c r="Y900" s="3110">
        <f>Z900/1000</f>
        <v>1000</v>
      </c>
      <c r="Z900" s="555">
        <f>Q900*S900*V900</f>
        <v>1000000</v>
      </c>
      <c r="AA900" s="547"/>
      <c r="AB900" s="1891"/>
      <c r="AC900" s="1895"/>
      <c r="AD900" s="542"/>
    </row>
    <row r="901" spans="1:30" s="3414" customFormat="1" ht="22.5" customHeight="1">
      <c r="A901" s="3413"/>
      <c r="B901" s="548"/>
      <c r="C901" s="3825" t="s">
        <v>2752</v>
      </c>
      <c r="D901" s="3924"/>
      <c r="E901" s="3826"/>
      <c r="F901" s="3158">
        <f>F902</f>
        <v>30000</v>
      </c>
      <c r="G901" s="3158">
        <f>G902</f>
        <v>30000</v>
      </c>
      <c r="H901" s="620">
        <f>F901-G901</f>
        <v>0</v>
      </c>
      <c r="I901" s="3430"/>
      <c r="J901" s="2025"/>
      <c r="K901" s="3404"/>
      <c r="L901" s="3404"/>
      <c r="M901" s="3404"/>
      <c r="N901" s="3404"/>
      <c r="O901" s="3404"/>
      <c r="P901" s="3404"/>
      <c r="Q901" s="3404"/>
      <c r="R901" s="539"/>
      <c r="S901" s="2026"/>
      <c r="T901" s="2026"/>
      <c r="U901" s="2026"/>
      <c r="V901" s="2026"/>
      <c r="W901" s="2026"/>
      <c r="X901" s="2028"/>
      <c r="Y901" s="586"/>
      <c r="Z901" s="622"/>
      <c r="AA901" s="547"/>
      <c r="AB901" s="1891"/>
      <c r="AC901" s="1895"/>
      <c r="AD901" s="542"/>
    </row>
    <row r="902" spans="1:30" s="3414" customFormat="1" ht="22.5" customHeight="1">
      <c r="A902" s="3413"/>
      <c r="B902" s="548"/>
      <c r="C902" s="588"/>
      <c r="D902" s="3825" t="s">
        <v>5504</v>
      </c>
      <c r="E902" s="3826"/>
      <c r="F902" s="3158">
        <f>SUM(F903:F905)</f>
        <v>30000</v>
      </c>
      <c r="G902" s="955">
        <f>SUM(G903:G905)</f>
        <v>30000</v>
      </c>
      <c r="H902" s="620">
        <f t="shared" ref="H902" si="323">F902-G902</f>
        <v>0</v>
      </c>
      <c r="I902" s="557"/>
      <c r="J902" s="2025"/>
      <c r="K902" s="3404"/>
      <c r="L902" s="3404"/>
      <c r="M902" s="3404"/>
      <c r="N902" s="3404"/>
      <c r="O902" s="3404"/>
      <c r="P902" s="3404"/>
      <c r="Q902" s="3404"/>
      <c r="R902" s="539"/>
      <c r="S902" s="2026"/>
      <c r="T902" s="2026"/>
      <c r="U902" s="2026"/>
      <c r="V902" s="2026"/>
      <c r="W902" s="2026"/>
      <c r="X902" s="2028"/>
      <c r="Y902" s="586"/>
      <c r="Z902" s="622"/>
      <c r="AA902" s="547"/>
      <c r="AB902" s="1891"/>
      <c r="AC902" s="1895"/>
      <c r="AD902" s="542"/>
    </row>
    <row r="903" spans="1:30" s="3414" customFormat="1" ht="22.5" customHeight="1">
      <c r="A903" s="3413"/>
      <c r="B903" s="548"/>
      <c r="C903" s="2013"/>
      <c r="D903" s="2020"/>
      <c r="E903" s="677" t="s">
        <v>246</v>
      </c>
      <c r="F903" s="1445">
        <f>Y903</f>
        <v>30000</v>
      </c>
      <c r="G903" s="678">
        <v>30000</v>
      </c>
      <c r="H903" s="2037"/>
      <c r="I903" s="2359"/>
      <c r="J903" s="3432" t="s">
        <v>224</v>
      </c>
      <c r="K903" s="3431"/>
      <c r="L903" s="3431"/>
      <c r="M903" s="3431"/>
      <c r="N903" s="3431"/>
      <c r="O903" s="3431"/>
      <c r="P903" s="3431"/>
      <c r="Q903" s="3431"/>
      <c r="R903" s="552"/>
      <c r="S903" s="3108"/>
      <c r="T903" s="3433"/>
      <c r="U903" s="3433"/>
      <c r="V903" s="3433"/>
      <c r="W903" s="3433"/>
      <c r="X903" s="3433" t="s">
        <v>48</v>
      </c>
      <c r="Y903" s="3110">
        <f t="shared" ref="Y903" si="324">+Z903/1000</f>
        <v>30000</v>
      </c>
      <c r="Z903" s="555">
        <f>SUM(Z904:Z905)</f>
        <v>30000000</v>
      </c>
      <c r="AA903" s="547"/>
      <c r="AB903" s="1891"/>
      <c r="AC903" s="1895"/>
      <c r="AD903" s="542"/>
    </row>
    <row r="904" spans="1:30" s="3414" customFormat="1" ht="22.5" customHeight="1">
      <c r="A904" s="3413"/>
      <c r="B904" s="548"/>
      <c r="C904" s="2013"/>
      <c r="D904" s="2020"/>
      <c r="E904" s="677"/>
      <c r="F904" s="678"/>
      <c r="G904" s="678"/>
      <c r="H904" s="680"/>
      <c r="I904" s="2359"/>
      <c r="J904" s="3432" t="s">
        <v>3095</v>
      </c>
      <c r="K904" s="3431"/>
      <c r="L904" s="3431"/>
      <c r="M904" s="3431"/>
      <c r="N904" s="3431"/>
      <c r="O904" s="3431"/>
      <c r="P904" s="3431"/>
      <c r="Q904" s="3433"/>
      <c r="R904" s="3433"/>
      <c r="S904" s="3433">
        <v>22000000</v>
      </c>
      <c r="T904" s="3433" t="s">
        <v>4</v>
      </c>
      <c r="U904" s="3433"/>
      <c r="V904" s="3433">
        <v>1</v>
      </c>
      <c r="W904" s="3433" t="s">
        <v>39</v>
      </c>
      <c r="X904" s="3433" t="s">
        <v>5</v>
      </c>
      <c r="Y904" s="3110">
        <f>Z904/1000</f>
        <v>22000</v>
      </c>
      <c r="Z904" s="555">
        <f>S904*V904</f>
        <v>22000000</v>
      </c>
      <c r="AA904" s="547"/>
      <c r="AB904" s="1891"/>
      <c r="AC904" s="1895"/>
      <c r="AD904" s="542"/>
    </row>
    <row r="905" spans="1:30" s="3414" customFormat="1" ht="22.5" customHeight="1">
      <c r="A905" s="3413"/>
      <c r="B905" s="548"/>
      <c r="C905" s="2035"/>
      <c r="D905" s="2020"/>
      <c r="E905" s="677"/>
      <c r="F905" s="678"/>
      <c r="G905" s="678"/>
      <c r="H905" s="680"/>
      <c r="I905" s="2359"/>
      <c r="J905" s="3432" t="s">
        <v>5505</v>
      </c>
      <c r="K905" s="3431"/>
      <c r="L905" s="3431"/>
      <c r="M905" s="3431"/>
      <c r="N905" s="3431"/>
      <c r="O905" s="3431"/>
      <c r="P905" s="3431"/>
      <c r="Q905" s="3433"/>
      <c r="R905" s="3433"/>
      <c r="S905" s="3433">
        <v>8000000</v>
      </c>
      <c r="T905" s="3433" t="s">
        <v>4</v>
      </c>
      <c r="U905" s="3433"/>
      <c r="V905" s="3433">
        <v>1</v>
      </c>
      <c r="W905" s="3433" t="s">
        <v>226</v>
      </c>
      <c r="X905" s="3433" t="s">
        <v>5</v>
      </c>
      <c r="Y905" s="3110">
        <f>Z905/1000</f>
        <v>8000</v>
      </c>
      <c r="Z905" s="555">
        <f>S905*V905</f>
        <v>8000000</v>
      </c>
      <c r="AA905" s="547"/>
      <c r="AB905" s="1891"/>
      <c r="AC905" s="1895"/>
      <c r="AD905" s="542"/>
    </row>
    <row r="906" spans="1:30" s="3650" customFormat="1" ht="22.5" customHeight="1">
      <c r="A906" s="591"/>
      <c r="B906" s="624"/>
      <c r="C906" s="3825" t="s">
        <v>6047</v>
      </c>
      <c r="D906" s="3924"/>
      <c r="E906" s="3826"/>
      <c r="F906" s="3158">
        <f>F907+F918</f>
        <v>164999.95000000001</v>
      </c>
      <c r="G906" s="3158">
        <f>G907+G918</f>
        <v>0</v>
      </c>
      <c r="H906" s="620">
        <f>F906-G906</f>
        <v>164999.95000000001</v>
      </c>
      <c r="I906" s="3430"/>
      <c r="J906" s="2025"/>
      <c r="K906" s="3634"/>
      <c r="L906" s="3634"/>
      <c r="M906" s="3634"/>
      <c r="N906" s="3634"/>
      <c r="O906" s="3634"/>
      <c r="P906" s="3634"/>
      <c r="Q906" s="3634"/>
      <c r="R906" s="539"/>
      <c r="S906" s="2026"/>
      <c r="T906" s="2026"/>
      <c r="U906" s="2026"/>
      <c r="V906" s="2026"/>
      <c r="W906" s="2026"/>
      <c r="X906" s="2028"/>
      <c r="Y906" s="586"/>
      <c r="Z906" s="622"/>
      <c r="AA906" s="547"/>
      <c r="AB906" s="1891"/>
      <c r="AC906" s="1895"/>
      <c r="AD906" s="542"/>
    </row>
    <row r="907" spans="1:30" s="3650" customFormat="1" ht="22.5" customHeight="1">
      <c r="A907" s="591"/>
      <c r="B907" s="624"/>
      <c r="C907" s="2035"/>
      <c r="D907" s="3825" t="s">
        <v>6048</v>
      </c>
      <c r="E907" s="3826"/>
      <c r="F907" s="3158">
        <f>SUM(F908:F917)</f>
        <v>100000</v>
      </c>
      <c r="G907" s="955">
        <f>SUM(G908:G917)</f>
        <v>0</v>
      </c>
      <c r="H907" s="620">
        <f t="shared" ref="H907" si="325">F907-G907</f>
        <v>100000</v>
      </c>
      <c r="I907" s="557"/>
      <c r="J907" s="2025"/>
      <c r="K907" s="3634"/>
      <c r="L907" s="3634"/>
      <c r="M907" s="3634"/>
      <c r="N907" s="3634"/>
      <c r="O907" s="3634"/>
      <c r="P907" s="3634"/>
      <c r="Q907" s="3634"/>
      <c r="R907" s="539"/>
      <c r="S907" s="2026"/>
      <c r="T907" s="2026"/>
      <c r="U907" s="2026"/>
      <c r="V907" s="2026"/>
      <c r="W907" s="2026"/>
      <c r="X907" s="2028"/>
      <c r="Y907" s="586"/>
      <c r="Z907" s="622"/>
      <c r="AA907" s="547"/>
      <c r="AB907" s="1891"/>
      <c r="AC907" s="1895"/>
      <c r="AD907" s="542"/>
    </row>
    <row r="908" spans="1:30" s="3650" customFormat="1" ht="22.5" customHeight="1">
      <c r="A908" s="591"/>
      <c r="B908" s="624"/>
      <c r="C908" s="2035"/>
      <c r="D908" s="589"/>
      <c r="E908" s="1915" t="s">
        <v>6044</v>
      </c>
      <c r="F908" s="824">
        <f>Y908</f>
        <v>500</v>
      </c>
      <c r="G908" s="941"/>
      <c r="H908" s="2037">
        <f>F908-G908</f>
        <v>500</v>
      </c>
      <c r="I908" s="557"/>
      <c r="J908" s="3652" t="s">
        <v>911</v>
      </c>
      <c r="Q908" s="3653">
        <v>2</v>
      </c>
      <c r="R908" s="3653" t="s">
        <v>36</v>
      </c>
      <c r="S908" s="3653">
        <v>25000</v>
      </c>
      <c r="T908" s="3653" t="s">
        <v>4</v>
      </c>
      <c r="U908" s="3653"/>
      <c r="V908" s="3653">
        <v>10</v>
      </c>
      <c r="W908" s="3653" t="s">
        <v>39</v>
      </c>
      <c r="X908" s="2030" t="s">
        <v>5</v>
      </c>
      <c r="Y908" s="3110">
        <f t="shared" ref="Y908" si="326">Z908/1000</f>
        <v>500</v>
      </c>
      <c r="Z908" s="555">
        <f>Q908*S908*V908</f>
        <v>500000</v>
      </c>
      <c r="AA908" s="547"/>
      <c r="AB908" s="1891"/>
      <c r="AC908" s="1895"/>
      <c r="AD908" s="542"/>
    </row>
    <row r="909" spans="1:30" s="3650" customFormat="1" ht="22.5" customHeight="1">
      <c r="A909" s="591"/>
      <c r="B909" s="624"/>
      <c r="C909" s="2035"/>
      <c r="D909" s="745"/>
      <c r="E909" s="1915" t="s">
        <v>6036</v>
      </c>
      <c r="F909" s="824">
        <f>Y909</f>
        <v>6500</v>
      </c>
      <c r="G909" s="941"/>
      <c r="H909" s="2037">
        <f>F909-G909</f>
        <v>6500</v>
      </c>
      <c r="I909" s="557"/>
      <c r="J909" s="3652" t="s">
        <v>6049</v>
      </c>
      <c r="Q909" s="3653"/>
      <c r="R909" s="3653"/>
      <c r="S909" s="3653">
        <v>100000000</v>
      </c>
      <c r="T909" s="3653" t="s">
        <v>4</v>
      </c>
      <c r="U909" s="3653"/>
      <c r="V909" s="1367">
        <v>6.5</v>
      </c>
      <c r="W909" s="3653" t="s">
        <v>758</v>
      </c>
      <c r="X909" s="3653" t="s">
        <v>5</v>
      </c>
      <c r="Y909" s="3110">
        <f>Z909/1000</f>
        <v>6500</v>
      </c>
      <c r="Z909" s="555">
        <f>S909*V909/100</f>
        <v>6500000</v>
      </c>
      <c r="AA909" s="547"/>
      <c r="AB909" s="1891"/>
      <c r="AC909" s="1895"/>
      <c r="AD909" s="542"/>
    </row>
    <row r="910" spans="1:30" s="3650" customFormat="1" ht="22.5" customHeight="1">
      <c r="A910" s="591"/>
      <c r="B910" s="624"/>
      <c r="C910" s="2035"/>
      <c r="D910" s="745"/>
      <c r="E910" s="1915" t="s">
        <v>6050</v>
      </c>
      <c r="F910" s="824">
        <f>Y910</f>
        <v>92000</v>
      </c>
      <c r="G910" s="941"/>
      <c r="H910" s="2037">
        <f>F910-G910</f>
        <v>92000</v>
      </c>
      <c r="I910" s="557"/>
      <c r="J910" s="3652" t="s">
        <v>8</v>
      </c>
      <c r="P910" s="3119"/>
      <c r="Q910" s="3653"/>
      <c r="R910" s="3638"/>
      <c r="S910" s="3653"/>
      <c r="T910" s="3653"/>
      <c r="U910" s="3119"/>
      <c r="V910" s="3653"/>
      <c r="W910" s="3653"/>
      <c r="X910" s="2030"/>
      <c r="Y910" s="3110">
        <f t="shared" ref="Y910" si="327">+Z910/1000</f>
        <v>92000</v>
      </c>
      <c r="Z910" s="658">
        <f>SUM(Z911:Z916)</f>
        <v>92000000</v>
      </c>
      <c r="AA910" s="547"/>
      <c r="AB910" s="1891"/>
      <c r="AC910" s="1895"/>
      <c r="AD910" s="542"/>
    </row>
    <row r="911" spans="1:30" s="3650" customFormat="1" ht="22.5" customHeight="1">
      <c r="A911" s="591"/>
      <c r="B911" s="624"/>
      <c r="C911" s="2035"/>
      <c r="D911" s="745"/>
      <c r="E911" s="1915"/>
      <c r="F911" s="824"/>
      <c r="G911" s="941"/>
      <c r="H911" s="2037"/>
      <c r="I911" s="557"/>
      <c r="J911" s="3652" t="s">
        <v>6053</v>
      </c>
      <c r="N911" s="2075"/>
      <c r="O911" s="2075"/>
      <c r="P911" s="2075"/>
      <c r="Q911" s="3653"/>
      <c r="R911" s="3638"/>
      <c r="S911" s="3653">
        <v>9000000</v>
      </c>
      <c r="T911" s="3653" t="s">
        <v>0</v>
      </c>
      <c r="U911" s="3653"/>
      <c r="V911" s="3653">
        <v>1</v>
      </c>
      <c r="W911" s="3653" t="s">
        <v>226</v>
      </c>
      <c r="X911" s="1256" t="s">
        <v>1</v>
      </c>
      <c r="Y911" s="3110">
        <f t="shared" ref="Y911:Y914" si="328">Z911/1000</f>
        <v>9000</v>
      </c>
      <c r="Z911" s="896">
        <f>S911*V911</f>
        <v>9000000</v>
      </c>
      <c r="AA911" s="547"/>
      <c r="AB911" s="1891"/>
      <c r="AC911" s="1895"/>
      <c r="AD911" s="542"/>
    </row>
    <row r="912" spans="1:30" s="3650" customFormat="1" ht="22.5" customHeight="1">
      <c r="A912" s="591"/>
      <c r="B912" s="624"/>
      <c r="C912" s="2035"/>
      <c r="D912" s="745"/>
      <c r="E912" s="1915"/>
      <c r="F912" s="824"/>
      <c r="G912" s="941"/>
      <c r="H912" s="2037"/>
      <c r="I912" s="557"/>
      <c r="J912" s="3652" t="s">
        <v>6054</v>
      </c>
      <c r="P912" s="3119"/>
      <c r="Q912" s="3653"/>
      <c r="R912" s="3638"/>
      <c r="S912" s="3653">
        <v>5000000</v>
      </c>
      <c r="T912" s="3653" t="s">
        <v>0</v>
      </c>
      <c r="U912" s="3653"/>
      <c r="V912" s="3653">
        <v>1</v>
      </c>
      <c r="W912" s="3653" t="s">
        <v>226</v>
      </c>
      <c r="X912" s="1256" t="s">
        <v>1</v>
      </c>
      <c r="Y912" s="3110">
        <f t="shared" si="328"/>
        <v>5000</v>
      </c>
      <c r="Z912" s="896">
        <f t="shared" ref="Z912:Z914" si="329">S912*V912</f>
        <v>5000000</v>
      </c>
      <c r="AA912" s="547"/>
      <c r="AB912" s="1891"/>
      <c r="AC912" s="1895"/>
      <c r="AD912" s="542"/>
    </row>
    <row r="913" spans="1:30" s="3650" customFormat="1" ht="22.5" customHeight="1">
      <c r="A913" s="591"/>
      <c r="B913" s="624"/>
      <c r="C913" s="2035"/>
      <c r="D913" s="745"/>
      <c r="E913" s="1915"/>
      <c r="F913" s="824"/>
      <c r="G913" s="941"/>
      <c r="H913" s="2037"/>
      <c r="I913" s="557"/>
      <c r="J913" s="3652" t="s">
        <v>6055</v>
      </c>
      <c r="N913" s="2075"/>
      <c r="O913" s="2075"/>
      <c r="P913" s="2075"/>
      <c r="Q913" s="3653"/>
      <c r="R913" s="3638"/>
      <c r="S913" s="3653">
        <v>55000000</v>
      </c>
      <c r="T913" s="3653" t="s">
        <v>0</v>
      </c>
      <c r="U913" s="3653"/>
      <c r="V913" s="3653">
        <v>1</v>
      </c>
      <c r="W913" s="3653" t="s">
        <v>226</v>
      </c>
      <c r="X913" s="1256" t="s">
        <v>1</v>
      </c>
      <c r="Y913" s="3110">
        <f t="shared" si="328"/>
        <v>55000</v>
      </c>
      <c r="Z913" s="896">
        <f t="shared" si="329"/>
        <v>55000000</v>
      </c>
      <c r="AA913" s="547"/>
      <c r="AB913" s="1891"/>
      <c r="AC913" s="1895"/>
      <c r="AD913" s="542"/>
    </row>
    <row r="914" spans="1:30" s="3650" customFormat="1" ht="22.5" customHeight="1">
      <c r="A914" s="591"/>
      <c r="B914" s="624"/>
      <c r="C914" s="2035"/>
      <c r="D914" s="745"/>
      <c r="E914" s="1915"/>
      <c r="F914" s="824"/>
      <c r="G914" s="941"/>
      <c r="H914" s="2037"/>
      <c r="I914" s="557"/>
      <c r="J914" s="3652" t="s">
        <v>6056</v>
      </c>
      <c r="N914" s="2075"/>
      <c r="O914" s="2075"/>
      <c r="P914" s="2075"/>
      <c r="Q914" s="3653"/>
      <c r="R914" s="3638"/>
      <c r="S914" s="3653">
        <v>10000000</v>
      </c>
      <c r="T914" s="3653" t="s">
        <v>0</v>
      </c>
      <c r="U914" s="3653"/>
      <c r="V914" s="3653">
        <v>1</v>
      </c>
      <c r="W914" s="3653" t="s">
        <v>226</v>
      </c>
      <c r="X914" s="1256" t="s">
        <v>1</v>
      </c>
      <c r="Y914" s="3110">
        <f t="shared" si="328"/>
        <v>10000</v>
      </c>
      <c r="Z914" s="896">
        <f t="shared" si="329"/>
        <v>10000000</v>
      </c>
      <c r="AA914" s="547"/>
      <c r="AB914" s="1891"/>
      <c r="AC914" s="1895"/>
      <c r="AD914" s="542"/>
    </row>
    <row r="915" spans="1:30" s="3650" customFormat="1" ht="22.5" customHeight="1">
      <c r="A915" s="591"/>
      <c r="B915" s="624"/>
      <c r="C915" s="2035"/>
      <c r="D915" s="745"/>
      <c r="E915" s="1915"/>
      <c r="F915" s="824"/>
      <c r="G915" s="941"/>
      <c r="H915" s="2037"/>
      <c r="I915" s="557"/>
      <c r="J915" s="3652" t="s">
        <v>6057</v>
      </c>
      <c r="N915" s="2075"/>
      <c r="O915" s="2075"/>
      <c r="P915" s="2075"/>
      <c r="Q915" s="3653"/>
      <c r="R915" s="3638"/>
      <c r="S915" s="3653">
        <v>4000000</v>
      </c>
      <c r="T915" s="3653" t="s">
        <v>0</v>
      </c>
      <c r="U915" s="3653"/>
      <c r="V915" s="3653">
        <v>1</v>
      </c>
      <c r="W915" s="3653" t="s">
        <v>226</v>
      </c>
      <c r="X915" s="1256" t="s">
        <v>1</v>
      </c>
      <c r="Y915" s="3110">
        <f t="shared" ref="Y915:Y916" si="330">Z915/1000</f>
        <v>4000</v>
      </c>
      <c r="Z915" s="896">
        <f t="shared" ref="Z915:Z916" si="331">S915*V915</f>
        <v>4000000</v>
      </c>
      <c r="AA915" s="547"/>
      <c r="AB915" s="1891"/>
      <c r="AC915" s="1895"/>
      <c r="AD915" s="542"/>
    </row>
    <row r="916" spans="1:30" s="3650" customFormat="1" ht="22.5" customHeight="1">
      <c r="A916" s="591"/>
      <c r="B916" s="624"/>
      <c r="C916" s="2035"/>
      <c r="D916" s="2020"/>
      <c r="E916" s="684"/>
      <c r="F916" s="678"/>
      <c r="G916" s="678"/>
      <c r="H916" s="680"/>
      <c r="I916" s="2359"/>
      <c r="J916" s="3652" t="s">
        <v>6058</v>
      </c>
      <c r="N916" s="2075"/>
      <c r="O916" s="2075"/>
      <c r="P916" s="2075"/>
      <c r="Q916" s="3653"/>
      <c r="R916" s="3638"/>
      <c r="S916" s="3653">
        <v>9000000</v>
      </c>
      <c r="T916" s="3653" t="s">
        <v>0</v>
      </c>
      <c r="U916" s="3653"/>
      <c r="V916" s="3653">
        <v>1</v>
      </c>
      <c r="W916" s="3653" t="s">
        <v>226</v>
      </c>
      <c r="X916" s="1256" t="s">
        <v>1</v>
      </c>
      <c r="Y916" s="3110">
        <f t="shared" si="330"/>
        <v>9000</v>
      </c>
      <c r="Z916" s="896">
        <f t="shared" si="331"/>
        <v>9000000</v>
      </c>
      <c r="AA916" s="547"/>
      <c r="AB916" s="1891"/>
      <c r="AC916" s="1895"/>
      <c r="AD916" s="542"/>
    </row>
    <row r="917" spans="1:30" s="3650" customFormat="1" ht="22.5" customHeight="1">
      <c r="A917" s="591"/>
      <c r="B917" s="624"/>
      <c r="C917" s="2035"/>
      <c r="D917" s="2020"/>
      <c r="E917" s="684" t="s">
        <v>6051</v>
      </c>
      <c r="F917" s="678">
        <f>Y917</f>
        <v>1000</v>
      </c>
      <c r="G917" s="678"/>
      <c r="H917" s="680">
        <f>F917-G917</f>
        <v>1000</v>
      </c>
      <c r="I917" s="2359"/>
      <c r="J917" s="3652" t="s">
        <v>6052</v>
      </c>
      <c r="K917" s="3107"/>
      <c r="L917" s="3107"/>
      <c r="M917" s="3107"/>
      <c r="N917" s="3107"/>
      <c r="O917" s="3107"/>
      <c r="P917" s="3107"/>
      <c r="Q917" s="3653"/>
      <c r="R917" s="3653"/>
      <c r="S917" s="3653">
        <v>100000</v>
      </c>
      <c r="T917" s="3653" t="s">
        <v>4</v>
      </c>
      <c r="U917" s="3653"/>
      <c r="V917" s="3653">
        <v>10</v>
      </c>
      <c r="W917" s="3653" t="s">
        <v>39</v>
      </c>
      <c r="X917" s="2030" t="s">
        <v>5</v>
      </c>
      <c r="Y917" s="3110">
        <f>Z917/1000</f>
        <v>1000</v>
      </c>
      <c r="Z917" s="896">
        <f>S917*V917</f>
        <v>1000000</v>
      </c>
      <c r="AA917" s="547"/>
      <c r="AB917" s="1891"/>
      <c r="AC917" s="1895"/>
      <c r="AD917" s="542"/>
    </row>
    <row r="918" spans="1:30" s="3650" customFormat="1" ht="22.5" customHeight="1">
      <c r="A918" s="591"/>
      <c r="B918" s="624"/>
      <c r="C918" s="2035"/>
      <c r="D918" s="3825" t="s">
        <v>6059</v>
      </c>
      <c r="E918" s="3826"/>
      <c r="F918" s="3158">
        <f>SUM(F919:F927)</f>
        <v>64999.95</v>
      </c>
      <c r="G918" s="955">
        <f>SUM(G919:G927)</f>
        <v>0</v>
      </c>
      <c r="H918" s="620">
        <f>F918-G918</f>
        <v>64999.95</v>
      </c>
      <c r="I918" s="557"/>
      <c r="J918" s="2025"/>
      <c r="K918" s="3634"/>
      <c r="L918" s="3634"/>
      <c r="M918" s="3634"/>
      <c r="N918" s="3634"/>
      <c r="O918" s="3634"/>
      <c r="P918" s="3634"/>
      <c r="Q918" s="3634"/>
      <c r="R918" s="539"/>
      <c r="S918" s="2026"/>
      <c r="T918" s="2026"/>
      <c r="U918" s="2026"/>
      <c r="V918" s="2026"/>
      <c r="W918" s="2026"/>
      <c r="X918" s="2028"/>
      <c r="Y918" s="586"/>
      <c r="Z918" s="622"/>
      <c r="AA918" s="547"/>
      <c r="AB918" s="1891"/>
      <c r="AC918" s="1895"/>
      <c r="AD918" s="542"/>
    </row>
    <row r="919" spans="1:30" s="3650" customFormat="1" ht="22.5" customHeight="1">
      <c r="A919" s="591"/>
      <c r="B919" s="624"/>
      <c r="C919" s="2035"/>
      <c r="D919" s="2020"/>
      <c r="E919" s="684" t="s">
        <v>6031</v>
      </c>
      <c r="F919" s="678">
        <f>Y919</f>
        <v>1500</v>
      </c>
      <c r="G919" s="678"/>
      <c r="H919" s="680">
        <f>F919-G919</f>
        <v>1500</v>
      </c>
      <c r="I919" s="2359"/>
      <c r="J919" s="3652" t="s">
        <v>6060</v>
      </c>
      <c r="Q919" s="3653"/>
      <c r="R919" s="3653"/>
      <c r="S919" s="3653">
        <v>1500000</v>
      </c>
      <c r="T919" s="3653" t="s">
        <v>4</v>
      </c>
      <c r="U919" s="3653"/>
      <c r="V919" s="3653">
        <v>1</v>
      </c>
      <c r="W919" s="3653" t="s">
        <v>226</v>
      </c>
      <c r="X919" s="2030" t="s">
        <v>5</v>
      </c>
      <c r="Y919" s="3110">
        <f t="shared" ref="Y919:Y920" si="332">Z919/1000</f>
        <v>1500</v>
      </c>
      <c r="Z919" s="555">
        <f>S919*V919</f>
        <v>1500000</v>
      </c>
      <c r="AA919" s="547"/>
      <c r="AB919" s="1891"/>
      <c r="AC919" s="1895"/>
      <c r="AD919" s="542"/>
    </row>
    <row r="920" spans="1:30" s="3650" customFormat="1" ht="22.5" customHeight="1">
      <c r="A920" s="591"/>
      <c r="B920" s="624"/>
      <c r="C920" s="2035"/>
      <c r="D920" s="2020"/>
      <c r="E920" s="684" t="s">
        <v>6036</v>
      </c>
      <c r="F920" s="678">
        <f>Y920</f>
        <v>5499.95</v>
      </c>
      <c r="G920" s="678"/>
      <c r="H920" s="680">
        <f>F920-G921</f>
        <v>5499.95</v>
      </c>
      <c r="I920" s="2359"/>
      <c r="J920" s="3652" t="s">
        <v>8</v>
      </c>
      <c r="Q920" s="3653"/>
      <c r="R920" s="3653"/>
      <c r="S920" s="3653"/>
      <c r="T920" s="3653"/>
      <c r="U920" s="3653"/>
      <c r="V920" s="1367"/>
      <c r="W920" s="3653"/>
      <c r="X920" s="3653"/>
      <c r="Y920" s="3110">
        <f t="shared" si="332"/>
        <v>5499.95</v>
      </c>
      <c r="Z920" s="555">
        <f>SUM(Z921:Z923)</f>
        <v>5499950</v>
      </c>
      <c r="AA920" s="547"/>
      <c r="AB920" s="1891"/>
      <c r="AC920" s="1895"/>
      <c r="AD920" s="542"/>
    </row>
    <row r="921" spans="1:30" s="3650" customFormat="1" ht="22.5" customHeight="1">
      <c r="A921" s="591"/>
      <c r="B921" s="624"/>
      <c r="C921" s="2035"/>
      <c r="D921" s="2020"/>
      <c r="E921" s="684"/>
      <c r="F921" s="678"/>
      <c r="G921" s="678"/>
      <c r="H921" s="680"/>
      <c r="I921" s="2359"/>
      <c r="J921" s="3652" t="s">
        <v>6061</v>
      </c>
      <c r="N921" s="2075"/>
      <c r="O921" s="2075"/>
      <c r="P921" s="3107"/>
      <c r="Q921" s="3653"/>
      <c r="R921" s="3653"/>
      <c r="S921" s="3653">
        <v>65000000</v>
      </c>
      <c r="T921" s="3653" t="s">
        <v>4</v>
      </c>
      <c r="U921" s="3653"/>
      <c r="V921" s="1367">
        <v>6.923</v>
      </c>
      <c r="W921" s="3653" t="s">
        <v>758</v>
      </c>
      <c r="X921" s="3653" t="s">
        <v>5</v>
      </c>
      <c r="Y921" s="3110">
        <f>Z921/1000</f>
        <v>4499.95</v>
      </c>
      <c r="Z921" s="555">
        <f>S921*V921/100</f>
        <v>4499950</v>
      </c>
      <c r="AA921" s="547"/>
      <c r="AB921" s="1891"/>
      <c r="AC921" s="1895"/>
      <c r="AD921" s="542"/>
    </row>
    <row r="922" spans="1:30" s="3650" customFormat="1" ht="22.5" customHeight="1">
      <c r="A922" s="591"/>
      <c r="B922" s="624"/>
      <c r="C922" s="2035"/>
      <c r="D922" s="2020"/>
      <c r="E922" s="684"/>
      <c r="F922" s="678"/>
      <c r="G922" s="678"/>
      <c r="H922" s="680"/>
      <c r="I922" s="2359"/>
      <c r="J922" s="3652" t="s">
        <v>6062</v>
      </c>
      <c r="P922" s="3107"/>
      <c r="Q922" s="3653"/>
      <c r="R922" s="3653"/>
      <c r="S922" s="3653">
        <v>500000</v>
      </c>
      <c r="T922" s="3653" t="s">
        <v>4</v>
      </c>
      <c r="U922" s="3653"/>
      <c r="V922" s="3653">
        <v>1</v>
      </c>
      <c r="W922" s="3653" t="s">
        <v>10</v>
      </c>
      <c r="X922" s="3653" t="s">
        <v>5</v>
      </c>
      <c r="Y922" s="3110">
        <f>Z922/1000</f>
        <v>500</v>
      </c>
      <c r="Z922" s="555">
        <f>S922*V922</f>
        <v>500000</v>
      </c>
      <c r="AA922" s="547"/>
      <c r="AB922" s="1891"/>
      <c r="AC922" s="1895"/>
      <c r="AD922" s="542"/>
    </row>
    <row r="923" spans="1:30" s="3650" customFormat="1" ht="22.5" customHeight="1">
      <c r="A923" s="591"/>
      <c r="B923" s="624"/>
      <c r="C923" s="2035"/>
      <c r="D923" s="2020"/>
      <c r="E923" s="684"/>
      <c r="F923" s="678"/>
      <c r="G923" s="678"/>
      <c r="H923" s="680"/>
      <c r="I923" s="2359"/>
      <c r="J923" s="3652" t="s">
        <v>6063</v>
      </c>
      <c r="N923" s="2075"/>
      <c r="O923" s="2075"/>
      <c r="Q923" s="3653"/>
      <c r="R923" s="3653"/>
      <c r="S923" s="3653">
        <v>250000</v>
      </c>
      <c r="T923" s="3653" t="s">
        <v>4</v>
      </c>
      <c r="U923" s="3653"/>
      <c r="V923" s="3653">
        <v>2</v>
      </c>
      <c r="W923" s="3653" t="s">
        <v>10</v>
      </c>
      <c r="X923" s="3653" t="s">
        <v>5</v>
      </c>
      <c r="Y923" s="3110">
        <f>Z923/1000</f>
        <v>500</v>
      </c>
      <c r="Z923" s="555">
        <f>S923*V923</f>
        <v>500000</v>
      </c>
      <c r="AA923" s="547"/>
      <c r="AB923" s="1891"/>
      <c r="AC923" s="1895"/>
      <c r="AD923" s="542"/>
    </row>
    <row r="924" spans="1:30" s="3650" customFormat="1" ht="22.5" customHeight="1">
      <c r="A924" s="591"/>
      <c r="B924" s="624"/>
      <c r="C924" s="2035"/>
      <c r="D924" s="2020"/>
      <c r="E924" s="684" t="s">
        <v>6050</v>
      </c>
      <c r="F924" s="678">
        <f>Y924</f>
        <v>58000</v>
      </c>
      <c r="G924" s="678"/>
      <c r="H924" s="680">
        <f>F924-G925</f>
        <v>58000</v>
      </c>
      <c r="I924" s="2359"/>
      <c r="J924" s="3652" t="s">
        <v>8</v>
      </c>
      <c r="Q924" s="3653"/>
      <c r="R924" s="3653"/>
      <c r="S924" s="3653"/>
      <c r="T924" s="3653"/>
      <c r="U924" s="3653"/>
      <c r="V924" s="3653"/>
      <c r="W924" s="3653"/>
      <c r="X924" s="3653"/>
      <c r="Y924" s="3110">
        <f>Z924/1000</f>
        <v>58000</v>
      </c>
      <c r="Z924" s="555">
        <f>SUM(Z925:Z927)</f>
        <v>58000000</v>
      </c>
      <c r="AA924" s="547"/>
      <c r="AB924" s="1891"/>
      <c r="AC924" s="1895"/>
      <c r="AD924" s="542"/>
    </row>
    <row r="925" spans="1:30" s="3650" customFormat="1" ht="22.5" customHeight="1">
      <c r="A925" s="591"/>
      <c r="B925" s="624"/>
      <c r="C925" s="2035"/>
      <c r="D925" s="2020"/>
      <c r="E925" s="684"/>
      <c r="F925" s="678"/>
      <c r="G925" s="678"/>
      <c r="H925" s="680"/>
      <c r="I925" s="2359"/>
      <c r="J925" s="3652" t="s">
        <v>6064</v>
      </c>
      <c r="N925" s="2075"/>
      <c r="O925" s="2075"/>
      <c r="Q925" s="3653"/>
      <c r="R925" s="3653"/>
      <c r="S925" s="3653">
        <v>52000000</v>
      </c>
      <c r="T925" s="3653" t="s">
        <v>0</v>
      </c>
      <c r="U925" s="3653"/>
      <c r="V925" s="3653">
        <v>1</v>
      </c>
      <c r="W925" s="3653" t="s">
        <v>226</v>
      </c>
      <c r="X925" s="1256" t="s">
        <v>1</v>
      </c>
      <c r="Y925" s="3110">
        <f t="shared" ref="Y925:Y927" si="333">Z925/1000</f>
        <v>52000</v>
      </c>
      <c r="Z925" s="896">
        <f t="shared" ref="Z925:Z927" si="334">S925*V925</f>
        <v>52000000</v>
      </c>
      <c r="AA925" s="547"/>
      <c r="AB925" s="1891"/>
      <c r="AC925" s="1895"/>
      <c r="AD925" s="542"/>
    </row>
    <row r="926" spans="1:30" s="3650" customFormat="1" ht="22.5" customHeight="1">
      <c r="A926" s="591"/>
      <c r="B926" s="624"/>
      <c r="C926" s="2035"/>
      <c r="D926" s="2020"/>
      <c r="E926" s="684"/>
      <c r="F926" s="678"/>
      <c r="G926" s="678"/>
      <c r="H926" s="680"/>
      <c r="I926" s="2359"/>
      <c r="J926" s="3652" t="s">
        <v>6065</v>
      </c>
      <c r="Q926" s="3653"/>
      <c r="R926" s="3653"/>
      <c r="S926" s="3653">
        <v>3000000</v>
      </c>
      <c r="T926" s="3653" t="s">
        <v>0</v>
      </c>
      <c r="U926" s="3653"/>
      <c r="V926" s="3653">
        <v>1</v>
      </c>
      <c r="W926" s="3653" t="s">
        <v>226</v>
      </c>
      <c r="X926" s="1256" t="s">
        <v>1</v>
      </c>
      <c r="Y926" s="3110">
        <f t="shared" si="333"/>
        <v>3000</v>
      </c>
      <c r="Z926" s="896">
        <f t="shared" si="334"/>
        <v>3000000</v>
      </c>
      <c r="AA926" s="547"/>
      <c r="AB926" s="1891"/>
      <c r="AC926" s="1895"/>
      <c r="AD926" s="542"/>
    </row>
    <row r="927" spans="1:30" s="3650" customFormat="1" ht="22.5" customHeight="1" thickBot="1">
      <c r="A927" s="2748"/>
      <c r="B927" s="638"/>
      <c r="C927" s="637"/>
      <c r="D927" s="2063"/>
      <c r="E927" s="684"/>
      <c r="F927" s="678"/>
      <c r="G927" s="678"/>
      <c r="H927" s="680"/>
      <c r="I927" s="2359"/>
      <c r="J927" s="3652" t="s">
        <v>6066</v>
      </c>
      <c r="N927" s="2075"/>
      <c r="O927" s="2075"/>
      <c r="Q927" s="3653"/>
      <c r="R927" s="3653"/>
      <c r="S927" s="3653">
        <v>3000000</v>
      </c>
      <c r="T927" s="3653" t="s">
        <v>0</v>
      </c>
      <c r="U927" s="3653"/>
      <c r="V927" s="3653">
        <v>1</v>
      </c>
      <c r="W927" s="3653" t="s">
        <v>226</v>
      </c>
      <c r="X927" s="1256" t="s">
        <v>1</v>
      </c>
      <c r="Y927" s="3110">
        <f t="shared" si="333"/>
        <v>3000</v>
      </c>
      <c r="Z927" s="896">
        <f t="shared" si="334"/>
        <v>3000000</v>
      </c>
      <c r="AA927" s="547"/>
      <c r="AB927" s="1891"/>
      <c r="AC927" s="1895"/>
      <c r="AD927" s="542"/>
    </row>
    <row r="928" spans="1:30" s="1887" customFormat="1" ht="22.5" customHeight="1" thickBot="1">
      <c r="A928" s="574" t="s">
        <v>2014</v>
      </c>
      <c r="B928" s="1902"/>
      <c r="C928" s="1902"/>
      <c r="D928" s="1902"/>
      <c r="E928" s="1902"/>
      <c r="F928" s="821">
        <f t="shared" ref="F928:G928" si="335">+F929</f>
        <v>43807.925000000003</v>
      </c>
      <c r="G928" s="821">
        <f t="shared" si="335"/>
        <v>33000</v>
      </c>
      <c r="H928" s="2655">
        <f t="shared" ref="H928:H929" si="336">F928-G928</f>
        <v>10807.925000000003</v>
      </c>
      <c r="I928" s="557"/>
      <c r="J928" s="2316"/>
      <c r="K928" s="2317"/>
      <c r="L928" s="2317"/>
      <c r="M928" s="2317"/>
      <c r="N928" s="2317"/>
      <c r="O928" s="2317"/>
      <c r="P928" s="2317"/>
      <c r="Q928" s="2317"/>
      <c r="R928" s="2722"/>
      <c r="S928" s="2317"/>
      <c r="T928" s="2317"/>
      <c r="U928" s="2317"/>
      <c r="V928" s="2317"/>
      <c r="W928" s="2317"/>
      <c r="X928" s="2314"/>
      <c r="Y928" s="2723"/>
      <c r="Z928" s="3675"/>
      <c r="AA928" s="547"/>
      <c r="AB928" s="1891"/>
      <c r="AC928" s="1895"/>
      <c r="AD928" s="456"/>
    </row>
    <row r="929" spans="1:30" s="814" customFormat="1" ht="22.5" customHeight="1" thickBot="1">
      <c r="A929" s="1912"/>
      <c r="B929" s="568" t="s">
        <v>2437</v>
      </c>
      <c r="C929" s="569"/>
      <c r="D929" s="570"/>
      <c r="E929" s="571"/>
      <c r="F929" s="822">
        <f>+F930+F950+F953</f>
        <v>43807.925000000003</v>
      </c>
      <c r="G929" s="822">
        <f>+G930+G950+G953</f>
        <v>33000</v>
      </c>
      <c r="H929" s="573">
        <f t="shared" si="336"/>
        <v>10807.925000000003</v>
      </c>
      <c r="I929" s="2682"/>
      <c r="J929" s="574"/>
      <c r="K929" s="575"/>
      <c r="L929" s="575"/>
      <c r="M929" s="575"/>
      <c r="N929" s="575"/>
      <c r="O929" s="575"/>
      <c r="P929" s="575"/>
      <c r="Q929" s="575"/>
      <c r="R929" s="575"/>
      <c r="S929" s="575"/>
      <c r="T929" s="575"/>
      <c r="U929" s="575"/>
      <c r="V929" s="575"/>
      <c r="W929" s="575"/>
      <c r="X929" s="576"/>
      <c r="Y929" s="2658"/>
      <c r="Z929" s="3473"/>
      <c r="AA929" s="547">
        <f t="shared" ref="AA929:AA953" si="337">F929*1000000</f>
        <v>43807925000</v>
      </c>
      <c r="AB929" s="1891"/>
      <c r="AC929" s="2677"/>
      <c r="AD929" s="836"/>
    </row>
    <row r="930" spans="1:30" s="93" customFormat="1" ht="22.5" customHeight="1">
      <c r="A930" s="2079"/>
      <c r="B930" s="2035"/>
      <c r="C930" s="1386" t="s">
        <v>909</v>
      </c>
      <c r="D930" s="2104"/>
      <c r="E930" s="1252"/>
      <c r="F930" s="1253">
        <f>F931+F941</f>
        <v>30000</v>
      </c>
      <c r="G930" s="1253">
        <f>G931+G941</f>
        <v>30000</v>
      </c>
      <c r="H930" s="2021">
        <f>F930-G930</f>
        <v>0</v>
      </c>
      <c r="I930" s="557"/>
      <c r="J930" s="2025"/>
      <c r="K930" s="2068"/>
      <c r="L930" s="2068"/>
      <c r="M930" s="2068"/>
      <c r="N930" s="2068"/>
      <c r="O930" s="2068"/>
      <c r="P930" s="2101"/>
      <c r="Q930" s="2026"/>
      <c r="R930" s="2027"/>
      <c r="S930" s="2026"/>
      <c r="T930" s="2026"/>
      <c r="U930" s="2101"/>
      <c r="V930" s="2026"/>
      <c r="W930" s="2026"/>
      <c r="X930" s="2028"/>
      <c r="Y930" s="517"/>
      <c r="Z930" s="2339">
        <f>Z931</f>
        <v>12500000</v>
      </c>
      <c r="AA930" s="547">
        <f t="shared" si="337"/>
        <v>30000000000</v>
      </c>
      <c r="AB930" s="1891">
        <f>F930</f>
        <v>30000</v>
      </c>
      <c r="AC930" s="2729"/>
      <c r="AD930" s="1662"/>
    </row>
    <row r="931" spans="1:30" s="93" customFormat="1" ht="22.5" customHeight="1">
      <c r="A931" s="2079"/>
      <c r="B931" s="2035"/>
      <c r="C931" s="2013"/>
      <c r="D931" s="3823" t="s">
        <v>2249</v>
      </c>
      <c r="E931" s="3824"/>
      <c r="F931" s="2052">
        <f>SUM(F932:F940)</f>
        <v>15000</v>
      </c>
      <c r="G931" s="2052">
        <f>SUM(G932:G940)</f>
        <v>15000</v>
      </c>
      <c r="H931" s="769">
        <f>F931-G931</f>
        <v>0</v>
      </c>
      <c r="I931" s="557"/>
      <c r="J931" s="2017"/>
      <c r="K931" s="2065"/>
      <c r="L931" s="2065"/>
      <c r="M931" s="2065"/>
      <c r="N931" s="2065"/>
      <c r="O931" s="2065"/>
      <c r="P931" s="2018"/>
      <c r="Q931" s="2065"/>
      <c r="R931" s="2019"/>
      <c r="S931" s="2018"/>
      <c r="T931" s="2065"/>
      <c r="U931" s="2065"/>
      <c r="V931" s="2018"/>
      <c r="W931" s="2065"/>
      <c r="X931" s="2053"/>
      <c r="Y931" s="2054"/>
      <c r="Z931" s="667">
        <f>SUM(Z934:Z936)</f>
        <v>12500000</v>
      </c>
      <c r="AA931" s="547">
        <f t="shared" si="337"/>
        <v>15000000000</v>
      </c>
      <c r="AB931" s="1891"/>
      <c r="AC931" s="2729"/>
      <c r="AD931" s="1662"/>
    </row>
    <row r="932" spans="1:30" s="1888" customFormat="1" ht="22.5" customHeight="1">
      <c r="A932" s="591"/>
      <c r="B932" s="548"/>
      <c r="C932" s="624"/>
      <c r="D932" s="2020"/>
      <c r="E932" s="2023" t="s">
        <v>592</v>
      </c>
      <c r="F932" s="549">
        <f>Y932</f>
        <v>4000</v>
      </c>
      <c r="G932" s="549">
        <v>4000</v>
      </c>
      <c r="H932" s="626"/>
      <c r="I932" s="557"/>
      <c r="J932" s="2105" t="s">
        <v>2050</v>
      </c>
      <c r="K932" s="2082"/>
      <c r="L932" s="2082"/>
      <c r="M932" s="2082"/>
      <c r="N932" s="2082"/>
      <c r="O932" s="2082"/>
      <c r="P932" s="2082"/>
      <c r="Q932" s="556"/>
      <c r="R932" s="2080"/>
      <c r="S932" s="2106">
        <v>5000</v>
      </c>
      <c r="T932" s="2106" t="s">
        <v>751</v>
      </c>
      <c r="U932" s="2106"/>
      <c r="V932" s="2106">
        <v>800</v>
      </c>
      <c r="W932" s="2106" t="s">
        <v>780</v>
      </c>
      <c r="X932" s="2030" t="s">
        <v>21</v>
      </c>
      <c r="Y932" s="554">
        <f t="shared" ref="Y932" si="338">Z932/1000</f>
        <v>4000</v>
      </c>
      <c r="Z932" s="896">
        <f>S932*V932</f>
        <v>4000000</v>
      </c>
      <c r="AA932" s="547">
        <f t="shared" si="337"/>
        <v>4000000000</v>
      </c>
      <c r="AB932" s="1891"/>
      <c r="AC932" s="1895"/>
      <c r="AD932" s="542"/>
    </row>
    <row r="933" spans="1:30" s="93" customFormat="1" ht="22.5" customHeight="1">
      <c r="A933" s="2079"/>
      <c r="B933" s="2035"/>
      <c r="C933" s="2013"/>
      <c r="D933" s="2038"/>
      <c r="E933" s="2023" t="s">
        <v>264</v>
      </c>
      <c r="F933" s="2031">
        <f>+Y933</f>
        <v>1200</v>
      </c>
      <c r="G933" s="2029">
        <v>1200</v>
      </c>
      <c r="H933" s="2037"/>
      <c r="I933" s="557"/>
      <c r="J933" s="2105" t="s">
        <v>1674</v>
      </c>
      <c r="K933" s="2082"/>
      <c r="L933" s="2082"/>
      <c r="M933" s="2082"/>
      <c r="N933" s="2075"/>
      <c r="O933" s="2075"/>
      <c r="P933" s="2075"/>
      <c r="Q933" s="2106"/>
      <c r="R933" s="2106"/>
      <c r="S933" s="2106">
        <v>200000</v>
      </c>
      <c r="T933" s="2106" t="s">
        <v>0</v>
      </c>
      <c r="U933" s="2106"/>
      <c r="V933" s="2106">
        <v>6</v>
      </c>
      <c r="W933" s="2106" t="s">
        <v>561</v>
      </c>
      <c r="X933" s="1256" t="s">
        <v>1</v>
      </c>
      <c r="Y933" s="483">
        <f>+S933*V933/1000</f>
        <v>1200</v>
      </c>
      <c r="Z933" s="896">
        <f>S933*V933</f>
        <v>1200000</v>
      </c>
      <c r="AA933" s="547">
        <f t="shared" si="337"/>
        <v>1200000000</v>
      </c>
      <c r="AB933" s="1891"/>
      <c r="AC933" s="2729"/>
      <c r="AD933" s="1662"/>
    </row>
    <row r="934" spans="1:30" s="93" customFormat="1" ht="22.5" customHeight="1">
      <c r="A934" s="2079"/>
      <c r="B934" s="2035"/>
      <c r="C934" s="2013"/>
      <c r="D934" s="2038"/>
      <c r="E934" s="2023" t="s">
        <v>380</v>
      </c>
      <c r="F934" s="2031">
        <f>+Y934</f>
        <v>6500</v>
      </c>
      <c r="G934" s="2029">
        <v>6500</v>
      </c>
      <c r="H934" s="2037"/>
      <c r="I934" s="557"/>
      <c r="J934" s="2105" t="s">
        <v>2443</v>
      </c>
      <c r="K934" s="2082"/>
      <c r="L934" s="2082"/>
      <c r="M934" s="2082"/>
      <c r="N934" s="2082"/>
      <c r="O934" s="2082"/>
      <c r="P934" s="2015"/>
      <c r="Q934" s="2106"/>
      <c r="R934" s="2092"/>
      <c r="S934" s="2106"/>
      <c r="T934" s="2106"/>
      <c r="U934" s="2015"/>
      <c r="V934" s="2106"/>
      <c r="W934" s="2106"/>
      <c r="X934" s="2030"/>
      <c r="Y934" s="2032">
        <f t="shared" ref="Y934" si="339">+Z934/1000</f>
        <v>6500</v>
      </c>
      <c r="Z934" s="896">
        <f>SUM(Z935:Z937)</f>
        <v>6500000</v>
      </c>
      <c r="AA934" s="547">
        <f t="shared" si="337"/>
        <v>6500000000</v>
      </c>
      <c r="AB934" s="1891"/>
      <c r="AC934" s="2729"/>
      <c r="AD934" s="1662"/>
    </row>
    <row r="935" spans="1:30" s="93" customFormat="1" ht="22.5" customHeight="1">
      <c r="A935" s="2079"/>
      <c r="B935" s="2035"/>
      <c r="C935" s="2013"/>
      <c r="D935" s="2038"/>
      <c r="E935" s="2023"/>
      <c r="F935" s="2031"/>
      <c r="G935" s="2029"/>
      <c r="H935" s="2037"/>
      <c r="I935" s="557"/>
      <c r="J935" s="2105" t="s">
        <v>2439</v>
      </c>
      <c r="K935" s="2082"/>
      <c r="L935" s="2082"/>
      <c r="M935" s="2082"/>
      <c r="N935" s="2075"/>
      <c r="O935" s="2075"/>
      <c r="P935" s="2075"/>
      <c r="Q935" s="2106">
        <v>2</v>
      </c>
      <c r="R935" s="2106" t="s">
        <v>36</v>
      </c>
      <c r="S935" s="2106">
        <v>100000</v>
      </c>
      <c r="T935" s="2106" t="s">
        <v>0</v>
      </c>
      <c r="U935" s="2106"/>
      <c r="V935" s="2106">
        <v>20</v>
      </c>
      <c r="W935" s="2106" t="s">
        <v>561</v>
      </c>
      <c r="X935" s="1256" t="s">
        <v>1</v>
      </c>
      <c r="Y935" s="483">
        <f>+S935*V935/1000</f>
        <v>2000</v>
      </c>
      <c r="Z935" s="896">
        <f>Q935*S935*V935</f>
        <v>4000000</v>
      </c>
      <c r="AA935" s="547">
        <f t="shared" si="337"/>
        <v>0</v>
      </c>
      <c r="AB935" s="1891"/>
      <c r="AC935" s="2729"/>
      <c r="AD935" s="1662"/>
    </row>
    <row r="936" spans="1:30" s="93" customFormat="1" ht="22.5" customHeight="1">
      <c r="A936" s="2079"/>
      <c r="B936" s="2035"/>
      <c r="C936" s="2035"/>
      <c r="D936" s="2038"/>
      <c r="E936" s="2023"/>
      <c r="F936" s="2031"/>
      <c r="G936" s="2029"/>
      <c r="H936" s="2037"/>
      <c r="I936" s="557"/>
      <c r="J936" s="2105" t="s">
        <v>2440</v>
      </c>
      <c r="K936" s="2082"/>
      <c r="L936" s="2082"/>
      <c r="M936" s="2082"/>
      <c r="N936" s="2082"/>
      <c r="O936" s="2082"/>
      <c r="P936" s="2015"/>
      <c r="Q936" s="2106">
        <v>2</v>
      </c>
      <c r="R936" s="2106" t="s">
        <v>36</v>
      </c>
      <c r="S936" s="2106">
        <v>200000</v>
      </c>
      <c r="T936" s="2106" t="s">
        <v>0</v>
      </c>
      <c r="U936" s="2106"/>
      <c r="V936" s="2106">
        <v>5</v>
      </c>
      <c r="W936" s="2106" t="s">
        <v>2441</v>
      </c>
      <c r="X936" s="1256" t="s">
        <v>1</v>
      </c>
      <c r="Y936" s="483">
        <f>+S936*V936/1000</f>
        <v>1000</v>
      </c>
      <c r="Z936" s="896">
        <f>Q936*S936*V936</f>
        <v>2000000</v>
      </c>
      <c r="AA936" s="547">
        <f t="shared" si="337"/>
        <v>0</v>
      </c>
      <c r="AB936" s="1891"/>
      <c r="AC936" s="2729"/>
      <c r="AD936" s="1662"/>
    </row>
    <row r="937" spans="1:30" s="93" customFormat="1" ht="22.5" customHeight="1">
      <c r="A937" s="2079"/>
      <c r="B937" s="2035"/>
      <c r="C937" s="2035"/>
      <c r="D937" s="2038"/>
      <c r="E937" s="2023"/>
      <c r="F937" s="2031"/>
      <c r="G937" s="2029"/>
      <c r="H937" s="2037"/>
      <c r="I937" s="557"/>
      <c r="J937" s="2105" t="s">
        <v>2438</v>
      </c>
      <c r="K937" s="2082"/>
      <c r="L937" s="2082"/>
      <c r="M937" s="2082"/>
      <c r="N937" s="2082"/>
      <c r="O937" s="2082"/>
      <c r="P937" s="2015"/>
      <c r="Q937" s="2106">
        <v>2</v>
      </c>
      <c r="R937" s="2106" t="s">
        <v>36</v>
      </c>
      <c r="S937" s="2106">
        <v>50000</v>
      </c>
      <c r="T937" s="2106" t="s">
        <v>0</v>
      </c>
      <c r="U937" s="2106"/>
      <c r="V937" s="2106">
        <v>5</v>
      </c>
      <c r="W937" s="2106" t="s">
        <v>561</v>
      </c>
      <c r="X937" s="1256" t="s">
        <v>1</v>
      </c>
      <c r="Y937" s="483">
        <f>+S937*V937/1000</f>
        <v>250</v>
      </c>
      <c r="Z937" s="896">
        <f>Q937*S937*V937</f>
        <v>500000</v>
      </c>
      <c r="AA937" s="547">
        <f t="shared" si="337"/>
        <v>0</v>
      </c>
      <c r="AB937" s="1891"/>
      <c r="AC937" s="2729"/>
      <c r="AD937" s="1662"/>
    </row>
    <row r="938" spans="1:30" s="1888" customFormat="1" ht="22.5" customHeight="1">
      <c r="A938" s="591"/>
      <c r="B938" s="548"/>
      <c r="C938" s="624"/>
      <c r="D938" s="2020"/>
      <c r="E938" s="2023" t="s">
        <v>671</v>
      </c>
      <c r="F938" s="549">
        <f>Y938</f>
        <v>1500</v>
      </c>
      <c r="G938" s="549">
        <v>1500</v>
      </c>
      <c r="H938" s="551"/>
      <c r="I938" s="557"/>
      <c r="J938" s="2105" t="s">
        <v>2442</v>
      </c>
      <c r="K938" s="2082"/>
      <c r="L938" s="2082"/>
      <c r="M938" s="2082"/>
      <c r="N938" s="2082"/>
      <c r="O938" s="2082"/>
      <c r="P938" s="2082"/>
      <c r="Q938" s="2106"/>
      <c r="R938" s="2106"/>
      <c r="S938" s="2106">
        <v>250000</v>
      </c>
      <c r="T938" s="2106" t="s">
        <v>751</v>
      </c>
      <c r="U938" s="2106"/>
      <c r="V938" s="2106">
        <v>6</v>
      </c>
      <c r="W938" s="2106" t="s">
        <v>825</v>
      </c>
      <c r="X938" s="2106" t="s">
        <v>566</v>
      </c>
      <c r="Y938" s="483">
        <f t="shared" ref="Y938" si="340">Z938/1000</f>
        <v>1500</v>
      </c>
      <c r="Z938" s="896">
        <f>S938*V938</f>
        <v>1500000</v>
      </c>
      <c r="AA938" s="547">
        <f t="shared" si="337"/>
        <v>1500000000</v>
      </c>
      <c r="AB938" s="1891"/>
      <c r="AC938" s="1895"/>
      <c r="AD938" s="542"/>
    </row>
    <row r="939" spans="1:30" s="1894" customFormat="1" ht="22.5" customHeight="1">
      <c r="A939" s="2079"/>
      <c r="B939" s="2035"/>
      <c r="C939" s="2013"/>
      <c r="D939" s="2038"/>
      <c r="E939" s="2023" t="s">
        <v>591</v>
      </c>
      <c r="F939" s="526">
        <f>Y939</f>
        <v>1000</v>
      </c>
      <c r="G939" s="526">
        <v>1000</v>
      </c>
      <c r="H939" s="626"/>
      <c r="I939" s="557"/>
      <c r="J939" s="2105" t="s">
        <v>2444</v>
      </c>
      <c r="K939" s="2082"/>
      <c r="L939" s="2082"/>
      <c r="M939" s="2082"/>
      <c r="N939" s="2082"/>
      <c r="O939" s="2082"/>
      <c r="P939" s="2082"/>
      <c r="Q939" s="475"/>
      <c r="R939" s="552"/>
      <c r="S939" s="474">
        <v>200000</v>
      </c>
      <c r="T939" s="2106" t="s">
        <v>751</v>
      </c>
      <c r="U939" s="2106"/>
      <c r="V939" s="2106">
        <v>5</v>
      </c>
      <c r="W939" s="2106" t="s">
        <v>561</v>
      </c>
      <c r="X939" s="2106" t="s">
        <v>566</v>
      </c>
      <c r="Y939" s="1452">
        <f>Z939/1000</f>
        <v>1000</v>
      </c>
      <c r="Z939" s="896">
        <f>S939*V939</f>
        <v>1000000</v>
      </c>
      <c r="AA939" s="547">
        <f t="shared" si="337"/>
        <v>1000000000</v>
      </c>
      <c r="AB939" s="1891"/>
      <c r="AC939" s="1892"/>
      <c r="AD939" s="1893"/>
    </row>
    <row r="940" spans="1:30" s="1887" customFormat="1" ht="22.5" customHeight="1">
      <c r="A940" s="591"/>
      <c r="B940" s="624"/>
      <c r="C940" s="624"/>
      <c r="D940" s="2020"/>
      <c r="E940" s="2023" t="s">
        <v>14</v>
      </c>
      <c r="F940" s="526">
        <f>Y940</f>
        <v>800</v>
      </c>
      <c r="G940" s="526">
        <v>800</v>
      </c>
      <c r="H940" s="551"/>
      <c r="I940" s="557"/>
      <c r="J940" s="2105" t="s">
        <v>1486</v>
      </c>
      <c r="K940" s="473"/>
      <c r="L940" s="473"/>
      <c r="M940" s="473"/>
      <c r="N940" s="473"/>
      <c r="O940" s="473"/>
      <c r="P940" s="473"/>
      <c r="Q940" s="2106">
        <v>8</v>
      </c>
      <c r="R940" s="2106" t="s">
        <v>36</v>
      </c>
      <c r="S940" s="2106">
        <v>50000</v>
      </c>
      <c r="T940" s="2106" t="s">
        <v>4</v>
      </c>
      <c r="U940" s="2106"/>
      <c r="V940" s="2106">
        <v>2</v>
      </c>
      <c r="W940" s="2106" t="s">
        <v>39</v>
      </c>
      <c r="X940" s="2030" t="s">
        <v>5</v>
      </c>
      <c r="Y940" s="483">
        <f>Z940/1000</f>
        <v>800</v>
      </c>
      <c r="Z940" s="896">
        <f>Q940*S940*V940</f>
        <v>800000</v>
      </c>
      <c r="AA940" s="547">
        <f t="shared" si="337"/>
        <v>800000000</v>
      </c>
      <c r="AB940" s="1891"/>
      <c r="AC940" s="1895"/>
      <c r="AD940" s="456"/>
    </row>
    <row r="941" spans="1:30" s="93" customFormat="1" ht="22.5" customHeight="1">
      <c r="A941" s="2079"/>
      <c r="B941" s="2035"/>
      <c r="C941" s="2013"/>
      <c r="D941" s="3837" t="s">
        <v>2445</v>
      </c>
      <c r="E941" s="3838"/>
      <c r="F941" s="663">
        <f>SUM(F942:F949)</f>
        <v>15000</v>
      </c>
      <c r="G941" s="663">
        <f>SUM(G942:G949)</f>
        <v>15000</v>
      </c>
      <c r="H941" s="620">
        <f>F941-G941</f>
        <v>0</v>
      </c>
      <c r="I941" s="557"/>
      <c r="J941" s="665"/>
      <c r="K941" s="2101"/>
      <c r="L941" s="2101"/>
      <c r="M941" s="2101"/>
      <c r="N941" s="2101"/>
      <c r="O941" s="2101"/>
      <c r="P941" s="645"/>
      <c r="Q941" s="2101"/>
      <c r="R941" s="2036"/>
      <c r="S941" s="645"/>
      <c r="T941" s="2101"/>
      <c r="U941" s="2101"/>
      <c r="V941" s="645"/>
      <c r="W941" s="2101"/>
      <c r="X941" s="666"/>
      <c r="Y941" s="667"/>
      <c r="Z941" s="667">
        <f>SUM(Z943:Z945)</f>
        <v>18200000</v>
      </c>
      <c r="AA941" s="547">
        <f t="shared" si="337"/>
        <v>15000000000</v>
      </c>
      <c r="AB941" s="1891"/>
      <c r="AC941" s="2729"/>
      <c r="AD941" s="1662"/>
    </row>
    <row r="942" spans="1:30" s="93" customFormat="1" ht="22.5" customHeight="1">
      <c r="A942" s="2079"/>
      <c r="B942" s="2035"/>
      <c r="C942" s="2013"/>
      <c r="D942" s="2038"/>
      <c r="E942" s="2023" t="s">
        <v>264</v>
      </c>
      <c r="F942" s="2031">
        <f>+Y942</f>
        <v>1050</v>
      </c>
      <c r="G942" s="2029">
        <v>1050</v>
      </c>
      <c r="H942" s="2037"/>
      <c r="I942" s="557"/>
      <c r="J942" s="2105" t="s">
        <v>1674</v>
      </c>
      <c r="K942" s="2082"/>
      <c r="L942" s="2082"/>
      <c r="M942" s="2082"/>
      <c r="N942" s="2075"/>
      <c r="O942" s="2075"/>
      <c r="P942" s="2075"/>
      <c r="Q942" s="2106"/>
      <c r="R942" s="2106"/>
      <c r="S942" s="2106">
        <v>210000</v>
      </c>
      <c r="T942" s="2106" t="s">
        <v>0</v>
      </c>
      <c r="U942" s="2106"/>
      <c r="V942" s="2106">
        <v>5</v>
      </c>
      <c r="W942" s="2106" t="s">
        <v>561</v>
      </c>
      <c r="X942" s="1256" t="s">
        <v>1</v>
      </c>
      <c r="Y942" s="483">
        <f>+S942*V942/1000</f>
        <v>1050</v>
      </c>
      <c r="Z942" s="896">
        <f>S942*V942</f>
        <v>1050000</v>
      </c>
      <c r="AA942" s="547">
        <f t="shared" si="337"/>
        <v>1050000000</v>
      </c>
      <c r="AB942" s="1891"/>
      <c r="AC942" s="2729"/>
      <c r="AD942" s="1662"/>
    </row>
    <row r="943" spans="1:30" s="93" customFormat="1" ht="22.5" customHeight="1">
      <c r="A943" s="2079"/>
      <c r="B943" s="2035"/>
      <c r="C943" s="2013"/>
      <c r="D943" s="2038"/>
      <c r="E943" s="2023" t="s">
        <v>380</v>
      </c>
      <c r="F943" s="2031">
        <f>+Y943</f>
        <v>10700</v>
      </c>
      <c r="G943" s="2029">
        <v>10700</v>
      </c>
      <c r="H943" s="2037"/>
      <c r="I943" s="557"/>
      <c r="J943" s="2105" t="s">
        <v>2443</v>
      </c>
      <c r="K943" s="2082"/>
      <c r="L943" s="2082"/>
      <c r="M943" s="2082"/>
      <c r="N943" s="2082"/>
      <c r="O943" s="2082"/>
      <c r="P943" s="2015"/>
      <c r="Q943" s="2106"/>
      <c r="R943" s="2092"/>
      <c r="S943" s="2106"/>
      <c r="T943" s="2106"/>
      <c r="U943" s="2015"/>
      <c r="V943" s="2106"/>
      <c r="W943" s="2106"/>
      <c r="X943" s="2030"/>
      <c r="Y943" s="3110">
        <f t="shared" ref="Y943" si="341">+Z943/1000</f>
        <v>10700</v>
      </c>
      <c r="Z943" s="896">
        <f>SUM(Z944:Z946)</f>
        <v>10700000</v>
      </c>
      <c r="AA943" s="547">
        <f t="shared" si="337"/>
        <v>10700000000</v>
      </c>
      <c r="AB943" s="1891"/>
      <c r="AC943" s="2729"/>
      <c r="AD943" s="1662"/>
    </row>
    <row r="944" spans="1:30" s="93" customFormat="1" ht="22.5" customHeight="1">
      <c r="A944" s="2079"/>
      <c r="B944" s="2035"/>
      <c r="C944" s="2013"/>
      <c r="D944" s="2038"/>
      <c r="E944" s="2023"/>
      <c r="F944" s="2031"/>
      <c r="G944" s="2029"/>
      <c r="H944" s="2037"/>
      <c r="I944" s="557"/>
      <c r="J944" s="2105" t="s">
        <v>2446</v>
      </c>
      <c r="K944" s="2082"/>
      <c r="L944" s="2082"/>
      <c r="M944" s="2082"/>
      <c r="N944" s="2075"/>
      <c r="O944" s="2075"/>
      <c r="P944" s="2075"/>
      <c r="Q944" s="2106">
        <v>3</v>
      </c>
      <c r="R944" s="2106" t="s">
        <v>36</v>
      </c>
      <c r="S944" s="2106">
        <v>150000</v>
      </c>
      <c r="T944" s="2106" t="s">
        <v>0</v>
      </c>
      <c r="U944" s="2106"/>
      <c r="V944" s="2106">
        <v>12</v>
      </c>
      <c r="W944" s="2106" t="s">
        <v>561</v>
      </c>
      <c r="X944" s="1256" t="s">
        <v>1</v>
      </c>
      <c r="Y944" s="483">
        <f>+S944*V944/1000</f>
        <v>1800</v>
      </c>
      <c r="Z944" s="896">
        <f>Q944*S944*V944</f>
        <v>5400000</v>
      </c>
      <c r="AA944" s="547">
        <f t="shared" si="337"/>
        <v>0</v>
      </c>
      <c r="AB944" s="1891"/>
      <c r="AC944" s="2729"/>
      <c r="AD944" s="1662"/>
    </row>
    <row r="945" spans="1:30" s="93" customFormat="1" ht="22.5" customHeight="1">
      <c r="A945" s="2079"/>
      <c r="B945" s="2035"/>
      <c r="C945" s="2035"/>
      <c r="D945" s="2038"/>
      <c r="E945" s="2023"/>
      <c r="F945" s="2031"/>
      <c r="G945" s="2029"/>
      <c r="H945" s="2037"/>
      <c r="I945" s="557"/>
      <c r="J945" s="2105" t="s">
        <v>2448</v>
      </c>
      <c r="K945" s="2082"/>
      <c r="L945" s="2082"/>
      <c r="M945" s="2082"/>
      <c r="N945" s="2082"/>
      <c r="O945" s="2082"/>
      <c r="P945" s="2015"/>
      <c r="Q945" s="2106">
        <v>1</v>
      </c>
      <c r="R945" s="2106" t="s">
        <v>36</v>
      </c>
      <c r="S945" s="2106">
        <v>150000</v>
      </c>
      <c r="T945" s="2106" t="s">
        <v>0</v>
      </c>
      <c r="U945" s="2106"/>
      <c r="V945" s="2106">
        <v>14</v>
      </c>
      <c r="W945" s="2106" t="s">
        <v>561</v>
      </c>
      <c r="X945" s="1256" t="s">
        <v>1</v>
      </c>
      <c r="Y945" s="483">
        <f>+S945*V945/1000</f>
        <v>2100</v>
      </c>
      <c r="Z945" s="896">
        <f>Q945*S945*V945</f>
        <v>2100000</v>
      </c>
      <c r="AA945" s="547">
        <f t="shared" si="337"/>
        <v>0</v>
      </c>
      <c r="AB945" s="1891"/>
      <c r="AC945" s="2729"/>
      <c r="AD945" s="1662"/>
    </row>
    <row r="946" spans="1:30" s="93" customFormat="1" ht="22.5" customHeight="1">
      <c r="A946" s="2079"/>
      <c r="B946" s="2035"/>
      <c r="C946" s="2035"/>
      <c r="D946" s="2038"/>
      <c r="E946" s="2023"/>
      <c r="F946" s="2031"/>
      <c r="G946" s="2029"/>
      <c r="H946" s="2037"/>
      <c r="I946" s="557"/>
      <c r="J946" s="2105" t="s">
        <v>2447</v>
      </c>
      <c r="K946" s="2082"/>
      <c r="L946" s="2082"/>
      <c r="M946" s="2082"/>
      <c r="N946" s="2082"/>
      <c r="O946" s="2082"/>
      <c r="P946" s="2015"/>
      <c r="Q946" s="2106">
        <v>2</v>
      </c>
      <c r="R946" s="2106" t="s">
        <v>36</v>
      </c>
      <c r="S946" s="2106">
        <v>200000</v>
      </c>
      <c r="T946" s="2106" t="s">
        <v>0</v>
      </c>
      <c r="U946" s="2106"/>
      <c r="V946" s="2106">
        <v>8</v>
      </c>
      <c r="W946" s="2106" t="s">
        <v>561</v>
      </c>
      <c r="X946" s="1256" t="s">
        <v>1</v>
      </c>
      <c r="Y946" s="483">
        <f>+S946*V946/1000</f>
        <v>1600</v>
      </c>
      <c r="Z946" s="896">
        <f>Q946*S946*V946</f>
        <v>3200000</v>
      </c>
      <c r="AA946" s="547">
        <f t="shared" si="337"/>
        <v>0</v>
      </c>
      <c r="AB946" s="1891"/>
      <c r="AC946" s="2729"/>
      <c r="AD946" s="1662"/>
    </row>
    <row r="947" spans="1:30" s="1888" customFormat="1" ht="22.5" customHeight="1">
      <c r="A947" s="591"/>
      <c r="B947" s="548"/>
      <c r="C947" s="624"/>
      <c r="D947" s="2020"/>
      <c r="E947" s="2023" t="s">
        <v>538</v>
      </c>
      <c r="F947" s="549">
        <f>Y947</f>
        <v>1000</v>
      </c>
      <c r="G947" s="549">
        <v>1000</v>
      </c>
      <c r="H947" s="551"/>
      <c r="I947" s="557"/>
      <c r="J947" s="2105" t="s">
        <v>2449</v>
      </c>
      <c r="K947" s="2082"/>
      <c r="L947" s="2082"/>
      <c r="M947" s="2082"/>
      <c r="N947" s="2082"/>
      <c r="O947" s="2082"/>
      <c r="P947" s="2082"/>
      <c r="Q947" s="2106"/>
      <c r="R947" s="2106"/>
      <c r="S947" s="2106">
        <v>500000</v>
      </c>
      <c r="T947" s="2106" t="s">
        <v>751</v>
      </c>
      <c r="U947" s="2106"/>
      <c r="V947" s="2106">
        <v>2</v>
      </c>
      <c r="W947" s="2106" t="s">
        <v>537</v>
      </c>
      <c r="X947" s="2106" t="s">
        <v>566</v>
      </c>
      <c r="Y947" s="483">
        <f t="shared" ref="Y947:Y948" si="342">Z947/1000</f>
        <v>1000</v>
      </c>
      <c r="Z947" s="896">
        <f>S947*V947</f>
        <v>1000000</v>
      </c>
      <c r="AA947" s="547">
        <f t="shared" si="337"/>
        <v>1000000000</v>
      </c>
      <c r="AB947" s="1891"/>
      <c r="AC947" s="1895"/>
      <c r="AD947" s="542"/>
    </row>
    <row r="948" spans="1:30" s="1894" customFormat="1" ht="22.5" customHeight="1">
      <c r="A948" s="2079"/>
      <c r="B948" s="2035"/>
      <c r="C948" s="2013"/>
      <c r="D948" s="2038"/>
      <c r="E948" s="2023" t="s">
        <v>591</v>
      </c>
      <c r="F948" s="526">
        <f>Y948</f>
        <v>1750</v>
      </c>
      <c r="G948" s="526">
        <v>1750</v>
      </c>
      <c r="H948" s="626"/>
      <c r="I948" s="557"/>
      <c r="J948" s="2105" t="s">
        <v>2444</v>
      </c>
      <c r="K948" s="2082"/>
      <c r="L948" s="2082"/>
      <c r="M948" s="2082"/>
      <c r="N948" s="2082"/>
      <c r="O948" s="2082"/>
      <c r="P948" s="2082"/>
      <c r="Q948" s="475"/>
      <c r="R948" s="552"/>
      <c r="S948" s="474">
        <v>2500</v>
      </c>
      <c r="T948" s="2106" t="s">
        <v>751</v>
      </c>
      <c r="U948" s="2106"/>
      <c r="V948" s="2106">
        <v>700</v>
      </c>
      <c r="W948" s="2106" t="s">
        <v>555</v>
      </c>
      <c r="X948" s="2106" t="s">
        <v>566</v>
      </c>
      <c r="Y948" s="483">
        <f t="shared" si="342"/>
        <v>1750</v>
      </c>
      <c r="Z948" s="896">
        <f>S948*V948</f>
        <v>1750000</v>
      </c>
      <c r="AA948" s="547">
        <f t="shared" si="337"/>
        <v>1750000000</v>
      </c>
      <c r="AB948" s="1891"/>
      <c r="AC948" s="1892"/>
      <c r="AD948" s="1893"/>
    </row>
    <row r="949" spans="1:30" s="1887" customFormat="1" ht="22.5" customHeight="1">
      <c r="A949" s="591"/>
      <c r="B949" s="624"/>
      <c r="C949" s="624"/>
      <c r="D949" s="2020"/>
      <c r="E949" s="2023" t="s">
        <v>14</v>
      </c>
      <c r="F949" s="526">
        <f>Y949</f>
        <v>500</v>
      </c>
      <c r="G949" s="526">
        <v>500</v>
      </c>
      <c r="H949" s="551"/>
      <c r="I949" s="557"/>
      <c r="J949" s="2105" t="s">
        <v>1486</v>
      </c>
      <c r="K949" s="473"/>
      <c r="L949" s="473"/>
      <c r="M949" s="473"/>
      <c r="N949" s="473"/>
      <c r="O949" s="473"/>
      <c r="P949" s="473"/>
      <c r="Q949" s="2106">
        <v>2</v>
      </c>
      <c r="R949" s="2106" t="s">
        <v>36</v>
      </c>
      <c r="S949" s="2106">
        <v>50000</v>
      </c>
      <c r="T949" s="2106" t="s">
        <v>4</v>
      </c>
      <c r="U949" s="2106"/>
      <c r="V949" s="2106">
        <v>5</v>
      </c>
      <c r="W949" s="2106" t="s">
        <v>39</v>
      </c>
      <c r="X949" s="2030" t="s">
        <v>5</v>
      </c>
      <c r="Y949" s="483">
        <f>Z949/1000</f>
        <v>500</v>
      </c>
      <c r="Z949" s="896">
        <f>Q949*S949*V949</f>
        <v>500000</v>
      </c>
      <c r="AA949" s="547">
        <f t="shared" si="337"/>
        <v>500000000</v>
      </c>
      <c r="AB949" s="1891"/>
      <c r="AC949" s="1895"/>
      <c r="AD949" s="456"/>
    </row>
    <row r="950" spans="1:30" s="668" customFormat="1" ht="22.5" customHeight="1">
      <c r="A950" s="2957"/>
      <c r="B950" s="2035"/>
      <c r="C950" s="1386" t="s">
        <v>3946</v>
      </c>
      <c r="D950" s="2946"/>
      <c r="E950" s="1252"/>
      <c r="F950" s="1253">
        <f>F951</f>
        <v>3000</v>
      </c>
      <c r="G950" s="1253">
        <f>G951</f>
        <v>3000</v>
      </c>
      <c r="H950" s="627">
        <f t="shared" ref="H950:H951" si="343">F950-G950</f>
        <v>0</v>
      </c>
      <c r="I950" s="557"/>
      <c r="J950" s="2025"/>
      <c r="K950" s="2934"/>
      <c r="L950" s="2934"/>
      <c r="M950" s="2934"/>
      <c r="N950" s="2934"/>
      <c r="O950" s="2934"/>
      <c r="P950" s="2951"/>
      <c r="Q950" s="2026"/>
      <c r="R950" s="2027"/>
      <c r="S950" s="2026"/>
      <c r="T950" s="2026"/>
      <c r="U950" s="2951"/>
      <c r="V950" s="2026"/>
      <c r="W950" s="2026"/>
      <c r="X950" s="2028"/>
      <c r="Y950" s="517"/>
      <c r="Z950" s="518">
        <f>Z951</f>
        <v>0</v>
      </c>
      <c r="AA950" s="547">
        <f t="shared" si="337"/>
        <v>3000000000</v>
      </c>
      <c r="AB950" s="1891">
        <f>F950</f>
        <v>3000</v>
      </c>
      <c r="AC950" s="2729"/>
      <c r="AD950" s="3003"/>
    </row>
    <row r="951" spans="1:30" s="668" customFormat="1" ht="22.5" customHeight="1">
      <c r="A951" s="2957"/>
      <c r="B951" s="2035"/>
      <c r="C951" s="2013"/>
      <c r="D951" s="3823" t="s">
        <v>3945</v>
      </c>
      <c r="E951" s="3824"/>
      <c r="F951" s="2052">
        <f>F952</f>
        <v>3000</v>
      </c>
      <c r="G951" s="2052">
        <f>G952</f>
        <v>3000</v>
      </c>
      <c r="H951" s="627">
        <f t="shared" si="343"/>
        <v>0</v>
      </c>
      <c r="I951" s="557"/>
      <c r="J951" s="2017"/>
      <c r="K951" s="2065"/>
      <c r="L951" s="2065"/>
      <c r="M951" s="2065"/>
      <c r="N951" s="2065"/>
      <c r="O951" s="2065"/>
      <c r="P951" s="2018"/>
      <c r="Q951" s="2065"/>
      <c r="R951" s="2941"/>
      <c r="S951" s="2018"/>
      <c r="T951" s="2065"/>
      <c r="U951" s="2065"/>
      <c r="V951" s="2018"/>
      <c r="W951" s="2065"/>
      <c r="X951" s="2053"/>
      <c r="Y951" s="2054"/>
      <c r="Z951" s="667">
        <f>SUM(Z960:Z961)</f>
        <v>0</v>
      </c>
      <c r="AA951" s="547">
        <f t="shared" si="337"/>
        <v>3000000000</v>
      </c>
      <c r="AB951" s="1891"/>
      <c r="AC951" s="2729"/>
      <c r="AD951" s="3003"/>
    </row>
    <row r="952" spans="1:30" s="2949" customFormat="1" ht="22.5" customHeight="1">
      <c r="A952" s="591"/>
      <c r="B952" s="548"/>
      <c r="C952" s="624"/>
      <c r="D952" s="2020"/>
      <c r="E952" s="2023" t="s">
        <v>3947</v>
      </c>
      <c r="F952" s="549">
        <f>Y952</f>
        <v>3000</v>
      </c>
      <c r="G952" s="549">
        <v>3000</v>
      </c>
      <c r="H952" s="1320"/>
      <c r="I952" s="557"/>
      <c r="J952" s="1312" t="s">
        <v>3948</v>
      </c>
      <c r="K952" s="1313"/>
      <c r="L952" s="1313"/>
      <c r="M952" s="1313"/>
      <c r="N952" s="889"/>
      <c r="O952" s="889"/>
      <c r="P952" s="1313"/>
      <c r="Q952" s="1314"/>
      <c r="R952" s="473"/>
      <c r="S952" s="474">
        <v>50000</v>
      </c>
      <c r="T952" s="473" t="s">
        <v>0</v>
      </c>
      <c r="U952" s="473"/>
      <c r="V952" s="473">
        <v>60</v>
      </c>
      <c r="W952" s="473" t="s">
        <v>3949</v>
      </c>
      <c r="X952" s="542" t="s">
        <v>1</v>
      </c>
      <c r="Y952" s="1452">
        <f t="shared" ref="Y952" si="344">+Z952/1000</f>
        <v>3000</v>
      </c>
      <c r="Z952" s="3486">
        <f>S952*V952</f>
        <v>3000000</v>
      </c>
      <c r="AA952" s="547">
        <f t="shared" si="337"/>
        <v>3000000000</v>
      </c>
      <c r="AB952" s="1891"/>
      <c r="AC952" s="1895"/>
      <c r="AD952" s="542"/>
    </row>
    <row r="953" spans="1:30" s="3650" customFormat="1" ht="22.5" customHeight="1">
      <c r="A953" s="3649"/>
      <c r="B953" s="624"/>
      <c r="C953" s="1386" t="s">
        <v>6041</v>
      </c>
      <c r="D953" s="3639"/>
      <c r="E953" s="1252"/>
      <c r="F953" s="1253">
        <f>F954</f>
        <v>10807.924999999999</v>
      </c>
      <c r="G953" s="1253">
        <f>G954</f>
        <v>0</v>
      </c>
      <c r="H953" s="627">
        <f>F953-G953</f>
        <v>10807.924999999999</v>
      </c>
      <c r="I953" s="557"/>
      <c r="J953" s="2025"/>
      <c r="K953" s="3634"/>
      <c r="L953" s="3634"/>
      <c r="M953" s="3634"/>
      <c r="N953" s="3634"/>
      <c r="O953" s="3634"/>
      <c r="P953" s="3651"/>
      <c r="Q953" s="2026"/>
      <c r="R953" s="2027"/>
      <c r="S953" s="2026"/>
      <c r="T953" s="2026"/>
      <c r="U953" s="3651"/>
      <c r="V953" s="2026"/>
      <c r="W953" s="2026"/>
      <c r="X953" s="2028"/>
      <c r="Y953" s="517"/>
      <c r="Z953" s="518"/>
      <c r="AA953" s="547">
        <f t="shared" si="337"/>
        <v>10807925000</v>
      </c>
      <c r="AB953" s="1891"/>
      <c r="AC953" s="1895"/>
      <c r="AD953" s="542"/>
    </row>
    <row r="954" spans="1:30" s="3650" customFormat="1" ht="22.5" customHeight="1">
      <c r="A954" s="3649"/>
      <c r="B954" s="624"/>
      <c r="C954" s="624"/>
      <c r="D954" s="3823" t="s">
        <v>6042</v>
      </c>
      <c r="E954" s="3824"/>
      <c r="F954" s="2052">
        <f>SUM(F955:F959)</f>
        <v>10807.924999999999</v>
      </c>
      <c r="G954" s="2052">
        <f>SUM(G955:G959)</f>
        <v>0</v>
      </c>
      <c r="H954" s="627">
        <f>F954-G954</f>
        <v>10807.924999999999</v>
      </c>
      <c r="I954" s="557"/>
      <c r="J954" s="2017"/>
      <c r="K954" s="2065"/>
      <c r="L954" s="2065"/>
      <c r="M954" s="2065"/>
      <c r="N954" s="2065"/>
      <c r="O954" s="2065"/>
      <c r="P954" s="2018"/>
      <c r="Q954" s="2065"/>
      <c r="R954" s="2941"/>
      <c r="S954" s="2018"/>
      <c r="T954" s="2065"/>
      <c r="U954" s="2065"/>
      <c r="V954" s="2018"/>
      <c r="W954" s="2065"/>
      <c r="X954" s="2053"/>
      <c r="Y954" s="2054"/>
      <c r="Z954" s="667"/>
      <c r="AA954" s="547">
        <f>F954*1000000</f>
        <v>10807925000</v>
      </c>
      <c r="AB954" s="1891"/>
      <c r="AC954" s="1895"/>
      <c r="AD954" s="542"/>
    </row>
    <row r="955" spans="1:30" s="3650" customFormat="1" ht="22.5" customHeight="1">
      <c r="A955" s="3649"/>
      <c r="B955" s="624"/>
      <c r="C955" s="624"/>
      <c r="D955" s="2020"/>
      <c r="E955" s="3653" t="s">
        <v>6031</v>
      </c>
      <c r="F955" s="549">
        <f>Y955</f>
        <v>2882</v>
      </c>
      <c r="G955" s="549"/>
      <c r="H955" s="551">
        <f>F955-G955</f>
        <v>2882</v>
      </c>
      <c r="I955" s="557"/>
      <c r="J955" s="3652" t="s">
        <v>6043</v>
      </c>
      <c r="Q955" s="3109"/>
      <c r="R955" s="552"/>
      <c r="S955" s="3108">
        <v>288200</v>
      </c>
      <c r="T955" s="3653" t="s">
        <v>4</v>
      </c>
      <c r="U955" s="3653"/>
      <c r="V955" s="3653">
        <v>10</v>
      </c>
      <c r="W955" s="3653" t="s">
        <v>39</v>
      </c>
      <c r="X955" s="3653" t="s">
        <v>5</v>
      </c>
      <c r="Y955" s="3110">
        <f t="shared" ref="Y955" si="345">Z955/1000</f>
        <v>2882</v>
      </c>
      <c r="Z955" s="896">
        <f>S955*V955</f>
        <v>2882000</v>
      </c>
      <c r="AA955" s="547">
        <f t="shared" ref="AA955:AA959" si="346">F955*1000000</f>
        <v>2882000000</v>
      </c>
      <c r="AB955" s="1891"/>
      <c r="AC955" s="1895"/>
      <c r="AD955" s="542"/>
    </row>
    <row r="956" spans="1:30" s="3650" customFormat="1" ht="22.5" customHeight="1">
      <c r="A956" s="3649"/>
      <c r="B956" s="624"/>
      <c r="C956" s="624"/>
      <c r="D956" s="2020"/>
      <c r="E956" s="3653" t="s">
        <v>6044</v>
      </c>
      <c r="F956" s="549">
        <f>Y956</f>
        <v>5043</v>
      </c>
      <c r="G956" s="549"/>
      <c r="H956" s="551">
        <f>F956-G956</f>
        <v>5043</v>
      </c>
      <c r="I956" s="557"/>
      <c r="J956" s="3652" t="s">
        <v>224</v>
      </c>
      <c r="P956" s="3119"/>
      <c r="Q956" s="3653"/>
      <c r="R956" s="3638"/>
      <c r="S956" s="3653"/>
      <c r="T956" s="3653"/>
      <c r="U956" s="3119"/>
      <c r="V956" s="3653"/>
      <c r="W956" s="3653"/>
      <c r="X956" s="2030"/>
      <c r="Y956" s="3110">
        <f t="shared" ref="Y956" si="347">+Z956/1000</f>
        <v>5043</v>
      </c>
      <c r="Z956" s="896">
        <f>SUM(Z957:Z958)</f>
        <v>5043000</v>
      </c>
      <c r="AA956" s="547">
        <f t="shared" si="346"/>
        <v>5043000000</v>
      </c>
      <c r="AB956" s="1891"/>
      <c r="AC956" s="1895"/>
      <c r="AD956" s="542"/>
    </row>
    <row r="957" spans="1:30" s="3650" customFormat="1" ht="22.5" customHeight="1">
      <c r="A957" s="3649"/>
      <c r="B957" s="624"/>
      <c r="C957" s="624"/>
      <c r="D957" s="2020"/>
      <c r="E957" s="3653"/>
      <c r="F957" s="549"/>
      <c r="G957" s="549"/>
      <c r="H957" s="551"/>
      <c r="I957" s="557"/>
      <c r="J957" s="3652" t="s">
        <v>6045</v>
      </c>
      <c r="N957" s="2075"/>
      <c r="O957" s="2075"/>
      <c r="P957" s="2075"/>
      <c r="Q957" s="3653"/>
      <c r="R957" s="3653"/>
      <c r="S957" s="3653">
        <v>1080500</v>
      </c>
      <c r="T957" s="3653" t="s">
        <v>0</v>
      </c>
      <c r="U957" s="3653"/>
      <c r="V957" s="3653">
        <v>2</v>
      </c>
      <c r="W957" s="3653" t="s">
        <v>39</v>
      </c>
      <c r="X957" s="1256" t="s">
        <v>1</v>
      </c>
      <c r="Y957" s="3110">
        <f>+S957*V957/1000</f>
        <v>2161</v>
      </c>
      <c r="Z957" s="896">
        <f>S957*V957</f>
        <v>2161000</v>
      </c>
      <c r="AA957" s="547">
        <f t="shared" si="346"/>
        <v>0</v>
      </c>
      <c r="AB957" s="1891"/>
      <c r="AC957" s="1895"/>
      <c r="AD957" s="542"/>
    </row>
    <row r="958" spans="1:30" s="3650" customFormat="1" ht="22.5" customHeight="1">
      <c r="A958" s="3649"/>
      <c r="B958" s="624"/>
      <c r="C958" s="624"/>
      <c r="D958" s="2020"/>
      <c r="E958" s="3653"/>
      <c r="F958" s="549"/>
      <c r="G958" s="549"/>
      <c r="H958" s="551"/>
      <c r="I958" s="557"/>
      <c r="J958" s="3652" t="s">
        <v>3236</v>
      </c>
      <c r="P958" s="3119"/>
      <c r="Q958" s="3653"/>
      <c r="R958" s="3653"/>
      <c r="S958" s="3653">
        <v>1441000</v>
      </c>
      <c r="T958" s="3653" t="s">
        <v>0</v>
      </c>
      <c r="U958" s="3653"/>
      <c r="V958" s="3653">
        <v>2</v>
      </c>
      <c r="W958" s="3653" t="s">
        <v>55</v>
      </c>
      <c r="X958" s="1256" t="s">
        <v>1</v>
      </c>
      <c r="Y958" s="3110">
        <f>+S958*V958/1000</f>
        <v>2882</v>
      </c>
      <c r="Z958" s="896">
        <f>S958*V958</f>
        <v>2882000</v>
      </c>
      <c r="AA958" s="547">
        <f t="shared" si="346"/>
        <v>0</v>
      </c>
      <c r="AB958" s="1891"/>
      <c r="AC958" s="1895"/>
      <c r="AD958" s="542"/>
    </row>
    <row r="959" spans="1:30" s="3650" customFormat="1" ht="22.5" customHeight="1" thickBot="1">
      <c r="A959" s="2748"/>
      <c r="B959" s="638"/>
      <c r="C959" s="638"/>
      <c r="D959" s="2063"/>
      <c r="E959" s="3653" t="s">
        <v>6036</v>
      </c>
      <c r="F959" s="549">
        <f>Y959</f>
        <v>2882.9250000000002</v>
      </c>
      <c r="G959" s="549"/>
      <c r="H959" s="551">
        <f>F959-G959</f>
        <v>2882.9250000000002</v>
      </c>
      <c r="I959" s="557"/>
      <c r="J959" s="3652" t="s">
        <v>6046</v>
      </c>
      <c r="Q959" s="3109"/>
      <c r="R959" s="552"/>
      <c r="S959" s="3108">
        <v>2882925</v>
      </c>
      <c r="T959" s="3653" t="s">
        <v>4</v>
      </c>
      <c r="U959" s="3653"/>
      <c r="V959" s="3653">
        <v>1</v>
      </c>
      <c r="W959" s="3653" t="s">
        <v>226</v>
      </c>
      <c r="X959" s="3653" t="s">
        <v>5</v>
      </c>
      <c r="Y959" s="3110">
        <f t="shared" ref="Y959" si="348">Z959/1000</f>
        <v>2882.9250000000002</v>
      </c>
      <c r="Z959" s="896">
        <f>S959*V959</f>
        <v>2882925</v>
      </c>
      <c r="AA959" s="547">
        <f t="shared" si="346"/>
        <v>2882925000</v>
      </c>
      <c r="AB959" s="1891"/>
      <c r="AC959" s="1895"/>
      <c r="AD959" s="542"/>
    </row>
    <row r="960" spans="1:30" s="1887" customFormat="1" ht="22.5" customHeight="1" thickBot="1">
      <c r="A960" s="574" t="s">
        <v>2023</v>
      </c>
      <c r="B960" s="542"/>
      <c r="C960" s="542"/>
      <c r="D960" s="542"/>
      <c r="E960" s="1902"/>
      <c r="F960" s="821">
        <f>+F961</f>
        <v>40200</v>
      </c>
      <c r="G960" s="821">
        <f>+G961</f>
        <v>40200</v>
      </c>
      <c r="H960" s="2655">
        <f t="shared" ref="H960:H961" si="349">F960-G960</f>
        <v>0</v>
      </c>
      <c r="I960" s="557"/>
      <c r="J960" s="2316"/>
      <c r="K960" s="2317"/>
      <c r="L960" s="2317"/>
      <c r="M960" s="2317"/>
      <c r="N960" s="2317"/>
      <c r="O960" s="2317"/>
      <c r="P960" s="2317"/>
      <c r="Q960" s="2317"/>
      <c r="R960" s="2722"/>
      <c r="S960" s="2317"/>
      <c r="T960" s="2317"/>
      <c r="U960" s="2317"/>
      <c r="V960" s="2317"/>
      <c r="W960" s="2317"/>
      <c r="X960" s="2314"/>
      <c r="Y960" s="2723"/>
      <c r="Z960" s="3675"/>
      <c r="AA960" s="547"/>
      <c r="AB960" s="1891"/>
      <c r="AC960" s="1895"/>
      <c r="AD960" s="456"/>
    </row>
    <row r="961" spans="1:30" s="814" customFormat="1" ht="22.5" customHeight="1" thickBot="1">
      <c r="A961" s="1912"/>
      <c r="B961" s="568" t="s">
        <v>2450</v>
      </c>
      <c r="C961" s="569"/>
      <c r="D961" s="570"/>
      <c r="E961" s="571"/>
      <c r="F961" s="822">
        <f>+F962+F965</f>
        <v>40200</v>
      </c>
      <c r="G961" s="822">
        <f>+G962+G965</f>
        <v>40200</v>
      </c>
      <c r="H961" s="573">
        <f t="shared" si="349"/>
        <v>0</v>
      </c>
      <c r="I961" s="2682"/>
      <c r="J961" s="574"/>
      <c r="K961" s="575"/>
      <c r="L961" s="575"/>
      <c r="M961" s="575"/>
      <c r="N961" s="575"/>
      <c r="O961" s="575"/>
      <c r="P961" s="575"/>
      <c r="Q961" s="575"/>
      <c r="R961" s="575"/>
      <c r="S961" s="575"/>
      <c r="T961" s="575"/>
      <c r="U961" s="575"/>
      <c r="V961" s="575"/>
      <c r="W961" s="575"/>
      <c r="X961" s="576"/>
      <c r="Y961" s="2658"/>
      <c r="Z961" s="3473"/>
      <c r="AA961" s="547"/>
      <c r="AB961" s="1891"/>
      <c r="AC961" s="2677"/>
      <c r="AD961" s="836"/>
    </row>
    <row r="962" spans="1:30" s="93" customFormat="1" ht="22.5" customHeight="1">
      <c r="A962" s="2079"/>
      <c r="B962" s="2035"/>
      <c r="C962" s="1386" t="s">
        <v>2024</v>
      </c>
      <c r="D962" s="2104"/>
      <c r="E962" s="1252"/>
      <c r="F962" s="1253">
        <f>+F963</f>
        <v>25200</v>
      </c>
      <c r="G962" s="1253">
        <f>+G963</f>
        <v>25200</v>
      </c>
      <c r="H962" s="2021">
        <f>F962-G962</f>
        <v>0</v>
      </c>
      <c r="I962" s="557"/>
      <c r="J962" s="2025"/>
      <c r="K962" s="2068"/>
      <c r="L962" s="2068"/>
      <c r="M962" s="2068"/>
      <c r="N962" s="2068"/>
      <c r="O962" s="2068"/>
      <c r="P962" s="2101"/>
      <c r="Q962" s="2026"/>
      <c r="R962" s="2027"/>
      <c r="S962" s="2026"/>
      <c r="T962" s="2026"/>
      <c r="U962" s="2101"/>
      <c r="V962" s="2026"/>
      <c r="W962" s="2026"/>
      <c r="X962" s="2028"/>
      <c r="Y962" s="517"/>
      <c r="Z962" s="2339"/>
      <c r="AA962" s="547"/>
      <c r="AB962" s="1891">
        <f>F962</f>
        <v>25200</v>
      </c>
      <c r="AC962" s="2729"/>
      <c r="AD962" s="1662"/>
    </row>
    <row r="963" spans="1:30" s="93" customFormat="1" ht="22.5" customHeight="1">
      <c r="A963" s="2079"/>
      <c r="B963" s="2035"/>
      <c r="C963" s="2013"/>
      <c r="D963" s="3823" t="s">
        <v>2451</v>
      </c>
      <c r="E963" s="3824"/>
      <c r="F963" s="2052">
        <f>SUM(F964:F964)</f>
        <v>25200</v>
      </c>
      <c r="G963" s="2052">
        <f>SUM(G964)</f>
        <v>25200</v>
      </c>
      <c r="H963" s="620">
        <f>F963-G963</f>
        <v>0</v>
      </c>
      <c r="I963" s="557"/>
      <c r="J963" s="2017"/>
      <c r="K963" s="2065"/>
      <c r="L963" s="2065"/>
      <c r="M963" s="2065"/>
      <c r="N963" s="2065"/>
      <c r="O963" s="2065"/>
      <c r="P963" s="2018"/>
      <c r="Q963" s="2065"/>
      <c r="R963" s="2019"/>
      <c r="S963" s="2018"/>
      <c r="T963" s="2065"/>
      <c r="U963" s="2065"/>
      <c r="V963" s="2018"/>
      <c r="W963" s="2065"/>
      <c r="X963" s="2053"/>
      <c r="Y963" s="2054"/>
      <c r="Z963" s="667"/>
      <c r="AA963" s="547"/>
      <c r="AB963" s="1891"/>
      <c r="AC963" s="2729"/>
      <c r="AD963" s="1662"/>
    </row>
    <row r="964" spans="1:30" s="1888" customFormat="1" ht="22.5" customHeight="1">
      <c r="A964" s="591"/>
      <c r="B964" s="548"/>
      <c r="C964" s="624"/>
      <c r="D964" s="2020"/>
      <c r="E964" s="2023" t="s">
        <v>2455</v>
      </c>
      <c r="F964" s="549">
        <f>Y964</f>
        <v>25200</v>
      </c>
      <c r="G964" s="549">
        <v>25200</v>
      </c>
      <c r="H964" s="620"/>
      <c r="I964" s="557"/>
      <c r="J964" s="2105" t="s">
        <v>2454</v>
      </c>
      <c r="K964" s="2082"/>
      <c r="L964" s="2082"/>
      <c r="M964" s="2082"/>
      <c r="N964" s="2082"/>
      <c r="O964" s="2082"/>
      <c r="P964" s="2082"/>
      <c r="Q964" s="2106">
        <v>2</v>
      </c>
      <c r="R964" s="2106" t="s">
        <v>36</v>
      </c>
      <c r="S964" s="2106">
        <v>1400000</v>
      </c>
      <c r="T964" s="2106" t="s">
        <v>751</v>
      </c>
      <c r="U964" s="2106"/>
      <c r="V964" s="2106">
        <v>9</v>
      </c>
      <c r="W964" s="2106" t="s">
        <v>774</v>
      </c>
      <c r="X964" s="2030" t="s">
        <v>21</v>
      </c>
      <c r="Y964" s="554">
        <f t="shared" ref="Y964" si="350">Z964/1000</f>
        <v>25200</v>
      </c>
      <c r="Z964" s="896">
        <f>Q964*S964*V964</f>
        <v>25200000</v>
      </c>
      <c r="AA964" s="547"/>
      <c r="AB964" s="1891"/>
      <c r="AC964" s="1895"/>
      <c r="AD964" s="542"/>
    </row>
    <row r="965" spans="1:30" s="1894" customFormat="1" ht="22.5" customHeight="1">
      <c r="A965" s="562"/>
      <c r="B965" s="563"/>
      <c r="C965" s="3825" t="s">
        <v>2249</v>
      </c>
      <c r="D965" s="3924"/>
      <c r="E965" s="3826"/>
      <c r="F965" s="598">
        <f>+F966</f>
        <v>15000</v>
      </c>
      <c r="G965" s="598">
        <f>+G966</f>
        <v>15000</v>
      </c>
      <c r="H965" s="620">
        <f t="shared" ref="H965" si="351">F965-G965</f>
        <v>0</v>
      </c>
      <c r="I965" s="557"/>
      <c r="J965" s="2025"/>
      <c r="K965" s="2068"/>
      <c r="L965" s="2068"/>
      <c r="M965" s="2068"/>
      <c r="N965" s="2068"/>
      <c r="O965" s="2068"/>
      <c r="P965" s="2068"/>
      <c r="Q965" s="2068"/>
      <c r="R965" s="539"/>
      <c r="S965" s="2026"/>
      <c r="T965" s="2026"/>
      <c r="U965" s="2026"/>
      <c r="V965" s="2026"/>
      <c r="W965" s="2026"/>
      <c r="X965" s="2028"/>
      <c r="Y965" s="586"/>
      <c r="Z965" s="622"/>
      <c r="AA965" s="547"/>
      <c r="AB965" s="1891"/>
      <c r="AC965" s="1892"/>
      <c r="AD965" s="1893"/>
    </row>
    <row r="966" spans="1:30" s="93" customFormat="1" ht="22.5" customHeight="1">
      <c r="A966" s="2079"/>
      <c r="B966" s="2035"/>
      <c r="C966" s="2013"/>
      <c r="D966" s="3823" t="s">
        <v>2249</v>
      </c>
      <c r="E966" s="3824"/>
      <c r="F966" s="2052">
        <f>SUM(F967:F972)</f>
        <v>15000</v>
      </c>
      <c r="G966" s="2052">
        <f>SUM(G967:G972)</f>
        <v>15000</v>
      </c>
      <c r="H966" s="620">
        <f>F966-G966</f>
        <v>0</v>
      </c>
      <c r="I966" s="557"/>
      <c r="J966" s="2017"/>
      <c r="K966" s="2065"/>
      <c r="L966" s="2065"/>
      <c r="M966" s="2065"/>
      <c r="N966" s="2065"/>
      <c r="O966" s="2065"/>
      <c r="P966" s="2018"/>
      <c r="Q966" s="2065"/>
      <c r="R966" s="2019"/>
      <c r="S966" s="2018"/>
      <c r="T966" s="2065"/>
      <c r="U966" s="2065"/>
      <c r="V966" s="2018"/>
      <c r="W966" s="2065"/>
      <c r="X966" s="2053"/>
      <c r="Y966" s="2054"/>
      <c r="Z966" s="667">
        <f>SUM(Z969:Z971)</f>
        <v>15000000</v>
      </c>
      <c r="AA966" s="547"/>
      <c r="AB966" s="1891"/>
      <c r="AC966" s="2729"/>
      <c r="AD966" s="1662"/>
    </row>
    <row r="967" spans="1:30" s="1888" customFormat="1" ht="22.5" customHeight="1">
      <c r="A967" s="591"/>
      <c r="B967" s="548"/>
      <c r="C967" s="624"/>
      <c r="D967" s="2020"/>
      <c r="E967" s="2023" t="s">
        <v>592</v>
      </c>
      <c r="F967" s="549">
        <f>Y967</f>
        <v>500</v>
      </c>
      <c r="G967" s="549">
        <v>500</v>
      </c>
      <c r="H967" s="626"/>
      <c r="I967" s="557"/>
      <c r="J967" s="2105" t="s">
        <v>1310</v>
      </c>
      <c r="K967" s="2082"/>
      <c r="L967" s="2082"/>
      <c r="M967" s="2082"/>
      <c r="N967" s="2082"/>
      <c r="O967" s="2082"/>
      <c r="P967" s="2082"/>
      <c r="Q967" s="556"/>
      <c r="R967" s="2080"/>
      <c r="S967" s="2106">
        <v>500000</v>
      </c>
      <c r="T967" s="2106" t="s">
        <v>751</v>
      </c>
      <c r="U967" s="2106"/>
      <c r="V967" s="2106">
        <v>1</v>
      </c>
      <c r="W967" s="2106" t="s">
        <v>901</v>
      </c>
      <c r="X967" s="2030" t="s">
        <v>21</v>
      </c>
      <c r="Y967" s="554">
        <f t="shared" ref="Y967" si="352">Z967/1000</f>
        <v>500</v>
      </c>
      <c r="Z967" s="896">
        <f>S967*V967</f>
        <v>500000</v>
      </c>
      <c r="AA967" s="547"/>
      <c r="AB967" s="1891"/>
      <c r="AC967" s="1895"/>
      <c r="AD967" s="542"/>
    </row>
    <row r="968" spans="1:30" s="93" customFormat="1" ht="22.5" customHeight="1">
      <c r="A968" s="2079"/>
      <c r="B968" s="2035"/>
      <c r="C968" s="2013"/>
      <c r="D968" s="2038"/>
      <c r="E968" s="2023" t="s">
        <v>264</v>
      </c>
      <c r="F968" s="2031">
        <f>+Y968</f>
        <v>5500</v>
      </c>
      <c r="G968" s="2029">
        <v>5500</v>
      </c>
      <c r="H968" s="2037"/>
      <c r="I968" s="557"/>
      <c r="J968" s="2105" t="s">
        <v>1674</v>
      </c>
      <c r="K968" s="2082"/>
      <c r="L968" s="2082"/>
      <c r="M968" s="2082"/>
      <c r="N968" s="2075"/>
      <c r="O968" s="2075"/>
      <c r="P968" s="2075"/>
      <c r="Q968" s="2106"/>
      <c r="R968" s="2106"/>
      <c r="S968" s="2106">
        <v>5500000</v>
      </c>
      <c r="T968" s="2106" t="s">
        <v>0</v>
      </c>
      <c r="U968" s="2106"/>
      <c r="V968" s="2106">
        <v>1</v>
      </c>
      <c r="W968" s="2106" t="s">
        <v>568</v>
      </c>
      <c r="X968" s="1256" t="s">
        <v>1</v>
      </c>
      <c r="Y968" s="483">
        <f t="shared" ref="Y968:Y971" si="353">Z968/1000</f>
        <v>5500</v>
      </c>
      <c r="Z968" s="896">
        <f>S968*V968</f>
        <v>5500000</v>
      </c>
      <c r="AA968" s="547"/>
      <c r="AB968" s="1891"/>
      <c r="AC968" s="2729"/>
      <c r="AD968" s="1662"/>
    </row>
    <row r="969" spans="1:30" s="93" customFormat="1" ht="22.5" customHeight="1">
      <c r="A969" s="2079"/>
      <c r="B969" s="2035"/>
      <c r="C969" s="2013"/>
      <c r="D969" s="2038"/>
      <c r="E969" s="2023" t="s">
        <v>380</v>
      </c>
      <c r="F969" s="2031">
        <f>+Y969</f>
        <v>7500</v>
      </c>
      <c r="G969" s="2029">
        <v>7500</v>
      </c>
      <c r="H969" s="2037"/>
      <c r="I969" s="557"/>
      <c r="J969" s="2105" t="s">
        <v>2443</v>
      </c>
      <c r="K969" s="2082"/>
      <c r="L969" s="2082"/>
      <c r="M969" s="2082"/>
      <c r="N969" s="2082"/>
      <c r="O969" s="2082"/>
      <c r="P969" s="2015"/>
      <c r="Q969" s="2106"/>
      <c r="R969" s="2092"/>
      <c r="S969" s="2106"/>
      <c r="T969" s="2106"/>
      <c r="U969" s="2015"/>
      <c r="V969" s="2106"/>
      <c r="W969" s="2106"/>
      <c r="X969" s="2030"/>
      <c r="Y969" s="2032">
        <f t="shared" ref="Y969" si="354">+Z969/1000</f>
        <v>7500</v>
      </c>
      <c r="Z969" s="896">
        <f>SUM(Z970:Z971)</f>
        <v>7500000</v>
      </c>
      <c r="AA969" s="547"/>
      <c r="AB969" s="1891"/>
      <c r="AC969" s="2729"/>
      <c r="AD969" s="1662"/>
    </row>
    <row r="970" spans="1:30" s="93" customFormat="1" ht="22.5" customHeight="1">
      <c r="A970" s="2079"/>
      <c r="B970" s="2035"/>
      <c r="C970" s="2013"/>
      <c r="D970" s="2038"/>
      <c r="E970" s="2023"/>
      <c r="F970" s="2031"/>
      <c r="G970" s="2029"/>
      <c r="H970" s="2037"/>
      <c r="I970" s="557"/>
      <c r="J970" s="2105" t="s">
        <v>2452</v>
      </c>
      <c r="K970" s="2082"/>
      <c r="L970" s="2082"/>
      <c r="M970" s="2082"/>
      <c r="N970" s="2075"/>
      <c r="O970" s="2075"/>
      <c r="P970" s="2075"/>
      <c r="Q970" s="2106">
        <v>2</v>
      </c>
      <c r="R970" s="2106" t="s">
        <v>36</v>
      </c>
      <c r="S970" s="2106">
        <v>150000</v>
      </c>
      <c r="T970" s="2106" t="s">
        <v>0</v>
      </c>
      <c r="U970" s="2106"/>
      <c r="V970" s="2106">
        <v>20</v>
      </c>
      <c r="W970" s="2106" t="s">
        <v>561</v>
      </c>
      <c r="X970" s="1256" t="s">
        <v>1</v>
      </c>
      <c r="Y970" s="483">
        <f t="shared" si="353"/>
        <v>6000</v>
      </c>
      <c r="Z970" s="896">
        <f>Q970*S970*V970</f>
        <v>6000000</v>
      </c>
      <c r="AA970" s="547"/>
      <c r="AB970" s="1891"/>
      <c r="AC970" s="2729"/>
      <c r="AD970" s="1662"/>
    </row>
    <row r="971" spans="1:30" s="93" customFormat="1" ht="22.5" customHeight="1">
      <c r="A971" s="2079"/>
      <c r="B971" s="2035"/>
      <c r="C971" s="2035"/>
      <c r="D971" s="2038"/>
      <c r="E971" s="2023"/>
      <c r="F971" s="2031"/>
      <c r="G971" s="2029"/>
      <c r="H971" s="2037"/>
      <c r="I971" s="557"/>
      <c r="J971" s="2105" t="s">
        <v>2453</v>
      </c>
      <c r="K971" s="2082"/>
      <c r="L971" s="2082"/>
      <c r="M971" s="2082"/>
      <c r="N971" s="2082"/>
      <c r="O971" s="2082"/>
      <c r="P971" s="2015"/>
      <c r="Q971" s="2106">
        <v>1</v>
      </c>
      <c r="R971" s="2106" t="s">
        <v>36</v>
      </c>
      <c r="S971" s="2106">
        <v>150000</v>
      </c>
      <c r="T971" s="2106" t="s">
        <v>0</v>
      </c>
      <c r="U971" s="2106"/>
      <c r="V971" s="2106">
        <v>10</v>
      </c>
      <c r="W971" s="2106" t="s">
        <v>561</v>
      </c>
      <c r="X971" s="1256" t="s">
        <v>1</v>
      </c>
      <c r="Y971" s="483">
        <f t="shared" si="353"/>
        <v>1500</v>
      </c>
      <c r="Z971" s="896">
        <f>Q971*S971*V971</f>
        <v>1500000</v>
      </c>
      <c r="AA971" s="547"/>
      <c r="AB971" s="1891"/>
      <c r="AC971" s="2729"/>
      <c r="AD971" s="1662"/>
    </row>
    <row r="972" spans="1:30" s="1894" customFormat="1" ht="22.5" customHeight="1" thickBot="1">
      <c r="A972" s="2079"/>
      <c r="B972" s="2035"/>
      <c r="C972" s="2013"/>
      <c r="D972" s="2038"/>
      <c r="E972" s="2023" t="s">
        <v>591</v>
      </c>
      <c r="F972" s="526">
        <f>Y972</f>
        <v>1500</v>
      </c>
      <c r="G972" s="526">
        <v>1500</v>
      </c>
      <c r="H972" s="626"/>
      <c r="I972" s="557"/>
      <c r="J972" s="2105" t="s">
        <v>2444</v>
      </c>
      <c r="K972" s="2082"/>
      <c r="L972" s="2082"/>
      <c r="M972" s="2082"/>
      <c r="N972" s="2082"/>
      <c r="O972" s="2082"/>
      <c r="P972" s="2082"/>
      <c r="Q972" s="2106">
        <v>5</v>
      </c>
      <c r="R972" s="2106" t="s">
        <v>36</v>
      </c>
      <c r="S972" s="474">
        <v>10000</v>
      </c>
      <c r="T972" s="2106" t="s">
        <v>751</v>
      </c>
      <c r="U972" s="2106"/>
      <c r="V972" s="2106">
        <v>30</v>
      </c>
      <c r="W972" s="2106" t="s">
        <v>561</v>
      </c>
      <c r="X972" s="2106" t="s">
        <v>566</v>
      </c>
      <c r="Y972" s="483">
        <f t="shared" ref="Y972" si="355">Z972/1000</f>
        <v>1500</v>
      </c>
      <c r="Z972" s="896">
        <f>Q972*S972*V972</f>
        <v>1500000</v>
      </c>
      <c r="AA972" s="547"/>
      <c r="AB972" s="1891"/>
      <c r="AC972" s="1892"/>
      <c r="AD972" s="1893"/>
    </row>
    <row r="973" spans="1:30" s="1651" customFormat="1" ht="22.5" customHeight="1" thickBot="1">
      <c r="A973" s="574" t="s">
        <v>1391</v>
      </c>
      <c r="B973" s="2314"/>
      <c r="C973" s="2314"/>
      <c r="D973" s="2314"/>
      <c r="E973" s="2314"/>
      <c r="F973" s="822">
        <f t="shared" ref="F973:G973" si="356">+F974</f>
        <v>175000</v>
      </c>
      <c r="G973" s="822">
        <f t="shared" si="356"/>
        <v>175000</v>
      </c>
      <c r="H973" s="573">
        <f>F973-G973</f>
        <v>0</v>
      </c>
      <c r="I973" s="557"/>
      <c r="J973" s="2316"/>
      <c r="K973" s="2317"/>
      <c r="L973" s="2317"/>
      <c r="M973" s="2317"/>
      <c r="N973" s="2317"/>
      <c r="O973" s="2317"/>
      <c r="P973" s="2317"/>
      <c r="Q973" s="2317"/>
      <c r="R973" s="2722"/>
      <c r="S973" s="2317"/>
      <c r="T973" s="2317"/>
      <c r="U973" s="2317"/>
      <c r="V973" s="2317"/>
      <c r="W973" s="2317"/>
      <c r="X973" s="2314"/>
      <c r="Y973" s="2723"/>
      <c r="Z973" s="2350"/>
      <c r="AA973" s="547"/>
      <c r="AB973" s="1891"/>
      <c r="AC973" s="1895"/>
      <c r="AD973" s="456"/>
    </row>
    <row r="974" spans="1:30" s="814" customFormat="1" ht="22.5" customHeight="1" thickBot="1">
      <c r="A974" s="1912"/>
      <c r="B974" s="568" t="s">
        <v>237</v>
      </c>
      <c r="C974" s="569"/>
      <c r="D974" s="570"/>
      <c r="E974" s="571"/>
      <c r="F974" s="822">
        <f>+F975+F983</f>
        <v>175000</v>
      </c>
      <c r="G974" s="822">
        <f>+G975+G983</f>
        <v>175000</v>
      </c>
      <c r="H974" s="573">
        <f t="shared" ref="H974" si="357">F974-G974</f>
        <v>0</v>
      </c>
      <c r="I974" s="2682"/>
      <c r="J974" s="574"/>
      <c r="K974" s="575"/>
      <c r="L974" s="575"/>
      <c r="M974" s="575"/>
      <c r="N974" s="575"/>
      <c r="O974" s="575"/>
      <c r="P974" s="575"/>
      <c r="Q974" s="575"/>
      <c r="R974" s="575"/>
      <c r="S974" s="575"/>
      <c r="T974" s="575"/>
      <c r="U974" s="575"/>
      <c r="V974" s="575"/>
      <c r="W974" s="575"/>
      <c r="X974" s="576"/>
      <c r="Y974" s="2658"/>
      <c r="Z974" s="2667"/>
      <c r="AA974" s="547"/>
      <c r="AB974" s="1891"/>
      <c r="AC974" s="2677"/>
      <c r="AD974" s="836"/>
    </row>
    <row r="975" spans="1:30" s="815" customFormat="1" ht="22.5" customHeight="1">
      <c r="A975" s="562"/>
      <c r="B975" s="563"/>
      <c r="C975" s="4099" t="s">
        <v>1409</v>
      </c>
      <c r="D975" s="4099"/>
      <c r="E975" s="3839"/>
      <c r="F975" s="826">
        <f>+F976</f>
        <v>160000</v>
      </c>
      <c r="G975" s="826">
        <f>+G976</f>
        <v>160000</v>
      </c>
      <c r="H975" s="2450">
        <f>F975-G975</f>
        <v>0</v>
      </c>
      <c r="I975" s="557"/>
      <c r="J975" s="614"/>
      <c r="K975" s="2072"/>
      <c r="L975" s="2072"/>
      <c r="M975" s="2072"/>
      <c r="N975" s="2072"/>
      <c r="O975" s="2072"/>
      <c r="P975" s="2072"/>
      <c r="Q975" s="510"/>
      <c r="R975" s="2348"/>
      <c r="S975" s="617"/>
      <c r="T975" s="618"/>
      <c r="U975" s="618"/>
      <c r="V975" s="618"/>
      <c r="W975" s="618"/>
      <c r="X975" s="619"/>
      <c r="Y975" s="756"/>
      <c r="Z975" s="555"/>
      <c r="AA975" s="547"/>
      <c r="AB975" s="1891">
        <f>F975</f>
        <v>160000</v>
      </c>
      <c r="AC975" s="1892"/>
      <c r="AD975" s="837"/>
    </row>
    <row r="976" spans="1:30" s="815" customFormat="1" ht="22.5" customHeight="1">
      <c r="A976" s="562"/>
      <c r="B976" s="563"/>
      <c r="C976" s="564"/>
      <c r="D976" s="4100" t="s">
        <v>1409</v>
      </c>
      <c r="E976" s="4101"/>
      <c r="F976" s="842">
        <f>SUM(F977:F982)</f>
        <v>160000</v>
      </c>
      <c r="G976" s="842">
        <f>SUM(G977:G982)</f>
        <v>160000</v>
      </c>
      <c r="H976" s="1364">
        <f>F976-G976</f>
        <v>0</v>
      </c>
      <c r="I976" s="557"/>
      <c r="J976" s="2025"/>
      <c r="K976" s="2068"/>
      <c r="L976" s="2068"/>
      <c r="M976" s="2068"/>
      <c r="N976" s="2068"/>
      <c r="O976" s="2068"/>
      <c r="P976" s="2068"/>
      <c r="Q976" s="2068"/>
      <c r="R976" s="539"/>
      <c r="S976" s="2026"/>
      <c r="T976" s="2026"/>
      <c r="U976" s="2026"/>
      <c r="V976" s="2026"/>
      <c r="W976" s="2026"/>
      <c r="X976" s="2028"/>
      <c r="Y976" s="586"/>
      <c r="Z976" s="622"/>
      <c r="AA976" s="547"/>
      <c r="AB976" s="1891"/>
      <c r="AC976" s="1892"/>
      <c r="AD976" s="837"/>
    </row>
    <row r="977" spans="1:30" s="815" customFormat="1" ht="22.5" customHeight="1">
      <c r="A977" s="562"/>
      <c r="B977" s="563"/>
      <c r="C977" s="473"/>
      <c r="D977" s="506"/>
      <c r="E977" s="602" t="s">
        <v>246</v>
      </c>
      <c r="F977" s="1659">
        <f>+Y977</f>
        <v>159000</v>
      </c>
      <c r="G977" s="603">
        <v>159000</v>
      </c>
      <c r="H977" s="1364"/>
      <c r="I977" s="557"/>
      <c r="J977" s="2105" t="s">
        <v>8</v>
      </c>
      <c r="K977" s="2082"/>
      <c r="L977" s="2082"/>
      <c r="M977" s="2082"/>
      <c r="N977" s="2082"/>
      <c r="O977" s="2082"/>
      <c r="P977" s="2015"/>
      <c r="Q977" s="2106"/>
      <c r="R977" s="2092"/>
      <c r="S977" s="2106"/>
      <c r="T977" s="2106"/>
      <c r="U977" s="2015"/>
      <c r="V977" s="2106"/>
      <c r="W977" s="2106"/>
      <c r="X977" s="2030"/>
      <c r="Y977" s="2032">
        <f t="shared" ref="Y977" si="358">+Z977/1000</f>
        <v>159000</v>
      </c>
      <c r="Z977" s="658">
        <f>SUM(Z978:Z981)</f>
        <v>159000000</v>
      </c>
      <c r="AA977" s="547"/>
      <c r="AB977" s="1891"/>
      <c r="AC977" s="1892"/>
      <c r="AD977" s="837"/>
    </row>
    <row r="978" spans="1:30" s="815" customFormat="1" ht="22.5" customHeight="1">
      <c r="A978" s="562"/>
      <c r="B978" s="563"/>
      <c r="C978" s="473"/>
      <c r="D978" s="2020"/>
      <c r="E978" s="2023"/>
      <c r="F978" s="2031"/>
      <c r="G978" s="2029"/>
      <c r="H978" s="2037"/>
      <c r="I978" s="557"/>
      <c r="J978" s="2105" t="s">
        <v>1481</v>
      </c>
      <c r="K978" s="2082"/>
      <c r="L978" s="2082"/>
      <c r="M978" s="2082"/>
      <c r="N978" s="2075"/>
      <c r="O978" s="2075"/>
      <c r="P978" s="2075"/>
      <c r="Q978" s="2106"/>
      <c r="R978" s="2092"/>
      <c r="S978" s="2106">
        <v>4000000</v>
      </c>
      <c r="T978" s="2106" t="s">
        <v>0</v>
      </c>
      <c r="U978" s="2106"/>
      <c r="V978" s="2106">
        <v>1</v>
      </c>
      <c r="W978" s="2106" t="s">
        <v>226</v>
      </c>
      <c r="X978" s="1256" t="s">
        <v>1</v>
      </c>
      <c r="Y978" s="483">
        <f t="shared" ref="Y978:Y982" si="359">Z978/1000</f>
        <v>4000</v>
      </c>
      <c r="Z978" s="896">
        <f>S978*V978</f>
        <v>4000000</v>
      </c>
      <c r="AA978" s="547"/>
      <c r="AB978" s="1891"/>
      <c r="AC978" s="1892"/>
      <c r="AD978" s="837"/>
    </row>
    <row r="979" spans="1:30" s="815" customFormat="1" ht="22.5" customHeight="1">
      <c r="A979" s="562"/>
      <c r="B979" s="563"/>
      <c r="C979" s="473"/>
      <c r="D979" s="2020"/>
      <c r="E979" s="2023"/>
      <c r="F979" s="2031"/>
      <c r="G979" s="2029"/>
      <c r="H979" s="2037"/>
      <c r="I979" s="557"/>
      <c r="J979" s="2105" t="s">
        <v>1482</v>
      </c>
      <c r="K979" s="2082"/>
      <c r="L979" s="2082"/>
      <c r="M979" s="2082"/>
      <c r="N979" s="2082"/>
      <c r="O979" s="2082"/>
      <c r="P979" s="2015"/>
      <c r="Q979" s="2106"/>
      <c r="R979" s="2092"/>
      <c r="S979" s="2106">
        <v>150000000</v>
      </c>
      <c r="T979" s="2106" t="s">
        <v>0</v>
      </c>
      <c r="U979" s="2106"/>
      <c r="V979" s="2106">
        <v>1</v>
      </c>
      <c r="W979" s="2106" t="s">
        <v>226</v>
      </c>
      <c r="X979" s="1256" t="s">
        <v>1</v>
      </c>
      <c r="Y979" s="483">
        <f t="shared" si="359"/>
        <v>150000</v>
      </c>
      <c r="Z979" s="896">
        <f t="shared" ref="Z979:Z982" si="360">S979*V979</f>
        <v>150000000</v>
      </c>
      <c r="AA979" s="547"/>
      <c r="AB979" s="1891"/>
      <c r="AC979" s="1892"/>
      <c r="AD979" s="837"/>
    </row>
    <row r="980" spans="1:30" s="815" customFormat="1" ht="22.5" customHeight="1">
      <c r="A980" s="562"/>
      <c r="B980" s="563"/>
      <c r="C980" s="473"/>
      <c r="D980" s="2020"/>
      <c r="E980" s="2023"/>
      <c r="F980" s="2031"/>
      <c r="G980" s="2029"/>
      <c r="H980" s="2037"/>
      <c r="I980" s="557"/>
      <c r="J980" s="2105" t="s">
        <v>1483</v>
      </c>
      <c r="K980" s="2082"/>
      <c r="L980" s="2082"/>
      <c r="M980" s="2082"/>
      <c r="N980" s="2075"/>
      <c r="O980" s="2075"/>
      <c r="P980" s="2075"/>
      <c r="Q980" s="2106"/>
      <c r="R980" s="2092"/>
      <c r="S980" s="2106">
        <v>2000000</v>
      </c>
      <c r="T980" s="2106" t="s">
        <v>0</v>
      </c>
      <c r="U980" s="2106"/>
      <c r="V980" s="2106">
        <v>1</v>
      </c>
      <c r="W980" s="2106" t="s">
        <v>226</v>
      </c>
      <c r="X980" s="1256" t="s">
        <v>1</v>
      </c>
      <c r="Y980" s="483">
        <f t="shared" si="359"/>
        <v>2000</v>
      </c>
      <c r="Z980" s="896">
        <f t="shared" si="360"/>
        <v>2000000</v>
      </c>
      <c r="AA980" s="547"/>
      <c r="AB980" s="1891"/>
      <c r="AC980" s="1892"/>
      <c r="AD980" s="837"/>
    </row>
    <row r="981" spans="1:30" s="815" customFormat="1" ht="22.5" customHeight="1">
      <c r="A981" s="562"/>
      <c r="B981" s="563"/>
      <c r="C981" s="473"/>
      <c r="D981" s="2020"/>
      <c r="E981" s="2023"/>
      <c r="F981" s="2031"/>
      <c r="G981" s="2029"/>
      <c r="H981" s="2037"/>
      <c r="I981" s="557"/>
      <c r="J981" s="2105" t="s">
        <v>1484</v>
      </c>
      <c r="K981" s="2082"/>
      <c r="L981" s="2082"/>
      <c r="M981" s="2082"/>
      <c r="N981" s="2075"/>
      <c r="O981" s="2075"/>
      <c r="P981" s="2075"/>
      <c r="Q981" s="2106"/>
      <c r="R981" s="2092"/>
      <c r="S981" s="2106">
        <v>3000000</v>
      </c>
      <c r="T981" s="2106" t="s">
        <v>0</v>
      </c>
      <c r="U981" s="2106"/>
      <c r="V981" s="2106">
        <v>1</v>
      </c>
      <c r="W981" s="2106" t="s">
        <v>226</v>
      </c>
      <c r="X981" s="1256" t="s">
        <v>1</v>
      </c>
      <c r="Y981" s="483">
        <f t="shared" si="359"/>
        <v>3000</v>
      </c>
      <c r="Z981" s="896">
        <f t="shared" si="360"/>
        <v>3000000</v>
      </c>
      <c r="AA981" s="547"/>
      <c r="AB981" s="1891"/>
      <c r="AC981" s="1892"/>
      <c r="AD981" s="837"/>
    </row>
    <row r="982" spans="1:30" s="815" customFormat="1" ht="22.5" customHeight="1">
      <c r="A982" s="562"/>
      <c r="B982" s="563"/>
      <c r="C982" s="473"/>
      <c r="D982" s="2020"/>
      <c r="E982" s="2023" t="s">
        <v>15</v>
      </c>
      <c r="F982" s="593">
        <f>+Y982</f>
        <v>1000</v>
      </c>
      <c r="G982" s="2029">
        <v>1000</v>
      </c>
      <c r="H982" s="2037"/>
      <c r="I982" s="557"/>
      <c r="J982" s="2105" t="s">
        <v>1472</v>
      </c>
      <c r="K982" s="2082"/>
      <c r="L982" s="2082"/>
      <c r="M982" s="2082"/>
      <c r="N982" s="2075"/>
      <c r="O982" s="2075"/>
      <c r="P982" s="2075"/>
      <c r="Q982" s="2106"/>
      <c r="R982" s="2092"/>
      <c r="S982" s="2106">
        <v>1000000</v>
      </c>
      <c r="T982" s="2106" t="s">
        <v>0</v>
      </c>
      <c r="U982" s="2106"/>
      <c r="V982" s="2106">
        <v>1</v>
      </c>
      <c r="W982" s="2106" t="s">
        <v>226</v>
      </c>
      <c r="X982" s="1256" t="s">
        <v>1</v>
      </c>
      <c r="Y982" s="483">
        <f t="shared" si="359"/>
        <v>1000</v>
      </c>
      <c r="Z982" s="896">
        <f t="shared" si="360"/>
        <v>1000000</v>
      </c>
      <c r="AA982" s="547"/>
      <c r="AB982" s="1891"/>
      <c r="AC982" s="1892"/>
      <c r="AD982" s="837"/>
    </row>
    <row r="983" spans="1:30" s="93" customFormat="1" ht="22.5" customHeight="1">
      <c r="A983" s="2079"/>
      <c r="B983" s="2035"/>
      <c r="C983" s="1386" t="s">
        <v>2456</v>
      </c>
      <c r="D983" s="2104"/>
      <c r="E983" s="1252"/>
      <c r="F983" s="1253">
        <f>+F984</f>
        <v>15000</v>
      </c>
      <c r="G983" s="1253">
        <f>+G984</f>
        <v>15000</v>
      </c>
      <c r="H983" s="1364">
        <f>F983-G983</f>
        <v>0</v>
      </c>
      <c r="I983" s="557"/>
      <c r="J983" s="2025"/>
      <c r="K983" s="2068"/>
      <c r="L983" s="2068"/>
      <c r="M983" s="2068"/>
      <c r="N983" s="2068"/>
      <c r="O983" s="2068"/>
      <c r="P983" s="2101"/>
      <c r="Q983" s="2026"/>
      <c r="R983" s="2027"/>
      <c r="S983" s="2026"/>
      <c r="T983" s="2026"/>
      <c r="U983" s="2101"/>
      <c r="V983" s="2026"/>
      <c r="W983" s="2026"/>
      <c r="X983" s="2028"/>
      <c r="Y983" s="517"/>
      <c r="Z983" s="518"/>
      <c r="AA983" s="547"/>
      <c r="AB983" s="1891">
        <f>F983</f>
        <v>15000</v>
      </c>
      <c r="AC983" s="2729"/>
      <c r="AD983" s="1662"/>
    </row>
    <row r="984" spans="1:30" s="93" customFormat="1" ht="22.5" customHeight="1">
      <c r="A984" s="2079"/>
      <c r="B984" s="2035"/>
      <c r="C984" s="2013"/>
      <c r="D984" s="3823" t="s">
        <v>2457</v>
      </c>
      <c r="E984" s="3824"/>
      <c r="F984" s="2052">
        <f>SUM(F985:F1005)</f>
        <v>15000</v>
      </c>
      <c r="G984" s="2052">
        <f>SUM(G985:G1005)</f>
        <v>15000</v>
      </c>
      <c r="H984" s="620">
        <f>F984-G984</f>
        <v>0</v>
      </c>
      <c r="I984" s="557"/>
      <c r="J984" s="2017"/>
      <c r="K984" s="2065"/>
      <c r="L984" s="2065"/>
      <c r="M984" s="2065"/>
      <c r="N984" s="2065"/>
      <c r="O984" s="2065"/>
      <c r="P984" s="2018"/>
      <c r="Q984" s="2065"/>
      <c r="R984" s="2019"/>
      <c r="S984" s="2018"/>
      <c r="T984" s="2065"/>
      <c r="U984" s="2065"/>
      <c r="V984" s="2018"/>
      <c r="W984" s="2065"/>
      <c r="X984" s="2053"/>
      <c r="Y984" s="2054"/>
      <c r="Z984" s="667"/>
      <c r="AA984" s="547"/>
      <c r="AB984" s="1891"/>
      <c r="AC984" s="2729"/>
      <c r="AD984" s="1662"/>
    </row>
    <row r="985" spans="1:30" s="1842" customFormat="1" ht="22.5" customHeight="1">
      <c r="A985" s="481"/>
      <c r="B985" s="2013"/>
      <c r="C985" s="2075"/>
      <c r="D985" s="548"/>
      <c r="E985" s="2023" t="s">
        <v>65</v>
      </c>
      <c r="F985" s="526">
        <f>Y985</f>
        <v>270</v>
      </c>
      <c r="G985" s="1918">
        <v>759.2</v>
      </c>
      <c r="H985" s="551">
        <f>F985-G985</f>
        <v>-489.20000000000005</v>
      </c>
      <c r="I985" s="543"/>
      <c r="J985" s="3530" t="s">
        <v>572</v>
      </c>
      <c r="K985" s="3527"/>
      <c r="L985" s="3527"/>
      <c r="M985" s="3527"/>
      <c r="N985" s="3527"/>
      <c r="O985" s="3527"/>
      <c r="P985" s="3527"/>
      <c r="Q985" s="3527"/>
      <c r="R985" s="552"/>
      <c r="S985" s="3527"/>
      <c r="T985" s="3527"/>
      <c r="U985" s="3527"/>
      <c r="V985" s="3527"/>
      <c r="W985" s="3527"/>
      <c r="X985" s="2030"/>
      <c r="Y985" s="3110">
        <f t="shared" ref="Y985" si="361">(Z985)/1000</f>
        <v>270</v>
      </c>
      <c r="Z985" s="896">
        <f>SUM(Z986:Z988)</f>
        <v>270000</v>
      </c>
      <c r="AA985" s="2075"/>
      <c r="AB985" s="2075"/>
      <c r="AC985" s="2075"/>
    </row>
    <row r="986" spans="1:30" s="1842" customFormat="1" ht="22.5" customHeight="1">
      <c r="A986" s="481"/>
      <c r="B986" s="2013"/>
      <c r="C986" s="2075"/>
      <c r="D986" s="548"/>
      <c r="E986" s="2023"/>
      <c r="F986" s="526"/>
      <c r="G986" s="1918"/>
      <c r="H986" s="551"/>
      <c r="I986" s="543"/>
      <c r="J986" s="3530" t="s">
        <v>2458</v>
      </c>
      <c r="K986" s="3527"/>
      <c r="L986" s="3527"/>
      <c r="M986" s="3527"/>
      <c r="N986" s="3527"/>
      <c r="O986" s="3527"/>
      <c r="P986" s="3527"/>
      <c r="Q986" s="556"/>
      <c r="R986" s="3516"/>
      <c r="S986" s="3108">
        <v>52000</v>
      </c>
      <c r="T986" s="3531" t="s">
        <v>0</v>
      </c>
      <c r="U986" s="3531"/>
      <c r="V986" s="3531">
        <v>5</v>
      </c>
      <c r="W986" s="3531" t="s">
        <v>253</v>
      </c>
      <c r="X986" s="2030" t="s">
        <v>370</v>
      </c>
      <c r="Y986" s="3110">
        <f t="shared" ref="Y986:Y1005" si="362">Z986/1000</f>
        <v>260</v>
      </c>
      <c r="Z986" s="896">
        <f>S986*V986</f>
        <v>260000</v>
      </c>
      <c r="AA986" s="2075"/>
      <c r="AB986" s="2075"/>
      <c r="AC986" s="2075"/>
    </row>
    <row r="987" spans="1:30" s="1842" customFormat="1" ht="22.5" customHeight="1">
      <c r="A987" s="481"/>
      <c r="B987" s="2013"/>
      <c r="C987" s="2075"/>
      <c r="D987" s="548"/>
      <c r="E987" s="2023"/>
      <c r="F987" s="526"/>
      <c r="G987" s="1918"/>
      <c r="H987" s="551"/>
      <c r="I987" s="543"/>
      <c r="J987" s="3530" t="s">
        <v>5734</v>
      </c>
      <c r="K987" s="3527"/>
      <c r="L987" s="3527"/>
      <c r="M987" s="3527"/>
      <c r="N987" s="3527"/>
      <c r="O987" s="3527"/>
      <c r="P987" s="3527"/>
      <c r="Q987" s="3579">
        <v>0.02</v>
      </c>
      <c r="R987" s="3516"/>
      <c r="S987" s="3108">
        <v>52000</v>
      </c>
      <c r="T987" s="3531" t="s">
        <v>0</v>
      </c>
      <c r="U987" s="3531"/>
      <c r="V987" s="3531">
        <v>5</v>
      </c>
      <c r="W987" s="3531" t="s">
        <v>974</v>
      </c>
      <c r="X987" s="2030" t="s">
        <v>370</v>
      </c>
      <c r="Y987" s="3110">
        <f t="shared" si="362"/>
        <v>5.2</v>
      </c>
      <c r="Z987" s="896">
        <f>S987*V987*Q987</f>
        <v>5200</v>
      </c>
      <c r="AA987" s="2075"/>
      <c r="AB987" s="2075"/>
      <c r="AC987" s="2075"/>
    </row>
    <row r="988" spans="1:30" s="1842" customFormat="1" ht="22.5" customHeight="1">
      <c r="A988" s="481"/>
      <c r="B988" s="2013"/>
      <c r="C988" s="2075"/>
      <c r="D988" s="548"/>
      <c r="E988" s="2023"/>
      <c r="F988" s="526"/>
      <c r="G988" s="1918"/>
      <c r="H988" s="551"/>
      <c r="I988" s="543"/>
      <c r="J988" s="3530" t="s">
        <v>5735</v>
      </c>
      <c r="K988" s="3527"/>
      <c r="L988" s="3527"/>
      <c r="M988" s="3527"/>
      <c r="N988" s="3527"/>
      <c r="O988" s="3527"/>
      <c r="P988" s="3527"/>
      <c r="Q988" s="556"/>
      <c r="R988" s="3516"/>
      <c r="S988" s="3108">
        <v>4800</v>
      </c>
      <c r="T988" s="3531" t="s">
        <v>0</v>
      </c>
      <c r="U988" s="3579"/>
      <c r="V988" s="3531">
        <v>1</v>
      </c>
      <c r="W988" s="3580" t="s">
        <v>2468</v>
      </c>
      <c r="X988" s="2030" t="s">
        <v>370</v>
      </c>
      <c r="Y988" s="3110">
        <f t="shared" si="362"/>
        <v>4.8</v>
      </c>
      <c r="Z988" s="896">
        <f>S988*V988</f>
        <v>4800</v>
      </c>
      <c r="AA988" s="2075"/>
      <c r="AB988" s="2075"/>
      <c r="AC988" s="2075"/>
    </row>
    <row r="989" spans="1:30" s="1888" customFormat="1" ht="22.5" customHeight="1">
      <c r="A989" s="591"/>
      <c r="B989" s="624"/>
      <c r="C989" s="624"/>
      <c r="D989" s="2020"/>
      <c r="E989" s="2023" t="s">
        <v>592</v>
      </c>
      <c r="F989" s="549">
        <f>Y989</f>
        <v>3229.2</v>
      </c>
      <c r="G989" s="549">
        <v>3540</v>
      </c>
      <c r="H989" s="551">
        <f>F989-G989</f>
        <v>-310.80000000000018</v>
      </c>
      <c r="I989" s="557"/>
      <c r="J989" s="3530" t="s">
        <v>2443</v>
      </c>
      <c r="K989" s="3527"/>
      <c r="L989" s="3527"/>
      <c r="M989" s="3527"/>
      <c r="N989" s="3527"/>
      <c r="O989" s="3527"/>
      <c r="P989" s="3119"/>
      <c r="Q989" s="3531"/>
      <c r="R989" s="3516"/>
      <c r="S989" s="3531"/>
      <c r="T989" s="3531"/>
      <c r="U989" s="3119"/>
      <c r="V989" s="3531"/>
      <c r="W989" s="3531"/>
      <c r="X989" s="2030"/>
      <c r="Y989" s="3110">
        <f t="shared" si="362"/>
        <v>3229.2</v>
      </c>
      <c r="Z989" s="896">
        <f>SUM(Z990:Z993)</f>
        <v>3229200</v>
      </c>
      <c r="AA989" s="547"/>
      <c r="AB989" s="1891"/>
      <c r="AC989" s="1895"/>
      <c r="AD989" s="542"/>
    </row>
    <row r="990" spans="1:30" s="1888" customFormat="1" ht="22.5" customHeight="1">
      <c r="A990" s="2081"/>
      <c r="B990" s="624"/>
      <c r="C990" s="624"/>
      <c r="D990" s="2038"/>
      <c r="E990" s="2023"/>
      <c r="F990" s="549"/>
      <c r="G990" s="549"/>
      <c r="H990" s="626"/>
      <c r="I990" s="557"/>
      <c r="J990" s="3581" t="s">
        <v>2472</v>
      </c>
      <c r="K990" s="2133"/>
      <c r="L990" s="2133"/>
      <c r="M990" s="2133"/>
      <c r="N990" s="2133"/>
      <c r="O990" s="2133"/>
      <c r="P990" s="2133"/>
      <c r="Q990" s="2133"/>
      <c r="R990" s="2133"/>
      <c r="S990" s="3580">
        <v>400</v>
      </c>
      <c r="T990" s="3580" t="s">
        <v>0</v>
      </c>
      <c r="U990" s="2133"/>
      <c r="V990" s="3580">
        <v>923</v>
      </c>
      <c r="W990" s="3580" t="s">
        <v>2471</v>
      </c>
      <c r="X990" s="3582" t="s">
        <v>1</v>
      </c>
      <c r="Y990" s="3110">
        <f t="shared" ref="Y990:Y992" si="363">Z990/1000</f>
        <v>369.2</v>
      </c>
      <c r="Z990" s="896">
        <f t="shared" ref="Z990:Z992" si="364">S990*V990</f>
        <v>369200</v>
      </c>
      <c r="AA990" s="547"/>
      <c r="AB990" s="1891"/>
      <c r="AC990" s="1895"/>
      <c r="AD990" s="542"/>
    </row>
    <row r="991" spans="1:30" s="1888" customFormat="1" ht="22.5" customHeight="1">
      <c r="A991" s="2081"/>
      <c r="B991" s="624"/>
      <c r="C991" s="624"/>
      <c r="D991" s="2038"/>
      <c r="E991" s="2023"/>
      <c r="F991" s="549"/>
      <c r="G991" s="549"/>
      <c r="H991" s="626"/>
      <c r="I991" s="557"/>
      <c r="J991" s="3581" t="s">
        <v>2473</v>
      </c>
      <c r="K991" s="2133"/>
      <c r="L991" s="2133"/>
      <c r="M991" s="2133"/>
      <c r="N991" s="2133"/>
      <c r="O991" s="2133"/>
      <c r="P991" s="2133"/>
      <c r="Q991" s="2133"/>
      <c r="R991" s="2133"/>
      <c r="S991" s="3580">
        <v>130000</v>
      </c>
      <c r="T991" s="3580" t="s">
        <v>2460</v>
      </c>
      <c r="U991" s="2133"/>
      <c r="V991" s="3580">
        <v>2</v>
      </c>
      <c r="W991" s="3580" t="s">
        <v>2468</v>
      </c>
      <c r="X991" s="3582" t="s">
        <v>1</v>
      </c>
      <c r="Y991" s="3110">
        <f t="shared" si="363"/>
        <v>260</v>
      </c>
      <c r="Z991" s="896">
        <f t="shared" si="364"/>
        <v>260000</v>
      </c>
      <c r="AA991" s="547"/>
      <c r="AB991" s="1891"/>
      <c r="AC991" s="1895"/>
      <c r="AD991" s="542"/>
    </row>
    <row r="992" spans="1:30" s="1888" customFormat="1" ht="22.5" customHeight="1">
      <c r="A992" s="2081"/>
      <c r="B992" s="624"/>
      <c r="C992" s="624"/>
      <c r="D992" s="2038"/>
      <c r="E992" s="2023"/>
      <c r="F992" s="549"/>
      <c r="G992" s="549"/>
      <c r="H992" s="626"/>
      <c r="I992" s="557"/>
      <c r="J992" s="3581" t="s">
        <v>2474</v>
      </c>
      <c r="K992" s="2133"/>
      <c r="L992" s="2133"/>
      <c r="M992" s="2133"/>
      <c r="N992" s="2133"/>
      <c r="O992" s="2133"/>
      <c r="P992" s="2133"/>
      <c r="Q992" s="2133"/>
      <c r="R992" s="2133"/>
      <c r="S992" s="3580">
        <v>50000</v>
      </c>
      <c r="T992" s="3580" t="s">
        <v>2460</v>
      </c>
      <c r="U992" s="2133"/>
      <c r="V992" s="3580">
        <v>1</v>
      </c>
      <c r="W992" s="3580" t="s">
        <v>2468</v>
      </c>
      <c r="X992" s="3582" t="s">
        <v>1</v>
      </c>
      <c r="Y992" s="3110">
        <f t="shared" si="363"/>
        <v>50</v>
      </c>
      <c r="Z992" s="896">
        <f t="shared" si="364"/>
        <v>50000</v>
      </c>
      <c r="AA992" s="547"/>
      <c r="AB992" s="1891"/>
      <c r="AC992" s="1895"/>
      <c r="AD992" s="542"/>
    </row>
    <row r="993" spans="1:30" s="1888" customFormat="1" ht="22.5" customHeight="1">
      <c r="A993" s="2081"/>
      <c r="B993" s="624"/>
      <c r="C993" s="624"/>
      <c r="D993" s="2038"/>
      <c r="E993" s="2023"/>
      <c r="F993" s="549"/>
      <c r="G993" s="549"/>
      <c r="H993" s="626"/>
      <c r="I993" s="557"/>
      <c r="J993" s="3581" t="s">
        <v>2470</v>
      </c>
      <c r="K993" s="2133"/>
      <c r="L993" s="2133"/>
      <c r="M993" s="2133"/>
      <c r="N993" s="2133"/>
      <c r="O993" s="2133"/>
      <c r="P993" s="2133"/>
      <c r="Q993" s="2133"/>
      <c r="R993" s="2133"/>
      <c r="S993" s="3580">
        <v>8500</v>
      </c>
      <c r="T993" s="3580" t="s">
        <v>2460</v>
      </c>
      <c r="U993" s="2133"/>
      <c r="V993" s="3580">
        <v>300</v>
      </c>
      <c r="W993" s="3580" t="s">
        <v>2471</v>
      </c>
      <c r="X993" s="3582" t="s">
        <v>1</v>
      </c>
      <c r="Y993" s="3110">
        <f t="shared" ref="Y993" si="365">Z993/1000</f>
        <v>2550</v>
      </c>
      <c r="Z993" s="896">
        <f>S993*V993</f>
        <v>2550000</v>
      </c>
      <c r="AA993" s="547"/>
      <c r="AB993" s="1891"/>
      <c r="AC993" s="1895"/>
      <c r="AD993" s="542"/>
    </row>
    <row r="994" spans="1:30" s="93" customFormat="1" ht="22.5" customHeight="1">
      <c r="A994" s="2079"/>
      <c r="B994" s="2035"/>
      <c r="C994" s="2013"/>
      <c r="D994" s="2038"/>
      <c r="E994" s="2023" t="s">
        <v>264</v>
      </c>
      <c r="F994" s="2031">
        <f>+Y994</f>
        <v>5420</v>
      </c>
      <c r="G994" s="2029">
        <v>5420</v>
      </c>
      <c r="H994" s="2037"/>
      <c r="I994" s="557"/>
      <c r="J994" s="3530" t="s">
        <v>8</v>
      </c>
      <c r="K994" s="3527"/>
      <c r="L994" s="3527"/>
      <c r="M994" s="3527"/>
      <c r="N994" s="3527"/>
      <c r="O994" s="3527"/>
      <c r="P994" s="3119"/>
      <c r="Q994" s="3531"/>
      <c r="R994" s="3516"/>
      <c r="S994" s="3531"/>
      <c r="T994" s="3531"/>
      <c r="U994" s="3119"/>
      <c r="V994" s="3531"/>
      <c r="W994" s="3531"/>
      <c r="X994" s="2030"/>
      <c r="Y994" s="3110">
        <f t="shared" si="362"/>
        <v>5420</v>
      </c>
      <c r="Z994" s="896">
        <f>SUM(Z995:Z998)</f>
        <v>5420000</v>
      </c>
      <c r="AA994" s="547"/>
      <c r="AB994" s="1891"/>
      <c r="AC994" s="2729"/>
      <c r="AD994" s="1662"/>
    </row>
    <row r="995" spans="1:30" s="93" customFormat="1" ht="22.5" customHeight="1">
      <c r="A995" s="2079"/>
      <c r="B995" s="2035"/>
      <c r="C995" s="2013"/>
      <c r="D995" s="2038"/>
      <c r="E995" s="2023"/>
      <c r="F995" s="2031"/>
      <c r="G995" s="2029"/>
      <c r="H995" s="2037"/>
      <c r="I995" s="557"/>
      <c r="J995" s="3530" t="s">
        <v>2253</v>
      </c>
      <c r="K995" s="3527"/>
      <c r="L995" s="3527"/>
      <c r="M995" s="3527"/>
      <c r="N995" s="2075"/>
      <c r="O995" s="2075"/>
      <c r="P995" s="2075"/>
      <c r="Q995" s="3531">
        <v>28</v>
      </c>
      <c r="R995" s="3531" t="s">
        <v>36</v>
      </c>
      <c r="S995" s="3531">
        <v>5000</v>
      </c>
      <c r="T995" s="3531" t="s">
        <v>0</v>
      </c>
      <c r="U995" s="3531"/>
      <c r="V995" s="3531">
        <v>28</v>
      </c>
      <c r="W995" s="3531" t="s">
        <v>561</v>
      </c>
      <c r="X995" s="1256" t="s">
        <v>1</v>
      </c>
      <c r="Y995" s="3110">
        <f t="shared" si="362"/>
        <v>3920</v>
      </c>
      <c r="Z995" s="896">
        <f>Q995*S995*V995</f>
        <v>3920000</v>
      </c>
      <c r="AA995" s="547"/>
      <c r="AB995" s="1891"/>
      <c r="AC995" s="2729"/>
      <c r="AD995" s="1662"/>
    </row>
    <row r="996" spans="1:30" s="93" customFormat="1" ht="22.5" customHeight="1">
      <c r="A996" s="2079"/>
      <c r="B996" s="2035"/>
      <c r="C996" s="2013"/>
      <c r="D996" s="2038"/>
      <c r="E996" s="2023"/>
      <c r="F996" s="2031"/>
      <c r="G996" s="2029"/>
      <c r="H996" s="2037"/>
      <c r="I996" s="557"/>
      <c r="J996" s="3581" t="s">
        <v>2459</v>
      </c>
      <c r="K996" s="2133"/>
      <c r="L996" s="2133"/>
      <c r="M996" s="2133"/>
      <c r="N996" s="2133"/>
      <c r="O996" s="2133"/>
      <c r="P996" s="2133"/>
      <c r="Q996" s="2133"/>
      <c r="R996" s="2133"/>
      <c r="S996" s="3580">
        <v>50000</v>
      </c>
      <c r="T996" s="3580" t="s">
        <v>2460</v>
      </c>
      <c r="U996" s="2133"/>
      <c r="V996" s="3580">
        <v>6</v>
      </c>
      <c r="W996" s="3580" t="s">
        <v>2461</v>
      </c>
      <c r="X996" s="3582" t="s">
        <v>1</v>
      </c>
      <c r="Y996" s="3110">
        <f t="shared" si="362"/>
        <v>300</v>
      </c>
      <c r="Z996" s="896">
        <f t="shared" ref="Z996:Z997" si="366">S996*V996</f>
        <v>300000</v>
      </c>
      <c r="AA996" s="547"/>
      <c r="AB996" s="1891"/>
      <c r="AC996" s="2729"/>
      <c r="AD996" s="1662"/>
    </row>
    <row r="997" spans="1:30" s="93" customFormat="1" ht="22.5" customHeight="1">
      <c r="A997" s="2079"/>
      <c r="B997" s="2035"/>
      <c r="C997" s="2013"/>
      <c r="D997" s="2038"/>
      <c r="E997" s="2023"/>
      <c r="F997" s="2031"/>
      <c r="G997" s="2029"/>
      <c r="H997" s="2037"/>
      <c r="I997" s="557"/>
      <c r="J997" s="3581" t="s">
        <v>2462</v>
      </c>
      <c r="K997" s="2133"/>
      <c r="L997" s="2133"/>
      <c r="M997" s="2133"/>
      <c r="N997" s="2133"/>
      <c r="O997" s="2133"/>
      <c r="P997" s="2133"/>
      <c r="Q997" s="2133"/>
      <c r="R997" s="2133"/>
      <c r="S997" s="3580">
        <v>100000</v>
      </c>
      <c r="T997" s="3580" t="s">
        <v>2460</v>
      </c>
      <c r="U997" s="2133"/>
      <c r="V997" s="3580">
        <v>7</v>
      </c>
      <c r="W997" s="3580" t="s">
        <v>787</v>
      </c>
      <c r="X997" s="3582" t="s">
        <v>1</v>
      </c>
      <c r="Y997" s="3110">
        <f t="shared" si="362"/>
        <v>700</v>
      </c>
      <c r="Z997" s="896">
        <f t="shared" si="366"/>
        <v>700000</v>
      </c>
      <c r="AA997" s="547"/>
      <c r="AB997" s="1891"/>
      <c r="AC997" s="2729"/>
      <c r="AD997" s="1662"/>
    </row>
    <row r="998" spans="1:30" s="93" customFormat="1" ht="22.5" customHeight="1">
      <c r="A998" s="2079"/>
      <c r="B998" s="2035"/>
      <c r="C998" s="2013"/>
      <c r="D998" s="2038"/>
      <c r="E998" s="2023"/>
      <c r="F998" s="2031"/>
      <c r="G998" s="2029"/>
      <c r="H998" s="2037"/>
      <c r="I998" s="557"/>
      <c r="J998" s="3581" t="s">
        <v>2463</v>
      </c>
      <c r="K998" s="2133"/>
      <c r="L998" s="2133"/>
      <c r="M998" s="2133"/>
      <c r="N998" s="2133"/>
      <c r="O998" s="2133"/>
      <c r="P998" s="2133"/>
      <c r="Q998" s="3531">
        <v>100</v>
      </c>
      <c r="R998" s="3531" t="s">
        <v>36</v>
      </c>
      <c r="S998" s="3580">
        <v>5000</v>
      </c>
      <c r="T998" s="3580" t="s">
        <v>0</v>
      </c>
      <c r="U998" s="2133"/>
      <c r="V998" s="3580">
        <v>1</v>
      </c>
      <c r="W998" s="3580" t="s">
        <v>2464</v>
      </c>
      <c r="X998" s="3582" t="s">
        <v>1</v>
      </c>
      <c r="Y998" s="3110">
        <f t="shared" si="362"/>
        <v>500</v>
      </c>
      <c r="Z998" s="896">
        <f>Q998*S998*V998</f>
        <v>500000</v>
      </c>
      <c r="AA998" s="547"/>
      <c r="AB998" s="1891"/>
      <c r="AC998" s="2729"/>
      <c r="AD998" s="1662"/>
    </row>
    <row r="999" spans="1:30" s="1888" customFormat="1" ht="22.5" customHeight="1">
      <c r="A999" s="591"/>
      <c r="B999" s="548"/>
      <c r="C999" s="624"/>
      <c r="D999" s="2020"/>
      <c r="E999" s="2023" t="s">
        <v>753</v>
      </c>
      <c r="F999" s="549">
        <f>Y999</f>
        <v>174</v>
      </c>
      <c r="G999" s="549">
        <v>174</v>
      </c>
      <c r="H999" s="551"/>
      <c r="I999" s="557"/>
      <c r="J999" s="3581" t="s">
        <v>2467</v>
      </c>
      <c r="K999" s="2133"/>
      <c r="L999" s="2133"/>
      <c r="M999" s="2133"/>
      <c r="N999" s="2133"/>
      <c r="O999" s="2133"/>
      <c r="P999" s="2133"/>
      <c r="Q999" s="3531">
        <v>2</v>
      </c>
      <c r="R999" s="3531" t="s">
        <v>36</v>
      </c>
      <c r="S999" s="3580">
        <v>29000</v>
      </c>
      <c r="T999" s="3580" t="s">
        <v>0</v>
      </c>
      <c r="U999" s="2133"/>
      <c r="V999" s="3580">
        <v>3</v>
      </c>
      <c r="W999" s="3580" t="s">
        <v>2464</v>
      </c>
      <c r="X999" s="3582" t="s">
        <v>1</v>
      </c>
      <c r="Y999" s="3110">
        <f t="shared" si="362"/>
        <v>174</v>
      </c>
      <c r="Z999" s="896">
        <f>Q999*S999*V999</f>
        <v>174000</v>
      </c>
      <c r="AA999" s="547"/>
      <c r="AB999" s="1891"/>
      <c r="AC999" s="1895"/>
      <c r="AD999" s="542"/>
    </row>
    <row r="1000" spans="1:30" s="815" customFormat="1" ht="22.5" customHeight="1">
      <c r="A1000" s="562"/>
      <c r="B1000" s="563"/>
      <c r="C1000" s="473"/>
      <c r="D1000" s="2020"/>
      <c r="E1000" s="2023" t="s">
        <v>246</v>
      </c>
      <c r="F1000" s="2031">
        <f>+Y1000</f>
        <v>3082</v>
      </c>
      <c r="G1000" s="2029">
        <v>2282</v>
      </c>
      <c r="H1000" s="551">
        <f>F1000-G1000</f>
        <v>800</v>
      </c>
      <c r="I1000" s="557"/>
      <c r="J1000" s="3530" t="s">
        <v>8</v>
      </c>
      <c r="K1000" s="3527"/>
      <c r="L1000" s="3527"/>
      <c r="M1000" s="3527"/>
      <c r="N1000" s="3527"/>
      <c r="O1000" s="3527"/>
      <c r="P1000" s="3119"/>
      <c r="Q1000" s="3531"/>
      <c r="R1000" s="3516"/>
      <c r="S1000" s="3531"/>
      <c r="T1000" s="3531"/>
      <c r="U1000" s="3119"/>
      <c r="V1000" s="3531"/>
      <c r="W1000" s="3531"/>
      <c r="X1000" s="2030"/>
      <c r="Y1000" s="3110">
        <f t="shared" si="362"/>
        <v>3082</v>
      </c>
      <c r="Z1000" s="896">
        <f>SUM(Z1001:Z1002)</f>
        <v>3082000</v>
      </c>
      <c r="AA1000" s="547"/>
      <c r="AB1000" s="1891"/>
      <c r="AC1000" s="1892"/>
      <c r="AD1000" s="837"/>
    </row>
    <row r="1001" spans="1:30" s="815" customFormat="1" ht="22.5" customHeight="1">
      <c r="A1001" s="562"/>
      <c r="B1001" s="563"/>
      <c r="C1001" s="473"/>
      <c r="D1001" s="2020"/>
      <c r="E1001" s="2023"/>
      <c r="F1001" s="2031"/>
      <c r="G1001" s="2029"/>
      <c r="H1001" s="2037"/>
      <c r="I1001" s="557"/>
      <c r="J1001" s="3581" t="s">
        <v>5736</v>
      </c>
      <c r="K1001" s="2133"/>
      <c r="L1001" s="2133"/>
      <c r="M1001" s="2133"/>
      <c r="N1001" s="2133"/>
      <c r="O1001" s="2133"/>
      <c r="P1001" s="2133"/>
      <c r="Q1001" s="2133"/>
      <c r="R1001" s="2133"/>
      <c r="S1001" s="3580">
        <v>2800000</v>
      </c>
      <c r="T1001" s="3580" t="s">
        <v>2460</v>
      </c>
      <c r="U1001" s="2133"/>
      <c r="V1001" s="3580">
        <v>1</v>
      </c>
      <c r="W1001" s="3580" t="s">
        <v>2468</v>
      </c>
      <c r="X1001" s="3582" t="s">
        <v>1</v>
      </c>
      <c r="Y1001" s="3110">
        <f t="shared" si="362"/>
        <v>2800</v>
      </c>
      <c r="Z1001" s="896">
        <f>S1001*V1001</f>
        <v>2800000</v>
      </c>
      <c r="AA1001" s="547"/>
      <c r="AB1001" s="1891"/>
      <c r="AC1001" s="1892"/>
      <c r="AD1001" s="837"/>
    </row>
    <row r="1002" spans="1:30" s="815" customFormat="1" ht="22.5" customHeight="1">
      <c r="A1002" s="562"/>
      <c r="B1002" s="563"/>
      <c r="C1002" s="473"/>
      <c r="D1002" s="2020"/>
      <c r="E1002" s="2023"/>
      <c r="F1002" s="2031"/>
      <c r="G1002" s="2029"/>
      <c r="H1002" s="2037"/>
      <c r="I1002" s="557"/>
      <c r="J1002" s="3581" t="s">
        <v>5737</v>
      </c>
      <c r="K1002" s="2133"/>
      <c r="L1002" s="2133"/>
      <c r="M1002" s="2133"/>
      <c r="N1002" s="2133"/>
      <c r="O1002" s="2133"/>
      <c r="P1002" s="2133"/>
      <c r="Q1002" s="2133"/>
      <c r="R1002" s="2133"/>
      <c r="S1002" s="3580">
        <v>282000</v>
      </c>
      <c r="T1002" s="3580" t="s">
        <v>2460</v>
      </c>
      <c r="U1002" s="2133"/>
      <c r="V1002" s="3580">
        <v>1</v>
      </c>
      <c r="W1002" s="3580" t="s">
        <v>2468</v>
      </c>
      <c r="X1002" s="3582" t="s">
        <v>1</v>
      </c>
      <c r="Y1002" s="3110">
        <f t="shared" si="362"/>
        <v>282</v>
      </c>
      <c r="Z1002" s="896">
        <f>S1002*V1002</f>
        <v>282000</v>
      </c>
      <c r="AA1002" s="547"/>
      <c r="AB1002" s="1891"/>
      <c r="AC1002" s="1892"/>
      <c r="AD1002" s="837"/>
    </row>
    <row r="1003" spans="1:30" s="1888" customFormat="1" ht="22.5" customHeight="1">
      <c r="A1003" s="2081"/>
      <c r="B1003" s="548"/>
      <c r="C1003" s="624"/>
      <c r="D1003" s="2038"/>
      <c r="E1003" s="1885" t="s">
        <v>551</v>
      </c>
      <c r="F1003" s="549">
        <f>Y1003</f>
        <v>192.8</v>
      </c>
      <c r="G1003" s="549">
        <v>192.8</v>
      </c>
      <c r="H1003" s="626"/>
      <c r="I1003" s="557"/>
      <c r="J1003" s="3530" t="s">
        <v>2466</v>
      </c>
      <c r="K1003" s="3527"/>
      <c r="L1003" s="3527"/>
      <c r="M1003" s="3527"/>
      <c r="N1003" s="3527"/>
      <c r="O1003" s="3527"/>
      <c r="P1003" s="3527"/>
      <c r="Q1003" s="3109" t="s">
        <v>770</v>
      </c>
      <c r="R1003" s="552" t="s">
        <v>770</v>
      </c>
      <c r="S1003" s="3108">
        <v>19280</v>
      </c>
      <c r="T1003" s="3531" t="s">
        <v>4</v>
      </c>
      <c r="U1003" s="3531"/>
      <c r="V1003" s="3531">
        <v>10</v>
      </c>
      <c r="W1003" s="3531" t="s">
        <v>561</v>
      </c>
      <c r="X1003" s="2030" t="s">
        <v>5</v>
      </c>
      <c r="Y1003" s="3110">
        <f t="shared" si="362"/>
        <v>192.8</v>
      </c>
      <c r="Z1003" s="896">
        <f>S1003*V1003</f>
        <v>192800</v>
      </c>
      <c r="AA1003" s="547"/>
      <c r="AB1003" s="1891"/>
      <c r="AC1003" s="1895"/>
      <c r="AD1003" s="542"/>
    </row>
    <row r="1004" spans="1:30" s="1894" customFormat="1" ht="22.5" customHeight="1">
      <c r="A1004" s="2079"/>
      <c r="B1004" s="2035"/>
      <c r="C1004" s="2013"/>
      <c r="D1004" s="2038"/>
      <c r="E1004" s="2023" t="s">
        <v>591</v>
      </c>
      <c r="F1004" s="526">
        <f>Y1004</f>
        <v>2352</v>
      </c>
      <c r="G1004" s="526">
        <v>2352</v>
      </c>
      <c r="H1004" s="626"/>
      <c r="I1004" s="557"/>
      <c r="J1004" s="3581" t="s">
        <v>2465</v>
      </c>
      <c r="K1004" s="2133"/>
      <c r="L1004" s="2133"/>
      <c r="M1004" s="2133"/>
      <c r="N1004" s="2133"/>
      <c r="O1004" s="2133"/>
      <c r="P1004" s="2133"/>
      <c r="Q1004" s="3531">
        <v>28</v>
      </c>
      <c r="R1004" s="3531" t="s">
        <v>36</v>
      </c>
      <c r="S1004" s="3580">
        <v>3000</v>
      </c>
      <c r="T1004" s="3580" t="s">
        <v>0</v>
      </c>
      <c r="U1004" s="2133"/>
      <c r="V1004" s="3580">
        <v>28</v>
      </c>
      <c r="W1004" s="3580" t="s">
        <v>2464</v>
      </c>
      <c r="X1004" s="3582" t="s">
        <v>1</v>
      </c>
      <c r="Y1004" s="3110">
        <f t="shared" si="362"/>
        <v>2352</v>
      </c>
      <c r="Z1004" s="896">
        <f>Q1004*S1004*V1004</f>
        <v>2352000</v>
      </c>
      <c r="AA1004" s="547"/>
      <c r="AB1004" s="1891"/>
      <c r="AC1004" s="1892"/>
      <c r="AD1004" s="1893"/>
    </row>
    <row r="1005" spans="1:30" s="1887" customFormat="1" ht="22.5" customHeight="1" thickBot="1">
      <c r="A1005" s="2748"/>
      <c r="B1005" s="638"/>
      <c r="C1005" s="638"/>
      <c r="D1005" s="2063"/>
      <c r="E1005" s="2055" t="s">
        <v>14</v>
      </c>
      <c r="F1005" s="1877">
        <f>Y1005</f>
        <v>280</v>
      </c>
      <c r="G1005" s="1877">
        <v>280</v>
      </c>
      <c r="H1005" s="1658"/>
      <c r="I1005" s="557"/>
      <c r="J1005" s="3530" t="s">
        <v>1486</v>
      </c>
      <c r="K1005" s="3107"/>
      <c r="L1005" s="3107"/>
      <c r="M1005" s="3107"/>
      <c r="N1005" s="3107"/>
      <c r="O1005" s="3107"/>
      <c r="P1005" s="3107"/>
      <c r="Q1005" s="3531">
        <v>4</v>
      </c>
      <c r="R1005" s="3531" t="s">
        <v>36</v>
      </c>
      <c r="S1005" s="3531">
        <v>10000</v>
      </c>
      <c r="T1005" s="3531" t="s">
        <v>4</v>
      </c>
      <c r="U1005" s="3531"/>
      <c r="V1005" s="3531">
        <v>7</v>
      </c>
      <c r="W1005" s="3531" t="s">
        <v>39</v>
      </c>
      <c r="X1005" s="2030" t="s">
        <v>5</v>
      </c>
      <c r="Y1005" s="3110">
        <f t="shared" si="362"/>
        <v>280</v>
      </c>
      <c r="Z1005" s="896">
        <f>Q1005*S1005*V1005</f>
        <v>280000</v>
      </c>
      <c r="AA1005" s="547"/>
      <c r="AB1005" s="1891"/>
      <c r="AC1005" s="1895"/>
      <c r="AD1005" s="456"/>
    </row>
    <row r="1006" spans="1:30" s="1887" customFormat="1" ht="22.5" customHeight="1" thickBot="1">
      <c r="A1006" s="574" t="s">
        <v>2027</v>
      </c>
      <c r="B1006" s="2314"/>
      <c r="C1006" s="2314"/>
      <c r="D1006" s="2314"/>
      <c r="E1006" s="2314"/>
      <c r="F1006" s="822">
        <f t="shared" ref="F1006:G1008" si="367">+F1007</f>
        <v>45000</v>
      </c>
      <c r="G1006" s="822">
        <f t="shared" si="367"/>
        <v>15000</v>
      </c>
      <c r="H1006" s="573">
        <f>F1006-G1006</f>
        <v>30000</v>
      </c>
      <c r="I1006" s="557"/>
      <c r="J1006" s="2316"/>
      <c r="K1006" s="2317"/>
      <c r="L1006" s="2317"/>
      <c r="M1006" s="2317"/>
      <c r="N1006" s="2317"/>
      <c r="O1006" s="2317"/>
      <c r="P1006" s="2317"/>
      <c r="Q1006" s="2317"/>
      <c r="R1006" s="2722"/>
      <c r="S1006" s="2317"/>
      <c r="T1006" s="2317"/>
      <c r="U1006" s="2317"/>
      <c r="V1006" s="2317"/>
      <c r="W1006" s="2317"/>
      <c r="X1006" s="2314"/>
      <c r="Y1006" s="2723"/>
      <c r="Z1006" s="2749"/>
      <c r="AA1006" s="547"/>
      <c r="AB1006" s="1891"/>
      <c r="AC1006" s="1895"/>
      <c r="AD1006" s="456"/>
    </row>
    <row r="1007" spans="1:30" s="814" customFormat="1" ht="22.5" customHeight="1" thickBot="1">
      <c r="A1007" s="1912"/>
      <c r="B1007" s="568" t="s">
        <v>1123</v>
      </c>
      <c r="C1007" s="569"/>
      <c r="D1007" s="570"/>
      <c r="E1007" s="571"/>
      <c r="F1007" s="822">
        <f>+F1008+F1024</f>
        <v>45000</v>
      </c>
      <c r="G1007" s="822">
        <f>+G1008+G1024</f>
        <v>15000</v>
      </c>
      <c r="H1007" s="573">
        <f t="shared" ref="H1007" si="368">F1007-G1007</f>
        <v>30000</v>
      </c>
      <c r="I1007" s="2682"/>
      <c r="J1007" s="574"/>
      <c r="K1007" s="575"/>
      <c r="L1007" s="575"/>
      <c r="M1007" s="575"/>
      <c r="N1007" s="575"/>
      <c r="O1007" s="575"/>
      <c r="P1007" s="575"/>
      <c r="Q1007" s="575"/>
      <c r="R1007" s="575"/>
      <c r="S1007" s="575"/>
      <c r="T1007" s="575"/>
      <c r="U1007" s="575"/>
      <c r="V1007" s="575"/>
      <c r="W1007" s="575"/>
      <c r="X1007" s="576"/>
      <c r="Y1007" s="2658"/>
      <c r="Z1007" s="2667"/>
      <c r="AA1007" s="547"/>
      <c r="AB1007" s="1891"/>
      <c r="AC1007" s="2677"/>
      <c r="AD1007" s="836"/>
    </row>
    <row r="1008" spans="1:30" s="815" customFormat="1" ht="22.5" customHeight="1">
      <c r="A1008" s="562"/>
      <c r="B1008" s="563"/>
      <c r="C1008" s="4099" t="s">
        <v>2475</v>
      </c>
      <c r="D1008" s="4099"/>
      <c r="E1008" s="3839"/>
      <c r="F1008" s="826">
        <f t="shared" si="367"/>
        <v>15000</v>
      </c>
      <c r="G1008" s="826">
        <f t="shared" si="367"/>
        <v>15000</v>
      </c>
      <c r="H1008" s="2450">
        <f>F1008-G1008</f>
        <v>0</v>
      </c>
      <c r="I1008" s="557"/>
      <c r="J1008" s="614"/>
      <c r="K1008" s="2072"/>
      <c r="L1008" s="2072"/>
      <c r="M1008" s="2072"/>
      <c r="N1008" s="2072"/>
      <c r="O1008" s="2072"/>
      <c r="P1008" s="2072"/>
      <c r="Q1008" s="510"/>
      <c r="R1008" s="2348"/>
      <c r="S1008" s="617"/>
      <c r="T1008" s="618"/>
      <c r="U1008" s="618"/>
      <c r="V1008" s="618"/>
      <c r="W1008" s="618"/>
      <c r="X1008" s="619"/>
      <c r="Y1008" s="756"/>
      <c r="Z1008" s="555"/>
      <c r="AA1008" s="547"/>
      <c r="AB1008" s="1891">
        <f>F1008</f>
        <v>15000</v>
      </c>
      <c r="AC1008" s="1892"/>
      <c r="AD1008" s="837"/>
    </row>
    <row r="1009" spans="1:30" s="815" customFormat="1" ht="22.5" customHeight="1">
      <c r="A1009" s="562"/>
      <c r="B1009" s="563"/>
      <c r="C1009" s="564"/>
      <c r="D1009" s="3825" t="s">
        <v>2028</v>
      </c>
      <c r="E1009" s="3826"/>
      <c r="F1009" s="584">
        <f>SUM(F1010:F1023)</f>
        <v>15000</v>
      </c>
      <c r="G1009" s="584">
        <f>SUM(G1010:G1023)</f>
        <v>15000</v>
      </c>
      <c r="H1009" s="627">
        <f>+F1009-G1009</f>
        <v>0</v>
      </c>
      <c r="I1009" s="1899"/>
      <c r="J1009" s="2025"/>
      <c r="K1009" s="2068"/>
      <c r="L1009" s="2068"/>
      <c r="M1009" s="2068"/>
      <c r="N1009" s="2068"/>
      <c r="O1009" s="2068"/>
      <c r="P1009" s="2101"/>
      <c r="Q1009" s="2101"/>
      <c r="R1009" s="2026"/>
      <c r="S1009" s="2026"/>
      <c r="T1009" s="2026"/>
      <c r="U1009" s="2101"/>
      <c r="V1009" s="2026"/>
      <c r="W1009" s="2026"/>
      <c r="X1009" s="2028"/>
      <c r="Y1009" s="517"/>
      <c r="Z1009" s="622"/>
      <c r="AA1009" s="547"/>
      <c r="AB1009" s="1891"/>
      <c r="AC1009" s="1892"/>
      <c r="AD1009" s="837"/>
    </row>
    <row r="1010" spans="1:30" s="815" customFormat="1" ht="22.5" customHeight="1">
      <c r="A1010" s="562"/>
      <c r="B1010" s="563"/>
      <c r="C1010" s="473"/>
      <c r="D1010" s="2034"/>
      <c r="E1010" s="2023" t="s">
        <v>530</v>
      </c>
      <c r="F1010" s="593">
        <f>Y1010</f>
        <v>6292</v>
      </c>
      <c r="G1010" s="593">
        <v>6292</v>
      </c>
      <c r="H1010" s="643"/>
      <c r="I1010" s="1899"/>
      <c r="J1010" s="2105" t="s">
        <v>572</v>
      </c>
      <c r="K1010" s="2082"/>
      <c r="L1010" s="2082"/>
      <c r="M1010" s="2082"/>
      <c r="N1010" s="2075"/>
      <c r="O1010" s="2075"/>
      <c r="P1010" s="2075"/>
      <c r="Q1010" s="2106"/>
      <c r="R1010" s="2092"/>
      <c r="S1010" s="2106"/>
      <c r="T1010" s="2106"/>
      <c r="U1010" s="2075"/>
      <c r="V1010" s="2106"/>
      <c r="W1010" s="2106"/>
      <c r="X1010" s="2030"/>
      <c r="Y1010" s="483">
        <f>Y1011+Y1012+Y1013+Y1014+Y1015</f>
        <v>6292</v>
      </c>
      <c r="Z1010" s="658">
        <f>SUM(Z1011:Z1018)</f>
        <v>6598000</v>
      </c>
      <c r="AA1010" s="547"/>
      <c r="AB1010" s="1891"/>
      <c r="AC1010" s="1892"/>
      <c r="AD1010" s="837"/>
    </row>
    <row r="1011" spans="1:30" s="815" customFormat="1" ht="22.5" customHeight="1">
      <c r="A1011" s="562"/>
      <c r="B1011" s="563"/>
      <c r="C1011" s="473"/>
      <c r="D1011" s="2034"/>
      <c r="E1011" s="2023"/>
      <c r="F1011" s="593"/>
      <c r="G1011" s="593"/>
      <c r="H1011" s="643"/>
      <c r="I1011" s="1899"/>
      <c r="J1011" s="2105" t="s">
        <v>2476</v>
      </c>
      <c r="K1011" s="2082"/>
      <c r="L1011" s="2082"/>
      <c r="M1011" s="2082"/>
      <c r="N1011" s="2075"/>
      <c r="O1011" s="2075"/>
      <c r="P1011" s="2075"/>
      <c r="Q1011" s="2106">
        <v>1</v>
      </c>
      <c r="R1011" s="2092" t="s">
        <v>142</v>
      </c>
      <c r="S1011" s="2106">
        <v>180000</v>
      </c>
      <c r="T1011" s="2106" t="s">
        <v>0</v>
      </c>
      <c r="U1011" s="2075"/>
      <c r="V1011" s="2106">
        <v>20</v>
      </c>
      <c r="W1011" s="2106" t="s">
        <v>561</v>
      </c>
      <c r="X1011" s="2030" t="s">
        <v>1</v>
      </c>
      <c r="Y1011" s="483">
        <f>+Q1011*S1011*V1011/1000</f>
        <v>3600</v>
      </c>
      <c r="Z1011" s="896">
        <f>S1011*V1011</f>
        <v>3600000</v>
      </c>
      <c r="AA1011" s="547"/>
      <c r="AB1011" s="1891"/>
      <c r="AC1011" s="1892"/>
      <c r="AD1011" s="837"/>
    </row>
    <row r="1012" spans="1:30" s="815" customFormat="1" ht="22.5" customHeight="1">
      <c r="A1012" s="562"/>
      <c r="B1012" s="563"/>
      <c r="C1012" s="473"/>
      <c r="D1012" s="2034"/>
      <c r="E1012" s="2023"/>
      <c r="F1012" s="593"/>
      <c r="G1012" s="593"/>
      <c r="H1012" s="643"/>
      <c r="I1012" s="1899"/>
      <c r="J1012" s="2105" t="s">
        <v>2477</v>
      </c>
      <c r="K1012" s="2082"/>
      <c r="L1012" s="2082"/>
      <c r="M1012" s="2082"/>
      <c r="N1012" s="2075"/>
      <c r="O1012" s="2075"/>
      <c r="P1012" s="2075"/>
      <c r="Q1012" s="2106">
        <v>2</v>
      </c>
      <c r="R1012" s="2092" t="s">
        <v>142</v>
      </c>
      <c r="S1012" s="2106">
        <v>48000</v>
      </c>
      <c r="T1012" s="2106" t="s">
        <v>0</v>
      </c>
      <c r="U1012" s="2075"/>
      <c r="V1012" s="2106">
        <v>17</v>
      </c>
      <c r="W1012" s="2106" t="s">
        <v>561</v>
      </c>
      <c r="X1012" s="2030" t="s">
        <v>1</v>
      </c>
      <c r="Y1012" s="483">
        <f>+Q1012*S1012*V1012/1000</f>
        <v>1632</v>
      </c>
      <c r="Z1012" s="896"/>
      <c r="AA1012" s="547"/>
      <c r="AB1012" s="1891"/>
      <c r="AC1012" s="1892"/>
      <c r="AD1012" s="837"/>
    </row>
    <row r="1013" spans="1:30" s="815" customFormat="1" ht="22.5" customHeight="1">
      <c r="A1013" s="562"/>
      <c r="B1013" s="563"/>
      <c r="C1013" s="473"/>
      <c r="D1013" s="2034"/>
      <c r="E1013" s="2023"/>
      <c r="F1013" s="593"/>
      <c r="G1013" s="593"/>
      <c r="H1013" s="643"/>
      <c r="I1013" s="1899"/>
      <c r="J1013" s="2105" t="s">
        <v>2478</v>
      </c>
      <c r="K1013" s="2082"/>
      <c r="L1013" s="2082"/>
      <c r="M1013" s="2082"/>
      <c r="N1013" s="2075"/>
      <c r="O1013" s="2075"/>
      <c r="P1013" s="2075"/>
      <c r="Q1013" s="2106">
        <v>75</v>
      </c>
      <c r="R1013" s="2092" t="s">
        <v>661</v>
      </c>
      <c r="S1013" s="2106">
        <v>10000</v>
      </c>
      <c r="T1013" s="2106" t="s">
        <v>0</v>
      </c>
      <c r="U1013" s="2075"/>
      <c r="V1013" s="2106">
        <v>1</v>
      </c>
      <c r="W1013" s="2106" t="s">
        <v>561</v>
      </c>
      <c r="X1013" s="2030" t="s">
        <v>1</v>
      </c>
      <c r="Y1013" s="483">
        <f>+Q1013*S1013*V1013/1000</f>
        <v>750</v>
      </c>
      <c r="Z1013" s="896">
        <f t="shared" ref="Z1013:Z1019" si="369">S1013*V1013</f>
        <v>10000</v>
      </c>
      <c r="AA1013" s="547"/>
      <c r="AB1013" s="1891"/>
      <c r="AC1013" s="1892"/>
      <c r="AD1013" s="837"/>
    </row>
    <row r="1014" spans="1:30" s="815" customFormat="1" ht="22.5" customHeight="1">
      <c r="A1014" s="562"/>
      <c r="B1014" s="563"/>
      <c r="C1014" s="473"/>
      <c r="D1014" s="2034"/>
      <c r="E1014" s="2023"/>
      <c r="F1014" s="593"/>
      <c r="G1014" s="593"/>
      <c r="H1014" s="643"/>
      <c r="I1014" s="1899"/>
      <c r="J1014" s="2105" t="s">
        <v>2479</v>
      </c>
      <c r="K1014" s="2082"/>
      <c r="L1014" s="2082"/>
      <c r="M1014" s="2082"/>
      <c r="N1014" s="2075"/>
      <c r="O1014" s="2075"/>
      <c r="P1014" s="2075"/>
      <c r="Q1014" s="2106">
        <v>1</v>
      </c>
      <c r="R1014" s="2092" t="s">
        <v>142</v>
      </c>
      <c r="S1014" s="2106">
        <v>500</v>
      </c>
      <c r="T1014" s="2106" t="s">
        <v>0</v>
      </c>
      <c r="U1014" s="2075"/>
      <c r="V1014" s="2106">
        <v>20</v>
      </c>
      <c r="W1014" s="2106" t="s">
        <v>561</v>
      </c>
      <c r="X1014" s="2030" t="s">
        <v>1</v>
      </c>
      <c r="Y1014" s="483">
        <f>+Q1014*S1014*V1014/1000</f>
        <v>10</v>
      </c>
      <c r="Z1014" s="896"/>
      <c r="AA1014" s="547"/>
      <c r="AB1014" s="1891"/>
      <c r="AC1014" s="1892"/>
      <c r="AD1014" s="837"/>
    </row>
    <row r="1015" spans="1:30" s="815" customFormat="1" ht="22.5" customHeight="1">
      <c r="A1015" s="562"/>
      <c r="B1015" s="563"/>
      <c r="C1015" s="473"/>
      <c r="D1015" s="2034"/>
      <c r="E1015" s="2023"/>
      <c r="F1015" s="593"/>
      <c r="G1015" s="593"/>
      <c r="H1015" s="643"/>
      <c r="I1015" s="1899"/>
      <c r="J1015" s="2105" t="s">
        <v>2480</v>
      </c>
      <c r="K1015" s="2082"/>
      <c r="L1015" s="2082"/>
      <c r="M1015" s="2082"/>
      <c r="N1015" s="2075"/>
      <c r="O1015" s="2075"/>
      <c r="P1015" s="2075"/>
      <c r="Q1015" s="2106">
        <v>1</v>
      </c>
      <c r="R1015" s="2092" t="s">
        <v>873</v>
      </c>
      <c r="S1015" s="2106">
        <v>300000</v>
      </c>
      <c r="T1015" s="2106" t="s">
        <v>0</v>
      </c>
      <c r="U1015" s="2075"/>
      <c r="V1015" s="2106">
        <v>1</v>
      </c>
      <c r="W1015" s="2106" t="s">
        <v>561</v>
      </c>
      <c r="X1015" s="2030" t="s">
        <v>1</v>
      </c>
      <c r="Y1015" s="483">
        <f>+Q1015*S1015*V1015/1000</f>
        <v>300</v>
      </c>
      <c r="Z1015" s="896">
        <f t="shared" si="369"/>
        <v>300000</v>
      </c>
      <c r="AA1015" s="547"/>
      <c r="AB1015" s="1891"/>
      <c r="AC1015" s="1892"/>
      <c r="AD1015" s="837"/>
    </row>
    <row r="1016" spans="1:30" s="815" customFormat="1" ht="22.5" customHeight="1">
      <c r="A1016" s="562"/>
      <c r="B1016" s="563"/>
      <c r="C1016" s="473"/>
      <c r="D1016" s="2020"/>
      <c r="E1016" s="2023" t="s">
        <v>671</v>
      </c>
      <c r="F1016" s="593">
        <f>Y1016</f>
        <v>4088</v>
      </c>
      <c r="G1016" s="593">
        <v>4088</v>
      </c>
      <c r="H1016" s="643"/>
      <c r="I1016" s="1899"/>
      <c r="J1016" s="2105" t="s">
        <v>572</v>
      </c>
      <c r="K1016" s="2082"/>
      <c r="L1016" s="2082"/>
      <c r="M1016" s="2082"/>
      <c r="N1016" s="2082"/>
      <c r="O1016" s="2082"/>
      <c r="P1016" s="2075"/>
      <c r="Q1016" s="2075"/>
      <c r="R1016" s="2106"/>
      <c r="S1016" s="2106"/>
      <c r="T1016" s="2106"/>
      <c r="U1016" s="2075"/>
      <c r="V1016" s="2106"/>
      <c r="W1016" s="2106"/>
      <c r="X1016" s="2030" t="s">
        <v>1</v>
      </c>
      <c r="Y1016" s="483">
        <f>SUM(Y1017:Y1018)</f>
        <v>4088</v>
      </c>
      <c r="Z1016" s="896"/>
      <c r="AA1016" s="547"/>
      <c r="AB1016" s="1891"/>
      <c r="AC1016" s="1892"/>
      <c r="AD1016" s="837"/>
    </row>
    <row r="1017" spans="1:30" s="815" customFormat="1" ht="22.5" customHeight="1">
      <c r="A1017" s="562"/>
      <c r="B1017" s="563"/>
      <c r="C1017" s="473"/>
      <c r="D1017" s="2020"/>
      <c r="E1017" s="2023"/>
      <c r="F1017" s="1255"/>
      <c r="G1017" s="1255"/>
      <c r="H1017" s="643"/>
      <c r="I1017" s="1899"/>
      <c r="J1017" s="2105" t="s">
        <v>2481</v>
      </c>
      <c r="K1017" s="2082"/>
      <c r="L1017" s="2082"/>
      <c r="M1017" s="2082"/>
      <c r="N1017" s="2075"/>
      <c r="O1017" s="2075"/>
      <c r="P1017" s="2075"/>
      <c r="Q1017" s="2106">
        <v>1</v>
      </c>
      <c r="R1017" s="2092" t="s">
        <v>19</v>
      </c>
      <c r="S1017" s="2106">
        <v>350000</v>
      </c>
      <c r="T1017" s="2106" t="s">
        <v>0</v>
      </c>
      <c r="U1017" s="2106"/>
      <c r="V1017" s="2106">
        <v>4</v>
      </c>
      <c r="W1017" s="2106" t="s">
        <v>561</v>
      </c>
      <c r="X1017" s="1256" t="s">
        <v>1</v>
      </c>
      <c r="Y1017" s="483">
        <f>+S1017*V1017/1000</f>
        <v>1400</v>
      </c>
      <c r="Z1017" s="896"/>
      <c r="AA1017" s="547"/>
      <c r="AB1017" s="1891"/>
      <c r="AC1017" s="1892"/>
      <c r="AD1017" s="837"/>
    </row>
    <row r="1018" spans="1:30" s="815" customFormat="1" ht="22.5" customHeight="1">
      <c r="A1018" s="562"/>
      <c r="B1018" s="563"/>
      <c r="C1018" s="473"/>
      <c r="D1018" s="2020"/>
      <c r="E1018" s="2023"/>
      <c r="F1018" s="1255"/>
      <c r="G1018" s="1255"/>
      <c r="H1018" s="643"/>
      <c r="I1018" s="1899"/>
      <c r="J1018" s="2105" t="s">
        <v>2482</v>
      </c>
      <c r="K1018" s="2082"/>
      <c r="L1018" s="2082"/>
      <c r="M1018" s="2082"/>
      <c r="N1018" s="2075"/>
      <c r="O1018" s="2075"/>
      <c r="P1018" s="2075"/>
      <c r="Q1018" s="2106"/>
      <c r="R1018" s="2092"/>
      <c r="S1018" s="2106">
        <v>2688000</v>
      </c>
      <c r="T1018" s="2106" t="s">
        <v>0</v>
      </c>
      <c r="U1018" s="2106"/>
      <c r="V1018" s="2106">
        <v>1</v>
      </c>
      <c r="W1018" s="2106" t="s">
        <v>568</v>
      </c>
      <c r="X1018" s="1256" t="s">
        <v>1</v>
      </c>
      <c r="Y1018" s="483">
        <f>+S1018*V1018/1000</f>
        <v>2688</v>
      </c>
      <c r="Z1018" s="896">
        <f t="shared" si="369"/>
        <v>2688000</v>
      </c>
      <c r="AA1018" s="547"/>
      <c r="AB1018" s="1891"/>
      <c r="AC1018" s="1892"/>
      <c r="AD1018" s="837"/>
    </row>
    <row r="1019" spans="1:30" s="815" customFormat="1" ht="22.5" customHeight="1">
      <c r="A1019" s="562"/>
      <c r="B1019" s="563"/>
      <c r="C1019" s="473"/>
      <c r="D1019" s="2020"/>
      <c r="E1019" s="2023" t="s">
        <v>592</v>
      </c>
      <c r="F1019" s="1255">
        <f>Y1019</f>
        <v>1540</v>
      </c>
      <c r="G1019" s="1255">
        <v>1540</v>
      </c>
      <c r="H1019" s="643"/>
      <c r="I1019" s="1899"/>
      <c r="J1019" s="2105" t="s">
        <v>2483</v>
      </c>
      <c r="K1019" s="2082"/>
      <c r="L1019" s="2082"/>
      <c r="M1019" s="2082"/>
      <c r="N1019" s="2075"/>
      <c r="O1019" s="2075"/>
      <c r="P1019" s="2075"/>
      <c r="Q1019" s="2106" t="s">
        <v>570</v>
      </c>
      <c r="R1019" s="2092" t="s">
        <v>570</v>
      </c>
      <c r="S1019" s="2106">
        <v>1540000</v>
      </c>
      <c r="T1019" s="2106" t="s">
        <v>0</v>
      </c>
      <c r="U1019" s="2106"/>
      <c r="V1019" s="2106">
        <v>1</v>
      </c>
      <c r="W1019" s="2106" t="s">
        <v>568</v>
      </c>
      <c r="X1019" s="1256" t="s">
        <v>1</v>
      </c>
      <c r="Y1019" s="483">
        <f>S1019*V1019/1000</f>
        <v>1540</v>
      </c>
      <c r="Z1019" s="896">
        <f t="shared" si="369"/>
        <v>1540000</v>
      </c>
      <c r="AA1019" s="547"/>
      <c r="AB1019" s="1891"/>
      <c r="AC1019" s="1892"/>
      <c r="AD1019" s="837"/>
    </row>
    <row r="1020" spans="1:30" ht="22.5" customHeight="1">
      <c r="A1020" s="623"/>
      <c r="B1020" s="563"/>
      <c r="C1020" s="2352"/>
      <c r="D1020" s="2020"/>
      <c r="E1020" s="2023" t="s">
        <v>62</v>
      </c>
      <c r="F1020" s="593">
        <f>Y1020</f>
        <v>780</v>
      </c>
      <c r="G1020" s="593">
        <v>780</v>
      </c>
      <c r="H1020" s="643"/>
      <c r="I1020" s="1899"/>
      <c r="J1020" s="2105" t="s">
        <v>572</v>
      </c>
      <c r="K1020" s="2082"/>
      <c r="L1020" s="2082"/>
      <c r="M1020" s="2082"/>
      <c r="N1020" s="2082"/>
      <c r="O1020" s="2082"/>
      <c r="P1020" s="2075"/>
      <c r="Q1020" s="2075"/>
      <c r="R1020" s="2106"/>
      <c r="S1020" s="2106"/>
      <c r="T1020" s="2106"/>
      <c r="U1020" s="2075"/>
      <c r="V1020" s="2106"/>
      <c r="W1020" s="2106"/>
      <c r="X1020" s="2030"/>
      <c r="Y1020" s="483">
        <f>Y1021+Y1022</f>
        <v>780</v>
      </c>
      <c r="Z1020" s="2695"/>
      <c r="AA1020" s="2696"/>
      <c r="AB1020" s="2673"/>
      <c r="AC1020" s="2674"/>
    </row>
    <row r="1021" spans="1:30" ht="22.5" customHeight="1">
      <c r="A1021" s="623"/>
      <c r="B1021" s="563"/>
      <c r="C1021" s="2352"/>
      <c r="D1021" s="2020"/>
      <c r="E1021" s="2023"/>
      <c r="F1021" s="593"/>
      <c r="G1021" s="593"/>
      <c r="H1021" s="1257"/>
      <c r="I1021" s="1899"/>
      <c r="J1021" s="2105" t="s">
        <v>2484</v>
      </c>
      <c r="K1021" s="2082"/>
      <c r="L1021" s="2082"/>
      <c r="M1021" s="2082"/>
      <c r="N1021" s="2082"/>
      <c r="O1021" s="2082"/>
      <c r="P1021" s="2075"/>
      <c r="Q1021" s="2075"/>
      <c r="R1021" s="2106"/>
      <c r="S1021" s="2106">
        <v>520000</v>
      </c>
      <c r="T1021" s="2106" t="s">
        <v>0</v>
      </c>
      <c r="U1021" s="2075"/>
      <c r="V1021" s="2106">
        <v>1</v>
      </c>
      <c r="W1021" s="2106" t="s">
        <v>568</v>
      </c>
      <c r="X1021" s="2030" t="s">
        <v>566</v>
      </c>
      <c r="Y1021" s="483">
        <f>+S1021*V1021/1000</f>
        <v>520</v>
      </c>
      <c r="Z1021" s="2695"/>
      <c r="AA1021" s="2696"/>
      <c r="AB1021" s="2673"/>
      <c r="AC1021" s="2674"/>
    </row>
    <row r="1022" spans="1:30" ht="22.5" customHeight="1">
      <c r="A1022" s="623"/>
      <c r="B1022" s="563"/>
      <c r="C1022" s="2352"/>
      <c r="D1022" s="2020"/>
      <c r="E1022" s="2023"/>
      <c r="F1022" s="593"/>
      <c r="G1022" s="593"/>
      <c r="H1022" s="1257"/>
      <c r="I1022" s="1899"/>
      <c r="J1022" s="2105" t="s">
        <v>2485</v>
      </c>
      <c r="K1022" s="2082"/>
      <c r="L1022" s="2082"/>
      <c r="M1022" s="2082"/>
      <c r="N1022" s="2082"/>
      <c r="O1022" s="2082"/>
      <c r="P1022" s="2075"/>
      <c r="Q1022" s="2075"/>
      <c r="R1022" s="2106"/>
      <c r="S1022" s="2106">
        <v>13000</v>
      </c>
      <c r="T1022" s="2106" t="s">
        <v>0</v>
      </c>
      <c r="U1022" s="2075"/>
      <c r="V1022" s="2106">
        <v>20</v>
      </c>
      <c r="W1022" s="2106" t="s">
        <v>555</v>
      </c>
      <c r="X1022" s="2030" t="s">
        <v>566</v>
      </c>
      <c r="Y1022" s="483">
        <f>+S1022*V1022/1000</f>
        <v>260</v>
      </c>
      <c r="Z1022" s="2695"/>
      <c r="AA1022" s="2696"/>
      <c r="AB1022" s="2673"/>
      <c r="AC1022" s="2674"/>
    </row>
    <row r="1023" spans="1:30" ht="22.5" customHeight="1">
      <c r="A1023" s="623"/>
      <c r="B1023" s="563"/>
      <c r="C1023" s="2352"/>
      <c r="D1023" s="2020"/>
      <c r="E1023" s="2023" t="s">
        <v>562</v>
      </c>
      <c r="F1023" s="593">
        <f>Y1023</f>
        <v>2300</v>
      </c>
      <c r="G1023" s="593">
        <v>2300</v>
      </c>
      <c r="H1023" s="643"/>
      <c r="I1023" s="1899"/>
      <c r="J1023" s="3652" t="s">
        <v>1710</v>
      </c>
      <c r="K1023" s="3650"/>
      <c r="L1023" s="3650"/>
      <c r="M1023" s="3650"/>
      <c r="N1023" s="3650"/>
      <c r="O1023" s="3650"/>
      <c r="P1023" s="2075"/>
      <c r="Q1023" s="2075"/>
      <c r="R1023" s="3653"/>
      <c r="S1023" s="3653">
        <v>2300000</v>
      </c>
      <c r="T1023" s="3653" t="s">
        <v>0</v>
      </c>
      <c r="U1023" s="2075"/>
      <c r="V1023" s="3653">
        <v>1</v>
      </c>
      <c r="W1023" s="3653" t="s">
        <v>568</v>
      </c>
      <c r="X1023" s="2030" t="s">
        <v>566</v>
      </c>
      <c r="Y1023" s="3110">
        <f>+S1023*V1023/1000</f>
        <v>2300</v>
      </c>
      <c r="Z1023" s="2695"/>
      <c r="AA1023" s="2696"/>
      <c r="AB1023" s="2673"/>
      <c r="AC1023" s="2674"/>
    </row>
    <row r="1024" spans="1:30" ht="22.5" customHeight="1">
      <c r="A1024" s="562"/>
      <c r="B1024" s="563"/>
      <c r="C1024" s="3924" t="s">
        <v>6029</v>
      </c>
      <c r="D1024" s="3924"/>
      <c r="E1024" s="3826"/>
      <c r="F1024" s="825">
        <f>F1025</f>
        <v>30000</v>
      </c>
      <c r="G1024" s="825">
        <f>G1025</f>
        <v>0</v>
      </c>
      <c r="H1024" s="2451">
        <f>F1024-G1024</f>
        <v>30000</v>
      </c>
      <c r="I1024" s="3430"/>
      <c r="J1024" s="2025"/>
      <c r="K1024" s="3634"/>
      <c r="L1024" s="3634"/>
      <c r="M1024" s="3634"/>
      <c r="N1024" s="3634"/>
      <c r="O1024" s="3634"/>
      <c r="P1024" s="3634"/>
      <c r="Q1024" s="621"/>
      <c r="R1024" s="539"/>
      <c r="S1024" s="545"/>
      <c r="T1024" s="2026"/>
      <c r="U1024" s="2026"/>
      <c r="V1024" s="2026"/>
      <c r="W1024" s="2026"/>
      <c r="X1024" s="2028"/>
      <c r="Y1024" s="586"/>
      <c r="Z1024" s="1884"/>
      <c r="AA1024" s="2696"/>
      <c r="AB1024" s="2673"/>
      <c r="AC1024" s="2674"/>
    </row>
    <row r="1025" spans="1:29" ht="22.5" customHeight="1">
      <c r="A1025" s="562"/>
      <c r="B1025" s="563"/>
      <c r="C1025" s="564"/>
      <c r="D1025" s="3825" t="s">
        <v>6030</v>
      </c>
      <c r="E1025" s="3826"/>
      <c r="F1025" s="584">
        <f>SUM(F1026:F1042)</f>
        <v>30000</v>
      </c>
      <c r="G1025" s="584">
        <f>SUM(G1026:G1042)</f>
        <v>0</v>
      </c>
      <c r="H1025" s="627">
        <f>F1025-G1025</f>
        <v>30000</v>
      </c>
      <c r="I1025" s="1899"/>
      <c r="J1025" s="2025"/>
      <c r="K1025" s="3634"/>
      <c r="L1025" s="3634"/>
      <c r="M1025" s="3634"/>
      <c r="N1025" s="3634"/>
      <c r="O1025" s="3634"/>
      <c r="P1025" s="3651"/>
      <c r="Q1025" s="3651"/>
      <c r="R1025" s="2026"/>
      <c r="S1025" s="2026"/>
      <c r="T1025" s="2026"/>
      <c r="U1025" s="3651"/>
      <c r="V1025" s="2026"/>
      <c r="W1025" s="2026"/>
      <c r="X1025" s="2028"/>
      <c r="Y1025" s="517"/>
      <c r="Z1025" s="622"/>
      <c r="AA1025" s="2696"/>
      <c r="AB1025" s="2673"/>
      <c r="AC1025" s="2674"/>
    </row>
    <row r="1026" spans="1:29" ht="22.5" customHeight="1">
      <c r="A1026" s="562"/>
      <c r="B1026" s="563"/>
      <c r="C1026" s="3107"/>
      <c r="D1026" s="2034"/>
      <c r="E1026" s="2023" t="s">
        <v>229</v>
      </c>
      <c r="F1026" s="593">
        <f>Y1026</f>
        <v>2800</v>
      </c>
      <c r="G1026" s="593">
        <v>0</v>
      </c>
      <c r="H1026" s="643">
        <f>F1026-G1026</f>
        <v>2800</v>
      </c>
      <c r="I1026" s="1899"/>
      <c r="J1026" s="3652" t="s">
        <v>1814</v>
      </c>
      <c r="K1026" s="3650"/>
      <c r="L1026" s="3650"/>
      <c r="M1026" s="3650"/>
      <c r="N1026" s="2075"/>
      <c r="O1026" s="2075"/>
      <c r="P1026" s="2075"/>
      <c r="Q1026" s="3653" t="s">
        <v>48</v>
      </c>
      <c r="R1026" s="3638" t="s">
        <v>48</v>
      </c>
      <c r="S1026" s="3653">
        <v>2800000</v>
      </c>
      <c r="T1026" s="3653" t="s">
        <v>0</v>
      </c>
      <c r="U1026" s="3653"/>
      <c r="V1026" s="3653">
        <v>1</v>
      </c>
      <c r="W1026" s="3653" t="s">
        <v>226</v>
      </c>
      <c r="X1026" s="1256" t="s">
        <v>1</v>
      </c>
      <c r="Y1026" s="3110">
        <f>S1026*V1026/1000</f>
        <v>2800</v>
      </c>
      <c r="Z1026" s="896">
        <f t="shared" ref="Z1026" si="370">S1026*V1026</f>
        <v>2800000</v>
      </c>
      <c r="AA1026" s="2696"/>
      <c r="AB1026" s="2673"/>
      <c r="AC1026" s="2674"/>
    </row>
    <row r="1027" spans="1:29" ht="22.5" customHeight="1">
      <c r="A1027" s="562"/>
      <c r="B1027" s="563"/>
      <c r="C1027" s="3107"/>
      <c r="D1027" s="2034"/>
      <c r="E1027" s="2023" t="s">
        <v>6031</v>
      </c>
      <c r="F1027" s="593">
        <f>Y1027</f>
        <v>1900</v>
      </c>
      <c r="G1027" s="593">
        <v>0</v>
      </c>
      <c r="H1027" s="643">
        <f>F1027-G1027</f>
        <v>1900</v>
      </c>
      <c r="I1027" s="1899"/>
      <c r="J1027" s="3581" t="s">
        <v>6067</v>
      </c>
      <c r="K1027" s="2133"/>
      <c r="L1027" s="2133"/>
      <c r="M1027" s="2133"/>
      <c r="N1027" s="2133"/>
      <c r="O1027" s="2075"/>
      <c r="P1027" s="2075"/>
      <c r="Q1027" s="3653"/>
      <c r="R1027" s="3638"/>
      <c r="S1027" s="3653">
        <v>1900000</v>
      </c>
      <c r="T1027" s="3653" t="s">
        <v>0</v>
      </c>
      <c r="U1027" s="3653"/>
      <c r="V1027" s="3653">
        <v>1</v>
      </c>
      <c r="W1027" s="3653" t="s">
        <v>226</v>
      </c>
      <c r="X1027" s="1256" t="s">
        <v>1</v>
      </c>
      <c r="Y1027" s="3110">
        <f>S1027*V1027/1000</f>
        <v>1900</v>
      </c>
      <c r="Z1027" s="896">
        <f t="shared" ref="Z1027" si="371">S1027*V1027</f>
        <v>1900000</v>
      </c>
    </row>
    <row r="1028" spans="1:29" ht="22.5" customHeight="1">
      <c r="A1028" s="562"/>
      <c r="B1028" s="563"/>
      <c r="C1028" s="3107"/>
      <c r="D1028" s="2034"/>
      <c r="E1028" s="2023" t="s">
        <v>6036</v>
      </c>
      <c r="F1028" s="593">
        <f>Y1028</f>
        <v>5100</v>
      </c>
      <c r="G1028" s="593">
        <v>0</v>
      </c>
      <c r="H1028" s="643">
        <f>F1028-G1028</f>
        <v>5100</v>
      </c>
      <c r="I1028" s="1899"/>
      <c r="J1028" s="3652" t="s">
        <v>224</v>
      </c>
      <c r="K1028" s="3650"/>
      <c r="L1028" s="3650"/>
      <c r="M1028" s="3650"/>
      <c r="N1028" s="2075"/>
      <c r="O1028" s="2075"/>
      <c r="P1028" s="2075"/>
      <c r="Q1028" s="3653"/>
      <c r="R1028" s="3638"/>
      <c r="S1028" s="3653"/>
      <c r="T1028" s="3653"/>
      <c r="U1028" s="2075"/>
      <c r="V1028" s="3653"/>
      <c r="W1028" s="3653"/>
      <c r="X1028" s="2030"/>
      <c r="Y1028" s="3110">
        <f t="shared" ref="Y1028:Y1038" si="372">Z1028/1000</f>
        <v>5100</v>
      </c>
      <c r="Z1028" s="658">
        <f>SUM(Z1029:Z1032)</f>
        <v>5100000</v>
      </c>
    </row>
    <row r="1029" spans="1:29" ht="22.5" customHeight="1">
      <c r="A1029" s="562"/>
      <c r="B1029" s="563"/>
      <c r="C1029" s="3107"/>
      <c r="D1029" s="2034"/>
      <c r="E1029" s="2023"/>
      <c r="F1029" s="593"/>
      <c r="G1029" s="593"/>
      <c r="H1029" s="643"/>
      <c r="I1029" s="1899"/>
      <c r="J1029" s="3652" t="s">
        <v>6068</v>
      </c>
      <c r="K1029" s="3650"/>
      <c r="L1029" s="3650"/>
      <c r="M1029" s="3650"/>
      <c r="N1029" s="2075"/>
      <c r="O1029" s="2075"/>
      <c r="P1029" s="2075"/>
      <c r="Q1029" s="3653"/>
      <c r="R1029" s="3638"/>
      <c r="S1029" s="3653">
        <v>1000000</v>
      </c>
      <c r="T1029" s="3653" t="s">
        <v>0</v>
      </c>
      <c r="U1029" s="2075"/>
      <c r="V1029" s="3653">
        <v>2</v>
      </c>
      <c r="W1029" s="3653" t="s">
        <v>6069</v>
      </c>
      <c r="X1029" s="2030" t="s">
        <v>1</v>
      </c>
      <c r="Y1029" s="3110">
        <f t="shared" si="372"/>
        <v>2000</v>
      </c>
      <c r="Z1029" s="896">
        <f>S1029*V1029</f>
        <v>2000000</v>
      </c>
    </row>
    <row r="1030" spans="1:29" ht="22.5" customHeight="1">
      <c r="A1030" s="562"/>
      <c r="B1030" s="563"/>
      <c r="C1030" s="3107"/>
      <c r="D1030" s="2034"/>
      <c r="E1030" s="2023"/>
      <c r="F1030" s="593"/>
      <c r="G1030" s="593"/>
      <c r="H1030" s="643"/>
      <c r="I1030" s="1899"/>
      <c r="J1030" s="3652" t="s">
        <v>6070</v>
      </c>
      <c r="K1030" s="3650"/>
      <c r="L1030" s="3650"/>
      <c r="M1030" s="3650"/>
      <c r="N1030" s="2075"/>
      <c r="O1030" s="2075"/>
      <c r="P1030" s="2075"/>
      <c r="Q1030" s="3653"/>
      <c r="R1030" s="3638"/>
      <c r="S1030" s="3653">
        <v>500000</v>
      </c>
      <c r="T1030" s="3653" t="s">
        <v>0</v>
      </c>
      <c r="U1030" s="2075"/>
      <c r="V1030" s="3653">
        <v>4</v>
      </c>
      <c r="W1030" s="3653" t="s">
        <v>39</v>
      </c>
      <c r="X1030" s="2030" t="s">
        <v>1</v>
      </c>
      <c r="Y1030" s="3110">
        <f t="shared" si="372"/>
        <v>2000</v>
      </c>
      <c r="Z1030" s="896">
        <f>S1030*V1030</f>
        <v>2000000</v>
      </c>
    </row>
    <row r="1031" spans="1:29" ht="22.5" customHeight="1">
      <c r="A1031" s="562"/>
      <c r="B1031" s="563"/>
      <c r="C1031" s="3107"/>
      <c r="D1031" s="2034"/>
      <c r="E1031" s="2023"/>
      <c r="F1031" s="593"/>
      <c r="G1031" s="593"/>
      <c r="H1031" s="643"/>
      <c r="I1031" s="1899"/>
      <c r="J1031" s="3652" t="s">
        <v>6071</v>
      </c>
      <c r="K1031" s="3650"/>
      <c r="L1031" s="3650"/>
      <c r="M1031" s="3650"/>
      <c r="N1031" s="2075"/>
      <c r="O1031" s="2075"/>
      <c r="P1031" s="2075"/>
      <c r="Q1031" s="3653"/>
      <c r="R1031" s="3638"/>
      <c r="S1031" s="3653">
        <v>500000</v>
      </c>
      <c r="T1031" s="3653" t="s">
        <v>0</v>
      </c>
      <c r="U1031" s="2075"/>
      <c r="V1031" s="3653">
        <v>1</v>
      </c>
      <c r="W1031" s="3653" t="s">
        <v>878</v>
      </c>
      <c r="X1031" s="2030" t="s">
        <v>1</v>
      </c>
      <c r="Y1031" s="3110">
        <f t="shared" si="372"/>
        <v>500</v>
      </c>
      <c r="Z1031" s="896">
        <f>S1031*V1031</f>
        <v>500000</v>
      </c>
    </row>
    <row r="1032" spans="1:29" ht="22.5" customHeight="1">
      <c r="A1032" s="623"/>
      <c r="B1032" s="563"/>
      <c r="C1032" s="3107"/>
      <c r="D1032" s="2020"/>
      <c r="E1032" s="2023"/>
      <c r="F1032" s="593"/>
      <c r="G1032" s="593"/>
      <c r="H1032" s="643"/>
      <c r="I1032" s="1899"/>
      <c r="J1032" s="3652" t="s">
        <v>6072</v>
      </c>
      <c r="K1032" s="3650"/>
      <c r="L1032" s="3650"/>
      <c r="M1032" s="3650"/>
      <c r="N1032" s="2075"/>
      <c r="O1032" s="2075"/>
      <c r="P1032" s="2075"/>
      <c r="Q1032" s="3653"/>
      <c r="R1032" s="3638"/>
      <c r="S1032" s="3653">
        <v>200000</v>
      </c>
      <c r="T1032" s="3653" t="s">
        <v>0</v>
      </c>
      <c r="U1032" s="2075"/>
      <c r="V1032" s="3653">
        <v>3</v>
      </c>
      <c r="W1032" s="3653" t="s">
        <v>878</v>
      </c>
      <c r="X1032" s="2030" t="s">
        <v>1</v>
      </c>
      <c r="Y1032" s="3110">
        <f t="shared" si="372"/>
        <v>600</v>
      </c>
      <c r="Z1032" s="896">
        <f>S1032*V1032</f>
        <v>600000</v>
      </c>
    </row>
    <row r="1033" spans="1:29" ht="22.5" customHeight="1">
      <c r="A1033" s="623"/>
      <c r="B1033" s="563"/>
      <c r="C1033" s="3107"/>
      <c r="D1033" s="2020"/>
      <c r="E1033" s="2023" t="s">
        <v>6025</v>
      </c>
      <c r="F1033" s="1255">
        <f>Y1033</f>
        <v>8250</v>
      </c>
      <c r="G1033" s="1255">
        <v>0</v>
      </c>
      <c r="H1033" s="643">
        <f>F1033-G1033</f>
        <v>8250</v>
      </c>
      <c r="I1033" s="1899"/>
      <c r="J1033" s="3652" t="s">
        <v>224</v>
      </c>
      <c r="K1033" s="3650"/>
      <c r="L1033" s="3650"/>
      <c r="M1033" s="3650"/>
      <c r="N1033" s="2075"/>
      <c r="O1033" s="2075"/>
      <c r="P1033" s="2075"/>
      <c r="Q1033" s="3653"/>
      <c r="R1033" s="3638"/>
      <c r="S1033" s="3653"/>
      <c r="T1033" s="3653"/>
      <c r="U1033" s="2075"/>
      <c r="V1033" s="3653"/>
      <c r="W1033" s="3653"/>
      <c r="X1033" s="2030"/>
      <c r="Y1033" s="3110">
        <f t="shared" si="372"/>
        <v>8250</v>
      </c>
      <c r="Z1033" s="658">
        <f>SUM(Z1034:Z1036)</f>
        <v>8250000</v>
      </c>
    </row>
    <row r="1034" spans="1:29" ht="22.5" customHeight="1">
      <c r="A1034" s="562"/>
      <c r="B1034" s="563"/>
      <c r="C1034" s="3107"/>
      <c r="D1034" s="2020"/>
      <c r="E1034" s="2023"/>
      <c r="F1034" s="1255"/>
      <c r="G1034" s="1255"/>
      <c r="H1034" s="643"/>
      <c r="I1034" s="1899"/>
      <c r="J1034" s="3652" t="s">
        <v>6073</v>
      </c>
      <c r="K1034" s="3650"/>
      <c r="L1034" s="3650"/>
      <c r="M1034" s="3650"/>
      <c r="N1034" s="2075"/>
      <c r="O1034" s="2075"/>
      <c r="P1034" s="2075"/>
      <c r="Q1034" s="3653"/>
      <c r="R1034" s="3638"/>
      <c r="S1034" s="3653">
        <v>450000</v>
      </c>
      <c r="T1034" s="3653" t="s">
        <v>0</v>
      </c>
      <c r="U1034" s="2075"/>
      <c r="V1034" s="3653">
        <v>3</v>
      </c>
      <c r="W1034" s="3653" t="s">
        <v>39</v>
      </c>
      <c r="X1034" s="2030" t="s">
        <v>1</v>
      </c>
      <c r="Y1034" s="3110">
        <f t="shared" si="372"/>
        <v>1350</v>
      </c>
      <c r="Z1034" s="896">
        <f>S1034*V1034</f>
        <v>1350000</v>
      </c>
    </row>
    <row r="1035" spans="1:29" ht="22.5" customHeight="1">
      <c r="A1035" s="562"/>
      <c r="B1035" s="563"/>
      <c r="C1035" s="3107"/>
      <c r="D1035" s="2020"/>
      <c r="E1035" s="2023"/>
      <c r="F1035" s="1255"/>
      <c r="G1035" s="1255"/>
      <c r="H1035" s="643"/>
      <c r="I1035" s="1899"/>
      <c r="J1035" s="3652" t="s">
        <v>6074</v>
      </c>
      <c r="K1035" s="3650"/>
      <c r="L1035" s="3650"/>
      <c r="M1035" s="3650"/>
      <c r="N1035" s="2075"/>
      <c r="O1035" s="2075"/>
      <c r="P1035" s="2075"/>
      <c r="Q1035" s="3653"/>
      <c r="R1035" s="3638"/>
      <c r="S1035" s="3653">
        <v>2000000</v>
      </c>
      <c r="T1035" s="3653" t="s">
        <v>0</v>
      </c>
      <c r="U1035" s="2075"/>
      <c r="V1035" s="3653">
        <v>1</v>
      </c>
      <c r="W1035" s="3653" t="s">
        <v>226</v>
      </c>
      <c r="X1035" s="2030" t="s">
        <v>1</v>
      </c>
      <c r="Y1035" s="3110">
        <f t="shared" si="372"/>
        <v>2000</v>
      </c>
      <c r="Z1035" s="896">
        <f>S1035*V1035</f>
        <v>2000000</v>
      </c>
    </row>
    <row r="1036" spans="1:29" ht="22.5" customHeight="1">
      <c r="A1036" s="562"/>
      <c r="B1036" s="563"/>
      <c r="C1036" s="2352"/>
      <c r="D1036" s="2020"/>
      <c r="E1036" s="2023"/>
      <c r="F1036" s="593"/>
      <c r="G1036" s="593"/>
      <c r="H1036" s="643"/>
      <c r="I1036" s="1899"/>
      <c r="J1036" s="3652" t="s">
        <v>6075</v>
      </c>
      <c r="K1036" s="3650"/>
      <c r="L1036" s="3650"/>
      <c r="M1036" s="3650"/>
      <c r="N1036" s="2075"/>
      <c r="O1036" s="2075"/>
      <c r="P1036" s="2075"/>
      <c r="Q1036" s="3653"/>
      <c r="R1036" s="3638"/>
      <c r="S1036" s="3653">
        <v>140000</v>
      </c>
      <c r="T1036" s="3653" t="s">
        <v>0</v>
      </c>
      <c r="U1036" s="2075"/>
      <c r="V1036" s="3653">
        <v>35</v>
      </c>
      <c r="W1036" s="3653" t="s">
        <v>10</v>
      </c>
      <c r="X1036" s="2030" t="s">
        <v>1</v>
      </c>
      <c r="Y1036" s="3110">
        <f t="shared" si="372"/>
        <v>4900</v>
      </c>
      <c r="Z1036" s="896">
        <f>S1036*V1036</f>
        <v>4900000</v>
      </c>
    </row>
    <row r="1037" spans="1:29" ht="22.5" customHeight="1">
      <c r="A1037" s="562"/>
      <c r="B1037" s="563"/>
      <c r="C1037" s="2352"/>
      <c r="D1037" s="2020"/>
      <c r="E1037" s="2023" t="s">
        <v>6076</v>
      </c>
      <c r="F1037" s="593">
        <f>Y1037</f>
        <v>11950</v>
      </c>
      <c r="G1037" s="593">
        <v>0</v>
      </c>
      <c r="H1037" s="643">
        <f>F1037-G1037</f>
        <v>11950</v>
      </c>
      <c r="I1037" s="1899"/>
      <c r="J1037" s="3652" t="s">
        <v>224</v>
      </c>
      <c r="K1037" s="3650"/>
      <c r="L1037" s="3650"/>
      <c r="M1037" s="3650"/>
      <c r="N1037" s="2075"/>
      <c r="O1037" s="2075"/>
      <c r="P1037" s="2075"/>
      <c r="Q1037" s="3653"/>
      <c r="R1037" s="3638"/>
      <c r="S1037" s="3653"/>
      <c r="T1037" s="3653"/>
      <c r="U1037" s="2075"/>
      <c r="V1037" s="3653"/>
      <c r="W1037" s="3653"/>
      <c r="X1037" s="2030"/>
      <c r="Y1037" s="3110">
        <f t="shared" si="372"/>
        <v>11950</v>
      </c>
      <c r="Z1037" s="658">
        <f>SUM(Z1038:Z1042)</f>
        <v>11950000</v>
      </c>
    </row>
    <row r="1038" spans="1:29" ht="22.5" customHeight="1">
      <c r="A1038" s="562"/>
      <c r="B1038" s="563"/>
      <c r="C1038" s="2352"/>
      <c r="D1038" s="2020"/>
      <c r="E1038" s="2023"/>
      <c r="F1038" s="593"/>
      <c r="G1038" s="593"/>
      <c r="H1038" s="1257"/>
      <c r="I1038" s="1899"/>
      <c r="J1038" s="3652" t="s">
        <v>6077</v>
      </c>
      <c r="K1038" s="3650"/>
      <c r="L1038" s="3650"/>
      <c r="M1038" s="3650"/>
      <c r="N1038" s="2075"/>
      <c r="O1038" s="2075"/>
      <c r="P1038" s="2075"/>
      <c r="Q1038" s="3653"/>
      <c r="R1038" s="3638"/>
      <c r="S1038" s="3653">
        <v>1000000</v>
      </c>
      <c r="T1038" s="3653" t="s">
        <v>0</v>
      </c>
      <c r="U1038" s="2075"/>
      <c r="V1038" s="3653">
        <v>1</v>
      </c>
      <c r="W1038" s="3653" t="s">
        <v>226</v>
      </c>
      <c r="X1038" s="2030" t="s">
        <v>1</v>
      </c>
      <c r="Y1038" s="3110">
        <f t="shared" si="372"/>
        <v>1000</v>
      </c>
      <c r="Z1038" s="896">
        <f>S1038*V1038</f>
        <v>1000000</v>
      </c>
    </row>
    <row r="1039" spans="1:29" ht="22.5" customHeight="1">
      <c r="A1039" s="562"/>
      <c r="B1039" s="563"/>
      <c r="C1039" s="2352"/>
      <c r="D1039" s="2020"/>
      <c r="E1039" s="2023"/>
      <c r="F1039" s="593"/>
      <c r="G1039" s="593"/>
      <c r="H1039" s="1257"/>
      <c r="I1039" s="1899"/>
      <c r="J1039" s="3652" t="s">
        <v>6078</v>
      </c>
      <c r="K1039" s="3650"/>
      <c r="L1039" s="3650"/>
      <c r="M1039" s="3650"/>
      <c r="N1039" s="2075"/>
      <c r="O1039" s="2075"/>
      <c r="P1039" s="2075"/>
      <c r="Q1039" s="3653"/>
      <c r="R1039" s="3638"/>
      <c r="S1039" s="3653">
        <v>50000</v>
      </c>
      <c r="T1039" s="3653" t="s">
        <v>0</v>
      </c>
      <c r="U1039" s="2075"/>
      <c r="V1039" s="3653">
        <v>20</v>
      </c>
      <c r="W1039" s="3653" t="s">
        <v>6082</v>
      </c>
      <c r="X1039" s="2030" t="s">
        <v>1</v>
      </c>
      <c r="Y1039" s="3110">
        <f t="shared" ref="Y1039:Y1042" si="373">Z1039/1000</f>
        <v>1000</v>
      </c>
      <c r="Z1039" s="896">
        <f>S1039*V1039</f>
        <v>1000000</v>
      </c>
    </row>
    <row r="1040" spans="1:29" ht="22.5" customHeight="1">
      <c r="A1040" s="562"/>
      <c r="B1040" s="563"/>
      <c r="C1040" s="2352"/>
      <c r="D1040" s="2020"/>
      <c r="E1040" s="2023"/>
      <c r="F1040" s="593"/>
      <c r="G1040" s="593"/>
      <c r="H1040" s="1257"/>
      <c r="I1040" s="1899"/>
      <c r="J1040" s="3652" t="s">
        <v>6079</v>
      </c>
      <c r="K1040" s="3650"/>
      <c r="L1040" s="3650"/>
      <c r="M1040" s="3650"/>
      <c r="N1040" s="2075"/>
      <c r="O1040" s="2075"/>
      <c r="P1040" s="2075"/>
      <c r="Q1040" s="3653">
        <v>35</v>
      </c>
      <c r="R1040" s="3638" t="s">
        <v>36</v>
      </c>
      <c r="S1040" s="3653">
        <v>150000</v>
      </c>
      <c r="T1040" s="3653" t="s">
        <v>0</v>
      </c>
      <c r="U1040" s="2075"/>
      <c r="V1040" s="3653">
        <v>1</v>
      </c>
      <c r="W1040" s="3653" t="s">
        <v>226</v>
      </c>
      <c r="X1040" s="2030" t="s">
        <v>1</v>
      </c>
      <c r="Y1040" s="3110">
        <f t="shared" si="373"/>
        <v>5250</v>
      </c>
      <c r="Z1040" s="896">
        <f>Q1040*S1040*V1040</f>
        <v>5250000</v>
      </c>
    </row>
    <row r="1041" spans="1:26" ht="22.5" customHeight="1">
      <c r="A1041" s="562"/>
      <c r="B1041" s="563"/>
      <c r="C1041" s="2352"/>
      <c r="D1041" s="2020"/>
      <c r="E1041" s="2023"/>
      <c r="F1041" s="593"/>
      <c r="G1041" s="593"/>
      <c r="H1041" s="1257"/>
      <c r="I1041" s="1899"/>
      <c r="J1041" s="3652" t="s">
        <v>6080</v>
      </c>
      <c r="K1041" s="3650"/>
      <c r="L1041" s="3650"/>
      <c r="M1041" s="3650"/>
      <c r="N1041" s="2075"/>
      <c r="O1041" s="2075"/>
      <c r="P1041" s="2075"/>
      <c r="Q1041" s="3653">
        <v>175</v>
      </c>
      <c r="R1041" s="3638" t="s">
        <v>36</v>
      </c>
      <c r="S1041" s="3653">
        <v>20000</v>
      </c>
      <c r="T1041" s="3653" t="s">
        <v>0</v>
      </c>
      <c r="U1041" s="2075"/>
      <c r="V1041" s="3653">
        <v>1</v>
      </c>
      <c r="W1041" s="3653" t="s">
        <v>39</v>
      </c>
      <c r="X1041" s="2030" t="s">
        <v>1</v>
      </c>
      <c r="Y1041" s="3110">
        <f t="shared" si="373"/>
        <v>3500</v>
      </c>
      <c r="Z1041" s="896">
        <f>Q1041*S1041*V1041</f>
        <v>3500000</v>
      </c>
    </row>
    <row r="1042" spans="1:26" ht="22.5" customHeight="1" thickBot="1">
      <c r="A1042" s="562"/>
      <c r="B1042" s="563"/>
      <c r="C1042" s="2751"/>
      <c r="D1042" s="2063"/>
      <c r="E1042" s="2055"/>
      <c r="F1042" s="1660"/>
      <c r="G1042" s="1660"/>
      <c r="H1042" s="643"/>
      <c r="I1042" s="1899"/>
      <c r="J1042" s="3652" t="s">
        <v>6081</v>
      </c>
      <c r="K1042" s="3650"/>
      <c r="L1042" s="3650"/>
      <c r="M1042" s="3650"/>
      <c r="N1042" s="2075"/>
      <c r="O1042" s="2075"/>
      <c r="P1042" s="2075"/>
      <c r="Q1042" s="3653"/>
      <c r="R1042" s="3638"/>
      <c r="S1042" s="3653">
        <v>1200000</v>
      </c>
      <c r="T1042" s="3653" t="s">
        <v>0</v>
      </c>
      <c r="U1042" s="2075"/>
      <c r="V1042" s="3653">
        <v>1</v>
      </c>
      <c r="W1042" s="3653" t="s">
        <v>6083</v>
      </c>
      <c r="X1042" s="2030" t="s">
        <v>1</v>
      </c>
      <c r="Y1042" s="3110">
        <f t="shared" si="373"/>
        <v>1200</v>
      </c>
      <c r="Z1042" s="896">
        <f>S1042*V1042</f>
        <v>1200000</v>
      </c>
    </row>
  </sheetData>
  <mergeCells count="122">
    <mergeCell ref="C459:E459"/>
    <mergeCell ref="D460:E460"/>
    <mergeCell ref="C601:E601"/>
    <mergeCell ref="D602:E602"/>
    <mergeCell ref="B500:E500"/>
    <mergeCell ref="C501:E501"/>
    <mergeCell ref="D502:E502"/>
    <mergeCell ref="D628:E628"/>
    <mergeCell ref="D744:E744"/>
    <mergeCell ref="D648:E648"/>
    <mergeCell ref="D655:E655"/>
    <mergeCell ref="C667:E667"/>
    <mergeCell ref="D668:E668"/>
    <mergeCell ref="D676:E676"/>
    <mergeCell ref="D682:E682"/>
    <mergeCell ref="D619:E619"/>
    <mergeCell ref="B550:E550"/>
    <mergeCell ref="D700:E700"/>
    <mergeCell ref="C709:E709"/>
    <mergeCell ref="J727:N727"/>
    <mergeCell ref="D951:E951"/>
    <mergeCell ref="D819:E819"/>
    <mergeCell ref="C62:E62"/>
    <mergeCell ref="D63:E63"/>
    <mergeCell ref="D67:E67"/>
    <mergeCell ref="C107:E107"/>
    <mergeCell ref="C117:E117"/>
    <mergeCell ref="J243:M243"/>
    <mergeCell ref="D394:E394"/>
    <mergeCell ref="D399:E399"/>
    <mergeCell ref="B208:E208"/>
    <mergeCell ref="C204:E204"/>
    <mergeCell ref="D205:E205"/>
    <mergeCell ref="D710:E710"/>
    <mergeCell ref="C720:E720"/>
    <mergeCell ref="D721:E721"/>
    <mergeCell ref="D552:E552"/>
    <mergeCell ref="D886:E886"/>
    <mergeCell ref="D931:E931"/>
    <mergeCell ref="C699:E699"/>
    <mergeCell ref="C551:E551"/>
    <mergeCell ref="C901:E901"/>
    <mergeCell ref="D902:E902"/>
    <mergeCell ref="D1009:E1009"/>
    <mergeCell ref="C523:E523"/>
    <mergeCell ref="C535:E535"/>
    <mergeCell ref="C546:E546"/>
    <mergeCell ref="D776:E776"/>
    <mergeCell ref="D789:E789"/>
    <mergeCell ref="D976:E976"/>
    <mergeCell ref="D735:E735"/>
    <mergeCell ref="C754:E754"/>
    <mergeCell ref="D755:E755"/>
    <mergeCell ref="C975:E975"/>
    <mergeCell ref="D797:E797"/>
    <mergeCell ref="C838:E838"/>
    <mergeCell ref="D839:E839"/>
    <mergeCell ref="D855:E855"/>
    <mergeCell ref="D870:E870"/>
    <mergeCell ref="D954:E954"/>
    <mergeCell ref="C906:E906"/>
    <mergeCell ref="D907:E907"/>
    <mergeCell ref="D918:E918"/>
    <mergeCell ref="C1008:E1008"/>
    <mergeCell ref="D941:E941"/>
    <mergeCell ref="D963:E963"/>
    <mergeCell ref="C8:E8"/>
    <mergeCell ref="D9:E9"/>
    <mergeCell ref="C34:E34"/>
    <mergeCell ref="D35:E35"/>
    <mergeCell ref="C36:C43"/>
    <mergeCell ref="A1:Y1"/>
    <mergeCell ref="A3:E3"/>
    <mergeCell ref="F3:F4"/>
    <mergeCell ref="G3:G4"/>
    <mergeCell ref="H3:H4"/>
    <mergeCell ref="J3:Y4"/>
    <mergeCell ref="C17:E17"/>
    <mergeCell ref="D18:E18"/>
    <mergeCell ref="C19:C31"/>
    <mergeCell ref="C45:E45"/>
    <mergeCell ref="D46:E46"/>
    <mergeCell ref="C193:E193"/>
    <mergeCell ref="D194:E194"/>
    <mergeCell ref="D118:E118"/>
    <mergeCell ref="D128:E128"/>
    <mergeCell ref="D140:E140"/>
    <mergeCell ref="J72:M72"/>
    <mergeCell ref="J158:P158"/>
    <mergeCell ref="D150:E150"/>
    <mergeCell ref="C182:E182"/>
    <mergeCell ref="D183:E183"/>
    <mergeCell ref="C156:E156"/>
    <mergeCell ref="D157:E157"/>
    <mergeCell ref="J83:M83"/>
    <mergeCell ref="J78:M78"/>
    <mergeCell ref="C51:E51"/>
    <mergeCell ref="D52:E52"/>
    <mergeCell ref="C1024:E1024"/>
    <mergeCell ref="D1025:E1025"/>
    <mergeCell ref="D325:E325"/>
    <mergeCell ref="D232:E232"/>
    <mergeCell ref="D248:E248"/>
    <mergeCell ref="D212:E212"/>
    <mergeCell ref="D210:E210"/>
    <mergeCell ref="C209:E209"/>
    <mergeCell ref="D416:E416"/>
    <mergeCell ref="D262:E262"/>
    <mergeCell ref="D288:E288"/>
    <mergeCell ref="D293:E293"/>
    <mergeCell ref="D319:E319"/>
    <mergeCell ref="D331:E331"/>
    <mergeCell ref="C393:E393"/>
    <mergeCell ref="C434:E434"/>
    <mergeCell ref="D435:E435"/>
    <mergeCell ref="D431:E431"/>
    <mergeCell ref="C430:E430"/>
    <mergeCell ref="D438:E438"/>
    <mergeCell ref="B458:E458"/>
    <mergeCell ref="D966:E966"/>
    <mergeCell ref="C965:E965"/>
    <mergeCell ref="D984:E984"/>
  </mergeCells>
  <phoneticPr fontId="15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654" max="24" man="1"/>
    <brk id="972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63"/>
  <sheetViews>
    <sheetView view="pageBreakPreview" zoomScale="70" zoomScaleNormal="75" zoomScaleSheetLayoutView="70" workbookViewId="0">
      <pane ySplit="4" topLeftCell="A11" activePane="bottomLeft" state="frozen"/>
      <selection activeCell="F663" sqref="F663:G663"/>
      <selection pane="bottomLeft" activeCell="B2" sqref="B2"/>
    </sheetView>
  </sheetViews>
  <sheetFormatPr defaultRowHeight="18.75"/>
  <cols>
    <col min="1" max="1" width="17" style="831" hidden="1" customWidth="1"/>
    <col min="2" max="5" width="6.77734375" style="182" customWidth="1"/>
    <col min="6" max="6" width="25.77734375" style="182" customWidth="1"/>
    <col min="7" max="7" width="14" style="827" customWidth="1"/>
    <col min="8" max="8" width="14" style="183" customWidth="1"/>
    <col min="9" max="9" width="14" style="199" customWidth="1"/>
    <col min="10" max="10" width="1.5546875" style="184" customWidth="1"/>
    <col min="11" max="11" width="2.88671875" style="185" hidden="1" customWidth="1"/>
    <col min="12" max="12" width="1.88671875" style="182" hidden="1" customWidth="1"/>
    <col min="13" max="13" width="8.77734375" style="182" hidden="1" customWidth="1"/>
    <col min="14" max="14" width="10.33203125" style="182" hidden="1" customWidth="1"/>
    <col min="15" max="15" width="7.5546875" style="182" hidden="1" customWidth="1"/>
    <col min="16" max="16" width="11.109375" style="186" hidden="1" customWidth="1"/>
    <col min="17" max="17" width="10.109375" style="186" hidden="1" customWidth="1"/>
    <col min="18" max="18" width="7.77734375" style="182" hidden="1" customWidth="1"/>
    <col min="19" max="19" width="6.77734375" style="182" hidden="1" customWidth="1"/>
    <col min="20" max="20" width="14.77734375" style="182" hidden="1" customWidth="1"/>
    <col min="21" max="22" width="6.88671875" style="182" hidden="1" customWidth="1"/>
    <col min="23" max="23" width="8.33203125" style="182" hidden="1" customWidth="1"/>
    <col min="24" max="24" width="6.77734375" style="182" hidden="1" customWidth="1"/>
    <col min="25" max="25" width="3" style="230" hidden="1" customWidth="1"/>
    <col min="26" max="26" width="14.77734375" style="819" hidden="1" customWidth="1"/>
    <col min="27" max="27" width="17.44140625" style="179" customWidth="1"/>
    <col min="28" max="28" width="14.77734375" style="179" customWidth="1"/>
    <col min="29" max="29" width="20.5546875" style="202" customWidth="1"/>
    <col min="30" max="31" width="16.109375" style="188" customWidth="1"/>
    <col min="32" max="16384" width="8.88671875" style="188"/>
  </cols>
  <sheetData>
    <row r="1" spans="1:29" ht="27" customHeight="1">
      <c r="B1" s="4118" t="s">
        <v>6121</v>
      </c>
      <c r="C1" s="4118"/>
      <c r="D1" s="4118"/>
      <c r="E1" s="4118"/>
      <c r="F1" s="4118"/>
      <c r="G1" s="4118"/>
      <c r="H1" s="4118"/>
      <c r="I1" s="4118"/>
      <c r="J1" s="4118"/>
      <c r="K1" s="4118"/>
      <c r="L1" s="4118"/>
      <c r="M1" s="4118"/>
      <c r="N1" s="4118"/>
      <c r="O1" s="4118"/>
      <c r="P1" s="4118"/>
      <c r="Q1" s="4118"/>
      <c r="R1" s="4118"/>
      <c r="S1" s="4118"/>
      <c r="T1" s="4118"/>
      <c r="U1" s="4118"/>
      <c r="V1" s="4118"/>
      <c r="W1" s="4118"/>
      <c r="X1" s="4118"/>
      <c r="Y1" s="4118"/>
      <c r="Z1" s="4118"/>
      <c r="AA1" s="189"/>
      <c r="AB1" s="189"/>
    </row>
    <row r="2" spans="1:29" s="128" customFormat="1" ht="21.95" customHeight="1" thickBot="1">
      <c r="A2" s="229"/>
      <c r="B2" s="91"/>
      <c r="C2" s="91"/>
      <c r="D2" s="91"/>
      <c r="E2" s="91" t="s">
        <v>378</v>
      </c>
      <c r="F2" s="814"/>
      <c r="G2" s="840"/>
      <c r="H2" s="814"/>
      <c r="I2" s="103" t="s">
        <v>194</v>
      </c>
      <c r="J2" s="1925"/>
      <c r="K2" s="91" t="s">
        <v>378</v>
      </c>
      <c r="L2" s="429" t="s">
        <v>378</v>
      </c>
      <c r="M2" s="91"/>
      <c r="N2" s="21"/>
      <c r="O2" s="427"/>
      <c r="P2" s="181"/>
      <c r="Q2" s="181"/>
      <c r="Y2" s="229"/>
      <c r="Z2" s="103" t="s">
        <v>172</v>
      </c>
      <c r="AA2" s="427"/>
      <c r="AB2" s="427"/>
      <c r="AC2" s="427"/>
    </row>
    <row r="3" spans="1:29" s="191" customFormat="1" ht="20.100000000000001" customHeight="1">
      <c r="A3" s="830" t="s">
        <v>1340</v>
      </c>
      <c r="B3" s="4119" t="s">
        <v>218</v>
      </c>
      <c r="C3" s="4120"/>
      <c r="D3" s="4120"/>
      <c r="E3" s="4120"/>
      <c r="F3" s="4121"/>
      <c r="G3" s="3809" t="s">
        <v>174</v>
      </c>
      <c r="H3" s="4123" t="s">
        <v>1077</v>
      </c>
      <c r="I3" s="4125" t="s">
        <v>11</v>
      </c>
      <c r="J3" s="1925"/>
      <c r="K3" s="4127" t="s">
        <v>220</v>
      </c>
      <c r="L3" s="4127"/>
      <c r="M3" s="4127"/>
      <c r="N3" s="4127"/>
      <c r="O3" s="4127"/>
      <c r="P3" s="4127"/>
      <c r="Q3" s="4127"/>
      <c r="R3" s="4127"/>
      <c r="S3" s="4127"/>
      <c r="T3" s="4127"/>
      <c r="U3" s="4127"/>
      <c r="V3" s="4127"/>
      <c r="W3" s="4127"/>
      <c r="X3" s="4127"/>
      <c r="Y3" s="4127"/>
      <c r="Z3" s="4128"/>
      <c r="AA3" s="190"/>
      <c r="AB3" s="427"/>
      <c r="AC3" s="434"/>
    </row>
    <row r="4" spans="1:29" s="192" customFormat="1" ht="20.100000000000001" customHeight="1" thickBot="1">
      <c r="A4" s="832"/>
      <c r="B4" s="130" t="s">
        <v>252</v>
      </c>
      <c r="C4" s="131" t="s">
        <v>234</v>
      </c>
      <c r="D4" s="99" t="s">
        <v>221</v>
      </c>
      <c r="E4" s="99" t="s">
        <v>235</v>
      </c>
      <c r="F4" s="99"/>
      <c r="G4" s="4122"/>
      <c r="H4" s="4124"/>
      <c r="I4" s="4126"/>
      <c r="J4" s="1925"/>
      <c r="K4" s="4129"/>
      <c r="L4" s="4129"/>
      <c r="M4" s="4129"/>
      <c r="N4" s="4129"/>
      <c r="O4" s="4129"/>
      <c r="P4" s="4129"/>
      <c r="Q4" s="4129"/>
      <c r="R4" s="4129"/>
      <c r="S4" s="4129"/>
      <c r="T4" s="4129"/>
      <c r="U4" s="4129"/>
      <c r="V4" s="4129"/>
      <c r="W4" s="4129"/>
      <c r="X4" s="4129"/>
      <c r="Y4" s="4129"/>
      <c r="Z4" s="4130"/>
      <c r="AA4" s="135"/>
      <c r="AB4" s="427"/>
      <c r="AC4" s="434"/>
    </row>
    <row r="5" spans="1:29" s="192" customFormat="1" ht="20.100000000000001" customHeight="1" thickBot="1">
      <c r="A5" s="832"/>
      <c r="B5" s="193" t="s">
        <v>1362</v>
      </c>
      <c r="C5" s="194"/>
      <c r="D5" s="194"/>
      <c r="E5" s="194"/>
      <c r="F5" s="194"/>
      <c r="G5" s="846">
        <f>+G6+G28+G32</f>
        <v>5074000</v>
      </c>
      <c r="H5" s="846">
        <f>+H6+H28+H32</f>
        <v>5074000</v>
      </c>
      <c r="I5" s="847">
        <f>+I6+I28+I32</f>
        <v>0</v>
      </c>
      <c r="J5" s="1925"/>
      <c r="K5" s="2919"/>
      <c r="L5" s="2919"/>
      <c r="M5" s="2919"/>
      <c r="N5" s="2919"/>
      <c r="O5" s="2919"/>
      <c r="P5" s="2919"/>
      <c r="Q5" s="2919"/>
      <c r="R5" s="2919"/>
      <c r="S5" s="2919"/>
      <c r="T5" s="2919"/>
      <c r="U5" s="2919"/>
      <c r="V5" s="2919"/>
      <c r="W5" s="2919"/>
      <c r="X5" s="2919"/>
      <c r="Y5" s="2919"/>
      <c r="Z5" s="2920"/>
      <c r="AA5" s="135"/>
      <c r="AB5" s="427"/>
      <c r="AC5" s="434"/>
    </row>
    <row r="6" spans="1:29" s="192" customFormat="1" ht="20.100000000000001" customHeight="1" thickBot="1">
      <c r="A6" s="832"/>
      <c r="B6" s="193" t="s">
        <v>1341</v>
      </c>
      <c r="C6" s="194"/>
      <c r="D6" s="194"/>
      <c r="E6" s="194"/>
      <c r="F6" s="194"/>
      <c r="G6" s="822">
        <f>+G7</f>
        <v>910000</v>
      </c>
      <c r="H6" s="822">
        <f>+H7</f>
        <v>910000</v>
      </c>
      <c r="I6" s="195">
        <f>G6-H6</f>
        <v>0</v>
      </c>
      <c r="J6" s="1925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804"/>
      <c r="AA6" s="144"/>
      <c r="AB6" s="427"/>
      <c r="AC6" s="423">
        <f>G6*1000000</f>
        <v>910000000000</v>
      </c>
    </row>
    <row r="7" spans="1:29" s="3059" customFormat="1" ht="20.100000000000001" customHeight="1" thickBot="1">
      <c r="A7" s="3057"/>
      <c r="B7" s="2315" t="s">
        <v>378</v>
      </c>
      <c r="C7" s="1331" t="s">
        <v>1342</v>
      </c>
      <c r="D7" s="1376"/>
      <c r="E7" s="510"/>
      <c r="F7" s="1586"/>
      <c r="G7" s="823">
        <f>+G8+G11+G15+G21+G26</f>
        <v>910000</v>
      </c>
      <c r="H7" s="823">
        <f>+H8+H11+H15+H21+H26</f>
        <v>910000</v>
      </c>
      <c r="I7" s="1332">
        <f>G7-H7</f>
        <v>0</v>
      </c>
      <c r="J7" s="3019"/>
      <c r="K7" s="2317"/>
      <c r="L7" s="2317"/>
      <c r="M7" s="3058"/>
      <c r="N7" s="3058"/>
      <c r="O7" s="3058"/>
      <c r="P7" s="2317"/>
      <c r="Q7" s="2317"/>
      <c r="R7" s="2317"/>
      <c r="S7" s="2317"/>
      <c r="T7" s="2317"/>
      <c r="U7" s="2317"/>
      <c r="V7" s="2317"/>
      <c r="W7" s="2317"/>
      <c r="X7" s="2317"/>
      <c r="Y7" s="2314"/>
      <c r="Z7" s="2774"/>
      <c r="AA7" s="583"/>
      <c r="AB7" s="547"/>
      <c r="AC7" s="547">
        <f t="shared" ref="AC7:AC20" si="0">G7*1000000</f>
        <v>910000000000</v>
      </c>
    </row>
    <row r="8" spans="1:29" s="787" customFormat="1" ht="20.100000000000001" customHeight="1">
      <c r="A8" s="456" t="s">
        <v>1279</v>
      </c>
      <c r="B8" s="130"/>
      <c r="C8" s="99"/>
      <c r="D8" s="4133" t="s">
        <v>1343</v>
      </c>
      <c r="E8" s="4134"/>
      <c r="F8" s="4135"/>
      <c r="G8" s="823">
        <f>+G9+G10</f>
        <v>353500</v>
      </c>
      <c r="H8" s="823">
        <v>353500</v>
      </c>
      <c r="I8" s="96">
        <f>G8-H8</f>
        <v>0</v>
      </c>
      <c r="J8" s="1925"/>
      <c r="K8" s="2915"/>
      <c r="L8" s="2915"/>
      <c r="M8" s="2915"/>
      <c r="N8" s="2915"/>
      <c r="O8" s="2915"/>
      <c r="P8" s="2915"/>
      <c r="Q8" s="2915"/>
      <c r="R8" s="2915"/>
      <c r="S8" s="2915"/>
      <c r="T8" s="2915"/>
      <c r="U8" s="2915"/>
      <c r="V8" s="2915"/>
      <c r="W8" s="2915"/>
      <c r="X8" s="2915"/>
      <c r="Y8" s="201"/>
      <c r="Z8" s="807"/>
      <c r="AA8" s="298"/>
      <c r="AB8" s="423"/>
      <c r="AC8" s="423">
        <f t="shared" si="0"/>
        <v>353500000000</v>
      </c>
    </row>
    <row r="9" spans="1:29" s="787" customFormat="1" ht="20.100000000000001" customHeight="1">
      <c r="A9" s="456"/>
      <c r="B9" s="130"/>
      <c r="C9" s="99"/>
      <c r="D9" s="456"/>
      <c r="E9" s="4136" t="s">
        <v>278</v>
      </c>
      <c r="F9" s="4137"/>
      <c r="G9" s="598">
        <v>277080</v>
      </c>
      <c r="H9" s="11">
        <v>277080</v>
      </c>
      <c r="I9" s="424"/>
      <c r="J9" s="103">
        <f>H9-I9</f>
        <v>277080</v>
      </c>
      <c r="K9" s="2916"/>
      <c r="L9" s="2916"/>
      <c r="M9" s="2916"/>
      <c r="N9" s="2916"/>
      <c r="O9" s="2916"/>
      <c r="P9" s="2916"/>
      <c r="Q9" s="2916"/>
      <c r="R9" s="2916"/>
      <c r="S9" s="132"/>
      <c r="T9" s="2916"/>
      <c r="U9" s="2916"/>
      <c r="V9" s="2916"/>
      <c r="W9" s="2916"/>
      <c r="X9" s="2916"/>
      <c r="Y9" s="459"/>
      <c r="Z9" s="297"/>
      <c r="AA9" s="298"/>
      <c r="AB9" s="423"/>
      <c r="AC9" s="423">
        <f t="shared" si="0"/>
        <v>277080000000</v>
      </c>
    </row>
    <row r="10" spans="1:29" s="787" customFormat="1" ht="20.100000000000001" customHeight="1">
      <c r="A10" s="456"/>
      <c r="B10" s="130"/>
      <c r="C10" s="99"/>
      <c r="D10" s="456"/>
      <c r="E10" s="4136" t="s">
        <v>354</v>
      </c>
      <c r="F10" s="4137"/>
      <c r="G10" s="598">
        <v>76420</v>
      </c>
      <c r="H10" s="11">
        <v>76420</v>
      </c>
      <c r="I10" s="424"/>
      <c r="J10" s="103">
        <f>H10-I10</f>
        <v>76420</v>
      </c>
      <c r="K10" s="2916"/>
      <c r="L10" s="2916"/>
      <c r="M10" s="2916"/>
      <c r="N10" s="2916"/>
      <c r="O10" s="2916"/>
      <c r="P10" s="2916"/>
      <c r="Q10" s="2916"/>
      <c r="R10" s="2916"/>
      <c r="S10" s="132"/>
      <c r="T10" s="2916"/>
      <c r="U10" s="2916"/>
      <c r="V10" s="2916"/>
      <c r="W10" s="2916"/>
      <c r="X10" s="2916"/>
      <c r="Y10" s="459"/>
      <c r="Z10" s="297"/>
      <c r="AA10" s="298"/>
      <c r="AB10" s="423"/>
      <c r="AC10" s="423">
        <f t="shared" si="0"/>
        <v>76420000000</v>
      </c>
    </row>
    <row r="11" spans="1:29" s="787" customFormat="1" ht="20.100000000000001" customHeight="1">
      <c r="A11" s="456" t="s">
        <v>1279</v>
      </c>
      <c r="B11" s="130"/>
      <c r="C11" s="99"/>
      <c r="D11" s="4138" t="s">
        <v>1344</v>
      </c>
      <c r="E11" s="4138"/>
      <c r="F11" s="4138"/>
      <c r="G11" s="823">
        <f>+G12+G13+G14</f>
        <v>313000</v>
      </c>
      <c r="H11" s="823">
        <f>+H12+H13+H14</f>
        <v>313000</v>
      </c>
      <c r="I11" s="96">
        <f t="shared" ref="I11:I15" si="1">G11-H11</f>
        <v>0</v>
      </c>
      <c r="J11" s="1925"/>
      <c r="K11" s="2915"/>
      <c r="L11" s="2915"/>
      <c r="M11" s="2915"/>
      <c r="N11" s="2915"/>
      <c r="O11" s="2915"/>
      <c r="P11" s="2915"/>
      <c r="Q11" s="2915"/>
      <c r="R11" s="2915"/>
      <c r="S11" s="2915"/>
      <c r="T11" s="2915"/>
      <c r="U11" s="2915"/>
      <c r="V11" s="2915"/>
      <c r="W11" s="2915"/>
      <c r="X11" s="2915"/>
      <c r="Y11" s="201"/>
      <c r="Z11" s="141"/>
      <c r="AA11" s="298"/>
      <c r="AB11" s="423"/>
      <c r="AC11" s="423">
        <f t="shared" si="0"/>
        <v>313000000000</v>
      </c>
    </row>
    <row r="12" spans="1:29" s="787" customFormat="1" ht="20.100000000000001" customHeight="1">
      <c r="A12" s="456"/>
      <c r="B12" s="130"/>
      <c r="C12" s="99"/>
      <c r="D12" s="1925"/>
      <c r="E12" s="2918" t="s">
        <v>1345</v>
      </c>
      <c r="F12" s="2917"/>
      <c r="G12" s="823">
        <v>25000</v>
      </c>
      <c r="H12" s="95">
        <v>25000</v>
      </c>
      <c r="I12" s="424"/>
      <c r="J12" s="1925"/>
      <c r="K12" s="2915"/>
      <c r="L12" s="2915"/>
      <c r="M12" s="2915"/>
      <c r="N12" s="2915"/>
      <c r="O12" s="2915"/>
      <c r="P12" s="2915"/>
      <c r="Q12" s="2915"/>
      <c r="R12" s="2915"/>
      <c r="S12" s="2915"/>
      <c r="T12" s="2915"/>
      <c r="U12" s="2915"/>
      <c r="V12" s="2915"/>
      <c r="W12" s="2915"/>
      <c r="X12" s="2915"/>
      <c r="Y12" s="201"/>
      <c r="Z12" s="464"/>
      <c r="AA12" s="303"/>
      <c r="AB12" s="423"/>
      <c r="AC12" s="423">
        <f t="shared" si="0"/>
        <v>25000000000</v>
      </c>
    </row>
    <row r="13" spans="1:29" s="787" customFormat="1" ht="20.100000000000001" customHeight="1">
      <c r="A13" s="456"/>
      <c r="B13" s="130"/>
      <c r="C13" s="99"/>
      <c r="D13" s="1925"/>
      <c r="E13" s="2918" t="s">
        <v>1346</v>
      </c>
      <c r="F13" s="2917"/>
      <c r="G13" s="823">
        <v>140800</v>
      </c>
      <c r="H13" s="823">
        <v>140800</v>
      </c>
      <c r="I13" s="424"/>
      <c r="J13" s="1925"/>
      <c r="K13" s="2915"/>
      <c r="L13" s="2915"/>
      <c r="M13" s="2915"/>
      <c r="N13" s="2915"/>
      <c r="O13" s="2915"/>
      <c r="P13" s="2915"/>
      <c r="Q13" s="2915"/>
      <c r="R13" s="2915"/>
      <c r="S13" s="2915"/>
      <c r="T13" s="2915"/>
      <c r="U13" s="2915"/>
      <c r="V13" s="2915"/>
      <c r="W13" s="2915"/>
      <c r="X13" s="2915"/>
      <c r="Y13" s="201"/>
      <c r="Z13" s="464"/>
      <c r="AA13" s="303"/>
      <c r="AB13" s="423"/>
      <c r="AC13" s="423">
        <f t="shared" si="0"/>
        <v>140800000000</v>
      </c>
    </row>
    <row r="14" spans="1:29" s="787" customFormat="1" ht="20.100000000000001" customHeight="1">
      <c r="A14" s="456"/>
      <c r="B14" s="130"/>
      <c r="C14" s="99"/>
      <c r="D14" s="1925"/>
      <c r="E14" s="2918" t="s">
        <v>1347</v>
      </c>
      <c r="F14" s="2917"/>
      <c r="G14" s="823">
        <v>147200</v>
      </c>
      <c r="H14" s="823">
        <v>147200</v>
      </c>
      <c r="I14" s="424"/>
      <c r="J14" s="1925"/>
      <c r="K14" s="2915"/>
      <c r="L14" s="2915"/>
      <c r="M14" s="2915"/>
      <c r="N14" s="2915"/>
      <c r="O14" s="2915"/>
      <c r="P14" s="2915"/>
      <c r="Q14" s="2915"/>
      <c r="R14" s="2915"/>
      <c r="S14" s="2915"/>
      <c r="T14" s="2915"/>
      <c r="U14" s="2915"/>
      <c r="V14" s="2915"/>
      <c r="W14" s="2915"/>
      <c r="X14" s="2915"/>
      <c r="Y14" s="201"/>
      <c r="Z14" s="464"/>
      <c r="AA14" s="303"/>
      <c r="AB14" s="423"/>
      <c r="AC14" s="423">
        <f t="shared" si="0"/>
        <v>147200000000</v>
      </c>
    </row>
    <row r="15" spans="1:29" s="787" customFormat="1" ht="20.100000000000001" customHeight="1">
      <c r="A15" s="456" t="s">
        <v>1279</v>
      </c>
      <c r="B15" s="296"/>
      <c r="C15" s="443"/>
      <c r="D15" s="4139" t="s">
        <v>1348</v>
      </c>
      <c r="E15" s="4140"/>
      <c r="F15" s="4141"/>
      <c r="G15" s="825">
        <f>+G16+G17+G18+G19+G20</f>
        <v>155000</v>
      </c>
      <c r="H15" s="825">
        <f>+H16+H17+H18+H19+H20</f>
        <v>155000</v>
      </c>
      <c r="I15" s="424">
        <f t="shared" si="1"/>
        <v>0</v>
      </c>
      <c r="J15" s="1925"/>
      <c r="K15" s="441"/>
      <c r="L15" s="441"/>
      <c r="M15" s="2916"/>
      <c r="N15" s="2916"/>
      <c r="O15" s="142"/>
      <c r="P15" s="2916"/>
      <c r="Q15" s="2916"/>
      <c r="R15" s="295"/>
      <c r="S15" s="442"/>
      <c r="T15" s="102"/>
      <c r="U15" s="441"/>
      <c r="V15" s="441"/>
      <c r="W15" s="441"/>
      <c r="X15" s="441"/>
      <c r="Y15" s="203"/>
      <c r="Z15" s="464"/>
      <c r="AA15" s="134"/>
      <c r="AB15" s="423"/>
      <c r="AC15" s="423">
        <f t="shared" si="0"/>
        <v>155000000000</v>
      </c>
    </row>
    <row r="16" spans="1:29" ht="20.100000000000001" customHeight="1">
      <c r="B16" s="197"/>
      <c r="C16" s="198"/>
      <c r="D16" s="131"/>
      <c r="E16" s="4131" t="s">
        <v>1349</v>
      </c>
      <c r="F16" s="4132"/>
      <c r="G16" s="823">
        <v>48000</v>
      </c>
      <c r="H16" s="95">
        <v>48000</v>
      </c>
      <c r="I16" s="424"/>
      <c r="J16" s="1925"/>
      <c r="K16" s="2915"/>
      <c r="L16" s="2915"/>
      <c r="M16" s="2915"/>
      <c r="N16" s="2915"/>
      <c r="O16" s="2915"/>
      <c r="P16" s="2915"/>
      <c r="Q16" s="2915"/>
      <c r="R16" s="2915"/>
      <c r="S16" s="306"/>
      <c r="T16" s="2915"/>
      <c r="U16" s="2915"/>
      <c r="V16" s="2915"/>
      <c r="W16" s="2915"/>
      <c r="X16" s="2915"/>
      <c r="Y16" s="201"/>
      <c r="Z16" s="464"/>
      <c r="AA16" s="811"/>
      <c r="AB16" s="423"/>
      <c r="AC16" s="423">
        <f t="shared" si="0"/>
        <v>48000000000</v>
      </c>
    </row>
    <row r="17" spans="1:29" ht="20.100000000000001" customHeight="1">
      <c r="B17" s="197"/>
      <c r="C17" s="198"/>
      <c r="D17" s="131"/>
      <c r="E17" s="4131" t="s">
        <v>1350</v>
      </c>
      <c r="F17" s="4132"/>
      <c r="G17" s="823">
        <v>12000</v>
      </c>
      <c r="H17" s="95">
        <v>12000</v>
      </c>
      <c r="I17" s="424"/>
      <c r="J17" s="1925"/>
      <c r="K17" s="2915"/>
      <c r="L17" s="2915"/>
      <c r="M17" s="2915"/>
      <c r="N17" s="2915"/>
      <c r="O17" s="2915"/>
      <c r="P17" s="2915"/>
      <c r="Q17" s="2915"/>
      <c r="R17" s="2915"/>
      <c r="S17" s="306"/>
      <c r="T17" s="2915"/>
      <c r="U17" s="2915"/>
      <c r="V17" s="2915"/>
      <c r="W17" s="2915"/>
      <c r="X17" s="2915"/>
      <c r="Y17" s="201"/>
      <c r="Z17" s="464"/>
      <c r="AA17" s="811"/>
      <c r="AB17" s="423"/>
      <c r="AC17" s="423">
        <f t="shared" si="0"/>
        <v>12000000000</v>
      </c>
    </row>
    <row r="18" spans="1:29" ht="20.100000000000001" customHeight="1">
      <c r="B18" s="197"/>
      <c r="C18" s="198"/>
      <c r="D18" s="131"/>
      <c r="E18" s="4131" t="s">
        <v>1351</v>
      </c>
      <c r="F18" s="4132"/>
      <c r="G18" s="823">
        <v>18000</v>
      </c>
      <c r="H18" s="95">
        <v>18000</v>
      </c>
      <c r="I18" s="424"/>
      <c r="J18" s="1925"/>
      <c r="K18" s="3024"/>
      <c r="L18" s="3024"/>
      <c r="M18" s="3024"/>
      <c r="N18" s="3024"/>
      <c r="O18" s="3024"/>
      <c r="P18" s="3024"/>
      <c r="Q18" s="3024"/>
      <c r="R18" s="3024"/>
      <c r="S18" s="306"/>
      <c r="T18" s="3024"/>
      <c r="U18" s="3024"/>
      <c r="V18" s="3024"/>
      <c r="W18" s="3024"/>
      <c r="X18" s="3024"/>
      <c r="Y18" s="201"/>
      <c r="Z18" s="464"/>
      <c r="AA18" s="811"/>
      <c r="AB18" s="423"/>
      <c r="AC18" s="423">
        <f t="shared" ref="AC18:AC19" si="2">G18*1000000</f>
        <v>18000000000</v>
      </c>
    </row>
    <row r="19" spans="1:29" ht="20.100000000000001" customHeight="1">
      <c r="B19" s="197"/>
      <c r="C19" s="198"/>
      <c r="D19" s="131"/>
      <c r="E19" s="4131" t="s">
        <v>1352</v>
      </c>
      <c r="F19" s="4132"/>
      <c r="G19" s="823">
        <v>29500</v>
      </c>
      <c r="H19" s="823">
        <v>29500</v>
      </c>
      <c r="I19" s="424"/>
      <c r="J19" s="1925"/>
      <c r="K19" s="3024"/>
      <c r="L19" s="3024"/>
      <c r="M19" s="3024"/>
      <c r="N19" s="3024"/>
      <c r="O19" s="3024"/>
      <c r="P19" s="3024"/>
      <c r="Q19" s="3024"/>
      <c r="R19" s="3024"/>
      <c r="S19" s="306"/>
      <c r="T19" s="3024"/>
      <c r="U19" s="3024"/>
      <c r="V19" s="3024"/>
      <c r="W19" s="3024"/>
      <c r="X19" s="3024"/>
      <c r="Y19" s="201"/>
      <c r="Z19" s="464"/>
      <c r="AA19" s="811"/>
      <c r="AB19" s="423"/>
      <c r="AC19" s="423">
        <f t="shared" si="2"/>
        <v>29500000000</v>
      </c>
    </row>
    <row r="20" spans="1:29" ht="20.100000000000001" customHeight="1">
      <c r="B20" s="197"/>
      <c r="C20" s="198"/>
      <c r="D20" s="131"/>
      <c r="E20" s="4131" t="s">
        <v>4036</v>
      </c>
      <c r="F20" s="4132"/>
      <c r="G20" s="823">
        <v>47500</v>
      </c>
      <c r="H20" s="823">
        <v>47500</v>
      </c>
      <c r="I20" s="424"/>
      <c r="J20" s="1925"/>
      <c r="K20" s="2915"/>
      <c r="L20" s="2915"/>
      <c r="M20" s="2915"/>
      <c r="N20" s="2915"/>
      <c r="O20" s="2915"/>
      <c r="P20" s="2915"/>
      <c r="Q20" s="2915"/>
      <c r="R20" s="2915"/>
      <c r="S20" s="306"/>
      <c r="T20" s="2915"/>
      <c r="U20" s="2915"/>
      <c r="V20" s="2915"/>
      <c r="W20" s="2915"/>
      <c r="X20" s="2915"/>
      <c r="Y20" s="201"/>
      <c r="Z20" s="464"/>
      <c r="AA20" s="811"/>
      <c r="AB20" s="423"/>
      <c r="AC20" s="423">
        <f t="shared" si="0"/>
        <v>47500000000</v>
      </c>
    </row>
    <row r="21" spans="1:29" s="787" customFormat="1" ht="21.95" customHeight="1">
      <c r="A21" s="456" t="s">
        <v>1279</v>
      </c>
      <c r="B21" s="296"/>
      <c r="C21" s="443"/>
      <c r="D21" s="4139" t="s">
        <v>3756</v>
      </c>
      <c r="E21" s="4140"/>
      <c r="F21" s="4141"/>
      <c r="G21" s="825">
        <f>+G22+G23+G24+G25</f>
        <v>43000</v>
      </c>
      <c r="H21" s="825">
        <f>+H22+H23+H24+H25</f>
        <v>43000</v>
      </c>
      <c r="I21" s="424">
        <f>G21-H21</f>
        <v>0</v>
      </c>
      <c r="J21" s="1925"/>
      <c r="K21" s="441"/>
      <c r="L21" s="441"/>
      <c r="M21" s="2916"/>
      <c r="N21" s="2916"/>
      <c r="O21" s="142"/>
      <c r="P21" s="2916"/>
      <c r="Q21" s="2916"/>
      <c r="R21" s="295"/>
      <c r="S21" s="442"/>
      <c r="T21" s="102"/>
      <c r="U21" s="441"/>
      <c r="V21" s="441"/>
      <c r="W21" s="441"/>
      <c r="X21" s="441"/>
      <c r="Y21" s="203"/>
      <c r="Z21" s="464"/>
      <c r="AA21" s="134"/>
      <c r="AB21" s="423"/>
      <c r="AC21" s="423">
        <f t="shared" ref="AC21:AC27" si="3">G21*1000000</f>
        <v>43000000000</v>
      </c>
    </row>
    <row r="22" spans="1:29" ht="21.95" customHeight="1">
      <c r="B22" s="197"/>
      <c r="C22" s="198"/>
      <c r="D22" s="131"/>
      <c r="E22" s="4131" t="s">
        <v>3757</v>
      </c>
      <c r="F22" s="4132"/>
      <c r="G22" s="823">
        <v>4000</v>
      </c>
      <c r="H22" s="95">
        <v>4000</v>
      </c>
      <c r="I22" s="424"/>
      <c r="J22" s="1925"/>
      <c r="K22" s="2915"/>
      <c r="L22" s="2915"/>
      <c r="M22" s="2915"/>
      <c r="N22" s="2915"/>
      <c r="O22" s="2915"/>
      <c r="P22" s="2915"/>
      <c r="Q22" s="2915"/>
      <c r="R22" s="2915"/>
      <c r="S22" s="306"/>
      <c r="T22" s="2915"/>
      <c r="U22" s="2915"/>
      <c r="V22" s="2915"/>
      <c r="W22" s="2915"/>
      <c r="X22" s="2915"/>
      <c r="Y22" s="201"/>
      <c r="Z22" s="464"/>
      <c r="AA22" s="811"/>
      <c r="AB22" s="423"/>
      <c r="AC22" s="423">
        <f t="shared" si="3"/>
        <v>4000000000</v>
      </c>
    </row>
    <row r="23" spans="1:29" ht="21.95" customHeight="1">
      <c r="B23" s="197"/>
      <c r="C23" s="198"/>
      <c r="D23" s="131"/>
      <c r="E23" s="4131" t="s">
        <v>3758</v>
      </c>
      <c r="F23" s="4132"/>
      <c r="G23" s="823">
        <v>2000</v>
      </c>
      <c r="H23" s="95">
        <v>2000</v>
      </c>
      <c r="I23" s="424"/>
      <c r="J23" s="1925"/>
      <c r="K23" s="2915"/>
      <c r="L23" s="2915"/>
      <c r="M23" s="2915"/>
      <c r="N23" s="2915"/>
      <c r="O23" s="2915"/>
      <c r="P23" s="2915"/>
      <c r="Q23" s="2915"/>
      <c r="R23" s="2915"/>
      <c r="S23" s="306"/>
      <c r="T23" s="2915"/>
      <c r="U23" s="2915"/>
      <c r="V23" s="2915"/>
      <c r="W23" s="2915"/>
      <c r="X23" s="2915"/>
      <c r="Y23" s="201"/>
      <c r="Z23" s="464"/>
      <c r="AA23" s="811"/>
      <c r="AB23" s="423"/>
      <c r="AC23" s="423">
        <f t="shared" si="3"/>
        <v>2000000000</v>
      </c>
    </row>
    <row r="24" spans="1:29" ht="21.95" customHeight="1">
      <c r="B24" s="197"/>
      <c r="C24" s="198"/>
      <c r="D24" s="131"/>
      <c r="E24" s="4131" t="s">
        <v>3759</v>
      </c>
      <c r="F24" s="4132"/>
      <c r="G24" s="823">
        <v>19000</v>
      </c>
      <c r="H24" s="95">
        <v>19000</v>
      </c>
      <c r="I24" s="424"/>
      <c r="J24" s="1925"/>
      <c r="K24" s="2915"/>
      <c r="L24" s="2915"/>
      <c r="M24" s="2915"/>
      <c r="N24" s="2915"/>
      <c r="O24" s="2915"/>
      <c r="P24" s="2915"/>
      <c r="Q24" s="2915"/>
      <c r="R24" s="2915"/>
      <c r="S24" s="306"/>
      <c r="T24" s="2915"/>
      <c r="U24" s="2915"/>
      <c r="V24" s="2915"/>
      <c r="W24" s="2915"/>
      <c r="X24" s="2915"/>
      <c r="Y24" s="201"/>
      <c r="Z24" s="464"/>
      <c r="AA24" s="811"/>
      <c r="AB24" s="423"/>
      <c r="AC24" s="423">
        <f t="shared" si="3"/>
        <v>19000000000</v>
      </c>
    </row>
    <row r="25" spans="1:29" ht="21" customHeight="1">
      <c r="B25" s="197"/>
      <c r="C25" s="198"/>
      <c r="D25" s="131"/>
      <c r="E25" s="4131" t="s">
        <v>3760</v>
      </c>
      <c r="F25" s="4132"/>
      <c r="G25" s="823">
        <v>18000</v>
      </c>
      <c r="H25" s="95">
        <v>18000</v>
      </c>
      <c r="I25" s="424">
        <f>G25-H25</f>
        <v>0</v>
      </c>
      <c r="J25" s="1925"/>
      <c r="K25" s="2915"/>
      <c r="L25" s="2915"/>
      <c r="M25" s="2915"/>
      <c r="N25" s="2915"/>
      <c r="O25" s="2915"/>
      <c r="P25" s="2915"/>
      <c r="Q25" s="2915"/>
      <c r="R25" s="2915"/>
      <c r="S25" s="306"/>
      <c r="T25" s="2915"/>
      <c r="U25" s="2915"/>
      <c r="V25" s="2915"/>
      <c r="W25" s="2915"/>
      <c r="X25" s="2915"/>
      <c r="Y25" s="201"/>
      <c r="Z25" s="464"/>
      <c r="AA25" s="811"/>
      <c r="AB25" s="423"/>
      <c r="AC25" s="423">
        <f t="shared" si="3"/>
        <v>18000000000</v>
      </c>
    </row>
    <row r="26" spans="1:29" s="787" customFormat="1" ht="23.25" customHeight="1">
      <c r="A26" s="456" t="s">
        <v>1279</v>
      </c>
      <c r="B26" s="130"/>
      <c r="C26" s="99"/>
      <c r="D26" s="4140" t="s">
        <v>3761</v>
      </c>
      <c r="E26" s="4140"/>
      <c r="F26" s="4141"/>
      <c r="G26" s="598">
        <f>+G27</f>
        <v>45500</v>
      </c>
      <c r="H26" s="598">
        <f>+H27</f>
        <v>45500</v>
      </c>
      <c r="I26" s="627">
        <f t="shared" ref="I26" si="4">+I27</f>
        <v>0</v>
      </c>
      <c r="J26" s="1925"/>
      <c r="K26" s="2916"/>
      <c r="L26" s="2916"/>
      <c r="M26" s="2916"/>
      <c r="N26" s="2916"/>
      <c r="O26" s="2916"/>
      <c r="P26" s="2916"/>
      <c r="Q26" s="2916"/>
      <c r="R26" s="2916"/>
      <c r="S26" s="2916"/>
      <c r="T26" s="2916"/>
      <c r="U26" s="2916"/>
      <c r="V26" s="2916"/>
      <c r="W26" s="2916"/>
      <c r="X26" s="2916"/>
      <c r="Y26" s="459"/>
      <c r="Z26" s="297"/>
      <c r="AA26" s="298"/>
      <c r="AB26" s="423"/>
      <c r="AC26" s="423">
        <f t="shared" si="3"/>
        <v>45500000000</v>
      </c>
    </row>
    <row r="27" spans="1:29" s="787" customFormat="1" ht="23.25" customHeight="1" thickBot="1">
      <c r="A27" s="456"/>
      <c r="B27" s="130"/>
      <c r="C27" s="99"/>
      <c r="D27" s="456"/>
      <c r="E27" s="4136" t="s">
        <v>3761</v>
      </c>
      <c r="F27" s="4137"/>
      <c r="G27" s="598">
        <v>45500</v>
      </c>
      <c r="H27" s="3158">
        <v>45500</v>
      </c>
      <c r="I27" s="424"/>
      <c r="J27" s="1925"/>
      <c r="K27" s="2916"/>
      <c r="L27" s="2916"/>
      <c r="M27" s="2916"/>
      <c r="N27" s="2916"/>
      <c r="O27" s="2916"/>
      <c r="P27" s="2916"/>
      <c r="Q27" s="2916"/>
      <c r="R27" s="2916"/>
      <c r="S27" s="132"/>
      <c r="T27" s="2916"/>
      <c r="U27" s="2916"/>
      <c r="V27" s="2916"/>
      <c r="W27" s="2916"/>
      <c r="X27" s="2916"/>
      <c r="Y27" s="459"/>
      <c r="Z27" s="460"/>
      <c r="AA27" s="813"/>
      <c r="AB27" s="423"/>
      <c r="AC27" s="423">
        <f t="shared" si="3"/>
        <v>45500000000</v>
      </c>
    </row>
    <row r="28" spans="1:29" s="192" customFormat="1" ht="22.5" customHeight="1" thickBot="1">
      <c r="A28" s="832"/>
      <c r="B28" s="193" t="s">
        <v>3762</v>
      </c>
      <c r="C28" s="194"/>
      <c r="D28" s="194"/>
      <c r="E28" s="194"/>
      <c r="F28" s="194"/>
      <c r="G28" s="822">
        <f t="shared" ref="G28:H30" si="5">+G29</f>
        <v>350000</v>
      </c>
      <c r="H28" s="822">
        <f t="shared" si="5"/>
        <v>350000</v>
      </c>
      <c r="I28" s="195">
        <f>G28-H28</f>
        <v>0</v>
      </c>
      <c r="J28" s="1925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804"/>
      <c r="AA28" s="144"/>
      <c r="AB28" s="427"/>
      <c r="AC28" s="423">
        <f>G28*1000000</f>
        <v>350000000000</v>
      </c>
    </row>
    <row r="29" spans="1:29" s="787" customFormat="1" ht="21" customHeight="1" thickBot="1">
      <c r="A29" s="456"/>
      <c r="B29" s="130"/>
      <c r="C29" s="94" t="s">
        <v>3763</v>
      </c>
      <c r="D29" s="307"/>
      <c r="E29" s="19"/>
      <c r="F29" s="140"/>
      <c r="G29" s="823">
        <f t="shared" si="5"/>
        <v>350000</v>
      </c>
      <c r="H29" s="823">
        <f t="shared" si="5"/>
        <v>350000</v>
      </c>
      <c r="I29" s="98">
        <f t="shared" ref="I29:I30" si="6">G29-H29</f>
        <v>0</v>
      </c>
      <c r="J29" s="1925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194"/>
      <c r="Z29" s="838"/>
      <c r="AA29" s="839"/>
      <c r="AB29" s="423"/>
      <c r="AC29" s="423">
        <f t="shared" ref="AC29:AC46" si="7">G29*1000000</f>
        <v>350000000000</v>
      </c>
    </row>
    <row r="30" spans="1:29" s="787" customFormat="1" ht="21" customHeight="1">
      <c r="A30" s="456" t="s">
        <v>213</v>
      </c>
      <c r="B30" s="130"/>
      <c r="C30" s="99"/>
      <c r="D30" s="4133" t="s">
        <v>3763</v>
      </c>
      <c r="E30" s="4134"/>
      <c r="F30" s="4135"/>
      <c r="G30" s="823">
        <f t="shared" si="5"/>
        <v>350000</v>
      </c>
      <c r="H30" s="823">
        <f t="shared" si="5"/>
        <v>350000</v>
      </c>
      <c r="I30" s="98">
        <f t="shared" si="6"/>
        <v>0</v>
      </c>
      <c r="J30" s="1925"/>
      <c r="K30" s="2916"/>
      <c r="L30" s="2916"/>
      <c r="M30" s="2916"/>
      <c r="N30" s="2916"/>
      <c r="O30" s="2916"/>
      <c r="P30" s="2916"/>
      <c r="Q30" s="2916"/>
      <c r="R30" s="2916"/>
      <c r="S30" s="2916"/>
      <c r="T30" s="2916"/>
      <c r="U30" s="2916"/>
      <c r="V30" s="2916"/>
      <c r="W30" s="2916"/>
      <c r="X30" s="2916"/>
      <c r="Y30" s="459"/>
      <c r="Z30" s="297"/>
      <c r="AA30" s="298"/>
      <c r="AB30" s="423"/>
      <c r="AC30" s="423">
        <f t="shared" si="7"/>
        <v>350000000000</v>
      </c>
    </row>
    <row r="31" spans="1:29" s="787" customFormat="1" ht="21" customHeight="1" thickBot="1">
      <c r="A31" s="456"/>
      <c r="B31" s="130"/>
      <c r="C31" s="841"/>
      <c r="D31" s="201"/>
      <c r="E31" s="4147" t="s">
        <v>3763</v>
      </c>
      <c r="F31" s="4148"/>
      <c r="G31" s="598">
        <v>350000</v>
      </c>
      <c r="H31" s="11">
        <v>350000</v>
      </c>
      <c r="I31" s="3"/>
      <c r="J31" s="1925"/>
      <c r="K31" s="2916"/>
      <c r="L31" s="2916"/>
      <c r="M31" s="2916"/>
      <c r="N31" s="2916"/>
      <c r="O31" s="2916"/>
      <c r="P31" s="2916"/>
      <c r="Q31" s="2916"/>
      <c r="R31" s="2916"/>
      <c r="S31" s="132"/>
      <c r="T31" s="2916"/>
      <c r="U31" s="2916"/>
      <c r="V31" s="2916"/>
      <c r="W31" s="2916"/>
      <c r="X31" s="2916"/>
      <c r="Y31" s="459"/>
      <c r="Z31" s="455"/>
      <c r="AA31" s="465"/>
      <c r="AB31" s="423"/>
      <c r="AC31" s="423">
        <f t="shared" si="7"/>
        <v>350000000000</v>
      </c>
    </row>
    <row r="32" spans="1:29" s="787" customFormat="1" ht="21" customHeight="1" thickBot="1">
      <c r="A32" s="456"/>
      <c r="B32" s="845" t="s">
        <v>3764</v>
      </c>
      <c r="C32" s="194"/>
      <c r="D32" s="194"/>
      <c r="E32" s="194"/>
      <c r="F32" s="194"/>
      <c r="G32" s="822">
        <f>+G33+G36+G39+G42</f>
        <v>3814000</v>
      </c>
      <c r="H32" s="822">
        <f>+H33+H36+H39+H42</f>
        <v>3814000</v>
      </c>
      <c r="I32" s="195">
        <f>G32-H32</f>
        <v>0</v>
      </c>
      <c r="J32" s="1925"/>
      <c r="K32" s="1925"/>
      <c r="L32" s="1925"/>
      <c r="M32" s="1925"/>
      <c r="N32" s="1925"/>
      <c r="O32" s="1925"/>
      <c r="P32" s="1925"/>
      <c r="Q32" s="1925"/>
      <c r="R32" s="1925"/>
      <c r="S32" s="133"/>
      <c r="T32" s="1925"/>
      <c r="U32" s="1925"/>
      <c r="V32" s="1925"/>
      <c r="W32" s="1925"/>
      <c r="X32" s="1925"/>
      <c r="Y32" s="456"/>
      <c r="Z32" s="455"/>
      <c r="AA32" s="465"/>
      <c r="AB32" s="423"/>
      <c r="AC32" s="423"/>
    </row>
    <row r="33" spans="1:29" s="879" customFormat="1" ht="22.5" customHeight="1" thickBot="1">
      <c r="A33" s="456"/>
      <c r="B33" s="130"/>
      <c r="C33" s="94" t="s">
        <v>3765</v>
      </c>
      <c r="D33" s="307"/>
      <c r="E33" s="19"/>
      <c r="F33" s="140"/>
      <c r="G33" s="823">
        <f>+G34</f>
        <v>1814000</v>
      </c>
      <c r="H33" s="823">
        <f>+H34</f>
        <v>1814000</v>
      </c>
      <c r="I33" s="96">
        <f t="shared" ref="I33" si="8">G33-H33</f>
        <v>0</v>
      </c>
      <c r="J33" s="1925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194"/>
      <c r="Z33" s="838"/>
      <c r="AA33" s="298"/>
      <c r="AB33" s="423"/>
      <c r="AC33" s="423">
        <f t="shared" si="7"/>
        <v>1814000000000</v>
      </c>
    </row>
    <row r="34" spans="1:29" s="815" customFormat="1" ht="22.5" customHeight="1">
      <c r="A34" s="456" t="s">
        <v>1279</v>
      </c>
      <c r="B34" s="197"/>
      <c r="C34" s="843"/>
      <c r="D34" s="4149" t="s">
        <v>3765</v>
      </c>
      <c r="E34" s="4149"/>
      <c r="F34" s="4148"/>
      <c r="G34" s="825">
        <f>+G35</f>
        <v>1814000</v>
      </c>
      <c r="H34" s="447">
        <f>+H35</f>
        <v>1814000</v>
      </c>
      <c r="I34" s="448">
        <f>G34-H34</f>
        <v>0</v>
      </c>
      <c r="J34" s="1925"/>
      <c r="K34" s="422"/>
      <c r="L34" s="2915"/>
      <c r="M34" s="2915"/>
      <c r="N34" s="2915"/>
      <c r="O34" s="2915"/>
      <c r="P34" s="2915"/>
      <c r="Q34" s="2915"/>
      <c r="R34" s="19"/>
      <c r="S34" s="306"/>
      <c r="T34" s="97"/>
      <c r="U34" s="422"/>
      <c r="V34" s="422"/>
      <c r="W34" s="422"/>
      <c r="X34" s="422"/>
      <c r="Y34" s="461"/>
      <c r="Z34" s="141"/>
      <c r="AA34" s="129"/>
      <c r="AB34" s="423"/>
      <c r="AC34" s="423">
        <f t="shared" si="7"/>
        <v>1814000000000</v>
      </c>
    </row>
    <row r="35" spans="1:29" s="815" customFormat="1" ht="22.5" customHeight="1" thickBot="1">
      <c r="A35" s="837"/>
      <c r="B35" s="197"/>
      <c r="C35" s="844"/>
      <c r="D35" s="19"/>
      <c r="E35" s="4147" t="s">
        <v>3765</v>
      </c>
      <c r="F35" s="4148"/>
      <c r="G35" s="598">
        <f>1475818+338182</f>
        <v>1814000</v>
      </c>
      <c r="H35" s="11">
        <v>1814000</v>
      </c>
      <c r="I35" s="228"/>
      <c r="J35" s="1925"/>
      <c r="K35" s="441"/>
      <c r="L35" s="2916"/>
      <c r="M35" s="2916"/>
      <c r="N35" s="2916"/>
      <c r="O35" s="2916"/>
      <c r="P35" s="2916"/>
      <c r="Q35" s="2916"/>
      <c r="R35" s="2916"/>
      <c r="S35" s="132"/>
      <c r="T35" s="441"/>
      <c r="U35" s="441"/>
      <c r="V35" s="441"/>
      <c r="W35" s="441"/>
      <c r="X35" s="441"/>
      <c r="Y35" s="203"/>
      <c r="Z35" s="464"/>
      <c r="AA35" s="134"/>
      <c r="AB35" s="423"/>
      <c r="AC35" s="423">
        <f t="shared" si="7"/>
        <v>1814000000000</v>
      </c>
    </row>
    <row r="36" spans="1:29" s="879" customFormat="1" ht="22.5" customHeight="1" thickBot="1">
      <c r="A36" s="456"/>
      <c r="B36" s="130"/>
      <c r="C36" s="100" t="s">
        <v>3766</v>
      </c>
      <c r="D36" s="390"/>
      <c r="E36" s="101"/>
      <c r="F36" s="816"/>
      <c r="G36" s="598">
        <f>+G37</f>
        <v>328571</v>
      </c>
      <c r="H36" s="598">
        <f>+H37</f>
        <v>328571</v>
      </c>
      <c r="I36" s="424">
        <f t="shared" ref="I36" si="9">G36-H36</f>
        <v>0</v>
      </c>
      <c r="J36" s="1925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194"/>
      <c r="Z36" s="838"/>
      <c r="AA36" s="298"/>
      <c r="AB36" s="423"/>
      <c r="AC36" s="423">
        <f t="shared" si="7"/>
        <v>328571000000</v>
      </c>
    </row>
    <row r="37" spans="1:29" s="815" customFormat="1" ht="22.5" customHeight="1">
      <c r="A37" s="456" t="s">
        <v>1279</v>
      </c>
      <c r="B37" s="197"/>
      <c r="C37" s="198"/>
      <c r="D37" s="4144" t="s">
        <v>3766</v>
      </c>
      <c r="E37" s="4144"/>
      <c r="F37" s="4132"/>
      <c r="G37" s="826">
        <f>+G38</f>
        <v>328571</v>
      </c>
      <c r="H37" s="445">
        <f>+H38</f>
        <v>328571</v>
      </c>
      <c r="I37" s="446">
        <f>G37-H37</f>
        <v>0</v>
      </c>
      <c r="J37" s="1925"/>
      <c r="K37" s="422"/>
      <c r="L37" s="2915"/>
      <c r="M37" s="2915"/>
      <c r="N37" s="2915"/>
      <c r="O37" s="2915"/>
      <c r="P37" s="2915"/>
      <c r="Q37" s="2915"/>
      <c r="R37" s="19"/>
      <c r="S37" s="306"/>
      <c r="T37" s="97"/>
      <c r="U37" s="422"/>
      <c r="V37" s="422"/>
      <c r="W37" s="422"/>
      <c r="X37" s="422"/>
      <c r="Y37" s="461"/>
      <c r="Z37" s="141"/>
      <c r="AA37" s="129"/>
      <c r="AB37" s="423"/>
      <c r="AC37" s="423">
        <f t="shared" si="7"/>
        <v>328571000000</v>
      </c>
    </row>
    <row r="38" spans="1:29" s="815" customFormat="1" ht="22.5" customHeight="1" thickBot="1">
      <c r="A38" s="837"/>
      <c r="B38" s="197"/>
      <c r="C38" s="198"/>
      <c r="D38" s="436"/>
      <c r="E38" s="4142" t="s">
        <v>3767</v>
      </c>
      <c r="F38" s="4143"/>
      <c r="G38" s="842">
        <v>328571</v>
      </c>
      <c r="H38" s="92">
        <v>328571</v>
      </c>
      <c r="I38" s="227"/>
      <c r="J38" s="1925"/>
      <c r="K38" s="441"/>
      <c r="L38" s="2916"/>
      <c r="M38" s="2916"/>
      <c r="N38" s="2916"/>
      <c r="O38" s="2916"/>
      <c r="P38" s="2916"/>
      <c r="Q38" s="2916"/>
      <c r="R38" s="2916"/>
      <c r="S38" s="132"/>
      <c r="T38" s="441"/>
      <c r="U38" s="441"/>
      <c r="V38" s="441"/>
      <c r="W38" s="441"/>
      <c r="X38" s="441"/>
      <c r="Y38" s="203"/>
      <c r="Z38" s="464"/>
      <c r="AA38" s="134"/>
      <c r="AB38" s="423"/>
      <c r="AC38" s="423">
        <f t="shared" si="7"/>
        <v>328571000000</v>
      </c>
    </row>
    <row r="39" spans="1:29" s="1925" customFormat="1" ht="22.5" customHeight="1" thickBot="1">
      <c r="A39" s="456"/>
      <c r="B39" s="130"/>
      <c r="C39" s="100" t="s">
        <v>1359</v>
      </c>
      <c r="D39" s="390"/>
      <c r="E39" s="101"/>
      <c r="F39" s="816"/>
      <c r="G39" s="598">
        <f>+G40</f>
        <v>171429</v>
      </c>
      <c r="H39" s="598">
        <f>+H40</f>
        <v>171429</v>
      </c>
      <c r="I39" s="424">
        <f t="shared" ref="I39" si="10">G39-H39</f>
        <v>0</v>
      </c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194"/>
      <c r="Z39" s="838"/>
      <c r="AA39" s="298"/>
      <c r="AB39" s="423"/>
      <c r="AC39" s="423">
        <f t="shared" ref="AC39:AC41" si="11">G39*1000000</f>
        <v>171429000000</v>
      </c>
    </row>
    <row r="40" spans="1:29" s="815" customFormat="1" ht="22.5" customHeight="1">
      <c r="A40" s="456" t="s">
        <v>1279</v>
      </c>
      <c r="B40" s="197"/>
      <c r="C40" s="198"/>
      <c r="D40" s="4144" t="s">
        <v>1359</v>
      </c>
      <c r="E40" s="4144"/>
      <c r="F40" s="4132"/>
      <c r="G40" s="826">
        <f>+G41</f>
        <v>171429</v>
      </c>
      <c r="H40" s="445">
        <f>+H41</f>
        <v>171429</v>
      </c>
      <c r="I40" s="446">
        <f>G40-H40</f>
        <v>0</v>
      </c>
      <c r="J40" s="1925"/>
      <c r="K40" s="422"/>
      <c r="L40" s="2955"/>
      <c r="M40" s="2955"/>
      <c r="N40" s="2955"/>
      <c r="O40" s="2955"/>
      <c r="P40" s="2955"/>
      <c r="Q40" s="2955"/>
      <c r="R40" s="19"/>
      <c r="S40" s="306"/>
      <c r="T40" s="97"/>
      <c r="U40" s="422"/>
      <c r="V40" s="422"/>
      <c r="W40" s="422"/>
      <c r="X40" s="422"/>
      <c r="Y40" s="461"/>
      <c r="Z40" s="141"/>
      <c r="AA40" s="129"/>
      <c r="AB40" s="423"/>
      <c r="AC40" s="423">
        <f t="shared" si="11"/>
        <v>171429000000</v>
      </c>
    </row>
    <row r="41" spans="1:29" s="815" customFormat="1" ht="22.5" customHeight="1" thickBot="1">
      <c r="A41" s="837"/>
      <c r="B41" s="197"/>
      <c r="C41" s="198"/>
      <c r="D41" s="436"/>
      <c r="E41" s="4142" t="s">
        <v>3768</v>
      </c>
      <c r="F41" s="4143"/>
      <c r="G41" s="842">
        <v>171429</v>
      </c>
      <c r="H41" s="92">
        <v>171429</v>
      </c>
      <c r="I41" s="227"/>
      <c r="J41" s="1925"/>
      <c r="K41" s="441"/>
      <c r="L41" s="2956"/>
      <c r="M41" s="2956"/>
      <c r="N41" s="2956"/>
      <c r="O41" s="2956"/>
      <c r="P41" s="2956"/>
      <c r="Q41" s="2956"/>
      <c r="R41" s="2956"/>
      <c r="S41" s="132"/>
      <c r="T41" s="441"/>
      <c r="U41" s="441"/>
      <c r="V41" s="441"/>
      <c r="W41" s="441"/>
      <c r="X41" s="441"/>
      <c r="Y41" s="203"/>
      <c r="Z41" s="464"/>
      <c r="AA41" s="134"/>
      <c r="AB41" s="423"/>
      <c r="AC41" s="423">
        <f t="shared" si="11"/>
        <v>171429000000</v>
      </c>
    </row>
    <row r="42" spans="1:29" s="879" customFormat="1" ht="22.5" customHeight="1" thickBot="1">
      <c r="A42" s="456"/>
      <c r="B42" s="130"/>
      <c r="C42" s="100" t="s">
        <v>3954</v>
      </c>
      <c r="D42" s="390"/>
      <c r="E42" s="101"/>
      <c r="F42" s="816"/>
      <c r="G42" s="598">
        <f>+G43</f>
        <v>1500000</v>
      </c>
      <c r="H42" s="598">
        <f>+H43</f>
        <v>1500000</v>
      </c>
      <c r="I42" s="424">
        <f t="shared" ref="I42" si="12">G42-H42</f>
        <v>0</v>
      </c>
      <c r="J42" s="1925"/>
      <c r="K42" s="301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194"/>
      <c r="Z42" s="838"/>
      <c r="AA42" s="298"/>
      <c r="AB42" s="423"/>
      <c r="AC42" s="423">
        <f t="shared" si="7"/>
        <v>1500000000000</v>
      </c>
    </row>
    <row r="43" spans="1:29" s="815" customFormat="1" ht="22.5" customHeight="1">
      <c r="A43" s="456" t="s">
        <v>1279</v>
      </c>
      <c r="B43" s="197"/>
      <c r="C43" s="198"/>
      <c r="D43" s="4144" t="s">
        <v>3955</v>
      </c>
      <c r="E43" s="4144"/>
      <c r="F43" s="4132"/>
      <c r="G43" s="826">
        <f>+G44+G45+G46</f>
        <v>1500000</v>
      </c>
      <c r="H43" s="826">
        <f>+H44+H45+H46</f>
        <v>1500000</v>
      </c>
      <c r="I43" s="446">
        <f>G43-H43</f>
        <v>0</v>
      </c>
      <c r="J43" s="1925"/>
      <c r="K43" s="422"/>
      <c r="L43" s="2915"/>
      <c r="M43" s="2915"/>
      <c r="N43" s="2915"/>
      <c r="O43" s="2915"/>
      <c r="P43" s="2915"/>
      <c r="Q43" s="2915"/>
      <c r="R43" s="19"/>
      <c r="S43" s="306"/>
      <c r="T43" s="97"/>
      <c r="U43" s="422"/>
      <c r="V43" s="422"/>
      <c r="W43" s="422"/>
      <c r="X43" s="422"/>
      <c r="Y43" s="461"/>
      <c r="Z43" s="141"/>
      <c r="AA43" s="129"/>
      <c r="AB43" s="423"/>
      <c r="AC43" s="423">
        <f t="shared" si="7"/>
        <v>1500000000000</v>
      </c>
    </row>
    <row r="44" spans="1:29" s="815" customFormat="1" ht="22.5" customHeight="1">
      <c r="A44" s="837"/>
      <c r="B44" s="197"/>
      <c r="C44" s="198"/>
      <c r="D44" s="3006"/>
      <c r="E44" s="4142" t="s">
        <v>3959</v>
      </c>
      <c r="F44" s="4143"/>
      <c r="G44" s="842">
        <v>700000</v>
      </c>
      <c r="H44" s="842">
        <v>700000</v>
      </c>
      <c r="I44" s="227"/>
      <c r="J44" s="1925"/>
      <c r="K44" s="441"/>
      <c r="L44" s="2956"/>
      <c r="M44" s="2956"/>
      <c r="N44" s="2956"/>
      <c r="O44" s="2956"/>
      <c r="P44" s="2956"/>
      <c r="Q44" s="2956"/>
      <c r="R44" s="2956"/>
      <c r="S44" s="132"/>
      <c r="T44" s="441"/>
      <c r="U44" s="441"/>
      <c r="V44" s="441"/>
      <c r="W44" s="441"/>
      <c r="X44" s="441"/>
      <c r="Y44" s="203"/>
      <c r="Z44" s="464"/>
      <c r="AA44" s="134"/>
      <c r="AB44" s="423"/>
      <c r="AC44" s="423">
        <f t="shared" si="7"/>
        <v>700000000000</v>
      </c>
    </row>
    <row r="45" spans="1:29" s="815" customFormat="1" ht="22.5" customHeight="1">
      <c r="A45" s="837"/>
      <c r="B45" s="197"/>
      <c r="C45" s="198"/>
      <c r="D45" s="3006"/>
      <c r="E45" s="4142" t="s">
        <v>3957</v>
      </c>
      <c r="F45" s="4143"/>
      <c r="G45" s="842">
        <v>260000</v>
      </c>
      <c r="H45" s="842">
        <v>260000</v>
      </c>
      <c r="I45" s="227"/>
      <c r="J45" s="1925"/>
      <c r="K45" s="441"/>
      <c r="L45" s="2956"/>
      <c r="M45" s="2956"/>
      <c r="N45" s="2956"/>
      <c r="O45" s="2956"/>
      <c r="P45" s="2956"/>
      <c r="Q45" s="2956"/>
      <c r="R45" s="2956"/>
      <c r="S45" s="132"/>
      <c r="T45" s="441"/>
      <c r="U45" s="441"/>
      <c r="V45" s="441"/>
      <c r="W45" s="441"/>
      <c r="X45" s="441"/>
      <c r="Y45" s="203"/>
      <c r="Z45" s="464"/>
      <c r="AA45" s="134"/>
      <c r="AB45" s="423"/>
      <c r="AC45" s="423">
        <f t="shared" ref="AC45" si="13">G45*1000000</f>
        <v>260000000000</v>
      </c>
    </row>
    <row r="46" spans="1:29" s="815" customFormat="1" ht="22.5" customHeight="1" thickBot="1">
      <c r="A46" s="837"/>
      <c r="B46" s="817"/>
      <c r="C46" s="818"/>
      <c r="D46" s="3007"/>
      <c r="E46" s="4145" t="s">
        <v>3958</v>
      </c>
      <c r="F46" s="4146"/>
      <c r="G46" s="828">
        <v>540000</v>
      </c>
      <c r="H46" s="828">
        <v>540000</v>
      </c>
      <c r="I46" s="829"/>
      <c r="J46" s="1925"/>
      <c r="K46" s="441"/>
      <c r="L46" s="2916"/>
      <c r="M46" s="2916"/>
      <c r="N46" s="2916"/>
      <c r="O46" s="2916"/>
      <c r="P46" s="2916"/>
      <c r="Q46" s="2916"/>
      <c r="R46" s="2916"/>
      <c r="S46" s="132"/>
      <c r="T46" s="441"/>
      <c r="U46" s="441"/>
      <c r="V46" s="441"/>
      <c r="W46" s="441"/>
      <c r="X46" s="441"/>
      <c r="Y46" s="203"/>
      <c r="Z46" s="464"/>
      <c r="AA46" s="134"/>
      <c r="AB46" s="423"/>
      <c r="AC46" s="423">
        <f t="shared" si="7"/>
        <v>540000000000</v>
      </c>
    </row>
    <row r="47" spans="1:29" hidden="1"/>
    <row r="48" spans="1:2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101" hidden="1"/>
    <row r="102" hidden="1"/>
    <row r="103" hidden="1"/>
    <row r="104" hidden="1"/>
    <row r="105" hidden="1"/>
    <row r="106" hidden="1"/>
    <row r="107" hidden="1"/>
    <row r="108" hidden="1"/>
    <row r="650" spans="7:7">
      <c r="G650" s="182"/>
    </row>
    <row r="663" spans="7:7">
      <c r="G663" s="182"/>
    </row>
  </sheetData>
  <mergeCells count="35">
    <mergeCell ref="D26:F26"/>
    <mergeCell ref="E27:F27"/>
    <mergeCell ref="E38:F38"/>
    <mergeCell ref="D43:F43"/>
    <mergeCell ref="E46:F46"/>
    <mergeCell ref="D30:F30"/>
    <mergeCell ref="E31:F31"/>
    <mergeCell ref="D34:F34"/>
    <mergeCell ref="E35:F35"/>
    <mergeCell ref="D37:F37"/>
    <mergeCell ref="D40:F40"/>
    <mergeCell ref="E41:F41"/>
    <mergeCell ref="E45:F45"/>
    <mergeCell ref="E44:F44"/>
    <mergeCell ref="E25:F25"/>
    <mergeCell ref="D8:F8"/>
    <mergeCell ref="E9:F9"/>
    <mergeCell ref="E10:F10"/>
    <mergeCell ref="D11:F11"/>
    <mergeCell ref="D15:F15"/>
    <mergeCell ref="E16:F16"/>
    <mergeCell ref="E17:F17"/>
    <mergeCell ref="E20:F20"/>
    <mergeCell ref="E22:F22"/>
    <mergeCell ref="E24:F24"/>
    <mergeCell ref="D21:F21"/>
    <mergeCell ref="E23:F23"/>
    <mergeCell ref="E18:F18"/>
    <mergeCell ref="E19:F19"/>
    <mergeCell ref="B1:Z1"/>
    <mergeCell ref="B3:F3"/>
    <mergeCell ref="G3:G4"/>
    <mergeCell ref="H3:H4"/>
    <mergeCell ref="I3:I4"/>
    <mergeCell ref="K3:Z4"/>
  </mergeCells>
  <phoneticPr fontId="15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48" firstPageNumber="12" orientation="landscape" useFirstPageNumber="1" r:id="rId1"/>
  <headerFooter scaleWithDoc="0" alignWithMargins="0"/>
  <rowBreaks count="2" manualBreakCount="2">
    <brk id="10" min="1" max="8" man="1"/>
    <brk id="25" min="1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59"/>
  <sheetViews>
    <sheetView view="pageBreakPreview" topLeftCell="B1" zoomScale="70" zoomScaleNormal="75" zoomScaleSheetLayoutView="70" workbookViewId="0">
      <pane ySplit="4" topLeftCell="A162" activePane="bottomLeft" state="frozen"/>
      <selection activeCell="F663" sqref="F663:G663"/>
      <selection pane="bottomLeft" activeCell="P167" sqref="A167:P167"/>
    </sheetView>
  </sheetViews>
  <sheetFormatPr defaultRowHeight="18.75"/>
  <cols>
    <col min="1" max="1" width="17" style="831" hidden="1" customWidth="1"/>
    <col min="2" max="5" width="6.77734375" style="182" customWidth="1"/>
    <col min="6" max="6" width="25.77734375" style="182" customWidth="1"/>
    <col min="7" max="7" width="14" style="827" customWidth="1"/>
    <col min="8" max="8" width="14" style="259" customWidth="1"/>
    <col min="9" max="9" width="14" style="199" customWidth="1"/>
    <col min="10" max="10" width="1.5546875" style="184" customWidth="1"/>
    <col min="11" max="11" width="2.88671875" style="185" customWidth="1"/>
    <col min="12" max="12" width="1.88671875" style="182" customWidth="1"/>
    <col min="13" max="13" width="8.77734375" style="182" customWidth="1"/>
    <col min="14" max="14" width="10.33203125" style="182" customWidth="1"/>
    <col min="15" max="15" width="7.5546875" style="182" customWidth="1"/>
    <col min="16" max="16" width="11.109375" style="186" customWidth="1"/>
    <col min="17" max="17" width="10.109375" style="186" customWidth="1"/>
    <col min="18" max="18" width="7.77734375" style="182" customWidth="1"/>
    <col min="19" max="19" width="6.77734375" style="182" customWidth="1"/>
    <col min="20" max="20" width="14.77734375" style="182" customWidth="1"/>
    <col min="21" max="22" width="6.88671875" style="182" customWidth="1"/>
    <col min="23" max="23" width="8.33203125" style="182" customWidth="1"/>
    <col min="24" max="24" width="6.77734375" style="182" customWidth="1"/>
    <col min="25" max="25" width="3" style="230" customWidth="1"/>
    <col min="26" max="26" width="14.77734375" style="819" customWidth="1"/>
    <col min="27" max="27" width="17.44140625" style="179" customWidth="1"/>
    <col min="28" max="28" width="19.109375" style="179" bestFit="1" customWidth="1"/>
    <col min="29" max="29" width="20.5546875" style="202" customWidth="1"/>
    <col min="30" max="31" width="16.109375" style="188" customWidth="1"/>
    <col min="32" max="16384" width="8.88671875" style="188"/>
  </cols>
  <sheetData>
    <row r="1" spans="1:30" ht="21.95" customHeight="1">
      <c r="B1" s="3884" t="s">
        <v>6121</v>
      </c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4"/>
      <c r="U1" s="3884"/>
      <c r="V1" s="3884"/>
      <c r="W1" s="3884"/>
      <c r="X1" s="3884"/>
      <c r="Y1" s="3884"/>
      <c r="Z1" s="3884"/>
      <c r="AA1" s="2196"/>
      <c r="AB1" s="189"/>
    </row>
    <row r="2" spans="1:30" s="128" customFormat="1" ht="21.95" customHeight="1" thickBot="1">
      <c r="A2" s="229"/>
      <c r="B2" s="1313"/>
      <c r="C2" s="1313"/>
      <c r="D2" s="1313"/>
      <c r="E2" s="1313" t="s">
        <v>378</v>
      </c>
      <c r="F2" s="840"/>
      <c r="G2" s="840"/>
      <c r="H2" s="2165"/>
      <c r="I2" s="1881" t="s">
        <v>194</v>
      </c>
      <c r="J2" s="2082"/>
      <c r="K2" s="1313" t="s">
        <v>378</v>
      </c>
      <c r="L2" s="1283" t="s">
        <v>378</v>
      </c>
      <c r="M2" s="1313"/>
      <c r="N2" s="508"/>
      <c r="O2" s="308"/>
      <c r="P2" s="2198"/>
      <c r="Q2" s="2198"/>
      <c r="R2" s="2199"/>
      <c r="S2" s="2199"/>
      <c r="T2" s="2199"/>
      <c r="U2" s="2199"/>
      <c r="V2" s="2199"/>
      <c r="W2" s="2199"/>
      <c r="X2" s="2199"/>
      <c r="Y2" s="2200"/>
      <c r="Z2" s="1881" t="s">
        <v>172</v>
      </c>
      <c r="AA2" s="308"/>
      <c r="AB2" s="427"/>
      <c r="AC2" s="427"/>
    </row>
    <row r="3" spans="1:30" s="191" customFormat="1" ht="21.95" customHeight="1">
      <c r="A3" s="830" t="s">
        <v>1340</v>
      </c>
      <c r="B3" s="3885" t="s">
        <v>218</v>
      </c>
      <c r="C3" s="3886"/>
      <c r="D3" s="3886"/>
      <c r="E3" s="3886"/>
      <c r="F3" s="3887"/>
      <c r="G3" s="3809" t="s">
        <v>174</v>
      </c>
      <c r="H3" s="3960" t="s">
        <v>1077</v>
      </c>
      <c r="I3" s="3933" t="s">
        <v>219</v>
      </c>
      <c r="J3" s="557"/>
      <c r="K3" s="3890" t="s">
        <v>220</v>
      </c>
      <c r="L3" s="3891"/>
      <c r="M3" s="3891"/>
      <c r="N3" s="3891"/>
      <c r="O3" s="3891"/>
      <c r="P3" s="3891"/>
      <c r="Q3" s="3891"/>
      <c r="R3" s="3891"/>
      <c r="S3" s="3891"/>
      <c r="T3" s="3891"/>
      <c r="U3" s="3891"/>
      <c r="V3" s="3891"/>
      <c r="W3" s="3891"/>
      <c r="X3" s="3891"/>
      <c r="Y3" s="3891"/>
      <c r="Z3" s="3892"/>
      <c r="AA3" s="2201"/>
      <c r="AB3" s="427"/>
      <c r="AC3" s="434"/>
    </row>
    <row r="4" spans="1:30" s="192" customFormat="1" ht="21.95" customHeight="1" thickBot="1">
      <c r="A4" s="832"/>
      <c r="B4" s="540" t="s">
        <v>12</v>
      </c>
      <c r="C4" s="1910" t="s">
        <v>1565</v>
      </c>
      <c r="D4" s="2954" t="s">
        <v>1566</v>
      </c>
      <c r="E4" s="2954" t="s">
        <v>235</v>
      </c>
      <c r="F4" s="2954" t="s">
        <v>49</v>
      </c>
      <c r="G4" s="4122"/>
      <c r="H4" s="4152"/>
      <c r="I4" s="4153"/>
      <c r="J4" s="557"/>
      <c r="K4" s="3893"/>
      <c r="L4" s="3894"/>
      <c r="M4" s="3894"/>
      <c r="N4" s="3894"/>
      <c r="O4" s="3894"/>
      <c r="P4" s="3894"/>
      <c r="Q4" s="3894"/>
      <c r="R4" s="3894"/>
      <c r="S4" s="3894"/>
      <c r="T4" s="3894"/>
      <c r="U4" s="3894"/>
      <c r="V4" s="3894"/>
      <c r="W4" s="3894"/>
      <c r="X4" s="3894"/>
      <c r="Y4" s="3894"/>
      <c r="Z4" s="3895"/>
      <c r="AA4" s="1882"/>
      <c r="AB4" s="427"/>
      <c r="AC4" s="434"/>
    </row>
    <row r="5" spans="1:30" s="192" customFormat="1" ht="21.95" customHeight="1" thickBot="1">
      <c r="A5" s="832"/>
      <c r="B5" s="574" t="s">
        <v>1362</v>
      </c>
      <c r="C5" s="2314"/>
      <c r="D5" s="2314"/>
      <c r="E5" s="2314"/>
      <c r="F5" s="2314"/>
      <c r="G5" s="846">
        <f>+G6+G130+G188</f>
        <v>5074000</v>
      </c>
      <c r="H5" s="1843">
        <f>+H6+H130+H188</f>
        <v>5074000</v>
      </c>
      <c r="I5" s="847">
        <f>+I6+I130+I188</f>
        <v>0</v>
      </c>
      <c r="J5" s="557"/>
      <c r="K5" s="2942"/>
      <c r="L5" s="2943"/>
      <c r="M5" s="2943"/>
      <c r="N5" s="2943"/>
      <c r="O5" s="2943"/>
      <c r="P5" s="2943"/>
      <c r="Q5" s="2943"/>
      <c r="R5" s="2943"/>
      <c r="S5" s="2943"/>
      <c r="T5" s="2943"/>
      <c r="U5" s="2943"/>
      <c r="V5" s="2943"/>
      <c r="W5" s="2943"/>
      <c r="X5" s="2943"/>
      <c r="Y5" s="2943"/>
      <c r="Z5" s="2944"/>
      <c r="AA5" s="1882"/>
      <c r="AB5" s="427"/>
      <c r="AC5" s="434"/>
    </row>
    <row r="6" spans="1:30" s="192" customFormat="1" ht="21.95" customHeight="1" thickBot="1">
      <c r="A6" s="832"/>
      <c r="B6" s="574" t="s">
        <v>1341</v>
      </c>
      <c r="C6" s="2314"/>
      <c r="D6" s="2314"/>
      <c r="E6" s="2314"/>
      <c r="F6" s="2314"/>
      <c r="G6" s="822">
        <f>+G7</f>
        <v>910000</v>
      </c>
      <c r="H6" s="1844">
        <f t="shared" ref="H6:I6" si="0">+H7</f>
        <v>910000</v>
      </c>
      <c r="I6" s="573">
        <f t="shared" si="0"/>
        <v>0</v>
      </c>
      <c r="J6" s="557"/>
      <c r="K6" s="2204"/>
      <c r="L6" s="2205"/>
      <c r="M6" s="2205"/>
      <c r="N6" s="2205"/>
      <c r="O6" s="2205"/>
      <c r="P6" s="2205"/>
      <c r="Q6" s="2205"/>
      <c r="R6" s="2205"/>
      <c r="S6" s="2205"/>
      <c r="T6" s="2205"/>
      <c r="U6" s="2205"/>
      <c r="V6" s="2205"/>
      <c r="W6" s="2205"/>
      <c r="X6" s="2205"/>
      <c r="Y6" s="2205"/>
      <c r="Z6" s="2656"/>
      <c r="AA6" s="2207"/>
      <c r="AB6" s="427"/>
      <c r="AC6" s="423"/>
    </row>
    <row r="7" spans="1:30" s="3059" customFormat="1" ht="21.95" customHeight="1">
      <c r="A7" s="3057"/>
      <c r="B7" s="1879"/>
      <c r="C7" s="3031" t="s">
        <v>1496</v>
      </c>
      <c r="D7" s="581"/>
      <c r="E7" s="581"/>
      <c r="F7" s="3062"/>
      <c r="G7" s="3071">
        <f>SUM(G8+G49+G69+G111+G127)</f>
        <v>910000</v>
      </c>
      <c r="H7" s="3063">
        <f>SUM(H8+H49+H69+H111+H127)</f>
        <v>910000</v>
      </c>
      <c r="I7" s="529">
        <f t="shared" ref="I7:I9" si="1">G7-H7</f>
        <v>0</v>
      </c>
      <c r="J7" s="557"/>
      <c r="K7" s="3106"/>
      <c r="L7" s="3107"/>
      <c r="M7" s="3107"/>
      <c r="N7" s="3064"/>
      <c r="O7" s="3098"/>
      <c r="P7" s="3107"/>
      <c r="Q7" s="3107"/>
      <c r="R7" s="3033"/>
      <c r="S7" s="3107"/>
      <c r="T7" s="3107"/>
      <c r="U7" s="3107"/>
      <c r="V7" s="3107"/>
      <c r="W7" s="3107"/>
      <c r="X7" s="3107"/>
      <c r="Y7" s="3107"/>
      <c r="Z7" s="3110"/>
      <c r="AA7" s="583"/>
      <c r="AB7" s="547"/>
      <c r="AC7" s="547"/>
    </row>
    <row r="8" spans="1:30" s="1653" customFormat="1" ht="21.95" customHeight="1">
      <c r="A8" s="456" t="s">
        <v>1279</v>
      </c>
      <c r="B8" s="2437"/>
      <c r="C8" s="2752"/>
      <c r="D8" s="2933" t="s">
        <v>1343</v>
      </c>
      <c r="E8" s="2945"/>
      <c r="F8" s="1586" t="s">
        <v>20</v>
      </c>
      <c r="G8" s="2753">
        <f>G21+G9</f>
        <v>353500</v>
      </c>
      <c r="H8" s="1527">
        <f>H21+H9</f>
        <v>353500</v>
      </c>
      <c r="I8" s="529">
        <f t="shared" si="1"/>
        <v>0</v>
      </c>
      <c r="J8" s="557"/>
      <c r="K8" s="1342"/>
      <c r="L8" s="510"/>
      <c r="M8" s="510"/>
      <c r="N8" s="510"/>
      <c r="O8" s="617"/>
      <c r="P8" s="510"/>
      <c r="Q8" s="510"/>
      <c r="R8" s="507"/>
      <c r="S8" s="510"/>
      <c r="T8" s="510"/>
      <c r="U8" s="510"/>
      <c r="V8" s="510"/>
      <c r="W8" s="510"/>
      <c r="X8" s="510"/>
      <c r="Y8" s="510"/>
      <c r="Z8" s="478"/>
      <c r="AA8" s="595"/>
      <c r="AB8" s="423"/>
      <c r="AC8" s="423"/>
      <c r="AD8" s="1680"/>
    </row>
    <row r="9" spans="1:30" s="1653" customFormat="1" ht="21.95" customHeight="1">
      <c r="A9" s="456"/>
      <c r="B9" s="2754"/>
      <c r="C9" s="2755"/>
      <c r="D9" s="564"/>
      <c r="E9" s="1376" t="s">
        <v>65</v>
      </c>
      <c r="F9" s="1586"/>
      <c r="G9" s="2753">
        <f>SUM(G10:G20)</f>
        <v>277080</v>
      </c>
      <c r="H9" s="1527">
        <f>SUM(H10:H20)</f>
        <v>277080</v>
      </c>
      <c r="I9" s="529">
        <f t="shared" si="1"/>
        <v>0</v>
      </c>
      <c r="J9" s="626">
        <f>H9-I9</f>
        <v>277080</v>
      </c>
      <c r="K9" s="1342"/>
      <c r="L9" s="510"/>
      <c r="M9" s="510"/>
      <c r="N9" s="510"/>
      <c r="O9" s="617"/>
      <c r="P9" s="510"/>
      <c r="Q9" s="510"/>
      <c r="R9" s="507"/>
      <c r="S9" s="510"/>
      <c r="T9" s="510"/>
      <c r="U9" s="510"/>
      <c r="V9" s="510"/>
      <c r="W9" s="510"/>
      <c r="X9" s="510"/>
      <c r="Y9" s="510"/>
      <c r="Z9" s="478"/>
      <c r="AA9" s="595"/>
      <c r="AB9" s="423"/>
      <c r="AC9" s="423"/>
      <c r="AD9" s="1680"/>
    </row>
    <row r="10" spans="1:30" s="809" customFormat="1" ht="21.95" customHeight="1">
      <c r="A10" s="808"/>
      <c r="B10" s="2754"/>
      <c r="C10" s="2755"/>
      <c r="D10" s="564"/>
      <c r="E10" s="1319"/>
      <c r="F10" s="1319" t="s">
        <v>602</v>
      </c>
      <c r="G10" s="2756">
        <v>232080</v>
      </c>
      <c r="H10" s="3312">
        <v>232080</v>
      </c>
      <c r="I10" s="1320"/>
      <c r="J10" s="2757"/>
      <c r="K10" s="3106" t="s">
        <v>4517</v>
      </c>
      <c r="L10" s="3107"/>
      <c r="M10" s="2758"/>
      <c r="N10" s="3107"/>
      <c r="O10" s="3108"/>
      <c r="P10" s="3108"/>
      <c r="Q10" s="3107"/>
      <c r="R10" s="3109"/>
      <c r="S10" s="3107"/>
      <c r="T10" s="3107"/>
      <c r="U10" s="3107"/>
      <c r="V10" s="3107"/>
      <c r="W10" s="3107"/>
      <c r="X10" s="3107"/>
      <c r="Y10" s="3107"/>
      <c r="Z10" s="3110">
        <f>SUM(Z12:Z16)</f>
        <v>232080000</v>
      </c>
      <c r="AA10" s="3110">
        <f>SUM(AA12:AA16)</f>
        <v>0</v>
      </c>
      <c r="AB10" s="810"/>
      <c r="AC10" s="810"/>
    </row>
    <row r="11" spans="1:30" s="1653" customFormat="1" ht="21.95" customHeight="1">
      <c r="A11" s="456"/>
      <c r="B11" s="2754"/>
      <c r="C11" s="2755"/>
      <c r="D11" s="564"/>
      <c r="E11" s="624"/>
      <c r="F11" s="624"/>
      <c r="G11" s="1917"/>
      <c r="H11" s="1445"/>
      <c r="I11" s="551"/>
      <c r="J11" s="626"/>
      <c r="K11" s="3706" t="s">
        <v>744</v>
      </c>
      <c r="L11" s="3107"/>
      <c r="M11" s="3107"/>
      <c r="N11" s="3253"/>
      <c r="O11" s="2345"/>
      <c r="P11" s="3107"/>
      <c r="Q11" s="3107"/>
      <c r="R11" s="3109"/>
      <c r="S11" s="3107"/>
      <c r="T11" s="3108"/>
      <c r="U11" s="3107"/>
      <c r="V11" s="3107"/>
      <c r="W11" s="3107"/>
      <c r="X11" s="3107"/>
      <c r="Y11" s="3107"/>
      <c r="Z11" s="3110"/>
      <c r="AA11" s="555"/>
      <c r="AB11" s="423"/>
      <c r="AC11" s="423"/>
      <c r="AD11" s="1680"/>
    </row>
    <row r="12" spans="1:30" s="1653" customFormat="1" ht="21.95" customHeight="1">
      <c r="A12" s="456"/>
      <c r="B12" s="2754"/>
      <c r="C12" s="2755"/>
      <c r="D12" s="564"/>
      <c r="E12" s="624"/>
      <c r="F12" s="624"/>
      <c r="G12" s="1917"/>
      <c r="H12" s="1445"/>
      <c r="I12" s="551"/>
      <c r="J12" s="626"/>
      <c r="K12" s="3106"/>
      <c r="L12" s="3107" t="s">
        <v>6170</v>
      </c>
      <c r="M12" s="3107"/>
      <c r="N12" s="3253"/>
      <c r="O12" s="2345"/>
      <c r="P12" s="3107"/>
      <c r="Q12" s="3107"/>
      <c r="R12" s="3109">
        <v>4</v>
      </c>
      <c r="S12" s="3107" t="s">
        <v>4483</v>
      </c>
      <c r="T12" s="3108">
        <v>4210000</v>
      </c>
      <c r="U12" s="3107" t="s">
        <v>4457</v>
      </c>
      <c r="V12" s="3107"/>
      <c r="W12" s="3107">
        <v>12</v>
      </c>
      <c r="X12" s="3107" t="s">
        <v>4446</v>
      </c>
      <c r="Y12" s="3107" t="s">
        <v>4443</v>
      </c>
      <c r="Z12" s="3110">
        <f>R12*T12*W12</f>
        <v>202080000</v>
      </c>
      <c r="AA12" s="3110"/>
      <c r="AB12" s="423"/>
      <c r="AC12" s="423"/>
      <c r="AD12" s="1680"/>
    </row>
    <row r="13" spans="1:30" s="809" customFormat="1" ht="21.95" customHeight="1">
      <c r="A13" s="808"/>
      <c r="B13" s="2754"/>
      <c r="C13" s="2755"/>
      <c r="D13" s="564"/>
      <c r="E13" s="624"/>
      <c r="F13" s="624"/>
      <c r="G13" s="1917"/>
      <c r="H13" s="1445"/>
      <c r="I13" s="3310"/>
      <c r="J13" s="2757"/>
      <c r="K13" s="1312" t="s">
        <v>6171</v>
      </c>
      <c r="L13" s="3107"/>
      <c r="M13" s="3107"/>
      <c r="N13" s="3253"/>
      <c r="O13" s="2345"/>
      <c r="P13" s="3107"/>
      <c r="Q13" s="3107"/>
      <c r="R13" s="3109"/>
      <c r="S13" s="3107"/>
      <c r="T13" s="3108"/>
      <c r="U13" s="3107"/>
      <c r="V13" s="3107"/>
      <c r="W13" s="3107"/>
      <c r="X13" s="3107"/>
      <c r="Y13" s="3107"/>
      <c r="Z13" s="3110"/>
      <c r="AA13" s="2699">
        <f>R13*T13</f>
        <v>0</v>
      </c>
      <c r="AB13" s="810"/>
      <c r="AC13" s="810"/>
    </row>
    <row r="14" spans="1:30" s="1653" customFormat="1" ht="21.95" customHeight="1">
      <c r="A14" s="456"/>
      <c r="B14" s="2754"/>
      <c r="C14" s="2755"/>
      <c r="D14" s="564"/>
      <c r="E14" s="624"/>
      <c r="F14" s="624"/>
      <c r="G14" s="1917"/>
      <c r="H14" s="941"/>
      <c r="I14" s="551"/>
      <c r="J14" s="626">
        <f>H14-I14</f>
        <v>0</v>
      </c>
      <c r="K14" s="3106"/>
      <c r="L14" s="3107" t="s">
        <v>6170</v>
      </c>
      <c r="M14" s="3107"/>
      <c r="N14" s="3253"/>
      <c r="O14" s="2345"/>
      <c r="P14" s="3107"/>
      <c r="Q14" s="3107"/>
      <c r="R14" s="3109">
        <v>4</v>
      </c>
      <c r="S14" s="3107" t="s">
        <v>4483</v>
      </c>
      <c r="T14" s="3108">
        <v>500000</v>
      </c>
      <c r="U14" s="3107" t="s">
        <v>4457</v>
      </c>
      <c r="V14" s="3107"/>
      <c r="W14" s="3107">
        <v>12</v>
      </c>
      <c r="X14" s="3107" t="s">
        <v>4446</v>
      </c>
      <c r="Y14" s="3107" t="s">
        <v>4443</v>
      </c>
      <c r="Z14" s="3110">
        <f>R14*T14*W14</f>
        <v>24000000</v>
      </c>
      <c r="AA14" s="595"/>
      <c r="AB14" s="423"/>
      <c r="AC14" s="423"/>
      <c r="AD14" s="1680"/>
    </row>
    <row r="15" spans="1:30" s="809" customFormat="1" ht="21.95" customHeight="1">
      <c r="A15" s="808"/>
      <c r="B15" s="2754"/>
      <c r="C15" s="2755"/>
      <c r="D15" s="564"/>
      <c r="E15" s="624"/>
      <c r="F15" s="624"/>
      <c r="G15" s="1917"/>
      <c r="H15" s="679"/>
      <c r="I15" s="3310"/>
      <c r="J15" s="2698"/>
      <c r="K15" s="1312" t="s">
        <v>6172</v>
      </c>
      <c r="L15" s="3107"/>
      <c r="M15" s="3107"/>
      <c r="N15" s="3253"/>
      <c r="O15" s="2345"/>
      <c r="P15" s="3107"/>
      <c r="Q15" s="3107"/>
      <c r="R15" s="3109"/>
      <c r="S15" s="3107"/>
      <c r="T15" s="3108"/>
      <c r="U15" s="3107"/>
      <c r="V15" s="3107"/>
      <c r="W15" s="3107"/>
      <c r="X15" s="3107"/>
      <c r="Y15" s="3107"/>
      <c r="Z15" s="3110"/>
      <c r="AA15" s="2699"/>
      <c r="AB15" s="810"/>
      <c r="AC15" s="810"/>
    </row>
    <row r="16" spans="1:30" s="809" customFormat="1" ht="21.95" customHeight="1">
      <c r="A16" s="808"/>
      <c r="B16" s="2754"/>
      <c r="C16" s="2755"/>
      <c r="D16" s="564"/>
      <c r="E16" s="624"/>
      <c r="F16" s="624"/>
      <c r="G16" s="1917"/>
      <c r="H16" s="679"/>
      <c r="I16" s="3310"/>
      <c r="J16" s="2698"/>
      <c r="K16" s="3106"/>
      <c r="L16" s="3107" t="s">
        <v>6170</v>
      </c>
      <c r="M16" s="3107"/>
      <c r="N16" s="3253"/>
      <c r="O16" s="2345"/>
      <c r="P16" s="3107"/>
      <c r="Q16" s="3107"/>
      <c r="R16" s="3109">
        <v>4</v>
      </c>
      <c r="S16" s="3107" t="s">
        <v>4483</v>
      </c>
      <c r="T16" s="3108">
        <v>1500000</v>
      </c>
      <c r="U16" s="3107" t="s">
        <v>4457</v>
      </c>
      <c r="V16" s="3107"/>
      <c r="W16" s="3107">
        <v>1</v>
      </c>
      <c r="X16" s="3107" t="s">
        <v>4431</v>
      </c>
      <c r="Y16" s="3107" t="s">
        <v>4443</v>
      </c>
      <c r="Z16" s="3110">
        <f>R16*T16</f>
        <v>6000000</v>
      </c>
      <c r="AA16" s="2699"/>
      <c r="AB16" s="810"/>
      <c r="AC16" s="810"/>
    </row>
    <row r="17" spans="1:30" s="1653" customFormat="1" ht="21.95" customHeight="1">
      <c r="A17" s="456"/>
      <c r="B17" s="2754"/>
      <c r="C17" s="2755"/>
      <c r="D17" s="564"/>
      <c r="E17" s="624"/>
      <c r="F17" s="624" t="s">
        <v>1491</v>
      </c>
      <c r="G17" s="1917">
        <v>18800</v>
      </c>
      <c r="H17" s="1523">
        <v>18800</v>
      </c>
      <c r="I17" s="551"/>
      <c r="J17" s="557"/>
      <c r="K17" s="3106" t="s">
        <v>4518</v>
      </c>
      <c r="L17" s="3107"/>
      <c r="M17" s="3107"/>
      <c r="N17" s="3107"/>
      <c r="O17" s="3108"/>
      <c r="P17" s="3108"/>
      <c r="Q17" s="3107"/>
      <c r="R17" s="3109"/>
      <c r="S17" s="3107"/>
      <c r="T17" s="3108">
        <f>Z10-Z16</f>
        <v>226080000</v>
      </c>
      <c r="U17" s="3107" t="s">
        <v>4519</v>
      </c>
      <c r="V17" s="3107">
        <v>12</v>
      </c>
      <c r="W17" s="3107" t="s">
        <v>4520</v>
      </c>
      <c r="X17" s="3286">
        <v>1</v>
      </c>
      <c r="Y17" s="3107" t="s">
        <v>4443</v>
      </c>
      <c r="Z17" s="3110">
        <f>ROUNDDOWN((T17/V17*X17),-5)</f>
        <v>18800000</v>
      </c>
      <c r="AA17" s="555"/>
      <c r="AB17" s="423"/>
      <c r="AC17" s="423"/>
      <c r="AD17" s="1680"/>
    </row>
    <row r="18" spans="1:30" s="1653" customFormat="1" ht="21.95" customHeight="1">
      <c r="A18" s="456"/>
      <c r="B18" s="2754"/>
      <c r="C18" s="2755"/>
      <c r="D18" s="564"/>
      <c r="E18" s="624"/>
      <c r="F18" s="624" t="s">
        <v>718</v>
      </c>
      <c r="G18" s="1917">
        <v>26200</v>
      </c>
      <c r="H18" s="1523">
        <v>26200</v>
      </c>
      <c r="I18" s="551"/>
      <c r="J18" s="557"/>
      <c r="K18" s="3106" t="s">
        <v>4517</v>
      </c>
      <c r="L18" s="3107"/>
      <c r="M18" s="3107"/>
      <c r="N18" s="3107"/>
      <c r="O18" s="3108"/>
      <c r="P18" s="3108"/>
      <c r="Q18" s="3107"/>
      <c r="R18" s="3109"/>
      <c r="S18" s="3107"/>
      <c r="T18" s="3107"/>
      <c r="U18" s="3107"/>
      <c r="V18" s="3107"/>
      <c r="W18" s="3107"/>
      <c r="X18" s="3107"/>
      <c r="Y18" s="3107"/>
      <c r="Z18" s="3110">
        <f>ROUNDUP(SUM(Z19:Z20),-5)</f>
        <v>26200000</v>
      </c>
      <c r="AA18" s="555"/>
      <c r="AB18" s="423"/>
      <c r="AC18" s="423"/>
      <c r="AD18" s="1680"/>
    </row>
    <row r="19" spans="1:30" s="809" customFormat="1" ht="21.95" customHeight="1">
      <c r="A19" s="808"/>
      <c r="B19" s="2754"/>
      <c r="C19" s="2755"/>
      <c r="D19" s="564"/>
      <c r="E19" s="624"/>
      <c r="F19" s="624"/>
      <c r="G19" s="1917"/>
      <c r="H19" s="679"/>
      <c r="I19" s="3310"/>
      <c r="J19" s="2698"/>
      <c r="K19" s="3106" t="s">
        <v>5756</v>
      </c>
      <c r="L19" s="3107"/>
      <c r="M19" s="3107"/>
      <c r="N19" s="3107"/>
      <c r="O19" s="3108"/>
      <c r="P19" s="3107"/>
      <c r="Q19" s="3107"/>
      <c r="R19" s="3109"/>
      <c r="S19" s="3107"/>
      <c r="T19" s="3108">
        <f>T17</f>
        <v>226080000</v>
      </c>
      <c r="U19" s="3107" t="s">
        <v>4457</v>
      </c>
      <c r="V19" s="3107"/>
      <c r="W19" s="2324">
        <v>9.8000000000000004E-2</v>
      </c>
      <c r="X19" s="3107"/>
      <c r="Y19" s="3107" t="s">
        <v>4443</v>
      </c>
      <c r="Z19" s="3110">
        <f>ROUNDDOWN(T19*W19,-4)</f>
        <v>22150000</v>
      </c>
      <c r="AA19" s="2699"/>
      <c r="AB19" s="810"/>
      <c r="AC19" s="1697"/>
    </row>
    <row r="20" spans="1:30" s="1653" customFormat="1" ht="21.95" customHeight="1">
      <c r="A20" s="456"/>
      <c r="B20" s="2754"/>
      <c r="C20" s="2755"/>
      <c r="D20" s="564"/>
      <c r="E20" s="1331"/>
      <c r="F20" s="1586"/>
      <c r="G20" s="3313"/>
      <c r="H20" s="2041"/>
      <c r="I20" s="1332"/>
      <c r="J20" s="557"/>
      <c r="K20" s="3106" t="s">
        <v>5757</v>
      </c>
      <c r="L20" s="3107"/>
      <c r="M20" s="3107"/>
      <c r="N20" s="3107"/>
      <c r="O20" s="3108"/>
      <c r="P20" s="3108"/>
      <c r="Q20" s="3107"/>
      <c r="R20" s="3109"/>
      <c r="S20" s="3107"/>
      <c r="T20" s="3108">
        <v>1000000</v>
      </c>
      <c r="U20" s="3107" t="s">
        <v>4457</v>
      </c>
      <c r="V20" s="3107"/>
      <c r="W20" s="3308">
        <v>4</v>
      </c>
      <c r="X20" s="3107" t="s">
        <v>4482</v>
      </c>
      <c r="Y20" s="3107" t="s">
        <v>4443</v>
      </c>
      <c r="Z20" s="3110">
        <f>ROUNDUP(T20*W20,-4)</f>
        <v>4000000</v>
      </c>
      <c r="AA20" s="555"/>
      <c r="AB20" s="423"/>
      <c r="AC20" s="423"/>
      <c r="AD20" s="1680"/>
    </row>
    <row r="21" spans="1:30" s="809" customFormat="1" ht="21.95" customHeight="1">
      <c r="A21" s="808"/>
      <c r="B21" s="2754"/>
      <c r="C21" s="2755"/>
      <c r="D21" s="564"/>
      <c r="E21" s="1386" t="s">
        <v>1497</v>
      </c>
      <c r="F21" s="2710"/>
      <c r="G21" s="2759">
        <f>SUM(G22:G48)</f>
        <v>76420</v>
      </c>
      <c r="H21" s="2760">
        <f>SUM(H22:H48)</f>
        <v>76420</v>
      </c>
      <c r="I21" s="529">
        <f t="shared" ref="I21" si="2">G21-H21</f>
        <v>0</v>
      </c>
      <c r="J21" s="2698"/>
      <c r="K21" s="1348"/>
      <c r="L21" s="621"/>
      <c r="M21" s="621"/>
      <c r="N21" s="621"/>
      <c r="O21" s="545"/>
      <c r="P21" s="545"/>
      <c r="Q21" s="621"/>
      <c r="R21" s="1349"/>
      <c r="S21" s="621"/>
      <c r="T21" s="621"/>
      <c r="U21" s="621"/>
      <c r="V21" s="621"/>
      <c r="W21" s="621"/>
      <c r="X21" s="621"/>
      <c r="Y21" s="621"/>
      <c r="Z21" s="517" t="s">
        <v>48</v>
      </c>
      <c r="AA21" s="2699"/>
      <c r="AB21" s="810"/>
      <c r="AC21" s="810"/>
    </row>
    <row r="22" spans="1:30" s="1653" customFormat="1" ht="21.95" customHeight="1">
      <c r="A22" s="456"/>
      <c r="B22" s="2754"/>
      <c r="C22" s="2755"/>
      <c r="D22" s="564"/>
      <c r="E22" s="1319"/>
      <c r="F22" s="624" t="s">
        <v>916</v>
      </c>
      <c r="G22" s="1917">
        <f>Z22</f>
        <v>400</v>
      </c>
      <c r="H22" s="2756">
        <v>400</v>
      </c>
      <c r="I22" s="551"/>
      <c r="J22" s="557"/>
      <c r="K22" s="3106" t="s">
        <v>4521</v>
      </c>
      <c r="L22" s="3107"/>
      <c r="M22" s="3107"/>
      <c r="N22" s="3107"/>
      <c r="O22" s="3108"/>
      <c r="P22" s="3108"/>
      <c r="Q22" s="3107"/>
      <c r="R22" s="3109"/>
      <c r="S22" s="3107"/>
      <c r="T22" s="3108">
        <v>100000</v>
      </c>
      <c r="U22" s="3107" t="s">
        <v>4457</v>
      </c>
      <c r="V22" s="3107"/>
      <c r="W22" s="3308">
        <v>4</v>
      </c>
      <c r="X22" s="3107" t="s">
        <v>4482</v>
      </c>
      <c r="Y22" s="3107" t="s">
        <v>4443</v>
      </c>
      <c r="Z22" s="3110">
        <f t="shared" ref="Z22:Z48" si="3">AA22/1000</f>
        <v>400</v>
      </c>
      <c r="AA22" s="2454">
        <f>T22*W22</f>
        <v>400000</v>
      </c>
      <c r="AB22" s="423"/>
      <c r="AC22" s="423"/>
      <c r="AD22" s="1680"/>
    </row>
    <row r="23" spans="1:30" s="1653" customFormat="1" ht="21.95" customHeight="1">
      <c r="A23" s="456"/>
      <c r="B23" s="2754"/>
      <c r="C23" s="2755"/>
      <c r="D23" s="564"/>
      <c r="E23" s="624"/>
      <c r="F23" s="624" t="s">
        <v>17</v>
      </c>
      <c r="G23" s="1917">
        <f>Z23</f>
        <v>28920</v>
      </c>
      <c r="H23" s="1917">
        <v>28920</v>
      </c>
      <c r="I23" s="551"/>
      <c r="J23" s="557"/>
      <c r="K23" s="3106" t="s">
        <v>4517</v>
      </c>
      <c r="L23" s="3107"/>
      <c r="M23" s="3107"/>
      <c r="N23" s="3107"/>
      <c r="O23" s="3108"/>
      <c r="P23" s="3108"/>
      <c r="Q23" s="3107"/>
      <c r="R23" s="3109"/>
      <c r="S23" s="3107"/>
      <c r="T23" s="3107"/>
      <c r="U23" s="3107"/>
      <c r="V23" s="3107"/>
      <c r="W23" s="3107"/>
      <c r="X23" s="3107"/>
      <c r="Y23" s="3107"/>
      <c r="Z23" s="3110">
        <f t="shared" si="3"/>
        <v>28920</v>
      </c>
      <c r="AA23" s="3221">
        <f>SUM(AA24:AA25)</f>
        <v>28920000</v>
      </c>
      <c r="AB23" s="423"/>
      <c r="AC23" s="423"/>
      <c r="AD23" s="1680"/>
    </row>
    <row r="24" spans="1:30" s="1653" customFormat="1" ht="21.95" customHeight="1">
      <c r="A24" s="456"/>
      <c r="B24" s="2754"/>
      <c r="C24" s="2755"/>
      <c r="D24" s="564"/>
      <c r="E24" s="624"/>
      <c r="F24" s="624"/>
      <c r="G24" s="1917"/>
      <c r="H24" s="1917"/>
      <c r="I24" s="551"/>
      <c r="J24" s="557"/>
      <c r="K24" s="3106" t="s">
        <v>6173</v>
      </c>
      <c r="L24" s="3107"/>
      <c r="M24" s="3107"/>
      <c r="N24" s="3107"/>
      <c r="O24" s="3108"/>
      <c r="P24" s="3107"/>
      <c r="Q24" s="3107"/>
      <c r="R24" s="3109"/>
      <c r="S24" s="3107"/>
      <c r="T24" s="3108">
        <v>2100000</v>
      </c>
      <c r="U24" s="3107" t="s">
        <v>4457</v>
      </c>
      <c r="V24" s="3107"/>
      <c r="W24" s="3107">
        <v>12</v>
      </c>
      <c r="X24" s="3107" t="s">
        <v>4446</v>
      </c>
      <c r="Y24" s="3107" t="s">
        <v>4443</v>
      </c>
      <c r="Z24" s="3110">
        <f t="shared" si="3"/>
        <v>25200</v>
      </c>
      <c r="AA24" s="2454">
        <f>T24*W24</f>
        <v>25200000</v>
      </c>
      <c r="AB24" s="423"/>
      <c r="AC24" s="423"/>
      <c r="AD24" s="1680"/>
    </row>
    <row r="25" spans="1:30" s="1653" customFormat="1" ht="21.95" customHeight="1">
      <c r="A25" s="456"/>
      <c r="B25" s="2754"/>
      <c r="C25" s="2755"/>
      <c r="D25" s="564"/>
      <c r="E25" s="624"/>
      <c r="F25" s="624"/>
      <c r="G25" s="1917"/>
      <c r="H25" s="1917"/>
      <c r="I25" s="551"/>
      <c r="J25" s="557"/>
      <c r="K25" s="3106" t="s">
        <v>6174</v>
      </c>
      <c r="L25" s="3107"/>
      <c r="M25" s="3107"/>
      <c r="N25" s="3107"/>
      <c r="O25" s="3108"/>
      <c r="P25" s="3107"/>
      <c r="Q25" s="3107"/>
      <c r="R25" s="3109"/>
      <c r="S25" s="3107"/>
      <c r="T25" s="3108">
        <v>310000</v>
      </c>
      <c r="U25" s="3107" t="s">
        <v>4457</v>
      </c>
      <c r="V25" s="3107"/>
      <c r="W25" s="3107">
        <v>12</v>
      </c>
      <c r="X25" s="3107" t="s">
        <v>4446</v>
      </c>
      <c r="Y25" s="3107" t="s">
        <v>4443</v>
      </c>
      <c r="Z25" s="3110">
        <f t="shared" si="3"/>
        <v>3720</v>
      </c>
      <c r="AA25" s="2454">
        <f>T25*W25</f>
        <v>3720000</v>
      </c>
      <c r="AB25" s="423"/>
      <c r="AC25" s="423"/>
      <c r="AD25" s="1680"/>
    </row>
    <row r="26" spans="1:30" s="1653" customFormat="1" ht="21.95" customHeight="1">
      <c r="A26" s="456" t="s">
        <v>1279</v>
      </c>
      <c r="B26" s="2754"/>
      <c r="C26" s="2755"/>
      <c r="D26" s="564"/>
      <c r="E26" s="624"/>
      <c r="F26" s="624" t="s">
        <v>511</v>
      </c>
      <c r="G26" s="1917">
        <f>Z26</f>
        <v>18240</v>
      </c>
      <c r="H26" s="1917">
        <v>18240</v>
      </c>
      <c r="I26" s="551"/>
      <c r="J26" s="557"/>
      <c r="K26" s="3106" t="s">
        <v>4522</v>
      </c>
      <c r="L26" s="3107"/>
      <c r="M26" s="3107"/>
      <c r="N26" s="3107"/>
      <c r="O26" s="3108"/>
      <c r="P26" s="3108"/>
      <c r="Q26" s="3107"/>
      <c r="R26" s="3109"/>
      <c r="S26" s="3107"/>
      <c r="T26" s="3108">
        <v>1520000</v>
      </c>
      <c r="U26" s="3107" t="s">
        <v>4457</v>
      </c>
      <c r="V26" s="3107"/>
      <c r="W26" s="3107">
        <v>12</v>
      </c>
      <c r="X26" s="3107" t="s">
        <v>4477</v>
      </c>
      <c r="Y26" s="3107" t="s">
        <v>4443</v>
      </c>
      <c r="Z26" s="3110">
        <f t="shared" si="3"/>
        <v>18240</v>
      </c>
      <c r="AA26" s="2454">
        <f>T26*W26</f>
        <v>18240000</v>
      </c>
      <c r="AB26" s="423"/>
      <c r="AC26" s="423"/>
      <c r="AD26" s="1680"/>
    </row>
    <row r="27" spans="1:30" s="1653" customFormat="1" ht="21.95" customHeight="1">
      <c r="A27" s="456"/>
      <c r="B27" s="2754"/>
      <c r="C27" s="2755"/>
      <c r="D27" s="564"/>
      <c r="E27" s="624"/>
      <c r="F27" s="624" t="s">
        <v>379</v>
      </c>
      <c r="G27" s="1917">
        <f>Z27</f>
        <v>5200</v>
      </c>
      <c r="H27" s="1917">
        <v>5200</v>
      </c>
      <c r="I27" s="551"/>
      <c r="J27" s="557"/>
      <c r="K27" s="3106" t="s">
        <v>4517</v>
      </c>
      <c r="L27" s="3107"/>
      <c r="M27" s="3107"/>
      <c r="N27" s="3107"/>
      <c r="O27" s="3108"/>
      <c r="P27" s="3107"/>
      <c r="Q27" s="3107"/>
      <c r="R27" s="3109"/>
      <c r="S27" s="3107"/>
      <c r="T27" s="3108"/>
      <c r="U27" s="3107"/>
      <c r="V27" s="3107"/>
      <c r="W27" s="3309"/>
      <c r="X27" s="3107"/>
      <c r="Y27" s="3107"/>
      <c r="Z27" s="3110">
        <f t="shared" si="3"/>
        <v>5200</v>
      </c>
      <c r="AA27" s="1898">
        <f>SUM(AA28:AA29)</f>
        <v>5200000</v>
      </c>
      <c r="AB27" s="423"/>
      <c r="AC27" s="423"/>
      <c r="AD27" s="1680"/>
    </row>
    <row r="28" spans="1:30" s="1653" customFormat="1" ht="21.95" customHeight="1">
      <c r="A28" s="456"/>
      <c r="B28" s="2754"/>
      <c r="C28" s="2755"/>
      <c r="D28" s="564"/>
      <c r="E28" s="624"/>
      <c r="F28" s="624"/>
      <c r="G28" s="1917"/>
      <c r="H28" s="1917"/>
      <c r="I28" s="551"/>
      <c r="J28" s="557"/>
      <c r="K28" s="3106" t="s">
        <v>4523</v>
      </c>
      <c r="L28" s="3107"/>
      <c r="M28" s="3107"/>
      <c r="N28" s="3107"/>
      <c r="O28" s="3108"/>
      <c r="P28" s="3107"/>
      <c r="Q28" s="3107"/>
      <c r="R28" s="3109"/>
      <c r="S28" s="3107"/>
      <c r="T28" s="3108">
        <v>600000</v>
      </c>
      <c r="U28" s="3107" t="s">
        <v>4457</v>
      </c>
      <c r="V28" s="3107"/>
      <c r="W28" s="3109">
        <v>7</v>
      </c>
      <c r="X28" s="3107" t="s">
        <v>4430</v>
      </c>
      <c r="Y28" s="3107" t="s">
        <v>4443</v>
      </c>
      <c r="Z28" s="3110">
        <f t="shared" si="3"/>
        <v>4200</v>
      </c>
      <c r="AA28" s="2454">
        <f>T28*W28</f>
        <v>4200000</v>
      </c>
      <c r="AB28" s="423"/>
      <c r="AC28" s="423"/>
      <c r="AD28" s="1680"/>
    </row>
    <row r="29" spans="1:30" s="1653" customFormat="1" ht="21.95" customHeight="1">
      <c r="A29" s="456"/>
      <c r="B29" s="2754"/>
      <c r="C29" s="2755"/>
      <c r="D29" s="564"/>
      <c r="E29" s="624"/>
      <c r="F29" s="624"/>
      <c r="G29" s="1917"/>
      <c r="H29" s="1917"/>
      <c r="I29" s="551"/>
      <c r="J29" s="557"/>
      <c r="K29" s="3106" t="s">
        <v>4524</v>
      </c>
      <c r="L29" s="3107"/>
      <c r="M29" s="3107"/>
      <c r="N29" s="3107"/>
      <c r="O29" s="3108"/>
      <c r="P29" s="3107"/>
      <c r="Q29" s="3107"/>
      <c r="R29" s="3109"/>
      <c r="S29" s="3107"/>
      <c r="T29" s="3108">
        <v>250000</v>
      </c>
      <c r="U29" s="3107" t="s">
        <v>4457</v>
      </c>
      <c r="V29" s="3107"/>
      <c r="W29" s="3109">
        <v>4</v>
      </c>
      <c r="X29" s="3107" t="s">
        <v>4430</v>
      </c>
      <c r="Y29" s="3107" t="s">
        <v>4443</v>
      </c>
      <c r="Z29" s="3110">
        <f t="shared" si="3"/>
        <v>1000</v>
      </c>
      <c r="AA29" s="2454">
        <f>T29*W29</f>
        <v>1000000</v>
      </c>
      <c r="AB29" s="423"/>
      <c r="AC29" s="423"/>
      <c r="AD29" s="1680"/>
    </row>
    <row r="30" spans="1:30" s="809" customFormat="1" ht="21.95" customHeight="1">
      <c r="A30" s="808"/>
      <c r="B30" s="2754"/>
      <c r="C30" s="2755"/>
      <c r="D30" s="564"/>
      <c r="E30" s="624"/>
      <c r="F30" s="624" t="s">
        <v>255</v>
      </c>
      <c r="G30" s="1917">
        <v>700</v>
      </c>
      <c r="H30" s="1917">
        <v>700</v>
      </c>
      <c r="I30" s="551"/>
      <c r="J30" s="2698"/>
      <c r="K30" s="3106" t="s">
        <v>4517</v>
      </c>
      <c r="L30" s="3107"/>
      <c r="M30" s="3107"/>
      <c r="N30" s="3107"/>
      <c r="O30" s="3108"/>
      <c r="P30" s="3108"/>
      <c r="Q30" s="3107"/>
      <c r="R30" s="3109"/>
      <c r="S30" s="3107"/>
      <c r="T30" s="3107"/>
      <c r="U30" s="3107"/>
      <c r="V30" s="3107"/>
      <c r="W30" s="3107"/>
      <c r="X30" s="3107"/>
      <c r="Y30" s="3107"/>
      <c r="Z30" s="3110">
        <f t="shared" si="3"/>
        <v>700</v>
      </c>
      <c r="AA30" s="2233">
        <f>SUM(AA31:AA32)</f>
        <v>700000</v>
      </c>
      <c r="AB30" s="810"/>
      <c r="AC30" s="810"/>
    </row>
    <row r="31" spans="1:30" s="809" customFormat="1" ht="21.95" customHeight="1">
      <c r="A31" s="808"/>
      <c r="B31" s="2754"/>
      <c r="C31" s="2755"/>
      <c r="D31" s="564"/>
      <c r="E31" s="624"/>
      <c r="F31" s="624"/>
      <c r="G31" s="1917"/>
      <c r="H31" s="1917"/>
      <c r="I31" s="551"/>
      <c r="J31" s="2698"/>
      <c r="K31" s="3106" t="s">
        <v>4525</v>
      </c>
      <c r="L31" s="3107"/>
      <c r="M31" s="3107"/>
      <c r="N31" s="3107"/>
      <c r="O31" s="3108"/>
      <c r="P31" s="3107"/>
      <c r="Q31" s="3107"/>
      <c r="R31" s="3109"/>
      <c r="S31" s="3107"/>
      <c r="T31" s="3108">
        <v>23000</v>
      </c>
      <c r="U31" s="3107" t="s">
        <v>4457</v>
      </c>
      <c r="V31" s="3107"/>
      <c r="W31" s="3107">
        <v>20</v>
      </c>
      <c r="X31" s="3107" t="s">
        <v>4526</v>
      </c>
      <c r="Y31" s="3107" t="s">
        <v>4443</v>
      </c>
      <c r="Z31" s="3110">
        <f t="shared" si="3"/>
        <v>460</v>
      </c>
      <c r="AA31" s="2454">
        <f>T31*W31</f>
        <v>460000</v>
      </c>
      <c r="AB31" s="810"/>
      <c r="AC31" s="810"/>
    </row>
    <row r="32" spans="1:30" s="809" customFormat="1" ht="21.95" customHeight="1">
      <c r="A32" s="808"/>
      <c r="B32" s="2754"/>
      <c r="C32" s="2755"/>
      <c r="D32" s="564"/>
      <c r="E32" s="624"/>
      <c r="F32" s="624"/>
      <c r="G32" s="1917"/>
      <c r="H32" s="1917"/>
      <c r="I32" s="3310"/>
      <c r="J32" s="2698"/>
      <c r="K32" s="3106" t="s">
        <v>4527</v>
      </c>
      <c r="L32" s="3107"/>
      <c r="M32" s="3107"/>
      <c r="N32" s="3107"/>
      <c r="O32" s="3108"/>
      <c r="P32" s="3107"/>
      <c r="Q32" s="3107"/>
      <c r="R32" s="3109">
        <v>2</v>
      </c>
      <c r="S32" s="3107" t="s">
        <v>4488</v>
      </c>
      <c r="T32" s="3108">
        <v>20000</v>
      </c>
      <c r="U32" s="3107" t="s">
        <v>4457</v>
      </c>
      <c r="V32" s="3107"/>
      <c r="W32" s="3107">
        <v>12</v>
      </c>
      <c r="X32" s="3107" t="s">
        <v>4477</v>
      </c>
      <c r="Y32" s="3107" t="s">
        <v>4443</v>
      </c>
      <c r="Z32" s="3110">
        <f t="shared" si="3"/>
        <v>240</v>
      </c>
      <c r="AA32" s="2454">
        <f>T32*W32</f>
        <v>240000</v>
      </c>
      <c r="AB32" s="810"/>
      <c r="AC32" s="810"/>
    </row>
    <row r="33" spans="1:30" s="809" customFormat="1" ht="21.95" customHeight="1">
      <c r="A33" s="808"/>
      <c r="B33" s="2754"/>
      <c r="C33" s="2755"/>
      <c r="D33" s="564"/>
      <c r="E33" s="624"/>
      <c r="F33" s="624" t="s">
        <v>264</v>
      </c>
      <c r="G33" s="1917">
        <f>Z33</f>
        <v>2600</v>
      </c>
      <c r="H33" s="1917">
        <v>2600</v>
      </c>
      <c r="I33" s="3310"/>
      <c r="J33" s="2698"/>
      <c r="K33" s="3106" t="s">
        <v>4517</v>
      </c>
      <c r="L33" s="3107"/>
      <c r="M33" s="3107"/>
      <c r="N33" s="3107"/>
      <c r="O33" s="3108"/>
      <c r="P33" s="3107"/>
      <c r="Q33" s="3107"/>
      <c r="R33" s="3109"/>
      <c r="S33" s="3107"/>
      <c r="T33" s="3108"/>
      <c r="U33" s="3107"/>
      <c r="V33" s="1663"/>
      <c r="W33" s="3107"/>
      <c r="X33" s="3107"/>
      <c r="Y33" s="3107"/>
      <c r="Z33" s="3110">
        <f t="shared" si="3"/>
        <v>2600</v>
      </c>
      <c r="AA33" s="2233">
        <f>SUM(AA34:AA35)</f>
        <v>2600000</v>
      </c>
      <c r="AB33" s="810"/>
      <c r="AC33" s="810"/>
    </row>
    <row r="34" spans="1:30" s="1653" customFormat="1" ht="21.95" customHeight="1">
      <c r="A34" s="456"/>
      <c r="B34" s="2754"/>
      <c r="C34" s="2755"/>
      <c r="D34" s="564"/>
      <c r="E34" s="624"/>
      <c r="F34" s="624"/>
      <c r="G34" s="1917"/>
      <c r="H34" s="1917"/>
      <c r="I34" s="551"/>
      <c r="J34" s="557"/>
      <c r="K34" s="3106" t="s">
        <v>4528</v>
      </c>
      <c r="L34" s="3107"/>
      <c r="M34" s="3107"/>
      <c r="N34" s="3107"/>
      <c r="O34" s="3108"/>
      <c r="P34" s="3107"/>
      <c r="Q34" s="3107"/>
      <c r="R34" s="3109"/>
      <c r="S34" s="3107"/>
      <c r="T34" s="3108">
        <v>50000</v>
      </c>
      <c r="U34" s="3107" t="s">
        <v>4457</v>
      </c>
      <c r="V34" s="1663"/>
      <c r="W34" s="3107">
        <v>12</v>
      </c>
      <c r="X34" s="3107" t="s">
        <v>4529</v>
      </c>
      <c r="Y34" s="3107" t="s">
        <v>4443</v>
      </c>
      <c r="Z34" s="3110">
        <f t="shared" si="3"/>
        <v>600</v>
      </c>
      <c r="AA34" s="2454">
        <f>T34*W34</f>
        <v>600000</v>
      </c>
      <c r="AB34" s="423"/>
      <c r="AC34" s="423"/>
      <c r="AD34" s="1680"/>
    </row>
    <row r="35" spans="1:30" s="1653" customFormat="1" ht="21.95" customHeight="1">
      <c r="A35" s="456"/>
      <c r="B35" s="2754"/>
      <c r="C35" s="2755"/>
      <c r="D35" s="564"/>
      <c r="E35" s="624"/>
      <c r="F35" s="624"/>
      <c r="G35" s="1917"/>
      <c r="H35" s="1917"/>
      <c r="I35" s="551"/>
      <c r="J35" s="557"/>
      <c r="K35" s="3106" t="s">
        <v>4530</v>
      </c>
      <c r="L35" s="3107"/>
      <c r="M35" s="3107"/>
      <c r="N35" s="3107"/>
      <c r="O35" s="3108"/>
      <c r="P35" s="3107"/>
      <c r="Q35" s="3107"/>
      <c r="R35" s="3109"/>
      <c r="S35" s="3107"/>
      <c r="T35" s="3108">
        <v>400000</v>
      </c>
      <c r="U35" s="3107" t="s">
        <v>4457</v>
      </c>
      <c r="V35" s="1663"/>
      <c r="W35" s="3107">
        <v>5</v>
      </c>
      <c r="X35" s="3107" t="s">
        <v>4431</v>
      </c>
      <c r="Y35" s="3107" t="s">
        <v>4443</v>
      </c>
      <c r="Z35" s="3110">
        <f t="shared" si="3"/>
        <v>2000</v>
      </c>
      <c r="AA35" s="2454">
        <f>T35*W35</f>
        <v>2000000</v>
      </c>
      <c r="AB35" s="423"/>
      <c r="AC35" s="423"/>
      <c r="AD35" s="1680"/>
    </row>
    <row r="36" spans="1:30" s="1653" customFormat="1" ht="21.95" customHeight="1">
      <c r="A36" s="456"/>
      <c r="B36" s="2754"/>
      <c r="C36" s="2755"/>
      <c r="D36" s="564"/>
      <c r="E36" s="624"/>
      <c r="F36" s="624" t="s">
        <v>229</v>
      </c>
      <c r="G36" s="1917">
        <f>Z36</f>
        <v>2500</v>
      </c>
      <c r="H36" s="1917">
        <v>2500</v>
      </c>
      <c r="I36" s="551"/>
      <c r="J36" s="557"/>
      <c r="K36" s="3106" t="s">
        <v>4531</v>
      </c>
      <c r="L36" s="3107"/>
      <c r="M36" s="3107"/>
      <c r="N36" s="3107"/>
      <c r="O36" s="3108"/>
      <c r="P36" s="3107"/>
      <c r="Q36" s="3107"/>
      <c r="R36" s="3109"/>
      <c r="S36" s="3107"/>
      <c r="T36" s="3108">
        <v>500000</v>
      </c>
      <c r="U36" s="3107" t="s">
        <v>4457</v>
      </c>
      <c r="V36" s="1663"/>
      <c r="W36" s="3107">
        <v>5</v>
      </c>
      <c r="X36" s="3107" t="s">
        <v>4431</v>
      </c>
      <c r="Y36" s="3107" t="s">
        <v>4443</v>
      </c>
      <c r="Z36" s="3110">
        <f t="shared" si="3"/>
        <v>2500</v>
      </c>
      <c r="AA36" s="2454">
        <f>T36*W36</f>
        <v>2500000</v>
      </c>
      <c r="AB36" s="423"/>
      <c r="AC36" s="423"/>
      <c r="AD36" s="1680"/>
    </row>
    <row r="37" spans="1:30" s="1653" customFormat="1" ht="21.95" customHeight="1">
      <c r="A37" s="456"/>
      <c r="B37" s="2754"/>
      <c r="C37" s="2755"/>
      <c r="D37" s="564"/>
      <c r="E37" s="624"/>
      <c r="F37" s="624" t="s">
        <v>445</v>
      </c>
      <c r="G37" s="1917">
        <f>Z37</f>
        <v>60</v>
      </c>
      <c r="H37" s="1917">
        <v>60</v>
      </c>
      <c r="I37" s="551"/>
      <c r="J37" s="557"/>
      <c r="K37" s="3106" t="s">
        <v>4532</v>
      </c>
      <c r="L37" s="3107"/>
      <c r="M37" s="3107"/>
      <c r="N37" s="3107"/>
      <c r="O37" s="3108"/>
      <c r="P37" s="3107"/>
      <c r="Q37" s="3107"/>
      <c r="R37" s="3109"/>
      <c r="S37" s="3107"/>
      <c r="T37" s="3108">
        <v>60000</v>
      </c>
      <c r="U37" s="3107" t="s">
        <v>4533</v>
      </c>
      <c r="V37" s="1663"/>
      <c r="W37" s="3107">
        <v>1</v>
      </c>
      <c r="X37" s="3107" t="s">
        <v>4534</v>
      </c>
      <c r="Y37" s="3107" t="s">
        <v>4535</v>
      </c>
      <c r="Z37" s="3110">
        <f t="shared" si="3"/>
        <v>60</v>
      </c>
      <c r="AA37" s="2454">
        <f>T37*W37</f>
        <v>60000</v>
      </c>
      <c r="AB37" s="423"/>
      <c r="AC37" s="423"/>
      <c r="AD37" s="1680"/>
    </row>
    <row r="38" spans="1:30" s="1653" customFormat="1" ht="21.95" customHeight="1">
      <c r="A38" s="456"/>
      <c r="B38" s="2754"/>
      <c r="C38" s="2755"/>
      <c r="D38" s="564"/>
      <c r="E38" s="624"/>
      <c r="F38" s="624" t="s">
        <v>557</v>
      </c>
      <c r="G38" s="1917">
        <f>Z38</f>
        <v>2040</v>
      </c>
      <c r="H38" s="1917">
        <v>2040</v>
      </c>
      <c r="I38" s="551"/>
      <c r="J38" s="557"/>
      <c r="K38" s="3106" t="s">
        <v>4536</v>
      </c>
      <c r="L38" s="3107"/>
      <c r="M38" s="3107"/>
      <c r="N38" s="3107"/>
      <c r="O38" s="3108"/>
      <c r="P38" s="3107"/>
      <c r="Q38" s="3107"/>
      <c r="R38" s="3109"/>
      <c r="S38" s="3107"/>
      <c r="T38" s="3108"/>
      <c r="U38" s="3107"/>
      <c r="V38" s="3107"/>
      <c r="W38" s="3107"/>
      <c r="X38" s="3107"/>
      <c r="Y38" s="3107"/>
      <c r="Z38" s="3110">
        <f t="shared" si="3"/>
        <v>2040</v>
      </c>
      <c r="AA38" s="2454">
        <f>SUM(AA39:AA40)</f>
        <v>2040000</v>
      </c>
      <c r="AB38" s="423"/>
      <c r="AC38" s="423"/>
      <c r="AD38" s="1680"/>
    </row>
    <row r="39" spans="1:30" s="1653" customFormat="1" ht="21.95" customHeight="1">
      <c r="A39" s="456"/>
      <c r="B39" s="2754"/>
      <c r="C39" s="2755"/>
      <c r="D39" s="564"/>
      <c r="E39" s="624"/>
      <c r="F39" s="624"/>
      <c r="G39" s="1917"/>
      <c r="H39" s="1917"/>
      <c r="I39" s="551"/>
      <c r="J39" s="557"/>
      <c r="K39" s="3106" t="s">
        <v>4537</v>
      </c>
      <c r="L39" s="3107"/>
      <c r="M39" s="3107"/>
      <c r="N39" s="3107"/>
      <c r="O39" s="3108"/>
      <c r="P39" s="3107"/>
      <c r="Q39" s="3107"/>
      <c r="R39" s="3109"/>
      <c r="S39" s="3107"/>
      <c r="T39" s="3108">
        <v>1600000</v>
      </c>
      <c r="U39" s="3107" t="s">
        <v>4533</v>
      </c>
      <c r="V39" s="3107"/>
      <c r="W39" s="3107">
        <v>1</v>
      </c>
      <c r="X39" s="3107" t="s">
        <v>4538</v>
      </c>
      <c r="Y39" s="3107" t="s">
        <v>4535</v>
      </c>
      <c r="Z39" s="3110">
        <f t="shared" si="3"/>
        <v>1600</v>
      </c>
      <c r="AA39" s="2454">
        <f>T39*W39</f>
        <v>1600000</v>
      </c>
      <c r="AB39" s="423"/>
      <c r="AC39" s="423"/>
      <c r="AD39" s="1680"/>
    </row>
    <row r="40" spans="1:30" s="1653" customFormat="1" ht="21.95" customHeight="1">
      <c r="A40" s="456"/>
      <c r="B40" s="2754"/>
      <c r="C40" s="2755"/>
      <c r="D40" s="564"/>
      <c r="E40" s="624"/>
      <c r="F40" s="624"/>
      <c r="G40" s="1917"/>
      <c r="H40" s="1917"/>
      <c r="I40" s="551"/>
      <c r="J40" s="557"/>
      <c r="K40" s="3106" t="s">
        <v>4548</v>
      </c>
      <c r="L40" s="3107"/>
      <c r="M40" s="3107"/>
      <c r="N40" s="3107"/>
      <c r="O40" s="3108"/>
      <c r="P40" s="3107"/>
      <c r="Q40" s="3107"/>
      <c r="R40" s="3109"/>
      <c r="S40" s="3107"/>
      <c r="T40" s="3108">
        <v>440000</v>
      </c>
      <c r="U40" s="3107" t="s">
        <v>4457</v>
      </c>
      <c r="V40" s="3107"/>
      <c r="W40" s="3107">
        <v>1</v>
      </c>
      <c r="X40" s="3107" t="s">
        <v>4539</v>
      </c>
      <c r="Y40" s="3107" t="s">
        <v>4540</v>
      </c>
      <c r="Z40" s="3110">
        <f t="shared" si="3"/>
        <v>440</v>
      </c>
      <c r="AA40" s="2454">
        <f>T40*W40</f>
        <v>440000</v>
      </c>
      <c r="AB40" s="423"/>
      <c r="AC40" s="423"/>
      <c r="AD40" s="1680"/>
    </row>
    <row r="41" spans="1:30" s="1653" customFormat="1" ht="21.95" customHeight="1">
      <c r="A41" s="456"/>
      <c r="B41" s="2754"/>
      <c r="C41" s="2755"/>
      <c r="D41" s="564"/>
      <c r="E41" s="624"/>
      <c r="F41" s="624" t="s">
        <v>431</v>
      </c>
      <c r="G41" s="1917">
        <f>Z41</f>
        <v>198</v>
      </c>
      <c r="H41" s="1917">
        <v>198</v>
      </c>
      <c r="I41" s="551"/>
      <c r="J41" s="557"/>
      <c r="K41" s="3106" t="s">
        <v>4541</v>
      </c>
      <c r="L41" s="3107"/>
      <c r="M41" s="3107"/>
      <c r="N41" s="3107"/>
      <c r="O41" s="3108"/>
      <c r="P41" s="3108"/>
      <c r="Q41" s="3107"/>
      <c r="R41" s="3109"/>
      <c r="S41" s="3107"/>
      <c r="T41" s="3108">
        <v>198000</v>
      </c>
      <c r="U41" s="3107" t="s">
        <v>4542</v>
      </c>
      <c r="V41" s="3107"/>
      <c r="W41" s="3107">
        <v>1</v>
      </c>
      <c r="X41" s="3107" t="s">
        <v>4543</v>
      </c>
      <c r="Y41" s="3107" t="s">
        <v>4540</v>
      </c>
      <c r="Z41" s="3110">
        <f t="shared" si="3"/>
        <v>198</v>
      </c>
      <c r="AA41" s="2454">
        <f>T41*W41</f>
        <v>198000</v>
      </c>
      <c r="AB41" s="423"/>
      <c r="AC41" s="423"/>
      <c r="AD41" s="1680"/>
    </row>
    <row r="42" spans="1:30" s="1653" customFormat="1" ht="21.95" customHeight="1">
      <c r="A42" s="456"/>
      <c r="B42" s="2754"/>
      <c r="C42" s="2755"/>
      <c r="D42" s="564"/>
      <c r="E42" s="624"/>
      <c r="F42" s="624" t="s">
        <v>262</v>
      </c>
      <c r="G42" s="1917">
        <f>Z42</f>
        <v>602</v>
      </c>
      <c r="H42" s="1917">
        <v>602</v>
      </c>
      <c r="I42" s="551"/>
      <c r="J42" s="557"/>
      <c r="K42" s="3106" t="s">
        <v>4544</v>
      </c>
      <c r="L42" s="3107"/>
      <c r="M42" s="3107"/>
      <c r="N42" s="3107"/>
      <c r="O42" s="3108"/>
      <c r="P42" s="3108"/>
      <c r="Q42" s="3107"/>
      <c r="R42" s="3109"/>
      <c r="S42" s="3107"/>
      <c r="T42" s="3108">
        <v>150500</v>
      </c>
      <c r="U42" s="3107" t="s">
        <v>4542</v>
      </c>
      <c r="V42" s="3107"/>
      <c r="W42" s="3107">
        <v>4</v>
      </c>
      <c r="X42" s="3107" t="s">
        <v>4543</v>
      </c>
      <c r="Y42" s="3107" t="s">
        <v>4549</v>
      </c>
      <c r="Z42" s="3110">
        <f t="shared" si="3"/>
        <v>602</v>
      </c>
      <c r="AA42" s="2454">
        <f>T42*W42</f>
        <v>602000</v>
      </c>
      <c r="AB42" s="423"/>
      <c r="AC42" s="423"/>
      <c r="AD42" s="1680"/>
    </row>
    <row r="43" spans="1:30" s="1653" customFormat="1" ht="21.6" customHeight="1">
      <c r="A43" s="456"/>
      <c r="B43" s="2754"/>
      <c r="C43" s="2755"/>
      <c r="D43" s="564"/>
      <c r="E43" s="624"/>
      <c r="F43" s="624" t="s">
        <v>225</v>
      </c>
      <c r="G43" s="1917">
        <f>Z43</f>
        <v>9760</v>
      </c>
      <c r="H43" s="1917">
        <v>9760</v>
      </c>
      <c r="I43" s="551"/>
      <c r="J43" s="557"/>
      <c r="K43" s="3106" t="s">
        <v>4545</v>
      </c>
      <c r="L43" s="3107"/>
      <c r="M43" s="3107"/>
      <c r="N43" s="3107"/>
      <c r="O43" s="3108"/>
      <c r="P43" s="3108"/>
      <c r="Q43" s="3107"/>
      <c r="R43" s="3109"/>
      <c r="S43" s="3107"/>
      <c r="T43" s="3107"/>
      <c r="U43" s="3107"/>
      <c r="V43" s="3107"/>
      <c r="W43" s="3107"/>
      <c r="X43" s="3107"/>
      <c r="Y43" s="3107"/>
      <c r="Z43" s="3110">
        <f t="shared" si="3"/>
        <v>9760</v>
      </c>
      <c r="AA43" s="2454">
        <f>SUM(AA44:AA45)</f>
        <v>9760000</v>
      </c>
      <c r="AB43" s="423"/>
      <c r="AC43" s="423"/>
      <c r="AD43" s="1680"/>
    </row>
    <row r="44" spans="1:30" s="1925" customFormat="1" ht="21.6" customHeight="1">
      <c r="A44" s="456"/>
      <c r="B44" s="2754"/>
      <c r="C44" s="2755"/>
      <c r="D44" s="564"/>
      <c r="E44" s="624"/>
      <c r="F44" s="624"/>
      <c r="G44" s="1917"/>
      <c r="H44" s="1917"/>
      <c r="I44" s="551"/>
      <c r="J44" s="557"/>
      <c r="K44" s="3106" t="s">
        <v>5758</v>
      </c>
      <c r="L44" s="3107"/>
      <c r="M44" s="3107"/>
      <c r="N44" s="3107"/>
      <c r="O44" s="3108"/>
      <c r="P44" s="3108"/>
      <c r="Q44" s="3107"/>
      <c r="R44" s="3109">
        <v>4</v>
      </c>
      <c r="S44" s="3107" t="s">
        <v>4546</v>
      </c>
      <c r="T44" s="3107">
        <v>120000</v>
      </c>
      <c r="U44" s="3107" t="s">
        <v>4542</v>
      </c>
      <c r="V44" s="3107"/>
      <c r="W44" s="3107">
        <v>12</v>
      </c>
      <c r="X44" s="3107" t="s">
        <v>4547</v>
      </c>
      <c r="Y44" s="3107" t="s">
        <v>4540</v>
      </c>
      <c r="Z44" s="3110">
        <f t="shared" si="3"/>
        <v>5760</v>
      </c>
      <c r="AA44" s="2454">
        <f>R44*T44*W44</f>
        <v>5760000</v>
      </c>
      <c r="AB44" s="423"/>
      <c r="AC44" s="423"/>
    </row>
    <row r="45" spans="1:30" s="1653" customFormat="1" ht="21.6" customHeight="1">
      <c r="A45" s="456"/>
      <c r="B45" s="2754"/>
      <c r="C45" s="2755"/>
      <c r="D45" s="564"/>
      <c r="E45" s="624"/>
      <c r="F45" s="624"/>
      <c r="G45" s="1917"/>
      <c r="H45" s="1917"/>
      <c r="I45" s="551"/>
      <c r="J45" s="557"/>
      <c r="K45" s="3106" t="s">
        <v>5759</v>
      </c>
      <c r="L45" s="3107"/>
      <c r="M45" s="3107"/>
      <c r="N45" s="3107"/>
      <c r="O45" s="3108"/>
      <c r="P45" s="3108"/>
      <c r="Q45" s="3107"/>
      <c r="R45" s="3109">
        <v>1</v>
      </c>
      <c r="S45" s="3107" t="s">
        <v>4546</v>
      </c>
      <c r="T45" s="3107">
        <v>4000000</v>
      </c>
      <c r="U45" s="3107" t="s">
        <v>4542</v>
      </c>
      <c r="V45" s="3107"/>
      <c r="W45" s="3107">
        <v>1</v>
      </c>
      <c r="X45" s="3107" t="s">
        <v>4543</v>
      </c>
      <c r="Y45" s="3107" t="s">
        <v>4540</v>
      </c>
      <c r="Z45" s="3110">
        <f t="shared" si="3"/>
        <v>4000</v>
      </c>
      <c r="AA45" s="2454">
        <f>T45*W45</f>
        <v>4000000</v>
      </c>
      <c r="AB45" s="423"/>
      <c r="AC45" s="423"/>
      <c r="AD45" s="1680"/>
    </row>
    <row r="46" spans="1:30" s="1653" customFormat="1" ht="23.1" customHeight="1">
      <c r="A46" s="456"/>
      <c r="B46" s="2754"/>
      <c r="C46" s="2755"/>
      <c r="D46" s="564"/>
      <c r="E46" s="624"/>
      <c r="F46" s="624" t="s">
        <v>496</v>
      </c>
      <c r="G46" s="1917">
        <f>Z46</f>
        <v>1200</v>
      </c>
      <c r="H46" s="1917">
        <v>1200</v>
      </c>
      <c r="I46" s="551"/>
      <c r="J46" s="557"/>
      <c r="K46" s="3106" t="s">
        <v>6175</v>
      </c>
      <c r="L46" s="3107"/>
      <c r="M46" s="3107"/>
      <c r="N46" s="3107"/>
      <c r="O46" s="3108"/>
      <c r="P46" s="3108"/>
      <c r="Q46" s="3107"/>
      <c r="R46" s="3109"/>
      <c r="S46" s="3107"/>
      <c r="T46" s="3107">
        <v>100000</v>
      </c>
      <c r="U46" s="3107" t="s">
        <v>4542</v>
      </c>
      <c r="V46" s="3107"/>
      <c r="W46" s="3107">
        <v>12</v>
      </c>
      <c r="X46" s="3107" t="s">
        <v>4547</v>
      </c>
      <c r="Y46" s="3107" t="s">
        <v>4540</v>
      </c>
      <c r="Z46" s="3110">
        <f t="shared" si="3"/>
        <v>1200</v>
      </c>
      <c r="AA46" s="2454">
        <f>T46*W46</f>
        <v>1200000</v>
      </c>
      <c r="AB46" s="423"/>
      <c r="AC46" s="423"/>
      <c r="AD46" s="1680"/>
    </row>
    <row r="47" spans="1:30" s="809" customFormat="1" ht="23.1" customHeight="1">
      <c r="A47" s="808"/>
      <c r="B47" s="2754"/>
      <c r="C47" s="2755"/>
      <c r="D47" s="564"/>
      <c r="E47" s="624"/>
      <c r="F47" s="624" t="s">
        <v>549</v>
      </c>
      <c r="G47" s="1917">
        <f>Z47</f>
        <v>3600</v>
      </c>
      <c r="H47" s="1917">
        <v>3600</v>
      </c>
      <c r="I47" s="3310"/>
      <c r="J47" s="2698"/>
      <c r="K47" s="3106" t="s">
        <v>6176</v>
      </c>
      <c r="L47" s="3107"/>
      <c r="M47" s="3107"/>
      <c r="N47" s="3107"/>
      <c r="O47" s="3108"/>
      <c r="P47" s="3107"/>
      <c r="Q47" s="3107"/>
      <c r="R47" s="3109"/>
      <c r="S47" s="3107"/>
      <c r="T47" s="3108">
        <v>300000</v>
      </c>
      <c r="U47" s="3107" t="s">
        <v>4542</v>
      </c>
      <c r="V47" s="3107"/>
      <c r="W47" s="3107">
        <v>12</v>
      </c>
      <c r="X47" s="3107" t="s">
        <v>4547</v>
      </c>
      <c r="Y47" s="3107" t="s">
        <v>4540</v>
      </c>
      <c r="Z47" s="3110">
        <f t="shared" si="3"/>
        <v>3600</v>
      </c>
      <c r="AA47" s="2454">
        <f>T47*W47</f>
        <v>3600000</v>
      </c>
      <c r="AB47" s="810"/>
      <c r="AC47" s="810"/>
    </row>
    <row r="48" spans="1:30" s="809" customFormat="1" ht="23.1" customHeight="1">
      <c r="A48" s="808"/>
      <c r="B48" s="2754"/>
      <c r="C48" s="2755"/>
      <c r="D48" s="564"/>
      <c r="E48" s="624"/>
      <c r="F48" s="624" t="s">
        <v>352</v>
      </c>
      <c r="G48" s="1917">
        <f>Z48</f>
        <v>400</v>
      </c>
      <c r="H48" s="2753">
        <v>400</v>
      </c>
      <c r="I48" s="3311"/>
      <c r="J48" s="2698"/>
      <c r="K48" s="1342" t="s">
        <v>6177</v>
      </c>
      <c r="L48" s="510"/>
      <c r="M48" s="510"/>
      <c r="N48" s="510"/>
      <c r="O48" s="617"/>
      <c r="P48" s="510"/>
      <c r="Q48" s="510"/>
      <c r="R48" s="507">
        <v>4</v>
      </c>
      <c r="S48" s="510" t="s">
        <v>4546</v>
      </c>
      <c r="T48" s="617">
        <v>100000</v>
      </c>
      <c r="U48" s="510" t="s">
        <v>4542</v>
      </c>
      <c r="V48" s="510"/>
      <c r="W48" s="510"/>
      <c r="X48" s="510"/>
      <c r="Y48" s="510" t="s">
        <v>4540</v>
      </c>
      <c r="Z48" s="3110">
        <f t="shared" si="3"/>
        <v>400</v>
      </c>
      <c r="AA48" s="2377">
        <f>R48*T48</f>
        <v>400000</v>
      </c>
      <c r="AB48" s="810"/>
      <c r="AC48" s="810"/>
    </row>
    <row r="49" spans="1:30" s="1653" customFormat="1" ht="23.1" customHeight="1">
      <c r="A49" s="456"/>
      <c r="B49" s="2754"/>
      <c r="C49" s="1663"/>
      <c r="D49" s="3836" t="s">
        <v>1344</v>
      </c>
      <c r="E49" s="3821"/>
      <c r="F49" s="3822"/>
      <c r="G49" s="2759">
        <f>SUM(G50+G52+G60)</f>
        <v>310000</v>
      </c>
      <c r="H49" s="1527">
        <f>SUM(H50+H52+H60)</f>
        <v>310000</v>
      </c>
      <c r="I49" s="579">
        <f t="shared" ref="I49:I50" si="4">G49-H49</f>
        <v>0</v>
      </c>
      <c r="J49" s="557"/>
      <c r="K49" s="1342"/>
      <c r="L49" s="510"/>
      <c r="M49" s="510"/>
      <c r="N49" s="510"/>
      <c r="O49" s="617"/>
      <c r="P49" s="510"/>
      <c r="Q49" s="510"/>
      <c r="R49" s="507"/>
      <c r="S49" s="510"/>
      <c r="T49" s="510"/>
      <c r="U49" s="510"/>
      <c r="V49" s="510"/>
      <c r="W49" s="510"/>
      <c r="X49" s="510"/>
      <c r="Y49" s="510"/>
      <c r="Z49" s="517"/>
      <c r="AA49" s="595"/>
      <c r="AB49" s="423"/>
      <c r="AC49" s="423"/>
      <c r="AD49" s="1680"/>
    </row>
    <row r="50" spans="1:30" s="1653" customFormat="1" ht="23.1" customHeight="1">
      <c r="A50" s="456"/>
      <c r="B50" s="2754"/>
      <c r="C50" s="2755"/>
      <c r="D50" s="564"/>
      <c r="E50" s="1376" t="s">
        <v>1345</v>
      </c>
      <c r="F50" s="1586"/>
      <c r="G50" s="2753">
        <v>22000</v>
      </c>
      <c r="H50" s="2753">
        <f>H51</f>
        <v>22000</v>
      </c>
      <c r="I50" s="529">
        <f t="shared" si="4"/>
        <v>0</v>
      </c>
      <c r="J50" s="557"/>
      <c r="K50" s="1342"/>
      <c r="L50" s="510"/>
      <c r="M50" s="510"/>
      <c r="N50" s="510"/>
      <c r="O50" s="617"/>
      <c r="P50" s="510"/>
      <c r="Q50" s="510"/>
      <c r="R50" s="507"/>
      <c r="S50" s="510"/>
      <c r="T50" s="510"/>
      <c r="U50" s="510"/>
      <c r="V50" s="510"/>
      <c r="W50" s="510"/>
      <c r="X50" s="510"/>
      <c r="Y50" s="510"/>
      <c r="Z50" s="478"/>
      <c r="AA50" s="2664"/>
      <c r="AB50" s="423"/>
      <c r="AC50" s="423"/>
      <c r="AD50" s="1680"/>
    </row>
    <row r="51" spans="1:30" s="1653" customFormat="1" ht="23.1" customHeight="1">
      <c r="A51" s="456"/>
      <c r="B51" s="2754"/>
      <c r="C51" s="2755"/>
      <c r="D51" s="564"/>
      <c r="E51" s="624"/>
      <c r="F51" s="624" t="s">
        <v>680</v>
      </c>
      <c r="G51" s="1917">
        <v>22000</v>
      </c>
      <c r="H51" s="2760">
        <v>22000</v>
      </c>
      <c r="I51" s="529"/>
      <c r="J51" s="557"/>
      <c r="K51" s="472" t="s">
        <v>1874</v>
      </c>
      <c r="L51" s="473"/>
      <c r="M51" s="473"/>
      <c r="N51" s="473"/>
      <c r="O51" s="474"/>
      <c r="P51" s="473"/>
      <c r="Q51" s="473"/>
      <c r="R51" s="475"/>
      <c r="S51" s="473"/>
      <c r="T51" s="1316">
        <v>100000</v>
      </c>
      <c r="U51" s="473" t="s">
        <v>37</v>
      </c>
      <c r="V51" s="473"/>
      <c r="W51" s="473">
        <v>250</v>
      </c>
      <c r="X51" s="473" t="s">
        <v>674</v>
      </c>
      <c r="Y51" s="473" t="s">
        <v>38</v>
      </c>
      <c r="Z51" s="483">
        <f>T51*W51/1000</f>
        <v>25000</v>
      </c>
      <c r="AA51" s="2664"/>
      <c r="AB51" s="423"/>
      <c r="AC51" s="423"/>
      <c r="AD51" s="1680"/>
    </row>
    <row r="52" spans="1:30" s="1653" customFormat="1" ht="23.1" customHeight="1">
      <c r="A52" s="456"/>
      <c r="B52" s="2754"/>
      <c r="C52" s="2755"/>
      <c r="D52" s="564"/>
      <c r="E52" s="1386" t="s">
        <v>1498</v>
      </c>
      <c r="F52" s="2710"/>
      <c r="G52" s="2759">
        <f>SUM(G53:G59)</f>
        <v>140800</v>
      </c>
      <c r="H52" s="2759">
        <f>SUM(H53:H59)</f>
        <v>140800</v>
      </c>
      <c r="I52" s="529">
        <f t="shared" ref="I52" si="5">G52-H52</f>
        <v>0</v>
      </c>
      <c r="J52" s="557"/>
      <c r="K52" s="1348"/>
      <c r="L52" s="621"/>
      <c r="M52" s="621"/>
      <c r="N52" s="621"/>
      <c r="O52" s="545"/>
      <c r="P52" s="545"/>
      <c r="Q52" s="621"/>
      <c r="R52" s="1349"/>
      <c r="S52" s="621"/>
      <c r="T52" s="621"/>
      <c r="U52" s="621"/>
      <c r="V52" s="621"/>
      <c r="W52" s="621"/>
      <c r="X52" s="621"/>
      <c r="Y52" s="621"/>
      <c r="Z52" s="517"/>
      <c r="AA52" s="2664"/>
      <c r="AB52" s="423"/>
      <c r="AC52" s="423"/>
      <c r="AD52" s="1680"/>
    </row>
    <row r="53" spans="1:30" s="809" customFormat="1" ht="23.1" customHeight="1">
      <c r="A53" s="808"/>
      <c r="B53" s="2754"/>
      <c r="C53" s="2755"/>
      <c r="D53" s="564"/>
      <c r="E53" s="624"/>
      <c r="F53" s="624" t="s">
        <v>530</v>
      </c>
      <c r="G53" s="1917">
        <f>Z53</f>
        <v>3000</v>
      </c>
      <c r="H53" s="1917">
        <v>3000</v>
      </c>
      <c r="I53" s="551"/>
      <c r="J53" s="2698"/>
      <c r="K53" s="472" t="s">
        <v>1875</v>
      </c>
      <c r="L53" s="473"/>
      <c r="M53" s="473"/>
      <c r="N53" s="473"/>
      <c r="O53" s="474"/>
      <c r="P53" s="473"/>
      <c r="Q53" s="473"/>
      <c r="R53" s="475"/>
      <c r="S53" s="473"/>
      <c r="T53" s="474">
        <v>1500000</v>
      </c>
      <c r="U53" s="473" t="s">
        <v>37</v>
      </c>
      <c r="V53" s="473"/>
      <c r="W53" s="473">
        <v>2</v>
      </c>
      <c r="X53" s="473" t="s">
        <v>39</v>
      </c>
      <c r="Y53" s="473" t="s">
        <v>38</v>
      </c>
      <c r="Z53" s="483">
        <f>T53*W53/1000</f>
        <v>3000</v>
      </c>
      <c r="AA53" s="2761"/>
      <c r="AB53" s="810"/>
      <c r="AC53" s="810"/>
    </row>
    <row r="54" spans="1:30" s="1653" customFormat="1" ht="23.1" customHeight="1">
      <c r="A54" s="456"/>
      <c r="B54" s="2754"/>
      <c r="C54" s="2755"/>
      <c r="D54" s="564"/>
      <c r="E54" s="624"/>
      <c r="F54" s="624" t="s">
        <v>438</v>
      </c>
      <c r="G54" s="1917">
        <f>Z54</f>
        <v>137300</v>
      </c>
      <c r="H54" s="1917">
        <v>137300</v>
      </c>
      <c r="I54" s="551"/>
      <c r="J54" s="557"/>
      <c r="K54" s="472" t="s">
        <v>465</v>
      </c>
      <c r="L54" s="473"/>
      <c r="M54" s="2758"/>
      <c r="N54" s="473"/>
      <c r="O54" s="474"/>
      <c r="P54" s="474"/>
      <c r="Q54" s="473"/>
      <c r="R54" s="475"/>
      <c r="S54" s="473"/>
      <c r="T54" s="473"/>
      <c r="U54" s="473"/>
      <c r="V54" s="473"/>
      <c r="W54" s="473"/>
      <c r="X54" s="473"/>
      <c r="Y54" s="473"/>
      <c r="Z54" s="483">
        <f>SUM(Z55:Z58)</f>
        <v>137300</v>
      </c>
      <c r="AA54" s="2664"/>
      <c r="AB54" s="423"/>
      <c r="AC54" s="423"/>
      <c r="AD54" s="1680"/>
    </row>
    <row r="55" spans="1:30" s="809" customFormat="1" ht="23.1" customHeight="1">
      <c r="A55" s="808"/>
      <c r="B55" s="2437"/>
      <c r="C55" s="2438"/>
      <c r="D55" s="564"/>
      <c r="E55" s="624"/>
      <c r="F55" s="624"/>
      <c r="G55" s="1917"/>
      <c r="H55" s="1917"/>
      <c r="I55" s="551"/>
      <c r="J55" s="2698"/>
      <c r="K55" s="472" t="s">
        <v>1889</v>
      </c>
      <c r="L55" s="473"/>
      <c r="M55" s="473"/>
      <c r="N55" s="473"/>
      <c r="O55" s="474"/>
      <c r="P55" s="473"/>
      <c r="Q55" s="473"/>
      <c r="R55" s="475"/>
      <c r="S55" s="473"/>
      <c r="T55" s="1316">
        <v>50000</v>
      </c>
      <c r="U55" s="473" t="s">
        <v>1492</v>
      </c>
      <c r="V55" s="473"/>
      <c r="W55" s="473">
        <v>180</v>
      </c>
      <c r="X55" s="473" t="s">
        <v>663</v>
      </c>
      <c r="Y55" s="473" t="s">
        <v>38</v>
      </c>
      <c r="Z55" s="483">
        <f t="shared" ref="Z55:Z59" si="6">T55*W55/1000</f>
        <v>9000</v>
      </c>
      <c r="AA55" s="2761"/>
      <c r="AB55" s="810"/>
      <c r="AC55" s="810"/>
    </row>
    <row r="56" spans="1:30" s="1653" customFormat="1" ht="23.1" customHeight="1">
      <c r="A56" s="456"/>
      <c r="B56" s="2437"/>
      <c r="C56" s="2438"/>
      <c r="D56" s="564"/>
      <c r="E56" s="624"/>
      <c r="F56" s="624"/>
      <c r="G56" s="1917"/>
      <c r="H56" s="1917"/>
      <c r="I56" s="551"/>
      <c r="J56" s="557"/>
      <c r="K56" s="472" t="s">
        <v>1890</v>
      </c>
      <c r="L56" s="473"/>
      <c r="M56" s="473"/>
      <c r="N56" s="473"/>
      <c r="O56" s="474"/>
      <c r="P56" s="473"/>
      <c r="Q56" s="473"/>
      <c r="R56" s="475"/>
      <c r="S56" s="473"/>
      <c r="T56" s="1316">
        <v>7500000</v>
      </c>
      <c r="U56" s="473" t="s">
        <v>37</v>
      </c>
      <c r="V56" s="473"/>
      <c r="W56" s="473">
        <v>1</v>
      </c>
      <c r="X56" s="473" t="s">
        <v>226</v>
      </c>
      <c r="Y56" s="473" t="s">
        <v>38</v>
      </c>
      <c r="Z56" s="483">
        <f t="shared" si="6"/>
        <v>7500</v>
      </c>
      <c r="AA56" s="2664"/>
      <c r="AB56" s="423"/>
      <c r="AC56" s="423"/>
      <c r="AD56" s="1680"/>
    </row>
    <row r="57" spans="1:30" s="1653" customFormat="1" ht="23.1" customHeight="1">
      <c r="A57" s="456"/>
      <c r="B57" s="2437"/>
      <c r="C57" s="2438"/>
      <c r="D57" s="564"/>
      <c r="E57" s="548"/>
      <c r="F57" s="624"/>
      <c r="G57" s="1917"/>
      <c r="H57" s="1917"/>
      <c r="I57" s="551"/>
      <c r="J57" s="557"/>
      <c r="K57" s="472" t="s">
        <v>1891</v>
      </c>
      <c r="L57" s="473"/>
      <c r="M57" s="473"/>
      <c r="N57" s="473"/>
      <c r="O57" s="474"/>
      <c r="P57" s="473"/>
      <c r="Q57" s="473"/>
      <c r="R57" s="475"/>
      <c r="S57" s="473"/>
      <c r="T57" s="1316">
        <v>50000000</v>
      </c>
      <c r="U57" s="473" t="s">
        <v>37</v>
      </c>
      <c r="V57" s="473"/>
      <c r="W57" s="473">
        <v>1</v>
      </c>
      <c r="X57" s="473" t="s">
        <v>226</v>
      </c>
      <c r="Y57" s="473" t="s">
        <v>38</v>
      </c>
      <c r="Z57" s="483">
        <f t="shared" si="6"/>
        <v>50000</v>
      </c>
      <c r="AA57" s="2664"/>
      <c r="AB57" s="423"/>
      <c r="AC57" s="423"/>
      <c r="AD57" s="1680"/>
    </row>
    <row r="58" spans="1:30" s="809" customFormat="1" ht="23.1" customHeight="1">
      <c r="A58" s="808"/>
      <c r="B58" s="2437"/>
      <c r="C58" s="2438"/>
      <c r="D58" s="624"/>
      <c r="E58" s="548"/>
      <c r="F58" s="624"/>
      <c r="G58" s="1917"/>
      <c r="H58" s="1917"/>
      <c r="I58" s="551"/>
      <c r="J58" s="2698"/>
      <c r="K58" s="472" t="s">
        <v>1892</v>
      </c>
      <c r="L58" s="473"/>
      <c r="M58" s="473"/>
      <c r="N58" s="473"/>
      <c r="O58" s="474"/>
      <c r="P58" s="473"/>
      <c r="Q58" s="473"/>
      <c r="R58" s="475"/>
      <c r="S58" s="473"/>
      <c r="T58" s="1316">
        <v>70800000</v>
      </c>
      <c r="U58" s="473" t="s">
        <v>37</v>
      </c>
      <c r="V58" s="473"/>
      <c r="W58" s="473">
        <v>1</v>
      </c>
      <c r="X58" s="473" t="s">
        <v>226</v>
      </c>
      <c r="Y58" s="473" t="s">
        <v>38</v>
      </c>
      <c r="Z58" s="483">
        <f t="shared" si="6"/>
        <v>70800</v>
      </c>
      <c r="AA58" s="2761"/>
      <c r="AB58" s="810"/>
      <c r="AC58" s="810"/>
    </row>
    <row r="59" spans="1:30" s="809" customFormat="1" ht="23.1" customHeight="1">
      <c r="A59" s="808"/>
      <c r="B59" s="2754"/>
      <c r="C59" s="2755"/>
      <c r="D59" s="564"/>
      <c r="E59" s="624"/>
      <c r="F59" s="624" t="s">
        <v>452</v>
      </c>
      <c r="G59" s="1917">
        <f t="shared" ref="G59" si="7">Z59</f>
        <v>500</v>
      </c>
      <c r="H59" s="1917">
        <v>500</v>
      </c>
      <c r="I59" s="551"/>
      <c r="J59" s="2698"/>
      <c r="K59" s="472" t="s">
        <v>1314</v>
      </c>
      <c r="L59" s="473"/>
      <c r="M59" s="473"/>
      <c r="N59" s="473"/>
      <c r="O59" s="474"/>
      <c r="P59" s="474"/>
      <c r="Q59" s="473"/>
      <c r="R59" s="475"/>
      <c r="S59" s="473"/>
      <c r="T59" s="473">
        <v>250000</v>
      </c>
      <c r="U59" s="473" t="s">
        <v>37</v>
      </c>
      <c r="V59" s="473"/>
      <c r="W59" s="473">
        <v>2</v>
      </c>
      <c r="X59" s="473" t="s">
        <v>39</v>
      </c>
      <c r="Y59" s="473" t="s">
        <v>38</v>
      </c>
      <c r="Z59" s="483">
        <f t="shared" si="6"/>
        <v>500</v>
      </c>
      <c r="AA59" s="2761"/>
      <c r="AB59" s="810"/>
      <c r="AC59" s="810"/>
    </row>
    <row r="60" spans="1:30" s="1653" customFormat="1" ht="23.1" customHeight="1">
      <c r="A60" s="456"/>
      <c r="B60" s="2437"/>
      <c r="C60" s="2438"/>
      <c r="D60" s="564"/>
      <c r="E60" s="1386" t="s">
        <v>1499</v>
      </c>
      <c r="F60" s="2710"/>
      <c r="G60" s="2759">
        <f>SUM(G61:G68)</f>
        <v>147200</v>
      </c>
      <c r="H60" s="2759">
        <f>SUM(H61:H68)</f>
        <v>147200</v>
      </c>
      <c r="I60" s="529">
        <f t="shared" ref="I60:I76" si="8">G60-H60</f>
        <v>0</v>
      </c>
      <c r="J60" s="557"/>
      <c r="K60" s="1348"/>
      <c r="L60" s="621"/>
      <c r="M60" s="621"/>
      <c r="N60" s="621"/>
      <c r="O60" s="545"/>
      <c r="P60" s="545"/>
      <c r="Q60" s="621"/>
      <c r="R60" s="1349"/>
      <c r="S60" s="621"/>
      <c r="T60" s="621"/>
      <c r="U60" s="621"/>
      <c r="V60" s="621"/>
      <c r="W60" s="621"/>
      <c r="X60" s="621"/>
      <c r="Y60" s="621"/>
      <c r="Z60" s="517" t="s">
        <v>48</v>
      </c>
      <c r="AA60" s="2664"/>
      <c r="AB60" s="423"/>
      <c r="AC60" s="423"/>
      <c r="AD60" s="1680"/>
    </row>
    <row r="61" spans="1:30" s="1653" customFormat="1" ht="23.1" customHeight="1">
      <c r="A61" s="456"/>
      <c r="B61" s="2437"/>
      <c r="C61" s="2438"/>
      <c r="D61" s="564"/>
      <c r="E61" s="624"/>
      <c r="F61" s="624" t="s">
        <v>609</v>
      </c>
      <c r="G61" s="1917">
        <f>Z61</f>
        <v>95000</v>
      </c>
      <c r="H61" s="1917">
        <v>95000</v>
      </c>
      <c r="I61" s="551"/>
      <c r="J61" s="557"/>
      <c r="K61" s="472" t="s">
        <v>465</v>
      </c>
      <c r="L61" s="473"/>
      <c r="M61" s="2758"/>
      <c r="N61" s="473"/>
      <c r="O61" s="474"/>
      <c r="P61" s="474"/>
      <c r="Q61" s="473"/>
      <c r="R61" s="475"/>
      <c r="S61" s="473"/>
      <c r="T61" s="473"/>
      <c r="U61" s="473"/>
      <c r="V61" s="473"/>
      <c r="W61" s="473"/>
      <c r="X61" s="473"/>
      <c r="Y61" s="473"/>
      <c r="Z61" s="483">
        <f>SUM(Z62:Z63)</f>
        <v>95000</v>
      </c>
      <c r="AA61" s="2664"/>
      <c r="AB61" s="423"/>
      <c r="AC61" s="423"/>
      <c r="AD61" s="1680"/>
    </row>
    <row r="62" spans="1:30" s="809" customFormat="1" ht="23.1" customHeight="1">
      <c r="A62" s="808"/>
      <c r="B62" s="2437"/>
      <c r="C62" s="2438"/>
      <c r="D62" s="564"/>
      <c r="E62" s="624"/>
      <c r="F62" s="624"/>
      <c r="G62" s="1917"/>
      <c r="H62" s="1917"/>
      <c r="I62" s="551"/>
      <c r="J62" s="2698"/>
      <c r="K62" s="472" t="s">
        <v>1893</v>
      </c>
      <c r="L62" s="473"/>
      <c r="M62" s="2758"/>
      <c r="N62" s="473"/>
      <c r="O62" s="474"/>
      <c r="P62" s="474"/>
      <c r="Q62" s="473"/>
      <c r="R62" s="475"/>
      <c r="S62" s="473"/>
      <c r="T62" s="473">
        <v>400000</v>
      </c>
      <c r="U62" s="473" t="s">
        <v>37</v>
      </c>
      <c r="V62" s="473"/>
      <c r="W62" s="473">
        <v>10</v>
      </c>
      <c r="X62" s="473" t="s">
        <v>226</v>
      </c>
      <c r="Y62" s="473" t="s">
        <v>38</v>
      </c>
      <c r="Z62" s="483">
        <f>T62*W62/1000</f>
        <v>4000</v>
      </c>
      <c r="AA62" s="2761"/>
      <c r="AB62" s="810"/>
      <c r="AC62" s="810"/>
    </row>
    <row r="63" spans="1:30" s="1653" customFormat="1" ht="23.1" customHeight="1">
      <c r="A63" s="456"/>
      <c r="B63" s="2437"/>
      <c r="C63" s="2438"/>
      <c r="D63" s="564"/>
      <c r="E63" s="624"/>
      <c r="F63" s="624"/>
      <c r="G63" s="1917"/>
      <c r="H63" s="1917"/>
      <c r="I63" s="551"/>
      <c r="J63" s="557"/>
      <c r="K63" s="472" t="s">
        <v>1894</v>
      </c>
      <c r="L63" s="473"/>
      <c r="M63" s="473"/>
      <c r="N63" s="473"/>
      <c r="O63" s="474"/>
      <c r="P63" s="473"/>
      <c r="Q63" s="473"/>
      <c r="R63" s="475"/>
      <c r="S63" s="473"/>
      <c r="T63" s="474">
        <v>91000000</v>
      </c>
      <c r="U63" s="473" t="s">
        <v>37</v>
      </c>
      <c r="V63" s="473"/>
      <c r="W63" s="473">
        <v>1</v>
      </c>
      <c r="X63" s="473" t="s">
        <v>226</v>
      </c>
      <c r="Y63" s="473" t="s">
        <v>38</v>
      </c>
      <c r="Z63" s="483">
        <f>T63*W63/1000</f>
        <v>91000</v>
      </c>
      <c r="AA63" s="2664"/>
      <c r="AB63" s="423"/>
      <c r="AC63" s="423"/>
      <c r="AD63" s="1680"/>
    </row>
    <row r="64" spans="1:30" s="3066" customFormat="1" ht="23.1" customHeight="1">
      <c r="A64" s="3065"/>
      <c r="B64" s="2437"/>
      <c r="C64" s="2438"/>
      <c r="D64" s="3068"/>
      <c r="E64" s="3068"/>
      <c r="F64" s="3068" t="s">
        <v>58</v>
      </c>
      <c r="G64" s="1917">
        <f>Z64</f>
        <v>1050</v>
      </c>
      <c r="H64" s="1917">
        <v>1050</v>
      </c>
      <c r="I64" s="551"/>
      <c r="J64" s="557"/>
      <c r="K64" s="3076" t="s">
        <v>4056</v>
      </c>
      <c r="L64" s="3075"/>
      <c r="M64" s="3075"/>
      <c r="N64" s="3075"/>
      <c r="O64" s="3073"/>
      <c r="P64" s="3075"/>
      <c r="Q64" s="3075"/>
      <c r="R64" s="3077"/>
      <c r="S64" s="3075"/>
      <c r="T64" s="3074">
        <v>150000</v>
      </c>
      <c r="U64" s="3075" t="s">
        <v>0</v>
      </c>
      <c r="V64" s="3075"/>
      <c r="W64" s="3075">
        <v>7</v>
      </c>
      <c r="X64" s="3075" t="s">
        <v>28</v>
      </c>
      <c r="Y64" s="3075" t="s">
        <v>1</v>
      </c>
      <c r="Z64" s="3083">
        <f>T64*W64/1000</f>
        <v>1050</v>
      </c>
      <c r="AA64" s="2664"/>
      <c r="AB64" s="423"/>
      <c r="AC64" s="423"/>
    </row>
    <row r="65" spans="1:30" s="1653" customFormat="1" ht="23.1" customHeight="1">
      <c r="A65" s="456"/>
      <c r="B65" s="2437"/>
      <c r="C65" s="2438"/>
      <c r="D65" s="564"/>
      <c r="E65" s="624"/>
      <c r="F65" s="624" t="s">
        <v>438</v>
      </c>
      <c r="G65" s="1917">
        <f>Z65</f>
        <v>51000</v>
      </c>
      <c r="H65" s="1917">
        <v>51000</v>
      </c>
      <c r="I65" s="551"/>
      <c r="J65" s="557"/>
      <c r="K65" s="3067" t="s">
        <v>224</v>
      </c>
      <c r="L65" s="473"/>
      <c r="M65" s="2758"/>
      <c r="N65" s="473"/>
      <c r="O65" s="474"/>
      <c r="P65" s="474"/>
      <c r="Q65" s="473"/>
      <c r="R65" s="475"/>
      <c r="S65" s="473"/>
      <c r="T65" s="473"/>
      <c r="U65" s="473"/>
      <c r="V65" s="473"/>
      <c r="W65" s="473"/>
      <c r="X65" s="473"/>
      <c r="Y65" s="473"/>
      <c r="Z65" s="483">
        <f>SUM(Z66:Z67)</f>
        <v>51000</v>
      </c>
      <c r="AA65" s="2664"/>
      <c r="AB65" s="423"/>
      <c r="AC65" s="423"/>
      <c r="AD65" s="1680"/>
    </row>
    <row r="66" spans="1:30" s="1653" customFormat="1" ht="23.1" customHeight="1">
      <c r="A66" s="456"/>
      <c r="B66" s="2437"/>
      <c r="C66" s="2438"/>
      <c r="D66" s="564"/>
      <c r="E66" s="624"/>
      <c r="F66" s="624"/>
      <c r="G66" s="1917"/>
      <c r="H66" s="1917"/>
      <c r="I66" s="551"/>
      <c r="J66" s="557"/>
      <c r="K66" s="472" t="s">
        <v>1895</v>
      </c>
      <c r="L66" s="473"/>
      <c r="M66" s="2758"/>
      <c r="N66" s="473"/>
      <c r="O66" s="474"/>
      <c r="P66" s="474"/>
      <c r="Q66" s="473"/>
      <c r="R66" s="475"/>
      <c r="S66" s="473"/>
      <c r="T66" s="473">
        <v>39000000</v>
      </c>
      <c r="U66" s="473" t="s">
        <v>37</v>
      </c>
      <c r="V66" s="473"/>
      <c r="W66" s="473">
        <v>1</v>
      </c>
      <c r="X66" s="473" t="s">
        <v>226</v>
      </c>
      <c r="Y66" s="473" t="s">
        <v>38</v>
      </c>
      <c r="Z66" s="483">
        <f>T66*W66/1000</f>
        <v>39000</v>
      </c>
      <c r="AA66" s="2664"/>
      <c r="AB66" s="423"/>
      <c r="AC66" s="423"/>
      <c r="AD66" s="1680"/>
    </row>
    <row r="67" spans="1:30" s="1653" customFormat="1" ht="23.1" customHeight="1">
      <c r="A67" s="456"/>
      <c r="B67" s="2437"/>
      <c r="C67" s="2438"/>
      <c r="D67" s="564"/>
      <c r="E67" s="624"/>
      <c r="F67" s="624"/>
      <c r="G67" s="1917"/>
      <c r="H67" s="1917"/>
      <c r="I67" s="551"/>
      <c r="J67" s="557"/>
      <c r="K67" s="472" t="s">
        <v>1896</v>
      </c>
      <c r="L67" s="473"/>
      <c r="M67" s="2758"/>
      <c r="N67" s="473"/>
      <c r="O67" s="474"/>
      <c r="P67" s="474"/>
      <c r="Q67" s="473"/>
      <c r="R67" s="475"/>
      <c r="S67" s="473"/>
      <c r="T67" s="473">
        <v>6000000</v>
      </c>
      <c r="U67" s="473" t="s">
        <v>37</v>
      </c>
      <c r="V67" s="473"/>
      <c r="W67" s="473">
        <v>2</v>
      </c>
      <c r="X67" s="473" t="s">
        <v>226</v>
      </c>
      <c r="Y67" s="473" t="s">
        <v>38</v>
      </c>
      <c r="Z67" s="483">
        <f>T67*W67/1000</f>
        <v>12000</v>
      </c>
      <c r="AA67" s="2664"/>
      <c r="AB67" s="423"/>
      <c r="AC67" s="423"/>
      <c r="AD67" s="1680"/>
    </row>
    <row r="68" spans="1:30" s="3066" customFormat="1" ht="23.1" customHeight="1">
      <c r="A68" s="3065"/>
      <c r="B68" s="2437"/>
      <c r="C68" s="2438"/>
      <c r="D68" s="3068"/>
      <c r="E68" s="3069"/>
      <c r="F68" s="3070" t="s">
        <v>61</v>
      </c>
      <c r="G68" s="1917">
        <f>Z68</f>
        <v>150</v>
      </c>
      <c r="H68" s="1917">
        <v>150</v>
      </c>
      <c r="I68" s="551"/>
      <c r="J68" s="557"/>
      <c r="K68" s="3076" t="s">
        <v>4057</v>
      </c>
      <c r="L68" s="3075"/>
      <c r="M68" s="3075"/>
      <c r="N68" s="3075"/>
      <c r="O68" s="3073"/>
      <c r="P68" s="3075"/>
      <c r="Q68" s="3075"/>
      <c r="R68" s="3077"/>
      <c r="S68" s="3075"/>
      <c r="T68" s="3074">
        <v>15000</v>
      </c>
      <c r="U68" s="3075" t="s">
        <v>0</v>
      </c>
      <c r="V68" s="3075"/>
      <c r="W68" s="3075">
        <v>10</v>
      </c>
      <c r="X68" s="3075" t="s">
        <v>28</v>
      </c>
      <c r="Y68" s="3075" t="s">
        <v>1</v>
      </c>
      <c r="Z68" s="3083">
        <f t="shared" ref="Z68" si="9">T68*W68/1000</f>
        <v>150</v>
      </c>
      <c r="AA68" s="2664"/>
      <c r="AB68" s="423"/>
      <c r="AC68" s="423"/>
    </row>
    <row r="69" spans="1:30" s="1653" customFormat="1" ht="23.1" customHeight="1">
      <c r="A69" s="456"/>
      <c r="B69" s="2353"/>
      <c r="C69" s="2762"/>
      <c r="D69" s="3836" t="s">
        <v>1500</v>
      </c>
      <c r="E69" s="3821"/>
      <c r="F69" s="3822"/>
      <c r="G69" s="2759">
        <f>G70+G72+G76+G86+G105</f>
        <v>155000</v>
      </c>
      <c r="H69" s="2759">
        <f>H70+H72+H76+H86+H105</f>
        <v>155000</v>
      </c>
      <c r="I69" s="529">
        <f t="shared" ref="I69" si="10">G69-H69</f>
        <v>0</v>
      </c>
      <c r="J69" s="557"/>
      <c r="K69" s="1348"/>
      <c r="L69" s="621"/>
      <c r="M69" s="621"/>
      <c r="N69" s="621"/>
      <c r="O69" s="545"/>
      <c r="P69" s="621"/>
      <c r="Q69" s="621"/>
      <c r="R69" s="1349"/>
      <c r="S69" s="621"/>
      <c r="T69" s="621"/>
      <c r="U69" s="621"/>
      <c r="V69" s="621"/>
      <c r="W69" s="621"/>
      <c r="X69" s="621"/>
      <c r="Y69" s="621"/>
      <c r="Z69" s="517"/>
      <c r="AA69" s="2664"/>
      <c r="AB69" s="423"/>
      <c r="AC69" s="423"/>
      <c r="AD69" s="1680"/>
    </row>
    <row r="70" spans="1:30" s="1653" customFormat="1" ht="23.1" customHeight="1">
      <c r="A70" s="456"/>
      <c r="B70" s="2353"/>
      <c r="C70" s="2762"/>
      <c r="D70" s="1319"/>
      <c r="E70" s="1376" t="s">
        <v>1501</v>
      </c>
      <c r="F70" s="1586"/>
      <c r="G70" s="2753">
        <f>SUM(G71:G71)</f>
        <v>48000</v>
      </c>
      <c r="H70" s="1527">
        <f t="shared" ref="H70" si="11">SUM(H71:H71)</f>
        <v>48000</v>
      </c>
      <c r="I70" s="529">
        <f t="shared" ref="I70" si="12">G70-H70</f>
        <v>0</v>
      </c>
      <c r="J70" s="557"/>
      <c r="K70" s="1342"/>
      <c r="L70" s="510"/>
      <c r="M70" s="510"/>
      <c r="N70" s="510"/>
      <c r="O70" s="617"/>
      <c r="P70" s="510"/>
      <c r="Q70" s="510"/>
      <c r="R70" s="507"/>
      <c r="S70" s="510"/>
      <c r="T70" s="510"/>
      <c r="U70" s="510"/>
      <c r="V70" s="510"/>
      <c r="W70" s="510"/>
      <c r="X70" s="510"/>
      <c r="Y70" s="510"/>
      <c r="Z70" s="478"/>
      <c r="AA70" s="2664"/>
      <c r="AB70" s="423"/>
      <c r="AC70" s="423"/>
      <c r="AD70" s="1680"/>
    </row>
    <row r="71" spans="1:30" s="809" customFormat="1" ht="23.1" customHeight="1">
      <c r="A71" s="808"/>
      <c r="B71" s="2353"/>
      <c r="C71" s="2762"/>
      <c r="D71" s="624"/>
      <c r="E71" s="624"/>
      <c r="F71" s="624" t="s">
        <v>912</v>
      </c>
      <c r="G71" s="1917">
        <f>Z71</f>
        <v>48000</v>
      </c>
      <c r="H71" s="1917">
        <v>48000</v>
      </c>
      <c r="I71" s="529"/>
      <c r="J71" s="2698"/>
      <c r="K71" s="472" t="s">
        <v>1876</v>
      </c>
      <c r="L71" s="473"/>
      <c r="M71" s="473"/>
      <c r="N71" s="473"/>
      <c r="O71" s="474"/>
      <c r="P71" s="473"/>
      <c r="Q71" s="473"/>
      <c r="R71" s="475"/>
      <c r="S71" s="473"/>
      <c r="T71" s="1316">
        <v>4000</v>
      </c>
      <c r="U71" s="473" t="s">
        <v>37</v>
      </c>
      <c r="V71" s="473"/>
      <c r="W71" s="473">
        <v>12000</v>
      </c>
      <c r="X71" s="473" t="s">
        <v>51</v>
      </c>
      <c r="Y71" s="473" t="s">
        <v>38</v>
      </c>
      <c r="Z71" s="483">
        <f>T71*W71/1000</f>
        <v>48000</v>
      </c>
      <c r="AA71" s="2699"/>
      <c r="AB71" s="810"/>
      <c r="AC71" s="810"/>
    </row>
    <row r="72" spans="1:30" s="1653" customFormat="1" ht="23.1" customHeight="1">
      <c r="A72" s="456" t="s">
        <v>1279</v>
      </c>
      <c r="B72" s="2353"/>
      <c r="C72" s="2762"/>
      <c r="D72" s="624"/>
      <c r="E72" s="1386" t="s">
        <v>1502</v>
      </c>
      <c r="F72" s="2710"/>
      <c r="G72" s="2759">
        <f>SUM(G73:G75)</f>
        <v>12000</v>
      </c>
      <c r="H72" s="2759">
        <f>SUM(H73:H75)</f>
        <v>12000</v>
      </c>
      <c r="I72" s="529">
        <f t="shared" si="8"/>
        <v>0</v>
      </c>
      <c r="J72" s="557"/>
      <c r="K72" s="1348"/>
      <c r="L72" s="621"/>
      <c r="M72" s="621"/>
      <c r="N72" s="621"/>
      <c r="O72" s="545"/>
      <c r="P72" s="545"/>
      <c r="Q72" s="621"/>
      <c r="R72" s="1349"/>
      <c r="S72" s="621"/>
      <c r="T72" s="621"/>
      <c r="U72" s="621"/>
      <c r="V72" s="621"/>
      <c r="W72" s="621"/>
      <c r="X72" s="621"/>
      <c r="Y72" s="621"/>
      <c r="Z72" s="517" t="s">
        <v>48</v>
      </c>
      <c r="AA72" s="622"/>
      <c r="AB72" s="423"/>
      <c r="AC72" s="423"/>
      <c r="AD72" s="1680"/>
    </row>
    <row r="73" spans="1:30" ht="23.1" customHeight="1">
      <c r="B73" s="2353"/>
      <c r="C73" s="2762"/>
      <c r="D73" s="624"/>
      <c r="E73" s="624"/>
      <c r="F73" s="624" t="s">
        <v>448</v>
      </c>
      <c r="G73" s="1917">
        <f>Z73</f>
        <v>7200</v>
      </c>
      <c r="H73" s="1917">
        <v>7200</v>
      </c>
      <c r="I73" s="551"/>
      <c r="J73" s="557"/>
      <c r="K73" s="472" t="s">
        <v>1878</v>
      </c>
      <c r="L73" s="473"/>
      <c r="M73" s="473"/>
      <c r="N73" s="473"/>
      <c r="O73" s="474"/>
      <c r="P73" s="474"/>
      <c r="Q73" s="473"/>
      <c r="R73" s="475"/>
      <c r="S73" s="473"/>
      <c r="T73" s="473">
        <v>20000</v>
      </c>
      <c r="U73" s="473" t="s">
        <v>37</v>
      </c>
      <c r="V73" s="473"/>
      <c r="W73" s="473">
        <v>360</v>
      </c>
      <c r="X73" s="473" t="s">
        <v>894</v>
      </c>
      <c r="Y73" s="473" t="s">
        <v>38</v>
      </c>
      <c r="Z73" s="483">
        <f>T73*W73/1000</f>
        <v>7200</v>
      </c>
      <c r="AA73" s="2661"/>
      <c r="AB73" s="423"/>
      <c r="AC73" s="423"/>
    </row>
    <row r="74" spans="1:30" ht="23.1" customHeight="1">
      <c r="B74" s="2353"/>
      <c r="C74" s="2762"/>
      <c r="D74" s="624"/>
      <c r="E74" s="624"/>
      <c r="F74" s="624" t="s">
        <v>530</v>
      </c>
      <c r="G74" s="1917">
        <f>Z74</f>
        <v>4000</v>
      </c>
      <c r="H74" s="1917">
        <v>4000</v>
      </c>
      <c r="I74" s="551"/>
      <c r="J74" s="557"/>
      <c r="K74" s="472" t="s">
        <v>1877</v>
      </c>
      <c r="L74" s="473"/>
      <c r="M74" s="473"/>
      <c r="N74" s="473"/>
      <c r="O74" s="2763"/>
      <c r="P74" s="2763"/>
      <c r="Q74" s="473"/>
      <c r="R74" s="475">
        <v>5</v>
      </c>
      <c r="S74" s="473" t="s">
        <v>25</v>
      </c>
      <c r="T74" s="473">
        <v>200000</v>
      </c>
      <c r="U74" s="473" t="s">
        <v>0</v>
      </c>
      <c r="V74" s="473"/>
      <c r="W74" s="473">
        <v>4</v>
      </c>
      <c r="X74" s="473" t="s">
        <v>3</v>
      </c>
      <c r="Y74" s="473" t="s">
        <v>1</v>
      </c>
      <c r="Z74" s="2764">
        <f>R74*T74*W74/1000</f>
        <v>4000</v>
      </c>
      <c r="AA74" s="2661"/>
      <c r="AB74" s="423"/>
      <c r="AC74" s="423"/>
    </row>
    <row r="75" spans="1:30" ht="23.1" customHeight="1">
      <c r="B75" s="2353"/>
      <c r="C75" s="2762"/>
      <c r="D75" s="624"/>
      <c r="E75" s="624"/>
      <c r="F75" s="624" t="s">
        <v>73</v>
      </c>
      <c r="G75" s="2753">
        <f>Z75</f>
        <v>800</v>
      </c>
      <c r="H75" s="2753">
        <v>800</v>
      </c>
      <c r="I75" s="551"/>
      <c r="J75" s="557"/>
      <c r="K75" s="472" t="s">
        <v>1879</v>
      </c>
      <c r="L75" s="473"/>
      <c r="M75" s="473"/>
      <c r="N75" s="473"/>
      <c r="O75" s="474"/>
      <c r="P75" s="474"/>
      <c r="Q75" s="473"/>
      <c r="R75" s="475"/>
      <c r="S75" s="473"/>
      <c r="T75" s="473">
        <v>200000</v>
      </c>
      <c r="U75" s="473" t="s">
        <v>37</v>
      </c>
      <c r="V75" s="473"/>
      <c r="W75" s="473">
        <v>4</v>
      </c>
      <c r="X75" s="473" t="s">
        <v>39</v>
      </c>
      <c r="Y75" s="473" t="s">
        <v>38</v>
      </c>
      <c r="Z75" s="483">
        <f>T75*W75/1000</f>
        <v>800</v>
      </c>
      <c r="AA75" s="2661"/>
      <c r="AB75" s="423"/>
      <c r="AC75" s="423"/>
    </row>
    <row r="76" spans="1:30" ht="23.1" customHeight="1">
      <c r="B76" s="2353"/>
      <c r="C76" s="2762"/>
      <c r="D76" s="624"/>
      <c r="E76" s="1386" t="s">
        <v>1351</v>
      </c>
      <c r="F76" s="2710"/>
      <c r="G76" s="2759">
        <f>SUM(G77:G85)</f>
        <v>18000</v>
      </c>
      <c r="H76" s="2759">
        <f>SUM(H77:H85)</f>
        <v>18000</v>
      </c>
      <c r="I76" s="529">
        <f t="shared" si="8"/>
        <v>0</v>
      </c>
      <c r="J76" s="557"/>
      <c r="K76" s="1348"/>
      <c r="L76" s="621"/>
      <c r="M76" s="621"/>
      <c r="N76" s="621"/>
      <c r="O76" s="545"/>
      <c r="P76" s="545"/>
      <c r="Q76" s="621"/>
      <c r="R76" s="1349"/>
      <c r="S76" s="621"/>
      <c r="T76" s="621"/>
      <c r="U76" s="621"/>
      <c r="V76" s="621"/>
      <c r="W76" s="621"/>
      <c r="X76" s="621"/>
      <c r="Y76" s="621"/>
      <c r="Z76" s="517" t="s">
        <v>48</v>
      </c>
      <c r="AA76" s="2661"/>
      <c r="AB76" s="423"/>
      <c r="AC76" s="423"/>
    </row>
    <row r="77" spans="1:30" s="1653" customFormat="1" ht="23.1" customHeight="1">
      <c r="A77" s="456" t="s">
        <v>1279</v>
      </c>
      <c r="B77" s="2353"/>
      <c r="C77" s="2762"/>
      <c r="D77" s="624"/>
      <c r="E77" s="1319"/>
      <c r="F77" s="1319" t="s">
        <v>448</v>
      </c>
      <c r="G77" s="2756">
        <f>Z77</f>
        <v>6500</v>
      </c>
      <c r="H77" s="2756">
        <v>6500</v>
      </c>
      <c r="I77" s="551"/>
      <c r="J77" s="557"/>
      <c r="K77" s="472" t="s">
        <v>1880</v>
      </c>
      <c r="L77" s="473"/>
      <c r="M77" s="473"/>
      <c r="N77" s="473"/>
      <c r="O77" s="474"/>
      <c r="P77" s="474"/>
      <c r="Q77" s="473"/>
      <c r="R77" s="475"/>
      <c r="S77" s="473"/>
      <c r="T77" s="473">
        <v>10000</v>
      </c>
      <c r="U77" s="473" t="s">
        <v>37</v>
      </c>
      <c r="V77" s="473"/>
      <c r="W77" s="473">
        <v>650</v>
      </c>
      <c r="X77" s="473" t="s">
        <v>254</v>
      </c>
      <c r="Y77" s="473" t="s">
        <v>38</v>
      </c>
      <c r="Z77" s="483">
        <f>T77*W77/1000</f>
        <v>6500</v>
      </c>
      <c r="AA77" s="595"/>
      <c r="AB77" s="423"/>
      <c r="AC77" s="423"/>
      <c r="AD77" s="1680"/>
    </row>
    <row r="78" spans="1:30" s="812" customFormat="1" ht="23.1" customHeight="1">
      <c r="A78" s="834"/>
      <c r="B78" s="2353"/>
      <c r="C78" s="2762"/>
      <c r="D78" s="624"/>
      <c r="E78" s="624"/>
      <c r="F78" s="624" t="s">
        <v>530</v>
      </c>
      <c r="G78" s="1917">
        <f>Z78</f>
        <v>8400</v>
      </c>
      <c r="H78" s="1917">
        <v>8400</v>
      </c>
      <c r="I78" s="551"/>
      <c r="J78" s="2698"/>
      <c r="K78" s="472" t="s">
        <v>465</v>
      </c>
      <c r="L78" s="473"/>
      <c r="M78" s="473"/>
      <c r="N78" s="473"/>
      <c r="O78" s="2765"/>
      <c r="P78" s="2765"/>
      <c r="Q78" s="473"/>
      <c r="R78" s="475"/>
      <c r="S78" s="473"/>
      <c r="T78" s="473"/>
      <c r="U78" s="473"/>
      <c r="V78" s="473"/>
      <c r="W78" s="473"/>
      <c r="X78" s="473"/>
      <c r="Y78" s="473"/>
      <c r="Z78" s="2766">
        <f>SUM(Z79:Z81)</f>
        <v>8400</v>
      </c>
      <c r="AA78" s="2767"/>
      <c r="AB78" s="810"/>
      <c r="AC78" s="810"/>
    </row>
    <row r="79" spans="1:30" s="809" customFormat="1" ht="23.1" customHeight="1">
      <c r="A79" s="808"/>
      <c r="B79" s="2353"/>
      <c r="C79" s="2762"/>
      <c r="D79" s="624"/>
      <c r="E79" s="624"/>
      <c r="F79" s="624"/>
      <c r="G79" s="1917"/>
      <c r="H79" s="1917"/>
      <c r="I79" s="551"/>
      <c r="J79" s="2698"/>
      <c r="K79" s="472" t="s">
        <v>1897</v>
      </c>
      <c r="L79" s="473"/>
      <c r="M79" s="473"/>
      <c r="N79" s="473"/>
      <c r="O79" s="2765"/>
      <c r="P79" s="473"/>
      <c r="Q79" s="473"/>
      <c r="R79" s="475">
        <v>10</v>
      </c>
      <c r="S79" s="473" t="s">
        <v>1493</v>
      </c>
      <c r="T79" s="1316">
        <v>50000</v>
      </c>
      <c r="U79" s="473" t="s">
        <v>0</v>
      </c>
      <c r="V79" s="473"/>
      <c r="W79" s="473">
        <v>11</v>
      </c>
      <c r="X79" s="473" t="s">
        <v>1494</v>
      </c>
      <c r="Y79" s="473" t="s">
        <v>1</v>
      </c>
      <c r="Z79" s="2766">
        <f>R79*T79*W79/1000</f>
        <v>5500</v>
      </c>
      <c r="AA79" s="2767"/>
      <c r="AB79" s="810"/>
      <c r="AC79" s="810"/>
    </row>
    <row r="80" spans="1:30" s="809" customFormat="1" ht="23.1" customHeight="1">
      <c r="A80" s="808"/>
      <c r="B80" s="2353"/>
      <c r="C80" s="2762"/>
      <c r="D80" s="624"/>
      <c r="E80" s="624"/>
      <c r="F80" s="624"/>
      <c r="G80" s="1917"/>
      <c r="H80" s="1917"/>
      <c r="I80" s="551"/>
      <c r="J80" s="2698"/>
      <c r="K80" s="472" t="s">
        <v>1898</v>
      </c>
      <c r="L80" s="473"/>
      <c r="M80" s="473"/>
      <c r="N80" s="473"/>
      <c r="O80" s="2765"/>
      <c r="P80" s="473"/>
      <c r="Q80" s="473"/>
      <c r="R80" s="475"/>
      <c r="S80" s="473"/>
      <c r="T80" s="1316">
        <v>200000</v>
      </c>
      <c r="U80" s="473" t="s">
        <v>0</v>
      </c>
      <c r="V80" s="473"/>
      <c r="W80" s="473">
        <v>7</v>
      </c>
      <c r="X80" s="473" t="s">
        <v>263</v>
      </c>
      <c r="Y80" s="473" t="s">
        <v>1</v>
      </c>
      <c r="Z80" s="2766">
        <f>T80*W80/1000</f>
        <v>1400</v>
      </c>
      <c r="AA80" s="2767"/>
      <c r="AB80" s="810"/>
      <c r="AC80" s="810"/>
    </row>
    <row r="81" spans="1:30" s="1653" customFormat="1" ht="23.1" customHeight="1">
      <c r="A81" s="456"/>
      <c r="B81" s="2353"/>
      <c r="C81" s="2762"/>
      <c r="D81" s="624"/>
      <c r="E81" s="624"/>
      <c r="F81" s="624"/>
      <c r="G81" s="1917"/>
      <c r="H81" s="1917"/>
      <c r="I81" s="551"/>
      <c r="J81" s="557"/>
      <c r="K81" s="472" t="s">
        <v>1899</v>
      </c>
      <c r="L81" s="473"/>
      <c r="M81" s="473"/>
      <c r="N81" s="473"/>
      <c r="O81" s="2765"/>
      <c r="P81" s="473"/>
      <c r="Q81" s="473"/>
      <c r="R81" s="475"/>
      <c r="S81" s="473"/>
      <c r="T81" s="1316">
        <v>3000</v>
      </c>
      <c r="U81" s="473" t="s">
        <v>0</v>
      </c>
      <c r="V81" s="473"/>
      <c r="W81" s="473">
        <v>500</v>
      </c>
      <c r="X81" s="473" t="s">
        <v>1495</v>
      </c>
      <c r="Y81" s="473" t="s">
        <v>1</v>
      </c>
      <c r="Z81" s="2766">
        <f>T81*W81/1000</f>
        <v>1500</v>
      </c>
      <c r="AA81" s="1898"/>
      <c r="AB81" s="423"/>
      <c r="AC81" s="423"/>
      <c r="AD81" s="1680"/>
    </row>
    <row r="82" spans="1:30" s="3105" customFormat="1" ht="23.1" customHeight="1">
      <c r="A82" s="3099"/>
      <c r="B82" s="2353"/>
      <c r="C82" s="2762"/>
      <c r="D82" s="624"/>
      <c r="E82" s="624"/>
      <c r="F82" s="624" t="s">
        <v>262</v>
      </c>
      <c r="G82" s="1917">
        <f t="shared" ref="G82" si="13">Z82</f>
        <v>1200</v>
      </c>
      <c r="H82" s="1917">
        <v>1200</v>
      </c>
      <c r="I82" s="551"/>
      <c r="J82" s="557"/>
      <c r="K82" s="3106" t="s">
        <v>4071</v>
      </c>
      <c r="L82" s="3107"/>
      <c r="M82" s="3107"/>
      <c r="N82" s="3107"/>
      <c r="O82" s="3108"/>
      <c r="P82" s="3107"/>
      <c r="Q82" s="3107"/>
      <c r="R82" s="3109"/>
      <c r="S82" s="3107"/>
      <c r="T82" s="3101">
        <v>1200000</v>
      </c>
      <c r="U82" s="3102" t="s">
        <v>0</v>
      </c>
      <c r="V82" s="3102"/>
      <c r="W82" s="3102">
        <v>1</v>
      </c>
      <c r="X82" s="3102" t="s">
        <v>4070</v>
      </c>
      <c r="Y82" s="3102" t="s">
        <v>1</v>
      </c>
      <c r="Z82" s="2766">
        <f>T82*W82/1000</f>
        <v>1200</v>
      </c>
      <c r="AA82" s="555"/>
      <c r="AB82" s="423"/>
      <c r="AC82" s="423"/>
    </row>
    <row r="83" spans="1:30" s="1653" customFormat="1" ht="23.1" customHeight="1">
      <c r="A83" s="456"/>
      <c r="B83" s="2353"/>
      <c r="C83" s="2762"/>
      <c r="D83" s="624"/>
      <c r="E83" s="624"/>
      <c r="F83" s="624" t="s">
        <v>73</v>
      </c>
      <c r="G83" s="1917">
        <f>Z83</f>
        <v>1900</v>
      </c>
      <c r="H83" s="1917">
        <f>3100-1200</f>
        <v>1900</v>
      </c>
      <c r="I83" s="551"/>
      <c r="J83" s="626">
        <f>H83-I83</f>
        <v>1900</v>
      </c>
      <c r="K83" s="472" t="s">
        <v>465</v>
      </c>
      <c r="L83" s="473"/>
      <c r="M83" s="473"/>
      <c r="N83" s="473"/>
      <c r="O83" s="474"/>
      <c r="P83" s="473"/>
      <c r="Q83" s="473"/>
      <c r="R83" s="475"/>
      <c r="S83" s="473"/>
      <c r="T83" s="1316"/>
      <c r="U83" s="473"/>
      <c r="V83" s="473"/>
      <c r="W83" s="473"/>
      <c r="X83" s="473"/>
      <c r="Y83" s="473"/>
      <c r="Z83" s="483">
        <f>SUM(Z84:Z85)</f>
        <v>1900</v>
      </c>
      <c r="AA83" s="595"/>
      <c r="AB83" s="423"/>
      <c r="AC83" s="423"/>
      <c r="AD83" s="1680"/>
    </row>
    <row r="84" spans="1:30" s="809" customFormat="1" ht="23.1" customHeight="1">
      <c r="A84" s="808"/>
      <c r="B84" s="2353"/>
      <c r="C84" s="2762"/>
      <c r="D84" s="624"/>
      <c r="E84" s="624"/>
      <c r="F84" s="564"/>
      <c r="G84" s="1917"/>
      <c r="H84" s="1917"/>
      <c r="I84" s="551"/>
      <c r="J84" s="2757"/>
      <c r="K84" s="472" t="s">
        <v>1900</v>
      </c>
      <c r="L84" s="473"/>
      <c r="M84" s="473"/>
      <c r="N84" s="473"/>
      <c r="O84" s="474"/>
      <c r="P84" s="473"/>
      <c r="Q84" s="473"/>
      <c r="R84" s="475"/>
      <c r="S84" s="473"/>
      <c r="T84" s="1316">
        <v>1800000</v>
      </c>
      <c r="U84" s="473" t="s">
        <v>37</v>
      </c>
      <c r="V84" s="473"/>
      <c r="W84" s="473">
        <v>1</v>
      </c>
      <c r="X84" s="473" t="s">
        <v>39</v>
      </c>
      <c r="Y84" s="473" t="s">
        <v>38</v>
      </c>
      <c r="Z84" s="483">
        <f>T84*W84/1000</f>
        <v>1800</v>
      </c>
      <c r="AA84" s="2699">
        <f>SUM(AA85:AA86)</f>
        <v>0</v>
      </c>
      <c r="AB84" s="810"/>
      <c r="AC84" s="810"/>
    </row>
    <row r="85" spans="1:30" s="1653" customFormat="1" ht="23.1" customHeight="1">
      <c r="A85" s="456"/>
      <c r="B85" s="2353"/>
      <c r="C85" s="2762"/>
      <c r="D85" s="624"/>
      <c r="E85" s="1331"/>
      <c r="F85" s="1586"/>
      <c r="G85" s="2753"/>
      <c r="H85" s="2753"/>
      <c r="I85" s="551"/>
      <c r="J85" s="626"/>
      <c r="K85" s="472" t="s">
        <v>1901</v>
      </c>
      <c r="L85" s="473"/>
      <c r="M85" s="473"/>
      <c r="N85" s="473"/>
      <c r="O85" s="474"/>
      <c r="P85" s="473"/>
      <c r="Q85" s="473"/>
      <c r="R85" s="475"/>
      <c r="S85" s="473"/>
      <c r="T85" s="1316">
        <v>100000</v>
      </c>
      <c r="U85" s="473" t="s">
        <v>37</v>
      </c>
      <c r="V85" s="473"/>
      <c r="W85" s="473">
        <v>1</v>
      </c>
      <c r="X85" s="473" t="s">
        <v>39</v>
      </c>
      <c r="Y85" s="473" t="s">
        <v>38</v>
      </c>
      <c r="Z85" s="483">
        <f>T85*W85/1000</f>
        <v>100</v>
      </c>
      <c r="AA85" s="555"/>
      <c r="AB85" s="423"/>
      <c r="AC85" s="423"/>
      <c r="AD85" s="1680"/>
    </row>
    <row r="86" spans="1:30" s="1653" customFormat="1" ht="23.1" customHeight="1">
      <c r="A86" s="456"/>
      <c r="B86" s="2353"/>
      <c r="C86" s="2762"/>
      <c r="D86" s="624"/>
      <c r="E86" s="1386" t="s">
        <v>1503</v>
      </c>
      <c r="F86" s="2710"/>
      <c r="G86" s="2759">
        <f>SUM(G87:G104)</f>
        <v>29500</v>
      </c>
      <c r="H86" s="2759">
        <f>SUM(H87:H104)</f>
        <v>29500</v>
      </c>
      <c r="I86" s="529">
        <f t="shared" ref="I86" si="14">G86-H86</f>
        <v>0</v>
      </c>
      <c r="J86" s="626"/>
      <c r="K86" s="1348"/>
      <c r="L86" s="621"/>
      <c r="M86" s="621"/>
      <c r="N86" s="621"/>
      <c r="O86" s="545"/>
      <c r="P86" s="545"/>
      <c r="Q86" s="621"/>
      <c r="R86" s="1349"/>
      <c r="S86" s="621"/>
      <c r="T86" s="621"/>
      <c r="U86" s="621"/>
      <c r="V86" s="621"/>
      <c r="W86" s="621"/>
      <c r="X86" s="621"/>
      <c r="Y86" s="621"/>
      <c r="Z86" s="517" t="s">
        <v>48</v>
      </c>
      <c r="AA86" s="555"/>
      <c r="AB86" s="423"/>
      <c r="AC86" s="423"/>
      <c r="AD86" s="1680"/>
    </row>
    <row r="87" spans="1:30" s="809" customFormat="1" ht="23.1" customHeight="1">
      <c r="A87" s="808"/>
      <c r="B87" s="2353"/>
      <c r="C87" s="2762"/>
      <c r="D87" s="624"/>
      <c r="E87" s="1319"/>
      <c r="F87" s="1319" t="s">
        <v>448</v>
      </c>
      <c r="G87" s="2756">
        <f>Z87</f>
        <v>8000</v>
      </c>
      <c r="H87" s="2756">
        <v>8000</v>
      </c>
      <c r="I87" s="551"/>
      <c r="J87" s="2757"/>
      <c r="K87" s="472" t="s">
        <v>465</v>
      </c>
      <c r="L87" s="473"/>
      <c r="M87" s="473"/>
      <c r="N87" s="473"/>
      <c r="O87" s="2765"/>
      <c r="P87" s="2765"/>
      <c r="Q87" s="473"/>
      <c r="R87" s="475"/>
      <c r="S87" s="1326"/>
      <c r="T87" s="473"/>
      <c r="U87" s="473"/>
      <c r="V87" s="473"/>
      <c r="W87" s="473"/>
      <c r="X87" s="473"/>
      <c r="Y87" s="473"/>
      <c r="Z87" s="2766">
        <f>SUM(Z88:Z89)</f>
        <v>8000</v>
      </c>
      <c r="AA87" s="2699"/>
      <c r="AB87" s="810"/>
      <c r="AC87" s="810"/>
    </row>
    <row r="88" spans="1:30" s="809" customFormat="1" ht="23.1" customHeight="1">
      <c r="A88" s="808"/>
      <c r="B88" s="2353"/>
      <c r="C88" s="2762"/>
      <c r="D88" s="624"/>
      <c r="E88" s="624"/>
      <c r="F88" s="624"/>
      <c r="G88" s="1917"/>
      <c r="H88" s="1917"/>
      <c r="I88" s="551"/>
      <c r="J88" s="2757"/>
      <c r="K88" s="472" t="s">
        <v>1902</v>
      </c>
      <c r="L88" s="473"/>
      <c r="M88" s="473"/>
      <c r="N88" s="473"/>
      <c r="O88" s="2765"/>
      <c r="P88" s="2765"/>
      <c r="Q88" s="473"/>
      <c r="R88" s="475"/>
      <c r="S88" s="473"/>
      <c r="T88" s="473">
        <v>400</v>
      </c>
      <c r="U88" s="473" t="s">
        <v>0</v>
      </c>
      <c r="V88" s="473"/>
      <c r="W88" s="473">
        <v>10000</v>
      </c>
      <c r="X88" s="473" t="s">
        <v>593</v>
      </c>
      <c r="Y88" s="473" t="s">
        <v>1</v>
      </c>
      <c r="Z88" s="2766">
        <f>T88*W88/1000</f>
        <v>4000</v>
      </c>
      <c r="AA88" s="2699">
        <f>R88*T88</f>
        <v>0</v>
      </c>
      <c r="AB88" s="810"/>
      <c r="AC88" s="810"/>
    </row>
    <row r="89" spans="1:30" s="1653" customFormat="1" ht="23.1" customHeight="1">
      <c r="A89" s="456"/>
      <c r="B89" s="2353"/>
      <c r="C89" s="2762"/>
      <c r="D89" s="624"/>
      <c r="E89" s="624"/>
      <c r="F89" s="624"/>
      <c r="G89" s="1917"/>
      <c r="H89" s="1917"/>
      <c r="I89" s="551"/>
      <c r="J89" s="626">
        <f>H89-I89</f>
        <v>0</v>
      </c>
      <c r="K89" s="472" t="s">
        <v>1903</v>
      </c>
      <c r="L89" s="473"/>
      <c r="M89" s="473"/>
      <c r="N89" s="473"/>
      <c r="O89" s="2765"/>
      <c r="P89" s="2765"/>
      <c r="Q89" s="473"/>
      <c r="R89" s="475"/>
      <c r="S89" s="473"/>
      <c r="T89" s="473">
        <v>400</v>
      </c>
      <c r="U89" s="473" t="s">
        <v>0</v>
      </c>
      <c r="V89" s="473"/>
      <c r="W89" s="473">
        <v>10000</v>
      </c>
      <c r="X89" s="473" t="s">
        <v>581</v>
      </c>
      <c r="Y89" s="473" t="s">
        <v>1</v>
      </c>
      <c r="Z89" s="2766">
        <f>T89*W89/1000</f>
        <v>4000</v>
      </c>
      <c r="AA89" s="595"/>
      <c r="AB89" s="423"/>
      <c r="AC89" s="423"/>
      <c r="AD89" s="1680"/>
    </row>
    <row r="90" spans="1:30" s="3105" customFormat="1" ht="23.1" customHeight="1">
      <c r="A90" s="3099"/>
      <c r="B90" s="2754"/>
      <c r="C90" s="2755"/>
      <c r="D90" s="564"/>
      <c r="E90" s="624"/>
      <c r="F90" s="624" t="s">
        <v>557</v>
      </c>
      <c r="G90" s="1917">
        <f t="shared" ref="G90" si="15">Z90</f>
        <v>3000</v>
      </c>
      <c r="H90" s="1917">
        <v>3000</v>
      </c>
      <c r="I90" s="551"/>
      <c r="J90" s="557"/>
      <c r="K90" s="3106" t="s">
        <v>4069</v>
      </c>
      <c r="L90" s="3107"/>
      <c r="M90" s="3107"/>
      <c r="N90" s="3107"/>
      <c r="O90" s="3108"/>
      <c r="P90" s="3107"/>
      <c r="Q90" s="3107"/>
      <c r="R90" s="3109"/>
      <c r="S90" s="3107"/>
      <c r="T90" s="3101">
        <v>3000000</v>
      </c>
      <c r="U90" s="3102" t="s">
        <v>0</v>
      </c>
      <c r="V90" s="3102"/>
      <c r="W90" s="3102">
        <v>1</v>
      </c>
      <c r="X90" s="3102" t="s">
        <v>4070</v>
      </c>
      <c r="Y90" s="3102" t="s">
        <v>1</v>
      </c>
      <c r="Z90" s="2766">
        <f>T90*W90/1000</f>
        <v>3000</v>
      </c>
      <c r="AA90" s="555"/>
      <c r="AB90" s="423"/>
      <c r="AC90" s="423"/>
    </row>
    <row r="91" spans="1:30" s="809" customFormat="1" ht="23.1" customHeight="1">
      <c r="A91" s="808"/>
      <c r="B91" s="2353"/>
      <c r="C91" s="2762"/>
      <c r="D91" s="624"/>
      <c r="E91" s="624"/>
      <c r="F91" s="851" t="s">
        <v>58</v>
      </c>
      <c r="G91" s="1523">
        <f>Z91</f>
        <v>1000</v>
      </c>
      <c r="H91" s="1523">
        <v>1000</v>
      </c>
      <c r="I91" s="551"/>
      <c r="J91" s="2698"/>
      <c r="K91" s="866" t="s">
        <v>465</v>
      </c>
      <c r="L91" s="867"/>
      <c r="M91" s="867"/>
      <c r="N91" s="867"/>
      <c r="O91" s="2768"/>
      <c r="P91" s="867"/>
      <c r="Q91" s="867"/>
      <c r="R91" s="869"/>
      <c r="S91" s="867"/>
      <c r="T91" s="952"/>
      <c r="U91" s="867"/>
      <c r="V91" s="867"/>
      <c r="W91" s="867"/>
      <c r="X91" s="867"/>
      <c r="Y91" s="867"/>
      <c r="Z91" s="2769">
        <f>SUM(Z92:Z94)</f>
        <v>1000</v>
      </c>
      <c r="AA91" s="2699"/>
      <c r="AB91" s="810"/>
      <c r="AC91" s="810"/>
    </row>
    <row r="92" spans="1:30" s="809" customFormat="1" ht="23.1" customHeight="1">
      <c r="A92" s="808"/>
      <c r="B92" s="2353"/>
      <c r="C92" s="2762"/>
      <c r="D92" s="624"/>
      <c r="E92" s="624"/>
      <c r="F92" s="851"/>
      <c r="G92" s="1523"/>
      <c r="H92" s="1523"/>
      <c r="I92" s="551"/>
      <c r="J92" s="2698"/>
      <c r="K92" s="866" t="s">
        <v>4064</v>
      </c>
      <c r="L92" s="867"/>
      <c r="M92" s="867"/>
      <c r="N92" s="867"/>
      <c r="O92" s="2768"/>
      <c r="P92" s="2768"/>
      <c r="Q92" s="867"/>
      <c r="R92" s="869">
        <v>2</v>
      </c>
      <c r="S92" s="867" t="s">
        <v>25</v>
      </c>
      <c r="T92" s="867">
        <v>100000</v>
      </c>
      <c r="U92" s="867" t="s">
        <v>0</v>
      </c>
      <c r="V92" s="867"/>
      <c r="W92" s="867">
        <v>1</v>
      </c>
      <c r="X92" s="867" t="s">
        <v>3</v>
      </c>
      <c r="Y92" s="867" t="s">
        <v>1</v>
      </c>
      <c r="Z92" s="2769">
        <f>R92*T92*W92/1000</f>
        <v>200</v>
      </c>
      <c r="AA92" s="2699"/>
      <c r="AB92" s="810"/>
      <c r="AC92" s="810"/>
    </row>
    <row r="93" spans="1:30" s="809" customFormat="1" ht="23.1" customHeight="1">
      <c r="A93" s="808"/>
      <c r="B93" s="2353"/>
      <c r="C93" s="2762"/>
      <c r="D93" s="624"/>
      <c r="E93" s="624"/>
      <c r="F93" s="851"/>
      <c r="G93" s="1523"/>
      <c r="H93" s="1523"/>
      <c r="I93" s="551"/>
      <c r="J93" s="2698"/>
      <c r="K93" s="866" t="s">
        <v>1904</v>
      </c>
      <c r="L93" s="867"/>
      <c r="M93" s="867"/>
      <c r="N93" s="867"/>
      <c r="O93" s="2768"/>
      <c r="P93" s="2768"/>
      <c r="Q93" s="867"/>
      <c r="R93" s="869">
        <v>2</v>
      </c>
      <c r="S93" s="867" t="s">
        <v>25</v>
      </c>
      <c r="T93" s="867">
        <v>100000</v>
      </c>
      <c r="U93" s="867" t="s">
        <v>0</v>
      </c>
      <c r="V93" s="867"/>
      <c r="W93" s="867">
        <v>1</v>
      </c>
      <c r="X93" s="867" t="s">
        <v>3</v>
      </c>
      <c r="Y93" s="867" t="s">
        <v>1</v>
      </c>
      <c r="Z93" s="2769">
        <f>R93*T93*W93/1000</f>
        <v>200</v>
      </c>
      <c r="AA93" s="2699"/>
      <c r="AB93" s="810"/>
      <c r="AC93" s="810"/>
    </row>
    <row r="94" spans="1:30" s="1653" customFormat="1" ht="23.1" customHeight="1">
      <c r="A94" s="456"/>
      <c r="B94" s="2353"/>
      <c r="C94" s="2762"/>
      <c r="D94" s="624"/>
      <c r="E94" s="624"/>
      <c r="F94" s="851"/>
      <c r="G94" s="1523"/>
      <c r="H94" s="1523"/>
      <c r="I94" s="551"/>
      <c r="J94" s="557"/>
      <c r="K94" s="866" t="s">
        <v>1905</v>
      </c>
      <c r="L94" s="867"/>
      <c r="M94" s="867"/>
      <c r="N94" s="867"/>
      <c r="O94" s="2768"/>
      <c r="P94" s="2768"/>
      <c r="Q94" s="867"/>
      <c r="R94" s="869">
        <v>2</v>
      </c>
      <c r="S94" s="867" t="s">
        <v>25</v>
      </c>
      <c r="T94" s="867">
        <v>300000</v>
      </c>
      <c r="U94" s="867" t="s">
        <v>0</v>
      </c>
      <c r="V94" s="867"/>
      <c r="W94" s="867">
        <v>1</v>
      </c>
      <c r="X94" s="867" t="s">
        <v>3</v>
      </c>
      <c r="Y94" s="867" t="s">
        <v>1</v>
      </c>
      <c r="Z94" s="2769">
        <f>R94*T94*W94/1000</f>
        <v>600</v>
      </c>
      <c r="AA94" s="555"/>
      <c r="AB94" s="423"/>
      <c r="AC94" s="423"/>
      <c r="AD94" s="1680"/>
    </row>
    <row r="95" spans="1:30" s="809" customFormat="1" ht="23.1" customHeight="1">
      <c r="A95" s="808"/>
      <c r="B95" s="2353"/>
      <c r="C95" s="2762"/>
      <c r="D95" s="624"/>
      <c r="E95" s="624"/>
      <c r="F95" s="851" t="s">
        <v>4063</v>
      </c>
      <c r="G95" s="1523">
        <f>Z95</f>
        <v>11500</v>
      </c>
      <c r="H95" s="1523">
        <v>11500</v>
      </c>
      <c r="I95" s="551"/>
      <c r="J95" s="2698"/>
      <c r="K95" s="866" t="s">
        <v>224</v>
      </c>
      <c r="L95" s="867"/>
      <c r="M95" s="867"/>
      <c r="N95" s="867"/>
      <c r="O95" s="2768"/>
      <c r="P95" s="867"/>
      <c r="Q95" s="867"/>
      <c r="R95" s="869"/>
      <c r="S95" s="867"/>
      <c r="T95" s="952"/>
      <c r="U95" s="867"/>
      <c r="V95" s="867"/>
      <c r="W95" s="867"/>
      <c r="X95" s="867"/>
      <c r="Y95" s="867"/>
      <c r="Z95" s="2769">
        <f>SUM(Z96:Z99)</f>
        <v>11500</v>
      </c>
      <c r="AA95" s="2699"/>
      <c r="AB95" s="810"/>
      <c r="AC95" s="810"/>
    </row>
    <row r="96" spans="1:30" s="809" customFormat="1" ht="23.1" customHeight="1">
      <c r="A96" s="808"/>
      <c r="B96" s="2353"/>
      <c r="C96" s="2762"/>
      <c r="D96" s="624"/>
      <c r="E96" s="624"/>
      <c r="F96" s="851"/>
      <c r="G96" s="1523"/>
      <c r="H96" s="1523"/>
      <c r="I96" s="551"/>
      <c r="J96" s="2698"/>
      <c r="K96" s="3103" t="s">
        <v>4065</v>
      </c>
      <c r="L96" s="3102"/>
      <c r="M96" s="3102"/>
      <c r="N96" s="3102"/>
      <c r="O96" s="3100"/>
      <c r="P96" s="3102"/>
      <c r="Q96" s="3102"/>
      <c r="R96" s="3104"/>
      <c r="S96" s="3102"/>
      <c r="T96" s="3101">
        <v>6000000</v>
      </c>
      <c r="U96" s="3102" t="s">
        <v>0</v>
      </c>
      <c r="V96" s="3102"/>
      <c r="W96" s="3102">
        <v>1</v>
      </c>
      <c r="X96" s="3102" t="s">
        <v>3</v>
      </c>
      <c r="Y96" s="3102" t="s">
        <v>1</v>
      </c>
      <c r="Z96" s="2766">
        <f>T96*W96/1000</f>
        <v>6000</v>
      </c>
      <c r="AA96" s="2699"/>
      <c r="AB96" s="810"/>
      <c r="AC96" s="810"/>
    </row>
    <row r="97" spans="1:30" s="809" customFormat="1" ht="23.1" customHeight="1">
      <c r="A97" s="808"/>
      <c r="B97" s="2353"/>
      <c r="C97" s="2762"/>
      <c r="D97" s="624"/>
      <c r="E97" s="624"/>
      <c r="F97" s="851"/>
      <c r="G97" s="1523"/>
      <c r="H97" s="1523"/>
      <c r="I97" s="551"/>
      <c r="J97" s="2698"/>
      <c r="K97" s="3103" t="s">
        <v>4066</v>
      </c>
      <c r="L97" s="3102"/>
      <c r="M97" s="3102"/>
      <c r="N97" s="3102"/>
      <c r="O97" s="3100"/>
      <c r="P97" s="3102"/>
      <c r="Q97" s="3102"/>
      <c r="R97" s="3104">
        <v>2000</v>
      </c>
      <c r="S97" s="3102" t="s">
        <v>169</v>
      </c>
      <c r="T97" s="3101">
        <v>2000</v>
      </c>
      <c r="U97" s="3102" t="s">
        <v>0</v>
      </c>
      <c r="V97" s="3102"/>
      <c r="W97" s="3102">
        <v>1</v>
      </c>
      <c r="X97" s="3102" t="s">
        <v>3</v>
      </c>
      <c r="Y97" s="3102" t="s">
        <v>1</v>
      </c>
      <c r="Z97" s="2769">
        <f>R97*T97*W97/1000</f>
        <v>4000</v>
      </c>
      <c r="AA97" s="2699"/>
      <c r="AB97" s="810"/>
      <c r="AC97" s="810"/>
    </row>
    <row r="98" spans="1:30" s="3094" customFormat="1" ht="23.1" customHeight="1">
      <c r="A98" s="3084"/>
      <c r="B98" s="2353"/>
      <c r="C98" s="2762"/>
      <c r="D98" s="624"/>
      <c r="E98" s="624"/>
      <c r="F98" s="851"/>
      <c r="G98" s="1523"/>
      <c r="H98" s="1523"/>
      <c r="I98" s="551"/>
      <c r="J98" s="557"/>
      <c r="K98" s="3103" t="s">
        <v>4067</v>
      </c>
      <c r="L98" s="3102"/>
      <c r="M98" s="3102"/>
      <c r="N98" s="3102"/>
      <c r="O98" s="3100"/>
      <c r="P98" s="3102"/>
      <c r="Q98" s="3102"/>
      <c r="R98" s="3104"/>
      <c r="S98" s="3102"/>
      <c r="T98" s="3101">
        <v>1000000</v>
      </c>
      <c r="U98" s="3102" t="s">
        <v>0</v>
      </c>
      <c r="V98" s="3102"/>
      <c r="W98" s="3102">
        <v>1</v>
      </c>
      <c r="X98" s="3102" t="s">
        <v>3</v>
      </c>
      <c r="Y98" s="3102" t="s">
        <v>1</v>
      </c>
      <c r="Z98" s="2766">
        <f>T98*W98/1000</f>
        <v>1000</v>
      </c>
      <c r="AA98" s="555"/>
      <c r="AB98" s="423"/>
      <c r="AC98" s="423"/>
    </row>
    <row r="99" spans="1:30" s="3094" customFormat="1" ht="23.1" customHeight="1">
      <c r="A99" s="3084"/>
      <c r="B99" s="2353"/>
      <c r="C99" s="2762"/>
      <c r="D99" s="624"/>
      <c r="E99" s="624"/>
      <c r="F99" s="851"/>
      <c r="G99" s="1523"/>
      <c r="H99" s="1523"/>
      <c r="I99" s="551"/>
      <c r="J99" s="557"/>
      <c r="K99" s="3103" t="s">
        <v>4068</v>
      </c>
      <c r="L99" s="3102"/>
      <c r="M99" s="3102"/>
      <c r="N99" s="3102"/>
      <c r="O99" s="3100"/>
      <c r="P99" s="3102"/>
      <c r="Q99" s="3102"/>
      <c r="R99" s="3104"/>
      <c r="S99" s="3102"/>
      <c r="T99" s="3101">
        <v>500000</v>
      </c>
      <c r="U99" s="3102" t="s">
        <v>0</v>
      </c>
      <c r="V99" s="3102"/>
      <c r="W99" s="3102">
        <v>1</v>
      </c>
      <c r="X99" s="3102" t="s">
        <v>3</v>
      </c>
      <c r="Y99" s="3102" t="s">
        <v>1</v>
      </c>
      <c r="Z99" s="2766">
        <f>T99*W99/1000</f>
        <v>500</v>
      </c>
      <c r="AA99" s="555"/>
      <c r="AB99" s="423"/>
      <c r="AC99" s="423"/>
    </row>
    <row r="100" spans="1:30" s="1653" customFormat="1" ht="23.1" customHeight="1">
      <c r="A100" s="456"/>
      <c r="B100" s="2353"/>
      <c r="C100" s="2762"/>
      <c r="D100" s="624"/>
      <c r="E100" s="624"/>
      <c r="F100" s="624" t="s">
        <v>73</v>
      </c>
      <c r="G100" s="1917">
        <f>Z100</f>
        <v>6000</v>
      </c>
      <c r="H100" s="1917">
        <v>6000</v>
      </c>
      <c r="I100" s="551"/>
      <c r="J100" s="557"/>
      <c r="K100" s="472" t="s">
        <v>465</v>
      </c>
      <c r="L100" s="473"/>
      <c r="M100" s="473"/>
      <c r="N100" s="473"/>
      <c r="O100" s="474"/>
      <c r="P100" s="473"/>
      <c r="Q100" s="473"/>
      <c r="R100" s="475"/>
      <c r="S100" s="473"/>
      <c r="T100" s="1316"/>
      <c r="U100" s="473"/>
      <c r="V100" s="473"/>
      <c r="W100" s="473"/>
      <c r="X100" s="473"/>
      <c r="Y100" s="473"/>
      <c r="Z100" s="483">
        <f>SUM(Z101:Z104)</f>
        <v>6000</v>
      </c>
      <c r="AA100" s="555"/>
      <c r="AB100" s="423"/>
      <c r="AC100" s="423"/>
      <c r="AD100" s="1680"/>
    </row>
    <row r="101" spans="1:30" s="1653" customFormat="1" ht="23.1" customHeight="1">
      <c r="A101" s="456"/>
      <c r="B101" s="2353"/>
      <c r="C101" s="2762"/>
      <c r="D101" s="624"/>
      <c r="E101" s="624"/>
      <c r="F101" s="624"/>
      <c r="G101" s="1917"/>
      <c r="H101" s="1917"/>
      <c r="I101" s="551"/>
      <c r="J101" s="557"/>
      <c r="K101" s="3095" t="s">
        <v>1906</v>
      </c>
      <c r="L101" s="473"/>
      <c r="M101" s="473"/>
      <c r="N101" s="473"/>
      <c r="O101" s="474"/>
      <c r="P101" s="474"/>
      <c r="Q101" s="473"/>
      <c r="R101" s="475"/>
      <c r="S101" s="473"/>
      <c r="T101" s="473">
        <v>1000000</v>
      </c>
      <c r="U101" s="473" t="s">
        <v>37</v>
      </c>
      <c r="V101" s="473"/>
      <c r="W101" s="473">
        <v>1</v>
      </c>
      <c r="X101" s="473" t="s">
        <v>39</v>
      </c>
      <c r="Y101" s="473" t="s">
        <v>38</v>
      </c>
      <c r="Z101" s="483">
        <f>T101*W101/1000</f>
        <v>1000</v>
      </c>
      <c r="AA101" s="555"/>
      <c r="AB101" s="423"/>
      <c r="AC101" s="423"/>
      <c r="AD101" s="1680"/>
    </row>
    <row r="102" spans="1:30" s="809" customFormat="1" ht="23.1" customHeight="1">
      <c r="A102" s="808"/>
      <c r="B102" s="2353"/>
      <c r="C102" s="2762"/>
      <c r="D102" s="624"/>
      <c r="E102" s="624"/>
      <c r="F102" s="624"/>
      <c r="G102" s="1917"/>
      <c r="H102" s="1917"/>
      <c r="I102" s="551"/>
      <c r="J102" s="2698"/>
      <c r="K102" s="472" t="s">
        <v>1907</v>
      </c>
      <c r="L102" s="473"/>
      <c r="M102" s="473"/>
      <c r="N102" s="473"/>
      <c r="O102" s="474"/>
      <c r="P102" s="474"/>
      <c r="Q102" s="473"/>
      <c r="R102" s="475"/>
      <c r="S102" s="473"/>
      <c r="T102" s="473">
        <v>1000000</v>
      </c>
      <c r="U102" s="473" t="s">
        <v>37</v>
      </c>
      <c r="V102" s="473"/>
      <c r="W102" s="473">
        <v>3</v>
      </c>
      <c r="X102" s="473" t="s">
        <v>39</v>
      </c>
      <c r="Y102" s="473" t="s">
        <v>38</v>
      </c>
      <c r="Z102" s="483">
        <f>T102*W102/1000</f>
        <v>3000</v>
      </c>
      <c r="AA102" s="2699"/>
      <c r="AB102" s="810"/>
      <c r="AC102" s="810"/>
    </row>
    <row r="103" spans="1:30" s="1653" customFormat="1" ht="23.1" customHeight="1">
      <c r="A103" s="456"/>
      <c r="B103" s="2353"/>
      <c r="C103" s="2762"/>
      <c r="D103" s="548"/>
      <c r="E103" s="624"/>
      <c r="F103" s="564"/>
      <c r="G103" s="1917"/>
      <c r="H103" s="1917"/>
      <c r="I103" s="551"/>
      <c r="J103" s="557"/>
      <c r="K103" s="472" t="s">
        <v>1908</v>
      </c>
      <c r="L103" s="473"/>
      <c r="M103" s="473"/>
      <c r="N103" s="473"/>
      <c r="O103" s="474"/>
      <c r="P103" s="474"/>
      <c r="Q103" s="473"/>
      <c r="R103" s="475"/>
      <c r="S103" s="473"/>
      <c r="T103" s="473">
        <v>1500000</v>
      </c>
      <c r="U103" s="473" t="s">
        <v>37</v>
      </c>
      <c r="V103" s="473"/>
      <c r="W103" s="473">
        <v>1</v>
      </c>
      <c r="X103" s="473" t="s">
        <v>39</v>
      </c>
      <c r="Y103" s="473" t="s">
        <v>38</v>
      </c>
      <c r="Z103" s="483">
        <f>T103*W103/1000</f>
        <v>1500</v>
      </c>
      <c r="AA103" s="555"/>
      <c r="AB103" s="423"/>
      <c r="AC103" s="423"/>
      <c r="AD103" s="1680"/>
    </row>
    <row r="104" spans="1:30" s="809" customFormat="1" ht="23.1" customHeight="1">
      <c r="A104" s="808"/>
      <c r="B104" s="2353"/>
      <c r="C104" s="2762"/>
      <c r="D104" s="548"/>
      <c r="E104" s="1331"/>
      <c r="F104" s="1586"/>
      <c r="G104" s="2753"/>
      <c r="H104" s="2753"/>
      <c r="I104" s="551"/>
      <c r="J104" s="2698"/>
      <c r="K104" s="472" t="s">
        <v>1909</v>
      </c>
      <c r="L104" s="473"/>
      <c r="M104" s="473"/>
      <c r="N104" s="473"/>
      <c r="O104" s="474"/>
      <c r="P104" s="474"/>
      <c r="Q104" s="473"/>
      <c r="R104" s="475"/>
      <c r="S104" s="473"/>
      <c r="T104" s="473">
        <v>500000</v>
      </c>
      <c r="U104" s="473" t="s">
        <v>37</v>
      </c>
      <c r="V104" s="473"/>
      <c r="W104" s="473">
        <v>1</v>
      </c>
      <c r="X104" s="473" t="s">
        <v>39</v>
      </c>
      <c r="Y104" s="473" t="s">
        <v>38</v>
      </c>
      <c r="Z104" s="483">
        <f>T104*W104/1000</f>
        <v>500</v>
      </c>
      <c r="AA104" s="2699"/>
      <c r="AB104" s="810"/>
      <c r="AC104" s="810"/>
    </row>
    <row r="105" spans="1:30" s="3078" customFormat="1" ht="23.1" customHeight="1">
      <c r="A105" s="3072"/>
      <c r="B105" s="2353"/>
      <c r="C105" s="2762"/>
      <c r="D105" s="624"/>
      <c r="E105" s="1386" t="s">
        <v>4036</v>
      </c>
      <c r="F105" s="2710"/>
      <c r="G105" s="2759">
        <f>SUM(G106:G110)</f>
        <v>47500</v>
      </c>
      <c r="H105" s="2759">
        <f>SUM(H106:H110)</f>
        <v>47500</v>
      </c>
      <c r="I105" s="529">
        <f t="shared" ref="I105" si="16">G105-H105</f>
        <v>0</v>
      </c>
      <c r="J105" s="626"/>
      <c r="K105" s="1348"/>
      <c r="L105" s="621"/>
      <c r="M105" s="621"/>
      <c r="N105" s="621"/>
      <c r="O105" s="545"/>
      <c r="P105" s="545"/>
      <c r="Q105" s="621"/>
      <c r="R105" s="1349"/>
      <c r="S105" s="621"/>
      <c r="T105" s="621"/>
      <c r="U105" s="621"/>
      <c r="V105" s="621"/>
      <c r="W105" s="621"/>
      <c r="X105" s="621"/>
      <c r="Y105" s="621"/>
      <c r="Z105" s="517" t="s">
        <v>48</v>
      </c>
      <c r="AA105" s="555"/>
      <c r="AB105" s="423"/>
      <c r="AC105" s="423"/>
    </row>
    <row r="106" spans="1:30" s="809" customFormat="1" ht="23.1" customHeight="1">
      <c r="A106" s="808"/>
      <c r="B106" s="2353"/>
      <c r="C106" s="2762"/>
      <c r="D106" s="624"/>
      <c r="E106" s="624"/>
      <c r="F106" s="624" t="s">
        <v>530</v>
      </c>
      <c r="G106" s="1917">
        <f>Z106</f>
        <v>1950</v>
      </c>
      <c r="H106" s="1917">
        <v>1950</v>
      </c>
      <c r="I106" s="551"/>
      <c r="J106" s="2757"/>
      <c r="K106" s="3079" t="s">
        <v>224</v>
      </c>
      <c r="L106" s="3080"/>
      <c r="M106" s="3080"/>
      <c r="N106" s="3080"/>
      <c r="O106" s="2765"/>
      <c r="P106" s="2765"/>
      <c r="Q106" s="3080"/>
      <c r="R106" s="3082"/>
      <c r="S106" s="1326"/>
      <c r="T106" s="3080"/>
      <c r="U106" s="3080"/>
      <c r="V106" s="3080"/>
      <c r="W106" s="3080"/>
      <c r="X106" s="3080"/>
      <c r="Y106" s="3080"/>
      <c r="Z106" s="2766">
        <f>SUM(Z107:Z108)</f>
        <v>1950</v>
      </c>
      <c r="AA106" s="2699"/>
      <c r="AB106" s="810"/>
      <c r="AC106" s="810"/>
    </row>
    <row r="107" spans="1:30" s="809" customFormat="1" ht="23.1" customHeight="1">
      <c r="A107" s="808"/>
      <c r="B107" s="2353"/>
      <c r="C107" s="2762"/>
      <c r="D107" s="624"/>
      <c r="E107" s="624"/>
      <c r="F107" s="624"/>
      <c r="G107" s="1917"/>
      <c r="H107" s="1917"/>
      <c r="I107" s="551"/>
      <c r="J107" s="2757"/>
      <c r="K107" s="3092" t="s">
        <v>4059</v>
      </c>
      <c r="L107" s="3091"/>
      <c r="M107" s="3091"/>
      <c r="N107" s="3091"/>
      <c r="O107" s="3086"/>
      <c r="P107" s="3086"/>
      <c r="Q107" s="3091"/>
      <c r="R107" s="3093">
        <v>7</v>
      </c>
      <c r="S107" s="3091" t="s">
        <v>25</v>
      </c>
      <c r="T107" s="3091">
        <v>150000</v>
      </c>
      <c r="U107" s="3091" t="s">
        <v>0</v>
      </c>
      <c r="V107" s="3091"/>
      <c r="W107" s="3091">
        <v>1</v>
      </c>
      <c r="X107" s="3091" t="s">
        <v>3</v>
      </c>
      <c r="Y107" s="3091" t="s">
        <v>1</v>
      </c>
      <c r="Z107" s="3096">
        <f>R107*T107*W107/1000</f>
        <v>1050</v>
      </c>
      <c r="AA107" s="2699"/>
      <c r="AB107" s="810"/>
      <c r="AC107" s="810"/>
    </row>
    <row r="108" spans="1:30" s="3078" customFormat="1" ht="23.1" customHeight="1">
      <c r="A108" s="3072"/>
      <c r="B108" s="2353"/>
      <c r="C108" s="2762"/>
      <c r="D108" s="624"/>
      <c r="E108" s="624"/>
      <c r="F108" s="624"/>
      <c r="G108" s="1917"/>
      <c r="H108" s="1917"/>
      <c r="I108" s="551"/>
      <c r="J108" s="626">
        <f>H108-I108</f>
        <v>0</v>
      </c>
      <c r="K108" s="3092" t="s">
        <v>4060</v>
      </c>
      <c r="L108" s="3091"/>
      <c r="M108" s="3091"/>
      <c r="N108" s="3091"/>
      <c r="O108" s="3090"/>
      <c r="P108" s="3091"/>
      <c r="Q108" s="3091"/>
      <c r="R108" s="3093">
        <v>3</v>
      </c>
      <c r="S108" s="3091" t="s">
        <v>25</v>
      </c>
      <c r="T108" s="3089">
        <v>100000</v>
      </c>
      <c r="U108" s="3091" t="s">
        <v>0</v>
      </c>
      <c r="V108" s="3091"/>
      <c r="W108" s="3091">
        <v>3</v>
      </c>
      <c r="X108" s="3091" t="s">
        <v>3</v>
      </c>
      <c r="Y108" s="3091" t="s">
        <v>1</v>
      </c>
      <c r="Z108" s="3096">
        <f>R108*T108*W108/1000</f>
        <v>900</v>
      </c>
      <c r="AA108" s="3221"/>
      <c r="AB108" s="423"/>
      <c r="AC108" s="423"/>
    </row>
    <row r="109" spans="1:30" s="809" customFormat="1" ht="23.1" customHeight="1">
      <c r="A109" s="808"/>
      <c r="B109" s="2353"/>
      <c r="C109" s="2762"/>
      <c r="D109" s="624"/>
      <c r="E109" s="624"/>
      <c r="F109" s="624" t="s">
        <v>431</v>
      </c>
      <c r="G109" s="1917">
        <f>Z109</f>
        <v>45210</v>
      </c>
      <c r="H109" s="1917">
        <v>45210</v>
      </c>
      <c r="I109" s="551"/>
      <c r="J109" s="557"/>
      <c r="K109" s="3079" t="s">
        <v>4058</v>
      </c>
      <c r="L109" s="3080"/>
      <c r="M109" s="2758"/>
      <c r="N109" s="3080"/>
      <c r="O109" s="3081"/>
      <c r="P109" s="3081"/>
      <c r="Q109" s="3080"/>
      <c r="R109" s="3082"/>
      <c r="S109" s="3080"/>
      <c r="T109" s="1316">
        <v>45210000</v>
      </c>
      <c r="U109" s="3080" t="s">
        <v>37</v>
      </c>
      <c r="V109" s="3080"/>
      <c r="W109" s="3080">
        <v>1</v>
      </c>
      <c r="X109" s="3080" t="s">
        <v>767</v>
      </c>
      <c r="Y109" s="3080" t="s">
        <v>38</v>
      </c>
      <c r="Z109" s="3083">
        <f>T109*W109/1000</f>
        <v>45210</v>
      </c>
      <c r="AA109" s="2699"/>
      <c r="AB109" s="810"/>
      <c r="AC109" s="810"/>
    </row>
    <row r="110" spans="1:30" s="3094" customFormat="1" ht="23.1" customHeight="1">
      <c r="A110" s="3084"/>
      <c r="B110" s="2437"/>
      <c r="C110" s="2438"/>
      <c r="D110" s="3085"/>
      <c r="E110" s="3088"/>
      <c r="F110" s="3097" t="s">
        <v>61</v>
      </c>
      <c r="G110" s="1917">
        <f>Z110</f>
        <v>340</v>
      </c>
      <c r="H110" s="3087">
        <v>340</v>
      </c>
      <c r="I110" s="551"/>
      <c r="J110" s="557"/>
      <c r="K110" s="3092" t="s">
        <v>4061</v>
      </c>
      <c r="L110" s="3091"/>
      <c r="M110" s="3091"/>
      <c r="N110" s="3091"/>
      <c r="O110" s="3086"/>
      <c r="P110" s="3091"/>
      <c r="Q110" s="3091"/>
      <c r="R110" s="3093"/>
      <c r="S110" s="3091"/>
      <c r="T110" s="3089">
        <v>68000</v>
      </c>
      <c r="U110" s="3091" t="s">
        <v>0</v>
      </c>
      <c r="V110" s="3091"/>
      <c r="W110" s="3091">
        <v>5</v>
      </c>
      <c r="X110" s="3091" t="s">
        <v>4062</v>
      </c>
      <c r="Y110" s="3091" t="s">
        <v>1</v>
      </c>
      <c r="Z110" s="3096">
        <f t="shared" ref="Z110" si="17">T110*W110/1000</f>
        <v>340</v>
      </c>
      <c r="AA110" s="2664"/>
      <c r="AB110" s="423"/>
      <c r="AC110" s="423"/>
    </row>
    <row r="111" spans="1:30" s="1653" customFormat="1" ht="23.1" customHeight="1">
      <c r="A111" s="456"/>
      <c r="B111" s="2353"/>
      <c r="C111" s="2762"/>
      <c r="D111" s="3836" t="s">
        <v>1353</v>
      </c>
      <c r="E111" s="3821"/>
      <c r="F111" s="3822"/>
      <c r="G111" s="2759">
        <f>G112+G115+G117+G123</f>
        <v>46000</v>
      </c>
      <c r="H111" s="2759">
        <f>H112+H115+H117+H123</f>
        <v>46000</v>
      </c>
      <c r="I111" s="529">
        <f t="shared" ref="I111" si="18">G111-H111</f>
        <v>0</v>
      </c>
      <c r="J111" s="557"/>
      <c r="K111" s="1348"/>
      <c r="L111" s="621"/>
      <c r="M111" s="621"/>
      <c r="N111" s="621"/>
      <c r="O111" s="545"/>
      <c r="P111" s="621"/>
      <c r="Q111" s="621"/>
      <c r="R111" s="1349"/>
      <c r="S111" s="621"/>
      <c r="T111" s="621"/>
      <c r="U111" s="621"/>
      <c r="V111" s="621"/>
      <c r="W111" s="621"/>
      <c r="X111" s="621"/>
      <c r="Y111" s="621"/>
      <c r="Z111" s="517"/>
      <c r="AA111" s="555"/>
      <c r="AB111" s="423"/>
      <c r="AC111" s="423"/>
      <c r="AD111" s="1680"/>
    </row>
    <row r="112" spans="1:30" s="1653" customFormat="1" ht="23.1" customHeight="1">
      <c r="A112" s="456"/>
      <c r="B112" s="2353"/>
      <c r="C112" s="2762"/>
      <c r="D112" s="1319"/>
      <c r="E112" s="1376" t="s">
        <v>1354</v>
      </c>
      <c r="F112" s="1586"/>
      <c r="G112" s="2753">
        <f>SUM(G113:G114)</f>
        <v>4000</v>
      </c>
      <c r="H112" s="1527">
        <f t="shared" ref="H112" si="19">SUM(H113:H114)</f>
        <v>4000</v>
      </c>
      <c r="I112" s="529">
        <f t="shared" ref="I112" si="20">G112-H112</f>
        <v>0</v>
      </c>
      <c r="J112" s="557"/>
      <c r="K112" s="1342"/>
      <c r="L112" s="510"/>
      <c r="M112" s="510"/>
      <c r="N112" s="510"/>
      <c r="O112" s="617"/>
      <c r="P112" s="510"/>
      <c r="Q112" s="510"/>
      <c r="R112" s="507"/>
      <c r="S112" s="510"/>
      <c r="T112" s="510"/>
      <c r="U112" s="510"/>
      <c r="V112" s="510"/>
      <c r="W112" s="510"/>
      <c r="X112" s="510"/>
      <c r="Y112" s="510"/>
      <c r="Z112" s="478"/>
      <c r="AA112" s="555"/>
      <c r="AB112" s="423"/>
      <c r="AC112" s="423"/>
      <c r="AD112" s="1680"/>
    </row>
    <row r="113" spans="1:30" s="809" customFormat="1" ht="23.1" customHeight="1">
      <c r="A113" s="808"/>
      <c r="B113" s="2353"/>
      <c r="C113" s="2762"/>
      <c r="D113" s="624"/>
      <c r="E113" s="624"/>
      <c r="F113" s="624" t="s">
        <v>530</v>
      </c>
      <c r="G113" s="1917">
        <f>Z113</f>
        <v>3200</v>
      </c>
      <c r="H113" s="1917">
        <v>3200</v>
      </c>
      <c r="I113" s="551"/>
      <c r="J113" s="2698"/>
      <c r="K113" s="472" t="s">
        <v>1881</v>
      </c>
      <c r="L113" s="473"/>
      <c r="M113" s="2758"/>
      <c r="N113" s="473"/>
      <c r="O113" s="474"/>
      <c r="P113" s="474"/>
      <c r="Q113" s="473"/>
      <c r="R113" s="475">
        <v>4</v>
      </c>
      <c r="S113" s="473" t="s">
        <v>36</v>
      </c>
      <c r="T113" s="473">
        <v>200000</v>
      </c>
      <c r="U113" s="473" t="s">
        <v>37</v>
      </c>
      <c r="V113" s="473"/>
      <c r="W113" s="473">
        <v>4</v>
      </c>
      <c r="X113" s="473" t="s">
        <v>39</v>
      </c>
      <c r="Y113" s="1326" t="s">
        <v>38</v>
      </c>
      <c r="Z113" s="483">
        <f>T113*W113*R113/1000</f>
        <v>3200</v>
      </c>
      <c r="AA113" s="2699"/>
      <c r="AB113" s="810"/>
      <c r="AC113" s="810"/>
    </row>
    <row r="114" spans="1:30" s="809" customFormat="1" ht="23.1" customHeight="1">
      <c r="A114" s="808"/>
      <c r="B114" s="2353"/>
      <c r="C114" s="2762"/>
      <c r="D114" s="624"/>
      <c r="E114" s="624"/>
      <c r="F114" s="624" t="s">
        <v>73</v>
      </c>
      <c r="G114" s="1917">
        <f>Z114</f>
        <v>800</v>
      </c>
      <c r="H114" s="1917">
        <v>800</v>
      </c>
      <c r="I114" s="551"/>
      <c r="J114" s="2698"/>
      <c r="K114" s="472" t="s">
        <v>1882</v>
      </c>
      <c r="L114" s="473"/>
      <c r="M114" s="473"/>
      <c r="N114" s="473"/>
      <c r="O114" s="474"/>
      <c r="P114" s="473"/>
      <c r="Q114" s="473"/>
      <c r="R114" s="475"/>
      <c r="S114" s="473"/>
      <c r="T114" s="1316">
        <v>200000</v>
      </c>
      <c r="U114" s="473" t="s">
        <v>37</v>
      </c>
      <c r="V114" s="473"/>
      <c r="W114" s="473">
        <v>4</v>
      </c>
      <c r="X114" s="473" t="s">
        <v>39</v>
      </c>
      <c r="Y114" s="473" t="s">
        <v>38</v>
      </c>
      <c r="Z114" s="483">
        <f>T114*W114/1000</f>
        <v>800</v>
      </c>
      <c r="AA114" s="2699"/>
      <c r="AB114" s="810"/>
      <c r="AC114" s="810"/>
    </row>
    <row r="115" spans="1:30" s="809" customFormat="1" ht="23.1" customHeight="1">
      <c r="A115" s="808"/>
      <c r="B115" s="2353"/>
      <c r="C115" s="2762"/>
      <c r="D115" s="624"/>
      <c r="E115" s="1386" t="s">
        <v>1504</v>
      </c>
      <c r="F115" s="2710"/>
      <c r="G115" s="2759">
        <f>G116</f>
        <v>2000</v>
      </c>
      <c r="H115" s="2760">
        <f>H116</f>
        <v>2000</v>
      </c>
      <c r="I115" s="529">
        <f t="shared" ref="I115:I117" si="21">G115-H115</f>
        <v>0</v>
      </c>
      <c r="J115" s="2698"/>
      <c r="K115" s="1348"/>
      <c r="L115" s="621"/>
      <c r="M115" s="621"/>
      <c r="N115" s="621"/>
      <c r="O115" s="545"/>
      <c r="P115" s="545"/>
      <c r="Q115" s="621"/>
      <c r="R115" s="1349"/>
      <c r="S115" s="621"/>
      <c r="T115" s="621"/>
      <c r="U115" s="621"/>
      <c r="V115" s="621"/>
      <c r="W115" s="621"/>
      <c r="X115" s="621"/>
      <c r="Y115" s="621"/>
      <c r="Z115" s="517"/>
      <c r="AA115" s="2699"/>
      <c r="AB115" s="810"/>
      <c r="AC115" s="810"/>
    </row>
    <row r="116" spans="1:30" s="1653" customFormat="1" ht="23.1" customHeight="1">
      <c r="A116" s="456"/>
      <c r="B116" s="2353"/>
      <c r="C116" s="2762"/>
      <c r="D116" s="624"/>
      <c r="E116" s="624"/>
      <c r="F116" s="624" t="s">
        <v>448</v>
      </c>
      <c r="G116" s="1917">
        <f>Z116</f>
        <v>2000</v>
      </c>
      <c r="H116" s="1917">
        <v>2000</v>
      </c>
      <c r="I116" s="529"/>
      <c r="J116" s="557"/>
      <c r="K116" s="472" t="s">
        <v>1883</v>
      </c>
      <c r="L116" s="473"/>
      <c r="M116" s="473"/>
      <c r="N116" s="473"/>
      <c r="O116" s="474"/>
      <c r="P116" s="474"/>
      <c r="Q116" s="473"/>
      <c r="R116" s="475"/>
      <c r="S116" s="473"/>
      <c r="T116" s="473">
        <v>2000000</v>
      </c>
      <c r="U116" s="473" t="s">
        <v>37</v>
      </c>
      <c r="V116" s="473"/>
      <c r="W116" s="473">
        <v>1</v>
      </c>
      <c r="X116" s="473" t="s">
        <v>226</v>
      </c>
      <c r="Y116" s="473" t="s">
        <v>38</v>
      </c>
      <c r="Z116" s="483">
        <f>ROUNDDOWN(T116*W116,-5)/1000</f>
        <v>2000</v>
      </c>
      <c r="AA116" s="555"/>
      <c r="AB116" s="423"/>
      <c r="AC116" s="423"/>
      <c r="AD116" s="1680"/>
    </row>
    <row r="117" spans="1:30" s="1653" customFormat="1" ht="23.1" customHeight="1">
      <c r="A117" s="456"/>
      <c r="B117" s="2353"/>
      <c r="C117" s="2762"/>
      <c r="D117" s="624"/>
      <c r="E117" s="1386" t="s">
        <v>1505</v>
      </c>
      <c r="F117" s="2710"/>
      <c r="G117" s="2759">
        <v>22000</v>
      </c>
      <c r="H117" s="2760">
        <f t="shared" ref="H117" si="22">SUM(H118:H122)</f>
        <v>22000</v>
      </c>
      <c r="I117" s="529">
        <f t="shared" si="21"/>
        <v>0</v>
      </c>
      <c r="J117" s="557"/>
      <c r="K117" s="1348"/>
      <c r="L117" s="621"/>
      <c r="M117" s="621"/>
      <c r="N117" s="621"/>
      <c r="O117" s="545"/>
      <c r="P117" s="545"/>
      <c r="Q117" s="621"/>
      <c r="R117" s="1349"/>
      <c r="S117" s="621"/>
      <c r="T117" s="621"/>
      <c r="U117" s="621"/>
      <c r="V117" s="621"/>
      <c r="W117" s="621"/>
      <c r="X117" s="621"/>
      <c r="Y117" s="621"/>
      <c r="Z117" s="517" t="s">
        <v>48</v>
      </c>
      <c r="AA117" s="555"/>
      <c r="AB117" s="423"/>
      <c r="AC117" s="423"/>
      <c r="AD117" s="1680"/>
    </row>
    <row r="118" spans="1:30" s="1653" customFormat="1" ht="23.1" customHeight="1">
      <c r="A118" s="456"/>
      <c r="B118" s="2353"/>
      <c r="C118" s="2762"/>
      <c r="D118" s="624"/>
      <c r="E118" s="624"/>
      <c r="F118" s="624" t="s">
        <v>530</v>
      </c>
      <c r="G118" s="1917">
        <v>11000</v>
      </c>
      <c r="H118" s="1917">
        <v>11000</v>
      </c>
      <c r="I118" s="551"/>
      <c r="J118" s="557"/>
      <c r="K118" s="472" t="s">
        <v>465</v>
      </c>
      <c r="L118" s="473"/>
      <c r="M118" s="473"/>
      <c r="N118" s="473"/>
      <c r="O118" s="474"/>
      <c r="P118" s="474"/>
      <c r="Q118" s="473"/>
      <c r="R118" s="475"/>
      <c r="S118" s="1326"/>
      <c r="T118" s="473"/>
      <c r="U118" s="473"/>
      <c r="V118" s="473"/>
      <c r="W118" s="473"/>
      <c r="X118" s="473"/>
      <c r="Y118" s="1326"/>
      <c r="Z118" s="483">
        <f>SUM(Z119:Z120)</f>
        <v>8000</v>
      </c>
      <c r="AA118" s="555"/>
      <c r="AB118" s="423"/>
      <c r="AC118" s="423"/>
      <c r="AD118" s="1680"/>
    </row>
    <row r="119" spans="1:30" s="1653" customFormat="1" ht="23.1" customHeight="1">
      <c r="A119" s="456"/>
      <c r="B119" s="2353"/>
      <c r="C119" s="2762"/>
      <c r="D119" s="624"/>
      <c r="E119" s="624"/>
      <c r="F119" s="624"/>
      <c r="G119" s="1917"/>
      <c r="H119" s="1917"/>
      <c r="I119" s="551"/>
      <c r="J119" s="557"/>
      <c r="K119" s="472" t="s">
        <v>1910</v>
      </c>
      <c r="L119" s="473"/>
      <c r="M119" s="473"/>
      <c r="N119" s="473"/>
      <c r="O119" s="474"/>
      <c r="P119" s="474"/>
      <c r="Q119" s="473"/>
      <c r="R119" s="475">
        <v>2</v>
      </c>
      <c r="S119" s="473" t="s">
        <v>841</v>
      </c>
      <c r="T119" s="473">
        <v>10000</v>
      </c>
      <c r="U119" s="473" t="s">
        <v>37</v>
      </c>
      <c r="V119" s="473"/>
      <c r="W119" s="473">
        <v>350</v>
      </c>
      <c r="X119" s="473" t="s">
        <v>682</v>
      </c>
      <c r="Y119" s="473" t="s">
        <v>38</v>
      </c>
      <c r="Z119" s="483">
        <f>T119*W119*R119/1000</f>
        <v>7000</v>
      </c>
      <c r="AA119" s="555"/>
      <c r="AB119" s="423"/>
      <c r="AC119" s="423"/>
      <c r="AD119" s="1680"/>
    </row>
    <row r="120" spans="1:30" s="1653" customFormat="1" ht="23.1" customHeight="1">
      <c r="A120" s="456"/>
      <c r="B120" s="2353"/>
      <c r="C120" s="2762"/>
      <c r="D120" s="624"/>
      <c r="E120" s="624"/>
      <c r="F120" s="624"/>
      <c r="G120" s="1917"/>
      <c r="H120" s="1917"/>
      <c r="I120" s="551"/>
      <c r="J120" s="557"/>
      <c r="K120" s="472" t="s">
        <v>1911</v>
      </c>
      <c r="L120" s="473"/>
      <c r="M120" s="473"/>
      <c r="N120" s="473"/>
      <c r="O120" s="474"/>
      <c r="P120" s="474"/>
      <c r="Q120" s="473"/>
      <c r="R120" s="475"/>
      <c r="S120" s="473"/>
      <c r="T120" s="473">
        <v>500000</v>
      </c>
      <c r="U120" s="473" t="s">
        <v>37</v>
      </c>
      <c r="V120" s="473"/>
      <c r="W120" s="473">
        <v>2</v>
      </c>
      <c r="X120" s="473" t="s">
        <v>39</v>
      </c>
      <c r="Y120" s="473" t="s">
        <v>38</v>
      </c>
      <c r="Z120" s="483">
        <f>T120*W120/1000</f>
        <v>1000</v>
      </c>
      <c r="AA120" s="555"/>
      <c r="AB120" s="423"/>
      <c r="AC120" s="423"/>
      <c r="AD120" s="1680"/>
    </row>
    <row r="121" spans="1:30" s="1653" customFormat="1" ht="23.1" customHeight="1">
      <c r="A121" s="456"/>
      <c r="B121" s="2353"/>
      <c r="C121" s="2762"/>
      <c r="D121" s="624"/>
      <c r="E121" s="624"/>
      <c r="F121" s="624" t="s">
        <v>448</v>
      </c>
      <c r="G121" s="1917">
        <f>Z121</f>
        <v>10000</v>
      </c>
      <c r="H121" s="1917">
        <v>10000</v>
      </c>
      <c r="I121" s="551"/>
      <c r="J121" s="557"/>
      <c r="K121" s="472" t="s">
        <v>1884</v>
      </c>
      <c r="L121" s="473"/>
      <c r="M121" s="473"/>
      <c r="N121" s="473"/>
      <c r="O121" s="474"/>
      <c r="P121" s="474"/>
      <c r="Q121" s="473"/>
      <c r="R121" s="475"/>
      <c r="S121" s="473"/>
      <c r="T121" s="473">
        <v>5000000</v>
      </c>
      <c r="U121" s="473" t="s">
        <v>37</v>
      </c>
      <c r="V121" s="473"/>
      <c r="W121" s="473">
        <v>2</v>
      </c>
      <c r="X121" s="473" t="s">
        <v>674</v>
      </c>
      <c r="Y121" s="473" t="s">
        <v>38</v>
      </c>
      <c r="Z121" s="483">
        <f>ROUNDDOWN(T121*W121,-5)/1000</f>
        <v>10000</v>
      </c>
      <c r="AA121" s="555"/>
      <c r="AB121" s="423"/>
      <c r="AC121" s="423"/>
      <c r="AD121" s="1680"/>
    </row>
    <row r="122" spans="1:30" s="1653" customFormat="1" ht="23.1" customHeight="1">
      <c r="A122" s="456"/>
      <c r="B122" s="2353"/>
      <c r="C122" s="2762"/>
      <c r="D122" s="624"/>
      <c r="E122" s="624"/>
      <c r="F122" s="624" t="s">
        <v>452</v>
      </c>
      <c r="G122" s="1917">
        <f>Z122</f>
        <v>1000</v>
      </c>
      <c r="H122" s="1917">
        <v>1000</v>
      </c>
      <c r="I122" s="551"/>
      <c r="J122" s="557"/>
      <c r="K122" s="472" t="s">
        <v>1885</v>
      </c>
      <c r="L122" s="473"/>
      <c r="M122" s="473"/>
      <c r="N122" s="473"/>
      <c r="O122" s="474"/>
      <c r="P122" s="473"/>
      <c r="Q122" s="473"/>
      <c r="R122" s="475"/>
      <c r="S122" s="473"/>
      <c r="T122" s="1316">
        <v>500000</v>
      </c>
      <c r="U122" s="473" t="s">
        <v>37</v>
      </c>
      <c r="V122" s="473"/>
      <c r="W122" s="473">
        <v>2</v>
      </c>
      <c r="X122" s="473" t="s">
        <v>39</v>
      </c>
      <c r="Y122" s="473" t="s">
        <v>38</v>
      </c>
      <c r="Z122" s="483">
        <f>T122*W122/1000</f>
        <v>1000</v>
      </c>
      <c r="AA122" s="555"/>
      <c r="AB122" s="423"/>
      <c r="AC122" s="423"/>
      <c r="AD122" s="1680"/>
    </row>
    <row r="123" spans="1:30" s="1653" customFormat="1" ht="23.1" customHeight="1">
      <c r="A123" s="456"/>
      <c r="B123" s="2353"/>
      <c r="C123" s="2762"/>
      <c r="D123" s="624"/>
      <c r="E123" s="1386" t="s">
        <v>1506</v>
      </c>
      <c r="F123" s="2710"/>
      <c r="G123" s="2759">
        <f>SUM(G124:G126)</f>
        <v>18000</v>
      </c>
      <c r="H123" s="2760">
        <v>18000</v>
      </c>
      <c r="I123" s="529">
        <f t="shared" ref="I123" si="23">G123-H123</f>
        <v>0</v>
      </c>
      <c r="J123" s="557"/>
      <c r="K123" s="1348"/>
      <c r="L123" s="621"/>
      <c r="M123" s="621"/>
      <c r="N123" s="621"/>
      <c r="O123" s="545"/>
      <c r="P123" s="545"/>
      <c r="Q123" s="621"/>
      <c r="R123" s="1349"/>
      <c r="S123" s="621"/>
      <c r="T123" s="621"/>
      <c r="U123" s="621"/>
      <c r="V123" s="621"/>
      <c r="W123" s="621"/>
      <c r="X123" s="621"/>
      <c r="Y123" s="621"/>
      <c r="Z123" s="517" t="s">
        <v>48</v>
      </c>
      <c r="AA123" s="555"/>
      <c r="AB123" s="423"/>
      <c r="AC123" s="423"/>
      <c r="AD123" s="1680"/>
    </row>
    <row r="124" spans="1:30" s="3105" customFormat="1" ht="23.1" customHeight="1">
      <c r="A124" s="3099"/>
      <c r="B124" s="2353"/>
      <c r="C124" s="2762"/>
      <c r="D124" s="624"/>
      <c r="E124" s="1319"/>
      <c r="F124" s="564" t="s">
        <v>4778</v>
      </c>
      <c r="G124" s="1917">
        <f>Z124</f>
        <v>1000</v>
      </c>
      <c r="H124" s="1523">
        <v>1000</v>
      </c>
      <c r="I124" s="534"/>
      <c r="J124" s="557"/>
      <c r="K124" s="3204" t="s">
        <v>2373</v>
      </c>
      <c r="L124" s="3203"/>
      <c r="M124" s="3203"/>
      <c r="N124" s="3203"/>
      <c r="O124" s="3108"/>
      <c r="P124" s="3108"/>
      <c r="Q124" s="3107"/>
      <c r="R124" s="3109"/>
      <c r="S124" s="1326"/>
      <c r="T124" s="3107">
        <v>10000</v>
      </c>
      <c r="U124" s="3107" t="s">
        <v>37</v>
      </c>
      <c r="V124" s="3107"/>
      <c r="W124" s="3107">
        <v>100</v>
      </c>
      <c r="X124" s="3107" t="s">
        <v>259</v>
      </c>
      <c r="Y124" s="3107" t="s">
        <v>38</v>
      </c>
      <c r="Z124" s="3110">
        <f>T124*W124/1000</f>
        <v>1000</v>
      </c>
      <c r="AA124" s="555"/>
      <c r="AB124" s="423"/>
      <c r="AC124" s="423"/>
    </row>
    <row r="125" spans="1:30" s="1653" customFormat="1" ht="23.1" customHeight="1">
      <c r="A125" s="456"/>
      <c r="B125" s="2353"/>
      <c r="C125" s="2762"/>
      <c r="D125" s="624"/>
      <c r="E125" s="624"/>
      <c r="F125" s="624" t="s">
        <v>530</v>
      </c>
      <c r="G125" s="1917">
        <f>Z125</f>
        <v>3000</v>
      </c>
      <c r="H125" s="1917">
        <v>3000</v>
      </c>
      <c r="I125" s="551"/>
      <c r="J125" s="557"/>
      <c r="K125" s="472" t="s">
        <v>1886</v>
      </c>
      <c r="L125" s="473"/>
      <c r="M125" s="473"/>
      <c r="N125" s="473"/>
      <c r="O125" s="474"/>
      <c r="P125" s="474"/>
      <c r="Q125" s="473"/>
      <c r="R125" s="475"/>
      <c r="S125" s="3107"/>
      <c r="T125" s="473">
        <v>100000</v>
      </c>
      <c r="U125" s="473" t="s">
        <v>37</v>
      </c>
      <c r="V125" s="473"/>
      <c r="W125" s="473">
        <v>30</v>
      </c>
      <c r="X125" s="473" t="s">
        <v>263</v>
      </c>
      <c r="Y125" s="473" t="s">
        <v>38</v>
      </c>
      <c r="Z125" s="483">
        <f>T125*W125/1000</f>
        <v>3000</v>
      </c>
      <c r="AA125" s="555"/>
      <c r="AB125" s="423"/>
      <c r="AC125" s="423"/>
      <c r="AD125" s="1680"/>
    </row>
    <row r="126" spans="1:30" s="1653" customFormat="1" ht="19.5" customHeight="1">
      <c r="A126" s="456"/>
      <c r="B126" s="2353"/>
      <c r="C126" s="2762"/>
      <c r="D126" s="624"/>
      <c r="E126" s="624"/>
      <c r="F126" s="624" t="s">
        <v>73</v>
      </c>
      <c r="G126" s="1917">
        <f>Z126</f>
        <v>14000</v>
      </c>
      <c r="H126" s="1917">
        <v>14000</v>
      </c>
      <c r="I126" s="551"/>
      <c r="J126" s="557"/>
      <c r="K126" s="472" t="s">
        <v>1887</v>
      </c>
      <c r="L126" s="473"/>
      <c r="M126" s="473"/>
      <c r="N126" s="473"/>
      <c r="O126" s="474"/>
      <c r="P126" s="473"/>
      <c r="Q126" s="473"/>
      <c r="R126" s="475"/>
      <c r="S126" s="473"/>
      <c r="T126" s="473">
        <v>350000</v>
      </c>
      <c r="U126" s="473" t="s">
        <v>37</v>
      </c>
      <c r="V126" s="473"/>
      <c r="W126" s="473">
        <v>40</v>
      </c>
      <c r="X126" s="473" t="s">
        <v>263</v>
      </c>
      <c r="Y126" s="473" t="s">
        <v>38</v>
      </c>
      <c r="Z126" s="483">
        <f>T126*W126/1000</f>
        <v>14000</v>
      </c>
      <c r="AA126" s="555"/>
      <c r="AB126" s="423"/>
      <c r="AC126" s="423"/>
      <c r="AD126" s="1680"/>
    </row>
    <row r="127" spans="1:30" s="1653" customFormat="1" ht="19.5" customHeight="1">
      <c r="A127" s="456"/>
      <c r="B127" s="2353"/>
      <c r="C127" s="2762"/>
      <c r="D127" s="3836" t="s">
        <v>1507</v>
      </c>
      <c r="E127" s="3821"/>
      <c r="F127" s="3822"/>
      <c r="G127" s="2759">
        <f>G128</f>
        <v>45500</v>
      </c>
      <c r="H127" s="2760">
        <f t="shared" ref="H127" si="24">H128</f>
        <v>45500</v>
      </c>
      <c r="I127" s="529">
        <f t="shared" ref="I127:I128" si="25">G127-H127</f>
        <v>0</v>
      </c>
      <c r="J127" s="557"/>
      <c r="K127" s="1348"/>
      <c r="L127" s="621"/>
      <c r="M127" s="621"/>
      <c r="N127" s="621"/>
      <c r="O127" s="545"/>
      <c r="P127" s="621"/>
      <c r="Q127" s="621"/>
      <c r="R127" s="1349"/>
      <c r="S127" s="621"/>
      <c r="T127" s="621"/>
      <c r="U127" s="621"/>
      <c r="V127" s="621"/>
      <c r="W127" s="621"/>
      <c r="X127" s="621"/>
      <c r="Y127" s="621"/>
      <c r="Z127" s="517"/>
      <c r="AA127" s="555"/>
      <c r="AB127" s="423"/>
      <c r="AC127" s="423"/>
      <c r="AD127" s="1680"/>
    </row>
    <row r="128" spans="1:30" s="1653" customFormat="1" ht="19.5" customHeight="1">
      <c r="A128" s="456"/>
      <c r="B128" s="2353"/>
      <c r="C128" s="2762"/>
      <c r="D128" s="1319"/>
      <c r="E128" s="1376" t="s">
        <v>1507</v>
      </c>
      <c r="F128" s="1586"/>
      <c r="G128" s="2753">
        <f>SUM(G129:G129)</f>
        <v>45500</v>
      </c>
      <c r="H128" s="1527">
        <f>SUM(H129:H129)</f>
        <v>45500</v>
      </c>
      <c r="I128" s="529">
        <f t="shared" si="25"/>
        <v>0</v>
      </c>
      <c r="J128" s="557"/>
      <c r="K128" s="1348"/>
      <c r="L128" s="621"/>
      <c r="M128" s="621"/>
      <c r="N128" s="621"/>
      <c r="O128" s="545"/>
      <c r="P128" s="621"/>
      <c r="Q128" s="621"/>
      <c r="R128" s="1349"/>
      <c r="S128" s="621"/>
      <c r="T128" s="621"/>
      <c r="U128" s="621"/>
      <c r="V128" s="621"/>
      <c r="W128" s="621"/>
      <c r="X128" s="621"/>
      <c r="Y128" s="621"/>
      <c r="Z128" s="517"/>
      <c r="AA128" s="555"/>
      <c r="AB128" s="423"/>
      <c r="AC128" s="423"/>
      <c r="AD128" s="1680"/>
    </row>
    <row r="129" spans="1:30" s="1653" customFormat="1" ht="19.5" customHeight="1" thickBot="1">
      <c r="A129" s="456"/>
      <c r="B129" s="2770"/>
      <c r="C129" s="2771"/>
      <c r="D129" s="638"/>
      <c r="E129" s="638"/>
      <c r="F129" s="638" t="s">
        <v>1507</v>
      </c>
      <c r="G129" s="2772">
        <f>Z129</f>
        <v>45500</v>
      </c>
      <c r="H129" s="2772">
        <v>45500</v>
      </c>
      <c r="I129" s="529"/>
      <c r="J129" s="557"/>
      <c r="K129" s="639" t="s">
        <v>1888</v>
      </c>
      <c r="L129" s="640"/>
      <c r="M129" s="2077"/>
      <c r="N129" s="640"/>
      <c r="O129" s="641"/>
      <c r="P129" s="641"/>
      <c r="Q129" s="640"/>
      <c r="R129" s="642"/>
      <c r="S129" s="640"/>
      <c r="T129" s="640">
        <v>910000000</v>
      </c>
      <c r="U129" s="640" t="s">
        <v>37</v>
      </c>
      <c r="V129" s="640"/>
      <c r="W129" s="2773">
        <v>5</v>
      </c>
      <c r="X129" s="640" t="s">
        <v>1489</v>
      </c>
      <c r="Y129" s="1667" t="s">
        <v>1488</v>
      </c>
      <c r="Z129" s="522">
        <f>T129*0.05/1000</f>
        <v>45500</v>
      </c>
      <c r="AA129" s="555"/>
      <c r="AB129" s="423"/>
      <c r="AC129" s="423"/>
      <c r="AD129" s="1680"/>
    </row>
    <row r="130" spans="1:30" s="192" customFormat="1" ht="18.95" customHeight="1" thickBot="1">
      <c r="A130" s="832"/>
      <c r="B130" s="574" t="s">
        <v>1330</v>
      </c>
      <c r="C130" s="2314"/>
      <c r="D130" s="2314"/>
      <c r="E130" s="2314"/>
      <c r="F130" s="2314"/>
      <c r="G130" s="822">
        <f t="shared" ref="G130:H132" si="26">+G131</f>
        <v>350000</v>
      </c>
      <c r="H130" s="1844">
        <f t="shared" si="26"/>
        <v>350000</v>
      </c>
      <c r="I130" s="573">
        <f>G130-H130</f>
        <v>0</v>
      </c>
      <c r="J130" s="557"/>
      <c r="K130" s="2204"/>
      <c r="L130" s="2205"/>
      <c r="M130" s="2205"/>
      <c r="N130" s="2205"/>
      <c r="O130" s="2205"/>
      <c r="P130" s="2205"/>
      <c r="Q130" s="2205"/>
      <c r="R130" s="2205"/>
      <c r="S130" s="2205"/>
      <c r="T130" s="2205"/>
      <c r="U130" s="2205"/>
      <c r="V130" s="2205"/>
      <c r="W130" s="2205"/>
      <c r="X130" s="2205"/>
      <c r="Y130" s="2205"/>
      <c r="Z130" s="2656"/>
      <c r="AA130" s="2207"/>
      <c r="AB130" s="427"/>
      <c r="AC130" s="423"/>
    </row>
    <row r="131" spans="1:30" s="1653" customFormat="1" ht="18.95" customHeight="1" thickBot="1">
      <c r="A131" s="456"/>
      <c r="B131" s="540"/>
      <c r="C131" s="1331" t="s">
        <v>1355</v>
      </c>
      <c r="D131" s="1376"/>
      <c r="E131" s="510"/>
      <c r="F131" s="1586"/>
      <c r="G131" s="823">
        <f t="shared" si="26"/>
        <v>350000</v>
      </c>
      <c r="H131" s="972">
        <f t="shared" si="26"/>
        <v>350000</v>
      </c>
      <c r="I131" s="579">
        <f t="shared" ref="I131:I132" si="27">G131-H131</f>
        <v>0</v>
      </c>
      <c r="J131" s="557"/>
      <c r="K131" s="2316"/>
      <c r="L131" s="2317"/>
      <c r="M131" s="2317"/>
      <c r="N131" s="2317"/>
      <c r="O131" s="2317"/>
      <c r="P131" s="2317"/>
      <c r="Q131" s="2317"/>
      <c r="R131" s="2317"/>
      <c r="S131" s="2317"/>
      <c r="T131" s="2317"/>
      <c r="U131" s="2317"/>
      <c r="V131" s="2317"/>
      <c r="W131" s="2317"/>
      <c r="X131" s="2317"/>
      <c r="Y131" s="2314"/>
      <c r="Z131" s="2774"/>
      <c r="AA131" s="2775"/>
      <c r="AB131" s="423"/>
      <c r="AC131" s="423"/>
      <c r="AD131" s="1680"/>
    </row>
    <row r="132" spans="1:30" s="1653" customFormat="1" ht="18.95" customHeight="1">
      <c r="A132" s="456" t="s">
        <v>213</v>
      </c>
      <c r="B132" s="540"/>
      <c r="C132" s="2954"/>
      <c r="D132" s="3926" t="s">
        <v>1355</v>
      </c>
      <c r="E132" s="3927"/>
      <c r="F132" s="3928"/>
      <c r="G132" s="823">
        <f t="shared" si="26"/>
        <v>350000</v>
      </c>
      <c r="H132" s="972">
        <f t="shared" si="26"/>
        <v>350000</v>
      </c>
      <c r="I132" s="579">
        <f t="shared" si="27"/>
        <v>0</v>
      </c>
      <c r="J132" s="557"/>
      <c r="K132" s="538"/>
      <c r="L132" s="2934"/>
      <c r="M132" s="2934"/>
      <c r="N132" s="2934"/>
      <c r="O132" s="2934"/>
      <c r="P132" s="2934"/>
      <c r="Q132" s="2934"/>
      <c r="R132" s="2934"/>
      <c r="S132" s="2934"/>
      <c r="T132" s="2934"/>
      <c r="U132" s="2934"/>
      <c r="V132" s="2934"/>
      <c r="W132" s="2934"/>
      <c r="X132" s="2934"/>
      <c r="Y132" s="585"/>
      <c r="Z132" s="599"/>
      <c r="AA132" s="595"/>
      <c r="AB132" s="423"/>
      <c r="AC132" s="423"/>
      <c r="AD132" s="1680"/>
    </row>
    <row r="133" spans="1:30" s="1653" customFormat="1" ht="18.95" customHeight="1">
      <c r="A133" s="456"/>
      <c r="B133" s="540"/>
      <c r="C133" s="2954"/>
      <c r="D133" s="1910"/>
      <c r="E133" s="3825" t="s">
        <v>1355</v>
      </c>
      <c r="F133" s="3826"/>
      <c r="G133" s="598">
        <f>SUM(G134:G187)</f>
        <v>350000</v>
      </c>
      <c r="H133" s="955">
        <f>SUM(H134:H187)</f>
        <v>350000</v>
      </c>
      <c r="I133" s="529">
        <f>SUM(I134:I187)</f>
        <v>0</v>
      </c>
      <c r="J133" s="557"/>
      <c r="K133" s="538"/>
      <c r="L133" s="2934"/>
      <c r="M133" s="2934"/>
      <c r="N133" s="2934"/>
      <c r="O133" s="2934"/>
      <c r="P133" s="2934"/>
      <c r="Q133" s="2934"/>
      <c r="R133" s="2934"/>
      <c r="S133" s="539"/>
      <c r="T133" s="2934"/>
      <c r="U133" s="2934"/>
      <c r="V133" s="2934"/>
      <c r="W133" s="2934"/>
      <c r="X133" s="2934"/>
      <c r="Y133" s="585"/>
      <c r="Z133" s="554"/>
      <c r="AA133" s="587"/>
      <c r="AB133" s="423"/>
      <c r="AC133" s="423"/>
      <c r="AD133" s="1680"/>
    </row>
    <row r="134" spans="1:30" s="1653" customFormat="1" ht="18.95" customHeight="1">
      <c r="A134" s="456"/>
      <c r="B134" s="540"/>
      <c r="C134" s="2954"/>
      <c r="D134" s="1910"/>
      <c r="E134" s="588"/>
      <c r="F134" s="484" t="s">
        <v>4853</v>
      </c>
      <c r="G134" s="549">
        <f>Z134</f>
        <v>70700</v>
      </c>
      <c r="H134" s="3176">
        <v>70700</v>
      </c>
      <c r="I134" s="551"/>
      <c r="J134" s="3314"/>
      <c r="K134" s="3315" t="s">
        <v>4826</v>
      </c>
      <c r="L134" s="2075"/>
      <c r="M134" s="2075"/>
      <c r="N134" s="2075"/>
      <c r="O134" s="2075"/>
      <c r="P134" s="3119"/>
      <c r="Q134" s="3119"/>
      <c r="R134" s="3119"/>
      <c r="S134" s="3316"/>
      <c r="T134" s="3317"/>
      <c r="U134" s="477"/>
      <c r="V134" s="2075"/>
      <c r="W134" s="2016"/>
      <c r="X134" s="2075"/>
      <c r="Y134" s="2075"/>
      <c r="Z134" s="490">
        <f t="shared" ref="Z134:Z177" si="28">+AA134/1000</f>
        <v>70700</v>
      </c>
      <c r="AA134" s="3318">
        <f>SUM(AA135:AA138)</f>
        <v>70700000</v>
      </c>
      <c r="AB134" s="423"/>
      <c r="AC134" s="423"/>
      <c r="AD134" s="1680"/>
    </row>
    <row r="135" spans="1:30" s="1653" customFormat="1" ht="18.95" customHeight="1">
      <c r="A135" s="456"/>
      <c r="B135" s="540"/>
      <c r="C135" s="2954"/>
      <c r="D135" s="1910"/>
      <c r="E135" s="588"/>
      <c r="F135" s="536"/>
      <c r="G135" s="536"/>
      <c r="H135" s="2547"/>
      <c r="I135" s="3319"/>
      <c r="J135" s="3314"/>
      <c r="K135" s="3320" t="s">
        <v>4827</v>
      </c>
      <c r="L135" s="308"/>
      <c r="M135" s="308"/>
      <c r="N135" s="308"/>
      <c r="O135" s="308"/>
      <c r="P135" s="480"/>
      <c r="Q135" s="308"/>
      <c r="R135" s="3109">
        <v>1</v>
      </c>
      <c r="S135" s="3253" t="s">
        <v>259</v>
      </c>
      <c r="T135" s="3108">
        <v>2000000</v>
      </c>
      <c r="U135" s="3255" t="s">
        <v>37</v>
      </c>
      <c r="V135" s="3255"/>
      <c r="W135" s="3255">
        <v>12</v>
      </c>
      <c r="X135" s="3255" t="s">
        <v>230</v>
      </c>
      <c r="Y135" s="2030" t="s">
        <v>38</v>
      </c>
      <c r="Z135" s="554">
        <f t="shared" ref="Z135:Z138" si="29">(AA135)/1000</f>
        <v>24000</v>
      </c>
      <c r="AA135" s="3321">
        <f t="shared" ref="AA135:AA137" si="30">R135*T135*W135</f>
        <v>24000000</v>
      </c>
      <c r="AB135" s="423"/>
      <c r="AC135" s="423"/>
      <c r="AD135" s="1680"/>
    </row>
    <row r="136" spans="1:30" s="1653" customFormat="1" ht="18.95" customHeight="1">
      <c r="A136" s="456"/>
      <c r="B136" s="540"/>
      <c r="C136" s="2954"/>
      <c r="D136" s="1910"/>
      <c r="E136" s="588"/>
      <c r="F136" s="536"/>
      <c r="G136" s="536"/>
      <c r="H136" s="2547"/>
      <c r="I136" s="3319"/>
      <c r="J136" s="3314"/>
      <c r="K136" s="3320" t="s">
        <v>4828</v>
      </c>
      <c r="L136" s="308"/>
      <c r="M136" s="308"/>
      <c r="N136" s="308"/>
      <c r="O136" s="308"/>
      <c r="P136" s="480"/>
      <c r="Q136" s="308"/>
      <c r="R136" s="3109">
        <v>2</v>
      </c>
      <c r="S136" s="3253" t="s">
        <v>259</v>
      </c>
      <c r="T136" s="3108">
        <v>1900000</v>
      </c>
      <c r="U136" s="3255" t="s">
        <v>37</v>
      </c>
      <c r="V136" s="3255"/>
      <c r="W136" s="3255">
        <v>10</v>
      </c>
      <c r="X136" s="3255" t="s">
        <v>230</v>
      </c>
      <c r="Y136" s="2030" t="s">
        <v>38</v>
      </c>
      <c r="Z136" s="554">
        <f t="shared" si="29"/>
        <v>38000</v>
      </c>
      <c r="AA136" s="3321">
        <f t="shared" si="30"/>
        <v>38000000</v>
      </c>
      <c r="AB136" s="423"/>
      <c r="AC136" s="423"/>
      <c r="AD136" s="1680"/>
    </row>
    <row r="137" spans="1:30" s="1653" customFormat="1" ht="18.95" customHeight="1">
      <c r="A137" s="456"/>
      <c r="B137" s="540"/>
      <c r="C137" s="2954"/>
      <c r="D137" s="1910"/>
      <c r="E137" s="588"/>
      <c r="F137" s="536"/>
      <c r="G137" s="536"/>
      <c r="H137" s="2547"/>
      <c r="I137" s="3319"/>
      <c r="J137" s="3314"/>
      <c r="K137" s="3320" t="s">
        <v>4829</v>
      </c>
      <c r="L137" s="308"/>
      <c r="M137" s="308"/>
      <c r="N137" s="308"/>
      <c r="O137" s="308"/>
      <c r="P137" s="480"/>
      <c r="Q137" s="308"/>
      <c r="R137" s="3109">
        <v>1</v>
      </c>
      <c r="S137" s="3253" t="s">
        <v>259</v>
      </c>
      <c r="T137" s="3108">
        <v>2500000</v>
      </c>
      <c r="U137" s="3255" t="s">
        <v>37</v>
      </c>
      <c r="V137" s="3255"/>
      <c r="W137" s="3255">
        <v>1</v>
      </c>
      <c r="X137" s="3255" t="s">
        <v>230</v>
      </c>
      <c r="Y137" s="2030" t="s">
        <v>38</v>
      </c>
      <c r="Z137" s="554">
        <f t="shared" si="29"/>
        <v>2500</v>
      </c>
      <c r="AA137" s="3321">
        <f t="shared" si="30"/>
        <v>2500000</v>
      </c>
      <c r="AB137" s="423"/>
      <c r="AC137" s="423"/>
      <c r="AD137" s="1680"/>
    </row>
    <row r="138" spans="1:30" s="1653" customFormat="1" ht="18.95" customHeight="1">
      <c r="A138" s="456"/>
      <c r="B138" s="540"/>
      <c r="C138" s="2954"/>
      <c r="D138" s="1910"/>
      <c r="E138" s="588"/>
      <c r="F138" s="536"/>
      <c r="G138" s="536"/>
      <c r="H138" s="2547"/>
      <c r="I138" s="3319"/>
      <c r="J138" s="3314"/>
      <c r="K138" s="3320" t="s">
        <v>4830</v>
      </c>
      <c r="L138" s="308"/>
      <c r="M138" s="308"/>
      <c r="N138" s="308"/>
      <c r="O138" s="308"/>
      <c r="P138" s="480"/>
      <c r="Q138" s="308"/>
      <c r="R138" s="3109"/>
      <c r="S138" s="3253"/>
      <c r="T138" s="3108">
        <f>AA135+AA136</f>
        <v>62000000</v>
      </c>
      <c r="U138" s="3255" t="s">
        <v>37</v>
      </c>
      <c r="V138" s="3255"/>
      <c r="W138" s="3255">
        <v>10</v>
      </c>
      <c r="X138" s="3255" t="s">
        <v>575</v>
      </c>
      <c r="Y138" s="2030" t="s">
        <v>38</v>
      </c>
      <c r="Z138" s="554">
        <f t="shared" si="29"/>
        <v>6200</v>
      </c>
      <c r="AA138" s="3321">
        <f>T138*W138/100</f>
        <v>6200000</v>
      </c>
      <c r="AB138" s="423"/>
      <c r="AC138" s="423"/>
      <c r="AD138" s="1680"/>
    </row>
    <row r="139" spans="1:30" s="1653" customFormat="1" ht="18.95" customHeight="1">
      <c r="A139" s="456"/>
      <c r="B139" s="540"/>
      <c r="C139" s="2954"/>
      <c r="D139" s="1910"/>
      <c r="E139" s="588"/>
      <c r="F139" s="2013" t="s">
        <v>4822</v>
      </c>
      <c r="G139" s="549">
        <f>Z139</f>
        <v>32000</v>
      </c>
      <c r="H139" s="2547">
        <v>32000</v>
      </c>
      <c r="I139" s="551"/>
      <c r="J139" s="3314"/>
      <c r="K139" s="481" t="s">
        <v>4826</v>
      </c>
      <c r="L139" s="2075"/>
      <c r="M139" s="2075"/>
      <c r="N139" s="2075"/>
      <c r="O139" s="2075"/>
      <c r="P139" s="2075"/>
      <c r="Q139" s="2016"/>
      <c r="R139" s="2075"/>
      <c r="S139" s="477"/>
      <c r="T139" s="3317"/>
      <c r="U139" s="477"/>
      <c r="V139" s="2075"/>
      <c r="W139" s="2016"/>
      <c r="X139" s="2075"/>
      <c r="Y139" s="2075"/>
      <c r="Z139" s="3110">
        <f t="shared" si="28"/>
        <v>32000</v>
      </c>
      <c r="AA139" s="3318">
        <f>SUM(AA140:AA142)</f>
        <v>32000000</v>
      </c>
      <c r="AB139" s="423"/>
      <c r="AC139" s="423"/>
      <c r="AD139" s="1680"/>
    </row>
    <row r="140" spans="1:30" s="1653" customFormat="1" ht="18.95" customHeight="1">
      <c r="A140" s="456"/>
      <c r="B140" s="540"/>
      <c r="C140" s="2954"/>
      <c r="D140" s="1910"/>
      <c r="E140" s="588"/>
      <c r="F140" s="2013"/>
      <c r="G140" s="469"/>
      <c r="H140" s="1261"/>
      <c r="I140" s="551"/>
      <c r="J140" s="3314"/>
      <c r="K140" s="481" t="s">
        <v>4831</v>
      </c>
      <c r="L140" s="2075"/>
      <c r="M140" s="2075"/>
      <c r="N140" s="2075"/>
      <c r="O140" s="2075"/>
      <c r="P140" s="2075"/>
      <c r="Q140" s="2016"/>
      <c r="R140" s="3322"/>
      <c r="S140" s="477"/>
      <c r="T140" s="511">
        <v>20000</v>
      </c>
      <c r="U140" s="477" t="s">
        <v>56</v>
      </c>
      <c r="V140" s="3119"/>
      <c r="W140" s="504">
        <v>1000</v>
      </c>
      <c r="X140" s="2075" t="s">
        <v>254</v>
      </c>
      <c r="Y140" s="3323" t="s">
        <v>38</v>
      </c>
      <c r="Z140" s="3110">
        <f t="shared" si="28"/>
        <v>20000</v>
      </c>
      <c r="AA140" s="3324">
        <f>T140*W140</f>
        <v>20000000</v>
      </c>
      <c r="AB140" s="423"/>
      <c r="AC140" s="423"/>
      <c r="AD140" s="1680"/>
    </row>
    <row r="141" spans="1:30" s="1653" customFormat="1" ht="18.95" customHeight="1">
      <c r="A141" s="456"/>
      <c r="B141" s="540"/>
      <c r="C141" s="2954"/>
      <c r="D141" s="1910"/>
      <c r="E141" s="588"/>
      <c r="F141" s="2013"/>
      <c r="G141" s="469"/>
      <c r="H141" s="1261"/>
      <c r="I141" s="470"/>
      <c r="J141" s="3314"/>
      <c r="K141" s="481" t="s">
        <v>1519</v>
      </c>
      <c r="L141" s="2075"/>
      <c r="M141" s="2075"/>
      <c r="N141" s="2075"/>
      <c r="O141" s="2075"/>
      <c r="P141" s="2075"/>
      <c r="Q141" s="2016"/>
      <c r="R141" s="3325"/>
      <c r="S141" s="477"/>
      <c r="T141" s="511">
        <v>2000</v>
      </c>
      <c r="U141" s="477" t="s">
        <v>56</v>
      </c>
      <c r="V141" s="3119"/>
      <c r="W141" s="504">
        <v>5000</v>
      </c>
      <c r="X141" s="2075" t="s">
        <v>254</v>
      </c>
      <c r="Y141" s="3323" t="s">
        <v>38</v>
      </c>
      <c r="Z141" s="3110">
        <f t="shared" si="28"/>
        <v>10000</v>
      </c>
      <c r="AA141" s="3324">
        <f>T141*W141</f>
        <v>10000000</v>
      </c>
      <c r="AB141" s="423"/>
      <c r="AC141" s="423"/>
      <c r="AD141" s="1680"/>
    </row>
    <row r="142" spans="1:30" s="1653" customFormat="1" ht="18.95" customHeight="1">
      <c r="A142" s="456"/>
      <c r="B142" s="540"/>
      <c r="C142" s="2954"/>
      <c r="D142" s="1910"/>
      <c r="E142" s="588"/>
      <c r="F142" s="2013"/>
      <c r="G142" s="469"/>
      <c r="H142" s="1261"/>
      <c r="I142" s="470"/>
      <c r="J142" s="3314"/>
      <c r="K142" s="481" t="s">
        <v>1520</v>
      </c>
      <c r="L142" s="2075"/>
      <c r="M142" s="2075"/>
      <c r="N142" s="2075"/>
      <c r="O142" s="2075"/>
      <c r="P142" s="2075"/>
      <c r="Q142" s="2016"/>
      <c r="R142" s="3322"/>
      <c r="S142" s="477"/>
      <c r="T142" s="511">
        <v>10000</v>
      </c>
      <c r="U142" s="477" t="s">
        <v>56</v>
      </c>
      <c r="V142" s="3119"/>
      <c r="W142" s="504">
        <v>200</v>
      </c>
      <c r="X142" s="2075" t="s">
        <v>254</v>
      </c>
      <c r="Y142" s="3323" t="s">
        <v>38</v>
      </c>
      <c r="Z142" s="3110">
        <f t="shared" si="28"/>
        <v>2000</v>
      </c>
      <c r="AA142" s="3324">
        <f>T142*W142</f>
        <v>2000000</v>
      </c>
      <c r="AB142" s="423"/>
      <c r="AC142" s="423"/>
      <c r="AD142" s="1680"/>
    </row>
    <row r="143" spans="1:30" s="1653" customFormat="1" ht="18.95" customHeight="1">
      <c r="A143" s="456"/>
      <c r="B143" s="540"/>
      <c r="C143" s="2954"/>
      <c r="D143" s="1910"/>
      <c r="E143" s="588"/>
      <c r="F143" s="2013" t="s">
        <v>4854</v>
      </c>
      <c r="G143" s="549">
        <f>Z143</f>
        <v>1500</v>
      </c>
      <c r="H143" s="1261">
        <v>1500</v>
      </c>
      <c r="I143" s="551"/>
      <c r="J143" s="3314"/>
      <c r="K143" s="3106" t="s">
        <v>4832</v>
      </c>
      <c r="L143" s="3107"/>
      <c r="M143" s="3107"/>
      <c r="N143" s="3107"/>
      <c r="O143" s="3108"/>
      <c r="P143" s="3108"/>
      <c r="Q143" s="3107"/>
      <c r="R143" s="3109"/>
      <c r="S143" s="3107"/>
      <c r="T143" s="3107">
        <v>100000</v>
      </c>
      <c r="U143" s="3107" t="s">
        <v>37</v>
      </c>
      <c r="V143" s="3107"/>
      <c r="W143" s="3107">
        <v>15</v>
      </c>
      <c r="X143" s="3107" t="s">
        <v>39</v>
      </c>
      <c r="Y143" s="3107" t="s">
        <v>38</v>
      </c>
      <c r="Z143" s="3110">
        <f t="shared" si="28"/>
        <v>1500</v>
      </c>
      <c r="AA143" s="3324">
        <f>T143*W143</f>
        <v>1500000</v>
      </c>
      <c r="AB143" s="423"/>
      <c r="AC143" s="423"/>
      <c r="AD143" s="1680"/>
    </row>
    <row r="144" spans="1:30" s="1653" customFormat="1" ht="18.95" customHeight="1">
      <c r="A144" s="456"/>
      <c r="B144" s="540"/>
      <c r="C144" s="2954"/>
      <c r="D144" s="1910"/>
      <c r="E144" s="588"/>
      <c r="F144" s="2013" t="s">
        <v>4823</v>
      </c>
      <c r="G144" s="549">
        <f>Z144</f>
        <v>3020</v>
      </c>
      <c r="H144" s="1261">
        <v>3020</v>
      </c>
      <c r="I144" s="551"/>
      <c r="J144" s="3314"/>
      <c r="K144" s="3106" t="s">
        <v>4833</v>
      </c>
      <c r="L144" s="3107"/>
      <c r="M144" s="3107"/>
      <c r="N144" s="3107"/>
      <c r="O144" s="3108"/>
      <c r="P144" s="3108"/>
      <c r="Q144" s="3107"/>
      <c r="R144" s="3109"/>
      <c r="S144" s="3107"/>
      <c r="T144" s="3107">
        <v>3020000</v>
      </c>
      <c r="U144" s="3107" t="s">
        <v>37</v>
      </c>
      <c r="V144" s="3107"/>
      <c r="W144" s="3107">
        <v>1</v>
      </c>
      <c r="X144" s="3107" t="s">
        <v>226</v>
      </c>
      <c r="Y144" s="3107" t="s">
        <v>38</v>
      </c>
      <c r="Z144" s="3110">
        <f t="shared" si="28"/>
        <v>3020</v>
      </c>
      <c r="AA144" s="3324">
        <f>T144*W144</f>
        <v>3020000</v>
      </c>
      <c r="AB144" s="423"/>
      <c r="AC144" s="423"/>
      <c r="AD144" s="1680"/>
    </row>
    <row r="145" spans="1:30" s="1653" customFormat="1" ht="18.95" customHeight="1">
      <c r="A145" s="456"/>
      <c r="B145" s="540"/>
      <c r="C145" s="2954"/>
      <c r="D145" s="1910"/>
      <c r="E145" s="588"/>
      <c r="F145" s="2013" t="s">
        <v>4824</v>
      </c>
      <c r="G145" s="549">
        <f>Z145</f>
        <v>4400</v>
      </c>
      <c r="H145" s="1261">
        <v>4400</v>
      </c>
      <c r="I145" s="551"/>
      <c r="J145" s="3314"/>
      <c r="K145" s="481" t="s">
        <v>6178</v>
      </c>
      <c r="L145" s="2075"/>
      <c r="M145" s="2075"/>
      <c r="N145" s="2075"/>
      <c r="O145" s="2075"/>
      <c r="P145" s="2075"/>
      <c r="Q145" s="2016"/>
      <c r="R145" s="3109">
        <v>4</v>
      </c>
      <c r="S145" s="3707" t="s">
        <v>227</v>
      </c>
      <c r="T145" s="718">
        <v>100000</v>
      </c>
      <c r="U145" s="477" t="s">
        <v>68</v>
      </c>
      <c r="V145" s="2016"/>
      <c r="W145" s="2016">
        <v>11</v>
      </c>
      <c r="X145" s="2075" t="s">
        <v>230</v>
      </c>
      <c r="Y145" s="3323" t="s">
        <v>38</v>
      </c>
      <c r="Z145" s="3110">
        <f t="shared" ref="Z145" si="31">+AA145/1000</f>
        <v>4400</v>
      </c>
      <c r="AA145" s="3318">
        <f>R145*T145*W145</f>
        <v>4400000</v>
      </c>
      <c r="AB145" s="423"/>
      <c r="AC145" s="423"/>
      <c r="AD145" s="1680"/>
    </row>
    <row r="146" spans="1:30" s="1653" customFormat="1" ht="18.95" customHeight="1">
      <c r="A146" s="456"/>
      <c r="B146" s="540"/>
      <c r="C146" s="2954"/>
      <c r="D146" s="1910"/>
      <c r="E146" s="588"/>
      <c r="F146" s="2013" t="s">
        <v>4855</v>
      </c>
      <c r="G146" s="549">
        <f>Z146</f>
        <v>5530</v>
      </c>
      <c r="H146" s="1261">
        <v>5530</v>
      </c>
      <c r="I146" s="551"/>
      <c r="J146" s="3314"/>
      <c r="K146" s="481" t="s">
        <v>4826</v>
      </c>
      <c r="L146" s="2075"/>
      <c r="M146" s="2075"/>
      <c r="N146" s="2075"/>
      <c r="O146" s="2075"/>
      <c r="P146" s="2075"/>
      <c r="Q146" s="2016"/>
      <c r="R146" s="2075"/>
      <c r="S146" s="477"/>
      <c r="T146" s="3317"/>
      <c r="U146" s="477"/>
      <c r="V146" s="2075"/>
      <c r="W146" s="2016"/>
      <c r="X146" s="2075"/>
      <c r="Y146" s="2075"/>
      <c r="Z146" s="3110">
        <f t="shared" si="28"/>
        <v>5530</v>
      </c>
      <c r="AA146" s="3318">
        <f>SUM(AA147:AA149)</f>
        <v>5530000</v>
      </c>
      <c r="AB146" s="423"/>
      <c r="AC146" s="423"/>
      <c r="AD146" s="1680"/>
    </row>
    <row r="147" spans="1:30" s="1653" customFormat="1" ht="18.95" customHeight="1">
      <c r="A147" s="456"/>
      <c r="B147" s="540"/>
      <c r="C147" s="2954"/>
      <c r="D147" s="1910"/>
      <c r="E147" s="588"/>
      <c r="F147" s="2013"/>
      <c r="G147" s="469"/>
      <c r="H147" s="1261"/>
      <c r="I147" s="470"/>
      <c r="J147" s="3314"/>
      <c r="K147" s="481" t="s">
        <v>1528</v>
      </c>
      <c r="L147" s="2075"/>
      <c r="M147" s="2075"/>
      <c r="N147" s="2075"/>
      <c r="O147" s="2075"/>
      <c r="P147" s="2075"/>
      <c r="Q147" s="2016"/>
      <c r="R147" s="3322"/>
      <c r="S147" s="477"/>
      <c r="T147" s="511">
        <v>3000000</v>
      </c>
      <c r="U147" s="477" t="s">
        <v>56</v>
      </c>
      <c r="V147" s="3119"/>
      <c r="W147" s="504">
        <v>1</v>
      </c>
      <c r="X147" s="2075" t="s">
        <v>226</v>
      </c>
      <c r="Y147" s="3323" t="s">
        <v>38</v>
      </c>
      <c r="Z147" s="3110">
        <f t="shared" si="28"/>
        <v>3000</v>
      </c>
      <c r="AA147" s="3324">
        <f>T147*W147</f>
        <v>3000000</v>
      </c>
      <c r="AB147" s="423"/>
      <c r="AC147" s="423"/>
      <c r="AD147" s="1680"/>
    </row>
    <row r="148" spans="1:30" s="1653" customFormat="1" ht="18.95" customHeight="1">
      <c r="A148" s="456"/>
      <c r="B148" s="540"/>
      <c r="C148" s="2954"/>
      <c r="D148" s="1910"/>
      <c r="E148" s="588"/>
      <c r="F148" s="2013"/>
      <c r="G148" s="469"/>
      <c r="H148" s="1261"/>
      <c r="I148" s="551"/>
      <c r="J148" s="3314"/>
      <c r="K148" s="481" t="s">
        <v>1529</v>
      </c>
      <c r="L148" s="2075"/>
      <c r="M148" s="2075"/>
      <c r="N148" s="2075"/>
      <c r="O148" s="2075"/>
      <c r="P148" s="2075"/>
      <c r="Q148" s="2016"/>
      <c r="R148" s="3325"/>
      <c r="S148" s="477"/>
      <c r="T148" s="511">
        <v>150000</v>
      </c>
      <c r="U148" s="477" t="s">
        <v>56</v>
      </c>
      <c r="V148" s="3119"/>
      <c r="W148" s="504">
        <v>11</v>
      </c>
      <c r="X148" s="2075" t="s">
        <v>230</v>
      </c>
      <c r="Y148" s="3323" t="s">
        <v>38</v>
      </c>
      <c r="Z148" s="3110">
        <f t="shared" si="28"/>
        <v>1650</v>
      </c>
      <c r="AA148" s="3324">
        <f>T148*W148</f>
        <v>1650000</v>
      </c>
      <c r="AB148" s="423"/>
      <c r="AC148" s="423"/>
      <c r="AD148" s="1680"/>
    </row>
    <row r="149" spans="1:30" s="1653" customFormat="1" ht="18.95" customHeight="1">
      <c r="A149" s="456"/>
      <c r="B149" s="540"/>
      <c r="C149" s="2954"/>
      <c r="D149" s="1910"/>
      <c r="E149" s="588"/>
      <c r="F149" s="2013"/>
      <c r="G149" s="469"/>
      <c r="H149" s="1261"/>
      <c r="I149" s="470"/>
      <c r="J149" s="3314"/>
      <c r="K149" s="481" t="s">
        <v>4834</v>
      </c>
      <c r="L149" s="2075"/>
      <c r="M149" s="2075"/>
      <c r="N149" s="2075"/>
      <c r="O149" s="2075"/>
      <c r="P149" s="2075"/>
      <c r="Q149" s="2016"/>
      <c r="R149" s="3322"/>
      <c r="S149" s="477"/>
      <c r="T149" s="511">
        <v>80000</v>
      </c>
      <c r="U149" s="477" t="s">
        <v>56</v>
      </c>
      <c r="V149" s="3119"/>
      <c r="W149" s="504">
        <v>11</v>
      </c>
      <c r="X149" s="2075" t="s">
        <v>230</v>
      </c>
      <c r="Y149" s="3323" t="s">
        <v>38</v>
      </c>
      <c r="Z149" s="3110">
        <f t="shared" si="28"/>
        <v>880</v>
      </c>
      <c r="AA149" s="3324">
        <f>T149*W149</f>
        <v>880000</v>
      </c>
      <c r="AB149" s="423"/>
      <c r="AC149" s="423"/>
      <c r="AD149" s="1680"/>
    </row>
    <row r="150" spans="1:30" s="1653" customFormat="1" ht="18.95" customHeight="1">
      <c r="A150" s="456"/>
      <c r="B150" s="540"/>
      <c r="C150" s="2954"/>
      <c r="D150" s="1910"/>
      <c r="E150" s="588"/>
      <c r="F150" s="2013" t="s">
        <v>4780</v>
      </c>
      <c r="G150" s="549">
        <f>Z150</f>
        <v>63800</v>
      </c>
      <c r="H150" s="1261">
        <v>63800</v>
      </c>
      <c r="I150" s="551"/>
      <c r="J150" s="3314"/>
      <c r="K150" s="481" t="s">
        <v>4826</v>
      </c>
      <c r="L150" s="3180"/>
      <c r="M150" s="3180"/>
      <c r="N150" s="3180"/>
      <c r="O150" s="3180"/>
      <c r="P150" s="3180"/>
      <c r="Q150" s="2016"/>
      <c r="R150" s="2075"/>
      <c r="S150" s="477"/>
      <c r="T150" s="3317"/>
      <c r="U150" s="477"/>
      <c r="V150" s="2075"/>
      <c r="W150" s="2016"/>
      <c r="X150" s="2075"/>
      <c r="Y150" s="2075"/>
      <c r="Z150" s="3110">
        <f t="shared" si="28"/>
        <v>63800</v>
      </c>
      <c r="AA150" s="3318">
        <f>SUM(AA151:AA159)</f>
        <v>63800000</v>
      </c>
      <c r="AB150" s="423"/>
      <c r="AC150" s="423"/>
      <c r="AD150" s="1680"/>
    </row>
    <row r="151" spans="1:30" s="1653" customFormat="1" ht="18.95" customHeight="1">
      <c r="A151" s="456"/>
      <c r="B151" s="540"/>
      <c r="C151" s="2954"/>
      <c r="D151" s="1910"/>
      <c r="E151" s="588"/>
      <c r="F151" s="2013"/>
      <c r="G151" s="469"/>
      <c r="H151" s="1261"/>
      <c r="I151" s="470"/>
      <c r="J151" s="3314"/>
      <c r="K151" s="3207" t="s">
        <v>1512</v>
      </c>
      <c r="L151" s="3180"/>
      <c r="M151" s="3180"/>
      <c r="N151" s="3180"/>
      <c r="O151" s="3180"/>
      <c r="P151" s="3180"/>
      <c r="Q151" s="3119"/>
      <c r="R151" s="2016"/>
      <c r="S151" s="477"/>
      <c r="T151" s="718">
        <v>500000</v>
      </c>
      <c r="U151" s="477" t="s">
        <v>930</v>
      </c>
      <c r="V151" s="2016"/>
      <c r="W151" s="2016">
        <v>15</v>
      </c>
      <c r="X151" s="2075" t="s">
        <v>259</v>
      </c>
      <c r="Y151" s="3323" t="s">
        <v>38</v>
      </c>
      <c r="Z151" s="3110">
        <f t="shared" si="28"/>
        <v>7500</v>
      </c>
      <c r="AA151" s="3318">
        <f>T151*W151</f>
        <v>7500000</v>
      </c>
      <c r="AB151" s="423"/>
      <c r="AC151" s="423"/>
      <c r="AD151" s="1680"/>
    </row>
    <row r="152" spans="1:30" s="1653" customFormat="1" ht="18.95" customHeight="1">
      <c r="A152" s="456"/>
      <c r="B152" s="540"/>
      <c r="C152" s="2954"/>
      <c r="D152" s="1910"/>
      <c r="E152" s="588"/>
      <c r="F152" s="2013"/>
      <c r="G152" s="469"/>
      <c r="H152" s="1261"/>
      <c r="I152" s="551"/>
      <c r="J152" s="3314"/>
      <c r="K152" s="3207" t="s">
        <v>1511</v>
      </c>
      <c r="L152" s="3180"/>
      <c r="M152" s="3180"/>
      <c r="N152" s="3180"/>
      <c r="O152" s="3180"/>
      <c r="P152" s="3180"/>
      <c r="Q152" s="3119"/>
      <c r="R152" s="2016"/>
      <c r="S152" s="477"/>
      <c r="T152" s="718">
        <v>300000</v>
      </c>
      <c r="U152" s="477" t="s">
        <v>930</v>
      </c>
      <c r="V152" s="2016"/>
      <c r="W152" s="2016">
        <v>10</v>
      </c>
      <c r="X152" s="2075" t="s">
        <v>259</v>
      </c>
      <c r="Y152" s="3323" t="s">
        <v>38</v>
      </c>
      <c r="Z152" s="3110">
        <f t="shared" si="28"/>
        <v>3000</v>
      </c>
      <c r="AA152" s="3318">
        <f>T152*W152</f>
        <v>3000000</v>
      </c>
      <c r="AB152" s="423"/>
      <c r="AC152" s="423"/>
      <c r="AD152" s="1680"/>
    </row>
    <row r="153" spans="1:30" s="1653" customFormat="1" ht="18.95" customHeight="1">
      <c r="A153" s="456"/>
      <c r="B153" s="540"/>
      <c r="C153" s="2954"/>
      <c r="D153" s="1910"/>
      <c r="E153" s="588"/>
      <c r="F153" s="2013"/>
      <c r="G153" s="469"/>
      <c r="H153" s="1261"/>
      <c r="I153" s="470"/>
      <c r="J153" s="3314"/>
      <c r="K153" s="3207" t="s">
        <v>4835</v>
      </c>
      <c r="L153" s="3180"/>
      <c r="M153" s="3180"/>
      <c r="N153" s="3180"/>
      <c r="O153" s="3180"/>
      <c r="P153" s="3180"/>
      <c r="Q153" s="3119"/>
      <c r="R153" s="2016">
        <v>1</v>
      </c>
      <c r="S153" s="477" t="s">
        <v>227</v>
      </c>
      <c r="T153" s="718">
        <v>10000</v>
      </c>
      <c r="U153" s="477" t="s">
        <v>930</v>
      </c>
      <c r="V153" s="2016"/>
      <c r="W153" s="2016">
        <v>500</v>
      </c>
      <c r="X153" s="2075" t="s">
        <v>389</v>
      </c>
      <c r="Y153" s="2075" t="s">
        <v>38</v>
      </c>
      <c r="Z153" s="3110">
        <f t="shared" si="28"/>
        <v>5000</v>
      </c>
      <c r="AA153" s="3318">
        <f>T153*W153</f>
        <v>5000000</v>
      </c>
      <c r="AB153" s="423"/>
      <c r="AC153" s="423"/>
      <c r="AD153" s="1680"/>
    </row>
    <row r="154" spans="1:30" s="1653" customFormat="1" ht="18.95" customHeight="1">
      <c r="A154" s="456"/>
      <c r="B154" s="540"/>
      <c r="C154" s="2954"/>
      <c r="D154" s="1910"/>
      <c r="E154" s="588"/>
      <c r="F154" s="2013"/>
      <c r="G154" s="469"/>
      <c r="H154" s="1261"/>
      <c r="I154" s="470"/>
      <c r="J154" s="3314"/>
      <c r="K154" s="3207" t="s">
        <v>4836</v>
      </c>
      <c r="L154" s="3180"/>
      <c r="M154" s="3180"/>
      <c r="N154" s="3180"/>
      <c r="O154" s="3180"/>
      <c r="P154" s="3180"/>
      <c r="Q154" s="3119"/>
      <c r="R154" s="2016">
        <v>2</v>
      </c>
      <c r="S154" s="477" t="s">
        <v>227</v>
      </c>
      <c r="T154" s="718">
        <v>10000</v>
      </c>
      <c r="U154" s="477" t="s">
        <v>930</v>
      </c>
      <c r="V154" s="2016"/>
      <c r="W154" s="2016">
        <v>300</v>
      </c>
      <c r="X154" s="2075" t="s">
        <v>389</v>
      </c>
      <c r="Y154" s="2075" t="s">
        <v>38</v>
      </c>
      <c r="Z154" s="3110">
        <f t="shared" si="28"/>
        <v>6000</v>
      </c>
      <c r="AA154" s="3318">
        <f>T154*W154*R154</f>
        <v>6000000</v>
      </c>
      <c r="AB154" s="423"/>
      <c r="AC154" s="423"/>
      <c r="AD154" s="1680"/>
    </row>
    <row r="155" spans="1:30" s="1653" customFormat="1" ht="18.95" customHeight="1">
      <c r="A155" s="456"/>
      <c r="B155" s="540"/>
      <c r="C155" s="2954"/>
      <c r="D155" s="1910"/>
      <c r="E155" s="588"/>
      <c r="F155" s="2013"/>
      <c r="G155" s="469"/>
      <c r="H155" s="1261"/>
      <c r="I155" s="470"/>
      <c r="J155" s="3314"/>
      <c r="K155" s="3207" t="s">
        <v>4837</v>
      </c>
      <c r="L155" s="3180"/>
      <c r="M155" s="3180"/>
      <c r="N155" s="3180"/>
      <c r="O155" s="3180"/>
      <c r="P155" s="3180"/>
      <c r="Q155" s="3119"/>
      <c r="R155" s="2016">
        <v>2</v>
      </c>
      <c r="S155" s="477" t="s">
        <v>227</v>
      </c>
      <c r="T155" s="718">
        <v>80000</v>
      </c>
      <c r="U155" s="477" t="s">
        <v>930</v>
      </c>
      <c r="V155" s="2016"/>
      <c r="W155" s="2016">
        <v>20</v>
      </c>
      <c r="X155" s="2075" t="s">
        <v>24</v>
      </c>
      <c r="Y155" s="2075" t="s">
        <v>38</v>
      </c>
      <c r="Z155" s="3110">
        <f t="shared" si="28"/>
        <v>3200</v>
      </c>
      <c r="AA155" s="3318">
        <f>T155*W155*R155</f>
        <v>3200000</v>
      </c>
      <c r="AB155" s="423"/>
      <c r="AC155" s="423"/>
      <c r="AD155" s="1680"/>
    </row>
    <row r="156" spans="1:30" s="1653" customFormat="1" ht="18.95" customHeight="1">
      <c r="A156" s="456"/>
      <c r="B156" s="540"/>
      <c r="C156" s="2954"/>
      <c r="D156" s="1910"/>
      <c r="E156" s="588"/>
      <c r="F156" s="2013"/>
      <c r="G156" s="469"/>
      <c r="H156" s="1261"/>
      <c r="I156" s="470"/>
      <c r="J156" s="3314"/>
      <c r="K156" s="3207" t="s">
        <v>4838</v>
      </c>
      <c r="L156" s="3180"/>
      <c r="M156" s="3180"/>
      <c r="N156" s="3180"/>
      <c r="O156" s="3180"/>
      <c r="P156" s="3180"/>
      <c r="Q156" s="3119"/>
      <c r="R156" s="2016"/>
      <c r="S156" s="477"/>
      <c r="T156" s="718">
        <v>300000</v>
      </c>
      <c r="U156" s="477" t="s">
        <v>930</v>
      </c>
      <c r="V156" s="2016"/>
      <c r="W156" s="2016">
        <v>5</v>
      </c>
      <c r="X156" s="2075" t="s">
        <v>259</v>
      </c>
      <c r="Y156" s="3323" t="s">
        <v>38</v>
      </c>
      <c r="Z156" s="3110">
        <f t="shared" si="28"/>
        <v>1500</v>
      </c>
      <c r="AA156" s="3318">
        <f>T156*W156</f>
        <v>1500000</v>
      </c>
      <c r="AB156" s="423"/>
      <c r="AC156" s="423"/>
      <c r="AD156" s="1680"/>
    </row>
    <row r="157" spans="1:30" s="1653" customFormat="1" ht="18.95" customHeight="1">
      <c r="A157" s="456"/>
      <c r="B157" s="540"/>
      <c r="C157" s="2954"/>
      <c r="D157" s="1910"/>
      <c r="E157" s="588"/>
      <c r="F157" s="2013"/>
      <c r="G157" s="469"/>
      <c r="H157" s="1261"/>
      <c r="I157" s="470"/>
      <c r="J157" s="3314"/>
      <c r="K157" s="3207" t="s">
        <v>4839</v>
      </c>
      <c r="L157" s="3180"/>
      <c r="M157" s="3180"/>
      <c r="N157" s="3180"/>
      <c r="O157" s="3180"/>
      <c r="P157" s="3180"/>
      <c r="Q157" s="3119"/>
      <c r="R157" s="2016"/>
      <c r="S157" s="477"/>
      <c r="T157" s="718">
        <v>500000</v>
      </c>
      <c r="U157" s="477" t="s">
        <v>930</v>
      </c>
      <c r="V157" s="2016"/>
      <c r="W157" s="2016">
        <v>5</v>
      </c>
      <c r="X157" s="2075" t="s">
        <v>259</v>
      </c>
      <c r="Y157" s="3323" t="s">
        <v>38</v>
      </c>
      <c r="Z157" s="3110">
        <f t="shared" si="28"/>
        <v>2500</v>
      </c>
      <c r="AA157" s="3318">
        <f>T157*W157</f>
        <v>2500000</v>
      </c>
      <c r="AB157" s="423"/>
      <c r="AC157" s="423"/>
      <c r="AD157" s="1680"/>
    </row>
    <row r="158" spans="1:30" s="1653" customFormat="1" ht="18.95" customHeight="1">
      <c r="A158" s="456"/>
      <c r="B158" s="540"/>
      <c r="C158" s="2954"/>
      <c r="D158" s="1910"/>
      <c r="E158" s="588"/>
      <c r="F158" s="2013"/>
      <c r="G158" s="469"/>
      <c r="H158" s="1261"/>
      <c r="I158" s="470"/>
      <c r="J158" s="3314"/>
      <c r="K158" s="3207" t="s">
        <v>4840</v>
      </c>
      <c r="L158" s="3180"/>
      <c r="M158" s="3180"/>
      <c r="N158" s="3180"/>
      <c r="O158" s="3180"/>
      <c r="P158" s="3180"/>
      <c r="Q158" s="3119"/>
      <c r="R158" s="2016"/>
      <c r="S158" s="477"/>
      <c r="T158" s="718">
        <v>100000</v>
      </c>
      <c r="U158" s="477" t="s">
        <v>930</v>
      </c>
      <c r="V158" s="2016"/>
      <c r="W158" s="2016">
        <v>1</v>
      </c>
      <c r="X158" s="2075" t="s">
        <v>259</v>
      </c>
      <c r="Y158" s="3323" t="s">
        <v>38</v>
      </c>
      <c r="Z158" s="3110">
        <f t="shared" si="28"/>
        <v>100</v>
      </c>
      <c r="AA158" s="3318">
        <f>T158*W158</f>
        <v>100000</v>
      </c>
      <c r="AB158" s="423"/>
      <c r="AC158" s="423"/>
      <c r="AD158" s="1680"/>
    </row>
    <row r="159" spans="1:30" s="1653" customFormat="1" ht="18.95" customHeight="1">
      <c r="A159" s="456"/>
      <c r="B159" s="540"/>
      <c r="C159" s="2954"/>
      <c r="D159" s="1910"/>
      <c r="E159" s="588"/>
      <c r="F159" s="2013"/>
      <c r="G159" s="469"/>
      <c r="H159" s="1261"/>
      <c r="I159" s="551"/>
      <c r="J159" s="3314"/>
      <c r="K159" s="3207" t="s">
        <v>4841</v>
      </c>
      <c r="L159" s="3180"/>
      <c r="M159" s="3180"/>
      <c r="N159" s="3180"/>
      <c r="O159" s="3180"/>
      <c r="P159" s="3180"/>
      <c r="Q159" s="3119"/>
      <c r="R159" s="2016"/>
      <c r="S159" s="477"/>
      <c r="T159" s="718">
        <v>350000000</v>
      </c>
      <c r="U159" s="477" t="s">
        <v>930</v>
      </c>
      <c r="V159" s="2016"/>
      <c r="W159" s="2016">
        <v>10</v>
      </c>
      <c r="X159" s="2133" t="s">
        <v>575</v>
      </c>
      <c r="Y159" s="3323" t="s">
        <v>38</v>
      </c>
      <c r="Z159" s="3110">
        <f t="shared" si="28"/>
        <v>35000</v>
      </c>
      <c r="AA159" s="3318">
        <f>T159*W159/100</f>
        <v>35000000</v>
      </c>
      <c r="AB159" s="423"/>
      <c r="AC159" s="423"/>
      <c r="AD159" s="1680"/>
    </row>
    <row r="160" spans="1:30" s="1653" customFormat="1" ht="18.95" customHeight="1">
      <c r="A160" s="456"/>
      <c r="B160" s="540"/>
      <c r="C160" s="2954"/>
      <c r="D160" s="1910"/>
      <c r="E160" s="588"/>
      <c r="F160" s="2013" t="s">
        <v>4785</v>
      </c>
      <c r="G160" s="549">
        <f>Z160</f>
        <v>106500</v>
      </c>
      <c r="H160" s="2547">
        <v>106500</v>
      </c>
      <c r="I160" s="551"/>
      <c r="J160" s="3314"/>
      <c r="K160" s="481" t="s">
        <v>4826</v>
      </c>
      <c r="L160" s="2075"/>
      <c r="M160" s="2075"/>
      <c r="N160" s="2075"/>
      <c r="O160" s="2075"/>
      <c r="P160" s="2075"/>
      <c r="Q160" s="2016"/>
      <c r="R160" s="2075"/>
      <c r="S160" s="477"/>
      <c r="T160" s="3317"/>
      <c r="U160" s="477"/>
      <c r="V160" s="2075"/>
      <c r="W160" s="2016"/>
      <c r="X160" s="2075"/>
      <c r="Y160" s="2075"/>
      <c r="Z160" s="3110">
        <f t="shared" si="28"/>
        <v>106500</v>
      </c>
      <c r="AA160" s="3318">
        <f>SUM(AA161:AA172)</f>
        <v>106500000</v>
      </c>
      <c r="AB160" s="423"/>
      <c r="AC160" s="423"/>
      <c r="AD160" s="1680"/>
    </row>
    <row r="161" spans="1:30" s="1653" customFormat="1" ht="18.95" customHeight="1">
      <c r="A161" s="456"/>
      <c r="B161" s="540"/>
      <c r="C161" s="2954"/>
      <c r="D161" s="1910"/>
      <c r="E161" s="588"/>
      <c r="F161" s="536"/>
      <c r="G161" s="536"/>
      <c r="H161" s="2547"/>
      <c r="I161" s="3319"/>
      <c r="J161" s="3314"/>
      <c r="K161" s="481" t="s">
        <v>1508</v>
      </c>
      <c r="L161" s="308"/>
      <c r="M161" s="308"/>
      <c r="N161" s="308"/>
      <c r="O161" s="308"/>
      <c r="P161" s="480"/>
      <c r="Q161" s="480"/>
      <c r="R161" s="3326"/>
      <c r="S161" s="477"/>
      <c r="T161" s="749">
        <v>16000000</v>
      </c>
      <c r="U161" s="477" t="s">
        <v>37</v>
      </c>
      <c r="V161" s="308"/>
      <c r="W161" s="2016">
        <v>1</v>
      </c>
      <c r="X161" s="2075" t="s">
        <v>226</v>
      </c>
      <c r="Y161" s="2075" t="s">
        <v>489</v>
      </c>
      <c r="Z161" s="3110">
        <f t="shared" si="28"/>
        <v>16000</v>
      </c>
      <c r="AA161" s="3318">
        <f>T161*W161</f>
        <v>16000000</v>
      </c>
      <c r="AB161" s="423"/>
      <c r="AC161" s="423"/>
      <c r="AD161" s="1680"/>
    </row>
    <row r="162" spans="1:30" s="1653" customFormat="1" ht="18.95" customHeight="1">
      <c r="A162" s="456"/>
      <c r="B162" s="540"/>
      <c r="C162" s="2954"/>
      <c r="D162" s="1910"/>
      <c r="E162" s="588"/>
      <c r="F162" s="536"/>
      <c r="G162" s="536"/>
      <c r="H162" s="2547"/>
      <c r="I162" s="3319"/>
      <c r="J162" s="3314"/>
      <c r="K162" s="481" t="s">
        <v>1509</v>
      </c>
      <c r="L162" s="308"/>
      <c r="M162" s="308"/>
      <c r="N162" s="308"/>
      <c r="O162" s="308"/>
      <c r="P162" s="480"/>
      <c r="Q162" s="480"/>
      <c r="R162" s="3326"/>
      <c r="S162" s="477"/>
      <c r="T162" s="749">
        <v>1500000</v>
      </c>
      <c r="U162" s="477" t="s">
        <v>37</v>
      </c>
      <c r="V162" s="308"/>
      <c r="W162" s="2016">
        <v>16</v>
      </c>
      <c r="X162" s="2075" t="s">
        <v>457</v>
      </c>
      <c r="Y162" s="2075" t="s">
        <v>489</v>
      </c>
      <c r="Z162" s="3110">
        <f t="shared" si="28"/>
        <v>24000</v>
      </c>
      <c r="AA162" s="3318">
        <f t="shared" ref="AA162:AA172" si="32">T162*W162</f>
        <v>24000000</v>
      </c>
      <c r="AB162" s="423"/>
      <c r="AC162" s="423"/>
      <c r="AD162" s="1680"/>
    </row>
    <row r="163" spans="1:30" s="1653" customFormat="1" ht="18.95" customHeight="1">
      <c r="A163" s="456"/>
      <c r="B163" s="540"/>
      <c r="C163" s="2954"/>
      <c r="D163" s="1910"/>
      <c r="E163" s="588"/>
      <c r="F163" s="536"/>
      <c r="G163" s="469"/>
      <c r="H163" s="1261"/>
      <c r="I163" s="470"/>
      <c r="J163" s="3314"/>
      <c r="K163" s="481" t="s">
        <v>1510</v>
      </c>
      <c r="L163" s="308"/>
      <c r="M163" s="308"/>
      <c r="N163" s="308"/>
      <c r="O163" s="308"/>
      <c r="P163" s="480"/>
      <c r="Q163" s="480"/>
      <c r="R163" s="3326"/>
      <c r="S163" s="477"/>
      <c r="T163" s="749">
        <v>100000</v>
      </c>
      <c r="U163" s="477" t="s">
        <v>37</v>
      </c>
      <c r="V163" s="308"/>
      <c r="W163" s="2016">
        <v>50</v>
      </c>
      <c r="X163" s="2075" t="s">
        <v>457</v>
      </c>
      <c r="Y163" s="2075" t="s">
        <v>489</v>
      </c>
      <c r="Z163" s="3110">
        <f t="shared" si="28"/>
        <v>5000</v>
      </c>
      <c r="AA163" s="3318">
        <f t="shared" si="32"/>
        <v>5000000</v>
      </c>
      <c r="AB163" s="423"/>
      <c r="AC163" s="423"/>
      <c r="AD163" s="1680"/>
    </row>
    <row r="164" spans="1:30" s="1653" customFormat="1" ht="18.95" customHeight="1">
      <c r="A164" s="456"/>
      <c r="B164" s="540"/>
      <c r="C164" s="2954"/>
      <c r="D164" s="1910"/>
      <c r="E164" s="588"/>
      <c r="F164" s="2013"/>
      <c r="G164" s="469"/>
      <c r="H164" s="1261"/>
      <c r="I164" s="470"/>
      <c r="J164" s="3314"/>
      <c r="K164" s="481" t="s">
        <v>4842</v>
      </c>
      <c r="L164" s="308"/>
      <c r="M164" s="308"/>
      <c r="N164" s="308"/>
      <c r="O164" s="308"/>
      <c r="P164" s="480"/>
      <c r="Q164" s="480"/>
      <c r="R164" s="3326"/>
      <c r="S164" s="477"/>
      <c r="T164" s="749">
        <v>15000000</v>
      </c>
      <c r="U164" s="477" t="s">
        <v>37</v>
      </c>
      <c r="V164" s="308"/>
      <c r="W164" s="2016">
        <v>1</v>
      </c>
      <c r="X164" s="2075" t="s">
        <v>226</v>
      </c>
      <c r="Y164" s="2075" t="s">
        <v>489</v>
      </c>
      <c r="Z164" s="3110">
        <f t="shared" si="28"/>
        <v>15000</v>
      </c>
      <c r="AA164" s="3318">
        <f t="shared" si="32"/>
        <v>15000000</v>
      </c>
      <c r="AB164" s="423"/>
      <c r="AC164" s="423"/>
      <c r="AD164" s="1680"/>
    </row>
    <row r="165" spans="1:30" s="1653" customFormat="1" ht="18.95" customHeight="1">
      <c r="A165" s="456"/>
      <c r="B165" s="540"/>
      <c r="C165" s="2954"/>
      <c r="D165" s="1910"/>
      <c r="E165" s="588"/>
      <c r="F165" s="2013"/>
      <c r="G165" s="469"/>
      <c r="H165" s="1261"/>
      <c r="I165" s="470"/>
      <c r="J165" s="3314"/>
      <c r="K165" s="481" t="s">
        <v>4997</v>
      </c>
      <c r="L165" s="308"/>
      <c r="M165" s="308"/>
      <c r="N165" s="308"/>
      <c r="O165" s="308"/>
      <c r="P165" s="480"/>
      <c r="Q165" s="480"/>
      <c r="R165" s="3326"/>
      <c r="S165" s="477"/>
      <c r="T165" s="749">
        <v>7000000</v>
      </c>
      <c r="U165" s="477" t="s">
        <v>37</v>
      </c>
      <c r="V165" s="308"/>
      <c r="W165" s="2016">
        <v>1</v>
      </c>
      <c r="X165" s="2075" t="s">
        <v>226</v>
      </c>
      <c r="Y165" s="2075" t="s">
        <v>489</v>
      </c>
      <c r="Z165" s="3110">
        <f t="shared" si="28"/>
        <v>7000</v>
      </c>
      <c r="AA165" s="3318">
        <f t="shared" si="32"/>
        <v>7000000</v>
      </c>
      <c r="AB165" s="423"/>
      <c r="AC165" s="423"/>
      <c r="AD165" s="1680"/>
    </row>
    <row r="166" spans="1:30" s="1653" customFormat="1" ht="18.95" customHeight="1">
      <c r="A166" s="456"/>
      <c r="B166" s="540"/>
      <c r="C166" s="2954"/>
      <c r="D166" s="1910"/>
      <c r="E166" s="588"/>
      <c r="F166" s="2013"/>
      <c r="G166" s="469"/>
      <c r="H166" s="1261"/>
      <c r="I166" s="470"/>
      <c r="J166" s="3314"/>
      <c r="K166" s="481" t="s">
        <v>4843</v>
      </c>
      <c r="L166" s="2075"/>
      <c r="M166" s="2075"/>
      <c r="N166" s="2075"/>
      <c r="O166" s="2075"/>
      <c r="P166" s="2075"/>
      <c r="Q166" s="2016"/>
      <c r="R166" s="2075"/>
      <c r="S166" s="477"/>
      <c r="T166" s="3327">
        <v>10000000</v>
      </c>
      <c r="U166" s="477" t="s">
        <v>930</v>
      </c>
      <c r="V166" s="2075"/>
      <c r="W166" s="2016">
        <v>1</v>
      </c>
      <c r="X166" s="2075" t="s">
        <v>226</v>
      </c>
      <c r="Y166" s="2075" t="s">
        <v>38</v>
      </c>
      <c r="Z166" s="3110">
        <f t="shared" si="28"/>
        <v>10000</v>
      </c>
      <c r="AA166" s="3318">
        <f t="shared" si="32"/>
        <v>10000000</v>
      </c>
      <c r="AB166" s="423"/>
      <c r="AC166" s="423"/>
      <c r="AD166" s="1680"/>
    </row>
    <row r="167" spans="1:30" s="1653" customFormat="1" ht="18.95" customHeight="1">
      <c r="A167" s="456"/>
      <c r="B167" s="540"/>
      <c r="C167" s="2954"/>
      <c r="D167" s="1910"/>
      <c r="E167" s="588"/>
      <c r="F167" s="2013"/>
      <c r="G167" s="469"/>
      <c r="H167" s="1261"/>
      <c r="I167" s="551"/>
      <c r="J167" s="3314"/>
      <c r="K167" s="481" t="s">
        <v>4844</v>
      </c>
      <c r="L167" s="2075"/>
      <c r="M167" s="2075"/>
      <c r="N167" s="2075"/>
      <c r="O167" s="2075"/>
      <c r="P167" s="2075"/>
      <c r="Q167" s="2016"/>
      <c r="R167" s="2075"/>
      <c r="S167" s="477"/>
      <c r="T167" s="3328">
        <v>1000000</v>
      </c>
      <c r="U167" s="477" t="s">
        <v>930</v>
      </c>
      <c r="V167" s="2075"/>
      <c r="W167" s="2016">
        <v>6</v>
      </c>
      <c r="X167" s="2075" t="s">
        <v>457</v>
      </c>
      <c r="Y167" s="2075" t="s">
        <v>38</v>
      </c>
      <c r="Z167" s="3110">
        <f t="shared" si="28"/>
        <v>6000</v>
      </c>
      <c r="AA167" s="3318">
        <f t="shared" si="32"/>
        <v>6000000</v>
      </c>
      <c r="AB167" s="423"/>
      <c r="AC167" s="423"/>
      <c r="AD167" s="1680"/>
    </row>
    <row r="168" spans="1:30" s="1653" customFormat="1" ht="18.95" customHeight="1">
      <c r="A168" s="456"/>
      <c r="B168" s="540"/>
      <c r="C168" s="2954"/>
      <c r="D168" s="1910"/>
      <c r="E168" s="588"/>
      <c r="F168" s="2013"/>
      <c r="G168" s="469"/>
      <c r="H168" s="1261"/>
      <c r="I168" s="470"/>
      <c r="J168" s="3314"/>
      <c r="K168" s="481" t="s">
        <v>4845</v>
      </c>
      <c r="L168" s="2075"/>
      <c r="M168" s="2075"/>
      <c r="N168" s="2075"/>
      <c r="O168" s="2075"/>
      <c r="P168" s="2075"/>
      <c r="Q168" s="2016"/>
      <c r="R168" s="2075"/>
      <c r="S168" s="477"/>
      <c r="T168" s="3328">
        <v>1000000</v>
      </c>
      <c r="U168" s="477" t="s">
        <v>930</v>
      </c>
      <c r="V168" s="2075"/>
      <c r="W168" s="2016">
        <v>5</v>
      </c>
      <c r="X168" s="2075" t="s">
        <v>457</v>
      </c>
      <c r="Y168" s="2075" t="s">
        <v>38</v>
      </c>
      <c r="Z168" s="3110">
        <f t="shared" si="28"/>
        <v>5000</v>
      </c>
      <c r="AA168" s="3318">
        <f t="shared" si="32"/>
        <v>5000000</v>
      </c>
      <c r="AB168" s="423"/>
      <c r="AC168" s="423"/>
      <c r="AD168" s="1680"/>
    </row>
    <row r="169" spans="1:30" s="1653" customFormat="1" ht="18.95" customHeight="1">
      <c r="A169" s="456"/>
      <c r="B169" s="540"/>
      <c r="C169" s="2954"/>
      <c r="D169" s="1910"/>
      <c r="E169" s="588"/>
      <c r="F169" s="2013"/>
      <c r="G169" s="469"/>
      <c r="H169" s="1261"/>
      <c r="I169" s="470"/>
      <c r="J169" s="3314"/>
      <c r="K169" s="481" t="s">
        <v>4846</v>
      </c>
      <c r="L169" s="2075"/>
      <c r="M169" s="2075"/>
      <c r="N169" s="2075"/>
      <c r="O169" s="2075"/>
      <c r="P169" s="2075"/>
      <c r="Q169" s="2016"/>
      <c r="R169" s="2075"/>
      <c r="S169" s="477"/>
      <c r="T169" s="3328">
        <v>1500000</v>
      </c>
      <c r="U169" s="477" t="s">
        <v>930</v>
      </c>
      <c r="V169" s="2075"/>
      <c r="W169" s="2016">
        <v>5</v>
      </c>
      <c r="X169" s="2075" t="s">
        <v>457</v>
      </c>
      <c r="Y169" s="2075" t="s">
        <v>38</v>
      </c>
      <c r="Z169" s="3110">
        <f t="shared" si="28"/>
        <v>7500</v>
      </c>
      <c r="AA169" s="3318">
        <f t="shared" si="32"/>
        <v>7500000</v>
      </c>
      <c r="AB169" s="423"/>
      <c r="AC169" s="423"/>
      <c r="AD169" s="1680"/>
    </row>
    <row r="170" spans="1:30" s="1653" customFormat="1" ht="18.95" customHeight="1">
      <c r="A170" s="456"/>
      <c r="B170" s="540"/>
      <c r="C170" s="2954"/>
      <c r="D170" s="1910"/>
      <c r="E170" s="588"/>
      <c r="F170" s="2013"/>
      <c r="G170" s="469"/>
      <c r="H170" s="1261"/>
      <c r="I170" s="470"/>
      <c r="J170" s="3314"/>
      <c r="K170" s="481" t="s">
        <v>4847</v>
      </c>
      <c r="L170" s="2075"/>
      <c r="M170" s="2075"/>
      <c r="N170" s="2075"/>
      <c r="O170" s="2075"/>
      <c r="P170" s="2075"/>
      <c r="Q170" s="2016"/>
      <c r="R170" s="2075"/>
      <c r="S170" s="477"/>
      <c r="T170" s="3328">
        <v>3000000</v>
      </c>
      <c r="U170" s="477" t="s">
        <v>930</v>
      </c>
      <c r="V170" s="2075"/>
      <c r="W170" s="2016">
        <v>1</v>
      </c>
      <c r="X170" s="2075" t="s">
        <v>457</v>
      </c>
      <c r="Y170" s="2075" t="s">
        <v>38</v>
      </c>
      <c r="Z170" s="3110">
        <f t="shared" si="28"/>
        <v>3000</v>
      </c>
      <c r="AA170" s="3318">
        <f t="shared" si="32"/>
        <v>3000000</v>
      </c>
      <c r="AB170" s="423"/>
      <c r="AC170" s="423"/>
      <c r="AD170" s="1680"/>
    </row>
    <row r="171" spans="1:30" s="3105" customFormat="1" ht="18.95" customHeight="1">
      <c r="A171" s="3099"/>
      <c r="B171" s="540"/>
      <c r="C171" s="3206"/>
      <c r="D171" s="1910"/>
      <c r="E171" s="588"/>
      <c r="F171" s="2013"/>
      <c r="G171" s="469"/>
      <c r="H171" s="1261"/>
      <c r="I171" s="470"/>
      <c r="J171" s="3314"/>
      <c r="K171" s="481" t="s">
        <v>4848</v>
      </c>
      <c r="L171" s="2075"/>
      <c r="M171" s="2075"/>
      <c r="N171" s="2075"/>
      <c r="O171" s="2075"/>
      <c r="P171" s="2075"/>
      <c r="Q171" s="2016"/>
      <c r="R171" s="2075"/>
      <c r="S171" s="477"/>
      <c r="T171" s="3328">
        <v>100000</v>
      </c>
      <c r="U171" s="477" t="s">
        <v>930</v>
      </c>
      <c r="V171" s="2075"/>
      <c r="W171" s="2016">
        <v>50</v>
      </c>
      <c r="X171" s="2075" t="s">
        <v>908</v>
      </c>
      <c r="Y171" s="2075" t="s">
        <v>38</v>
      </c>
      <c r="Z171" s="3110">
        <f t="shared" si="28"/>
        <v>5000</v>
      </c>
      <c r="AA171" s="3318">
        <f t="shared" si="32"/>
        <v>5000000</v>
      </c>
      <c r="AB171" s="423"/>
      <c r="AC171" s="423"/>
    </row>
    <row r="172" spans="1:30" s="3105" customFormat="1" ht="23.1" customHeight="1">
      <c r="A172" s="3099"/>
      <c r="B172" s="540"/>
      <c r="C172" s="3206"/>
      <c r="D172" s="1910"/>
      <c r="E172" s="588"/>
      <c r="F172" s="2013"/>
      <c r="G172" s="469"/>
      <c r="H172" s="1261"/>
      <c r="I172" s="470"/>
      <c r="J172" s="3314"/>
      <c r="K172" s="481" t="s">
        <v>4849</v>
      </c>
      <c r="L172" s="2075"/>
      <c r="M172" s="2075"/>
      <c r="N172" s="2075"/>
      <c r="O172" s="2075"/>
      <c r="P172" s="2075"/>
      <c r="Q172" s="2016"/>
      <c r="R172" s="2075"/>
      <c r="S172" s="477"/>
      <c r="T172" s="3328">
        <v>500000</v>
      </c>
      <c r="U172" s="477" t="s">
        <v>930</v>
      </c>
      <c r="V172" s="2075"/>
      <c r="W172" s="2016">
        <v>6</v>
      </c>
      <c r="X172" s="2075" t="s">
        <v>39</v>
      </c>
      <c r="Y172" s="2075" t="s">
        <v>38</v>
      </c>
      <c r="Z172" s="3110">
        <f t="shared" si="28"/>
        <v>3000</v>
      </c>
      <c r="AA172" s="3318">
        <f t="shared" si="32"/>
        <v>3000000</v>
      </c>
      <c r="AB172" s="423"/>
      <c r="AC172" s="423"/>
    </row>
    <row r="173" spans="1:30" s="3105" customFormat="1" ht="21.6" customHeight="1">
      <c r="A173" s="3099"/>
      <c r="B173" s="540"/>
      <c r="C173" s="3206"/>
      <c r="D173" s="1910"/>
      <c r="E173" s="588"/>
      <c r="F173" s="2013" t="s">
        <v>4856</v>
      </c>
      <c r="G173" s="549">
        <f>Z173</f>
        <v>11950</v>
      </c>
      <c r="H173" s="1261">
        <v>11950</v>
      </c>
      <c r="I173" s="470"/>
      <c r="J173" s="3314"/>
      <c r="K173" s="4150" t="s">
        <v>4826</v>
      </c>
      <c r="L173" s="4151"/>
      <c r="M173" s="4151"/>
      <c r="N173" s="4151"/>
      <c r="O173" s="4151"/>
      <c r="P173" s="4151"/>
      <c r="Q173" s="2016"/>
      <c r="R173" s="2075"/>
      <c r="S173" s="477"/>
      <c r="T173" s="3317"/>
      <c r="U173" s="477"/>
      <c r="V173" s="2075"/>
      <c r="W173" s="2016"/>
      <c r="X173" s="2075"/>
      <c r="Y173" s="2075"/>
      <c r="Z173" s="3110">
        <f t="shared" si="28"/>
        <v>11950</v>
      </c>
      <c r="AA173" s="3318">
        <f>SUM(AA174:AA176)</f>
        <v>11950000</v>
      </c>
      <c r="AB173" s="423"/>
      <c r="AC173" s="423"/>
    </row>
    <row r="174" spans="1:30" s="3105" customFormat="1" ht="21.6" customHeight="1">
      <c r="A174" s="3099"/>
      <c r="B174" s="540"/>
      <c r="C174" s="3206"/>
      <c r="D174" s="1910"/>
      <c r="E174" s="588"/>
      <c r="F174" s="2013"/>
      <c r="G174" s="469"/>
      <c r="H174" s="1261"/>
      <c r="I174" s="470"/>
      <c r="J174" s="3314"/>
      <c r="K174" s="481" t="s">
        <v>1521</v>
      </c>
      <c r="L174" s="2075"/>
      <c r="M174" s="2075"/>
      <c r="N174" s="2075"/>
      <c r="O174" s="2075"/>
      <c r="P174" s="2075"/>
      <c r="Q174" s="3253"/>
      <c r="R174" s="2016">
        <v>1</v>
      </c>
      <c r="S174" s="2075" t="s">
        <v>1523</v>
      </c>
      <c r="T174" s="749">
        <v>450000</v>
      </c>
      <c r="U174" s="477" t="s">
        <v>37</v>
      </c>
      <c r="V174" s="2075"/>
      <c r="W174" s="2016">
        <v>11</v>
      </c>
      <c r="X174" s="2075" t="s">
        <v>1522</v>
      </c>
      <c r="Y174" s="3323" t="s">
        <v>38</v>
      </c>
      <c r="Z174" s="3110">
        <f t="shared" si="28"/>
        <v>4950</v>
      </c>
      <c r="AA174" s="3318">
        <f>R174*T174*W174</f>
        <v>4950000</v>
      </c>
      <c r="AB174" s="423"/>
      <c r="AC174" s="423"/>
    </row>
    <row r="175" spans="1:30" s="3105" customFormat="1" ht="21.6" customHeight="1">
      <c r="A175" s="3099"/>
      <c r="B175" s="540"/>
      <c r="C175" s="3206"/>
      <c r="D175" s="1910"/>
      <c r="E175" s="588"/>
      <c r="F175" s="2013"/>
      <c r="G175" s="469"/>
      <c r="H175" s="1261"/>
      <c r="I175" s="470"/>
      <c r="J175" s="3314"/>
      <c r="K175" s="481" t="s">
        <v>1524</v>
      </c>
      <c r="L175" s="2075"/>
      <c r="M175" s="2075"/>
      <c r="N175" s="2075"/>
      <c r="O175" s="2075"/>
      <c r="P175" s="2075"/>
      <c r="Q175" s="3253"/>
      <c r="R175" s="2016">
        <v>2</v>
      </c>
      <c r="S175" s="2075" t="s">
        <v>1523</v>
      </c>
      <c r="T175" s="749">
        <v>500000</v>
      </c>
      <c r="U175" s="477" t="s">
        <v>37</v>
      </c>
      <c r="V175" s="2075"/>
      <c r="W175" s="2016">
        <v>4</v>
      </c>
      <c r="X175" s="2075" t="s">
        <v>1525</v>
      </c>
      <c r="Y175" s="3323" t="s">
        <v>38</v>
      </c>
      <c r="Z175" s="3110">
        <f t="shared" si="28"/>
        <v>4000</v>
      </c>
      <c r="AA175" s="3318">
        <f t="shared" ref="AA175:AA176" si="33">R175*T175*W175</f>
        <v>4000000</v>
      </c>
      <c r="AB175" s="423"/>
      <c r="AC175" s="423"/>
    </row>
    <row r="176" spans="1:30" s="3105" customFormat="1" ht="21.6" customHeight="1">
      <c r="A176" s="3099"/>
      <c r="B176" s="540"/>
      <c r="C176" s="3206"/>
      <c r="D176" s="1910"/>
      <c r="E176" s="588"/>
      <c r="F176" s="2013"/>
      <c r="G176" s="469"/>
      <c r="H176" s="1261"/>
      <c r="I176" s="470"/>
      <c r="J176" s="3314"/>
      <c r="K176" s="481" t="s">
        <v>1526</v>
      </c>
      <c r="L176" s="2075"/>
      <c r="M176" s="2075"/>
      <c r="N176" s="2075"/>
      <c r="O176" s="2075"/>
      <c r="P176" s="2075"/>
      <c r="Q176" s="3253"/>
      <c r="R176" s="2016">
        <v>2</v>
      </c>
      <c r="S176" s="2075" t="s">
        <v>1523</v>
      </c>
      <c r="T176" s="749">
        <v>1500000</v>
      </c>
      <c r="U176" s="477" t="s">
        <v>37</v>
      </c>
      <c r="V176" s="2075"/>
      <c r="W176" s="2016">
        <v>1</v>
      </c>
      <c r="X176" s="2075" t="s">
        <v>1527</v>
      </c>
      <c r="Y176" s="3323" t="s">
        <v>38</v>
      </c>
      <c r="Z176" s="3110">
        <f t="shared" si="28"/>
        <v>3000</v>
      </c>
      <c r="AA176" s="3318">
        <f t="shared" si="33"/>
        <v>3000000</v>
      </c>
      <c r="AB176" s="423"/>
      <c r="AC176" s="423"/>
    </row>
    <row r="177" spans="1:30" s="3105" customFormat="1" ht="21.6" customHeight="1">
      <c r="A177" s="3099"/>
      <c r="B177" s="540"/>
      <c r="C177" s="3206"/>
      <c r="D177" s="1910"/>
      <c r="E177" s="588"/>
      <c r="F177" s="2013" t="s">
        <v>4857</v>
      </c>
      <c r="G177" s="549">
        <f>Z177</f>
        <v>1200</v>
      </c>
      <c r="H177" s="1261">
        <v>1200</v>
      </c>
      <c r="I177" s="470"/>
      <c r="J177" s="3314"/>
      <c r="K177" s="3106" t="s">
        <v>4850</v>
      </c>
      <c r="L177" s="3107"/>
      <c r="M177" s="3107"/>
      <c r="N177" s="3107"/>
      <c r="O177" s="3108"/>
      <c r="P177" s="3108"/>
      <c r="Q177" s="3107"/>
      <c r="R177" s="3109"/>
      <c r="S177" s="3107"/>
      <c r="T177" s="3107">
        <v>100000</v>
      </c>
      <c r="U177" s="3107" t="s">
        <v>37</v>
      </c>
      <c r="V177" s="3107"/>
      <c r="W177" s="3107">
        <v>12</v>
      </c>
      <c r="X177" s="3107" t="s">
        <v>230</v>
      </c>
      <c r="Y177" s="3107" t="s">
        <v>38</v>
      </c>
      <c r="Z177" s="3110">
        <f t="shared" si="28"/>
        <v>1200</v>
      </c>
      <c r="AA177" s="3324">
        <f>T177*W177</f>
        <v>1200000</v>
      </c>
      <c r="AB177" s="423"/>
      <c r="AC177" s="423"/>
    </row>
    <row r="178" spans="1:30" s="3105" customFormat="1" ht="21.6" customHeight="1">
      <c r="A178" s="3099"/>
      <c r="B178" s="540"/>
      <c r="C178" s="3206"/>
      <c r="D178" s="1910"/>
      <c r="E178" s="588"/>
      <c r="F178" s="2023" t="s">
        <v>4858</v>
      </c>
      <c r="G178" s="549">
        <f>Z178</f>
        <v>47000</v>
      </c>
      <c r="H178" s="1261">
        <v>47000</v>
      </c>
      <c r="I178" s="551"/>
      <c r="J178" s="3314"/>
      <c r="K178" s="3254" t="s">
        <v>224</v>
      </c>
      <c r="L178" s="3253"/>
      <c r="M178" s="3253"/>
      <c r="N178" s="3253"/>
      <c r="O178" s="3253"/>
      <c r="P178" s="3253"/>
      <c r="Q178" s="3253"/>
      <c r="R178" s="3109" t="s">
        <v>770</v>
      </c>
      <c r="S178" s="552" t="s">
        <v>770</v>
      </c>
      <c r="T178" s="3108"/>
      <c r="U178" s="3255"/>
      <c r="V178" s="3255"/>
      <c r="W178" s="3255"/>
      <c r="X178" s="3255"/>
      <c r="Y178" s="2030"/>
      <c r="Z178" s="554">
        <f>AA178/1000</f>
        <v>47000</v>
      </c>
      <c r="AA178" s="3329">
        <f>SUM(AA179:AA186)</f>
        <v>47000000</v>
      </c>
      <c r="AB178" s="423"/>
      <c r="AC178" s="423"/>
    </row>
    <row r="179" spans="1:30" s="3105" customFormat="1" ht="21.6" customHeight="1">
      <c r="A179" s="3099"/>
      <c r="B179" s="540"/>
      <c r="C179" s="3206"/>
      <c r="D179" s="1910"/>
      <c r="E179" s="588"/>
      <c r="F179" s="2023"/>
      <c r="G179" s="469"/>
      <c r="H179" s="1261"/>
      <c r="I179" s="470"/>
      <c r="J179" s="3314"/>
      <c r="K179" s="3254" t="s">
        <v>1514</v>
      </c>
      <c r="L179" s="3253"/>
      <c r="M179" s="3253"/>
      <c r="N179" s="3253"/>
      <c r="O179" s="3253"/>
      <c r="P179" s="3253"/>
      <c r="Q179" s="3253"/>
      <c r="R179" s="3109"/>
      <c r="S179" s="552"/>
      <c r="T179" s="3108">
        <v>1000000</v>
      </c>
      <c r="U179" s="3255" t="s">
        <v>37</v>
      </c>
      <c r="V179" s="3255"/>
      <c r="W179" s="3255">
        <v>15</v>
      </c>
      <c r="X179" s="3255" t="s">
        <v>39</v>
      </c>
      <c r="Y179" s="2030" t="s">
        <v>38</v>
      </c>
      <c r="Z179" s="554">
        <f>AA179/1000</f>
        <v>15000</v>
      </c>
      <c r="AA179" s="3318">
        <f>T179*W179</f>
        <v>15000000</v>
      </c>
      <c r="AB179" s="423"/>
      <c r="AC179" s="423"/>
    </row>
    <row r="180" spans="1:30" s="3105" customFormat="1" ht="21.6" customHeight="1">
      <c r="A180" s="3099"/>
      <c r="B180" s="540"/>
      <c r="C180" s="3206"/>
      <c r="D180" s="1910"/>
      <c r="E180" s="588"/>
      <c r="F180" s="2023"/>
      <c r="G180" s="469"/>
      <c r="H180" s="1261"/>
      <c r="I180" s="470"/>
      <c r="J180" s="3314"/>
      <c r="K180" s="3254" t="s">
        <v>4851</v>
      </c>
      <c r="L180" s="3253"/>
      <c r="M180" s="3253"/>
      <c r="N180" s="3253"/>
      <c r="O180" s="3253"/>
      <c r="P180" s="3253"/>
      <c r="Q180" s="3253"/>
      <c r="R180" s="3109"/>
      <c r="S180" s="552"/>
      <c r="T180" s="3108">
        <v>10000000</v>
      </c>
      <c r="U180" s="3255" t="s">
        <v>37</v>
      </c>
      <c r="V180" s="3255"/>
      <c r="W180" s="3255">
        <v>1</v>
      </c>
      <c r="X180" s="3255" t="s">
        <v>226</v>
      </c>
      <c r="Y180" s="2030" t="s">
        <v>38</v>
      </c>
      <c r="Z180" s="554">
        <f>AA180/1000</f>
        <v>10000</v>
      </c>
      <c r="AA180" s="3318">
        <f>T180*W180</f>
        <v>10000000</v>
      </c>
      <c r="AB180" s="423"/>
      <c r="AC180" s="423"/>
    </row>
    <row r="181" spans="1:30" s="3105" customFormat="1" ht="21.6" customHeight="1">
      <c r="A181" s="3099"/>
      <c r="B181" s="540"/>
      <c r="C181" s="3206"/>
      <c r="D181" s="1910"/>
      <c r="E181" s="588"/>
      <c r="F181" s="2023"/>
      <c r="G181" s="469"/>
      <c r="H181" s="1261"/>
      <c r="I181" s="470"/>
      <c r="J181" s="3314"/>
      <c r="K181" s="3254" t="s">
        <v>1515</v>
      </c>
      <c r="L181" s="3253"/>
      <c r="M181" s="3253"/>
      <c r="N181" s="3253"/>
      <c r="O181" s="3253"/>
      <c r="P181" s="3253"/>
      <c r="Q181" s="3253"/>
      <c r="R181" s="3109"/>
      <c r="S181" s="552"/>
      <c r="T181" s="3108">
        <v>8000000</v>
      </c>
      <c r="U181" s="3255" t="s">
        <v>37</v>
      </c>
      <c r="V181" s="3255"/>
      <c r="W181" s="3255">
        <v>1</v>
      </c>
      <c r="X181" s="3255" t="s">
        <v>226</v>
      </c>
      <c r="Y181" s="2030" t="s">
        <v>38</v>
      </c>
      <c r="Z181" s="554">
        <f t="shared" ref="Z181:Z186" si="34">AA181/1000</f>
        <v>8000</v>
      </c>
      <c r="AA181" s="3318">
        <f t="shared" ref="AA181:AA186" si="35">T181*W181</f>
        <v>8000000</v>
      </c>
      <c r="AB181" s="423"/>
      <c r="AC181" s="423"/>
    </row>
    <row r="182" spans="1:30" s="1653" customFormat="1" ht="21.6" customHeight="1">
      <c r="A182" s="456"/>
      <c r="B182" s="540"/>
      <c r="C182" s="2954"/>
      <c r="D182" s="1910"/>
      <c r="E182" s="588"/>
      <c r="F182" s="2023"/>
      <c r="G182" s="469"/>
      <c r="H182" s="1261"/>
      <c r="I182" s="551"/>
      <c r="J182" s="3314"/>
      <c r="K182" s="3254" t="s">
        <v>1513</v>
      </c>
      <c r="L182" s="3253"/>
      <c r="M182" s="3253"/>
      <c r="N182" s="3253"/>
      <c r="O182" s="3253"/>
      <c r="P182" s="3253"/>
      <c r="Q182" s="3253"/>
      <c r="R182" s="3109"/>
      <c r="S182" s="552"/>
      <c r="T182" s="3108">
        <v>500000</v>
      </c>
      <c r="U182" s="3255" t="s">
        <v>37</v>
      </c>
      <c r="V182" s="3255"/>
      <c r="W182" s="3255">
        <v>2</v>
      </c>
      <c r="X182" s="3255" t="s">
        <v>39</v>
      </c>
      <c r="Y182" s="2030" t="s">
        <v>38</v>
      </c>
      <c r="Z182" s="554">
        <f t="shared" si="34"/>
        <v>1000</v>
      </c>
      <c r="AA182" s="3318">
        <f t="shared" si="35"/>
        <v>1000000</v>
      </c>
      <c r="AB182" s="423"/>
      <c r="AC182" s="423"/>
      <c r="AD182" s="1680"/>
    </row>
    <row r="183" spans="1:30" ht="21.6" customHeight="1">
      <c r="B183" s="562"/>
      <c r="C183" s="563"/>
      <c r="D183" s="473"/>
      <c r="E183" s="2020"/>
      <c r="F183" s="2023"/>
      <c r="G183" s="549"/>
      <c r="H183" s="1445"/>
      <c r="I183" s="551"/>
      <c r="J183" s="557"/>
      <c r="K183" s="3254" t="s">
        <v>1516</v>
      </c>
      <c r="L183" s="3253"/>
      <c r="M183" s="3253"/>
      <c r="N183" s="3253"/>
      <c r="O183" s="3253"/>
      <c r="P183" s="3253"/>
      <c r="Q183" s="3253"/>
      <c r="R183" s="3109"/>
      <c r="S183" s="552"/>
      <c r="T183" s="3108">
        <v>500000</v>
      </c>
      <c r="U183" s="3255" t="s">
        <v>37</v>
      </c>
      <c r="V183" s="3255"/>
      <c r="W183" s="3255">
        <v>4</v>
      </c>
      <c r="X183" s="3255" t="s">
        <v>39</v>
      </c>
      <c r="Y183" s="2030" t="s">
        <v>38</v>
      </c>
      <c r="Z183" s="554">
        <f t="shared" si="34"/>
        <v>2000</v>
      </c>
      <c r="AA183" s="3318">
        <f t="shared" si="35"/>
        <v>2000000</v>
      </c>
      <c r="AB183" s="423"/>
      <c r="AC183" s="423"/>
    </row>
    <row r="184" spans="1:30" s="1653" customFormat="1" ht="21.6" customHeight="1">
      <c r="A184" s="456"/>
      <c r="B184" s="562"/>
      <c r="C184" s="563"/>
      <c r="D184" s="473"/>
      <c r="E184" s="2020"/>
      <c r="F184" s="2023"/>
      <c r="G184" s="549"/>
      <c r="H184" s="1445"/>
      <c r="I184" s="551"/>
      <c r="J184" s="557"/>
      <c r="K184" s="3254" t="s">
        <v>1517</v>
      </c>
      <c r="L184" s="3253"/>
      <c r="M184" s="3253"/>
      <c r="N184" s="3253"/>
      <c r="O184" s="3253"/>
      <c r="P184" s="3253"/>
      <c r="Q184" s="3253"/>
      <c r="R184" s="3109"/>
      <c r="S184" s="552"/>
      <c r="T184" s="3108">
        <v>500000</v>
      </c>
      <c r="U184" s="3255" t="s">
        <v>37</v>
      </c>
      <c r="V184" s="3255"/>
      <c r="W184" s="3255">
        <v>4</v>
      </c>
      <c r="X184" s="3255" t="s">
        <v>39</v>
      </c>
      <c r="Y184" s="2030" t="s">
        <v>38</v>
      </c>
      <c r="Z184" s="554">
        <f t="shared" si="34"/>
        <v>2000</v>
      </c>
      <c r="AA184" s="3318">
        <f t="shared" si="35"/>
        <v>2000000</v>
      </c>
      <c r="AB184" s="423"/>
      <c r="AC184" s="423"/>
      <c r="AD184" s="1680"/>
    </row>
    <row r="185" spans="1:30" s="1653" customFormat="1" ht="21.6" customHeight="1">
      <c r="A185" s="456"/>
      <c r="B185" s="562"/>
      <c r="C185" s="563"/>
      <c r="D185" s="564"/>
      <c r="E185" s="2020"/>
      <c r="F185" s="2023"/>
      <c r="G185" s="549"/>
      <c r="H185" s="1445"/>
      <c r="I185" s="551"/>
      <c r="J185" s="557"/>
      <c r="K185" s="3254" t="s">
        <v>1518</v>
      </c>
      <c r="L185" s="3253"/>
      <c r="M185" s="3253"/>
      <c r="N185" s="3253"/>
      <c r="O185" s="3253"/>
      <c r="P185" s="3253"/>
      <c r="Q185" s="3253"/>
      <c r="R185" s="3109"/>
      <c r="S185" s="552"/>
      <c r="T185" s="3108">
        <v>1000000</v>
      </c>
      <c r="U185" s="3255" t="s">
        <v>37</v>
      </c>
      <c r="V185" s="3255"/>
      <c r="W185" s="3255">
        <v>1</v>
      </c>
      <c r="X185" s="3255" t="s">
        <v>39</v>
      </c>
      <c r="Y185" s="2030" t="s">
        <v>38</v>
      </c>
      <c r="Z185" s="554">
        <f t="shared" si="34"/>
        <v>1000</v>
      </c>
      <c r="AA185" s="3318">
        <f t="shared" si="35"/>
        <v>1000000</v>
      </c>
      <c r="AB185" s="423"/>
      <c r="AC185" s="423"/>
      <c r="AD185" s="1680"/>
    </row>
    <row r="186" spans="1:30" s="1653" customFormat="1" ht="21.6" customHeight="1">
      <c r="A186" s="456"/>
      <c r="B186" s="562"/>
      <c r="C186" s="563"/>
      <c r="D186" s="473"/>
      <c r="E186" s="2020"/>
      <c r="F186" s="2023"/>
      <c r="G186" s="549"/>
      <c r="H186" s="1445"/>
      <c r="I186" s="551"/>
      <c r="J186" s="557"/>
      <c r="K186" s="3254" t="s">
        <v>4852</v>
      </c>
      <c r="L186" s="3253"/>
      <c r="M186" s="3253"/>
      <c r="N186" s="3253"/>
      <c r="O186" s="3253"/>
      <c r="P186" s="3253"/>
      <c r="Q186" s="3253"/>
      <c r="R186" s="3109"/>
      <c r="S186" s="552"/>
      <c r="T186" s="3108">
        <v>100000</v>
      </c>
      <c r="U186" s="3255" t="s">
        <v>37</v>
      </c>
      <c r="V186" s="3255"/>
      <c r="W186" s="3255">
        <v>80</v>
      </c>
      <c r="X186" s="3255" t="s">
        <v>259</v>
      </c>
      <c r="Y186" s="2030" t="s">
        <v>38</v>
      </c>
      <c r="Z186" s="554">
        <f t="shared" si="34"/>
        <v>8000</v>
      </c>
      <c r="AA186" s="3330">
        <f t="shared" si="35"/>
        <v>8000000</v>
      </c>
      <c r="AB186" s="423"/>
      <c r="AC186" s="423"/>
      <c r="AD186" s="1680"/>
    </row>
    <row r="187" spans="1:30" s="1653" customFormat="1" ht="21.6" customHeight="1" thickBot="1">
      <c r="A187" s="456"/>
      <c r="B187" s="562"/>
      <c r="C187" s="563"/>
      <c r="D187" s="473"/>
      <c r="E187" s="2020"/>
      <c r="F187" s="2055" t="s">
        <v>4795</v>
      </c>
      <c r="G187" s="3333">
        <f>Z187</f>
        <v>2400</v>
      </c>
      <c r="H187" s="3334">
        <v>2400</v>
      </c>
      <c r="I187" s="1658"/>
      <c r="J187" s="3335"/>
      <c r="K187" s="3336" t="s">
        <v>1852</v>
      </c>
      <c r="L187" s="2057"/>
      <c r="M187" s="2057"/>
      <c r="N187" s="2057"/>
      <c r="O187" s="642"/>
      <c r="P187" s="2057"/>
      <c r="Q187" s="2057"/>
      <c r="R187" s="2058">
        <v>10</v>
      </c>
      <c r="S187" s="2058" t="s">
        <v>227</v>
      </c>
      <c r="T187" s="641">
        <v>20000</v>
      </c>
      <c r="U187" s="2058" t="s">
        <v>37</v>
      </c>
      <c r="V187" s="2058"/>
      <c r="W187" s="2058">
        <v>12</v>
      </c>
      <c r="X187" s="2058" t="s">
        <v>39</v>
      </c>
      <c r="Y187" s="2059" t="s">
        <v>38</v>
      </c>
      <c r="Z187" s="3337">
        <f t="shared" ref="Z187" si="36">(AA187)/1000</f>
        <v>2400</v>
      </c>
      <c r="AA187" s="3338">
        <f>R187*T187*W187</f>
        <v>2400000</v>
      </c>
      <c r="AB187" s="423"/>
      <c r="AC187" s="423"/>
      <c r="AD187" s="1680"/>
    </row>
    <row r="188" spans="1:30" s="1653" customFormat="1" ht="21.6" customHeight="1" thickBot="1">
      <c r="A188" s="456"/>
      <c r="B188" s="2776" t="s">
        <v>1356</v>
      </c>
      <c r="C188" s="2314"/>
      <c r="D188" s="2314"/>
      <c r="E188" s="2314"/>
      <c r="F188" s="1578"/>
      <c r="G188" s="3331">
        <f>+G189+G236+G270+G303</f>
        <v>3814000</v>
      </c>
      <c r="H188" s="3331">
        <f>+H189+H236+H270+H303</f>
        <v>3814000</v>
      </c>
      <c r="I188" s="3332">
        <f>G188-H188</f>
        <v>0</v>
      </c>
      <c r="J188" s="557"/>
      <c r="K188" s="3252"/>
      <c r="L188" s="3253"/>
      <c r="M188" s="3253"/>
      <c r="N188" s="3253"/>
      <c r="O188" s="3253"/>
      <c r="P188" s="3253"/>
      <c r="Q188" s="3253"/>
      <c r="R188" s="3253"/>
      <c r="S188" s="552"/>
      <c r="T188" s="3253"/>
      <c r="U188" s="3253"/>
      <c r="V188" s="3253"/>
      <c r="W188" s="3253"/>
      <c r="X188" s="3253"/>
      <c r="Y188" s="542"/>
      <c r="Z188" s="554"/>
      <c r="AA188" s="2350"/>
      <c r="AB188" s="423"/>
      <c r="AC188" s="423"/>
      <c r="AD188" s="1680"/>
    </row>
    <row r="189" spans="1:30" s="1682" customFormat="1" ht="21.6" customHeight="1" thickBot="1">
      <c r="A189" s="456"/>
      <c r="B189" s="540"/>
      <c r="C189" s="1331" t="s">
        <v>1357</v>
      </c>
      <c r="D189" s="1376"/>
      <c r="E189" s="510"/>
      <c r="F189" s="1586"/>
      <c r="G189" s="823">
        <f>+G190</f>
        <v>1814000</v>
      </c>
      <c r="H189" s="972">
        <f>+H190</f>
        <v>1814000</v>
      </c>
      <c r="I189" s="1332">
        <f t="shared" ref="I189" si="37">G189-H189</f>
        <v>0</v>
      </c>
      <c r="J189" s="557"/>
      <c r="K189" s="2316"/>
      <c r="L189" s="2317"/>
      <c r="M189" s="2317"/>
      <c r="N189" s="2317"/>
      <c r="O189" s="2317"/>
      <c r="P189" s="2317"/>
      <c r="Q189" s="2317"/>
      <c r="R189" s="2317"/>
      <c r="S189" s="2317"/>
      <c r="T189" s="2317"/>
      <c r="U189" s="2317"/>
      <c r="V189" s="2317"/>
      <c r="W189" s="2317"/>
      <c r="X189" s="2317"/>
      <c r="Y189" s="2314"/>
      <c r="Z189" s="2774"/>
      <c r="AA189" s="595"/>
      <c r="AB189" s="423"/>
      <c r="AC189" s="423"/>
    </row>
    <row r="190" spans="1:30" s="815" customFormat="1" ht="21.6" customHeight="1">
      <c r="A190" s="456" t="s">
        <v>1279</v>
      </c>
      <c r="B190" s="562"/>
      <c r="C190" s="2777"/>
      <c r="D190" s="3924" t="s">
        <v>1357</v>
      </c>
      <c r="E190" s="3924"/>
      <c r="F190" s="3826"/>
      <c r="G190" s="825">
        <f>+G191</f>
        <v>1814000</v>
      </c>
      <c r="H190" s="1479">
        <f>+H191</f>
        <v>1814000</v>
      </c>
      <c r="I190" s="2451">
        <f>G190-H190</f>
        <v>0</v>
      </c>
      <c r="J190" s="557"/>
      <c r="K190" s="2940"/>
      <c r="L190" s="2945"/>
      <c r="M190" s="2945"/>
      <c r="N190" s="2945"/>
      <c r="O190" s="2945"/>
      <c r="P190" s="2945"/>
      <c r="Q190" s="2945"/>
      <c r="R190" s="510"/>
      <c r="S190" s="2348"/>
      <c r="T190" s="617"/>
      <c r="U190" s="618"/>
      <c r="V190" s="618"/>
      <c r="W190" s="618"/>
      <c r="X190" s="618"/>
      <c r="Y190" s="619"/>
      <c r="Z190" s="756"/>
      <c r="AA190" s="555"/>
      <c r="AB190" s="423"/>
      <c r="AC190" s="423"/>
      <c r="AD190" s="304"/>
    </row>
    <row r="191" spans="1:30" s="815" customFormat="1" ht="21.6" customHeight="1">
      <c r="A191" s="837"/>
      <c r="B191" s="562"/>
      <c r="C191" s="563"/>
      <c r="D191" s="564"/>
      <c r="E191" s="3825" t="s">
        <v>1357</v>
      </c>
      <c r="F191" s="3826"/>
      <c r="G191" s="598">
        <f>SUM(G192:G235)</f>
        <v>1814000</v>
      </c>
      <c r="H191" s="598">
        <f>SUM(H192:H235)</f>
        <v>1814000</v>
      </c>
      <c r="I191" s="620">
        <f>G191-H191</f>
        <v>0</v>
      </c>
      <c r="J191" s="557"/>
      <c r="K191" s="2025"/>
      <c r="L191" s="2934"/>
      <c r="M191" s="2934"/>
      <c r="N191" s="2934"/>
      <c r="O191" s="2934"/>
      <c r="P191" s="2934"/>
      <c r="Q191" s="2934"/>
      <c r="R191" s="2934"/>
      <c r="S191" s="539"/>
      <c r="T191" s="2026"/>
      <c r="U191" s="2026"/>
      <c r="V191" s="2026"/>
      <c r="W191" s="2026"/>
      <c r="X191" s="2026"/>
      <c r="Y191" s="2028"/>
      <c r="Z191" s="586"/>
      <c r="AA191" s="622"/>
      <c r="AB191" s="423"/>
      <c r="AC191" s="423"/>
      <c r="AD191" s="304"/>
    </row>
    <row r="192" spans="1:30" s="815" customFormat="1" ht="21.6" customHeight="1">
      <c r="A192" s="837"/>
      <c r="B192" s="562"/>
      <c r="C192" s="563"/>
      <c r="D192" s="564"/>
      <c r="E192" s="2020"/>
      <c r="F192" s="532" t="s">
        <v>65</v>
      </c>
      <c r="G192" s="549">
        <f>Z192</f>
        <v>1327517.395</v>
      </c>
      <c r="H192" s="1445">
        <v>1327517.395</v>
      </c>
      <c r="I192" s="551"/>
      <c r="J192" s="557"/>
      <c r="K192" s="3254" t="s">
        <v>4802</v>
      </c>
      <c r="L192" s="3253"/>
      <c r="M192" s="3253"/>
      <c r="N192" s="3253"/>
      <c r="O192" s="3253"/>
      <c r="P192" s="3253"/>
      <c r="Q192" s="3253"/>
      <c r="R192" s="3255"/>
      <c r="S192" s="3255"/>
      <c r="T192" s="3109"/>
      <c r="U192" s="3255"/>
      <c r="V192" s="3255"/>
      <c r="W192" s="3255"/>
      <c r="X192" s="3255"/>
      <c r="Y192" s="2030"/>
      <c r="Z192" s="554">
        <f t="shared" ref="Z192:Z195" si="38">AA192/1000</f>
        <v>1327517.395</v>
      </c>
      <c r="AA192" s="555">
        <f>+AA193+AA194+AA195</f>
        <v>1327517395</v>
      </c>
      <c r="AB192" s="423"/>
      <c r="AC192" s="423"/>
      <c r="AD192" s="304"/>
    </row>
    <row r="193" spans="1:30" s="815" customFormat="1" ht="21.6" customHeight="1">
      <c r="A193" s="837"/>
      <c r="B193" s="562"/>
      <c r="C193" s="563"/>
      <c r="D193" s="564"/>
      <c r="E193" s="2020"/>
      <c r="F193" s="532"/>
      <c r="G193" s="549"/>
      <c r="H193" s="1445"/>
      <c r="I193" s="551"/>
      <c r="J193" s="557"/>
      <c r="K193" s="3106" t="s">
        <v>4859</v>
      </c>
      <c r="L193" s="3253"/>
      <c r="M193" s="3253"/>
      <c r="N193" s="3253"/>
      <c r="O193" s="3253"/>
      <c r="P193" s="3253"/>
      <c r="Q193" s="3253"/>
      <c r="R193" s="3255">
        <v>56</v>
      </c>
      <c r="S193" s="3255" t="s">
        <v>4798</v>
      </c>
      <c r="T193" s="3109">
        <v>1570472.3139880951</v>
      </c>
      <c r="U193" s="3255" t="s">
        <v>4782</v>
      </c>
      <c r="V193" s="3255"/>
      <c r="W193" s="3255">
        <v>12</v>
      </c>
      <c r="X193" s="3255" t="s">
        <v>4860</v>
      </c>
      <c r="Y193" s="2030" t="s">
        <v>4784</v>
      </c>
      <c r="Z193" s="554">
        <f t="shared" si="38"/>
        <v>1055357.395</v>
      </c>
      <c r="AA193" s="2325">
        <f t="shared" ref="AA193:AA195" si="39">T193*R193*W193</f>
        <v>1055357395</v>
      </c>
      <c r="AB193" s="423"/>
      <c r="AC193" s="423"/>
      <c r="AD193" s="1693"/>
    </row>
    <row r="194" spans="1:30" s="815" customFormat="1" ht="21.6" customHeight="1">
      <c r="A194" s="837"/>
      <c r="B194" s="562"/>
      <c r="C194" s="563"/>
      <c r="D194" s="473"/>
      <c r="E194" s="2020"/>
      <c r="F194" s="532"/>
      <c r="G194" s="549"/>
      <c r="H194" s="1445"/>
      <c r="I194" s="551"/>
      <c r="J194" s="557"/>
      <c r="K194" s="3106" t="s">
        <v>4861</v>
      </c>
      <c r="L194" s="3253"/>
      <c r="M194" s="3253"/>
      <c r="N194" s="3253"/>
      <c r="O194" s="3253"/>
      <c r="P194" s="3253"/>
      <c r="Q194" s="3253"/>
      <c r="R194" s="3255">
        <v>56</v>
      </c>
      <c r="S194" s="3255" t="s">
        <v>4798</v>
      </c>
      <c r="T194" s="3109">
        <v>160000</v>
      </c>
      <c r="U194" s="3255" t="s">
        <v>4782</v>
      </c>
      <c r="V194" s="3255"/>
      <c r="W194" s="3255">
        <v>12</v>
      </c>
      <c r="X194" s="3255" t="s">
        <v>4860</v>
      </c>
      <c r="Y194" s="2030" t="s">
        <v>4784</v>
      </c>
      <c r="Z194" s="554">
        <f t="shared" si="38"/>
        <v>107520</v>
      </c>
      <c r="AA194" s="2325">
        <f t="shared" si="39"/>
        <v>107520000</v>
      </c>
      <c r="AB194" s="423"/>
      <c r="AC194" s="423"/>
      <c r="AD194" s="1693"/>
    </row>
    <row r="195" spans="1:30" s="815" customFormat="1" ht="21.6" customHeight="1">
      <c r="A195" s="837"/>
      <c r="B195" s="562"/>
      <c r="C195" s="563"/>
      <c r="D195" s="473"/>
      <c r="E195" s="2020"/>
      <c r="F195" s="532"/>
      <c r="G195" s="549"/>
      <c r="H195" s="1445"/>
      <c r="I195" s="551"/>
      <c r="J195" s="557"/>
      <c r="K195" s="3106" t="s">
        <v>4862</v>
      </c>
      <c r="L195" s="3253"/>
      <c r="M195" s="3253"/>
      <c r="N195" s="3253"/>
      <c r="O195" s="3253"/>
      <c r="P195" s="3253"/>
      <c r="Q195" s="3253"/>
      <c r="R195" s="3255">
        <v>56</v>
      </c>
      <c r="S195" s="3255" t="s">
        <v>4798</v>
      </c>
      <c r="T195" s="3109">
        <v>245000</v>
      </c>
      <c r="U195" s="3255" t="s">
        <v>4782</v>
      </c>
      <c r="V195" s="3255"/>
      <c r="W195" s="3255">
        <v>12</v>
      </c>
      <c r="X195" s="3255" t="s">
        <v>4860</v>
      </c>
      <c r="Y195" s="2030" t="s">
        <v>4784</v>
      </c>
      <c r="Z195" s="554">
        <f t="shared" si="38"/>
        <v>164640</v>
      </c>
      <c r="AA195" s="2325">
        <f t="shared" si="39"/>
        <v>164640000</v>
      </c>
      <c r="AB195" s="423"/>
      <c r="AC195" s="423"/>
      <c r="AD195" s="1693"/>
    </row>
    <row r="196" spans="1:30" s="815" customFormat="1" ht="21.6" customHeight="1">
      <c r="A196" s="837"/>
      <c r="B196" s="562"/>
      <c r="C196" s="563"/>
      <c r="D196" s="473"/>
      <c r="E196" s="2020"/>
      <c r="F196" s="532" t="s">
        <v>916</v>
      </c>
      <c r="G196" s="549">
        <f>Z196</f>
        <v>30000</v>
      </c>
      <c r="H196" s="1445">
        <v>30000</v>
      </c>
      <c r="I196" s="551"/>
      <c r="J196" s="557"/>
      <c r="K196" s="3254" t="s">
        <v>4802</v>
      </c>
      <c r="L196" s="3253"/>
      <c r="M196" s="3253"/>
      <c r="N196" s="3253"/>
      <c r="O196" s="3253"/>
      <c r="P196" s="3253"/>
      <c r="Q196" s="3253"/>
      <c r="R196" s="3253"/>
      <c r="S196" s="552"/>
      <c r="T196" s="3108"/>
      <c r="U196" s="3255"/>
      <c r="V196" s="3255"/>
      <c r="W196" s="3255"/>
      <c r="X196" s="3255"/>
      <c r="Y196" s="2030" t="s">
        <v>4803</v>
      </c>
      <c r="Z196" s="554">
        <f>+AA196/1000</f>
        <v>30000</v>
      </c>
      <c r="AA196" s="555">
        <f>+AA197+AA198+AA199</f>
        <v>30000000</v>
      </c>
      <c r="AB196" s="423"/>
      <c r="AC196" s="423"/>
      <c r="AD196" s="304"/>
    </row>
    <row r="197" spans="1:30" s="815" customFormat="1" ht="21.6" customHeight="1">
      <c r="A197" s="837"/>
      <c r="B197" s="562"/>
      <c r="C197" s="563"/>
      <c r="D197" s="473"/>
      <c r="E197" s="2020"/>
      <c r="F197" s="532"/>
      <c r="G197" s="549"/>
      <c r="H197" s="1445"/>
      <c r="I197" s="551"/>
      <c r="J197" s="557"/>
      <c r="K197" s="3106" t="s">
        <v>4863</v>
      </c>
      <c r="L197" s="3253"/>
      <c r="M197" s="3253"/>
      <c r="N197" s="3253"/>
      <c r="O197" s="3253"/>
      <c r="P197" s="3253"/>
      <c r="Q197" s="3253"/>
      <c r="R197" s="3255">
        <v>60</v>
      </c>
      <c r="S197" s="3255" t="s">
        <v>4798</v>
      </c>
      <c r="T197" s="3109">
        <v>20000</v>
      </c>
      <c r="U197" s="3255" t="s">
        <v>4782</v>
      </c>
      <c r="V197" s="3255"/>
      <c r="W197" s="3255">
        <v>10</v>
      </c>
      <c r="X197" s="3255" t="s">
        <v>4860</v>
      </c>
      <c r="Y197" s="2030" t="s">
        <v>4784</v>
      </c>
      <c r="Z197" s="554">
        <f t="shared" ref="Z197:Z199" si="40">AA197/1000</f>
        <v>12000</v>
      </c>
      <c r="AA197" s="2325">
        <f>R197*T197*W197</f>
        <v>12000000</v>
      </c>
      <c r="AB197" s="423"/>
      <c r="AC197" s="423"/>
      <c r="AD197" s="304"/>
    </row>
    <row r="198" spans="1:30" s="1682" customFormat="1" ht="21.6" customHeight="1">
      <c r="A198" s="456"/>
      <c r="B198" s="562"/>
      <c r="C198" s="563"/>
      <c r="D198" s="473"/>
      <c r="E198" s="2020"/>
      <c r="F198" s="532"/>
      <c r="G198" s="549"/>
      <c r="H198" s="1445"/>
      <c r="I198" s="551"/>
      <c r="J198" s="557"/>
      <c r="K198" s="3106" t="s">
        <v>4864</v>
      </c>
      <c r="L198" s="3106"/>
      <c r="M198" s="3253"/>
      <c r="N198" s="3253"/>
      <c r="O198" s="3253"/>
      <c r="P198" s="3253"/>
      <c r="Q198" s="3253"/>
      <c r="R198" s="3255">
        <v>60</v>
      </c>
      <c r="S198" s="3255" t="s">
        <v>4798</v>
      </c>
      <c r="T198" s="3109">
        <v>100000</v>
      </c>
      <c r="U198" s="3255" t="s">
        <v>4782</v>
      </c>
      <c r="V198" s="3255"/>
      <c r="W198" s="3255">
        <v>2</v>
      </c>
      <c r="X198" s="3255" t="s">
        <v>4783</v>
      </c>
      <c r="Y198" s="2030" t="s">
        <v>4784</v>
      </c>
      <c r="Z198" s="554">
        <f t="shared" si="40"/>
        <v>12000</v>
      </c>
      <c r="AA198" s="2325">
        <f>R198*T198*W198</f>
        <v>12000000</v>
      </c>
      <c r="AB198" s="423"/>
      <c r="AC198" s="423"/>
    </row>
    <row r="199" spans="1:30" s="1887" customFormat="1" ht="21.6" customHeight="1">
      <c r="A199" s="456"/>
      <c r="B199" s="562"/>
      <c r="C199" s="563"/>
      <c r="D199" s="473"/>
      <c r="E199" s="2020"/>
      <c r="F199" s="532"/>
      <c r="G199" s="549"/>
      <c r="H199" s="1445"/>
      <c r="I199" s="551"/>
      <c r="J199" s="557"/>
      <c r="K199" s="3106" t="s">
        <v>4865</v>
      </c>
      <c r="L199" s="3253"/>
      <c r="M199" s="3253"/>
      <c r="N199" s="3253"/>
      <c r="O199" s="3253"/>
      <c r="P199" s="3253"/>
      <c r="Q199" s="3253"/>
      <c r="R199" s="3255">
        <v>60</v>
      </c>
      <c r="S199" s="3255" t="s">
        <v>4798</v>
      </c>
      <c r="T199" s="3109">
        <v>100000</v>
      </c>
      <c r="U199" s="3255" t="s">
        <v>4782</v>
      </c>
      <c r="V199" s="3255"/>
      <c r="W199" s="3255">
        <v>1</v>
      </c>
      <c r="X199" s="3255" t="s">
        <v>4783</v>
      </c>
      <c r="Y199" s="2030" t="s">
        <v>4784</v>
      </c>
      <c r="Z199" s="554">
        <f t="shared" si="40"/>
        <v>6000</v>
      </c>
      <c r="AA199" s="2325">
        <f>R199*T199*W199</f>
        <v>6000000</v>
      </c>
      <c r="AB199" s="423"/>
      <c r="AC199" s="423"/>
    </row>
    <row r="200" spans="1:30" s="815" customFormat="1" ht="21.6" customHeight="1">
      <c r="A200" s="837"/>
      <c r="B200" s="562"/>
      <c r="C200" s="563"/>
      <c r="D200" s="473"/>
      <c r="E200" s="2020"/>
      <c r="F200" s="532" t="s">
        <v>352</v>
      </c>
      <c r="G200" s="549">
        <f>Z200</f>
        <v>9200</v>
      </c>
      <c r="H200" s="1445">
        <v>9200</v>
      </c>
      <c r="I200" s="551"/>
      <c r="J200" s="557"/>
      <c r="K200" s="3254" t="s">
        <v>4802</v>
      </c>
      <c r="L200" s="3253"/>
      <c r="M200" s="3253"/>
      <c r="N200" s="3253"/>
      <c r="O200" s="3253"/>
      <c r="P200" s="3253"/>
      <c r="Q200" s="3253"/>
      <c r="R200" s="3253"/>
      <c r="S200" s="552"/>
      <c r="T200" s="3108"/>
      <c r="U200" s="3255"/>
      <c r="V200" s="3255"/>
      <c r="W200" s="3255"/>
      <c r="X200" s="3255"/>
      <c r="Y200" s="2030" t="s">
        <v>4803</v>
      </c>
      <c r="Z200" s="554">
        <f>+AA200/1000</f>
        <v>9200</v>
      </c>
      <c r="AA200" s="555">
        <f>+AA201+AA202</f>
        <v>9200000</v>
      </c>
      <c r="AB200" s="423"/>
      <c r="AC200" s="423"/>
      <c r="AD200" s="304"/>
    </row>
    <row r="201" spans="1:30" s="815" customFormat="1" ht="21.6" customHeight="1">
      <c r="A201" s="837"/>
      <c r="B201" s="562"/>
      <c r="C201" s="563"/>
      <c r="D201" s="473"/>
      <c r="E201" s="2020"/>
      <c r="F201" s="532"/>
      <c r="G201" s="549"/>
      <c r="H201" s="1445"/>
      <c r="I201" s="551"/>
      <c r="J201" s="557"/>
      <c r="K201" s="3106" t="s">
        <v>4866</v>
      </c>
      <c r="L201" s="3253"/>
      <c r="M201" s="3253"/>
      <c r="N201" s="3253"/>
      <c r="O201" s="3253"/>
      <c r="P201" s="3253"/>
      <c r="Q201" s="3253"/>
      <c r="R201" s="3255"/>
      <c r="S201" s="3255"/>
      <c r="T201" s="3109">
        <v>600000</v>
      </c>
      <c r="U201" s="3255" t="s">
        <v>4782</v>
      </c>
      <c r="V201" s="3255"/>
      <c r="W201" s="3255">
        <v>12</v>
      </c>
      <c r="X201" s="3255" t="s">
        <v>4787</v>
      </c>
      <c r="Y201" s="2030" t="s">
        <v>4784</v>
      </c>
      <c r="Z201" s="554">
        <f t="shared" ref="Z201:Z233" si="41">AA201/1000</f>
        <v>7200</v>
      </c>
      <c r="AA201" s="2325">
        <f t="shared" ref="AA201:AA205" si="42">T201*W201</f>
        <v>7200000</v>
      </c>
      <c r="AB201" s="423"/>
      <c r="AC201" s="423"/>
      <c r="AD201" s="304"/>
    </row>
    <row r="202" spans="1:30" s="1682" customFormat="1" ht="21.6" customHeight="1">
      <c r="A202" s="456"/>
      <c r="B202" s="562"/>
      <c r="C202" s="563"/>
      <c r="D202" s="473"/>
      <c r="E202" s="2020"/>
      <c r="F202" s="532"/>
      <c r="G202" s="549"/>
      <c r="H202" s="1445"/>
      <c r="I202" s="551"/>
      <c r="J202" s="557"/>
      <c r="K202" s="3106" t="s">
        <v>4867</v>
      </c>
      <c r="L202" s="3253"/>
      <c r="M202" s="3253"/>
      <c r="N202" s="3253"/>
      <c r="O202" s="3253"/>
      <c r="P202" s="3253"/>
      <c r="Q202" s="3253"/>
      <c r="R202" s="3255"/>
      <c r="S202" s="3255"/>
      <c r="T202" s="3109">
        <v>1000000</v>
      </c>
      <c r="U202" s="3255" t="s">
        <v>4782</v>
      </c>
      <c r="V202" s="3255"/>
      <c r="W202" s="3255">
        <v>2</v>
      </c>
      <c r="X202" s="3255" t="s">
        <v>4868</v>
      </c>
      <c r="Y202" s="2030" t="s">
        <v>4784</v>
      </c>
      <c r="Z202" s="554">
        <f t="shared" si="41"/>
        <v>2000</v>
      </c>
      <c r="AA202" s="2325">
        <f t="shared" si="42"/>
        <v>2000000</v>
      </c>
      <c r="AB202" s="423"/>
      <c r="AC202" s="423"/>
    </row>
    <row r="203" spans="1:30" s="815" customFormat="1" ht="21.6" customHeight="1">
      <c r="A203" s="837"/>
      <c r="B203" s="562"/>
      <c r="C203" s="563"/>
      <c r="D203" s="473"/>
      <c r="E203" s="2020"/>
      <c r="F203" s="532" t="s">
        <v>2371</v>
      </c>
      <c r="G203" s="549">
        <f>Z203</f>
        <v>3000</v>
      </c>
      <c r="H203" s="549">
        <v>3000</v>
      </c>
      <c r="I203" s="551"/>
      <c r="J203" s="557"/>
      <c r="K203" s="3106" t="s">
        <v>4869</v>
      </c>
      <c r="L203" s="3253"/>
      <c r="M203" s="3253"/>
      <c r="N203" s="3253"/>
      <c r="O203" s="3253"/>
      <c r="P203" s="3253"/>
      <c r="Q203" s="3253"/>
      <c r="R203" s="3255"/>
      <c r="S203" s="3255"/>
      <c r="T203" s="3109">
        <v>3000000</v>
      </c>
      <c r="U203" s="3255" t="s">
        <v>4782</v>
      </c>
      <c r="V203" s="3255"/>
      <c r="W203" s="3255">
        <v>1</v>
      </c>
      <c r="X203" s="3255" t="s">
        <v>4868</v>
      </c>
      <c r="Y203" s="2030" t="s">
        <v>4784</v>
      </c>
      <c r="Z203" s="554">
        <f t="shared" si="41"/>
        <v>3000</v>
      </c>
      <c r="AA203" s="2325">
        <f t="shared" si="42"/>
        <v>3000000</v>
      </c>
      <c r="AB203" s="423"/>
      <c r="AC203" s="423"/>
      <c r="AD203" s="304"/>
    </row>
    <row r="204" spans="1:30" s="1682" customFormat="1" ht="21.6" customHeight="1">
      <c r="A204" s="456"/>
      <c r="B204" s="540"/>
      <c r="C204" s="2954"/>
      <c r="D204" s="1910"/>
      <c r="E204" s="588"/>
      <c r="F204" s="2013" t="s">
        <v>2372</v>
      </c>
      <c r="G204" s="469">
        <f>+Z204</f>
        <v>20500</v>
      </c>
      <c r="H204" s="469">
        <v>20500</v>
      </c>
      <c r="I204" s="551"/>
      <c r="J204" s="2323"/>
      <c r="K204" s="3254" t="s">
        <v>4870</v>
      </c>
      <c r="L204" s="3253"/>
      <c r="M204" s="3253"/>
      <c r="N204" s="3253"/>
      <c r="O204" s="3253"/>
      <c r="P204" s="3253"/>
      <c r="Q204" s="3253"/>
      <c r="R204" s="3255"/>
      <c r="S204" s="3255"/>
      <c r="T204" s="3255">
        <v>20500000</v>
      </c>
      <c r="U204" s="3255" t="s">
        <v>4782</v>
      </c>
      <c r="V204" s="3255"/>
      <c r="W204" s="3255">
        <v>1</v>
      </c>
      <c r="X204" s="3255" t="s">
        <v>4787</v>
      </c>
      <c r="Y204" s="2030" t="s">
        <v>4784</v>
      </c>
      <c r="Z204" s="554">
        <f t="shared" si="41"/>
        <v>20500</v>
      </c>
      <c r="AA204" s="2325">
        <f t="shared" si="42"/>
        <v>20500000</v>
      </c>
      <c r="AB204" s="423"/>
      <c r="AC204" s="423"/>
    </row>
    <row r="205" spans="1:30" s="1682" customFormat="1" ht="21.6" customHeight="1">
      <c r="A205" s="456"/>
      <c r="B205" s="540"/>
      <c r="C205" s="2954"/>
      <c r="D205" s="1910"/>
      <c r="E205" s="588"/>
      <c r="F205" s="2013" t="s">
        <v>2374</v>
      </c>
      <c r="G205" s="469">
        <f>+Z205</f>
        <v>7200</v>
      </c>
      <c r="H205" s="469">
        <v>7200</v>
      </c>
      <c r="I205" s="551"/>
      <c r="J205" s="2323"/>
      <c r="K205" s="3254" t="s">
        <v>4871</v>
      </c>
      <c r="L205" s="3253"/>
      <c r="M205" s="3253"/>
      <c r="N205" s="3253"/>
      <c r="O205" s="3253"/>
      <c r="P205" s="3253"/>
      <c r="Q205" s="3253"/>
      <c r="R205" s="3255"/>
      <c r="S205" s="3255"/>
      <c r="T205" s="3255">
        <v>600000</v>
      </c>
      <c r="U205" s="3255" t="s">
        <v>4782</v>
      </c>
      <c r="V205" s="3255"/>
      <c r="W205" s="3255">
        <v>12</v>
      </c>
      <c r="X205" s="3255" t="s">
        <v>4860</v>
      </c>
      <c r="Y205" s="2030" t="s">
        <v>4784</v>
      </c>
      <c r="Z205" s="554">
        <f t="shared" si="41"/>
        <v>7200</v>
      </c>
      <c r="AA205" s="2325">
        <f t="shared" si="42"/>
        <v>7200000</v>
      </c>
      <c r="AB205" s="423"/>
      <c r="AC205" s="423"/>
    </row>
    <row r="206" spans="1:30" s="1682" customFormat="1" ht="21.6" customHeight="1">
      <c r="A206" s="456"/>
      <c r="B206" s="562"/>
      <c r="C206" s="563"/>
      <c r="D206" s="473"/>
      <c r="E206" s="2020"/>
      <c r="F206" s="532" t="s">
        <v>2347</v>
      </c>
      <c r="G206" s="549">
        <f>Z206</f>
        <v>69900</v>
      </c>
      <c r="H206" s="549">
        <v>69900</v>
      </c>
      <c r="I206" s="551"/>
      <c r="J206" s="557"/>
      <c r="K206" s="3254" t="s">
        <v>4802</v>
      </c>
      <c r="L206" s="3253"/>
      <c r="M206" s="3253"/>
      <c r="N206" s="3253"/>
      <c r="O206" s="3253"/>
      <c r="P206" s="3253"/>
      <c r="Q206" s="3253"/>
      <c r="R206" s="3255"/>
      <c r="S206" s="3255"/>
      <c r="T206" s="3109"/>
      <c r="U206" s="3255"/>
      <c r="V206" s="3255"/>
      <c r="W206" s="3255"/>
      <c r="X206" s="3255"/>
      <c r="Y206" s="2030"/>
      <c r="Z206" s="554">
        <f t="shared" si="41"/>
        <v>69900</v>
      </c>
      <c r="AA206" s="555">
        <f>+AA207+AA208+AA209+AA210+AA211</f>
        <v>69900000</v>
      </c>
      <c r="AB206" s="423"/>
      <c r="AC206" s="423"/>
    </row>
    <row r="207" spans="1:30" s="1682" customFormat="1" ht="21.6" customHeight="1">
      <c r="A207" s="456"/>
      <c r="B207" s="562"/>
      <c r="C207" s="563"/>
      <c r="D207" s="473"/>
      <c r="E207" s="2020"/>
      <c r="F207" s="532"/>
      <c r="G207" s="549"/>
      <c r="H207" s="549"/>
      <c r="I207" s="551"/>
      <c r="J207" s="557"/>
      <c r="K207" s="3106" t="s">
        <v>4872</v>
      </c>
      <c r="L207" s="3253"/>
      <c r="M207" s="3253"/>
      <c r="N207" s="3253"/>
      <c r="O207" s="3253"/>
      <c r="P207" s="3253"/>
      <c r="Q207" s="3253"/>
      <c r="R207" s="3255"/>
      <c r="S207" s="3255"/>
      <c r="T207" s="3109">
        <v>1000000</v>
      </c>
      <c r="U207" s="3255" t="s">
        <v>4782</v>
      </c>
      <c r="V207" s="3255"/>
      <c r="W207" s="3255">
        <v>2</v>
      </c>
      <c r="X207" s="3255" t="s">
        <v>4783</v>
      </c>
      <c r="Y207" s="2030" t="s">
        <v>4784</v>
      </c>
      <c r="Z207" s="554">
        <f t="shared" si="41"/>
        <v>2000</v>
      </c>
      <c r="AA207" s="2325">
        <f>T207*W207</f>
        <v>2000000</v>
      </c>
      <c r="AB207" s="423"/>
      <c r="AC207" s="423"/>
    </row>
    <row r="208" spans="1:30" s="1682" customFormat="1" ht="21.6" customHeight="1">
      <c r="A208" s="456"/>
      <c r="B208" s="562"/>
      <c r="C208" s="563"/>
      <c r="D208" s="473"/>
      <c r="E208" s="2020"/>
      <c r="F208" s="532"/>
      <c r="G208" s="549"/>
      <c r="H208" s="549"/>
      <c r="I208" s="551"/>
      <c r="J208" s="557"/>
      <c r="K208" s="3106" t="s">
        <v>4873</v>
      </c>
      <c r="L208" s="3253"/>
      <c r="M208" s="3253"/>
      <c r="N208" s="3253"/>
      <c r="O208" s="3253"/>
      <c r="P208" s="3253"/>
      <c r="Q208" s="3253"/>
      <c r="R208" s="3255"/>
      <c r="S208" s="3255"/>
      <c r="T208" s="3109">
        <v>2800000</v>
      </c>
      <c r="U208" s="3255" t="s">
        <v>4782</v>
      </c>
      <c r="V208" s="3255"/>
      <c r="W208" s="3255">
        <v>12</v>
      </c>
      <c r="X208" s="3255" t="s">
        <v>4860</v>
      </c>
      <c r="Y208" s="2030" t="s">
        <v>4784</v>
      </c>
      <c r="Z208" s="554">
        <f t="shared" si="41"/>
        <v>33600</v>
      </c>
      <c r="AA208" s="2325">
        <f t="shared" ref="AA208:AA210" si="43">T208*W208</f>
        <v>33600000</v>
      </c>
      <c r="AB208" s="423"/>
      <c r="AC208" s="423"/>
    </row>
    <row r="209" spans="1:29" s="1682" customFormat="1" ht="21.6" customHeight="1">
      <c r="A209" s="456"/>
      <c r="B209" s="562"/>
      <c r="C209" s="563"/>
      <c r="D209" s="473"/>
      <c r="E209" s="2020"/>
      <c r="F209" s="532"/>
      <c r="G209" s="549"/>
      <c r="H209" s="549"/>
      <c r="I209" s="551"/>
      <c r="J209" s="557"/>
      <c r="K209" s="3106" t="s">
        <v>4874</v>
      </c>
      <c r="L209" s="3253"/>
      <c r="M209" s="3253"/>
      <c r="N209" s="3253"/>
      <c r="O209" s="3253"/>
      <c r="P209" s="3253"/>
      <c r="Q209" s="3253"/>
      <c r="R209" s="3255"/>
      <c r="S209" s="3255"/>
      <c r="T209" s="3109">
        <v>2300000</v>
      </c>
      <c r="U209" s="3255" t="s">
        <v>4782</v>
      </c>
      <c r="V209" s="3255"/>
      <c r="W209" s="3255">
        <v>1</v>
      </c>
      <c r="X209" s="3255" t="s">
        <v>4787</v>
      </c>
      <c r="Y209" s="2030" t="s">
        <v>4784</v>
      </c>
      <c r="Z209" s="554">
        <f t="shared" si="41"/>
        <v>2300</v>
      </c>
      <c r="AA209" s="2325">
        <f t="shared" si="43"/>
        <v>2300000</v>
      </c>
      <c r="AB209" s="423"/>
      <c r="AC209" s="423"/>
    </row>
    <row r="210" spans="1:29" s="1682" customFormat="1" ht="21.6" customHeight="1">
      <c r="A210" s="456"/>
      <c r="B210" s="562"/>
      <c r="C210" s="563"/>
      <c r="D210" s="473"/>
      <c r="E210" s="2020"/>
      <c r="F210" s="532"/>
      <c r="G210" s="549"/>
      <c r="H210" s="549"/>
      <c r="I210" s="551"/>
      <c r="J210" s="557"/>
      <c r="K210" s="3106" t="s">
        <v>4875</v>
      </c>
      <c r="L210" s="3253"/>
      <c r="M210" s="3253"/>
      <c r="N210" s="3253"/>
      <c r="O210" s="3253"/>
      <c r="P210" s="3253"/>
      <c r="Q210" s="3253"/>
      <c r="R210" s="3255"/>
      <c r="S210" s="3255"/>
      <c r="T210" s="3109">
        <v>2500000</v>
      </c>
      <c r="U210" s="3255" t="s">
        <v>4782</v>
      </c>
      <c r="V210" s="3255"/>
      <c r="W210" s="3255">
        <v>12</v>
      </c>
      <c r="X210" s="3255" t="s">
        <v>4860</v>
      </c>
      <c r="Y210" s="2030" t="s">
        <v>4784</v>
      </c>
      <c r="Z210" s="554">
        <f t="shared" si="41"/>
        <v>30000</v>
      </c>
      <c r="AA210" s="2325">
        <f t="shared" si="43"/>
        <v>30000000</v>
      </c>
      <c r="AB210" s="423"/>
      <c r="AC210" s="423"/>
    </row>
    <row r="211" spans="1:29" s="1682" customFormat="1" ht="21.6" customHeight="1">
      <c r="A211" s="456"/>
      <c r="B211" s="562"/>
      <c r="C211" s="563"/>
      <c r="D211" s="473"/>
      <c r="E211" s="2020"/>
      <c r="F211" s="532"/>
      <c r="G211" s="549"/>
      <c r="H211" s="549"/>
      <c r="I211" s="551"/>
      <c r="J211" s="557"/>
      <c r="K211" s="3106" t="s">
        <v>4876</v>
      </c>
      <c r="L211" s="3253"/>
      <c r="M211" s="3253"/>
      <c r="N211" s="3253"/>
      <c r="O211" s="3253"/>
      <c r="P211" s="3253"/>
      <c r="Q211" s="3253"/>
      <c r="R211" s="3255">
        <v>1</v>
      </c>
      <c r="S211" s="3255" t="s">
        <v>4877</v>
      </c>
      <c r="T211" s="3255">
        <v>500000</v>
      </c>
      <c r="U211" s="3255" t="s">
        <v>4782</v>
      </c>
      <c r="V211" s="3255"/>
      <c r="W211" s="3255">
        <v>4</v>
      </c>
      <c r="X211" s="3255" t="s">
        <v>4878</v>
      </c>
      <c r="Y211" s="2030" t="s">
        <v>4784</v>
      </c>
      <c r="Z211" s="554">
        <f t="shared" si="41"/>
        <v>2000</v>
      </c>
      <c r="AA211" s="2325">
        <f>T211*R211*W211</f>
        <v>2000000</v>
      </c>
      <c r="AB211" s="423"/>
      <c r="AC211" s="423"/>
    </row>
    <row r="212" spans="1:29" s="1682" customFormat="1" ht="21.6" customHeight="1">
      <c r="A212" s="456"/>
      <c r="B212" s="562"/>
      <c r="C212" s="563"/>
      <c r="D212" s="473"/>
      <c r="E212" s="2020"/>
      <c r="F212" s="532" t="s">
        <v>2375</v>
      </c>
      <c r="G212" s="549">
        <f>Z212</f>
        <v>6400</v>
      </c>
      <c r="H212" s="549">
        <v>6400</v>
      </c>
      <c r="I212" s="551"/>
      <c r="J212" s="557"/>
      <c r="K212" s="3254" t="s">
        <v>4879</v>
      </c>
      <c r="L212" s="3253"/>
      <c r="M212" s="3253"/>
      <c r="N212" s="3253"/>
      <c r="O212" s="3253"/>
      <c r="P212" s="3253"/>
      <c r="Q212" s="3253"/>
      <c r="R212" s="3255"/>
      <c r="S212" s="3255"/>
      <c r="T212" s="3255">
        <v>6400000</v>
      </c>
      <c r="U212" s="3255" t="s">
        <v>4782</v>
      </c>
      <c r="V212" s="3255"/>
      <c r="W212" s="3255">
        <v>1</v>
      </c>
      <c r="X212" s="3255" t="s">
        <v>4787</v>
      </c>
      <c r="Y212" s="2030" t="s">
        <v>4784</v>
      </c>
      <c r="Z212" s="554">
        <f t="shared" si="41"/>
        <v>6400</v>
      </c>
      <c r="AA212" s="2325">
        <f>T212*W212</f>
        <v>6400000</v>
      </c>
      <c r="AB212" s="423"/>
      <c r="AC212" s="423"/>
    </row>
    <row r="213" spans="1:29" s="1682" customFormat="1" ht="21.6" customHeight="1">
      <c r="A213" s="456"/>
      <c r="B213" s="562"/>
      <c r="C213" s="563"/>
      <c r="D213" s="473"/>
      <c r="E213" s="2020"/>
      <c r="F213" s="532" t="s">
        <v>2376</v>
      </c>
      <c r="G213" s="549">
        <f>Z213</f>
        <v>19100</v>
      </c>
      <c r="H213" s="549">
        <v>19100</v>
      </c>
      <c r="I213" s="551"/>
      <c r="J213" s="557"/>
      <c r="K213" s="3254" t="s">
        <v>4802</v>
      </c>
      <c r="L213" s="3253"/>
      <c r="M213" s="3253"/>
      <c r="N213" s="3253"/>
      <c r="O213" s="3253"/>
      <c r="P213" s="3253"/>
      <c r="Q213" s="3253"/>
      <c r="R213" s="3253"/>
      <c r="S213" s="552"/>
      <c r="T213" s="3108"/>
      <c r="U213" s="3255"/>
      <c r="V213" s="3255"/>
      <c r="W213" s="3255"/>
      <c r="X213" s="3255"/>
      <c r="Y213" s="2030" t="s">
        <v>4803</v>
      </c>
      <c r="Z213" s="554">
        <f>+AA213/1000</f>
        <v>19100</v>
      </c>
      <c r="AA213" s="555">
        <f>+AA214+AA215</f>
        <v>19100000</v>
      </c>
      <c r="AB213" s="423"/>
      <c r="AC213" s="423"/>
    </row>
    <row r="214" spans="1:29" s="1682" customFormat="1" ht="21.6" customHeight="1">
      <c r="A214" s="456"/>
      <c r="B214" s="562"/>
      <c r="C214" s="563"/>
      <c r="D214" s="473"/>
      <c r="E214" s="2020"/>
      <c r="F214" s="532"/>
      <c r="G214" s="549"/>
      <c r="H214" s="549"/>
      <c r="I214" s="551"/>
      <c r="J214" s="557"/>
      <c r="K214" s="3106" t="s">
        <v>4880</v>
      </c>
      <c r="L214" s="3253"/>
      <c r="M214" s="3253"/>
      <c r="N214" s="3253"/>
      <c r="O214" s="3253"/>
      <c r="P214" s="3253"/>
      <c r="Q214" s="3253"/>
      <c r="R214" s="3255"/>
      <c r="S214" s="3255"/>
      <c r="T214" s="3109">
        <v>710000</v>
      </c>
      <c r="U214" s="3255" t="s">
        <v>4782</v>
      </c>
      <c r="V214" s="3255"/>
      <c r="W214" s="3255">
        <v>10</v>
      </c>
      <c r="X214" s="3255" t="s">
        <v>4860</v>
      </c>
      <c r="Y214" s="2030" t="s">
        <v>4784</v>
      </c>
      <c r="Z214" s="554">
        <f t="shared" ref="Z214:Z219" si="44">AA214/1000</f>
        <v>7100</v>
      </c>
      <c r="AA214" s="2325">
        <f>T214*W214</f>
        <v>7100000</v>
      </c>
      <c r="AB214" s="423"/>
      <c r="AC214" s="423"/>
    </row>
    <row r="215" spans="1:29" s="1682" customFormat="1" ht="21.95" customHeight="1">
      <c r="A215" s="456"/>
      <c r="B215" s="562"/>
      <c r="C215" s="563"/>
      <c r="D215" s="473"/>
      <c r="E215" s="2020"/>
      <c r="F215" s="532"/>
      <c r="G215" s="549"/>
      <c r="H215" s="549"/>
      <c r="I215" s="551"/>
      <c r="J215" s="557"/>
      <c r="K215" s="3106" t="s">
        <v>4881</v>
      </c>
      <c r="L215" s="3253"/>
      <c r="M215" s="3253"/>
      <c r="N215" s="3253"/>
      <c r="O215" s="3253"/>
      <c r="P215" s="3253"/>
      <c r="Q215" s="3253"/>
      <c r="R215" s="3255">
        <v>10</v>
      </c>
      <c r="S215" s="3255" t="s">
        <v>4798</v>
      </c>
      <c r="T215" s="3109">
        <v>100000</v>
      </c>
      <c r="U215" s="3255" t="s">
        <v>4782</v>
      </c>
      <c r="V215" s="3255"/>
      <c r="W215" s="3255">
        <v>12</v>
      </c>
      <c r="X215" s="3255" t="s">
        <v>4860</v>
      </c>
      <c r="Y215" s="2030" t="s">
        <v>4784</v>
      </c>
      <c r="Z215" s="554">
        <f t="shared" si="44"/>
        <v>12000</v>
      </c>
      <c r="AA215" s="2325">
        <f>R215*T215*W215</f>
        <v>12000000</v>
      </c>
      <c r="AB215" s="423"/>
      <c r="AC215" s="423"/>
    </row>
    <row r="216" spans="1:29" ht="24" customHeight="1">
      <c r="B216" s="562"/>
      <c r="C216" s="563"/>
      <c r="D216" s="473"/>
      <c r="E216" s="2020"/>
      <c r="F216" s="532" t="s">
        <v>2377</v>
      </c>
      <c r="G216" s="549">
        <f>Z216</f>
        <v>51954.605000000003</v>
      </c>
      <c r="H216" s="549">
        <v>51954.605000000003</v>
      </c>
      <c r="I216" s="551"/>
      <c r="J216" s="557"/>
      <c r="K216" s="3254" t="s">
        <v>4802</v>
      </c>
      <c r="L216" s="3253"/>
      <c r="M216" s="3253"/>
      <c r="N216" s="3253"/>
      <c r="O216" s="3253"/>
      <c r="P216" s="3253"/>
      <c r="Q216" s="3253"/>
      <c r="R216" s="3253"/>
      <c r="S216" s="552"/>
      <c r="T216" s="3108"/>
      <c r="U216" s="3255"/>
      <c r="V216" s="3255"/>
      <c r="W216" s="3255"/>
      <c r="X216" s="3255"/>
      <c r="Y216" s="2030" t="s">
        <v>4803</v>
      </c>
      <c r="Z216" s="554">
        <f t="shared" si="44"/>
        <v>51954.605000000003</v>
      </c>
      <c r="AA216" s="555">
        <f>+AA217+AA218+AA219</f>
        <v>51954605</v>
      </c>
      <c r="AB216" s="423"/>
      <c r="AC216" s="423"/>
    </row>
    <row r="217" spans="1:29" ht="24" customHeight="1">
      <c r="B217" s="562"/>
      <c r="C217" s="563"/>
      <c r="D217" s="473"/>
      <c r="E217" s="2020"/>
      <c r="F217" s="532"/>
      <c r="G217" s="549"/>
      <c r="H217" s="549"/>
      <c r="I217" s="551"/>
      <c r="J217" s="557"/>
      <c r="K217" s="3106" t="s">
        <v>4882</v>
      </c>
      <c r="L217" s="3253"/>
      <c r="M217" s="3253"/>
      <c r="N217" s="3253"/>
      <c r="O217" s="3253"/>
      <c r="P217" s="3253"/>
      <c r="Q217" s="3253"/>
      <c r="R217" s="3255">
        <v>14</v>
      </c>
      <c r="S217" s="3255" t="s">
        <v>4883</v>
      </c>
      <c r="T217" s="3109">
        <v>250000</v>
      </c>
      <c r="U217" s="3255" t="s">
        <v>4782</v>
      </c>
      <c r="V217" s="3255"/>
      <c r="W217" s="3255">
        <v>12</v>
      </c>
      <c r="X217" s="3255" t="s">
        <v>4884</v>
      </c>
      <c r="Y217" s="2030" t="s">
        <v>4784</v>
      </c>
      <c r="Z217" s="554">
        <f t="shared" si="44"/>
        <v>42000</v>
      </c>
      <c r="AA217" s="2325">
        <f>T217*R217*W217</f>
        <v>42000000</v>
      </c>
      <c r="AB217" s="423"/>
      <c r="AC217" s="423"/>
    </row>
    <row r="218" spans="1:29" ht="24" customHeight="1">
      <c r="B218" s="562"/>
      <c r="C218" s="563"/>
      <c r="D218" s="473"/>
      <c r="E218" s="2020"/>
      <c r="F218" s="2023"/>
      <c r="G218" s="549"/>
      <c r="H218" s="549"/>
      <c r="I218" s="551"/>
      <c r="J218" s="557"/>
      <c r="K218" s="3106" t="s">
        <v>4885</v>
      </c>
      <c r="L218" s="3253"/>
      <c r="M218" s="3253"/>
      <c r="N218" s="3253"/>
      <c r="O218" s="3253"/>
      <c r="P218" s="3253"/>
      <c r="Q218" s="3253"/>
      <c r="R218" s="3255">
        <v>14</v>
      </c>
      <c r="S218" s="3255" t="s">
        <v>4883</v>
      </c>
      <c r="T218" s="3109">
        <v>50000</v>
      </c>
      <c r="U218" s="3255" t="s">
        <v>4782</v>
      </c>
      <c r="V218" s="3255"/>
      <c r="W218" s="3255">
        <v>12</v>
      </c>
      <c r="X218" s="3255" t="s">
        <v>4868</v>
      </c>
      <c r="Y218" s="2030" t="s">
        <v>4784</v>
      </c>
      <c r="Z218" s="554">
        <f t="shared" si="44"/>
        <v>8400</v>
      </c>
      <c r="AA218" s="2325">
        <f>T218*R218*W218</f>
        <v>8400000</v>
      </c>
      <c r="AB218" s="423"/>
      <c r="AC218" s="423"/>
    </row>
    <row r="219" spans="1:29" ht="24" customHeight="1">
      <c r="B219" s="562"/>
      <c r="C219" s="563"/>
      <c r="D219" s="473"/>
      <c r="E219" s="2020"/>
      <c r="F219" s="2023"/>
      <c r="G219" s="549"/>
      <c r="H219" s="549"/>
      <c r="I219" s="551"/>
      <c r="J219" s="557"/>
      <c r="K219" s="3106" t="s">
        <v>4886</v>
      </c>
      <c r="L219" s="3253"/>
      <c r="M219" s="3253"/>
      <c r="N219" s="3253"/>
      <c r="O219" s="3253"/>
      <c r="P219" s="3253"/>
      <c r="Q219" s="3253"/>
      <c r="R219" s="3255"/>
      <c r="S219" s="3255"/>
      <c r="T219" s="3109">
        <v>1554605</v>
      </c>
      <c r="U219" s="3255" t="s">
        <v>4782</v>
      </c>
      <c r="V219" s="3255"/>
      <c r="W219" s="3255">
        <v>1</v>
      </c>
      <c r="X219" s="3255" t="s">
        <v>4787</v>
      </c>
      <c r="Y219" s="2030" t="s">
        <v>4784</v>
      </c>
      <c r="Z219" s="554">
        <f t="shared" si="44"/>
        <v>1554.605</v>
      </c>
      <c r="AA219" s="2325">
        <f>T219*W219</f>
        <v>1554605</v>
      </c>
      <c r="AB219" s="423"/>
      <c r="AC219" s="423"/>
    </row>
    <row r="220" spans="1:29" s="1682" customFormat="1" ht="24" customHeight="1">
      <c r="A220" s="456"/>
      <c r="B220" s="562"/>
      <c r="C220" s="563"/>
      <c r="D220" s="473"/>
      <c r="E220" s="2020"/>
      <c r="F220" s="532" t="s">
        <v>2379</v>
      </c>
      <c r="G220" s="549">
        <f>Z220</f>
        <v>500</v>
      </c>
      <c r="H220" s="549">
        <v>500</v>
      </c>
      <c r="I220" s="551"/>
      <c r="J220" s="557"/>
      <c r="K220" s="3254" t="s">
        <v>4887</v>
      </c>
      <c r="L220" s="3253"/>
      <c r="M220" s="3253"/>
      <c r="N220" s="3253"/>
      <c r="O220" s="3253"/>
      <c r="P220" s="3253"/>
      <c r="Q220" s="3253"/>
      <c r="R220" s="3255"/>
      <c r="S220" s="3255"/>
      <c r="T220" s="3255">
        <v>500000</v>
      </c>
      <c r="U220" s="3255" t="s">
        <v>4782</v>
      </c>
      <c r="V220" s="3255"/>
      <c r="W220" s="3255">
        <v>1</v>
      </c>
      <c r="X220" s="3255" t="s">
        <v>4787</v>
      </c>
      <c r="Y220" s="2030" t="s">
        <v>4784</v>
      </c>
      <c r="Z220" s="554">
        <f t="shared" si="41"/>
        <v>500</v>
      </c>
      <c r="AA220" s="2325">
        <f>T220*W220</f>
        <v>500000</v>
      </c>
      <c r="AB220" s="423"/>
      <c r="AC220" s="423"/>
    </row>
    <row r="221" spans="1:29" s="1682" customFormat="1" ht="24" customHeight="1">
      <c r="A221" s="456"/>
      <c r="B221" s="562"/>
      <c r="C221" s="563"/>
      <c r="D221" s="473"/>
      <c r="E221" s="2020"/>
      <c r="F221" s="532" t="s">
        <v>2380</v>
      </c>
      <c r="G221" s="549">
        <f>Z221</f>
        <v>25000</v>
      </c>
      <c r="H221" s="549">
        <v>25000</v>
      </c>
      <c r="I221" s="551"/>
      <c r="J221" s="557"/>
      <c r="K221" s="3254" t="s">
        <v>4888</v>
      </c>
      <c r="L221" s="3253"/>
      <c r="M221" s="3253"/>
      <c r="N221" s="3253"/>
      <c r="O221" s="3253"/>
      <c r="P221" s="3253"/>
      <c r="Q221" s="3253"/>
      <c r="R221" s="3255"/>
      <c r="S221" s="3255"/>
      <c r="T221" s="3255">
        <v>25000000</v>
      </c>
      <c r="U221" s="3255" t="s">
        <v>4782</v>
      </c>
      <c r="V221" s="3255"/>
      <c r="W221" s="3255">
        <v>1</v>
      </c>
      <c r="X221" s="3255" t="s">
        <v>4787</v>
      </c>
      <c r="Y221" s="2030" t="s">
        <v>4784</v>
      </c>
      <c r="Z221" s="554">
        <f t="shared" si="41"/>
        <v>25000</v>
      </c>
      <c r="AA221" s="2325">
        <f>T221*W221</f>
        <v>25000000</v>
      </c>
      <c r="AB221" s="423"/>
      <c r="AC221" s="423"/>
    </row>
    <row r="222" spans="1:29" ht="24" customHeight="1">
      <c r="B222" s="562"/>
      <c r="C222" s="563"/>
      <c r="D222" s="473"/>
      <c r="E222" s="2020"/>
      <c r="F222" s="532" t="s">
        <v>2346</v>
      </c>
      <c r="G222" s="549">
        <f>Z222</f>
        <v>7600</v>
      </c>
      <c r="H222" s="549">
        <v>7600</v>
      </c>
      <c r="I222" s="551"/>
      <c r="J222" s="557"/>
      <c r="K222" s="3254" t="s">
        <v>4802</v>
      </c>
      <c r="L222" s="3253"/>
      <c r="M222" s="3253"/>
      <c r="N222" s="3253"/>
      <c r="O222" s="3253"/>
      <c r="P222" s="3253"/>
      <c r="Q222" s="3253"/>
      <c r="R222" s="3253"/>
      <c r="S222" s="552"/>
      <c r="T222" s="3108"/>
      <c r="U222" s="3255"/>
      <c r="V222" s="3255"/>
      <c r="W222" s="3255"/>
      <c r="X222" s="3255"/>
      <c r="Y222" s="2030" t="s">
        <v>4803</v>
      </c>
      <c r="Z222" s="554">
        <f t="shared" si="41"/>
        <v>7600</v>
      </c>
      <c r="AA222" s="555">
        <f>+AA223+AA224+AA225</f>
        <v>7600000</v>
      </c>
      <c r="AB222" s="423"/>
      <c r="AC222" s="423"/>
    </row>
    <row r="223" spans="1:29" ht="24" customHeight="1">
      <c r="B223" s="562"/>
      <c r="C223" s="563"/>
      <c r="D223" s="473"/>
      <c r="E223" s="2020"/>
      <c r="F223" s="532"/>
      <c r="G223" s="549"/>
      <c r="H223" s="549"/>
      <c r="I223" s="551"/>
      <c r="J223" s="557"/>
      <c r="K223" s="3106" t="s">
        <v>4889</v>
      </c>
      <c r="L223" s="3253"/>
      <c r="M223" s="3253"/>
      <c r="N223" s="3253"/>
      <c r="O223" s="3253"/>
      <c r="P223" s="3253"/>
      <c r="Q223" s="3253"/>
      <c r="R223" s="3255"/>
      <c r="S223" s="3255"/>
      <c r="T223" s="3109">
        <v>200000</v>
      </c>
      <c r="U223" s="3255" t="s">
        <v>4782</v>
      </c>
      <c r="V223" s="3255"/>
      <c r="W223" s="3255">
        <v>24</v>
      </c>
      <c r="X223" s="3255" t="s">
        <v>4868</v>
      </c>
      <c r="Y223" s="2030" t="s">
        <v>4784</v>
      </c>
      <c r="Z223" s="554">
        <f t="shared" si="41"/>
        <v>4800</v>
      </c>
      <c r="AA223" s="2325">
        <f>T223*W223</f>
        <v>4800000</v>
      </c>
      <c r="AB223" s="423"/>
      <c r="AC223" s="423"/>
    </row>
    <row r="224" spans="1:29" ht="24" customHeight="1">
      <c r="B224" s="562"/>
      <c r="C224" s="563"/>
      <c r="D224" s="473"/>
      <c r="E224" s="2020"/>
      <c r="F224" s="2023"/>
      <c r="G224" s="549"/>
      <c r="H224" s="549"/>
      <c r="I224" s="551"/>
      <c r="J224" s="557"/>
      <c r="K224" s="3106" t="s">
        <v>4890</v>
      </c>
      <c r="L224" s="3253"/>
      <c r="M224" s="3253"/>
      <c r="N224" s="3253"/>
      <c r="O224" s="3253"/>
      <c r="P224" s="3253"/>
      <c r="Q224" s="3253"/>
      <c r="R224" s="3255"/>
      <c r="S224" s="3255"/>
      <c r="T224" s="3109">
        <v>2000000</v>
      </c>
      <c r="U224" s="3255" t="s">
        <v>4782</v>
      </c>
      <c r="V224" s="3255"/>
      <c r="W224" s="3255">
        <v>1</v>
      </c>
      <c r="X224" s="3255" t="s">
        <v>4868</v>
      </c>
      <c r="Y224" s="2030" t="s">
        <v>4784</v>
      </c>
      <c r="Z224" s="554">
        <f t="shared" si="41"/>
        <v>2000</v>
      </c>
      <c r="AA224" s="2325">
        <f>T224*W224</f>
        <v>2000000</v>
      </c>
      <c r="AB224" s="423"/>
      <c r="AC224" s="423"/>
    </row>
    <row r="225" spans="1:30" ht="24" customHeight="1">
      <c r="B225" s="562"/>
      <c r="C225" s="563"/>
      <c r="D225" s="473"/>
      <c r="E225" s="2020"/>
      <c r="F225" s="2023"/>
      <c r="G225" s="549"/>
      <c r="H225" s="549"/>
      <c r="I225" s="551"/>
      <c r="J225" s="557"/>
      <c r="K225" s="3106" t="s">
        <v>4891</v>
      </c>
      <c r="L225" s="3253"/>
      <c r="M225" s="3253"/>
      <c r="N225" s="3253"/>
      <c r="O225" s="3253"/>
      <c r="P225" s="3253"/>
      <c r="Q225" s="3253"/>
      <c r="R225" s="3255"/>
      <c r="S225" s="3255"/>
      <c r="T225" s="3109">
        <v>200000</v>
      </c>
      <c r="U225" s="3255" t="s">
        <v>4782</v>
      </c>
      <c r="V225" s="3255"/>
      <c r="W225" s="3255">
        <v>4</v>
      </c>
      <c r="X225" s="3255" t="s">
        <v>4783</v>
      </c>
      <c r="Y225" s="2030" t="s">
        <v>4784</v>
      </c>
      <c r="Z225" s="554">
        <f t="shared" si="41"/>
        <v>800</v>
      </c>
      <c r="AA225" s="2325">
        <f>T225*W225</f>
        <v>800000</v>
      </c>
      <c r="AB225" s="423"/>
      <c r="AC225" s="423"/>
    </row>
    <row r="226" spans="1:30" ht="24" customHeight="1">
      <c r="B226" s="562"/>
      <c r="C226" s="563"/>
      <c r="D226" s="473"/>
      <c r="E226" s="2020"/>
      <c r="F226" s="532" t="s">
        <v>2381</v>
      </c>
      <c r="G226" s="549">
        <f>Z226</f>
        <v>193800</v>
      </c>
      <c r="H226" s="549">
        <v>193800</v>
      </c>
      <c r="I226" s="551"/>
      <c r="J226" s="557"/>
      <c r="K226" s="3254" t="s">
        <v>4802</v>
      </c>
      <c r="L226" s="3253"/>
      <c r="M226" s="3253"/>
      <c r="N226" s="3253"/>
      <c r="O226" s="3253"/>
      <c r="P226" s="3253"/>
      <c r="Q226" s="3253"/>
      <c r="R226" s="3253"/>
      <c r="S226" s="552"/>
      <c r="T226" s="3108"/>
      <c r="U226" s="3255"/>
      <c r="V226" s="3255"/>
      <c r="W226" s="3255"/>
      <c r="X226" s="3255"/>
      <c r="Y226" s="2030" t="s">
        <v>4803</v>
      </c>
      <c r="Z226" s="554">
        <f t="shared" si="41"/>
        <v>193800</v>
      </c>
      <c r="AA226" s="555">
        <f>+AA227+AA228+AA229</f>
        <v>193800000</v>
      </c>
      <c r="AB226" s="423"/>
      <c r="AC226" s="423"/>
    </row>
    <row r="227" spans="1:30" ht="24" customHeight="1">
      <c r="B227" s="562"/>
      <c r="C227" s="563"/>
      <c r="D227" s="473"/>
      <c r="E227" s="2020"/>
      <c r="F227" s="532"/>
      <c r="G227" s="549"/>
      <c r="H227" s="549"/>
      <c r="I227" s="551"/>
      <c r="J227" s="557"/>
      <c r="K227" s="3106" t="s">
        <v>4892</v>
      </c>
      <c r="L227" s="3253"/>
      <c r="M227" s="3253"/>
      <c r="N227" s="3253"/>
      <c r="O227" s="3253"/>
      <c r="P227" s="3253"/>
      <c r="Q227" s="3253"/>
      <c r="R227" s="3255"/>
      <c r="S227" s="3255"/>
      <c r="T227" s="3109">
        <v>4950000</v>
      </c>
      <c r="U227" s="3255" t="s">
        <v>4782</v>
      </c>
      <c r="V227" s="3255"/>
      <c r="W227" s="3255">
        <v>12</v>
      </c>
      <c r="X227" s="3255" t="s">
        <v>4884</v>
      </c>
      <c r="Y227" s="2030" t="s">
        <v>4784</v>
      </c>
      <c r="Z227" s="554">
        <f t="shared" si="41"/>
        <v>59400</v>
      </c>
      <c r="AA227" s="2325">
        <f>T227*W227</f>
        <v>59400000</v>
      </c>
      <c r="AB227" s="423"/>
      <c r="AC227" s="423"/>
    </row>
    <row r="228" spans="1:30" ht="24" customHeight="1">
      <c r="B228" s="562"/>
      <c r="C228" s="563"/>
      <c r="D228" s="473"/>
      <c r="E228" s="2020"/>
      <c r="F228" s="2023"/>
      <c r="G228" s="549"/>
      <c r="H228" s="549"/>
      <c r="I228" s="551"/>
      <c r="J228" s="557"/>
      <c r="K228" s="3106" t="s">
        <v>4893</v>
      </c>
      <c r="L228" s="3253"/>
      <c r="M228" s="3253"/>
      <c r="N228" s="3253"/>
      <c r="O228" s="3253"/>
      <c r="P228" s="3253"/>
      <c r="Q228" s="3253"/>
      <c r="R228" s="3255">
        <v>14</v>
      </c>
      <c r="S228" s="3255" t="s">
        <v>4883</v>
      </c>
      <c r="T228" s="3109">
        <v>700000</v>
      </c>
      <c r="U228" s="3255" t="s">
        <v>4782</v>
      </c>
      <c r="V228" s="3255"/>
      <c r="W228" s="3255">
        <v>12</v>
      </c>
      <c r="X228" s="3255" t="s">
        <v>4884</v>
      </c>
      <c r="Y228" s="2030" t="s">
        <v>4784</v>
      </c>
      <c r="Z228" s="554">
        <f t="shared" si="41"/>
        <v>117600</v>
      </c>
      <c r="AA228" s="2325">
        <f>R228*T228*W228</f>
        <v>117600000</v>
      </c>
      <c r="AB228" s="423"/>
      <c r="AC228" s="423"/>
    </row>
    <row r="229" spans="1:30" ht="24" customHeight="1">
      <c r="B229" s="562"/>
      <c r="C229" s="563"/>
      <c r="D229" s="473"/>
      <c r="E229" s="2020"/>
      <c r="F229" s="2023"/>
      <c r="G229" s="549"/>
      <c r="H229" s="549"/>
      <c r="I229" s="551"/>
      <c r="J229" s="557"/>
      <c r="K229" s="3106" t="s">
        <v>4894</v>
      </c>
      <c r="L229" s="3253"/>
      <c r="M229" s="3253"/>
      <c r="N229" s="3253"/>
      <c r="O229" s="3253"/>
      <c r="P229" s="3253"/>
      <c r="Q229" s="3253"/>
      <c r="R229" s="3255"/>
      <c r="S229" s="3255"/>
      <c r="T229" s="3109">
        <v>1400000</v>
      </c>
      <c r="U229" s="3255" t="s">
        <v>4782</v>
      </c>
      <c r="V229" s="3255"/>
      <c r="W229" s="3255">
        <v>12</v>
      </c>
      <c r="X229" s="3255" t="s">
        <v>4884</v>
      </c>
      <c r="Y229" s="2030" t="s">
        <v>4784</v>
      </c>
      <c r="Z229" s="554">
        <f t="shared" si="41"/>
        <v>16800</v>
      </c>
      <c r="AA229" s="2325">
        <f t="shared" ref="AA229" si="45">T229*W229</f>
        <v>16800000</v>
      </c>
      <c r="AB229" s="423"/>
      <c r="AC229" s="423"/>
    </row>
    <row r="230" spans="1:30" ht="24" customHeight="1">
      <c r="B230" s="562"/>
      <c r="C230" s="563"/>
      <c r="D230" s="473"/>
      <c r="E230" s="2020"/>
      <c r="F230" s="532" t="s">
        <v>2382</v>
      </c>
      <c r="G230" s="549">
        <f>Z230</f>
        <v>14328</v>
      </c>
      <c r="H230" s="549">
        <v>14328</v>
      </c>
      <c r="I230" s="551"/>
      <c r="J230" s="557"/>
      <c r="K230" s="3106" t="s">
        <v>4895</v>
      </c>
      <c r="L230" s="3253"/>
      <c r="M230" s="3253"/>
      <c r="N230" s="3253"/>
      <c r="O230" s="3253"/>
      <c r="P230" s="3253"/>
      <c r="Q230" s="3253"/>
      <c r="R230" s="3255"/>
      <c r="S230" s="3255"/>
      <c r="T230" s="3109">
        <v>1194000</v>
      </c>
      <c r="U230" s="3255" t="s">
        <v>4782</v>
      </c>
      <c r="V230" s="3255"/>
      <c r="W230" s="3255">
        <v>12</v>
      </c>
      <c r="X230" s="3255" t="s">
        <v>4884</v>
      </c>
      <c r="Y230" s="2030" t="s">
        <v>4784</v>
      </c>
      <c r="Z230" s="554">
        <f t="shared" si="41"/>
        <v>14328</v>
      </c>
      <c r="AA230" s="2325">
        <f>T230*W230</f>
        <v>14328000</v>
      </c>
      <c r="AB230" s="423"/>
      <c r="AC230" s="423"/>
    </row>
    <row r="231" spans="1:30" s="815" customFormat="1" ht="24" customHeight="1">
      <c r="A231" s="837"/>
      <c r="B231" s="562"/>
      <c r="C231" s="563"/>
      <c r="D231" s="473"/>
      <c r="E231" s="2020"/>
      <c r="F231" s="2023" t="s">
        <v>2383</v>
      </c>
      <c r="G231" s="549">
        <f>Z231</f>
        <v>24000</v>
      </c>
      <c r="H231" s="549">
        <v>24000</v>
      </c>
      <c r="I231" s="551"/>
      <c r="J231" s="557"/>
      <c r="K231" s="3254" t="s">
        <v>4802</v>
      </c>
      <c r="L231" s="3253"/>
      <c r="M231" s="3253"/>
      <c r="N231" s="3253"/>
      <c r="O231" s="3253"/>
      <c r="P231" s="3253"/>
      <c r="Q231" s="3253"/>
      <c r="R231" s="3109" t="s">
        <v>4896</v>
      </c>
      <c r="S231" s="552" t="s">
        <v>4896</v>
      </c>
      <c r="T231" s="3108"/>
      <c r="U231" s="3255"/>
      <c r="V231" s="3255"/>
      <c r="W231" s="3255"/>
      <c r="X231" s="3255"/>
      <c r="Y231" s="2030"/>
      <c r="Z231" s="554">
        <f t="shared" si="41"/>
        <v>24000</v>
      </c>
      <c r="AA231" s="555">
        <f>+AA232+AA233+AA234</f>
        <v>24000000</v>
      </c>
      <c r="AB231" s="423"/>
      <c r="AC231" s="423"/>
      <c r="AD231" s="304"/>
    </row>
    <row r="232" spans="1:30" s="815" customFormat="1" ht="24" customHeight="1">
      <c r="A232" s="837"/>
      <c r="B232" s="562"/>
      <c r="C232" s="563"/>
      <c r="D232" s="473"/>
      <c r="E232" s="2020"/>
      <c r="F232" s="2023"/>
      <c r="G232" s="549"/>
      <c r="H232" s="549"/>
      <c r="I232" s="551"/>
      <c r="J232" s="557"/>
      <c r="K232" s="3254" t="s">
        <v>4897</v>
      </c>
      <c r="L232" s="3253"/>
      <c r="M232" s="3253"/>
      <c r="N232" s="3253"/>
      <c r="O232" s="3253"/>
      <c r="P232" s="3253"/>
      <c r="Q232" s="3253"/>
      <c r="R232" s="3255"/>
      <c r="S232" s="3255"/>
      <c r="T232" s="3108">
        <v>150000</v>
      </c>
      <c r="U232" s="3255" t="s">
        <v>4782</v>
      </c>
      <c r="V232" s="3255"/>
      <c r="W232" s="3255">
        <v>60</v>
      </c>
      <c r="X232" s="3255" t="s">
        <v>4898</v>
      </c>
      <c r="Y232" s="2030" t="s">
        <v>4784</v>
      </c>
      <c r="Z232" s="554">
        <f t="shared" si="41"/>
        <v>9000</v>
      </c>
      <c r="AA232" s="2325">
        <f>T232*W232</f>
        <v>9000000</v>
      </c>
      <c r="AB232" s="423"/>
      <c r="AC232" s="423"/>
      <c r="AD232" s="304"/>
    </row>
    <row r="233" spans="1:30" s="815" customFormat="1" ht="24" customHeight="1">
      <c r="A233" s="837"/>
      <c r="B233" s="562"/>
      <c r="C233" s="563"/>
      <c r="D233" s="564"/>
      <c r="E233" s="2020"/>
      <c r="F233" s="2023"/>
      <c r="G233" s="549"/>
      <c r="H233" s="549"/>
      <c r="I233" s="551"/>
      <c r="J233" s="557"/>
      <c r="K233" s="3254" t="s">
        <v>4899</v>
      </c>
      <c r="L233" s="3253"/>
      <c r="M233" s="3253"/>
      <c r="N233" s="3253"/>
      <c r="O233" s="3253"/>
      <c r="P233" s="3253"/>
      <c r="Q233" s="3253"/>
      <c r="R233" s="3109"/>
      <c r="S233" s="552"/>
      <c r="T233" s="3108">
        <v>200000</v>
      </c>
      <c r="U233" s="3255" t="s">
        <v>4782</v>
      </c>
      <c r="V233" s="3255"/>
      <c r="W233" s="3255">
        <v>60</v>
      </c>
      <c r="X233" s="3255" t="s">
        <v>4898</v>
      </c>
      <c r="Y233" s="2030" t="s">
        <v>4784</v>
      </c>
      <c r="Z233" s="554">
        <f t="shared" si="41"/>
        <v>12000</v>
      </c>
      <c r="AA233" s="2325">
        <f>T233*W233</f>
        <v>12000000</v>
      </c>
      <c r="AB233" s="423"/>
      <c r="AC233" s="423"/>
      <c r="AD233" s="304"/>
    </row>
    <row r="234" spans="1:30" s="815" customFormat="1" ht="24" customHeight="1">
      <c r="A234" s="837"/>
      <c r="B234" s="591"/>
      <c r="C234" s="592"/>
      <c r="D234" s="564"/>
      <c r="E234" s="2020"/>
      <c r="F234" s="2023"/>
      <c r="G234" s="549"/>
      <c r="H234" s="824"/>
      <c r="I234" s="551"/>
      <c r="J234" s="557"/>
      <c r="K234" s="3254" t="s">
        <v>4900</v>
      </c>
      <c r="L234" s="3253"/>
      <c r="M234" s="3253"/>
      <c r="N234" s="3253"/>
      <c r="O234" s="3253"/>
      <c r="P234" s="3253"/>
      <c r="Q234" s="3253"/>
      <c r="R234" s="1390"/>
      <c r="S234" s="3249"/>
      <c r="T234" s="3255">
        <v>50000</v>
      </c>
      <c r="U234" s="3255" t="s">
        <v>4782</v>
      </c>
      <c r="V234" s="3255"/>
      <c r="W234" s="3255">
        <v>60</v>
      </c>
      <c r="X234" s="3255" t="s">
        <v>4898</v>
      </c>
      <c r="Y234" s="2030" t="s">
        <v>1</v>
      </c>
      <c r="Z234" s="554">
        <f>AA234/1000</f>
        <v>3000</v>
      </c>
      <c r="AA234" s="2325">
        <f>T234*W234</f>
        <v>3000000</v>
      </c>
      <c r="AB234" s="423"/>
      <c r="AC234" s="423"/>
      <c r="AD234" s="304"/>
    </row>
    <row r="235" spans="1:30" s="1682" customFormat="1" ht="24" customHeight="1">
      <c r="A235" s="456"/>
      <c r="B235" s="562"/>
      <c r="C235" s="563"/>
      <c r="D235" s="624"/>
      <c r="E235" s="2020"/>
      <c r="F235" s="532" t="s">
        <v>2384</v>
      </c>
      <c r="G235" s="826">
        <f>Z235</f>
        <v>4000</v>
      </c>
      <c r="H235" s="826">
        <v>4000</v>
      </c>
      <c r="I235" s="551"/>
      <c r="J235" s="557"/>
      <c r="K235" s="3254" t="s">
        <v>4901</v>
      </c>
      <c r="L235" s="3253"/>
      <c r="M235" s="3253"/>
      <c r="N235" s="3253"/>
      <c r="O235" s="3253"/>
      <c r="P235" s="3253"/>
      <c r="Q235" s="3253"/>
      <c r="R235" s="3255">
        <v>0</v>
      </c>
      <c r="S235" s="3255" t="s">
        <v>4798</v>
      </c>
      <c r="T235" s="3255">
        <v>200000</v>
      </c>
      <c r="U235" s="3255" t="s">
        <v>4782</v>
      </c>
      <c r="V235" s="3255"/>
      <c r="W235" s="3255">
        <v>20</v>
      </c>
      <c r="X235" s="3255" t="s">
        <v>4783</v>
      </c>
      <c r="Y235" s="2030" t="s">
        <v>4784</v>
      </c>
      <c r="Z235" s="554">
        <f t="shared" ref="Z235" si="46">AA235/1000</f>
        <v>4000</v>
      </c>
      <c r="AA235" s="2325">
        <f>T235*W235</f>
        <v>4000000</v>
      </c>
      <c r="AB235" s="423"/>
      <c r="AC235" s="423"/>
    </row>
    <row r="236" spans="1:30" s="1682" customFormat="1" ht="24" customHeight="1">
      <c r="A236" s="456"/>
      <c r="B236" s="540"/>
      <c r="C236" s="1251" t="s">
        <v>1358</v>
      </c>
      <c r="D236" s="1386"/>
      <c r="E236" s="621"/>
      <c r="F236" s="2710"/>
      <c r="G236" s="598">
        <f>+G237</f>
        <v>328571</v>
      </c>
      <c r="H236" s="955">
        <f>+H237</f>
        <v>328571</v>
      </c>
      <c r="I236" s="627">
        <f t="shared" ref="I236" si="47">G236-H236</f>
        <v>0</v>
      </c>
      <c r="J236" s="557"/>
      <c r="K236" s="538"/>
      <c r="L236" s="2934"/>
      <c r="M236" s="2934"/>
      <c r="N236" s="2934"/>
      <c r="O236" s="2934"/>
      <c r="P236" s="2934"/>
      <c r="Q236" s="2934"/>
      <c r="R236" s="2934"/>
      <c r="S236" s="2934"/>
      <c r="T236" s="2934"/>
      <c r="U236" s="2934"/>
      <c r="V236" s="2934"/>
      <c r="W236" s="2934"/>
      <c r="X236" s="2934"/>
      <c r="Y236" s="585"/>
      <c r="Z236" s="599"/>
      <c r="AA236" s="595"/>
      <c r="AB236" s="423"/>
      <c r="AC236" s="423"/>
    </row>
    <row r="237" spans="1:30" s="815" customFormat="1" ht="24" customHeight="1">
      <c r="A237" s="456" t="s">
        <v>1279</v>
      </c>
      <c r="B237" s="562"/>
      <c r="C237" s="563"/>
      <c r="D237" s="4099" t="s">
        <v>1358</v>
      </c>
      <c r="E237" s="4099"/>
      <c r="F237" s="3839"/>
      <c r="G237" s="826">
        <f>+G238</f>
        <v>328571</v>
      </c>
      <c r="H237" s="2491">
        <f>+H238</f>
        <v>328571</v>
      </c>
      <c r="I237" s="2450">
        <f>G237-H237</f>
        <v>0</v>
      </c>
      <c r="J237" s="557"/>
      <c r="K237" s="2025"/>
      <c r="L237" s="2934"/>
      <c r="M237" s="2934"/>
      <c r="N237" s="2934"/>
      <c r="O237" s="2934"/>
      <c r="P237" s="2934"/>
      <c r="Q237" s="2934"/>
      <c r="R237" s="621"/>
      <c r="S237" s="539"/>
      <c r="T237" s="545"/>
      <c r="U237" s="2026"/>
      <c r="V237" s="2026"/>
      <c r="W237" s="2026"/>
      <c r="X237" s="2026"/>
      <c r="Y237" s="2028"/>
      <c r="Z237" s="586"/>
      <c r="AA237" s="622"/>
      <c r="AB237" s="423"/>
      <c r="AC237" s="423"/>
      <c r="AD237" s="304"/>
    </row>
    <row r="238" spans="1:30" s="815" customFormat="1" ht="24" customHeight="1">
      <c r="A238" s="837"/>
      <c r="B238" s="562"/>
      <c r="C238" s="563"/>
      <c r="D238" s="473"/>
      <c r="E238" s="3825" t="s">
        <v>1361</v>
      </c>
      <c r="F238" s="3826"/>
      <c r="G238" s="598">
        <f>SUM(G239:G269)</f>
        <v>328571</v>
      </c>
      <c r="H238" s="955">
        <f>SUM(H239:H269)</f>
        <v>328571</v>
      </c>
      <c r="I238" s="620">
        <f>G238-H238</f>
        <v>0</v>
      </c>
      <c r="J238" s="557"/>
      <c r="K238" s="2025"/>
      <c r="L238" s="2934"/>
      <c r="M238" s="2934"/>
      <c r="N238" s="2934"/>
      <c r="O238" s="2934"/>
      <c r="P238" s="2934"/>
      <c r="Q238" s="2934"/>
      <c r="R238" s="2934"/>
      <c r="S238" s="539"/>
      <c r="T238" s="2026"/>
      <c r="U238" s="2026"/>
      <c r="V238" s="2026"/>
      <c r="W238" s="2026"/>
      <c r="X238" s="2026"/>
      <c r="Y238" s="2028"/>
      <c r="Z238" s="586"/>
      <c r="AA238" s="622"/>
      <c r="AB238" s="423"/>
      <c r="AC238" s="423"/>
      <c r="AD238" s="304"/>
    </row>
    <row r="239" spans="1:30" ht="24" customHeight="1">
      <c r="B239" s="623"/>
      <c r="C239" s="563"/>
      <c r="D239" s="563"/>
      <c r="E239" s="563"/>
      <c r="F239" s="2023" t="s">
        <v>65</v>
      </c>
      <c r="G239" s="549">
        <f>Z239</f>
        <v>62344</v>
      </c>
      <c r="H239" s="1445">
        <v>62344</v>
      </c>
      <c r="I239" s="551"/>
      <c r="J239" s="557"/>
      <c r="K239" s="2952" t="s">
        <v>224</v>
      </c>
      <c r="L239" s="2949"/>
      <c r="M239" s="2949"/>
      <c r="N239" s="2949"/>
      <c r="O239" s="2949"/>
      <c r="P239" s="2949"/>
      <c r="Q239" s="2949"/>
      <c r="R239" s="2953"/>
      <c r="S239" s="2953"/>
      <c r="T239" s="475"/>
      <c r="U239" s="2953"/>
      <c r="V239" s="2953"/>
      <c r="W239" s="2953"/>
      <c r="X239" s="2953"/>
      <c r="Y239" s="2030"/>
      <c r="Z239" s="554">
        <f t="shared" ref="Z239:Z241" si="48">AA239/1000</f>
        <v>62344</v>
      </c>
      <c r="AA239" s="555">
        <f>+AA240+AA241</f>
        <v>62344000</v>
      </c>
    </row>
    <row r="240" spans="1:30" ht="24" customHeight="1">
      <c r="B240" s="623"/>
      <c r="C240" s="563"/>
      <c r="D240" s="563"/>
      <c r="E240" s="563"/>
      <c r="F240" s="2023"/>
      <c r="G240" s="549"/>
      <c r="H240" s="1445"/>
      <c r="I240" s="551"/>
      <c r="J240" s="557"/>
      <c r="K240" s="472" t="s">
        <v>1531</v>
      </c>
      <c r="L240" s="2949"/>
      <c r="M240" s="2949"/>
      <c r="N240" s="2949"/>
      <c r="O240" s="2949"/>
      <c r="P240" s="2949"/>
      <c r="Q240" s="2949"/>
      <c r="R240" s="2953"/>
      <c r="S240" s="2953"/>
      <c r="T240" s="475">
        <v>153219.60784313726</v>
      </c>
      <c r="U240" s="2953" t="s">
        <v>368</v>
      </c>
      <c r="V240" s="2953"/>
      <c r="W240" s="2953">
        <v>255</v>
      </c>
      <c r="X240" s="2953" t="s">
        <v>413</v>
      </c>
      <c r="Y240" s="2030" t="s">
        <v>370</v>
      </c>
      <c r="Z240" s="554">
        <f t="shared" si="48"/>
        <v>39071</v>
      </c>
      <c r="AA240" s="2325">
        <f>T240*W240</f>
        <v>39071000</v>
      </c>
    </row>
    <row r="241" spans="2:27" ht="24" customHeight="1">
      <c r="B241" s="623"/>
      <c r="C241" s="563"/>
      <c r="D241" s="563"/>
      <c r="E241" s="563"/>
      <c r="F241" s="2023"/>
      <c r="G241" s="549"/>
      <c r="H241" s="1445"/>
      <c r="I241" s="551"/>
      <c r="J241" s="557"/>
      <c r="K241" s="472" t="s">
        <v>1532</v>
      </c>
      <c r="L241" s="2949"/>
      <c r="M241" s="2949"/>
      <c r="N241" s="2949"/>
      <c r="O241" s="2949"/>
      <c r="P241" s="2949"/>
      <c r="Q241" s="2949"/>
      <c r="R241" s="2953"/>
      <c r="S241" s="2953"/>
      <c r="T241" s="475">
        <v>122489.47368421052</v>
      </c>
      <c r="U241" s="2953" t="s">
        <v>368</v>
      </c>
      <c r="V241" s="2953"/>
      <c r="W241" s="2953">
        <v>190</v>
      </c>
      <c r="X241" s="2953" t="s">
        <v>413</v>
      </c>
      <c r="Y241" s="2030" t="s">
        <v>370</v>
      </c>
      <c r="Z241" s="554">
        <f t="shared" si="48"/>
        <v>23273</v>
      </c>
      <c r="AA241" s="2325">
        <f>T241*W241</f>
        <v>23273000</v>
      </c>
    </row>
    <row r="242" spans="2:27" ht="24" customHeight="1">
      <c r="B242" s="623"/>
      <c r="C242" s="563"/>
      <c r="D242" s="563"/>
      <c r="E242" s="563"/>
      <c r="F242" s="2023" t="s">
        <v>229</v>
      </c>
      <c r="G242" s="549">
        <f>Z242</f>
        <v>16390</v>
      </c>
      <c r="H242" s="1445">
        <v>16390</v>
      </c>
      <c r="I242" s="551"/>
      <c r="J242" s="557"/>
      <c r="K242" s="2952" t="s">
        <v>224</v>
      </c>
      <c r="L242" s="2949"/>
      <c r="M242" s="2949"/>
      <c r="N242" s="2949"/>
      <c r="O242" s="2949"/>
      <c r="P242" s="2949"/>
      <c r="Q242" s="2949"/>
      <c r="R242" s="2949"/>
      <c r="S242" s="552"/>
      <c r="T242" s="474"/>
      <c r="U242" s="2953"/>
      <c r="V242" s="2953"/>
      <c r="W242" s="2953"/>
      <c r="X242" s="2953"/>
      <c r="Y242" s="2030" t="s">
        <v>378</v>
      </c>
      <c r="Z242" s="554">
        <f>+AA242/1000</f>
        <v>16390</v>
      </c>
      <c r="AA242" s="555">
        <f>+AA243+AA244</f>
        <v>16390000</v>
      </c>
    </row>
    <row r="243" spans="2:27" ht="24" customHeight="1">
      <c r="B243" s="623"/>
      <c r="C243" s="563"/>
      <c r="D243" s="563"/>
      <c r="E243" s="563"/>
      <c r="F243" s="2023"/>
      <c r="G243" s="549"/>
      <c r="H243" s="1445"/>
      <c r="I243" s="551"/>
      <c r="J243" s="557"/>
      <c r="K243" s="472" t="s">
        <v>1533</v>
      </c>
      <c r="L243" s="2949"/>
      <c r="M243" s="2949"/>
      <c r="N243" s="2949"/>
      <c r="O243" s="2949"/>
      <c r="P243" s="2949"/>
      <c r="Q243" s="2949"/>
      <c r="R243" s="2953"/>
      <c r="S243" s="2953"/>
      <c r="T243" s="475">
        <v>990000</v>
      </c>
      <c r="U243" s="2953" t="s">
        <v>368</v>
      </c>
      <c r="V243" s="2953"/>
      <c r="W243" s="2953">
        <v>1</v>
      </c>
      <c r="X243" s="2953" t="s">
        <v>226</v>
      </c>
      <c r="Y243" s="2030" t="s">
        <v>370</v>
      </c>
      <c r="Z243" s="554">
        <f t="shared" ref="Z243:Z260" si="49">AA243/1000</f>
        <v>990</v>
      </c>
      <c r="AA243" s="2325">
        <f>T243*W243</f>
        <v>990000</v>
      </c>
    </row>
    <row r="244" spans="2:27" ht="24" customHeight="1">
      <c r="B244" s="623"/>
      <c r="C244" s="563"/>
      <c r="D244" s="563"/>
      <c r="E244" s="563"/>
      <c r="F244" s="2023"/>
      <c r="G244" s="549"/>
      <c r="H244" s="1445"/>
      <c r="I244" s="551"/>
      <c r="J244" s="557"/>
      <c r="K244" s="472" t="s">
        <v>1534</v>
      </c>
      <c r="L244" s="2949"/>
      <c r="M244" s="2949"/>
      <c r="N244" s="2949"/>
      <c r="O244" s="2949"/>
      <c r="P244" s="2949"/>
      <c r="Q244" s="2949"/>
      <c r="R244" s="2953"/>
      <c r="S244" s="2953"/>
      <c r="T244" s="475">
        <v>15400000</v>
      </c>
      <c r="U244" s="2953" t="s">
        <v>368</v>
      </c>
      <c r="V244" s="2953"/>
      <c r="W244" s="2953">
        <v>1</v>
      </c>
      <c r="X244" s="2953" t="s">
        <v>579</v>
      </c>
      <c r="Y244" s="2030" t="s">
        <v>370</v>
      </c>
      <c r="Z244" s="554">
        <f t="shared" si="49"/>
        <v>15400</v>
      </c>
      <c r="AA244" s="2325">
        <f>T244*W244</f>
        <v>15400000</v>
      </c>
    </row>
    <row r="245" spans="2:27" ht="24" customHeight="1">
      <c r="B245" s="623"/>
      <c r="C245" s="563"/>
      <c r="D245" s="563"/>
      <c r="E245" s="563"/>
      <c r="F245" s="2023" t="s">
        <v>759</v>
      </c>
      <c r="G245" s="549">
        <f>Z245</f>
        <v>110</v>
      </c>
      <c r="H245" s="1445">
        <v>110</v>
      </c>
      <c r="I245" s="551"/>
      <c r="J245" s="557"/>
      <c r="K245" s="2952" t="s">
        <v>1540</v>
      </c>
      <c r="L245" s="2949"/>
      <c r="M245" s="2949"/>
      <c r="N245" s="2949"/>
      <c r="O245" s="2949"/>
      <c r="P245" s="2949"/>
      <c r="Q245" s="2949"/>
      <c r="R245" s="2953"/>
      <c r="S245" s="2953"/>
      <c r="T245" s="2953">
        <v>110000</v>
      </c>
      <c r="U245" s="2953" t="s">
        <v>368</v>
      </c>
      <c r="V245" s="2953"/>
      <c r="W245" s="2953">
        <v>1</v>
      </c>
      <c r="X245" s="2953" t="s">
        <v>226</v>
      </c>
      <c r="Y245" s="2030" t="s">
        <v>370</v>
      </c>
      <c r="Z245" s="554">
        <f t="shared" ref="Z245" si="50">AA245/1000</f>
        <v>110</v>
      </c>
      <c r="AA245" s="2325">
        <f>T245*W245</f>
        <v>110000</v>
      </c>
    </row>
    <row r="246" spans="2:27" ht="24" customHeight="1">
      <c r="B246" s="623"/>
      <c r="C246" s="563"/>
      <c r="D246" s="563"/>
      <c r="E246" s="563"/>
      <c r="F246" s="2023" t="s">
        <v>264</v>
      </c>
      <c r="G246" s="549">
        <f>Z246</f>
        <v>8017</v>
      </c>
      <c r="H246" s="1445">
        <v>8017</v>
      </c>
      <c r="I246" s="551"/>
      <c r="J246" s="557"/>
      <c r="K246" s="2952" t="s">
        <v>224</v>
      </c>
      <c r="L246" s="2949"/>
      <c r="M246" s="2949"/>
      <c r="N246" s="2949"/>
      <c r="O246" s="2949"/>
      <c r="P246" s="2949"/>
      <c r="Q246" s="2949"/>
      <c r="R246" s="2953"/>
      <c r="S246" s="2953"/>
      <c r="T246" s="475"/>
      <c r="U246" s="2953"/>
      <c r="V246" s="2953"/>
      <c r="W246" s="2953"/>
      <c r="X246" s="2953"/>
      <c r="Y246" s="2030"/>
      <c r="Z246" s="554">
        <f t="shared" si="49"/>
        <v>8017</v>
      </c>
      <c r="AA246" s="555">
        <f>+AA247+AA248+AA249</f>
        <v>8017000</v>
      </c>
    </row>
    <row r="247" spans="2:27" ht="24" customHeight="1">
      <c r="B247" s="623"/>
      <c r="C247" s="563"/>
      <c r="D247" s="563"/>
      <c r="E247" s="563"/>
      <c r="F247" s="2023"/>
      <c r="G247" s="549"/>
      <c r="H247" s="1445"/>
      <c r="I247" s="551"/>
      <c r="J247" s="557"/>
      <c r="K247" s="472" t="s">
        <v>1535</v>
      </c>
      <c r="L247" s="2949"/>
      <c r="M247" s="2949"/>
      <c r="N247" s="2949"/>
      <c r="O247" s="2949"/>
      <c r="P247" s="2949"/>
      <c r="Q247" s="2949"/>
      <c r="R247" s="2953"/>
      <c r="S247" s="2953"/>
      <c r="T247" s="475">
        <v>7150000</v>
      </c>
      <c r="U247" s="2953" t="s">
        <v>368</v>
      </c>
      <c r="V247" s="2953"/>
      <c r="W247" s="2953">
        <v>1</v>
      </c>
      <c r="X247" s="2953" t="s">
        <v>226</v>
      </c>
      <c r="Y247" s="2030" t="s">
        <v>370</v>
      </c>
      <c r="Z247" s="554">
        <f t="shared" si="49"/>
        <v>7150</v>
      </c>
      <c r="AA247" s="2325">
        <f t="shared" ref="AA247:AA253" si="51">T247*W247</f>
        <v>7150000</v>
      </c>
    </row>
    <row r="248" spans="2:27" ht="24" customHeight="1">
      <c r="B248" s="623"/>
      <c r="C248" s="563"/>
      <c r="D248" s="563"/>
      <c r="E248" s="563"/>
      <c r="F248" s="2023"/>
      <c r="G248" s="549"/>
      <c r="H248" s="1445"/>
      <c r="I248" s="551"/>
      <c r="J248" s="557"/>
      <c r="K248" s="472" t="s">
        <v>1537</v>
      </c>
      <c r="L248" s="2949"/>
      <c r="M248" s="2949"/>
      <c r="N248" s="2949"/>
      <c r="O248" s="2949"/>
      <c r="P248" s="2949"/>
      <c r="Q248" s="2949"/>
      <c r="R248" s="2953"/>
      <c r="S248" s="2953"/>
      <c r="T248" s="475">
        <v>317000</v>
      </c>
      <c r="U248" s="2953" t="s">
        <v>368</v>
      </c>
      <c r="V248" s="2953"/>
      <c r="W248" s="2953">
        <v>1</v>
      </c>
      <c r="X248" s="2953" t="s">
        <v>226</v>
      </c>
      <c r="Y248" s="2030" t="s">
        <v>370</v>
      </c>
      <c r="Z248" s="554">
        <f t="shared" si="49"/>
        <v>317</v>
      </c>
      <c r="AA248" s="2325">
        <f t="shared" si="51"/>
        <v>317000</v>
      </c>
    </row>
    <row r="249" spans="2:27" ht="24" customHeight="1">
      <c r="B249" s="623"/>
      <c r="C249" s="563"/>
      <c r="D249" s="563"/>
      <c r="E249" s="563"/>
      <c r="F249" s="2023"/>
      <c r="G249" s="549"/>
      <c r="H249" s="1445"/>
      <c r="I249" s="551"/>
      <c r="J249" s="557"/>
      <c r="K249" s="472" t="s">
        <v>1536</v>
      </c>
      <c r="L249" s="2949"/>
      <c r="M249" s="2949"/>
      <c r="N249" s="2949"/>
      <c r="O249" s="2949"/>
      <c r="P249" s="2949"/>
      <c r="Q249" s="2949"/>
      <c r="R249" s="2953"/>
      <c r="S249" s="2953"/>
      <c r="T249" s="475">
        <v>550000</v>
      </c>
      <c r="U249" s="2953" t="s">
        <v>368</v>
      </c>
      <c r="V249" s="2953"/>
      <c r="W249" s="2953">
        <v>1</v>
      </c>
      <c r="X249" s="2953" t="s">
        <v>226</v>
      </c>
      <c r="Y249" s="2030" t="s">
        <v>370</v>
      </c>
      <c r="Z249" s="554">
        <f t="shared" ref="Z249:Z250" si="52">AA249/1000</f>
        <v>550</v>
      </c>
      <c r="AA249" s="2325">
        <f t="shared" si="51"/>
        <v>550000</v>
      </c>
    </row>
    <row r="250" spans="2:27" ht="24" customHeight="1">
      <c r="B250" s="623"/>
      <c r="C250" s="563"/>
      <c r="D250" s="563"/>
      <c r="E250" s="563"/>
      <c r="F250" s="2023" t="s">
        <v>1538</v>
      </c>
      <c r="G250" s="549">
        <f>Z250</f>
        <v>1320</v>
      </c>
      <c r="H250" s="1445">
        <v>1320</v>
      </c>
      <c r="I250" s="551"/>
      <c r="J250" s="557"/>
      <c r="K250" s="2952" t="s">
        <v>1539</v>
      </c>
      <c r="L250" s="2949"/>
      <c r="M250" s="2949"/>
      <c r="N250" s="2949"/>
      <c r="O250" s="2949"/>
      <c r="P250" s="2949"/>
      <c r="Q250" s="2949"/>
      <c r="R250" s="2953"/>
      <c r="S250" s="2953"/>
      <c r="T250" s="2953">
        <v>220000</v>
      </c>
      <c r="U250" s="2953" t="s">
        <v>368</v>
      </c>
      <c r="V250" s="2953"/>
      <c r="W250" s="2953">
        <v>6</v>
      </c>
      <c r="X250" s="2953" t="s">
        <v>230</v>
      </c>
      <c r="Y250" s="2030" t="s">
        <v>370</v>
      </c>
      <c r="Z250" s="554">
        <f t="shared" si="52"/>
        <v>1320</v>
      </c>
      <c r="AA250" s="2325">
        <f t="shared" si="51"/>
        <v>1320000</v>
      </c>
    </row>
    <row r="251" spans="2:27" ht="24" customHeight="1">
      <c r="B251" s="623"/>
      <c r="C251" s="563"/>
      <c r="D251" s="563"/>
      <c r="E251" s="563"/>
      <c r="F251" s="2023" t="s">
        <v>1541</v>
      </c>
      <c r="G251" s="549">
        <f>Z251</f>
        <v>1980</v>
      </c>
      <c r="H251" s="1445">
        <v>1980</v>
      </c>
      <c r="I251" s="551"/>
      <c r="J251" s="557"/>
      <c r="K251" s="2952" t="s">
        <v>1542</v>
      </c>
      <c r="L251" s="2949"/>
      <c r="M251" s="2949"/>
      <c r="N251" s="2949"/>
      <c r="O251" s="2949"/>
      <c r="P251" s="2949"/>
      <c r="Q251" s="2949"/>
      <c r="R251" s="2953"/>
      <c r="S251" s="2953"/>
      <c r="T251" s="2953">
        <v>330000</v>
      </c>
      <c r="U251" s="2953" t="s">
        <v>368</v>
      </c>
      <c r="V251" s="2953"/>
      <c r="W251" s="2953">
        <v>6</v>
      </c>
      <c r="X251" s="2953" t="s">
        <v>230</v>
      </c>
      <c r="Y251" s="2030" t="s">
        <v>370</v>
      </c>
      <c r="Z251" s="554">
        <f t="shared" ref="Z251" si="53">AA251/1000</f>
        <v>1980</v>
      </c>
      <c r="AA251" s="2325">
        <f t="shared" si="51"/>
        <v>1980000</v>
      </c>
    </row>
    <row r="252" spans="2:27" ht="24" customHeight="1">
      <c r="B252" s="623"/>
      <c r="C252" s="563"/>
      <c r="D252" s="563"/>
      <c r="E252" s="563"/>
      <c r="F252" s="2023" t="s">
        <v>1133</v>
      </c>
      <c r="G252" s="549">
        <f>Z252</f>
        <v>13890</v>
      </c>
      <c r="H252" s="1445">
        <v>13890</v>
      </c>
      <c r="I252" s="551"/>
      <c r="J252" s="557"/>
      <c r="K252" s="2952" t="s">
        <v>1543</v>
      </c>
      <c r="L252" s="2949"/>
      <c r="M252" s="2949"/>
      <c r="N252" s="2949"/>
      <c r="O252" s="2949"/>
      <c r="P252" s="2949"/>
      <c r="Q252" s="2949"/>
      <c r="R252" s="2953"/>
      <c r="S252" s="2953"/>
      <c r="T252" s="2953">
        <v>185200</v>
      </c>
      <c r="U252" s="2953" t="s">
        <v>368</v>
      </c>
      <c r="V252" s="2953"/>
      <c r="W252" s="2953">
        <v>75</v>
      </c>
      <c r="X252" s="2953" t="s">
        <v>369</v>
      </c>
      <c r="Y252" s="2030" t="s">
        <v>370</v>
      </c>
      <c r="Z252" s="554">
        <f t="shared" si="49"/>
        <v>13890</v>
      </c>
      <c r="AA252" s="2325">
        <f t="shared" si="51"/>
        <v>13890000</v>
      </c>
    </row>
    <row r="253" spans="2:27" ht="24" customHeight="1">
      <c r="B253" s="623"/>
      <c r="C253" s="563"/>
      <c r="D253" s="563"/>
      <c r="E253" s="563"/>
      <c r="F253" s="2023" t="s">
        <v>571</v>
      </c>
      <c r="G253" s="549">
        <f>Z253</f>
        <v>990</v>
      </c>
      <c r="H253" s="1445">
        <v>990</v>
      </c>
      <c r="I253" s="551"/>
      <c r="J253" s="557"/>
      <c r="K253" s="2952" t="s">
        <v>1544</v>
      </c>
      <c r="L253" s="2949"/>
      <c r="M253" s="2949"/>
      <c r="N253" s="2949"/>
      <c r="O253" s="2949"/>
      <c r="P253" s="2949"/>
      <c r="Q253" s="2949"/>
      <c r="R253" s="2953"/>
      <c r="S253" s="2953"/>
      <c r="T253" s="2953">
        <v>165000</v>
      </c>
      <c r="U253" s="2953" t="s">
        <v>368</v>
      </c>
      <c r="V253" s="2953"/>
      <c r="W253" s="2953">
        <v>6</v>
      </c>
      <c r="X253" s="2953" t="s">
        <v>230</v>
      </c>
      <c r="Y253" s="2030" t="s">
        <v>370</v>
      </c>
      <c r="Z253" s="554">
        <f t="shared" ref="Z253" si="54">AA253/1000</f>
        <v>990</v>
      </c>
      <c r="AA253" s="2325">
        <f t="shared" si="51"/>
        <v>990000</v>
      </c>
    </row>
    <row r="254" spans="2:27" ht="22.5" customHeight="1">
      <c r="B254" s="623"/>
      <c r="C254" s="563"/>
      <c r="D254" s="563"/>
      <c r="E254" s="563"/>
      <c r="F254" s="2023" t="s">
        <v>380</v>
      </c>
      <c r="G254" s="549">
        <f>Z254</f>
        <v>38123</v>
      </c>
      <c r="H254" s="1445">
        <v>38123</v>
      </c>
      <c r="I254" s="551"/>
      <c r="J254" s="557"/>
      <c r="K254" s="2952" t="s">
        <v>224</v>
      </c>
      <c r="L254" s="2949"/>
      <c r="M254" s="2949"/>
      <c r="N254" s="2949"/>
      <c r="O254" s="2949"/>
      <c r="P254" s="2949"/>
      <c r="Q254" s="2949"/>
      <c r="R254" s="2949"/>
      <c r="S254" s="552"/>
      <c r="T254" s="474"/>
      <c r="U254" s="2953"/>
      <c r="V254" s="2953"/>
      <c r="W254" s="2953"/>
      <c r="X254" s="2953"/>
      <c r="Y254" s="2030" t="s">
        <v>378</v>
      </c>
      <c r="Z254" s="554">
        <f t="shared" si="49"/>
        <v>38123</v>
      </c>
      <c r="AA254" s="555">
        <f>+AA255+AA256</f>
        <v>38123000</v>
      </c>
    </row>
    <row r="255" spans="2:27" ht="22.5" customHeight="1">
      <c r="B255" s="623"/>
      <c r="C255" s="563"/>
      <c r="D255" s="563"/>
      <c r="E255" s="563"/>
      <c r="F255" s="2023"/>
      <c r="G255" s="549"/>
      <c r="H255" s="1445"/>
      <c r="I255" s="551"/>
      <c r="J255" s="557"/>
      <c r="K255" s="472" t="s">
        <v>1545</v>
      </c>
      <c r="L255" s="2949"/>
      <c r="M255" s="2949"/>
      <c r="N255" s="2949"/>
      <c r="O255" s="2949"/>
      <c r="P255" s="2949"/>
      <c r="Q255" s="2949"/>
      <c r="R255" s="2953"/>
      <c r="S255" s="2953"/>
      <c r="T255" s="475">
        <v>36143000</v>
      </c>
      <c r="U255" s="2953" t="s">
        <v>368</v>
      </c>
      <c r="V255" s="2953"/>
      <c r="W255" s="2953">
        <v>1</v>
      </c>
      <c r="X255" s="2953" t="s">
        <v>579</v>
      </c>
      <c r="Y255" s="2030" t="s">
        <v>370</v>
      </c>
      <c r="Z255" s="554">
        <f t="shared" si="49"/>
        <v>36143</v>
      </c>
      <c r="AA255" s="2325">
        <f>T255*W255</f>
        <v>36143000</v>
      </c>
    </row>
    <row r="256" spans="2:27" ht="22.5" customHeight="1">
      <c r="B256" s="623"/>
      <c r="C256" s="563"/>
      <c r="D256" s="563"/>
      <c r="E256" s="563"/>
      <c r="F256" s="2023"/>
      <c r="G256" s="549"/>
      <c r="H256" s="1445"/>
      <c r="I256" s="551"/>
      <c r="J256" s="557"/>
      <c r="K256" s="472" t="s">
        <v>1546</v>
      </c>
      <c r="L256" s="2949"/>
      <c r="M256" s="2949"/>
      <c r="N256" s="2949"/>
      <c r="O256" s="2949"/>
      <c r="P256" s="2949"/>
      <c r="Q256" s="2949"/>
      <c r="R256" s="2953">
        <v>3</v>
      </c>
      <c r="S256" s="2953" t="s">
        <v>36</v>
      </c>
      <c r="T256" s="475">
        <v>330000</v>
      </c>
      <c r="U256" s="2953" t="s">
        <v>368</v>
      </c>
      <c r="V256" s="2953"/>
      <c r="W256" s="2953">
        <v>2</v>
      </c>
      <c r="X256" s="2953" t="s">
        <v>233</v>
      </c>
      <c r="Y256" s="2030" t="s">
        <v>370</v>
      </c>
      <c r="Z256" s="554">
        <f t="shared" si="49"/>
        <v>1980</v>
      </c>
      <c r="AA256" s="2325">
        <f>T256*R256*W256</f>
        <v>1980000</v>
      </c>
    </row>
    <row r="257" spans="1:30" ht="22.5" customHeight="1">
      <c r="B257" s="623"/>
      <c r="C257" s="563"/>
      <c r="D257" s="563"/>
      <c r="E257" s="563"/>
      <c r="F257" s="2023" t="s">
        <v>431</v>
      </c>
      <c r="G257" s="593">
        <f>Z257</f>
        <v>160327</v>
      </c>
      <c r="H257" s="1445">
        <v>160327</v>
      </c>
      <c r="I257" s="551"/>
      <c r="J257" s="557"/>
      <c r="K257" s="2952" t="s">
        <v>1547</v>
      </c>
      <c r="L257" s="2949"/>
      <c r="M257" s="2949"/>
      <c r="N257" s="2949"/>
      <c r="O257" s="2949"/>
      <c r="P257" s="2949"/>
      <c r="Q257" s="2949"/>
      <c r="R257" s="2949"/>
      <c r="S257" s="552"/>
      <c r="T257" s="474"/>
      <c r="U257" s="2953"/>
      <c r="V257" s="2953"/>
      <c r="W257" s="2953"/>
      <c r="X257" s="2953"/>
      <c r="Y257" s="2030" t="s">
        <v>1548</v>
      </c>
      <c r="Z257" s="554">
        <f t="shared" si="49"/>
        <v>160327</v>
      </c>
      <c r="AA257" s="555">
        <f>+AA258+AA260+AA259+AA261</f>
        <v>160327000</v>
      </c>
    </row>
    <row r="258" spans="1:30" ht="22.5" customHeight="1">
      <c r="B258" s="623"/>
      <c r="C258" s="563"/>
      <c r="D258" s="563"/>
      <c r="E258" s="563"/>
      <c r="F258" s="2023"/>
      <c r="G258" s="593"/>
      <c r="H258" s="1445"/>
      <c r="I258" s="551"/>
      <c r="J258" s="557"/>
      <c r="K258" s="472" t="s">
        <v>1549</v>
      </c>
      <c r="L258" s="2949"/>
      <c r="M258" s="2949"/>
      <c r="N258" s="2949"/>
      <c r="O258" s="2949"/>
      <c r="P258" s="2949"/>
      <c r="Q258" s="2949"/>
      <c r="R258" s="2953"/>
      <c r="S258" s="2953"/>
      <c r="T258" s="475">
        <v>122000000</v>
      </c>
      <c r="U258" s="2953" t="s">
        <v>1550</v>
      </c>
      <c r="V258" s="2953"/>
      <c r="W258" s="2953">
        <v>1</v>
      </c>
      <c r="X258" s="2953" t="s">
        <v>1551</v>
      </c>
      <c r="Y258" s="2030" t="s">
        <v>1552</v>
      </c>
      <c r="Z258" s="554">
        <f t="shared" si="49"/>
        <v>122000</v>
      </c>
      <c r="AA258" s="2325">
        <f>T258*W258</f>
        <v>122000000</v>
      </c>
    </row>
    <row r="259" spans="1:30" ht="22.5" customHeight="1">
      <c r="B259" s="623"/>
      <c r="C259" s="563"/>
      <c r="D259" s="563"/>
      <c r="E259" s="563"/>
      <c r="F259" s="2023"/>
      <c r="G259" s="593"/>
      <c r="H259" s="1445"/>
      <c r="I259" s="551"/>
      <c r="J259" s="557"/>
      <c r="K259" s="472" t="s">
        <v>1553</v>
      </c>
      <c r="L259" s="2949"/>
      <c r="M259" s="2949"/>
      <c r="N259" s="2949"/>
      <c r="O259" s="2949"/>
      <c r="P259" s="2949"/>
      <c r="Q259" s="2949"/>
      <c r="R259" s="2953"/>
      <c r="S259" s="2953"/>
      <c r="T259" s="475">
        <v>1327000</v>
      </c>
      <c r="U259" s="2953" t="s">
        <v>1550</v>
      </c>
      <c r="V259" s="2953"/>
      <c r="W259" s="2953">
        <v>1</v>
      </c>
      <c r="X259" s="2953" t="s">
        <v>1551</v>
      </c>
      <c r="Y259" s="2030" t="s">
        <v>1552</v>
      </c>
      <c r="Z259" s="554">
        <f t="shared" si="49"/>
        <v>1327</v>
      </c>
      <c r="AA259" s="2325">
        <f>T259*W259</f>
        <v>1327000</v>
      </c>
    </row>
    <row r="260" spans="1:30" ht="22.5" customHeight="1">
      <c r="B260" s="623"/>
      <c r="C260" s="563"/>
      <c r="D260" s="563"/>
      <c r="E260" s="563"/>
      <c r="F260" s="2023"/>
      <c r="G260" s="593"/>
      <c r="H260" s="1445"/>
      <c r="I260" s="551"/>
      <c r="J260" s="557"/>
      <c r="K260" s="472" t="s">
        <v>1711</v>
      </c>
      <c r="L260" s="2949"/>
      <c r="M260" s="2949"/>
      <c r="N260" s="2949"/>
      <c r="O260" s="2949"/>
      <c r="P260" s="2949"/>
      <c r="Q260" s="2949"/>
      <c r="R260" s="2953"/>
      <c r="S260" s="2953"/>
      <c r="T260" s="475">
        <v>29000000</v>
      </c>
      <c r="U260" s="2953" t="s">
        <v>1550</v>
      </c>
      <c r="V260" s="2953"/>
      <c r="W260" s="2953">
        <v>1</v>
      </c>
      <c r="X260" s="2953" t="s">
        <v>1551</v>
      </c>
      <c r="Y260" s="2030" t="s">
        <v>1552</v>
      </c>
      <c r="Z260" s="554">
        <f t="shared" si="49"/>
        <v>29000</v>
      </c>
      <c r="AA260" s="2325">
        <f>T260*W260</f>
        <v>29000000</v>
      </c>
    </row>
    <row r="261" spans="1:30" ht="22.5" customHeight="1">
      <c r="B261" s="623"/>
      <c r="C261" s="563"/>
      <c r="D261" s="563"/>
      <c r="E261" s="563"/>
      <c r="F261" s="2023"/>
      <c r="G261" s="593"/>
      <c r="H261" s="1445"/>
      <c r="I261" s="551"/>
      <c r="J261" s="557"/>
      <c r="K261" s="472" t="s">
        <v>1555</v>
      </c>
      <c r="L261" s="2949"/>
      <c r="M261" s="2949"/>
      <c r="N261" s="2949"/>
      <c r="O261" s="2949"/>
      <c r="P261" s="2949"/>
      <c r="Q261" s="2949"/>
      <c r="R261" s="2953"/>
      <c r="S261" s="2953"/>
      <c r="T261" s="475">
        <v>8000000</v>
      </c>
      <c r="U261" s="2953" t="s">
        <v>1550</v>
      </c>
      <c r="V261" s="2953"/>
      <c r="W261" s="2953">
        <v>1</v>
      </c>
      <c r="X261" s="2953" t="s">
        <v>1551</v>
      </c>
      <c r="Y261" s="2030" t="s">
        <v>1552</v>
      </c>
      <c r="Z261" s="554">
        <f t="shared" ref="Z261:Z264" si="55">AA261/1000</f>
        <v>8000</v>
      </c>
      <c r="AA261" s="2325">
        <f>T261*W261</f>
        <v>8000000</v>
      </c>
    </row>
    <row r="262" spans="1:30" ht="22.5" customHeight="1">
      <c r="B262" s="562"/>
      <c r="C262" s="563"/>
      <c r="D262" s="473"/>
      <c r="E262" s="2020"/>
      <c r="F262" s="532" t="s">
        <v>262</v>
      </c>
      <c r="G262" s="549">
        <f>Z262</f>
        <v>23320</v>
      </c>
      <c r="H262" s="1445">
        <v>23320</v>
      </c>
      <c r="I262" s="551"/>
      <c r="J262" s="557"/>
      <c r="K262" s="2952" t="s">
        <v>224</v>
      </c>
      <c r="L262" s="2949"/>
      <c r="M262" s="2949"/>
      <c r="N262" s="2949"/>
      <c r="O262" s="2949"/>
      <c r="P262" s="2949"/>
      <c r="Q262" s="2949"/>
      <c r="R262" s="2949"/>
      <c r="S262" s="552"/>
      <c r="T262" s="474"/>
      <c r="U262" s="2953"/>
      <c r="V262" s="2953"/>
      <c r="W262" s="2953"/>
      <c r="X262" s="2953"/>
      <c r="Y262" s="2030" t="s">
        <v>378</v>
      </c>
      <c r="Z262" s="554">
        <f t="shared" si="55"/>
        <v>23320</v>
      </c>
      <c r="AA262" s="555">
        <f>+AA263+AA264+AA265+AA266+AA267</f>
        <v>23320000</v>
      </c>
      <c r="AB262" s="423"/>
      <c r="AC262" s="423"/>
    </row>
    <row r="263" spans="1:30" ht="22.5" customHeight="1">
      <c r="B263" s="562"/>
      <c r="C263" s="563"/>
      <c r="D263" s="473"/>
      <c r="E263" s="2020"/>
      <c r="F263" s="532"/>
      <c r="G263" s="549"/>
      <c r="H263" s="1445"/>
      <c r="I263" s="551"/>
      <c r="J263" s="557"/>
      <c r="K263" s="472" t="s">
        <v>1556</v>
      </c>
      <c r="L263" s="2949"/>
      <c r="M263" s="2949"/>
      <c r="N263" s="2949"/>
      <c r="O263" s="2949"/>
      <c r="P263" s="2949"/>
      <c r="Q263" s="2949"/>
      <c r="R263" s="2953"/>
      <c r="S263" s="2953"/>
      <c r="T263" s="475">
        <v>550000</v>
      </c>
      <c r="U263" s="2953" t="s">
        <v>368</v>
      </c>
      <c r="V263" s="2953"/>
      <c r="W263" s="2953">
        <v>2</v>
      </c>
      <c r="X263" s="2953" t="s">
        <v>579</v>
      </c>
      <c r="Y263" s="2030" t="s">
        <v>370</v>
      </c>
      <c r="Z263" s="554">
        <f t="shared" si="55"/>
        <v>1100</v>
      </c>
      <c r="AA263" s="2325">
        <f t="shared" ref="AA263:AA269" si="56">T263*W263</f>
        <v>1100000</v>
      </c>
      <c r="AB263" s="423"/>
      <c r="AC263" s="423"/>
    </row>
    <row r="264" spans="1:30" ht="22.5" customHeight="1">
      <c r="B264" s="562"/>
      <c r="C264" s="563"/>
      <c r="D264" s="473"/>
      <c r="E264" s="2020"/>
      <c r="F264" s="2023"/>
      <c r="G264" s="549"/>
      <c r="H264" s="1445"/>
      <c r="I264" s="551"/>
      <c r="J264" s="557"/>
      <c r="K264" s="472" t="s">
        <v>1557</v>
      </c>
      <c r="L264" s="2949"/>
      <c r="M264" s="2949"/>
      <c r="N264" s="2949"/>
      <c r="O264" s="2949"/>
      <c r="P264" s="2949"/>
      <c r="Q264" s="2949"/>
      <c r="R264" s="2953"/>
      <c r="S264" s="2953"/>
      <c r="T264" s="475">
        <v>400000</v>
      </c>
      <c r="U264" s="2953" t="s">
        <v>368</v>
      </c>
      <c r="V264" s="2953"/>
      <c r="W264" s="2953">
        <v>35</v>
      </c>
      <c r="X264" s="2953" t="s">
        <v>653</v>
      </c>
      <c r="Y264" s="2030" t="s">
        <v>370</v>
      </c>
      <c r="Z264" s="554">
        <f t="shared" si="55"/>
        <v>14000</v>
      </c>
      <c r="AA264" s="2325">
        <f t="shared" si="56"/>
        <v>14000000</v>
      </c>
      <c r="AB264" s="423"/>
      <c r="AC264" s="423"/>
    </row>
    <row r="265" spans="1:30" ht="22.5" customHeight="1">
      <c r="B265" s="623"/>
      <c r="C265" s="563"/>
      <c r="D265" s="473"/>
      <c r="E265" s="2020"/>
      <c r="F265" s="2023"/>
      <c r="G265" s="549"/>
      <c r="H265" s="1445"/>
      <c r="I265" s="551"/>
      <c r="J265" s="557"/>
      <c r="K265" s="472" t="s">
        <v>1558</v>
      </c>
      <c r="L265" s="2949"/>
      <c r="M265" s="2949"/>
      <c r="N265" s="2949"/>
      <c r="O265" s="2949"/>
      <c r="P265" s="2949"/>
      <c r="Q265" s="2949"/>
      <c r="R265" s="2953"/>
      <c r="S265" s="2953"/>
      <c r="T265" s="475">
        <v>360000</v>
      </c>
      <c r="U265" s="2953" t="s">
        <v>368</v>
      </c>
      <c r="V265" s="2953"/>
      <c r="W265" s="2953">
        <v>6</v>
      </c>
      <c r="X265" s="2953" t="s">
        <v>488</v>
      </c>
      <c r="Y265" s="2030" t="s">
        <v>370</v>
      </c>
      <c r="Z265" s="554">
        <f t="shared" ref="Z265" si="57">AA265/1000</f>
        <v>2160</v>
      </c>
      <c r="AA265" s="2325">
        <f t="shared" si="56"/>
        <v>2160000</v>
      </c>
      <c r="AB265" s="423"/>
      <c r="AC265" s="423"/>
    </row>
    <row r="266" spans="1:30" ht="22.5" customHeight="1">
      <c r="B266" s="562"/>
      <c r="C266" s="563"/>
      <c r="D266" s="473"/>
      <c r="E266" s="2020"/>
      <c r="F266" s="2023"/>
      <c r="G266" s="549"/>
      <c r="H266" s="1445"/>
      <c r="I266" s="551"/>
      <c r="J266" s="557"/>
      <c r="K266" s="472" t="s">
        <v>1559</v>
      </c>
      <c r="L266" s="2949"/>
      <c r="M266" s="2949"/>
      <c r="N266" s="2949"/>
      <c r="O266" s="2949"/>
      <c r="P266" s="2949"/>
      <c r="Q266" s="2949"/>
      <c r="R266" s="2953"/>
      <c r="S266" s="2953"/>
      <c r="T266" s="475">
        <v>900000</v>
      </c>
      <c r="U266" s="2953" t="s">
        <v>368</v>
      </c>
      <c r="V266" s="2953"/>
      <c r="W266" s="2953">
        <v>6</v>
      </c>
      <c r="X266" s="2953" t="s">
        <v>488</v>
      </c>
      <c r="Y266" s="2030" t="s">
        <v>370</v>
      </c>
      <c r="Z266" s="554">
        <f t="shared" ref="Z266" si="58">AA266/1000</f>
        <v>5400</v>
      </c>
      <c r="AA266" s="2325">
        <f t="shared" si="56"/>
        <v>5400000</v>
      </c>
      <c r="AB266" s="423"/>
      <c r="AC266" s="423"/>
    </row>
    <row r="267" spans="1:30" ht="22.5" customHeight="1">
      <c r="B267" s="562"/>
      <c r="C267" s="563"/>
      <c r="D267" s="473"/>
      <c r="E267" s="2020"/>
      <c r="F267" s="2023"/>
      <c r="G267" s="549"/>
      <c r="H267" s="1445"/>
      <c r="I267" s="551"/>
      <c r="J267" s="557"/>
      <c r="K267" s="472" t="s">
        <v>1560</v>
      </c>
      <c r="L267" s="2949"/>
      <c r="M267" s="2949"/>
      <c r="N267" s="2949"/>
      <c r="O267" s="2949"/>
      <c r="P267" s="2949"/>
      <c r="Q267" s="2949"/>
      <c r="R267" s="2953"/>
      <c r="S267" s="2953"/>
      <c r="T267" s="475">
        <v>110000</v>
      </c>
      <c r="U267" s="2953" t="s">
        <v>368</v>
      </c>
      <c r="V267" s="2953"/>
      <c r="W267" s="2953">
        <v>6</v>
      </c>
      <c r="X267" s="2953" t="s">
        <v>488</v>
      </c>
      <c r="Y267" s="2030" t="s">
        <v>370</v>
      </c>
      <c r="Z267" s="554">
        <f t="shared" ref="Z267" si="59">AA267/1000</f>
        <v>660</v>
      </c>
      <c r="AA267" s="2325">
        <f t="shared" si="56"/>
        <v>660000</v>
      </c>
      <c r="AB267" s="423"/>
      <c r="AC267" s="423"/>
    </row>
    <row r="268" spans="1:30" ht="22.5" customHeight="1">
      <c r="B268" s="562"/>
      <c r="C268" s="563"/>
      <c r="D268" s="563"/>
      <c r="E268" s="563"/>
      <c r="F268" s="2023" t="s">
        <v>551</v>
      </c>
      <c r="G268" s="549">
        <f>Z268</f>
        <v>660</v>
      </c>
      <c r="H268" s="1445">
        <v>660</v>
      </c>
      <c r="I268" s="551"/>
      <c r="J268" s="557"/>
      <c r="K268" s="2952" t="s">
        <v>1561</v>
      </c>
      <c r="L268" s="2949"/>
      <c r="M268" s="2949"/>
      <c r="N268" s="2949"/>
      <c r="O268" s="2949"/>
      <c r="P268" s="2949"/>
      <c r="Q268" s="2949"/>
      <c r="R268" s="2953"/>
      <c r="S268" s="2953"/>
      <c r="T268" s="475">
        <v>110000</v>
      </c>
      <c r="U268" s="2953" t="s">
        <v>368</v>
      </c>
      <c r="V268" s="2953"/>
      <c r="W268" s="2953">
        <v>6</v>
      </c>
      <c r="X268" s="2953" t="s">
        <v>230</v>
      </c>
      <c r="Y268" s="2030" t="s">
        <v>370</v>
      </c>
      <c r="Z268" s="554">
        <f>AA268/1000</f>
        <v>660</v>
      </c>
      <c r="AA268" s="2325">
        <f t="shared" si="56"/>
        <v>660000</v>
      </c>
    </row>
    <row r="269" spans="1:30" ht="22.5" customHeight="1">
      <c r="B269" s="562"/>
      <c r="C269" s="563"/>
      <c r="D269" s="563"/>
      <c r="E269" s="563"/>
      <c r="F269" s="2023" t="s">
        <v>242</v>
      </c>
      <c r="G269" s="549">
        <f>Z269</f>
        <v>1100</v>
      </c>
      <c r="H269" s="1445">
        <v>1100</v>
      </c>
      <c r="I269" s="551"/>
      <c r="J269" s="557"/>
      <c r="K269" s="2952" t="s">
        <v>1314</v>
      </c>
      <c r="L269" s="2949"/>
      <c r="M269" s="2949"/>
      <c r="N269" s="2949"/>
      <c r="O269" s="2949"/>
      <c r="P269" s="2949"/>
      <c r="Q269" s="2949"/>
      <c r="R269" s="2953"/>
      <c r="S269" s="2953"/>
      <c r="T269" s="2953">
        <v>550000</v>
      </c>
      <c r="U269" s="2953" t="s">
        <v>368</v>
      </c>
      <c r="V269" s="2953"/>
      <c r="W269" s="2953">
        <v>2</v>
      </c>
      <c r="X269" s="2953" t="s">
        <v>369</v>
      </c>
      <c r="Y269" s="2030" t="s">
        <v>370</v>
      </c>
      <c r="Z269" s="554">
        <f t="shared" ref="Z269" si="60">AA269/1000</f>
        <v>1100</v>
      </c>
      <c r="AA269" s="2325">
        <f t="shared" si="56"/>
        <v>1100000</v>
      </c>
    </row>
    <row r="270" spans="1:30" s="1682" customFormat="1" ht="22.5" customHeight="1">
      <c r="A270" s="456"/>
      <c r="B270" s="540"/>
      <c r="C270" s="1251" t="s">
        <v>1359</v>
      </c>
      <c r="D270" s="1386"/>
      <c r="E270" s="621"/>
      <c r="F270" s="2710"/>
      <c r="G270" s="598">
        <f>+G271</f>
        <v>171429</v>
      </c>
      <c r="H270" s="955">
        <f>+H271</f>
        <v>171429</v>
      </c>
      <c r="I270" s="627">
        <f t="shared" ref="I270" si="61">G270-H270</f>
        <v>0</v>
      </c>
      <c r="J270" s="557"/>
      <c r="K270" s="538"/>
      <c r="L270" s="2934"/>
      <c r="M270" s="2934"/>
      <c r="N270" s="2934"/>
      <c r="O270" s="2934"/>
      <c r="P270" s="2934"/>
      <c r="Q270" s="2934"/>
      <c r="R270" s="2934"/>
      <c r="S270" s="2934"/>
      <c r="T270" s="2934"/>
      <c r="U270" s="2934"/>
      <c r="V270" s="2934"/>
      <c r="W270" s="2934"/>
      <c r="X270" s="2934"/>
      <c r="Y270" s="585"/>
      <c r="Z270" s="599"/>
      <c r="AA270" s="595"/>
      <c r="AB270" s="423"/>
      <c r="AC270" s="423"/>
    </row>
    <row r="271" spans="1:30" s="815" customFormat="1" ht="22.5" customHeight="1">
      <c r="A271" s="456" t="s">
        <v>1279</v>
      </c>
      <c r="B271" s="562"/>
      <c r="C271" s="563"/>
      <c r="D271" s="4099" t="s">
        <v>1359</v>
      </c>
      <c r="E271" s="4099"/>
      <c r="F271" s="3839"/>
      <c r="G271" s="826">
        <f>+G272</f>
        <v>171429</v>
      </c>
      <c r="H271" s="2491">
        <f>+H272</f>
        <v>171429</v>
      </c>
      <c r="I271" s="2450">
        <f>G271-H271</f>
        <v>0</v>
      </c>
      <c r="J271" s="557"/>
      <c r="K271" s="2025"/>
      <c r="L271" s="2934"/>
      <c r="M271" s="2934"/>
      <c r="N271" s="2934"/>
      <c r="O271" s="2934"/>
      <c r="P271" s="2934"/>
      <c r="Q271" s="2934"/>
      <c r="R271" s="621"/>
      <c r="S271" s="539"/>
      <c r="T271" s="545"/>
      <c r="U271" s="2026"/>
      <c r="V271" s="2026"/>
      <c r="W271" s="2026"/>
      <c r="X271" s="2026"/>
      <c r="Y271" s="2028"/>
      <c r="Z271" s="586"/>
      <c r="AA271" s="622"/>
      <c r="AB271" s="423"/>
      <c r="AC271" s="423"/>
      <c r="AD271" s="304"/>
    </row>
    <row r="272" spans="1:30" s="815" customFormat="1" ht="22.5" customHeight="1">
      <c r="A272" s="837"/>
      <c r="B272" s="562"/>
      <c r="C272" s="563"/>
      <c r="D272" s="473"/>
      <c r="E272" s="3825" t="s">
        <v>1360</v>
      </c>
      <c r="F272" s="3826"/>
      <c r="G272" s="598">
        <f>SUM(G273:G302)</f>
        <v>171429</v>
      </c>
      <c r="H272" s="598">
        <f>SUM(H273:H302)</f>
        <v>171429</v>
      </c>
      <c r="I272" s="620">
        <f>G272-H272</f>
        <v>0</v>
      </c>
      <c r="J272" s="557"/>
      <c r="K272" s="2025"/>
      <c r="L272" s="2934"/>
      <c r="M272" s="2934"/>
      <c r="N272" s="2934"/>
      <c r="O272" s="2934"/>
      <c r="P272" s="2934"/>
      <c r="Q272" s="2934"/>
      <c r="R272" s="2934"/>
      <c r="S272" s="539"/>
      <c r="T272" s="2026"/>
      <c r="U272" s="2026"/>
      <c r="V272" s="2026"/>
      <c r="W272" s="2026"/>
      <c r="X272" s="2026"/>
      <c r="Y272" s="2028"/>
      <c r="Z272" s="586"/>
      <c r="AA272" s="622"/>
      <c r="AB272" s="423"/>
      <c r="AC272" s="423"/>
      <c r="AD272" s="304"/>
    </row>
    <row r="273" spans="2:27" ht="22.5" customHeight="1">
      <c r="B273" s="623"/>
      <c r="C273" s="563"/>
      <c r="D273" s="563"/>
      <c r="E273" s="563"/>
      <c r="F273" s="2023" t="s">
        <v>65</v>
      </c>
      <c r="G273" s="549">
        <f>Z273</f>
        <v>26258</v>
      </c>
      <c r="H273" s="1445">
        <v>26258</v>
      </c>
      <c r="I273" s="551"/>
      <c r="J273" s="557"/>
      <c r="K273" s="2952" t="s">
        <v>465</v>
      </c>
      <c r="L273" s="2949"/>
      <c r="M273" s="2949"/>
      <c r="N273" s="2949"/>
      <c r="O273" s="2949"/>
      <c r="P273" s="2949"/>
      <c r="Q273" s="2949"/>
      <c r="R273" s="2953"/>
      <c r="S273" s="2953"/>
      <c r="T273" s="475"/>
      <c r="U273" s="2953"/>
      <c r="V273" s="2953"/>
      <c r="W273" s="2953"/>
      <c r="X273" s="2953"/>
      <c r="Y273" s="2030"/>
      <c r="Z273" s="554">
        <f t="shared" ref="Z273:Z275" si="62">AA273/1000</f>
        <v>26258</v>
      </c>
      <c r="AA273" s="555">
        <f>+AA274+AA275</f>
        <v>26258000</v>
      </c>
    </row>
    <row r="274" spans="2:27" ht="22.5" customHeight="1">
      <c r="B274" s="623"/>
      <c r="C274" s="563"/>
      <c r="D274" s="563"/>
      <c r="E274" s="563"/>
      <c r="F274" s="2023"/>
      <c r="G274" s="549"/>
      <c r="H274" s="1445"/>
      <c r="I274" s="551"/>
      <c r="J274" s="557"/>
      <c r="K274" s="472" t="s">
        <v>1531</v>
      </c>
      <c r="L274" s="2949"/>
      <c r="M274" s="2949"/>
      <c r="N274" s="2949"/>
      <c r="O274" s="2949"/>
      <c r="P274" s="2949"/>
      <c r="Q274" s="2949"/>
      <c r="R274" s="2953">
        <v>2</v>
      </c>
      <c r="S274" s="2953" t="s">
        <v>36</v>
      </c>
      <c r="T274" s="475">
        <v>153500</v>
      </c>
      <c r="U274" s="2953" t="s">
        <v>368</v>
      </c>
      <c r="V274" s="2953"/>
      <c r="W274" s="2953">
        <v>54</v>
      </c>
      <c r="X274" s="2953" t="s">
        <v>413</v>
      </c>
      <c r="Y274" s="2030" t="s">
        <v>370</v>
      </c>
      <c r="Z274" s="554">
        <f t="shared" si="62"/>
        <v>16578</v>
      </c>
      <c r="AA274" s="2325">
        <f>R274*T274*W274</f>
        <v>16578000</v>
      </c>
    </row>
    <row r="275" spans="2:27" ht="22.5" customHeight="1">
      <c r="B275" s="623"/>
      <c r="C275" s="563"/>
      <c r="D275" s="563"/>
      <c r="E275" s="563"/>
      <c r="F275" s="2023"/>
      <c r="G275" s="549"/>
      <c r="H275" s="1445"/>
      <c r="I275" s="551"/>
      <c r="J275" s="557"/>
      <c r="K275" s="472" t="s">
        <v>1532</v>
      </c>
      <c r="L275" s="2949"/>
      <c r="M275" s="2949"/>
      <c r="N275" s="2949"/>
      <c r="O275" s="2949"/>
      <c r="P275" s="2949"/>
      <c r="Q275" s="2949"/>
      <c r="R275" s="2953">
        <v>2</v>
      </c>
      <c r="S275" s="2953" t="s">
        <v>36</v>
      </c>
      <c r="T275" s="475">
        <v>121000</v>
      </c>
      <c r="U275" s="2953" t="s">
        <v>368</v>
      </c>
      <c r="V275" s="2953"/>
      <c r="W275" s="2953">
        <v>40</v>
      </c>
      <c r="X275" s="2953" t="s">
        <v>413</v>
      </c>
      <c r="Y275" s="2030" t="s">
        <v>370</v>
      </c>
      <c r="Z275" s="554">
        <f t="shared" si="62"/>
        <v>9680</v>
      </c>
      <c r="AA275" s="2325">
        <f>R275*T275*W275</f>
        <v>9680000</v>
      </c>
    </row>
    <row r="276" spans="2:27" ht="22.5" customHeight="1">
      <c r="B276" s="623"/>
      <c r="C276" s="563"/>
      <c r="D276" s="563"/>
      <c r="E276" s="563"/>
      <c r="F276" s="2023" t="s">
        <v>229</v>
      </c>
      <c r="G276" s="549">
        <f>Z276</f>
        <v>15730</v>
      </c>
      <c r="H276" s="1445">
        <v>15730</v>
      </c>
      <c r="I276" s="551"/>
      <c r="J276" s="557"/>
      <c r="K276" s="2952" t="s">
        <v>224</v>
      </c>
      <c r="L276" s="2949"/>
      <c r="M276" s="2949"/>
      <c r="N276" s="2949"/>
      <c r="O276" s="2949"/>
      <c r="P276" s="2949"/>
      <c r="Q276" s="2949"/>
      <c r="R276" s="2949"/>
      <c r="S276" s="552"/>
      <c r="T276" s="474"/>
      <c r="U276" s="2953"/>
      <c r="V276" s="2953"/>
      <c r="W276" s="2953"/>
      <c r="X276" s="2953"/>
      <c r="Y276" s="2030" t="s">
        <v>378</v>
      </c>
      <c r="Z276" s="554">
        <f>+AA276/1000</f>
        <v>15730</v>
      </c>
      <c r="AA276" s="555">
        <f>+AA277+AA278</f>
        <v>15730000</v>
      </c>
    </row>
    <row r="277" spans="2:27" ht="22.5" customHeight="1">
      <c r="B277" s="623"/>
      <c r="C277" s="563"/>
      <c r="D277" s="563"/>
      <c r="E277" s="563"/>
      <c r="F277" s="2023"/>
      <c r="G277" s="549"/>
      <c r="H277" s="1445"/>
      <c r="I277" s="551"/>
      <c r="J277" s="557"/>
      <c r="K277" s="472" t="s">
        <v>1533</v>
      </c>
      <c r="L277" s="2949"/>
      <c r="M277" s="2949"/>
      <c r="N277" s="2949"/>
      <c r="O277" s="2949"/>
      <c r="P277" s="2949"/>
      <c r="Q277" s="2949"/>
      <c r="R277" s="2953"/>
      <c r="S277" s="2953"/>
      <c r="T277" s="475">
        <v>1430000</v>
      </c>
      <c r="U277" s="2953" t="s">
        <v>368</v>
      </c>
      <c r="V277" s="2953"/>
      <c r="W277" s="2953">
        <v>1</v>
      </c>
      <c r="X277" s="2953" t="s">
        <v>226</v>
      </c>
      <c r="Y277" s="2030" t="s">
        <v>370</v>
      </c>
      <c r="Z277" s="554">
        <f t="shared" ref="Z277:Z300" si="63">AA277/1000</f>
        <v>1430</v>
      </c>
      <c r="AA277" s="2325">
        <f>T277*W277</f>
        <v>1430000</v>
      </c>
    </row>
    <row r="278" spans="2:27" ht="22.5" customHeight="1">
      <c r="B278" s="623"/>
      <c r="C278" s="563"/>
      <c r="D278" s="563"/>
      <c r="E278" s="563"/>
      <c r="F278" s="2023"/>
      <c r="G278" s="549"/>
      <c r="H278" s="1445"/>
      <c r="I278" s="551"/>
      <c r="J278" s="557"/>
      <c r="K278" s="472" t="s">
        <v>1534</v>
      </c>
      <c r="L278" s="2949"/>
      <c r="M278" s="2949"/>
      <c r="N278" s="2949"/>
      <c r="O278" s="2949"/>
      <c r="P278" s="2949"/>
      <c r="Q278" s="2949"/>
      <c r="R278" s="2953"/>
      <c r="S278" s="2953"/>
      <c r="T278" s="475">
        <v>14300000</v>
      </c>
      <c r="U278" s="2953" t="s">
        <v>368</v>
      </c>
      <c r="V278" s="2953"/>
      <c r="W278" s="2953">
        <v>1</v>
      </c>
      <c r="X278" s="2953" t="s">
        <v>579</v>
      </c>
      <c r="Y278" s="2030" t="s">
        <v>370</v>
      </c>
      <c r="Z278" s="554">
        <f t="shared" si="63"/>
        <v>14300</v>
      </c>
      <c r="AA278" s="2325">
        <f>T278*W278</f>
        <v>14300000</v>
      </c>
    </row>
    <row r="279" spans="2:27" ht="22.5" customHeight="1">
      <c r="B279" s="623"/>
      <c r="C279" s="563"/>
      <c r="D279" s="563"/>
      <c r="E279" s="563"/>
      <c r="F279" s="2023" t="s">
        <v>759</v>
      </c>
      <c r="G279" s="549">
        <f>Z279</f>
        <v>110</v>
      </c>
      <c r="H279" s="1445">
        <v>110</v>
      </c>
      <c r="I279" s="551"/>
      <c r="J279" s="557"/>
      <c r="K279" s="2952" t="s">
        <v>1540</v>
      </c>
      <c r="L279" s="2949"/>
      <c r="M279" s="2949"/>
      <c r="N279" s="2949"/>
      <c r="O279" s="2949"/>
      <c r="P279" s="2949"/>
      <c r="Q279" s="2949"/>
      <c r="R279" s="2953"/>
      <c r="S279" s="2953"/>
      <c r="T279" s="2953">
        <v>110000</v>
      </c>
      <c r="U279" s="2953" t="s">
        <v>368</v>
      </c>
      <c r="V279" s="2953"/>
      <c r="W279" s="2953">
        <v>1</v>
      </c>
      <c r="X279" s="2953" t="s">
        <v>226</v>
      </c>
      <c r="Y279" s="2030" t="s">
        <v>370</v>
      </c>
      <c r="Z279" s="554">
        <f t="shared" si="63"/>
        <v>110</v>
      </c>
      <c r="AA279" s="2325">
        <f>T279*W279</f>
        <v>110000</v>
      </c>
    </row>
    <row r="280" spans="2:27" ht="22.5" customHeight="1">
      <c r="B280" s="623"/>
      <c r="C280" s="563"/>
      <c r="D280" s="563"/>
      <c r="E280" s="563"/>
      <c r="F280" s="2023" t="s">
        <v>264</v>
      </c>
      <c r="G280" s="549">
        <f>Z280</f>
        <v>12744</v>
      </c>
      <c r="H280" s="1445">
        <v>12744</v>
      </c>
      <c r="I280" s="551"/>
      <c r="J280" s="557"/>
      <c r="K280" s="2952" t="s">
        <v>224</v>
      </c>
      <c r="L280" s="2949"/>
      <c r="M280" s="2949"/>
      <c r="N280" s="2949"/>
      <c r="O280" s="2949"/>
      <c r="P280" s="2949"/>
      <c r="Q280" s="2949"/>
      <c r="R280" s="2953"/>
      <c r="S280" s="2953"/>
      <c r="T280" s="475"/>
      <c r="U280" s="2953"/>
      <c r="V280" s="2953"/>
      <c r="W280" s="2953"/>
      <c r="X280" s="2953"/>
      <c r="Y280" s="2030"/>
      <c r="Z280" s="554">
        <f t="shared" si="63"/>
        <v>12744</v>
      </c>
      <c r="AA280" s="555">
        <f>+AA281+AA282</f>
        <v>12744000</v>
      </c>
    </row>
    <row r="281" spans="2:27" ht="22.5" customHeight="1">
      <c r="B281" s="623"/>
      <c r="C281" s="563"/>
      <c r="D281" s="563"/>
      <c r="E281" s="563"/>
      <c r="F281" s="2023"/>
      <c r="G281" s="549"/>
      <c r="H281" s="1445"/>
      <c r="I281" s="551"/>
      <c r="J281" s="557"/>
      <c r="K281" s="472" t="s">
        <v>1535</v>
      </c>
      <c r="L281" s="2949"/>
      <c r="M281" s="2949"/>
      <c r="N281" s="2949"/>
      <c r="O281" s="2949"/>
      <c r="P281" s="2949"/>
      <c r="Q281" s="2949"/>
      <c r="R281" s="2953"/>
      <c r="S281" s="2953"/>
      <c r="T281" s="475">
        <v>6600000</v>
      </c>
      <c r="U281" s="2953" t="s">
        <v>368</v>
      </c>
      <c r="V281" s="2953"/>
      <c r="W281" s="2953">
        <v>1</v>
      </c>
      <c r="X281" s="2953" t="s">
        <v>226</v>
      </c>
      <c r="Y281" s="2030" t="s">
        <v>370</v>
      </c>
      <c r="Z281" s="554">
        <f t="shared" si="63"/>
        <v>6600</v>
      </c>
      <c r="AA281" s="2325">
        <f t="shared" ref="AA281:AA286" si="64">T281*W281</f>
        <v>6600000</v>
      </c>
    </row>
    <row r="282" spans="2:27" ht="22.5" customHeight="1">
      <c r="B282" s="623"/>
      <c r="C282" s="563"/>
      <c r="D282" s="563"/>
      <c r="E282" s="563"/>
      <c r="F282" s="2023"/>
      <c r="G282" s="549"/>
      <c r="H282" s="1445"/>
      <c r="I282" s="551"/>
      <c r="J282" s="557"/>
      <c r="K282" s="472" t="s">
        <v>1562</v>
      </c>
      <c r="L282" s="2949"/>
      <c r="M282" s="2949"/>
      <c r="N282" s="2949"/>
      <c r="O282" s="2949"/>
      <c r="P282" s="2949"/>
      <c r="Q282" s="2949"/>
      <c r="R282" s="2953"/>
      <c r="S282" s="2953"/>
      <c r="T282" s="475">
        <v>6144000</v>
      </c>
      <c r="U282" s="2953" t="s">
        <v>368</v>
      </c>
      <c r="V282" s="2953"/>
      <c r="W282" s="2953">
        <v>1</v>
      </c>
      <c r="X282" s="2953" t="s">
        <v>226</v>
      </c>
      <c r="Y282" s="2030" t="s">
        <v>370</v>
      </c>
      <c r="Z282" s="554">
        <f t="shared" si="63"/>
        <v>6144</v>
      </c>
      <c r="AA282" s="2325">
        <f t="shared" si="64"/>
        <v>6144000</v>
      </c>
    </row>
    <row r="283" spans="2:27" ht="22.5" customHeight="1">
      <c r="B283" s="623"/>
      <c r="C283" s="563"/>
      <c r="D283" s="563"/>
      <c r="E283" s="563"/>
      <c r="F283" s="2023" t="s">
        <v>1538</v>
      </c>
      <c r="G283" s="549">
        <f>Z283</f>
        <v>660</v>
      </c>
      <c r="H283" s="1445">
        <v>660</v>
      </c>
      <c r="I283" s="551"/>
      <c r="J283" s="557"/>
      <c r="K283" s="2952" t="s">
        <v>1539</v>
      </c>
      <c r="L283" s="2949"/>
      <c r="M283" s="2949"/>
      <c r="N283" s="2949"/>
      <c r="O283" s="2949"/>
      <c r="P283" s="2949"/>
      <c r="Q283" s="2949"/>
      <c r="R283" s="2953"/>
      <c r="S283" s="2953"/>
      <c r="T283" s="2953">
        <v>220000</v>
      </c>
      <c r="U283" s="2953" t="s">
        <v>368</v>
      </c>
      <c r="V283" s="2953"/>
      <c r="W283" s="2953">
        <v>3</v>
      </c>
      <c r="X283" s="2953" t="s">
        <v>230</v>
      </c>
      <c r="Y283" s="2030" t="s">
        <v>370</v>
      </c>
      <c r="Z283" s="554">
        <f t="shared" si="63"/>
        <v>660</v>
      </c>
      <c r="AA283" s="2325">
        <f t="shared" si="64"/>
        <v>660000</v>
      </c>
    </row>
    <row r="284" spans="2:27" ht="22.5" customHeight="1">
      <c r="B284" s="623"/>
      <c r="C284" s="563"/>
      <c r="D284" s="563"/>
      <c r="E284" s="563"/>
      <c r="F284" s="2023" t="s">
        <v>1541</v>
      </c>
      <c r="G284" s="549">
        <f>Z284</f>
        <v>660</v>
      </c>
      <c r="H284" s="1445">
        <v>660</v>
      </c>
      <c r="I284" s="551"/>
      <c r="J284" s="557"/>
      <c r="K284" s="2952" t="s">
        <v>1542</v>
      </c>
      <c r="L284" s="2949"/>
      <c r="M284" s="2949"/>
      <c r="N284" s="2949"/>
      <c r="O284" s="2949"/>
      <c r="P284" s="2949"/>
      <c r="Q284" s="2949"/>
      <c r="R284" s="2953"/>
      <c r="S284" s="2953"/>
      <c r="T284" s="2953">
        <v>330000</v>
      </c>
      <c r="U284" s="2953" t="s">
        <v>368</v>
      </c>
      <c r="V284" s="2953"/>
      <c r="W284" s="2953">
        <v>2</v>
      </c>
      <c r="X284" s="2953" t="s">
        <v>230</v>
      </c>
      <c r="Y284" s="2030" t="s">
        <v>370</v>
      </c>
      <c r="Z284" s="554">
        <f t="shared" si="63"/>
        <v>660</v>
      </c>
      <c r="AA284" s="2325">
        <f t="shared" si="64"/>
        <v>660000</v>
      </c>
    </row>
    <row r="285" spans="2:27" ht="22.5" customHeight="1">
      <c r="B285" s="623"/>
      <c r="C285" s="563"/>
      <c r="D285" s="563"/>
      <c r="E285" s="563"/>
      <c r="F285" s="2023" t="s">
        <v>1133</v>
      </c>
      <c r="G285" s="549">
        <f>Z285</f>
        <v>6513</v>
      </c>
      <c r="H285" s="1445">
        <v>6513</v>
      </c>
      <c r="I285" s="551"/>
      <c r="J285" s="557"/>
      <c r="K285" s="2952" t="s">
        <v>1543</v>
      </c>
      <c r="L285" s="2949"/>
      <c r="M285" s="2949"/>
      <c r="N285" s="2949"/>
      <c r="O285" s="2949"/>
      <c r="P285" s="2949"/>
      <c r="Q285" s="2949"/>
      <c r="R285" s="2953"/>
      <c r="S285" s="2953"/>
      <c r="T285" s="2953">
        <v>43420</v>
      </c>
      <c r="U285" s="2953" t="s">
        <v>368</v>
      </c>
      <c r="V285" s="2953"/>
      <c r="W285" s="2953">
        <v>150</v>
      </c>
      <c r="X285" s="2953" t="s">
        <v>369</v>
      </c>
      <c r="Y285" s="2030" t="s">
        <v>370</v>
      </c>
      <c r="Z285" s="554">
        <f t="shared" si="63"/>
        <v>6513</v>
      </c>
      <c r="AA285" s="2325">
        <f t="shared" si="64"/>
        <v>6513000</v>
      </c>
    </row>
    <row r="286" spans="2:27" ht="22.5" customHeight="1">
      <c r="B286" s="623"/>
      <c r="C286" s="563"/>
      <c r="D286" s="563"/>
      <c r="E286" s="563"/>
      <c r="F286" s="2023" t="s">
        <v>571</v>
      </c>
      <c r="G286" s="549">
        <f>Z286</f>
        <v>660</v>
      </c>
      <c r="H286" s="1445">
        <v>660</v>
      </c>
      <c r="I286" s="551"/>
      <c r="J286" s="557"/>
      <c r="K286" s="2952" t="s">
        <v>1544</v>
      </c>
      <c r="L286" s="2949"/>
      <c r="M286" s="2949"/>
      <c r="N286" s="2949"/>
      <c r="O286" s="2949"/>
      <c r="P286" s="2949"/>
      <c r="Q286" s="2949"/>
      <c r="R286" s="2953"/>
      <c r="S286" s="2953"/>
      <c r="T286" s="2953">
        <v>220000</v>
      </c>
      <c r="U286" s="2953" t="s">
        <v>368</v>
      </c>
      <c r="V286" s="2953"/>
      <c r="W286" s="2953">
        <v>3</v>
      </c>
      <c r="X286" s="2953" t="s">
        <v>230</v>
      </c>
      <c r="Y286" s="2030" t="s">
        <v>370</v>
      </c>
      <c r="Z286" s="554">
        <f t="shared" si="63"/>
        <v>660</v>
      </c>
      <c r="AA286" s="2325">
        <f t="shared" si="64"/>
        <v>660000</v>
      </c>
    </row>
    <row r="287" spans="2:27" ht="22.5" customHeight="1">
      <c r="B287" s="623"/>
      <c r="C287" s="563"/>
      <c r="D287" s="563"/>
      <c r="E287" s="563"/>
      <c r="F287" s="2023" t="s">
        <v>380</v>
      </c>
      <c r="G287" s="549">
        <f>Z287</f>
        <v>21498</v>
      </c>
      <c r="H287" s="1445">
        <v>21498</v>
      </c>
      <c r="I287" s="551"/>
      <c r="J287" s="557"/>
      <c r="K287" s="2952" t="s">
        <v>224</v>
      </c>
      <c r="L287" s="2949"/>
      <c r="M287" s="2949"/>
      <c r="N287" s="2949"/>
      <c r="O287" s="2949"/>
      <c r="P287" s="2949"/>
      <c r="Q287" s="2949"/>
      <c r="R287" s="2949"/>
      <c r="S287" s="552"/>
      <c r="T287" s="474"/>
      <c r="U287" s="2953"/>
      <c r="V287" s="2953"/>
      <c r="W287" s="2953"/>
      <c r="X287" s="2953"/>
      <c r="Y287" s="2030" t="s">
        <v>378</v>
      </c>
      <c r="Z287" s="554">
        <f t="shared" si="63"/>
        <v>21498</v>
      </c>
      <c r="AA287" s="555">
        <f>+AA288+AA289</f>
        <v>21498000</v>
      </c>
    </row>
    <row r="288" spans="2:27" ht="22.5" customHeight="1">
      <c r="B288" s="623"/>
      <c r="C288" s="563"/>
      <c r="D288" s="563"/>
      <c r="E288" s="563"/>
      <c r="F288" s="2023"/>
      <c r="G288" s="549"/>
      <c r="H288" s="1445"/>
      <c r="I288" s="551"/>
      <c r="J288" s="557"/>
      <c r="K288" s="472" t="s">
        <v>1545</v>
      </c>
      <c r="L288" s="2949"/>
      <c r="M288" s="2949"/>
      <c r="N288" s="2949"/>
      <c r="O288" s="2949"/>
      <c r="P288" s="2949"/>
      <c r="Q288" s="2949"/>
      <c r="R288" s="2953"/>
      <c r="S288" s="2953"/>
      <c r="T288" s="475">
        <v>18858000</v>
      </c>
      <c r="U288" s="2953" t="s">
        <v>368</v>
      </c>
      <c r="V288" s="2953"/>
      <c r="W288" s="2953">
        <v>1</v>
      </c>
      <c r="X288" s="2953" t="s">
        <v>579</v>
      </c>
      <c r="Y288" s="2030" t="s">
        <v>370</v>
      </c>
      <c r="Z288" s="554">
        <f t="shared" si="63"/>
        <v>18858</v>
      </c>
      <c r="AA288" s="2325">
        <f>T288*W288</f>
        <v>18858000</v>
      </c>
    </row>
    <row r="289" spans="1:30" ht="22.5" customHeight="1">
      <c r="B289" s="623"/>
      <c r="C289" s="563"/>
      <c r="D289" s="563"/>
      <c r="E289" s="563"/>
      <c r="F289" s="2023"/>
      <c r="G289" s="549"/>
      <c r="H289" s="1445"/>
      <c r="I289" s="551"/>
      <c r="J289" s="557"/>
      <c r="K289" s="472" t="s">
        <v>1546</v>
      </c>
      <c r="L289" s="2949"/>
      <c r="M289" s="2949"/>
      <c r="N289" s="2949"/>
      <c r="O289" s="2949"/>
      <c r="P289" s="2949"/>
      <c r="Q289" s="2949"/>
      <c r="R289" s="2953">
        <v>4</v>
      </c>
      <c r="S289" s="2953" t="s">
        <v>36</v>
      </c>
      <c r="T289" s="475">
        <v>330000</v>
      </c>
      <c r="U289" s="2953" t="s">
        <v>368</v>
      </c>
      <c r="V289" s="2953"/>
      <c r="W289" s="2953">
        <v>2</v>
      </c>
      <c r="X289" s="2953" t="s">
        <v>233</v>
      </c>
      <c r="Y289" s="2030" t="s">
        <v>370</v>
      </c>
      <c r="Z289" s="554">
        <f t="shared" si="63"/>
        <v>2640</v>
      </c>
      <c r="AA289" s="2325">
        <f>T289*R289*W289</f>
        <v>2640000</v>
      </c>
    </row>
    <row r="290" spans="1:30" ht="22.5" customHeight="1">
      <c r="B290" s="623"/>
      <c r="C290" s="563"/>
      <c r="D290" s="563"/>
      <c r="E290" s="563"/>
      <c r="F290" s="2023" t="s">
        <v>431</v>
      </c>
      <c r="G290" s="593">
        <f>Z290</f>
        <v>68204</v>
      </c>
      <c r="H290" s="1445">
        <v>68204</v>
      </c>
      <c r="I290" s="551"/>
      <c r="J290" s="557"/>
      <c r="K290" s="2952" t="s">
        <v>1547</v>
      </c>
      <c r="L290" s="2949"/>
      <c r="M290" s="2949"/>
      <c r="N290" s="2949"/>
      <c r="O290" s="2949"/>
      <c r="P290" s="2949"/>
      <c r="Q290" s="2949"/>
      <c r="R290" s="2949"/>
      <c r="S290" s="552"/>
      <c r="T290" s="474"/>
      <c r="U290" s="2953"/>
      <c r="V290" s="2953"/>
      <c r="W290" s="2953"/>
      <c r="X290" s="2953"/>
      <c r="Y290" s="2030" t="s">
        <v>1548</v>
      </c>
      <c r="Z290" s="554">
        <f t="shared" si="63"/>
        <v>68204</v>
      </c>
      <c r="AA290" s="555">
        <f>+AA291+AA293+AA292+AA294</f>
        <v>68204000</v>
      </c>
    </row>
    <row r="291" spans="1:30" ht="22.5" customHeight="1">
      <c r="B291" s="623"/>
      <c r="C291" s="563"/>
      <c r="D291" s="563"/>
      <c r="E291" s="563"/>
      <c r="F291" s="2023"/>
      <c r="G291" s="593"/>
      <c r="H291" s="1445"/>
      <c r="I291" s="551"/>
      <c r="J291" s="557"/>
      <c r="K291" s="472" t="s">
        <v>1549</v>
      </c>
      <c r="L291" s="2949"/>
      <c r="M291" s="2949"/>
      <c r="N291" s="2949"/>
      <c r="O291" s="2949"/>
      <c r="P291" s="2949"/>
      <c r="Q291" s="2949"/>
      <c r="R291" s="2953"/>
      <c r="S291" s="2953"/>
      <c r="T291" s="475">
        <f>25500000-86000</f>
        <v>25414000</v>
      </c>
      <c r="U291" s="2953" t="s">
        <v>1550</v>
      </c>
      <c r="V291" s="2953"/>
      <c r="W291" s="2953">
        <v>1</v>
      </c>
      <c r="X291" s="2953" t="s">
        <v>1551</v>
      </c>
      <c r="Y291" s="2030" t="s">
        <v>1552</v>
      </c>
      <c r="Z291" s="554">
        <f t="shared" si="63"/>
        <v>25414</v>
      </c>
      <c r="AA291" s="2325">
        <f>T291*W291</f>
        <v>25414000</v>
      </c>
    </row>
    <row r="292" spans="1:30" ht="22.5" customHeight="1">
      <c r="B292" s="623"/>
      <c r="C292" s="563"/>
      <c r="D292" s="563"/>
      <c r="E292" s="563"/>
      <c r="F292" s="2023"/>
      <c r="G292" s="593"/>
      <c r="H292" s="1445"/>
      <c r="I292" s="551"/>
      <c r="J292" s="557"/>
      <c r="K292" s="472" t="s">
        <v>1553</v>
      </c>
      <c r="L292" s="2949"/>
      <c r="M292" s="2949"/>
      <c r="N292" s="2949"/>
      <c r="O292" s="2949"/>
      <c r="P292" s="2949"/>
      <c r="Q292" s="2949"/>
      <c r="R292" s="2953"/>
      <c r="S292" s="2953"/>
      <c r="T292" s="475">
        <v>660000</v>
      </c>
      <c r="U292" s="2953" t="s">
        <v>1550</v>
      </c>
      <c r="V292" s="2953"/>
      <c r="W292" s="2953">
        <v>1</v>
      </c>
      <c r="X292" s="2953" t="s">
        <v>1551</v>
      </c>
      <c r="Y292" s="2030" t="s">
        <v>1552</v>
      </c>
      <c r="Z292" s="554">
        <f t="shared" si="63"/>
        <v>660</v>
      </c>
      <c r="AA292" s="2325">
        <f>T292*W292</f>
        <v>660000</v>
      </c>
    </row>
    <row r="293" spans="1:30" ht="22.5" customHeight="1">
      <c r="B293" s="623"/>
      <c r="C293" s="563"/>
      <c r="D293" s="563"/>
      <c r="E293" s="563"/>
      <c r="F293" s="2023"/>
      <c r="G293" s="593"/>
      <c r="H293" s="1445"/>
      <c r="I293" s="551"/>
      <c r="J293" s="557"/>
      <c r="K293" s="472" t="s">
        <v>1554</v>
      </c>
      <c r="L293" s="2949"/>
      <c r="M293" s="2949"/>
      <c r="N293" s="2949"/>
      <c r="O293" s="2949"/>
      <c r="P293" s="2949"/>
      <c r="Q293" s="2949"/>
      <c r="R293" s="2953"/>
      <c r="S293" s="2953"/>
      <c r="T293" s="475">
        <v>33330000</v>
      </c>
      <c r="U293" s="2953" t="s">
        <v>1550</v>
      </c>
      <c r="V293" s="2953"/>
      <c r="W293" s="2953">
        <v>1</v>
      </c>
      <c r="X293" s="2953" t="s">
        <v>1551</v>
      </c>
      <c r="Y293" s="2030" t="s">
        <v>1552</v>
      </c>
      <c r="Z293" s="554">
        <f t="shared" si="63"/>
        <v>33330</v>
      </c>
      <c r="AA293" s="2325">
        <f>T293*W293</f>
        <v>33330000</v>
      </c>
    </row>
    <row r="294" spans="1:30" ht="22.5" customHeight="1">
      <c r="B294" s="623"/>
      <c r="C294" s="563"/>
      <c r="D294" s="563"/>
      <c r="E294" s="563"/>
      <c r="F294" s="2023"/>
      <c r="G294" s="593"/>
      <c r="H294" s="1445"/>
      <c r="I294" s="551"/>
      <c r="J294" s="557"/>
      <c r="K294" s="472" t="s">
        <v>1555</v>
      </c>
      <c r="L294" s="2949"/>
      <c r="M294" s="2949"/>
      <c r="N294" s="2949"/>
      <c r="O294" s="2949"/>
      <c r="P294" s="2949"/>
      <c r="Q294" s="2949"/>
      <c r="R294" s="2953"/>
      <c r="S294" s="2953"/>
      <c r="T294" s="475">
        <v>8800000</v>
      </c>
      <c r="U294" s="2953" t="s">
        <v>1550</v>
      </c>
      <c r="V294" s="2953"/>
      <c r="W294" s="2953">
        <v>1</v>
      </c>
      <c r="X294" s="2953" t="s">
        <v>1551</v>
      </c>
      <c r="Y294" s="2030" t="s">
        <v>1552</v>
      </c>
      <c r="Z294" s="554">
        <f t="shared" si="63"/>
        <v>8800</v>
      </c>
      <c r="AA294" s="2325">
        <f>T294*W294</f>
        <v>8800000</v>
      </c>
    </row>
    <row r="295" spans="1:30" ht="22.5" customHeight="1">
      <c r="B295" s="562"/>
      <c r="C295" s="563"/>
      <c r="D295" s="473"/>
      <c r="E295" s="2020"/>
      <c r="F295" s="532" t="s">
        <v>262</v>
      </c>
      <c r="G295" s="549">
        <f>Z295</f>
        <v>16962</v>
      </c>
      <c r="H295" s="1445">
        <v>16962</v>
      </c>
      <c r="I295" s="551"/>
      <c r="J295" s="557"/>
      <c r="K295" s="2952" t="s">
        <v>224</v>
      </c>
      <c r="L295" s="2949"/>
      <c r="M295" s="2949"/>
      <c r="N295" s="2949"/>
      <c r="O295" s="2949"/>
      <c r="P295" s="2949"/>
      <c r="Q295" s="2949"/>
      <c r="R295" s="2949"/>
      <c r="S295" s="552"/>
      <c r="T295" s="474"/>
      <c r="U295" s="2953"/>
      <c r="V295" s="2953"/>
      <c r="W295" s="2953"/>
      <c r="X295" s="2953"/>
      <c r="Y295" s="2030" t="s">
        <v>378</v>
      </c>
      <c r="Z295" s="554">
        <f t="shared" si="63"/>
        <v>16962</v>
      </c>
      <c r="AA295" s="555">
        <f>+AA296+AA297+AA298+AA299+AA300</f>
        <v>16962000</v>
      </c>
      <c r="AB295" s="423"/>
      <c r="AC295" s="423"/>
    </row>
    <row r="296" spans="1:30" ht="21.95" customHeight="1">
      <c r="B296" s="562"/>
      <c r="C296" s="563"/>
      <c r="D296" s="473"/>
      <c r="E296" s="2020"/>
      <c r="F296" s="532"/>
      <c r="G296" s="549"/>
      <c r="H296" s="1445"/>
      <c r="I296" s="551"/>
      <c r="J296" s="557"/>
      <c r="K296" s="472" t="s">
        <v>1556</v>
      </c>
      <c r="L296" s="2949"/>
      <c r="M296" s="2949"/>
      <c r="N296" s="2949"/>
      <c r="O296" s="2949"/>
      <c r="P296" s="2949"/>
      <c r="Q296" s="2949"/>
      <c r="R296" s="2953"/>
      <c r="S296" s="2953"/>
      <c r="T296" s="475">
        <v>440000</v>
      </c>
      <c r="U296" s="2953" t="s">
        <v>368</v>
      </c>
      <c r="V296" s="2953"/>
      <c r="W296" s="2953">
        <v>2</v>
      </c>
      <c r="X296" s="2953" t="s">
        <v>579</v>
      </c>
      <c r="Y296" s="2030" t="s">
        <v>370</v>
      </c>
      <c r="Z296" s="554">
        <f t="shared" si="63"/>
        <v>880</v>
      </c>
      <c r="AA296" s="2325">
        <f t="shared" ref="AA296:AA302" si="65">T296*W296</f>
        <v>880000</v>
      </c>
      <c r="AB296" s="423"/>
      <c r="AC296" s="423"/>
    </row>
    <row r="297" spans="1:30" ht="21.95" customHeight="1">
      <c r="B297" s="562"/>
      <c r="C297" s="563"/>
      <c r="D297" s="473"/>
      <c r="E297" s="2020"/>
      <c r="F297" s="2023"/>
      <c r="G297" s="549"/>
      <c r="H297" s="1445"/>
      <c r="I297" s="551"/>
      <c r="J297" s="557"/>
      <c r="K297" s="472" t="s">
        <v>1557</v>
      </c>
      <c r="L297" s="2949"/>
      <c r="M297" s="2949"/>
      <c r="N297" s="2949"/>
      <c r="O297" s="2949"/>
      <c r="P297" s="2949"/>
      <c r="Q297" s="2949"/>
      <c r="R297" s="2953"/>
      <c r="S297" s="2953"/>
      <c r="T297" s="475">
        <v>517000</v>
      </c>
      <c r="U297" s="2953" t="s">
        <v>368</v>
      </c>
      <c r="V297" s="2953"/>
      <c r="W297" s="2953">
        <v>20</v>
      </c>
      <c r="X297" s="2953" t="s">
        <v>653</v>
      </c>
      <c r="Y297" s="2030" t="s">
        <v>370</v>
      </c>
      <c r="Z297" s="554">
        <f t="shared" si="63"/>
        <v>10340</v>
      </c>
      <c r="AA297" s="2325">
        <f t="shared" si="65"/>
        <v>10340000</v>
      </c>
      <c r="AB297" s="423"/>
      <c r="AC297" s="423"/>
    </row>
    <row r="298" spans="1:30" ht="21.95" customHeight="1">
      <c r="B298" s="623"/>
      <c r="C298" s="563"/>
      <c r="D298" s="473"/>
      <c r="E298" s="2020"/>
      <c r="F298" s="2023"/>
      <c r="G298" s="549"/>
      <c r="H298" s="1445"/>
      <c r="I298" s="551"/>
      <c r="J298" s="557"/>
      <c r="K298" s="472" t="s">
        <v>1558</v>
      </c>
      <c r="L298" s="2949"/>
      <c r="M298" s="2949"/>
      <c r="N298" s="2949"/>
      <c r="O298" s="2949"/>
      <c r="P298" s="2949"/>
      <c r="Q298" s="2949"/>
      <c r="R298" s="2953"/>
      <c r="S298" s="2953"/>
      <c r="T298" s="475">
        <v>363000</v>
      </c>
      <c r="U298" s="2953" t="s">
        <v>368</v>
      </c>
      <c r="V298" s="2953"/>
      <c r="W298" s="2953">
        <v>3</v>
      </c>
      <c r="X298" s="2953" t="s">
        <v>488</v>
      </c>
      <c r="Y298" s="2030" t="s">
        <v>370</v>
      </c>
      <c r="Z298" s="554">
        <f t="shared" si="63"/>
        <v>1089</v>
      </c>
      <c r="AA298" s="2325">
        <f t="shared" si="65"/>
        <v>1089000</v>
      </c>
      <c r="AB298" s="423"/>
      <c r="AC298" s="423"/>
    </row>
    <row r="299" spans="1:30" ht="21.95" customHeight="1">
      <c r="B299" s="562"/>
      <c r="C299" s="563"/>
      <c r="D299" s="473"/>
      <c r="E299" s="2020"/>
      <c r="F299" s="2023"/>
      <c r="G299" s="549"/>
      <c r="H299" s="1445"/>
      <c r="I299" s="551"/>
      <c r="J299" s="557"/>
      <c r="K299" s="472" t="s">
        <v>1559</v>
      </c>
      <c r="L299" s="2949"/>
      <c r="M299" s="2949"/>
      <c r="N299" s="2949"/>
      <c r="O299" s="2949"/>
      <c r="P299" s="2949"/>
      <c r="Q299" s="2949"/>
      <c r="R299" s="2953"/>
      <c r="S299" s="2953"/>
      <c r="T299" s="475">
        <v>891000</v>
      </c>
      <c r="U299" s="2953" t="s">
        <v>368</v>
      </c>
      <c r="V299" s="2953"/>
      <c r="W299" s="2953">
        <v>3</v>
      </c>
      <c r="X299" s="2953" t="s">
        <v>488</v>
      </c>
      <c r="Y299" s="2030" t="s">
        <v>370</v>
      </c>
      <c r="Z299" s="554">
        <f t="shared" si="63"/>
        <v>2673</v>
      </c>
      <c r="AA299" s="2325">
        <f t="shared" si="65"/>
        <v>2673000</v>
      </c>
      <c r="AB299" s="423"/>
      <c r="AC299" s="423"/>
    </row>
    <row r="300" spans="1:30" ht="21.95" customHeight="1">
      <c r="B300" s="562"/>
      <c r="C300" s="563"/>
      <c r="D300" s="473"/>
      <c r="E300" s="2020"/>
      <c r="F300" s="2023"/>
      <c r="G300" s="549"/>
      <c r="H300" s="1445"/>
      <c r="I300" s="551"/>
      <c r="J300" s="557"/>
      <c r="K300" s="472" t="s">
        <v>1560</v>
      </c>
      <c r="L300" s="2949"/>
      <c r="M300" s="2949"/>
      <c r="N300" s="2949"/>
      <c r="O300" s="2949"/>
      <c r="P300" s="2949"/>
      <c r="Q300" s="2949"/>
      <c r="R300" s="2953"/>
      <c r="S300" s="2953"/>
      <c r="T300" s="475">
        <v>660000</v>
      </c>
      <c r="U300" s="2953" t="s">
        <v>368</v>
      </c>
      <c r="V300" s="2953"/>
      <c r="W300" s="2953">
        <v>3</v>
      </c>
      <c r="X300" s="2953" t="s">
        <v>488</v>
      </c>
      <c r="Y300" s="2030" t="s">
        <v>370</v>
      </c>
      <c r="Z300" s="554">
        <f t="shared" si="63"/>
        <v>1980</v>
      </c>
      <c r="AA300" s="2325">
        <f t="shared" si="65"/>
        <v>1980000</v>
      </c>
      <c r="AB300" s="423"/>
      <c r="AC300" s="423"/>
    </row>
    <row r="301" spans="1:30" ht="21.95" customHeight="1">
      <c r="B301" s="562"/>
      <c r="C301" s="563"/>
      <c r="D301" s="563"/>
      <c r="E301" s="563"/>
      <c r="F301" s="2023" t="s">
        <v>551</v>
      </c>
      <c r="G301" s="549">
        <f>Z301</f>
        <v>330</v>
      </c>
      <c r="H301" s="1445">
        <v>330</v>
      </c>
      <c r="I301" s="551"/>
      <c r="J301" s="557"/>
      <c r="K301" s="2952" t="s">
        <v>1561</v>
      </c>
      <c r="L301" s="2949"/>
      <c r="M301" s="2949"/>
      <c r="N301" s="2949"/>
      <c r="O301" s="2949"/>
      <c r="P301" s="2949"/>
      <c r="Q301" s="2949"/>
      <c r="R301" s="2953"/>
      <c r="S301" s="2953"/>
      <c r="T301" s="475">
        <v>110000</v>
      </c>
      <c r="U301" s="2953" t="s">
        <v>368</v>
      </c>
      <c r="V301" s="2953"/>
      <c r="W301" s="2953">
        <v>3</v>
      </c>
      <c r="X301" s="2953" t="s">
        <v>230</v>
      </c>
      <c r="Y301" s="2030" t="s">
        <v>370</v>
      </c>
      <c r="Z301" s="554">
        <f>AA301/1000</f>
        <v>330</v>
      </c>
      <c r="AA301" s="2325">
        <f t="shared" si="65"/>
        <v>330000</v>
      </c>
    </row>
    <row r="302" spans="1:30" ht="21.95" customHeight="1">
      <c r="B302" s="562"/>
      <c r="C302" s="563"/>
      <c r="D302" s="563"/>
      <c r="E302" s="563"/>
      <c r="F302" s="2023" t="s">
        <v>242</v>
      </c>
      <c r="G302" s="549">
        <f>Z302</f>
        <v>1100</v>
      </c>
      <c r="H302" s="1445">
        <v>1100</v>
      </c>
      <c r="I302" s="551"/>
      <c r="J302" s="557"/>
      <c r="K302" s="2952" t="s">
        <v>1314</v>
      </c>
      <c r="L302" s="2949"/>
      <c r="M302" s="2949"/>
      <c r="N302" s="2949"/>
      <c r="O302" s="2949"/>
      <c r="P302" s="2949"/>
      <c r="Q302" s="2949"/>
      <c r="R302" s="2953"/>
      <c r="S302" s="2953"/>
      <c r="T302" s="2953">
        <v>550000</v>
      </c>
      <c r="U302" s="2953" t="s">
        <v>368</v>
      </c>
      <c r="V302" s="2953"/>
      <c r="W302" s="2953">
        <v>2</v>
      </c>
      <c r="X302" s="2953" t="s">
        <v>369</v>
      </c>
      <c r="Y302" s="2030" t="s">
        <v>370</v>
      </c>
      <c r="Z302" s="554">
        <f t="shared" ref="Z302" si="66">AA302/1000</f>
        <v>1100</v>
      </c>
      <c r="AA302" s="2325">
        <f t="shared" si="65"/>
        <v>1100000</v>
      </c>
    </row>
    <row r="303" spans="1:30" s="3002" customFormat="1" ht="24" customHeight="1">
      <c r="A303" s="3001"/>
      <c r="B303" s="540"/>
      <c r="C303" s="1251" t="s">
        <v>3954</v>
      </c>
      <c r="D303" s="1386"/>
      <c r="E303" s="621"/>
      <c r="F303" s="2710"/>
      <c r="G303" s="3158">
        <f>+G304</f>
        <v>1500000</v>
      </c>
      <c r="H303" s="3158">
        <f>+H304</f>
        <v>1500000</v>
      </c>
      <c r="I303" s="627">
        <f t="shared" ref="I303" si="67">G303-H303</f>
        <v>0</v>
      </c>
      <c r="J303" s="557"/>
      <c r="K303" s="538"/>
      <c r="L303" s="3247"/>
      <c r="M303" s="3247"/>
      <c r="N303" s="3247"/>
      <c r="O303" s="3247"/>
      <c r="P303" s="3247"/>
      <c r="Q303" s="3247"/>
      <c r="R303" s="3247"/>
      <c r="S303" s="3247"/>
      <c r="T303" s="3247"/>
      <c r="U303" s="3247"/>
      <c r="V303" s="3247"/>
      <c r="W303" s="3247"/>
      <c r="X303" s="3247"/>
      <c r="Y303" s="585"/>
      <c r="Z303" s="599"/>
      <c r="AA303" s="595"/>
      <c r="AB303" s="3000"/>
      <c r="AC303" s="3000"/>
    </row>
    <row r="304" spans="1:30" s="3005" customFormat="1" ht="24" customHeight="1">
      <c r="A304" s="3001" t="s">
        <v>1279</v>
      </c>
      <c r="B304" s="562"/>
      <c r="C304" s="563"/>
      <c r="D304" s="4099" t="s">
        <v>3954</v>
      </c>
      <c r="E304" s="4099"/>
      <c r="F304" s="3839"/>
      <c r="G304" s="826">
        <f>+G305+G307+G309</f>
        <v>1500000</v>
      </c>
      <c r="H304" s="826">
        <f>+H305+H307+H309</f>
        <v>1500000</v>
      </c>
      <c r="I304" s="2450">
        <f>G304-H304</f>
        <v>0</v>
      </c>
      <c r="J304" s="557"/>
      <c r="K304" s="2025"/>
      <c r="L304" s="3247"/>
      <c r="M304" s="3247"/>
      <c r="N304" s="3247"/>
      <c r="O304" s="3247"/>
      <c r="P304" s="3247"/>
      <c r="Q304" s="3247"/>
      <c r="R304" s="621"/>
      <c r="S304" s="539"/>
      <c r="T304" s="545"/>
      <c r="U304" s="2026"/>
      <c r="V304" s="2026"/>
      <c r="W304" s="2026"/>
      <c r="X304" s="2026"/>
      <c r="Y304" s="2028"/>
      <c r="Z304" s="586"/>
      <c r="AA304" s="622"/>
      <c r="AB304" s="3000"/>
      <c r="AC304" s="3000"/>
      <c r="AD304" s="3008"/>
    </row>
    <row r="305" spans="1:30" s="3005" customFormat="1" ht="24" customHeight="1">
      <c r="A305" s="3004"/>
      <c r="B305" s="562"/>
      <c r="C305" s="563"/>
      <c r="D305" s="3107"/>
      <c r="E305" s="3825" t="s">
        <v>3956</v>
      </c>
      <c r="F305" s="3826"/>
      <c r="G305" s="3158">
        <f>+G306</f>
        <v>700000</v>
      </c>
      <c r="H305" s="3158">
        <f>+H306</f>
        <v>700000</v>
      </c>
      <c r="I305" s="620">
        <f>G305-H305</f>
        <v>0</v>
      </c>
      <c r="J305" s="557"/>
      <c r="K305" s="2025"/>
      <c r="L305" s="3247"/>
      <c r="M305" s="3247"/>
      <c r="N305" s="3247"/>
      <c r="O305" s="3247"/>
      <c r="P305" s="3247"/>
      <c r="Q305" s="3247"/>
      <c r="R305" s="3247"/>
      <c r="S305" s="539"/>
      <c r="T305" s="2026"/>
      <c r="U305" s="2026"/>
      <c r="V305" s="2026"/>
      <c r="W305" s="2026"/>
      <c r="X305" s="2026"/>
      <c r="Y305" s="2028"/>
      <c r="Z305" s="586"/>
      <c r="AA305" s="622"/>
      <c r="AB305" s="3000"/>
      <c r="AC305" s="3000"/>
      <c r="AD305" s="3008"/>
    </row>
    <row r="306" spans="1:30" s="3014" customFormat="1" ht="24" customHeight="1">
      <c r="A306" s="3009"/>
      <c r="B306" s="623"/>
      <c r="C306" s="563"/>
      <c r="D306" s="563"/>
      <c r="E306" s="563"/>
      <c r="F306" s="2023" t="s">
        <v>3956</v>
      </c>
      <c r="G306" s="549">
        <v>700000</v>
      </c>
      <c r="H306" s="1445">
        <v>700000</v>
      </c>
      <c r="I306" s="551"/>
      <c r="J306" s="557"/>
      <c r="K306" s="3254"/>
      <c r="L306" s="3253"/>
      <c r="M306" s="3253"/>
      <c r="N306" s="3253"/>
      <c r="O306" s="3253"/>
      <c r="P306" s="3253"/>
      <c r="Q306" s="3253"/>
      <c r="R306" s="3255"/>
      <c r="S306" s="3255"/>
      <c r="T306" s="3109"/>
      <c r="U306" s="3255"/>
      <c r="V306" s="3255"/>
      <c r="W306" s="3255"/>
      <c r="X306" s="3255"/>
      <c r="Y306" s="2030"/>
      <c r="Z306" s="554"/>
      <c r="AA306" s="555"/>
      <c r="AB306" s="3012"/>
      <c r="AC306" s="3013"/>
    </row>
    <row r="307" spans="1:30" s="3005" customFormat="1" ht="24" customHeight="1">
      <c r="A307" s="3004"/>
      <c r="B307" s="562"/>
      <c r="C307" s="563"/>
      <c r="D307" s="3107"/>
      <c r="E307" s="3825" t="s">
        <v>3960</v>
      </c>
      <c r="F307" s="3826"/>
      <c r="G307" s="3158">
        <f>+G308</f>
        <v>260000</v>
      </c>
      <c r="H307" s="3158">
        <f>+H308</f>
        <v>260000</v>
      </c>
      <c r="I307" s="620">
        <f>G307-H307</f>
        <v>0</v>
      </c>
      <c r="J307" s="557"/>
      <c r="K307" s="2025"/>
      <c r="L307" s="3247"/>
      <c r="M307" s="3247"/>
      <c r="N307" s="3247"/>
      <c r="O307" s="3247"/>
      <c r="P307" s="3247"/>
      <c r="Q307" s="3247"/>
      <c r="R307" s="3247"/>
      <c r="S307" s="539"/>
      <c r="T307" s="2026"/>
      <c r="U307" s="2026"/>
      <c r="V307" s="2026"/>
      <c r="W307" s="2026"/>
      <c r="X307" s="2026"/>
      <c r="Y307" s="2028"/>
      <c r="Z307" s="586"/>
      <c r="AA307" s="622"/>
      <c r="AB307" s="3000"/>
      <c r="AC307" s="3000"/>
      <c r="AD307" s="3008"/>
    </row>
    <row r="308" spans="1:30" s="3014" customFormat="1" ht="24" customHeight="1">
      <c r="A308" s="3009"/>
      <c r="B308" s="623"/>
      <c r="C308" s="563"/>
      <c r="D308" s="563"/>
      <c r="E308" s="563"/>
      <c r="F308" s="2023" t="s">
        <v>3960</v>
      </c>
      <c r="G308" s="549">
        <v>260000</v>
      </c>
      <c r="H308" s="1445">
        <v>260000</v>
      </c>
      <c r="I308" s="551"/>
      <c r="J308" s="557"/>
      <c r="K308" s="3254"/>
      <c r="L308" s="3253"/>
      <c r="M308" s="3253"/>
      <c r="N308" s="3253"/>
      <c r="O308" s="3253"/>
      <c r="P308" s="3253"/>
      <c r="Q308" s="3253"/>
      <c r="R308" s="3255"/>
      <c r="S308" s="3255"/>
      <c r="T308" s="3109"/>
      <c r="U308" s="3255"/>
      <c r="V308" s="3255"/>
      <c r="W308" s="3255"/>
      <c r="X308" s="3255"/>
      <c r="Y308" s="2030"/>
      <c r="Z308" s="554"/>
      <c r="AA308" s="555"/>
      <c r="AB308" s="3012"/>
      <c r="AC308" s="3013"/>
    </row>
    <row r="309" spans="1:30" s="3005" customFormat="1" ht="24" customHeight="1">
      <c r="A309" s="3004"/>
      <c r="B309" s="562"/>
      <c r="C309" s="563"/>
      <c r="D309" s="3107"/>
      <c r="E309" s="3825" t="s">
        <v>3961</v>
      </c>
      <c r="F309" s="3826"/>
      <c r="G309" s="3158">
        <f>+G310</f>
        <v>540000</v>
      </c>
      <c r="H309" s="3158">
        <f>SUM(H310:H339)</f>
        <v>540000</v>
      </c>
      <c r="I309" s="620">
        <f>G309-H309</f>
        <v>0</v>
      </c>
      <c r="J309" s="557"/>
      <c r="K309" s="2025"/>
      <c r="L309" s="3247"/>
      <c r="M309" s="3247"/>
      <c r="N309" s="3247"/>
      <c r="O309" s="3247"/>
      <c r="P309" s="3247"/>
      <c r="Q309" s="3247"/>
      <c r="R309" s="3247"/>
      <c r="S309" s="539"/>
      <c r="T309" s="2026"/>
      <c r="U309" s="2026"/>
      <c r="V309" s="2026"/>
      <c r="W309" s="2026"/>
      <c r="X309" s="2026"/>
      <c r="Y309" s="2028"/>
      <c r="Z309" s="586"/>
      <c r="AA309" s="622"/>
      <c r="AB309" s="3000"/>
      <c r="AC309" s="3000"/>
      <c r="AD309" s="3008"/>
    </row>
    <row r="310" spans="1:30" s="3014" customFormat="1" ht="24" customHeight="1" thickBot="1">
      <c r="A310" s="3009"/>
      <c r="B310" s="2750"/>
      <c r="C310" s="1914"/>
      <c r="D310" s="1914"/>
      <c r="E310" s="1914"/>
      <c r="F310" s="2055" t="s">
        <v>3961</v>
      </c>
      <c r="G310" s="3333">
        <v>540000</v>
      </c>
      <c r="H310" s="3334">
        <v>540000</v>
      </c>
      <c r="I310" s="1658"/>
      <c r="J310" s="557"/>
      <c r="K310" s="2056"/>
      <c r="L310" s="2057"/>
      <c r="M310" s="2057"/>
      <c r="N310" s="2057"/>
      <c r="O310" s="2057"/>
      <c r="P310" s="2057"/>
      <c r="Q310" s="2057"/>
      <c r="R310" s="2058"/>
      <c r="S310" s="2058"/>
      <c r="T310" s="642"/>
      <c r="U310" s="2058"/>
      <c r="V310" s="2058"/>
      <c r="W310" s="2058"/>
      <c r="X310" s="2058"/>
      <c r="Y310" s="2059"/>
      <c r="Z310" s="3337"/>
      <c r="AA310" s="555"/>
      <c r="AB310" s="3012"/>
      <c r="AC310" s="3013"/>
    </row>
    <row r="646" spans="7:7">
      <c r="G646" s="182"/>
    </row>
    <row r="659" spans="7:7">
      <c r="G659" s="182"/>
    </row>
  </sheetData>
  <mergeCells count="23">
    <mergeCell ref="D304:F304"/>
    <mergeCell ref="E305:F305"/>
    <mergeCell ref="E307:F307"/>
    <mergeCell ref="E309:F309"/>
    <mergeCell ref="D111:F111"/>
    <mergeCell ref="D127:F127"/>
    <mergeCell ref="D132:F132"/>
    <mergeCell ref="E133:F133"/>
    <mergeCell ref="D237:F237"/>
    <mergeCell ref="E238:F238"/>
    <mergeCell ref="D271:F271"/>
    <mergeCell ref="E272:F272"/>
    <mergeCell ref="D190:F190"/>
    <mergeCell ref="E191:F191"/>
    <mergeCell ref="K173:P173"/>
    <mergeCell ref="D49:F49"/>
    <mergeCell ref="D69:F69"/>
    <mergeCell ref="B1:Z1"/>
    <mergeCell ref="B3:F3"/>
    <mergeCell ref="G3:G4"/>
    <mergeCell ref="H3:H4"/>
    <mergeCell ref="I3:I4"/>
    <mergeCell ref="K3:Z4"/>
  </mergeCells>
  <phoneticPr fontId="15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25" min="1" max="25" man="1"/>
    <brk id="205" min="1" max="2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F663" sqref="F663:G663"/>
      <selection pane="bottomLeft" activeCell="A2" sqref="A2"/>
    </sheetView>
  </sheetViews>
  <sheetFormatPr defaultRowHeight="21.75" customHeight="1"/>
  <cols>
    <col min="1" max="1" width="6.77734375" style="18" customWidth="1"/>
    <col min="2" max="2" width="8" style="18" customWidth="1"/>
    <col min="3" max="4" width="6.77734375" style="18" customWidth="1"/>
    <col min="5" max="5" width="16" style="18" customWidth="1"/>
    <col min="6" max="7" width="13.77734375" style="146" customWidth="1"/>
    <col min="8" max="8" width="13.77734375" style="432" customWidth="1"/>
    <col min="9" max="9" width="1.77734375" style="453" customWidth="1"/>
    <col min="10" max="10" width="18.88671875" style="105" customWidth="1"/>
    <col min="11" max="11" width="2" style="105" customWidth="1"/>
    <col min="12" max="12" width="2.5546875" style="105" customWidth="1"/>
    <col min="13" max="13" width="8.77734375" style="105" customWidth="1"/>
    <col min="14" max="14" width="10.77734375" style="105" customWidth="1"/>
    <col min="15" max="16" width="7.77734375" style="105" customWidth="1"/>
    <col min="17" max="17" width="9.5546875" style="106" customWidth="1"/>
    <col min="18" max="18" width="6.88671875" style="18" customWidth="1"/>
    <col min="19" max="19" width="14.77734375" style="18" customWidth="1"/>
    <col min="20" max="21" width="6.88671875" style="18" customWidth="1"/>
    <col min="22" max="22" width="7.44140625" style="18" customWidth="1"/>
    <col min="23" max="23" width="6.88671875" style="18" customWidth="1"/>
    <col min="24" max="24" width="3" style="18" customWidth="1"/>
    <col min="25" max="25" width="14.77734375" style="107" customWidth="1"/>
    <col min="26" max="26" width="15.77734375" style="18" customWidth="1"/>
    <col min="27" max="27" width="15.44140625" style="18" bestFit="1" customWidth="1"/>
    <col min="28" max="28" width="17.5546875" style="434" bestFit="1" customWidth="1"/>
    <col min="29" max="29" width="12.77734375" style="18" bestFit="1" customWidth="1"/>
    <col min="30" max="30" width="14.21875" style="18" bestFit="1" customWidth="1"/>
    <col min="31" max="31" width="12.77734375" style="18" bestFit="1" customWidth="1"/>
    <col min="32" max="32" width="10" style="18" bestFit="1" customWidth="1"/>
    <col min="33" max="33" width="12.77734375" style="18" bestFit="1" customWidth="1"/>
    <col min="34" max="34" width="11.33203125" style="18" bestFit="1" customWidth="1"/>
    <col min="35" max="35" width="9.6640625" style="18" bestFit="1" customWidth="1"/>
    <col min="36" max="256" width="8.88671875" style="18"/>
    <col min="257" max="260" width="6.77734375" style="18" customWidth="1"/>
    <col min="261" max="261" width="16" style="18" customWidth="1"/>
    <col min="262" max="264" width="13.77734375" style="18" customWidth="1"/>
    <col min="265" max="265" width="1.77734375" style="18" customWidth="1"/>
    <col min="266" max="266" width="2.88671875" style="18" customWidth="1"/>
    <col min="267" max="267" width="2" style="18" customWidth="1"/>
    <col min="268" max="269" width="8.77734375" style="18" customWidth="1"/>
    <col min="270" max="270" width="10.77734375" style="18" customWidth="1"/>
    <col min="271" max="272" width="7.77734375" style="18" customWidth="1"/>
    <col min="273" max="273" width="8.109375" style="18" customWidth="1"/>
    <col min="274" max="274" width="6.88671875" style="18" customWidth="1"/>
    <col min="275" max="275" width="14.77734375" style="18" customWidth="1"/>
    <col min="276" max="277" width="6.88671875" style="18" customWidth="1"/>
    <col min="278" max="278" width="7.44140625" style="18" customWidth="1"/>
    <col min="279" max="279" width="6.88671875" style="18" customWidth="1"/>
    <col min="280" max="280" width="3" style="18" customWidth="1"/>
    <col min="281" max="281" width="14.77734375" style="18" customWidth="1"/>
    <col min="282" max="282" width="15.77734375" style="18" customWidth="1"/>
    <col min="283" max="283" width="15.44140625" style="18" bestFit="1" customWidth="1"/>
    <col min="284" max="284" width="17.5546875" style="18" bestFit="1" customWidth="1"/>
    <col min="285" max="285" width="12.21875" style="18" bestFit="1" customWidth="1"/>
    <col min="286" max="286" width="9" style="18" bestFit="1" customWidth="1"/>
    <col min="287" max="287" width="8.88671875" style="18"/>
    <col min="288" max="288" width="9.44140625" style="18" bestFit="1" customWidth="1"/>
    <col min="289" max="512" width="8.88671875" style="18"/>
    <col min="513" max="516" width="6.77734375" style="18" customWidth="1"/>
    <col min="517" max="517" width="16" style="18" customWidth="1"/>
    <col min="518" max="520" width="13.77734375" style="18" customWidth="1"/>
    <col min="521" max="521" width="1.77734375" style="18" customWidth="1"/>
    <col min="522" max="522" width="2.88671875" style="18" customWidth="1"/>
    <col min="523" max="523" width="2" style="18" customWidth="1"/>
    <col min="524" max="525" width="8.77734375" style="18" customWidth="1"/>
    <col min="526" max="526" width="10.77734375" style="18" customWidth="1"/>
    <col min="527" max="528" width="7.77734375" style="18" customWidth="1"/>
    <col min="529" max="529" width="8.109375" style="18" customWidth="1"/>
    <col min="530" max="530" width="6.88671875" style="18" customWidth="1"/>
    <col min="531" max="531" width="14.77734375" style="18" customWidth="1"/>
    <col min="532" max="533" width="6.88671875" style="18" customWidth="1"/>
    <col min="534" max="534" width="7.44140625" style="18" customWidth="1"/>
    <col min="535" max="535" width="6.88671875" style="18" customWidth="1"/>
    <col min="536" max="536" width="3" style="18" customWidth="1"/>
    <col min="537" max="537" width="14.77734375" style="18" customWidth="1"/>
    <col min="538" max="538" width="15.77734375" style="18" customWidth="1"/>
    <col min="539" max="539" width="15.44140625" style="18" bestFit="1" customWidth="1"/>
    <col min="540" max="540" width="17.5546875" style="18" bestFit="1" customWidth="1"/>
    <col min="541" max="541" width="12.21875" style="18" bestFit="1" customWidth="1"/>
    <col min="542" max="542" width="9" style="18" bestFit="1" customWidth="1"/>
    <col min="543" max="543" width="8.88671875" style="18"/>
    <col min="544" max="544" width="9.44140625" style="18" bestFit="1" customWidth="1"/>
    <col min="545" max="768" width="8.88671875" style="18"/>
    <col min="769" max="772" width="6.77734375" style="18" customWidth="1"/>
    <col min="773" max="773" width="16" style="18" customWidth="1"/>
    <col min="774" max="776" width="13.77734375" style="18" customWidth="1"/>
    <col min="777" max="777" width="1.77734375" style="18" customWidth="1"/>
    <col min="778" max="778" width="2.88671875" style="18" customWidth="1"/>
    <col min="779" max="779" width="2" style="18" customWidth="1"/>
    <col min="780" max="781" width="8.77734375" style="18" customWidth="1"/>
    <col min="782" max="782" width="10.77734375" style="18" customWidth="1"/>
    <col min="783" max="784" width="7.77734375" style="18" customWidth="1"/>
    <col min="785" max="785" width="8.109375" style="18" customWidth="1"/>
    <col min="786" max="786" width="6.88671875" style="18" customWidth="1"/>
    <col min="787" max="787" width="14.77734375" style="18" customWidth="1"/>
    <col min="788" max="789" width="6.88671875" style="18" customWidth="1"/>
    <col min="790" max="790" width="7.44140625" style="18" customWidth="1"/>
    <col min="791" max="791" width="6.88671875" style="18" customWidth="1"/>
    <col min="792" max="792" width="3" style="18" customWidth="1"/>
    <col min="793" max="793" width="14.77734375" style="18" customWidth="1"/>
    <col min="794" max="794" width="15.77734375" style="18" customWidth="1"/>
    <col min="795" max="795" width="15.44140625" style="18" bestFit="1" customWidth="1"/>
    <col min="796" max="796" width="17.5546875" style="18" bestFit="1" customWidth="1"/>
    <col min="797" max="797" width="12.21875" style="18" bestFit="1" customWidth="1"/>
    <col min="798" max="798" width="9" style="18" bestFit="1" customWidth="1"/>
    <col min="799" max="799" width="8.88671875" style="18"/>
    <col min="800" max="800" width="9.44140625" style="18" bestFit="1" customWidth="1"/>
    <col min="801" max="1024" width="8.88671875" style="18"/>
    <col min="1025" max="1028" width="6.77734375" style="18" customWidth="1"/>
    <col min="1029" max="1029" width="16" style="18" customWidth="1"/>
    <col min="1030" max="1032" width="13.77734375" style="18" customWidth="1"/>
    <col min="1033" max="1033" width="1.77734375" style="18" customWidth="1"/>
    <col min="1034" max="1034" width="2.88671875" style="18" customWidth="1"/>
    <col min="1035" max="1035" width="2" style="18" customWidth="1"/>
    <col min="1036" max="1037" width="8.77734375" style="18" customWidth="1"/>
    <col min="1038" max="1038" width="10.77734375" style="18" customWidth="1"/>
    <col min="1039" max="1040" width="7.77734375" style="18" customWidth="1"/>
    <col min="1041" max="1041" width="8.109375" style="18" customWidth="1"/>
    <col min="1042" max="1042" width="6.88671875" style="18" customWidth="1"/>
    <col min="1043" max="1043" width="14.77734375" style="18" customWidth="1"/>
    <col min="1044" max="1045" width="6.88671875" style="18" customWidth="1"/>
    <col min="1046" max="1046" width="7.44140625" style="18" customWidth="1"/>
    <col min="1047" max="1047" width="6.88671875" style="18" customWidth="1"/>
    <col min="1048" max="1048" width="3" style="18" customWidth="1"/>
    <col min="1049" max="1049" width="14.77734375" style="18" customWidth="1"/>
    <col min="1050" max="1050" width="15.77734375" style="18" customWidth="1"/>
    <col min="1051" max="1051" width="15.44140625" style="18" bestFit="1" customWidth="1"/>
    <col min="1052" max="1052" width="17.5546875" style="18" bestFit="1" customWidth="1"/>
    <col min="1053" max="1053" width="12.21875" style="18" bestFit="1" customWidth="1"/>
    <col min="1054" max="1054" width="9" style="18" bestFit="1" customWidth="1"/>
    <col min="1055" max="1055" width="8.88671875" style="18"/>
    <col min="1056" max="1056" width="9.44140625" style="18" bestFit="1" customWidth="1"/>
    <col min="1057" max="1280" width="8.88671875" style="18"/>
    <col min="1281" max="1284" width="6.77734375" style="18" customWidth="1"/>
    <col min="1285" max="1285" width="16" style="18" customWidth="1"/>
    <col min="1286" max="1288" width="13.77734375" style="18" customWidth="1"/>
    <col min="1289" max="1289" width="1.77734375" style="18" customWidth="1"/>
    <col min="1290" max="1290" width="2.88671875" style="18" customWidth="1"/>
    <col min="1291" max="1291" width="2" style="18" customWidth="1"/>
    <col min="1292" max="1293" width="8.77734375" style="18" customWidth="1"/>
    <col min="1294" max="1294" width="10.77734375" style="18" customWidth="1"/>
    <col min="1295" max="1296" width="7.77734375" style="18" customWidth="1"/>
    <col min="1297" max="1297" width="8.109375" style="18" customWidth="1"/>
    <col min="1298" max="1298" width="6.88671875" style="18" customWidth="1"/>
    <col min="1299" max="1299" width="14.77734375" style="18" customWidth="1"/>
    <col min="1300" max="1301" width="6.88671875" style="18" customWidth="1"/>
    <col min="1302" max="1302" width="7.44140625" style="18" customWidth="1"/>
    <col min="1303" max="1303" width="6.88671875" style="18" customWidth="1"/>
    <col min="1304" max="1304" width="3" style="18" customWidth="1"/>
    <col min="1305" max="1305" width="14.77734375" style="18" customWidth="1"/>
    <col min="1306" max="1306" width="15.77734375" style="18" customWidth="1"/>
    <col min="1307" max="1307" width="15.44140625" style="18" bestFit="1" customWidth="1"/>
    <col min="1308" max="1308" width="17.5546875" style="18" bestFit="1" customWidth="1"/>
    <col min="1309" max="1309" width="12.21875" style="18" bestFit="1" customWidth="1"/>
    <col min="1310" max="1310" width="9" style="18" bestFit="1" customWidth="1"/>
    <col min="1311" max="1311" width="8.88671875" style="18"/>
    <col min="1312" max="1312" width="9.44140625" style="18" bestFit="1" customWidth="1"/>
    <col min="1313" max="1536" width="8.88671875" style="18"/>
    <col min="1537" max="1540" width="6.77734375" style="18" customWidth="1"/>
    <col min="1541" max="1541" width="16" style="18" customWidth="1"/>
    <col min="1542" max="1544" width="13.77734375" style="18" customWidth="1"/>
    <col min="1545" max="1545" width="1.77734375" style="18" customWidth="1"/>
    <col min="1546" max="1546" width="2.88671875" style="18" customWidth="1"/>
    <col min="1547" max="1547" width="2" style="18" customWidth="1"/>
    <col min="1548" max="1549" width="8.77734375" style="18" customWidth="1"/>
    <col min="1550" max="1550" width="10.77734375" style="18" customWidth="1"/>
    <col min="1551" max="1552" width="7.77734375" style="18" customWidth="1"/>
    <col min="1553" max="1553" width="8.109375" style="18" customWidth="1"/>
    <col min="1554" max="1554" width="6.88671875" style="18" customWidth="1"/>
    <col min="1555" max="1555" width="14.77734375" style="18" customWidth="1"/>
    <col min="1556" max="1557" width="6.88671875" style="18" customWidth="1"/>
    <col min="1558" max="1558" width="7.44140625" style="18" customWidth="1"/>
    <col min="1559" max="1559" width="6.88671875" style="18" customWidth="1"/>
    <col min="1560" max="1560" width="3" style="18" customWidth="1"/>
    <col min="1561" max="1561" width="14.77734375" style="18" customWidth="1"/>
    <col min="1562" max="1562" width="15.77734375" style="18" customWidth="1"/>
    <col min="1563" max="1563" width="15.44140625" style="18" bestFit="1" customWidth="1"/>
    <col min="1564" max="1564" width="17.5546875" style="18" bestFit="1" customWidth="1"/>
    <col min="1565" max="1565" width="12.21875" style="18" bestFit="1" customWidth="1"/>
    <col min="1566" max="1566" width="9" style="18" bestFit="1" customWidth="1"/>
    <col min="1567" max="1567" width="8.88671875" style="18"/>
    <col min="1568" max="1568" width="9.44140625" style="18" bestFit="1" customWidth="1"/>
    <col min="1569" max="1792" width="8.88671875" style="18"/>
    <col min="1793" max="1796" width="6.77734375" style="18" customWidth="1"/>
    <col min="1797" max="1797" width="16" style="18" customWidth="1"/>
    <col min="1798" max="1800" width="13.77734375" style="18" customWidth="1"/>
    <col min="1801" max="1801" width="1.77734375" style="18" customWidth="1"/>
    <col min="1802" max="1802" width="2.88671875" style="18" customWidth="1"/>
    <col min="1803" max="1803" width="2" style="18" customWidth="1"/>
    <col min="1804" max="1805" width="8.77734375" style="18" customWidth="1"/>
    <col min="1806" max="1806" width="10.77734375" style="18" customWidth="1"/>
    <col min="1807" max="1808" width="7.77734375" style="18" customWidth="1"/>
    <col min="1809" max="1809" width="8.109375" style="18" customWidth="1"/>
    <col min="1810" max="1810" width="6.88671875" style="18" customWidth="1"/>
    <col min="1811" max="1811" width="14.77734375" style="18" customWidth="1"/>
    <col min="1812" max="1813" width="6.88671875" style="18" customWidth="1"/>
    <col min="1814" max="1814" width="7.44140625" style="18" customWidth="1"/>
    <col min="1815" max="1815" width="6.88671875" style="18" customWidth="1"/>
    <col min="1816" max="1816" width="3" style="18" customWidth="1"/>
    <col min="1817" max="1817" width="14.77734375" style="18" customWidth="1"/>
    <col min="1818" max="1818" width="15.77734375" style="18" customWidth="1"/>
    <col min="1819" max="1819" width="15.44140625" style="18" bestFit="1" customWidth="1"/>
    <col min="1820" max="1820" width="17.5546875" style="18" bestFit="1" customWidth="1"/>
    <col min="1821" max="1821" width="12.21875" style="18" bestFit="1" customWidth="1"/>
    <col min="1822" max="1822" width="9" style="18" bestFit="1" customWidth="1"/>
    <col min="1823" max="1823" width="8.88671875" style="18"/>
    <col min="1824" max="1824" width="9.44140625" style="18" bestFit="1" customWidth="1"/>
    <col min="1825" max="2048" width="8.88671875" style="18"/>
    <col min="2049" max="2052" width="6.77734375" style="18" customWidth="1"/>
    <col min="2053" max="2053" width="16" style="18" customWidth="1"/>
    <col min="2054" max="2056" width="13.77734375" style="18" customWidth="1"/>
    <col min="2057" max="2057" width="1.77734375" style="18" customWidth="1"/>
    <col min="2058" max="2058" width="2.88671875" style="18" customWidth="1"/>
    <col min="2059" max="2059" width="2" style="18" customWidth="1"/>
    <col min="2060" max="2061" width="8.77734375" style="18" customWidth="1"/>
    <col min="2062" max="2062" width="10.77734375" style="18" customWidth="1"/>
    <col min="2063" max="2064" width="7.77734375" style="18" customWidth="1"/>
    <col min="2065" max="2065" width="8.109375" style="18" customWidth="1"/>
    <col min="2066" max="2066" width="6.88671875" style="18" customWidth="1"/>
    <col min="2067" max="2067" width="14.77734375" style="18" customWidth="1"/>
    <col min="2068" max="2069" width="6.88671875" style="18" customWidth="1"/>
    <col min="2070" max="2070" width="7.44140625" style="18" customWidth="1"/>
    <col min="2071" max="2071" width="6.88671875" style="18" customWidth="1"/>
    <col min="2072" max="2072" width="3" style="18" customWidth="1"/>
    <col min="2073" max="2073" width="14.77734375" style="18" customWidth="1"/>
    <col min="2074" max="2074" width="15.77734375" style="18" customWidth="1"/>
    <col min="2075" max="2075" width="15.44140625" style="18" bestFit="1" customWidth="1"/>
    <col min="2076" max="2076" width="17.5546875" style="18" bestFit="1" customWidth="1"/>
    <col min="2077" max="2077" width="12.21875" style="18" bestFit="1" customWidth="1"/>
    <col min="2078" max="2078" width="9" style="18" bestFit="1" customWidth="1"/>
    <col min="2079" max="2079" width="8.88671875" style="18"/>
    <col min="2080" max="2080" width="9.44140625" style="18" bestFit="1" customWidth="1"/>
    <col min="2081" max="2304" width="8.88671875" style="18"/>
    <col min="2305" max="2308" width="6.77734375" style="18" customWidth="1"/>
    <col min="2309" max="2309" width="16" style="18" customWidth="1"/>
    <col min="2310" max="2312" width="13.77734375" style="18" customWidth="1"/>
    <col min="2313" max="2313" width="1.77734375" style="18" customWidth="1"/>
    <col min="2314" max="2314" width="2.88671875" style="18" customWidth="1"/>
    <col min="2315" max="2315" width="2" style="18" customWidth="1"/>
    <col min="2316" max="2317" width="8.77734375" style="18" customWidth="1"/>
    <col min="2318" max="2318" width="10.77734375" style="18" customWidth="1"/>
    <col min="2319" max="2320" width="7.77734375" style="18" customWidth="1"/>
    <col min="2321" max="2321" width="8.109375" style="18" customWidth="1"/>
    <col min="2322" max="2322" width="6.88671875" style="18" customWidth="1"/>
    <col min="2323" max="2323" width="14.77734375" style="18" customWidth="1"/>
    <col min="2324" max="2325" width="6.88671875" style="18" customWidth="1"/>
    <col min="2326" max="2326" width="7.44140625" style="18" customWidth="1"/>
    <col min="2327" max="2327" width="6.88671875" style="18" customWidth="1"/>
    <col min="2328" max="2328" width="3" style="18" customWidth="1"/>
    <col min="2329" max="2329" width="14.77734375" style="18" customWidth="1"/>
    <col min="2330" max="2330" width="15.77734375" style="18" customWidth="1"/>
    <col min="2331" max="2331" width="15.44140625" style="18" bestFit="1" customWidth="1"/>
    <col min="2332" max="2332" width="17.5546875" style="18" bestFit="1" customWidth="1"/>
    <col min="2333" max="2333" width="12.21875" style="18" bestFit="1" customWidth="1"/>
    <col min="2334" max="2334" width="9" style="18" bestFit="1" customWidth="1"/>
    <col min="2335" max="2335" width="8.88671875" style="18"/>
    <col min="2336" max="2336" width="9.44140625" style="18" bestFit="1" customWidth="1"/>
    <col min="2337" max="2560" width="8.88671875" style="18"/>
    <col min="2561" max="2564" width="6.77734375" style="18" customWidth="1"/>
    <col min="2565" max="2565" width="16" style="18" customWidth="1"/>
    <col min="2566" max="2568" width="13.77734375" style="18" customWidth="1"/>
    <col min="2569" max="2569" width="1.77734375" style="18" customWidth="1"/>
    <col min="2570" max="2570" width="2.88671875" style="18" customWidth="1"/>
    <col min="2571" max="2571" width="2" style="18" customWidth="1"/>
    <col min="2572" max="2573" width="8.77734375" style="18" customWidth="1"/>
    <col min="2574" max="2574" width="10.77734375" style="18" customWidth="1"/>
    <col min="2575" max="2576" width="7.77734375" style="18" customWidth="1"/>
    <col min="2577" max="2577" width="8.109375" style="18" customWidth="1"/>
    <col min="2578" max="2578" width="6.88671875" style="18" customWidth="1"/>
    <col min="2579" max="2579" width="14.77734375" style="18" customWidth="1"/>
    <col min="2580" max="2581" width="6.88671875" style="18" customWidth="1"/>
    <col min="2582" max="2582" width="7.44140625" style="18" customWidth="1"/>
    <col min="2583" max="2583" width="6.88671875" style="18" customWidth="1"/>
    <col min="2584" max="2584" width="3" style="18" customWidth="1"/>
    <col min="2585" max="2585" width="14.77734375" style="18" customWidth="1"/>
    <col min="2586" max="2586" width="15.77734375" style="18" customWidth="1"/>
    <col min="2587" max="2587" width="15.44140625" style="18" bestFit="1" customWidth="1"/>
    <col min="2588" max="2588" width="17.5546875" style="18" bestFit="1" customWidth="1"/>
    <col min="2589" max="2589" width="12.21875" style="18" bestFit="1" customWidth="1"/>
    <col min="2590" max="2590" width="9" style="18" bestFit="1" customWidth="1"/>
    <col min="2591" max="2591" width="8.88671875" style="18"/>
    <col min="2592" max="2592" width="9.44140625" style="18" bestFit="1" customWidth="1"/>
    <col min="2593" max="2816" width="8.88671875" style="18"/>
    <col min="2817" max="2820" width="6.77734375" style="18" customWidth="1"/>
    <col min="2821" max="2821" width="16" style="18" customWidth="1"/>
    <col min="2822" max="2824" width="13.77734375" style="18" customWidth="1"/>
    <col min="2825" max="2825" width="1.77734375" style="18" customWidth="1"/>
    <col min="2826" max="2826" width="2.88671875" style="18" customWidth="1"/>
    <col min="2827" max="2827" width="2" style="18" customWidth="1"/>
    <col min="2828" max="2829" width="8.77734375" style="18" customWidth="1"/>
    <col min="2830" max="2830" width="10.77734375" style="18" customWidth="1"/>
    <col min="2831" max="2832" width="7.77734375" style="18" customWidth="1"/>
    <col min="2833" max="2833" width="8.109375" style="18" customWidth="1"/>
    <col min="2834" max="2834" width="6.88671875" style="18" customWidth="1"/>
    <col min="2835" max="2835" width="14.77734375" style="18" customWidth="1"/>
    <col min="2836" max="2837" width="6.88671875" style="18" customWidth="1"/>
    <col min="2838" max="2838" width="7.44140625" style="18" customWidth="1"/>
    <col min="2839" max="2839" width="6.88671875" style="18" customWidth="1"/>
    <col min="2840" max="2840" width="3" style="18" customWidth="1"/>
    <col min="2841" max="2841" width="14.77734375" style="18" customWidth="1"/>
    <col min="2842" max="2842" width="15.77734375" style="18" customWidth="1"/>
    <col min="2843" max="2843" width="15.44140625" style="18" bestFit="1" customWidth="1"/>
    <col min="2844" max="2844" width="17.5546875" style="18" bestFit="1" customWidth="1"/>
    <col min="2845" max="2845" width="12.21875" style="18" bestFit="1" customWidth="1"/>
    <col min="2846" max="2846" width="9" style="18" bestFit="1" customWidth="1"/>
    <col min="2847" max="2847" width="8.88671875" style="18"/>
    <col min="2848" max="2848" width="9.44140625" style="18" bestFit="1" customWidth="1"/>
    <col min="2849" max="3072" width="8.88671875" style="18"/>
    <col min="3073" max="3076" width="6.77734375" style="18" customWidth="1"/>
    <col min="3077" max="3077" width="16" style="18" customWidth="1"/>
    <col min="3078" max="3080" width="13.77734375" style="18" customWidth="1"/>
    <col min="3081" max="3081" width="1.77734375" style="18" customWidth="1"/>
    <col min="3082" max="3082" width="2.88671875" style="18" customWidth="1"/>
    <col min="3083" max="3083" width="2" style="18" customWidth="1"/>
    <col min="3084" max="3085" width="8.77734375" style="18" customWidth="1"/>
    <col min="3086" max="3086" width="10.77734375" style="18" customWidth="1"/>
    <col min="3087" max="3088" width="7.77734375" style="18" customWidth="1"/>
    <col min="3089" max="3089" width="8.109375" style="18" customWidth="1"/>
    <col min="3090" max="3090" width="6.88671875" style="18" customWidth="1"/>
    <col min="3091" max="3091" width="14.77734375" style="18" customWidth="1"/>
    <col min="3092" max="3093" width="6.88671875" style="18" customWidth="1"/>
    <col min="3094" max="3094" width="7.44140625" style="18" customWidth="1"/>
    <col min="3095" max="3095" width="6.88671875" style="18" customWidth="1"/>
    <col min="3096" max="3096" width="3" style="18" customWidth="1"/>
    <col min="3097" max="3097" width="14.77734375" style="18" customWidth="1"/>
    <col min="3098" max="3098" width="15.77734375" style="18" customWidth="1"/>
    <col min="3099" max="3099" width="15.44140625" style="18" bestFit="1" customWidth="1"/>
    <col min="3100" max="3100" width="17.5546875" style="18" bestFit="1" customWidth="1"/>
    <col min="3101" max="3101" width="12.21875" style="18" bestFit="1" customWidth="1"/>
    <col min="3102" max="3102" width="9" style="18" bestFit="1" customWidth="1"/>
    <col min="3103" max="3103" width="8.88671875" style="18"/>
    <col min="3104" max="3104" width="9.44140625" style="18" bestFit="1" customWidth="1"/>
    <col min="3105" max="3328" width="8.88671875" style="18"/>
    <col min="3329" max="3332" width="6.77734375" style="18" customWidth="1"/>
    <col min="3333" max="3333" width="16" style="18" customWidth="1"/>
    <col min="3334" max="3336" width="13.77734375" style="18" customWidth="1"/>
    <col min="3337" max="3337" width="1.77734375" style="18" customWidth="1"/>
    <col min="3338" max="3338" width="2.88671875" style="18" customWidth="1"/>
    <col min="3339" max="3339" width="2" style="18" customWidth="1"/>
    <col min="3340" max="3341" width="8.77734375" style="18" customWidth="1"/>
    <col min="3342" max="3342" width="10.77734375" style="18" customWidth="1"/>
    <col min="3343" max="3344" width="7.77734375" style="18" customWidth="1"/>
    <col min="3345" max="3345" width="8.109375" style="18" customWidth="1"/>
    <col min="3346" max="3346" width="6.88671875" style="18" customWidth="1"/>
    <col min="3347" max="3347" width="14.77734375" style="18" customWidth="1"/>
    <col min="3348" max="3349" width="6.88671875" style="18" customWidth="1"/>
    <col min="3350" max="3350" width="7.44140625" style="18" customWidth="1"/>
    <col min="3351" max="3351" width="6.88671875" style="18" customWidth="1"/>
    <col min="3352" max="3352" width="3" style="18" customWidth="1"/>
    <col min="3353" max="3353" width="14.77734375" style="18" customWidth="1"/>
    <col min="3354" max="3354" width="15.77734375" style="18" customWidth="1"/>
    <col min="3355" max="3355" width="15.44140625" style="18" bestFit="1" customWidth="1"/>
    <col min="3356" max="3356" width="17.5546875" style="18" bestFit="1" customWidth="1"/>
    <col min="3357" max="3357" width="12.21875" style="18" bestFit="1" customWidth="1"/>
    <col min="3358" max="3358" width="9" style="18" bestFit="1" customWidth="1"/>
    <col min="3359" max="3359" width="8.88671875" style="18"/>
    <col min="3360" max="3360" width="9.44140625" style="18" bestFit="1" customWidth="1"/>
    <col min="3361" max="3584" width="8.88671875" style="18"/>
    <col min="3585" max="3588" width="6.77734375" style="18" customWidth="1"/>
    <col min="3589" max="3589" width="16" style="18" customWidth="1"/>
    <col min="3590" max="3592" width="13.77734375" style="18" customWidth="1"/>
    <col min="3593" max="3593" width="1.77734375" style="18" customWidth="1"/>
    <col min="3594" max="3594" width="2.88671875" style="18" customWidth="1"/>
    <col min="3595" max="3595" width="2" style="18" customWidth="1"/>
    <col min="3596" max="3597" width="8.77734375" style="18" customWidth="1"/>
    <col min="3598" max="3598" width="10.77734375" style="18" customWidth="1"/>
    <col min="3599" max="3600" width="7.77734375" style="18" customWidth="1"/>
    <col min="3601" max="3601" width="8.109375" style="18" customWidth="1"/>
    <col min="3602" max="3602" width="6.88671875" style="18" customWidth="1"/>
    <col min="3603" max="3603" width="14.77734375" style="18" customWidth="1"/>
    <col min="3604" max="3605" width="6.88671875" style="18" customWidth="1"/>
    <col min="3606" max="3606" width="7.44140625" style="18" customWidth="1"/>
    <col min="3607" max="3607" width="6.88671875" style="18" customWidth="1"/>
    <col min="3608" max="3608" width="3" style="18" customWidth="1"/>
    <col min="3609" max="3609" width="14.77734375" style="18" customWidth="1"/>
    <col min="3610" max="3610" width="15.77734375" style="18" customWidth="1"/>
    <col min="3611" max="3611" width="15.44140625" style="18" bestFit="1" customWidth="1"/>
    <col min="3612" max="3612" width="17.5546875" style="18" bestFit="1" customWidth="1"/>
    <col min="3613" max="3613" width="12.21875" style="18" bestFit="1" customWidth="1"/>
    <col min="3614" max="3614" width="9" style="18" bestFit="1" customWidth="1"/>
    <col min="3615" max="3615" width="8.88671875" style="18"/>
    <col min="3616" max="3616" width="9.44140625" style="18" bestFit="1" customWidth="1"/>
    <col min="3617" max="3840" width="8.88671875" style="18"/>
    <col min="3841" max="3844" width="6.77734375" style="18" customWidth="1"/>
    <col min="3845" max="3845" width="16" style="18" customWidth="1"/>
    <col min="3846" max="3848" width="13.77734375" style="18" customWidth="1"/>
    <col min="3849" max="3849" width="1.77734375" style="18" customWidth="1"/>
    <col min="3850" max="3850" width="2.88671875" style="18" customWidth="1"/>
    <col min="3851" max="3851" width="2" style="18" customWidth="1"/>
    <col min="3852" max="3853" width="8.77734375" style="18" customWidth="1"/>
    <col min="3854" max="3854" width="10.77734375" style="18" customWidth="1"/>
    <col min="3855" max="3856" width="7.77734375" style="18" customWidth="1"/>
    <col min="3857" max="3857" width="8.109375" style="18" customWidth="1"/>
    <col min="3858" max="3858" width="6.88671875" style="18" customWidth="1"/>
    <col min="3859" max="3859" width="14.77734375" style="18" customWidth="1"/>
    <col min="3860" max="3861" width="6.88671875" style="18" customWidth="1"/>
    <col min="3862" max="3862" width="7.44140625" style="18" customWidth="1"/>
    <col min="3863" max="3863" width="6.88671875" style="18" customWidth="1"/>
    <col min="3864" max="3864" width="3" style="18" customWidth="1"/>
    <col min="3865" max="3865" width="14.77734375" style="18" customWidth="1"/>
    <col min="3866" max="3866" width="15.77734375" style="18" customWidth="1"/>
    <col min="3867" max="3867" width="15.44140625" style="18" bestFit="1" customWidth="1"/>
    <col min="3868" max="3868" width="17.5546875" style="18" bestFit="1" customWidth="1"/>
    <col min="3869" max="3869" width="12.21875" style="18" bestFit="1" customWidth="1"/>
    <col min="3870" max="3870" width="9" style="18" bestFit="1" customWidth="1"/>
    <col min="3871" max="3871" width="8.88671875" style="18"/>
    <col min="3872" max="3872" width="9.44140625" style="18" bestFit="1" customWidth="1"/>
    <col min="3873" max="4096" width="8.88671875" style="18"/>
    <col min="4097" max="4100" width="6.77734375" style="18" customWidth="1"/>
    <col min="4101" max="4101" width="16" style="18" customWidth="1"/>
    <col min="4102" max="4104" width="13.77734375" style="18" customWidth="1"/>
    <col min="4105" max="4105" width="1.77734375" style="18" customWidth="1"/>
    <col min="4106" max="4106" width="2.88671875" style="18" customWidth="1"/>
    <col min="4107" max="4107" width="2" style="18" customWidth="1"/>
    <col min="4108" max="4109" width="8.77734375" style="18" customWidth="1"/>
    <col min="4110" max="4110" width="10.77734375" style="18" customWidth="1"/>
    <col min="4111" max="4112" width="7.77734375" style="18" customWidth="1"/>
    <col min="4113" max="4113" width="8.109375" style="18" customWidth="1"/>
    <col min="4114" max="4114" width="6.88671875" style="18" customWidth="1"/>
    <col min="4115" max="4115" width="14.77734375" style="18" customWidth="1"/>
    <col min="4116" max="4117" width="6.88671875" style="18" customWidth="1"/>
    <col min="4118" max="4118" width="7.44140625" style="18" customWidth="1"/>
    <col min="4119" max="4119" width="6.88671875" style="18" customWidth="1"/>
    <col min="4120" max="4120" width="3" style="18" customWidth="1"/>
    <col min="4121" max="4121" width="14.77734375" style="18" customWidth="1"/>
    <col min="4122" max="4122" width="15.77734375" style="18" customWidth="1"/>
    <col min="4123" max="4123" width="15.44140625" style="18" bestFit="1" customWidth="1"/>
    <col min="4124" max="4124" width="17.5546875" style="18" bestFit="1" customWidth="1"/>
    <col min="4125" max="4125" width="12.21875" style="18" bestFit="1" customWidth="1"/>
    <col min="4126" max="4126" width="9" style="18" bestFit="1" customWidth="1"/>
    <col min="4127" max="4127" width="8.88671875" style="18"/>
    <col min="4128" max="4128" width="9.44140625" style="18" bestFit="1" customWidth="1"/>
    <col min="4129" max="4352" width="8.88671875" style="18"/>
    <col min="4353" max="4356" width="6.77734375" style="18" customWidth="1"/>
    <col min="4357" max="4357" width="16" style="18" customWidth="1"/>
    <col min="4358" max="4360" width="13.77734375" style="18" customWidth="1"/>
    <col min="4361" max="4361" width="1.77734375" style="18" customWidth="1"/>
    <col min="4362" max="4362" width="2.88671875" style="18" customWidth="1"/>
    <col min="4363" max="4363" width="2" style="18" customWidth="1"/>
    <col min="4364" max="4365" width="8.77734375" style="18" customWidth="1"/>
    <col min="4366" max="4366" width="10.77734375" style="18" customWidth="1"/>
    <col min="4367" max="4368" width="7.77734375" style="18" customWidth="1"/>
    <col min="4369" max="4369" width="8.109375" style="18" customWidth="1"/>
    <col min="4370" max="4370" width="6.88671875" style="18" customWidth="1"/>
    <col min="4371" max="4371" width="14.77734375" style="18" customWidth="1"/>
    <col min="4372" max="4373" width="6.88671875" style="18" customWidth="1"/>
    <col min="4374" max="4374" width="7.44140625" style="18" customWidth="1"/>
    <col min="4375" max="4375" width="6.88671875" style="18" customWidth="1"/>
    <col min="4376" max="4376" width="3" style="18" customWidth="1"/>
    <col min="4377" max="4377" width="14.77734375" style="18" customWidth="1"/>
    <col min="4378" max="4378" width="15.77734375" style="18" customWidth="1"/>
    <col min="4379" max="4379" width="15.44140625" style="18" bestFit="1" customWidth="1"/>
    <col min="4380" max="4380" width="17.5546875" style="18" bestFit="1" customWidth="1"/>
    <col min="4381" max="4381" width="12.21875" style="18" bestFit="1" customWidth="1"/>
    <col min="4382" max="4382" width="9" style="18" bestFit="1" customWidth="1"/>
    <col min="4383" max="4383" width="8.88671875" style="18"/>
    <col min="4384" max="4384" width="9.44140625" style="18" bestFit="1" customWidth="1"/>
    <col min="4385" max="4608" width="8.88671875" style="18"/>
    <col min="4609" max="4612" width="6.77734375" style="18" customWidth="1"/>
    <col min="4613" max="4613" width="16" style="18" customWidth="1"/>
    <col min="4614" max="4616" width="13.77734375" style="18" customWidth="1"/>
    <col min="4617" max="4617" width="1.77734375" style="18" customWidth="1"/>
    <col min="4618" max="4618" width="2.88671875" style="18" customWidth="1"/>
    <col min="4619" max="4619" width="2" style="18" customWidth="1"/>
    <col min="4620" max="4621" width="8.77734375" style="18" customWidth="1"/>
    <col min="4622" max="4622" width="10.77734375" style="18" customWidth="1"/>
    <col min="4623" max="4624" width="7.77734375" style="18" customWidth="1"/>
    <col min="4625" max="4625" width="8.109375" style="18" customWidth="1"/>
    <col min="4626" max="4626" width="6.88671875" style="18" customWidth="1"/>
    <col min="4627" max="4627" width="14.77734375" style="18" customWidth="1"/>
    <col min="4628" max="4629" width="6.88671875" style="18" customWidth="1"/>
    <col min="4630" max="4630" width="7.44140625" style="18" customWidth="1"/>
    <col min="4631" max="4631" width="6.88671875" style="18" customWidth="1"/>
    <col min="4632" max="4632" width="3" style="18" customWidth="1"/>
    <col min="4633" max="4633" width="14.77734375" style="18" customWidth="1"/>
    <col min="4634" max="4634" width="15.77734375" style="18" customWidth="1"/>
    <col min="4635" max="4635" width="15.44140625" style="18" bestFit="1" customWidth="1"/>
    <col min="4636" max="4636" width="17.5546875" style="18" bestFit="1" customWidth="1"/>
    <col min="4637" max="4637" width="12.21875" style="18" bestFit="1" customWidth="1"/>
    <col min="4638" max="4638" width="9" style="18" bestFit="1" customWidth="1"/>
    <col min="4639" max="4639" width="8.88671875" style="18"/>
    <col min="4640" max="4640" width="9.44140625" style="18" bestFit="1" customWidth="1"/>
    <col min="4641" max="4864" width="8.88671875" style="18"/>
    <col min="4865" max="4868" width="6.77734375" style="18" customWidth="1"/>
    <col min="4869" max="4869" width="16" style="18" customWidth="1"/>
    <col min="4870" max="4872" width="13.77734375" style="18" customWidth="1"/>
    <col min="4873" max="4873" width="1.77734375" style="18" customWidth="1"/>
    <col min="4874" max="4874" width="2.88671875" style="18" customWidth="1"/>
    <col min="4875" max="4875" width="2" style="18" customWidth="1"/>
    <col min="4876" max="4877" width="8.77734375" style="18" customWidth="1"/>
    <col min="4878" max="4878" width="10.77734375" style="18" customWidth="1"/>
    <col min="4879" max="4880" width="7.77734375" style="18" customWidth="1"/>
    <col min="4881" max="4881" width="8.109375" style="18" customWidth="1"/>
    <col min="4882" max="4882" width="6.88671875" style="18" customWidth="1"/>
    <col min="4883" max="4883" width="14.77734375" style="18" customWidth="1"/>
    <col min="4884" max="4885" width="6.88671875" style="18" customWidth="1"/>
    <col min="4886" max="4886" width="7.44140625" style="18" customWidth="1"/>
    <col min="4887" max="4887" width="6.88671875" style="18" customWidth="1"/>
    <col min="4888" max="4888" width="3" style="18" customWidth="1"/>
    <col min="4889" max="4889" width="14.77734375" style="18" customWidth="1"/>
    <col min="4890" max="4890" width="15.77734375" style="18" customWidth="1"/>
    <col min="4891" max="4891" width="15.44140625" style="18" bestFit="1" customWidth="1"/>
    <col min="4892" max="4892" width="17.5546875" style="18" bestFit="1" customWidth="1"/>
    <col min="4893" max="4893" width="12.21875" style="18" bestFit="1" customWidth="1"/>
    <col min="4894" max="4894" width="9" style="18" bestFit="1" customWidth="1"/>
    <col min="4895" max="4895" width="8.88671875" style="18"/>
    <col min="4896" max="4896" width="9.44140625" style="18" bestFit="1" customWidth="1"/>
    <col min="4897" max="5120" width="8.88671875" style="18"/>
    <col min="5121" max="5124" width="6.77734375" style="18" customWidth="1"/>
    <col min="5125" max="5125" width="16" style="18" customWidth="1"/>
    <col min="5126" max="5128" width="13.77734375" style="18" customWidth="1"/>
    <col min="5129" max="5129" width="1.77734375" style="18" customWidth="1"/>
    <col min="5130" max="5130" width="2.88671875" style="18" customWidth="1"/>
    <col min="5131" max="5131" width="2" style="18" customWidth="1"/>
    <col min="5132" max="5133" width="8.77734375" style="18" customWidth="1"/>
    <col min="5134" max="5134" width="10.77734375" style="18" customWidth="1"/>
    <col min="5135" max="5136" width="7.77734375" style="18" customWidth="1"/>
    <col min="5137" max="5137" width="8.109375" style="18" customWidth="1"/>
    <col min="5138" max="5138" width="6.88671875" style="18" customWidth="1"/>
    <col min="5139" max="5139" width="14.77734375" style="18" customWidth="1"/>
    <col min="5140" max="5141" width="6.88671875" style="18" customWidth="1"/>
    <col min="5142" max="5142" width="7.44140625" style="18" customWidth="1"/>
    <col min="5143" max="5143" width="6.88671875" style="18" customWidth="1"/>
    <col min="5144" max="5144" width="3" style="18" customWidth="1"/>
    <col min="5145" max="5145" width="14.77734375" style="18" customWidth="1"/>
    <col min="5146" max="5146" width="15.77734375" style="18" customWidth="1"/>
    <col min="5147" max="5147" width="15.44140625" style="18" bestFit="1" customWidth="1"/>
    <col min="5148" max="5148" width="17.5546875" style="18" bestFit="1" customWidth="1"/>
    <col min="5149" max="5149" width="12.21875" style="18" bestFit="1" customWidth="1"/>
    <col min="5150" max="5150" width="9" style="18" bestFit="1" customWidth="1"/>
    <col min="5151" max="5151" width="8.88671875" style="18"/>
    <col min="5152" max="5152" width="9.44140625" style="18" bestFit="1" customWidth="1"/>
    <col min="5153" max="5376" width="8.88671875" style="18"/>
    <col min="5377" max="5380" width="6.77734375" style="18" customWidth="1"/>
    <col min="5381" max="5381" width="16" style="18" customWidth="1"/>
    <col min="5382" max="5384" width="13.77734375" style="18" customWidth="1"/>
    <col min="5385" max="5385" width="1.77734375" style="18" customWidth="1"/>
    <col min="5386" max="5386" width="2.88671875" style="18" customWidth="1"/>
    <col min="5387" max="5387" width="2" style="18" customWidth="1"/>
    <col min="5388" max="5389" width="8.77734375" style="18" customWidth="1"/>
    <col min="5390" max="5390" width="10.77734375" style="18" customWidth="1"/>
    <col min="5391" max="5392" width="7.77734375" style="18" customWidth="1"/>
    <col min="5393" max="5393" width="8.109375" style="18" customWidth="1"/>
    <col min="5394" max="5394" width="6.88671875" style="18" customWidth="1"/>
    <col min="5395" max="5395" width="14.77734375" style="18" customWidth="1"/>
    <col min="5396" max="5397" width="6.88671875" style="18" customWidth="1"/>
    <col min="5398" max="5398" width="7.44140625" style="18" customWidth="1"/>
    <col min="5399" max="5399" width="6.88671875" style="18" customWidth="1"/>
    <col min="5400" max="5400" width="3" style="18" customWidth="1"/>
    <col min="5401" max="5401" width="14.77734375" style="18" customWidth="1"/>
    <col min="5402" max="5402" width="15.77734375" style="18" customWidth="1"/>
    <col min="5403" max="5403" width="15.44140625" style="18" bestFit="1" customWidth="1"/>
    <col min="5404" max="5404" width="17.5546875" style="18" bestFit="1" customWidth="1"/>
    <col min="5405" max="5405" width="12.21875" style="18" bestFit="1" customWidth="1"/>
    <col min="5406" max="5406" width="9" style="18" bestFit="1" customWidth="1"/>
    <col min="5407" max="5407" width="8.88671875" style="18"/>
    <col min="5408" max="5408" width="9.44140625" style="18" bestFit="1" customWidth="1"/>
    <col min="5409" max="5632" width="8.88671875" style="18"/>
    <col min="5633" max="5636" width="6.77734375" style="18" customWidth="1"/>
    <col min="5637" max="5637" width="16" style="18" customWidth="1"/>
    <col min="5638" max="5640" width="13.77734375" style="18" customWidth="1"/>
    <col min="5641" max="5641" width="1.77734375" style="18" customWidth="1"/>
    <col min="5642" max="5642" width="2.88671875" style="18" customWidth="1"/>
    <col min="5643" max="5643" width="2" style="18" customWidth="1"/>
    <col min="5644" max="5645" width="8.77734375" style="18" customWidth="1"/>
    <col min="5646" max="5646" width="10.77734375" style="18" customWidth="1"/>
    <col min="5647" max="5648" width="7.77734375" style="18" customWidth="1"/>
    <col min="5649" max="5649" width="8.109375" style="18" customWidth="1"/>
    <col min="5650" max="5650" width="6.88671875" style="18" customWidth="1"/>
    <col min="5651" max="5651" width="14.77734375" style="18" customWidth="1"/>
    <col min="5652" max="5653" width="6.88671875" style="18" customWidth="1"/>
    <col min="5654" max="5654" width="7.44140625" style="18" customWidth="1"/>
    <col min="5655" max="5655" width="6.88671875" style="18" customWidth="1"/>
    <col min="5656" max="5656" width="3" style="18" customWidth="1"/>
    <col min="5657" max="5657" width="14.77734375" style="18" customWidth="1"/>
    <col min="5658" max="5658" width="15.77734375" style="18" customWidth="1"/>
    <col min="5659" max="5659" width="15.44140625" style="18" bestFit="1" customWidth="1"/>
    <col min="5660" max="5660" width="17.5546875" style="18" bestFit="1" customWidth="1"/>
    <col min="5661" max="5661" width="12.21875" style="18" bestFit="1" customWidth="1"/>
    <col min="5662" max="5662" width="9" style="18" bestFit="1" customWidth="1"/>
    <col min="5663" max="5663" width="8.88671875" style="18"/>
    <col min="5664" max="5664" width="9.44140625" style="18" bestFit="1" customWidth="1"/>
    <col min="5665" max="5888" width="8.88671875" style="18"/>
    <col min="5889" max="5892" width="6.77734375" style="18" customWidth="1"/>
    <col min="5893" max="5893" width="16" style="18" customWidth="1"/>
    <col min="5894" max="5896" width="13.77734375" style="18" customWidth="1"/>
    <col min="5897" max="5897" width="1.77734375" style="18" customWidth="1"/>
    <col min="5898" max="5898" width="2.88671875" style="18" customWidth="1"/>
    <col min="5899" max="5899" width="2" style="18" customWidth="1"/>
    <col min="5900" max="5901" width="8.77734375" style="18" customWidth="1"/>
    <col min="5902" max="5902" width="10.77734375" style="18" customWidth="1"/>
    <col min="5903" max="5904" width="7.77734375" style="18" customWidth="1"/>
    <col min="5905" max="5905" width="8.109375" style="18" customWidth="1"/>
    <col min="5906" max="5906" width="6.88671875" style="18" customWidth="1"/>
    <col min="5907" max="5907" width="14.77734375" style="18" customWidth="1"/>
    <col min="5908" max="5909" width="6.88671875" style="18" customWidth="1"/>
    <col min="5910" max="5910" width="7.44140625" style="18" customWidth="1"/>
    <col min="5911" max="5911" width="6.88671875" style="18" customWidth="1"/>
    <col min="5912" max="5912" width="3" style="18" customWidth="1"/>
    <col min="5913" max="5913" width="14.77734375" style="18" customWidth="1"/>
    <col min="5914" max="5914" width="15.77734375" style="18" customWidth="1"/>
    <col min="5915" max="5915" width="15.44140625" style="18" bestFit="1" customWidth="1"/>
    <col min="5916" max="5916" width="17.5546875" style="18" bestFit="1" customWidth="1"/>
    <col min="5917" max="5917" width="12.21875" style="18" bestFit="1" customWidth="1"/>
    <col min="5918" max="5918" width="9" style="18" bestFit="1" customWidth="1"/>
    <col min="5919" max="5919" width="8.88671875" style="18"/>
    <col min="5920" max="5920" width="9.44140625" style="18" bestFit="1" customWidth="1"/>
    <col min="5921" max="6144" width="8.88671875" style="18"/>
    <col min="6145" max="6148" width="6.77734375" style="18" customWidth="1"/>
    <col min="6149" max="6149" width="16" style="18" customWidth="1"/>
    <col min="6150" max="6152" width="13.77734375" style="18" customWidth="1"/>
    <col min="6153" max="6153" width="1.77734375" style="18" customWidth="1"/>
    <col min="6154" max="6154" width="2.88671875" style="18" customWidth="1"/>
    <col min="6155" max="6155" width="2" style="18" customWidth="1"/>
    <col min="6156" max="6157" width="8.77734375" style="18" customWidth="1"/>
    <col min="6158" max="6158" width="10.77734375" style="18" customWidth="1"/>
    <col min="6159" max="6160" width="7.77734375" style="18" customWidth="1"/>
    <col min="6161" max="6161" width="8.109375" style="18" customWidth="1"/>
    <col min="6162" max="6162" width="6.88671875" style="18" customWidth="1"/>
    <col min="6163" max="6163" width="14.77734375" style="18" customWidth="1"/>
    <col min="6164" max="6165" width="6.88671875" style="18" customWidth="1"/>
    <col min="6166" max="6166" width="7.44140625" style="18" customWidth="1"/>
    <col min="6167" max="6167" width="6.88671875" style="18" customWidth="1"/>
    <col min="6168" max="6168" width="3" style="18" customWidth="1"/>
    <col min="6169" max="6169" width="14.77734375" style="18" customWidth="1"/>
    <col min="6170" max="6170" width="15.77734375" style="18" customWidth="1"/>
    <col min="6171" max="6171" width="15.44140625" style="18" bestFit="1" customWidth="1"/>
    <col min="6172" max="6172" width="17.5546875" style="18" bestFit="1" customWidth="1"/>
    <col min="6173" max="6173" width="12.21875" style="18" bestFit="1" customWidth="1"/>
    <col min="6174" max="6174" width="9" style="18" bestFit="1" customWidth="1"/>
    <col min="6175" max="6175" width="8.88671875" style="18"/>
    <col min="6176" max="6176" width="9.44140625" style="18" bestFit="1" customWidth="1"/>
    <col min="6177" max="6400" width="8.88671875" style="18"/>
    <col min="6401" max="6404" width="6.77734375" style="18" customWidth="1"/>
    <col min="6405" max="6405" width="16" style="18" customWidth="1"/>
    <col min="6406" max="6408" width="13.77734375" style="18" customWidth="1"/>
    <col min="6409" max="6409" width="1.77734375" style="18" customWidth="1"/>
    <col min="6410" max="6410" width="2.88671875" style="18" customWidth="1"/>
    <col min="6411" max="6411" width="2" style="18" customWidth="1"/>
    <col min="6412" max="6413" width="8.77734375" style="18" customWidth="1"/>
    <col min="6414" max="6414" width="10.77734375" style="18" customWidth="1"/>
    <col min="6415" max="6416" width="7.77734375" style="18" customWidth="1"/>
    <col min="6417" max="6417" width="8.109375" style="18" customWidth="1"/>
    <col min="6418" max="6418" width="6.88671875" style="18" customWidth="1"/>
    <col min="6419" max="6419" width="14.77734375" style="18" customWidth="1"/>
    <col min="6420" max="6421" width="6.88671875" style="18" customWidth="1"/>
    <col min="6422" max="6422" width="7.44140625" style="18" customWidth="1"/>
    <col min="6423" max="6423" width="6.88671875" style="18" customWidth="1"/>
    <col min="6424" max="6424" width="3" style="18" customWidth="1"/>
    <col min="6425" max="6425" width="14.77734375" style="18" customWidth="1"/>
    <col min="6426" max="6426" width="15.77734375" style="18" customWidth="1"/>
    <col min="6427" max="6427" width="15.44140625" style="18" bestFit="1" customWidth="1"/>
    <col min="6428" max="6428" width="17.5546875" style="18" bestFit="1" customWidth="1"/>
    <col min="6429" max="6429" width="12.21875" style="18" bestFit="1" customWidth="1"/>
    <col min="6430" max="6430" width="9" style="18" bestFit="1" customWidth="1"/>
    <col min="6431" max="6431" width="8.88671875" style="18"/>
    <col min="6432" max="6432" width="9.44140625" style="18" bestFit="1" customWidth="1"/>
    <col min="6433" max="6656" width="8.88671875" style="18"/>
    <col min="6657" max="6660" width="6.77734375" style="18" customWidth="1"/>
    <col min="6661" max="6661" width="16" style="18" customWidth="1"/>
    <col min="6662" max="6664" width="13.77734375" style="18" customWidth="1"/>
    <col min="6665" max="6665" width="1.77734375" style="18" customWidth="1"/>
    <col min="6666" max="6666" width="2.88671875" style="18" customWidth="1"/>
    <col min="6667" max="6667" width="2" style="18" customWidth="1"/>
    <col min="6668" max="6669" width="8.77734375" style="18" customWidth="1"/>
    <col min="6670" max="6670" width="10.77734375" style="18" customWidth="1"/>
    <col min="6671" max="6672" width="7.77734375" style="18" customWidth="1"/>
    <col min="6673" max="6673" width="8.109375" style="18" customWidth="1"/>
    <col min="6674" max="6674" width="6.88671875" style="18" customWidth="1"/>
    <col min="6675" max="6675" width="14.77734375" style="18" customWidth="1"/>
    <col min="6676" max="6677" width="6.88671875" style="18" customWidth="1"/>
    <col min="6678" max="6678" width="7.44140625" style="18" customWidth="1"/>
    <col min="6679" max="6679" width="6.88671875" style="18" customWidth="1"/>
    <col min="6680" max="6680" width="3" style="18" customWidth="1"/>
    <col min="6681" max="6681" width="14.77734375" style="18" customWidth="1"/>
    <col min="6682" max="6682" width="15.77734375" style="18" customWidth="1"/>
    <col min="6683" max="6683" width="15.44140625" style="18" bestFit="1" customWidth="1"/>
    <col min="6684" max="6684" width="17.5546875" style="18" bestFit="1" customWidth="1"/>
    <col min="6685" max="6685" width="12.21875" style="18" bestFit="1" customWidth="1"/>
    <col min="6686" max="6686" width="9" style="18" bestFit="1" customWidth="1"/>
    <col min="6687" max="6687" width="8.88671875" style="18"/>
    <col min="6688" max="6688" width="9.44140625" style="18" bestFit="1" customWidth="1"/>
    <col min="6689" max="6912" width="8.88671875" style="18"/>
    <col min="6913" max="6916" width="6.77734375" style="18" customWidth="1"/>
    <col min="6917" max="6917" width="16" style="18" customWidth="1"/>
    <col min="6918" max="6920" width="13.77734375" style="18" customWidth="1"/>
    <col min="6921" max="6921" width="1.77734375" style="18" customWidth="1"/>
    <col min="6922" max="6922" width="2.88671875" style="18" customWidth="1"/>
    <col min="6923" max="6923" width="2" style="18" customWidth="1"/>
    <col min="6924" max="6925" width="8.77734375" style="18" customWidth="1"/>
    <col min="6926" max="6926" width="10.77734375" style="18" customWidth="1"/>
    <col min="6927" max="6928" width="7.77734375" style="18" customWidth="1"/>
    <col min="6929" max="6929" width="8.109375" style="18" customWidth="1"/>
    <col min="6930" max="6930" width="6.88671875" style="18" customWidth="1"/>
    <col min="6931" max="6931" width="14.77734375" style="18" customWidth="1"/>
    <col min="6932" max="6933" width="6.88671875" style="18" customWidth="1"/>
    <col min="6934" max="6934" width="7.44140625" style="18" customWidth="1"/>
    <col min="6935" max="6935" width="6.88671875" style="18" customWidth="1"/>
    <col min="6936" max="6936" width="3" style="18" customWidth="1"/>
    <col min="6937" max="6937" width="14.77734375" style="18" customWidth="1"/>
    <col min="6938" max="6938" width="15.77734375" style="18" customWidth="1"/>
    <col min="6939" max="6939" width="15.44140625" style="18" bestFit="1" customWidth="1"/>
    <col min="6940" max="6940" width="17.5546875" style="18" bestFit="1" customWidth="1"/>
    <col min="6941" max="6941" width="12.21875" style="18" bestFit="1" customWidth="1"/>
    <col min="6942" max="6942" width="9" style="18" bestFit="1" customWidth="1"/>
    <col min="6943" max="6943" width="8.88671875" style="18"/>
    <col min="6944" max="6944" width="9.44140625" style="18" bestFit="1" customWidth="1"/>
    <col min="6945" max="7168" width="8.88671875" style="18"/>
    <col min="7169" max="7172" width="6.77734375" style="18" customWidth="1"/>
    <col min="7173" max="7173" width="16" style="18" customWidth="1"/>
    <col min="7174" max="7176" width="13.77734375" style="18" customWidth="1"/>
    <col min="7177" max="7177" width="1.77734375" style="18" customWidth="1"/>
    <col min="7178" max="7178" width="2.88671875" style="18" customWidth="1"/>
    <col min="7179" max="7179" width="2" style="18" customWidth="1"/>
    <col min="7180" max="7181" width="8.77734375" style="18" customWidth="1"/>
    <col min="7182" max="7182" width="10.77734375" style="18" customWidth="1"/>
    <col min="7183" max="7184" width="7.77734375" style="18" customWidth="1"/>
    <col min="7185" max="7185" width="8.109375" style="18" customWidth="1"/>
    <col min="7186" max="7186" width="6.88671875" style="18" customWidth="1"/>
    <col min="7187" max="7187" width="14.77734375" style="18" customWidth="1"/>
    <col min="7188" max="7189" width="6.88671875" style="18" customWidth="1"/>
    <col min="7190" max="7190" width="7.44140625" style="18" customWidth="1"/>
    <col min="7191" max="7191" width="6.88671875" style="18" customWidth="1"/>
    <col min="7192" max="7192" width="3" style="18" customWidth="1"/>
    <col min="7193" max="7193" width="14.77734375" style="18" customWidth="1"/>
    <col min="7194" max="7194" width="15.77734375" style="18" customWidth="1"/>
    <col min="7195" max="7195" width="15.44140625" style="18" bestFit="1" customWidth="1"/>
    <col min="7196" max="7196" width="17.5546875" style="18" bestFit="1" customWidth="1"/>
    <col min="7197" max="7197" width="12.21875" style="18" bestFit="1" customWidth="1"/>
    <col min="7198" max="7198" width="9" style="18" bestFit="1" customWidth="1"/>
    <col min="7199" max="7199" width="8.88671875" style="18"/>
    <col min="7200" max="7200" width="9.44140625" style="18" bestFit="1" customWidth="1"/>
    <col min="7201" max="7424" width="8.88671875" style="18"/>
    <col min="7425" max="7428" width="6.77734375" style="18" customWidth="1"/>
    <col min="7429" max="7429" width="16" style="18" customWidth="1"/>
    <col min="7430" max="7432" width="13.77734375" style="18" customWidth="1"/>
    <col min="7433" max="7433" width="1.77734375" style="18" customWidth="1"/>
    <col min="7434" max="7434" width="2.88671875" style="18" customWidth="1"/>
    <col min="7435" max="7435" width="2" style="18" customWidth="1"/>
    <col min="7436" max="7437" width="8.77734375" style="18" customWidth="1"/>
    <col min="7438" max="7438" width="10.77734375" style="18" customWidth="1"/>
    <col min="7439" max="7440" width="7.77734375" style="18" customWidth="1"/>
    <col min="7441" max="7441" width="8.109375" style="18" customWidth="1"/>
    <col min="7442" max="7442" width="6.88671875" style="18" customWidth="1"/>
    <col min="7443" max="7443" width="14.77734375" style="18" customWidth="1"/>
    <col min="7444" max="7445" width="6.88671875" style="18" customWidth="1"/>
    <col min="7446" max="7446" width="7.44140625" style="18" customWidth="1"/>
    <col min="7447" max="7447" width="6.88671875" style="18" customWidth="1"/>
    <col min="7448" max="7448" width="3" style="18" customWidth="1"/>
    <col min="7449" max="7449" width="14.77734375" style="18" customWidth="1"/>
    <col min="7450" max="7450" width="15.77734375" style="18" customWidth="1"/>
    <col min="7451" max="7451" width="15.44140625" style="18" bestFit="1" customWidth="1"/>
    <col min="7452" max="7452" width="17.5546875" style="18" bestFit="1" customWidth="1"/>
    <col min="7453" max="7453" width="12.21875" style="18" bestFit="1" customWidth="1"/>
    <col min="7454" max="7454" width="9" style="18" bestFit="1" customWidth="1"/>
    <col min="7455" max="7455" width="8.88671875" style="18"/>
    <col min="7456" max="7456" width="9.44140625" style="18" bestFit="1" customWidth="1"/>
    <col min="7457" max="7680" width="8.88671875" style="18"/>
    <col min="7681" max="7684" width="6.77734375" style="18" customWidth="1"/>
    <col min="7685" max="7685" width="16" style="18" customWidth="1"/>
    <col min="7686" max="7688" width="13.77734375" style="18" customWidth="1"/>
    <col min="7689" max="7689" width="1.77734375" style="18" customWidth="1"/>
    <col min="7690" max="7690" width="2.88671875" style="18" customWidth="1"/>
    <col min="7691" max="7691" width="2" style="18" customWidth="1"/>
    <col min="7692" max="7693" width="8.77734375" style="18" customWidth="1"/>
    <col min="7694" max="7694" width="10.77734375" style="18" customWidth="1"/>
    <col min="7695" max="7696" width="7.77734375" style="18" customWidth="1"/>
    <col min="7697" max="7697" width="8.109375" style="18" customWidth="1"/>
    <col min="7698" max="7698" width="6.88671875" style="18" customWidth="1"/>
    <col min="7699" max="7699" width="14.77734375" style="18" customWidth="1"/>
    <col min="7700" max="7701" width="6.88671875" style="18" customWidth="1"/>
    <col min="7702" max="7702" width="7.44140625" style="18" customWidth="1"/>
    <col min="7703" max="7703" width="6.88671875" style="18" customWidth="1"/>
    <col min="7704" max="7704" width="3" style="18" customWidth="1"/>
    <col min="7705" max="7705" width="14.77734375" style="18" customWidth="1"/>
    <col min="7706" max="7706" width="15.77734375" style="18" customWidth="1"/>
    <col min="7707" max="7707" width="15.44140625" style="18" bestFit="1" customWidth="1"/>
    <col min="7708" max="7708" width="17.5546875" style="18" bestFit="1" customWidth="1"/>
    <col min="7709" max="7709" width="12.21875" style="18" bestFit="1" customWidth="1"/>
    <col min="7710" max="7710" width="9" style="18" bestFit="1" customWidth="1"/>
    <col min="7711" max="7711" width="8.88671875" style="18"/>
    <col min="7712" max="7712" width="9.44140625" style="18" bestFit="1" customWidth="1"/>
    <col min="7713" max="7936" width="8.88671875" style="18"/>
    <col min="7937" max="7940" width="6.77734375" style="18" customWidth="1"/>
    <col min="7941" max="7941" width="16" style="18" customWidth="1"/>
    <col min="7942" max="7944" width="13.77734375" style="18" customWidth="1"/>
    <col min="7945" max="7945" width="1.77734375" style="18" customWidth="1"/>
    <col min="7946" max="7946" width="2.88671875" style="18" customWidth="1"/>
    <col min="7947" max="7947" width="2" style="18" customWidth="1"/>
    <col min="7948" max="7949" width="8.77734375" style="18" customWidth="1"/>
    <col min="7950" max="7950" width="10.77734375" style="18" customWidth="1"/>
    <col min="7951" max="7952" width="7.77734375" style="18" customWidth="1"/>
    <col min="7953" max="7953" width="8.109375" style="18" customWidth="1"/>
    <col min="7954" max="7954" width="6.88671875" style="18" customWidth="1"/>
    <col min="7955" max="7955" width="14.77734375" style="18" customWidth="1"/>
    <col min="7956" max="7957" width="6.88671875" style="18" customWidth="1"/>
    <col min="7958" max="7958" width="7.44140625" style="18" customWidth="1"/>
    <col min="7959" max="7959" width="6.88671875" style="18" customWidth="1"/>
    <col min="7960" max="7960" width="3" style="18" customWidth="1"/>
    <col min="7961" max="7961" width="14.77734375" style="18" customWidth="1"/>
    <col min="7962" max="7962" width="15.77734375" style="18" customWidth="1"/>
    <col min="7963" max="7963" width="15.44140625" style="18" bestFit="1" customWidth="1"/>
    <col min="7964" max="7964" width="17.5546875" style="18" bestFit="1" customWidth="1"/>
    <col min="7965" max="7965" width="12.21875" style="18" bestFit="1" customWidth="1"/>
    <col min="7966" max="7966" width="9" style="18" bestFit="1" customWidth="1"/>
    <col min="7967" max="7967" width="8.88671875" style="18"/>
    <col min="7968" max="7968" width="9.44140625" style="18" bestFit="1" customWidth="1"/>
    <col min="7969" max="8192" width="8.88671875" style="18"/>
    <col min="8193" max="8196" width="6.77734375" style="18" customWidth="1"/>
    <col min="8197" max="8197" width="16" style="18" customWidth="1"/>
    <col min="8198" max="8200" width="13.77734375" style="18" customWidth="1"/>
    <col min="8201" max="8201" width="1.77734375" style="18" customWidth="1"/>
    <col min="8202" max="8202" width="2.88671875" style="18" customWidth="1"/>
    <col min="8203" max="8203" width="2" style="18" customWidth="1"/>
    <col min="8204" max="8205" width="8.77734375" style="18" customWidth="1"/>
    <col min="8206" max="8206" width="10.77734375" style="18" customWidth="1"/>
    <col min="8207" max="8208" width="7.77734375" style="18" customWidth="1"/>
    <col min="8209" max="8209" width="8.109375" style="18" customWidth="1"/>
    <col min="8210" max="8210" width="6.88671875" style="18" customWidth="1"/>
    <col min="8211" max="8211" width="14.77734375" style="18" customWidth="1"/>
    <col min="8212" max="8213" width="6.88671875" style="18" customWidth="1"/>
    <col min="8214" max="8214" width="7.44140625" style="18" customWidth="1"/>
    <col min="8215" max="8215" width="6.88671875" style="18" customWidth="1"/>
    <col min="8216" max="8216" width="3" style="18" customWidth="1"/>
    <col min="8217" max="8217" width="14.77734375" style="18" customWidth="1"/>
    <col min="8218" max="8218" width="15.77734375" style="18" customWidth="1"/>
    <col min="8219" max="8219" width="15.44140625" style="18" bestFit="1" customWidth="1"/>
    <col min="8220" max="8220" width="17.5546875" style="18" bestFit="1" customWidth="1"/>
    <col min="8221" max="8221" width="12.21875" style="18" bestFit="1" customWidth="1"/>
    <col min="8222" max="8222" width="9" style="18" bestFit="1" customWidth="1"/>
    <col min="8223" max="8223" width="8.88671875" style="18"/>
    <col min="8224" max="8224" width="9.44140625" style="18" bestFit="1" customWidth="1"/>
    <col min="8225" max="8448" width="8.88671875" style="18"/>
    <col min="8449" max="8452" width="6.77734375" style="18" customWidth="1"/>
    <col min="8453" max="8453" width="16" style="18" customWidth="1"/>
    <col min="8454" max="8456" width="13.77734375" style="18" customWidth="1"/>
    <col min="8457" max="8457" width="1.77734375" style="18" customWidth="1"/>
    <col min="8458" max="8458" width="2.88671875" style="18" customWidth="1"/>
    <col min="8459" max="8459" width="2" style="18" customWidth="1"/>
    <col min="8460" max="8461" width="8.77734375" style="18" customWidth="1"/>
    <col min="8462" max="8462" width="10.77734375" style="18" customWidth="1"/>
    <col min="8463" max="8464" width="7.77734375" style="18" customWidth="1"/>
    <col min="8465" max="8465" width="8.109375" style="18" customWidth="1"/>
    <col min="8466" max="8466" width="6.88671875" style="18" customWidth="1"/>
    <col min="8467" max="8467" width="14.77734375" style="18" customWidth="1"/>
    <col min="8468" max="8469" width="6.88671875" style="18" customWidth="1"/>
    <col min="8470" max="8470" width="7.44140625" style="18" customWidth="1"/>
    <col min="8471" max="8471" width="6.88671875" style="18" customWidth="1"/>
    <col min="8472" max="8472" width="3" style="18" customWidth="1"/>
    <col min="8473" max="8473" width="14.77734375" style="18" customWidth="1"/>
    <col min="8474" max="8474" width="15.77734375" style="18" customWidth="1"/>
    <col min="8475" max="8475" width="15.44140625" style="18" bestFit="1" customWidth="1"/>
    <col min="8476" max="8476" width="17.5546875" style="18" bestFit="1" customWidth="1"/>
    <col min="8477" max="8477" width="12.21875" style="18" bestFit="1" customWidth="1"/>
    <col min="8478" max="8478" width="9" style="18" bestFit="1" customWidth="1"/>
    <col min="8479" max="8479" width="8.88671875" style="18"/>
    <col min="8480" max="8480" width="9.44140625" style="18" bestFit="1" customWidth="1"/>
    <col min="8481" max="8704" width="8.88671875" style="18"/>
    <col min="8705" max="8708" width="6.77734375" style="18" customWidth="1"/>
    <col min="8709" max="8709" width="16" style="18" customWidth="1"/>
    <col min="8710" max="8712" width="13.77734375" style="18" customWidth="1"/>
    <col min="8713" max="8713" width="1.77734375" style="18" customWidth="1"/>
    <col min="8714" max="8714" width="2.88671875" style="18" customWidth="1"/>
    <col min="8715" max="8715" width="2" style="18" customWidth="1"/>
    <col min="8716" max="8717" width="8.77734375" style="18" customWidth="1"/>
    <col min="8718" max="8718" width="10.77734375" style="18" customWidth="1"/>
    <col min="8719" max="8720" width="7.77734375" style="18" customWidth="1"/>
    <col min="8721" max="8721" width="8.109375" style="18" customWidth="1"/>
    <col min="8722" max="8722" width="6.88671875" style="18" customWidth="1"/>
    <col min="8723" max="8723" width="14.77734375" style="18" customWidth="1"/>
    <col min="8724" max="8725" width="6.88671875" style="18" customWidth="1"/>
    <col min="8726" max="8726" width="7.44140625" style="18" customWidth="1"/>
    <col min="8727" max="8727" width="6.88671875" style="18" customWidth="1"/>
    <col min="8728" max="8728" width="3" style="18" customWidth="1"/>
    <col min="8729" max="8729" width="14.77734375" style="18" customWidth="1"/>
    <col min="8730" max="8730" width="15.77734375" style="18" customWidth="1"/>
    <col min="8731" max="8731" width="15.44140625" style="18" bestFit="1" customWidth="1"/>
    <col min="8732" max="8732" width="17.5546875" style="18" bestFit="1" customWidth="1"/>
    <col min="8733" max="8733" width="12.21875" style="18" bestFit="1" customWidth="1"/>
    <col min="8734" max="8734" width="9" style="18" bestFit="1" customWidth="1"/>
    <col min="8735" max="8735" width="8.88671875" style="18"/>
    <col min="8736" max="8736" width="9.44140625" style="18" bestFit="1" customWidth="1"/>
    <col min="8737" max="8960" width="8.88671875" style="18"/>
    <col min="8961" max="8964" width="6.77734375" style="18" customWidth="1"/>
    <col min="8965" max="8965" width="16" style="18" customWidth="1"/>
    <col min="8966" max="8968" width="13.77734375" style="18" customWidth="1"/>
    <col min="8969" max="8969" width="1.77734375" style="18" customWidth="1"/>
    <col min="8970" max="8970" width="2.88671875" style="18" customWidth="1"/>
    <col min="8971" max="8971" width="2" style="18" customWidth="1"/>
    <col min="8972" max="8973" width="8.77734375" style="18" customWidth="1"/>
    <col min="8974" max="8974" width="10.77734375" style="18" customWidth="1"/>
    <col min="8975" max="8976" width="7.77734375" style="18" customWidth="1"/>
    <col min="8977" max="8977" width="8.109375" style="18" customWidth="1"/>
    <col min="8978" max="8978" width="6.88671875" style="18" customWidth="1"/>
    <col min="8979" max="8979" width="14.77734375" style="18" customWidth="1"/>
    <col min="8980" max="8981" width="6.88671875" style="18" customWidth="1"/>
    <col min="8982" max="8982" width="7.44140625" style="18" customWidth="1"/>
    <col min="8983" max="8983" width="6.88671875" style="18" customWidth="1"/>
    <col min="8984" max="8984" width="3" style="18" customWidth="1"/>
    <col min="8985" max="8985" width="14.77734375" style="18" customWidth="1"/>
    <col min="8986" max="8986" width="15.77734375" style="18" customWidth="1"/>
    <col min="8987" max="8987" width="15.44140625" style="18" bestFit="1" customWidth="1"/>
    <col min="8988" max="8988" width="17.5546875" style="18" bestFit="1" customWidth="1"/>
    <col min="8989" max="8989" width="12.21875" style="18" bestFit="1" customWidth="1"/>
    <col min="8990" max="8990" width="9" style="18" bestFit="1" customWidth="1"/>
    <col min="8991" max="8991" width="8.88671875" style="18"/>
    <col min="8992" max="8992" width="9.44140625" style="18" bestFit="1" customWidth="1"/>
    <col min="8993" max="9216" width="8.88671875" style="18"/>
    <col min="9217" max="9220" width="6.77734375" style="18" customWidth="1"/>
    <col min="9221" max="9221" width="16" style="18" customWidth="1"/>
    <col min="9222" max="9224" width="13.77734375" style="18" customWidth="1"/>
    <col min="9225" max="9225" width="1.77734375" style="18" customWidth="1"/>
    <col min="9226" max="9226" width="2.88671875" style="18" customWidth="1"/>
    <col min="9227" max="9227" width="2" style="18" customWidth="1"/>
    <col min="9228" max="9229" width="8.77734375" style="18" customWidth="1"/>
    <col min="9230" max="9230" width="10.77734375" style="18" customWidth="1"/>
    <col min="9231" max="9232" width="7.77734375" style="18" customWidth="1"/>
    <col min="9233" max="9233" width="8.109375" style="18" customWidth="1"/>
    <col min="9234" max="9234" width="6.88671875" style="18" customWidth="1"/>
    <col min="9235" max="9235" width="14.77734375" style="18" customWidth="1"/>
    <col min="9236" max="9237" width="6.88671875" style="18" customWidth="1"/>
    <col min="9238" max="9238" width="7.44140625" style="18" customWidth="1"/>
    <col min="9239" max="9239" width="6.88671875" style="18" customWidth="1"/>
    <col min="9240" max="9240" width="3" style="18" customWidth="1"/>
    <col min="9241" max="9241" width="14.77734375" style="18" customWidth="1"/>
    <col min="9242" max="9242" width="15.77734375" style="18" customWidth="1"/>
    <col min="9243" max="9243" width="15.44140625" style="18" bestFit="1" customWidth="1"/>
    <col min="9244" max="9244" width="17.5546875" style="18" bestFit="1" customWidth="1"/>
    <col min="9245" max="9245" width="12.21875" style="18" bestFit="1" customWidth="1"/>
    <col min="9246" max="9246" width="9" style="18" bestFit="1" customWidth="1"/>
    <col min="9247" max="9247" width="8.88671875" style="18"/>
    <col min="9248" max="9248" width="9.44140625" style="18" bestFit="1" customWidth="1"/>
    <col min="9249" max="9472" width="8.88671875" style="18"/>
    <col min="9473" max="9476" width="6.77734375" style="18" customWidth="1"/>
    <col min="9477" max="9477" width="16" style="18" customWidth="1"/>
    <col min="9478" max="9480" width="13.77734375" style="18" customWidth="1"/>
    <col min="9481" max="9481" width="1.77734375" style="18" customWidth="1"/>
    <col min="9482" max="9482" width="2.88671875" style="18" customWidth="1"/>
    <col min="9483" max="9483" width="2" style="18" customWidth="1"/>
    <col min="9484" max="9485" width="8.77734375" style="18" customWidth="1"/>
    <col min="9486" max="9486" width="10.77734375" style="18" customWidth="1"/>
    <col min="9487" max="9488" width="7.77734375" style="18" customWidth="1"/>
    <col min="9489" max="9489" width="8.109375" style="18" customWidth="1"/>
    <col min="9490" max="9490" width="6.88671875" style="18" customWidth="1"/>
    <col min="9491" max="9491" width="14.77734375" style="18" customWidth="1"/>
    <col min="9492" max="9493" width="6.88671875" style="18" customWidth="1"/>
    <col min="9494" max="9494" width="7.44140625" style="18" customWidth="1"/>
    <col min="9495" max="9495" width="6.88671875" style="18" customWidth="1"/>
    <col min="9496" max="9496" width="3" style="18" customWidth="1"/>
    <col min="9497" max="9497" width="14.77734375" style="18" customWidth="1"/>
    <col min="9498" max="9498" width="15.77734375" style="18" customWidth="1"/>
    <col min="9499" max="9499" width="15.44140625" style="18" bestFit="1" customWidth="1"/>
    <col min="9500" max="9500" width="17.5546875" style="18" bestFit="1" customWidth="1"/>
    <col min="9501" max="9501" width="12.21875" style="18" bestFit="1" customWidth="1"/>
    <col min="9502" max="9502" width="9" style="18" bestFit="1" customWidth="1"/>
    <col min="9503" max="9503" width="8.88671875" style="18"/>
    <col min="9504" max="9504" width="9.44140625" style="18" bestFit="1" customWidth="1"/>
    <col min="9505" max="9728" width="8.88671875" style="18"/>
    <col min="9729" max="9732" width="6.77734375" style="18" customWidth="1"/>
    <col min="9733" max="9733" width="16" style="18" customWidth="1"/>
    <col min="9734" max="9736" width="13.77734375" style="18" customWidth="1"/>
    <col min="9737" max="9737" width="1.77734375" style="18" customWidth="1"/>
    <col min="9738" max="9738" width="2.88671875" style="18" customWidth="1"/>
    <col min="9739" max="9739" width="2" style="18" customWidth="1"/>
    <col min="9740" max="9741" width="8.77734375" style="18" customWidth="1"/>
    <col min="9742" max="9742" width="10.77734375" style="18" customWidth="1"/>
    <col min="9743" max="9744" width="7.77734375" style="18" customWidth="1"/>
    <col min="9745" max="9745" width="8.109375" style="18" customWidth="1"/>
    <col min="9746" max="9746" width="6.88671875" style="18" customWidth="1"/>
    <col min="9747" max="9747" width="14.77734375" style="18" customWidth="1"/>
    <col min="9748" max="9749" width="6.88671875" style="18" customWidth="1"/>
    <col min="9750" max="9750" width="7.44140625" style="18" customWidth="1"/>
    <col min="9751" max="9751" width="6.88671875" style="18" customWidth="1"/>
    <col min="9752" max="9752" width="3" style="18" customWidth="1"/>
    <col min="9753" max="9753" width="14.77734375" style="18" customWidth="1"/>
    <col min="9754" max="9754" width="15.77734375" style="18" customWidth="1"/>
    <col min="9755" max="9755" width="15.44140625" style="18" bestFit="1" customWidth="1"/>
    <col min="9756" max="9756" width="17.5546875" style="18" bestFit="1" customWidth="1"/>
    <col min="9757" max="9757" width="12.21875" style="18" bestFit="1" customWidth="1"/>
    <col min="9758" max="9758" width="9" style="18" bestFit="1" customWidth="1"/>
    <col min="9759" max="9759" width="8.88671875" style="18"/>
    <col min="9760" max="9760" width="9.44140625" style="18" bestFit="1" customWidth="1"/>
    <col min="9761" max="9984" width="8.88671875" style="18"/>
    <col min="9985" max="9988" width="6.77734375" style="18" customWidth="1"/>
    <col min="9989" max="9989" width="16" style="18" customWidth="1"/>
    <col min="9990" max="9992" width="13.77734375" style="18" customWidth="1"/>
    <col min="9993" max="9993" width="1.77734375" style="18" customWidth="1"/>
    <col min="9994" max="9994" width="2.88671875" style="18" customWidth="1"/>
    <col min="9995" max="9995" width="2" style="18" customWidth="1"/>
    <col min="9996" max="9997" width="8.77734375" style="18" customWidth="1"/>
    <col min="9998" max="9998" width="10.77734375" style="18" customWidth="1"/>
    <col min="9999" max="10000" width="7.77734375" style="18" customWidth="1"/>
    <col min="10001" max="10001" width="8.109375" style="18" customWidth="1"/>
    <col min="10002" max="10002" width="6.88671875" style="18" customWidth="1"/>
    <col min="10003" max="10003" width="14.77734375" style="18" customWidth="1"/>
    <col min="10004" max="10005" width="6.88671875" style="18" customWidth="1"/>
    <col min="10006" max="10006" width="7.44140625" style="18" customWidth="1"/>
    <col min="10007" max="10007" width="6.88671875" style="18" customWidth="1"/>
    <col min="10008" max="10008" width="3" style="18" customWidth="1"/>
    <col min="10009" max="10009" width="14.77734375" style="18" customWidth="1"/>
    <col min="10010" max="10010" width="15.77734375" style="18" customWidth="1"/>
    <col min="10011" max="10011" width="15.44140625" style="18" bestFit="1" customWidth="1"/>
    <col min="10012" max="10012" width="17.5546875" style="18" bestFit="1" customWidth="1"/>
    <col min="10013" max="10013" width="12.21875" style="18" bestFit="1" customWidth="1"/>
    <col min="10014" max="10014" width="9" style="18" bestFit="1" customWidth="1"/>
    <col min="10015" max="10015" width="8.88671875" style="18"/>
    <col min="10016" max="10016" width="9.44140625" style="18" bestFit="1" customWidth="1"/>
    <col min="10017" max="10240" width="8.88671875" style="18"/>
    <col min="10241" max="10244" width="6.77734375" style="18" customWidth="1"/>
    <col min="10245" max="10245" width="16" style="18" customWidth="1"/>
    <col min="10246" max="10248" width="13.77734375" style="18" customWidth="1"/>
    <col min="10249" max="10249" width="1.77734375" style="18" customWidth="1"/>
    <col min="10250" max="10250" width="2.88671875" style="18" customWidth="1"/>
    <col min="10251" max="10251" width="2" style="18" customWidth="1"/>
    <col min="10252" max="10253" width="8.77734375" style="18" customWidth="1"/>
    <col min="10254" max="10254" width="10.77734375" style="18" customWidth="1"/>
    <col min="10255" max="10256" width="7.77734375" style="18" customWidth="1"/>
    <col min="10257" max="10257" width="8.109375" style="18" customWidth="1"/>
    <col min="10258" max="10258" width="6.88671875" style="18" customWidth="1"/>
    <col min="10259" max="10259" width="14.77734375" style="18" customWidth="1"/>
    <col min="10260" max="10261" width="6.88671875" style="18" customWidth="1"/>
    <col min="10262" max="10262" width="7.44140625" style="18" customWidth="1"/>
    <col min="10263" max="10263" width="6.88671875" style="18" customWidth="1"/>
    <col min="10264" max="10264" width="3" style="18" customWidth="1"/>
    <col min="10265" max="10265" width="14.77734375" style="18" customWidth="1"/>
    <col min="10266" max="10266" width="15.77734375" style="18" customWidth="1"/>
    <col min="10267" max="10267" width="15.44140625" style="18" bestFit="1" customWidth="1"/>
    <col min="10268" max="10268" width="17.5546875" style="18" bestFit="1" customWidth="1"/>
    <col min="10269" max="10269" width="12.21875" style="18" bestFit="1" customWidth="1"/>
    <col min="10270" max="10270" width="9" style="18" bestFit="1" customWidth="1"/>
    <col min="10271" max="10271" width="8.88671875" style="18"/>
    <col min="10272" max="10272" width="9.44140625" style="18" bestFit="1" customWidth="1"/>
    <col min="10273" max="10496" width="8.88671875" style="18"/>
    <col min="10497" max="10500" width="6.77734375" style="18" customWidth="1"/>
    <col min="10501" max="10501" width="16" style="18" customWidth="1"/>
    <col min="10502" max="10504" width="13.77734375" style="18" customWidth="1"/>
    <col min="10505" max="10505" width="1.77734375" style="18" customWidth="1"/>
    <col min="10506" max="10506" width="2.88671875" style="18" customWidth="1"/>
    <col min="10507" max="10507" width="2" style="18" customWidth="1"/>
    <col min="10508" max="10509" width="8.77734375" style="18" customWidth="1"/>
    <col min="10510" max="10510" width="10.77734375" style="18" customWidth="1"/>
    <col min="10511" max="10512" width="7.77734375" style="18" customWidth="1"/>
    <col min="10513" max="10513" width="8.109375" style="18" customWidth="1"/>
    <col min="10514" max="10514" width="6.88671875" style="18" customWidth="1"/>
    <col min="10515" max="10515" width="14.77734375" style="18" customWidth="1"/>
    <col min="10516" max="10517" width="6.88671875" style="18" customWidth="1"/>
    <col min="10518" max="10518" width="7.44140625" style="18" customWidth="1"/>
    <col min="10519" max="10519" width="6.88671875" style="18" customWidth="1"/>
    <col min="10520" max="10520" width="3" style="18" customWidth="1"/>
    <col min="10521" max="10521" width="14.77734375" style="18" customWidth="1"/>
    <col min="10522" max="10522" width="15.77734375" style="18" customWidth="1"/>
    <col min="10523" max="10523" width="15.44140625" style="18" bestFit="1" customWidth="1"/>
    <col min="10524" max="10524" width="17.5546875" style="18" bestFit="1" customWidth="1"/>
    <col min="10525" max="10525" width="12.21875" style="18" bestFit="1" customWidth="1"/>
    <col min="10526" max="10526" width="9" style="18" bestFit="1" customWidth="1"/>
    <col min="10527" max="10527" width="8.88671875" style="18"/>
    <col min="10528" max="10528" width="9.44140625" style="18" bestFit="1" customWidth="1"/>
    <col min="10529" max="10752" width="8.88671875" style="18"/>
    <col min="10753" max="10756" width="6.77734375" style="18" customWidth="1"/>
    <col min="10757" max="10757" width="16" style="18" customWidth="1"/>
    <col min="10758" max="10760" width="13.77734375" style="18" customWidth="1"/>
    <col min="10761" max="10761" width="1.77734375" style="18" customWidth="1"/>
    <col min="10762" max="10762" width="2.88671875" style="18" customWidth="1"/>
    <col min="10763" max="10763" width="2" style="18" customWidth="1"/>
    <col min="10764" max="10765" width="8.77734375" style="18" customWidth="1"/>
    <col min="10766" max="10766" width="10.77734375" style="18" customWidth="1"/>
    <col min="10767" max="10768" width="7.77734375" style="18" customWidth="1"/>
    <col min="10769" max="10769" width="8.109375" style="18" customWidth="1"/>
    <col min="10770" max="10770" width="6.88671875" style="18" customWidth="1"/>
    <col min="10771" max="10771" width="14.77734375" style="18" customWidth="1"/>
    <col min="10772" max="10773" width="6.88671875" style="18" customWidth="1"/>
    <col min="10774" max="10774" width="7.44140625" style="18" customWidth="1"/>
    <col min="10775" max="10775" width="6.88671875" style="18" customWidth="1"/>
    <col min="10776" max="10776" width="3" style="18" customWidth="1"/>
    <col min="10777" max="10777" width="14.77734375" style="18" customWidth="1"/>
    <col min="10778" max="10778" width="15.77734375" style="18" customWidth="1"/>
    <col min="10779" max="10779" width="15.44140625" style="18" bestFit="1" customWidth="1"/>
    <col min="10780" max="10780" width="17.5546875" style="18" bestFit="1" customWidth="1"/>
    <col min="10781" max="10781" width="12.21875" style="18" bestFit="1" customWidth="1"/>
    <col min="10782" max="10782" width="9" style="18" bestFit="1" customWidth="1"/>
    <col min="10783" max="10783" width="8.88671875" style="18"/>
    <col min="10784" max="10784" width="9.44140625" style="18" bestFit="1" customWidth="1"/>
    <col min="10785" max="11008" width="8.88671875" style="18"/>
    <col min="11009" max="11012" width="6.77734375" style="18" customWidth="1"/>
    <col min="11013" max="11013" width="16" style="18" customWidth="1"/>
    <col min="11014" max="11016" width="13.77734375" style="18" customWidth="1"/>
    <col min="11017" max="11017" width="1.77734375" style="18" customWidth="1"/>
    <col min="11018" max="11018" width="2.88671875" style="18" customWidth="1"/>
    <col min="11019" max="11019" width="2" style="18" customWidth="1"/>
    <col min="11020" max="11021" width="8.77734375" style="18" customWidth="1"/>
    <col min="11022" max="11022" width="10.77734375" style="18" customWidth="1"/>
    <col min="11023" max="11024" width="7.77734375" style="18" customWidth="1"/>
    <col min="11025" max="11025" width="8.109375" style="18" customWidth="1"/>
    <col min="11026" max="11026" width="6.88671875" style="18" customWidth="1"/>
    <col min="11027" max="11027" width="14.77734375" style="18" customWidth="1"/>
    <col min="11028" max="11029" width="6.88671875" style="18" customWidth="1"/>
    <col min="11030" max="11030" width="7.44140625" style="18" customWidth="1"/>
    <col min="11031" max="11031" width="6.88671875" style="18" customWidth="1"/>
    <col min="11032" max="11032" width="3" style="18" customWidth="1"/>
    <col min="11033" max="11033" width="14.77734375" style="18" customWidth="1"/>
    <col min="11034" max="11034" width="15.77734375" style="18" customWidth="1"/>
    <col min="11035" max="11035" width="15.44140625" style="18" bestFit="1" customWidth="1"/>
    <col min="11036" max="11036" width="17.5546875" style="18" bestFit="1" customWidth="1"/>
    <col min="11037" max="11037" width="12.21875" style="18" bestFit="1" customWidth="1"/>
    <col min="11038" max="11038" width="9" style="18" bestFit="1" customWidth="1"/>
    <col min="11039" max="11039" width="8.88671875" style="18"/>
    <col min="11040" max="11040" width="9.44140625" style="18" bestFit="1" customWidth="1"/>
    <col min="11041" max="11264" width="8.88671875" style="18"/>
    <col min="11265" max="11268" width="6.77734375" style="18" customWidth="1"/>
    <col min="11269" max="11269" width="16" style="18" customWidth="1"/>
    <col min="11270" max="11272" width="13.77734375" style="18" customWidth="1"/>
    <col min="11273" max="11273" width="1.77734375" style="18" customWidth="1"/>
    <col min="11274" max="11274" width="2.88671875" style="18" customWidth="1"/>
    <col min="11275" max="11275" width="2" style="18" customWidth="1"/>
    <col min="11276" max="11277" width="8.77734375" style="18" customWidth="1"/>
    <col min="11278" max="11278" width="10.77734375" style="18" customWidth="1"/>
    <col min="11279" max="11280" width="7.77734375" style="18" customWidth="1"/>
    <col min="11281" max="11281" width="8.109375" style="18" customWidth="1"/>
    <col min="11282" max="11282" width="6.88671875" style="18" customWidth="1"/>
    <col min="11283" max="11283" width="14.77734375" style="18" customWidth="1"/>
    <col min="11284" max="11285" width="6.88671875" style="18" customWidth="1"/>
    <col min="11286" max="11286" width="7.44140625" style="18" customWidth="1"/>
    <col min="11287" max="11287" width="6.88671875" style="18" customWidth="1"/>
    <col min="11288" max="11288" width="3" style="18" customWidth="1"/>
    <col min="11289" max="11289" width="14.77734375" style="18" customWidth="1"/>
    <col min="11290" max="11290" width="15.77734375" style="18" customWidth="1"/>
    <col min="11291" max="11291" width="15.44140625" style="18" bestFit="1" customWidth="1"/>
    <col min="11292" max="11292" width="17.5546875" style="18" bestFit="1" customWidth="1"/>
    <col min="11293" max="11293" width="12.21875" style="18" bestFit="1" customWidth="1"/>
    <col min="11294" max="11294" width="9" style="18" bestFit="1" customWidth="1"/>
    <col min="11295" max="11295" width="8.88671875" style="18"/>
    <col min="11296" max="11296" width="9.44140625" style="18" bestFit="1" customWidth="1"/>
    <col min="11297" max="11520" width="8.88671875" style="18"/>
    <col min="11521" max="11524" width="6.77734375" style="18" customWidth="1"/>
    <col min="11525" max="11525" width="16" style="18" customWidth="1"/>
    <col min="11526" max="11528" width="13.77734375" style="18" customWidth="1"/>
    <col min="11529" max="11529" width="1.77734375" style="18" customWidth="1"/>
    <col min="11530" max="11530" width="2.88671875" style="18" customWidth="1"/>
    <col min="11531" max="11531" width="2" style="18" customWidth="1"/>
    <col min="11532" max="11533" width="8.77734375" style="18" customWidth="1"/>
    <col min="11534" max="11534" width="10.77734375" style="18" customWidth="1"/>
    <col min="11535" max="11536" width="7.77734375" style="18" customWidth="1"/>
    <col min="11537" max="11537" width="8.109375" style="18" customWidth="1"/>
    <col min="11538" max="11538" width="6.88671875" style="18" customWidth="1"/>
    <col min="11539" max="11539" width="14.77734375" style="18" customWidth="1"/>
    <col min="11540" max="11541" width="6.88671875" style="18" customWidth="1"/>
    <col min="11542" max="11542" width="7.44140625" style="18" customWidth="1"/>
    <col min="11543" max="11543" width="6.88671875" style="18" customWidth="1"/>
    <col min="11544" max="11544" width="3" style="18" customWidth="1"/>
    <col min="11545" max="11545" width="14.77734375" style="18" customWidth="1"/>
    <col min="11546" max="11546" width="15.77734375" style="18" customWidth="1"/>
    <col min="11547" max="11547" width="15.44140625" style="18" bestFit="1" customWidth="1"/>
    <col min="11548" max="11548" width="17.5546875" style="18" bestFit="1" customWidth="1"/>
    <col min="11549" max="11549" width="12.21875" style="18" bestFit="1" customWidth="1"/>
    <col min="11550" max="11550" width="9" style="18" bestFit="1" customWidth="1"/>
    <col min="11551" max="11551" width="8.88671875" style="18"/>
    <col min="11552" max="11552" width="9.44140625" style="18" bestFit="1" customWidth="1"/>
    <col min="11553" max="11776" width="8.88671875" style="18"/>
    <col min="11777" max="11780" width="6.77734375" style="18" customWidth="1"/>
    <col min="11781" max="11781" width="16" style="18" customWidth="1"/>
    <col min="11782" max="11784" width="13.77734375" style="18" customWidth="1"/>
    <col min="11785" max="11785" width="1.77734375" style="18" customWidth="1"/>
    <col min="11786" max="11786" width="2.88671875" style="18" customWidth="1"/>
    <col min="11787" max="11787" width="2" style="18" customWidth="1"/>
    <col min="11788" max="11789" width="8.77734375" style="18" customWidth="1"/>
    <col min="11790" max="11790" width="10.77734375" style="18" customWidth="1"/>
    <col min="11791" max="11792" width="7.77734375" style="18" customWidth="1"/>
    <col min="11793" max="11793" width="8.109375" style="18" customWidth="1"/>
    <col min="11794" max="11794" width="6.88671875" style="18" customWidth="1"/>
    <col min="11795" max="11795" width="14.77734375" style="18" customWidth="1"/>
    <col min="11796" max="11797" width="6.88671875" style="18" customWidth="1"/>
    <col min="11798" max="11798" width="7.44140625" style="18" customWidth="1"/>
    <col min="11799" max="11799" width="6.88671875" style="18" customWidth="1"/>
    <col min="11800" max="11800" width="3" style="18" customWidth="1"/>
    <col min="11801" max="11801" width="14.77734375" style="18" customWidth="1"/>
    <col min="11802" max="11802" width="15.77734375" style="18" customWidth="1"/>
    <col min="11803" max="11803" width="15.44140625" style="18" bestFit="1" customWidth="1"/>
    <col min="11804" max="11804" width="17.5546875" style="18" bestFit="1" customWidth="1"/>
    <col min="11805" max="11805" width="12.21875" style="18" bestFit="1" customWidth="1"/>
    <col min="11806" max="11806" width="9" style="18" bestFit="1" customWidth="1"/>
    <col min="11807" max="11807" width="8.88671875" style="18"/>
    <col min="11808" max="11808" width="9.44140625" style="18" bestFit="1" customWidth="1"/>
    <col min="11809" max="12032" width="8.88671875" style="18"/>
    <col min="12033" max="12036" width="6.77734375" style="18" customWidth="1"/>
    <col min="12037" max="12037" width="16" style="18" customWidth="1"/>
    <col min="12038" max="12040" width="13.77734375" style="18" customWidth="1"/>
    <col min="12041" max="12041" width="1.77734375" style="18" customWidth="1"/>
    <col min="12042" max="12042" width="2.88671875" style="18" customWidth="1"/>
    <col min="12043" max="12043" width="2" style="18" customWidth="1"/>
    <col min="12044" max="12045" width="8.77734375" style="18" customWidth="1"/>
    <col min="12046" max="12046" width="10.77734375" style="18" customWidth="1"/>
    <col min="12047" max="12048" width="7.77734375" style="18" customWidth="1"/>
    <col min="12049" max="12049" width="8.109375" style="18" customWidth="1"/>
    <col min="12050" max="12050" width="6.88671875" style="18" customWidth="1"/>
    <col min="12051" max="12051" width="14.77734375" style="18" customWidth="1"/>
    <col min="12052" max="12053" width="6.88671875" style="18" customWidth="1"/>
    <col min="12054" max="12054" width="7.44140625" style="18" customWidth="1"/>
    <col min="12055" max="12055" width="6.88671875" style="18" customWidth="1"/>
    <col min="12056" max="12056" width="3" style="18" customWidth="1"/>
    <col min="12057" max="12057" width="14.77734375" style="18" customWidth="1"/>
    <col min="12058" max="12058" width="15.77734375" style="18" customWidth="1"/>
    <col min="12059" max="12059" width="15.44140625" style="18" bestFit="1" customWidth="1"/>
    <col min="12060" max="12060" width="17.5546875" style="18" bestFit="1" customWidth="1"/>
    <col min="12061" max="12061" width="12.21875" style="18" bestFit="1" customWidth="1"/>
    <col min="12062" max="12062" width="9" style="18" bestFit="1" customWidth="1"/>
    <col min="12063" max="12063" width="8.88671875" style="18"/>
    <col min="12064" max="12064" width="9.44140625" style="18" bestFit="1" customWidth="1"/>
    <col min="12065" max="12288" width="8.88671875" style="18"/>
    <col min="12289" max="12292" width="6.77734375" style="18" customWidth="1"/>
    <col min="12293" max="12293" width="16" style="18" customWidth="1"/>
    <col min="12294" max="12296" width="13.77734375" style="18" customWidth="1"/>
    <col min="12297" max="12297" width="1.77734375" style="18" customWidth="1"/>
    <col min="12298" max="12298" width="2.88671875" style="18" customWidth="1"/>
    <col min="12299" max="12299" width="2" style="18" customWidth="1"/>
    <col min="12300" max="12301" width="8.77734375" style="18" customWidth="1"/>
    <col min="12302" max="12302" width="10.77734375" style="18" customWidth="1"/>
    <col min="12303" max="12304" width="7.77734375" style="18" customWidth="1"/>
    <col min="12305" max="12305" width="8.109375" style="18" customWidth="1"/>
    <col min="12306" max="12306" width="6.88671875" style="18" customWidth="1"/>
    <col min="12307" max="12307" width="14.77734375" style="18" customWidth="1"/>
    <col min="12308" max="12309" width="6.88671875" style="18" customWidth="1"/>
    <col min="12310" max="12310" width="7.44140625" style="18" customWidth="1"/>
    <col min="12311" max="12311" width="6.88671875" style="18" customWidth="1"/>
    <col min="12312" max="12312" width="3" style="18" customWidth="1"/>
    <col min="12313" max="12313" width="14.77734375" style="18" customWidth="1"/>
    <col min="12314" max="12314" width="15.77734375" style="18" customWidth="1"/>
    <col min="12315" max="12315" width="15.44140625" style="18" bestFit="1" customWidth="1"/>
    <col min="12316" max="12316" width="17.5546875" style="18" bestFit="1" customWidth="1"/>
    <col min="12317" max="12317" width="12.21875" style="18" bestFit="1" customWidth="1"/>
    <col min="12318" max="12318" width="9" style="18" bestFit="1" customWidth="1"/>
    <col min="12319" max="12319" width="8.88671875" style="18"/>
    <col min="12320" max="12320" width="9.44140625" style="18" bestFit="1" customWidth="1"/>
    <col min="12321" max="12544" width="8.88671875" style="18"/>
    <col min="12545" max="12548" width="6.77734375" style="18" customWidth="1"/>
    <col min="12549" max="12549" width="16" style="18" customWidth="1"/>
    <col min="12550" max="12552" width="13.77734375" style="18" customWidth="1"/>
    <col min="12553" max="12553" width="1.77734375" style="18" customWidth="1"/>
    <col min="12554" max="12554" width="2.88671875" style="18" customWidth="1"/>
    <col min="12555" max="12555" width="2" style="18" customWidth="1"/>
    <col min="12556" max="12557" width="8.77734375" style="18" customWidth="1"/>
    <col min="12558" max="12558" width="10.77734375" style="18" customWidth="1"/>
    <col min="12559" max="12560" width="7.77734375" style="18" customWidth="1"/>
    <col min="12561" max="12561" width="8.109375" style="18" customWidth="1"/>
    <col min="12562" max="12562" width="6.88671875" style="18" customWidth="1"/>
    <col min="12563" max="12563" width="14.77734375" style="18" customWidth="1"/>
    <col min="12564" max="12565" width="6.88671875" style="18" customWidth="1"/>
    <col min="12566" max="12566" width="7.44140625" style="18" customWidth="1"/>
    <col min="12567" max="12567" width="6.88671875" style="18" customWidth="1"/>
    <col min="12568" max="12568" width="3" style="18" customWidth="1"/>
    <col min="12569" max="12569" width="14.77734375" style="18" customWidth="1"/>
    <col min="12570" max="12570" width="15.77734375" style="18" customWidth="1"/>
    <col min="12571" max="12571" width="15.44140625" style="18" bestFit="1" customWidth="1"/>
    <col min="12572" max="12572" width="17.5546875" style="18" bestFit="1" customWidth="1"/>
    <col min="12573" max="12573" width="12.21875" style="18" bestFit="1" customWidth="1"/>
    <col min="12574" max="12574" width="9" style="18" bestFit="1" customWidth="1"/>
    <col min="12575" max="12575" width="8.88671875" style="18"/>
    <col min="12576" max="12576" width="9.44140625" style="18" bestFit="1" customWidth="1"/>
    <col min="12577" max="12800" width="8.88671875" style="18"/>
    <col min="12801" max="12804" width="6.77734375" style="18" customWidth="1"/>
    <col min="12805" max="12805" width="16" style="18" customWidth="1"/>
    <col min="12806" max="12808" width="13.77734375" style="18" customWidth="1"/>
    <col min="12809" max="12809" width="1.77734375" style="18" customWidth="1"/>
    <col min="12810" max="12810" width="2.88671875" style="18" customWidth="1"/>
    <col min="12811" max="12811" width="2" style="18" customWidth="1"/>
    <col min="12812" max="12813" width="8.77734375" style="18" customWidth="1"/>
    <col min="12814" max="12814" width="10.77734375" style="18" customWidth="1"/>
    <col min="12815" max="12816" width="7.77734375" style="18" customWidth="1"/>
    <col min="12817" max="12817" width="8.109375" style="18" customWidth="1"/>
    <col min="12818" max="12818" width="6.88671875" style="18" customWidth="1"/>
    <col min="12819" max="12819" width="14.77734375" style="18" customWidth="1"/>
    <col min="12820" max="12821" width="6.88671875" style="18" customWidth="1"/>
    <col min="12822" max="12822" width="7.44140625" style="18" customWidth="1"/>
    <col min="12823" max="12823" width="6.88671875" style="18" customWidth="1"/>
    <col min="12824" max="12824" width="3" style="18" customWidth="1"/>
    <col min="12825" max="12825" width="14.77734375" style="18" customWidth="1"/>
    <col min="12826" max="12826" width="15.77734375" style="18" customWidth="1"/>
    <col min="12827" max="12827" width="15.44140625" style="18" bestFit="1" customWidth="1"/>
    <col min="12828" max="12828" width="17.5546875" style="18" bestFit="1" customWidth="1"/>
    <col min="12829" max="12829" width="12.21875" style="18" bestFit="1" customWidth="1"/>
    <col min="12830" max="12830" width="9" style="18" bestFit="1" customWidth="1"/>
    <col min="12831" max="12831" width="8.88671875" style="18"/>
    <col min="12832" max="12832" width="9.44140625" style="18" bestFit="1" customWidth="1"/>
    <col min="12833" max="13056" width="8.88671875" style="18"/>
    <col min="13057" max="13060" width="6.77734375" style="18" customWidth="1"/>
    <col min="13061" max="13061" width="16" style="18" customWidth="1"/>
    <col min="13062" max="13064" width="13.77734375" style="18" customWidth="1"/>
    <col min="13065" max="13065" width="1.77734375" style="18" customWidth="1"/>
    <col min="13066" max="13066" width="2.88671875" style="18" customWidth="1"/>
    <col min="13067" max="13067" width="2" style="18" customWidth="1"/>
    <col min="13068" max="13069" width="8.77734375" style="18" customWidth="1"/>
    <col min="13070" max="13070" width="10.77734375" style="18" customWidth="1"/>
    <col min="13071" max="13072" width="7.77734375" style="18" customWidth="1"/>
    <col min="13073" max="13073" width="8.109375" style="18" customWidth="1"/>
    <col min="13074" max="13074" width="6.88671875" style="18" customWidth="1"/>
    <col min="13075" max="13075" width="14.77734375" style="18" customWidth="1"/>
    <col min="13076" max="13077" width="6.88671875" style="18" customWidth="1"/>
    <col min="13078" max="13078" width="7.44140625" style="18" customWidth="1"/>
    <col min="13079" max="13079" width="6.88671875" style="18" customWidth="1"/>
    <col min="13080" max="13080" width="3" style="18" customWidth="1"/>
    <col min="13081" max="13081" width="14.77734375" style="18" customWidth="1"/>
    <col min="13082" max="13082" width="15.77734375" style="18" customWidth="1"/>
    <col min="13083" max="13083" width="15.44140625" style="18" bestFit="1" customWidth="1"/>
    <col min="13084" max="13084" width="17.5546875" style="18" bestFit="1" customWidth="1"/>
    <col min="13085" max="13085" width="12.21875" style="18" bestFit="1" customWidth="1"/>
    <col min="13086" max="13086" width="9" style="18" bestFit="1" customWidth="1"/>
    <col min="13087" max="13087" width="8.88671875" style="18"/>
    <col min="13088" max="13088" width="9.44140625" style="18" bestFit="1" customWidth="1"/>
    <col min="13089" max="13312" width="8.88671875" style="18"/>
    <col min="13313" max="13316" width="6.77734375" style="18" customWidth="1"/>
    <col min="13317" max="13317" width="16" style="18" customWidth="1"/>
    <col min="13318" max="13320" width="13.77734375" style="18" customWidth="1"/>
    <col min="13321" max="13321" width="1.77734375" style="18" customWidth="1"/>
    <col min="13322" max="13322" width="2.88671875" style="18" customWidth="1"/>
    <col min="13323" max="13323" width="2" style="18" customWidth="1"/>
    <col min="13324" max="13325" width="8.77734375" style="18" customWidth="1"/>
    <col min="13326" max="13326" width="10.77734375" style="18" customWidth="1"/>
    <col min="13327" max="13328" width="7.77734375" style="18" customWidth="1"/>
    <col min="13329" max="13329" width="8.109375" style="18" customWidth="1"/>
    <col min="13330" max="13330" width="6.88671875" style="18" customWidth="1"/>
    <col min="13331" max="13331" width="14.77734375" style="18" customWidth="1"/>
    <col min="13332" max="13333" width="6.88671875" style="18" customWidth="1"/>
    <col min="13334" max="13334" width="7.44140625" style="18" customWidth="1"/>
    <col min="13335" max="13335" width="6.88671875" style="18" customWidth="1"/>
    <col min="13336" max="13336" width="3" style="18" customWidth="1"/>
    <col min="13337" max="13337" width="14.77734375" style="18" customWidth="1"/>
    <col min="13338" max="13338" width="15.77734375" style="18" customWidth="1"/>
    <col min="13339" max="13339" width="15.44140625" style="18" bestFit="1" customWidth="1"/>
    <col min="13340" max="13340" width="17.5546875" style="18" bestFit="1" customWidth="1"/>
    <col min="13341" max="13341" width="12.21875" style="18" bestFit="1" customWidth="1"/>
    <col min="13342" max="13342" width="9" style="18" bestFit="1" customWidth="1"/>
    <col min="13343" max="13343" width="8.88671875" style="18"/>
    <col min="13344" max="13344" width="9.44140625" style="18" bestFit="1" customWidth="1"/>
    <col min="13345" max="13568" width="8.88671875" style="18"/>
    <col min="13569" max="13572" width="6.77734375" style="18" customWidth="1"/>
    <col min="13573" max="13573" width="16" style="18" customWidth="1"/>
    <col min="13574" max="13576" width="13.77734375" style="18" customWidth="1"/>
    <col min="13577" max="13577" width="1.77734375" style="18" customWidth="1"/>
    <col min="13578" max="13578" width="2.88671875" style="18" customWidth="1"/>
    <col min="13579" max="13579" width="2" style="18" customWidth="1"/>
    <col min="13580" max="13581" width="8.77734375" style="18" customWidth="1"/>
    <col min="13582" max="13582" width="10.77734375" style="18" customWidth="1"/>
    <col min="13583" max="13584" width="7.77734375" style="18" customWidth="1"/>
    <col min="13585" max="13585" width="8.109375" style="18" customWidth="1"/>
    <col min="13586" max="13586" width="6.88671875" style="18" customWidth="1"/>
    <col min="13587" max="13587" width="14.77734375" style="18" customWidth="1"/>
    <col min="13588" max="13589" width="6.88671875" style="18" customWidth="1"/>
    <col min="13590" max="13590" width="7.44140625" style="18" customWidth="1"/>
    <col min="13591" max="13591" width="6.88671875" style="18" customWidth="1"/>
    <col min="13592" max="13592" width="3" style="18" customWidth="1"/>
    <col min="13593" max="13593" width="14.77734375" style="18" customWidth="1"/>
    <col min="13594" max="13594" width="15.77734375" style="18" customWidth="1"/>
    <col min="13595" max="13595" width="15.44140625" style="18" bestFit="1" customWidth="1"/>
    <col min="13596" max="13596" width="17.5546875" style="18" bestFit="1" customWidth="1"/>
    <col min="13597" max="13597" width="12.21875" style="18" bestFit="1" customWidth="1"/>
    <col min="13598" max="13598" width="9" style="18" bestFit="1" customWidth="1"/>
    <col min="13599" max="13599" width="8.88671875" style="18"/>
    <col min="13600" max="13600" width="9.44140625" style="18" bestFit="1" customWidth="1"/>
    <col min="13601" max="13824" width="8.88671875" style="18"/>
    <col min="13825" max="13828" width="6.77734375" style="18" customWidth="1"/>
    <col min="13829" max="13829" width="16" style="18" customWidth="1"/>
    <col min="13830" max="13832" width="13.77734375" style="18" customWidth="1"/>
    <col min="13833" max="13833" width="1.77734375" style="18" customWidth="1"/>
    <col min="13834" max="13834" width="2.88671875" style="18" customWidth="1"/>
    <col min="13835" max="13835" width="2" style="18" customWidth="1"/>
    <col min="13836" max="13837" width="8.77734375" style="18" customWidth="1"/>
    <col min="13838" max="13838" width="10.77734375" style="18" customWidth="1"/>
    <col min="13839" max="13840" width="7.77734375" style="18" customWidth="1"/>
    <col min="13841" max="13841" width="8.109375" style="18" customWidth="1"/>
    <col min="13842" max="13842" width="6.88671875" style="18" customWidth="1"/>
    <col min="13843" max="13843" width="14.77734375" style="18" customWidth="1"/>
    <col min="13844" max="13845" width="6.88671875" style="18" customWidth="1"/>
    <col min="13846" max="13846" width="7.44140625" style="18" customWidth="1"/>
    <col min="13847" max="13847" width="6.88671875" style="18" customWidth="1"/>
    <col min="13848" max="13848" width="3" style="18" customWidth="1"/>
    <col min="13849" max="13849" width="14.77734375" style="18" customWidth="1"/>
    <col min="13850" max="13850" width="15.77734375" style="18" customWidth="1"/>
    <col min="13851" max="13851" width="15.44140625" style="18" bestFit="1" customWidth="1"/>
    <col min="13852" max="13852" width="17.5546875" style="18" bestFit="1" customWidth="1"/>
    <col min="13853" max="13853" width="12.21875" style="18" bestFit="1" customWidth="1"/>
    <col min="13854" max="13854" width="9" style="18" bestFit="1" customWidth="1"/>
    <col min="13855" max="13855" width="8.88671875" style="18"/>
    <col min="13856" max="13856" width="9.44140625" style="18" bestFit="1" customWidth="1"/>
    <col min="13857" max="14080" width="8.88671875" style="18"/>
    <col min="14081" max="14084" width="6.77734375" style="18" customWidth="1"/>
    <col min="14085" max="14085" width="16" style="18" customWidth="1"/>
    <col min="14086" max="14088" width="13.77734375" style="18" customWidth="1"/>
    <col min="14089" max="14089" width="1.77734375" style="18" customWidth="1"/>
    <col min="14090" max="14090" width="2.88671875" style="18" customWidth="1"/>
    <col min="14091" max="14091" width="2" style="18" customWidth="1"/>
    <col min="14092" max="14093" width="8.77734375" style="18" customWidth="1"/>
    <col min="14094" max="14094" width="10.77734375" style="18" customWidth="1"/>
    <col min="14095" max="14096" width="7.77734375" style="18" customWidth="1"/>
    <col min="14097" max="14097" width="8.109375" style="18" customWidth="1"/>
    <col min="14098" max="14098" width="6.88671875" style="18" customWidth="1"/>
    <col min="14099" max="14099" width="14.77734375" style="18" customWidth="1"/>
    <col min="14100" max="14101" width="6.88671875" style="18" customWidth="1"/>
    <col min="14102" max="14102" width="7.44140625" style="18" customWidth="1"/>
    <col min="14103" max="14103" width="6.88671875" style="18" customWidth="1"/>
    <col min="14104" max="14104" width="3" style="18" customWidth="1"/>
    <col min="14105" max="14105" width="14.77734375" style="18" customWidth="1"/>
    <col min="14106" max="14106" width="15.77734375" style="18" customWidth="1"/>
    <col min="14107" max="14107" width="15.44140625" style="18" bestFit="1" customWidth="1"/>
    <col min="14108" max="14108" width="17.5546875" style="18" bestFit="1" customWidth="1"/>
    <col min="14109" max="14109" width="12.21875" style="18" bestFit="1" customWidth="1"/>
    <col min="14110" max="14110" width="9" style="18" bestFit="1" customWidth="1"/>
    <col min="14111" max="14111" width="8.88671875" style="18"/>
    <col min="14112" max="14112" width="9.44140625" style="18" bestFit="1" customWidth="1"/>
    <col min="14113" max="14336" width="8.88671875" style="18"/>
    <col min="14337" max="14340" width="6.77734375" style="18" customWidth="1"/>
    <col min="14341" max="14341" width="16" style="18" customWidth="1"/>
    <col min="14342" max="14344" width="13.77734375" style="18" customWidth="1"/>
    <col min="14345" max="14345" width="1.77734375" style="18" customWidth="1"/>
    <col min="14346" max="14346" width="2.88671875" style="18" customWidth="1"/>
    <col min="14347" max="14347" width="2" style="18" customWidth="1"/>
    <col min="14348" max="14349" width="8.77734375" style="18" customWidth="1"/>
    <col min="14350" max="14350" width="10.77734375" style="18" customWidth="1"/>
    <col min="14351" max="14352" width="7.77734375" style="18" customWidth="1"/>
    <col min="14353" max="14353" width="8.109375" style="18" customWidth="1"/>
    <col min="14354" max="14354" width="6.88671875" style="18" customWidth="1"/>
    <col min="14355" max="14355" width="14.77734375" style="18" customWidth="1"/>
    <col min="14356" max="14357" width="6.88671875" style="18" customWidth="1"/>
    <col min="14358" max="14358" width="7.44140625" style="18" customWidth="1"/>
    <col min="14359" max="14359" width="6.88671875" style="18" customWidth="1"/>
    <col min="14360" max="14360" width="3" style="18" customWidth="1"/>
    <col min="14361" max="14361" width="14.77734375" style="18" customWidth="1"/>
    <col min="14362" max="14362" width="15.77734375" style="18" customWidth="1"/>
    <col min="14363" max="14363" width="15.44140625" style="18" bestFit="1" customWidth="1"/>
    <col min="14364" max="14364" width="17.5546875" style="18" bestFit="1" customWidth="1"/>
    <col min="14365" max="14365" width="12.21875" style="18" bestFit="1" customWidth="1"/>
    <col min="14366" max="14366" width="9" style="18" bestFit="1" customWidth="1"/>
    <col min="14367" max="14367" width="8.88671875" style="18"/>
    <col min="14368" max="14368" width="9.44140625" style="18" bestFit="1" customWidth="1"/>
    <col min="14369" max="14592" width="8.88671875" style="18"/>
    <col min="14593" max="14596" width="6.77734375" style="18" customWidth="1"/>
    <col min="14597" max="14597" width="16" style="18" customWidth="1"/>
    <col min="14598" max="14600" width="13.77734375" style="18" customWidth="1"/>
    <col min="14601" max="14601" width="1.77734375" style="18" customWidth="1"/>
    <col min="14602" max="14602" width="2.88671875" style="18" customWidth="1"/>
    <col min="14603" max="14603" width="2" style="18" customWidth="1"/>
    <col min="14604" max="14605" width="8.77734375" style="18" customWidth="1"/>
    <col min="14606" max="14606" width="10.77734375" style="18" customWidth="1"/>
    <col min="14607" max="14608" width="7.77734375" style="18" customWidth="1"/>
    <col min="14609" max="14609" width="8.109375" style="18" customWidth="1"/>
    <col min="14610" max="14610" width="6.88671875" style="18" customWidth="1"/>
    <col min="14611" max="14611" width="14.77734375" style="18" customWidth="1"/>
    <col min="14612" max="14613" width="6.88671875" style="18" customWidth="1"/>
    <col min="14614" max="14614" width="7.44140625" style="18" customWidth="1"/>
    <col min="14615" max="14615" width="6.88671875" style="18" customWidth="1"/>
    <col min="14616" max="14616" width="3" style="18" customWidth="1"/>
    <col min="14617" max="14617" width="14.77734375" style="18" customWidth="1"/>
    <col min="14618" max="14618" width="15.77734375" style="18" customWidth="1"/>
    <col min="14619" max="14619" width="15.44140625" style="18" bestFit="1" customWidth="1"/>
    <col min="14620" max="14620" width="17.5546875" style="18" bestFit="1" customWidth="1"/>
    <col min="14621" max="14621" width="12.21875" style="18" bestFit="1" customWidth="1"/>
    <col min="14622" max="14622" width="9" style="18" bestFit="1" customWidth="1"/>
    <col min="14623" max="14623" width="8.88671875" style="18"/>
    <col min="14624" max="14624" width="9.44140625" style="18" bestFit="1" customWidth="1"/>
    <col min="14625" max="14848" width="8.88671875" style="18"/>
    <col min="14849" max="14852" width="6.77734375" style="18" customWidth="1"/>
    <col min="14853" max="14853" width="16" style="18" customWidth="1"/>
    <col min="14854" max="14856" width="13.77734375" style="18" customWidth="1"/>
    <col min="14857" max="14857" width="1.77734375" style="18" customWidth="1"/>
    <col min="14858" max="14858" width="2.88671875" style="18" customWidth="1"/>
    <col min="14859" max="14859" width="2" style="18" customWidth="1"/>
    <col min="14860" max="14861" width="8.77734375" style="18" customWidth="1"/>
    <col min="14862" max="14862" width="10.77734375" style="18" customWidth="1"/>
    <col min="14863" max="14864" width="7.77734375" style="18" customWidth="1"/>
    <col min="14865" max="14865" width="8.109375" style="18" customWidth="1"/>
    <col min="14866" max="14866" width="6.88671875" style="18" customWidth="1"/>
    <col min="14867" max="14867" width="14.77734375" style="18" customWidth="1"/>
    <col min="14868" max="14869" width="6.88671875" style="18" customWidth="1"/>
    <col min="14870" max="14870" width="7.44140625" style="18" customWidth="1"/>
    <col min="14871" max="14871" width="6.88671875" style="18" customWidth="1"/>
    <col min="14872" max="14872" width="3" style="18" customWidth="1"/>
    <col min="14873" max="14873" width="14.77734375" style="18" customWidth="1"/>
    <col min="14874" max="14874" width="15.77734375" style="18" customWidth="1"/>
    <col min="14875" max="14875" width="15.44140625" style="18" bestFit="1" customWidth="1"/>
    <col min="14876" max="14876" width="17.5546875" style="18" bestFit="1" customWidth="1"/>
    <col min="14877" max="14877" width="12.21875" style="18" bestFit="1" customWidth="1"/>
    <col min="14878" max="14878" width="9" style="18" bestFit="1" customWidth="1"/>
    <col min="14879" max="14879" width="8.88671875" style="18"/>
    <col min="14880" max="14880" width="9.44140625" style="18" bestFit="1" customWidth="1"/>
    <col min="14881" max="15104" width="8.88671875" style="18"/>
    <col min="15105" max="15108" width="6.77734375" style="18" customWidth="1"/>
    <col min="15109" max="15109" width="16" style="18" customWidth="1"/>
    <col min="15110" max="15112" width="13.77734375" style="18" customWidth="1"/>
    <col min="15113" max="15113" width="1.77734375" style="18" customWidth="1"/>
    <col min="15114" max="15114" width="2.88671875" style="18" customWidth="1"/>
    <col min="15115" max="15115" width="2" style="18" customWidth="1"/>
    <col min="15116" max="15117" width="8.77734375" style="18" customWidth="1"/>
    <col min="15118" max="15118" width="10.77734375" style="18" customWidth="1"/>
    <col min="15119" max="15120" width="7.77734375" style="18" customWidth="1"/>
    <col min="15121" max="15121" width="8.109375" style="18" customWidth="1"/>
    <col min="15122" max="15122" width="6.88671875" style="18" customWidth="1"/>
    <col min="15123" max="15123" width="14.77734375" style="18" customWidth="1"/>
    <col min="15124" max="15125" width="6.88671875" style="18" customWidth="1"/>
    <col min="15126" max="15126" width="7.44140625" style="18" customWidth="1"/>
    <col min="15127" max="15127" width="6.88671875" style="18" customWidth="1"/>
    <col min="15128" max="15128" width="3" style="18" customWidth="1"/>
    <col min="15129" max="15129" width="14.77734375" style="18" customWidth="1"/>
    <col min="15130" max="15130" width="15.77734375" style="18" customWidth="1"/>
    <col min="15131" max="15131" width="15.44140625" style="18" bestFit="1" customWidth="1"/>
    <col min="15132" max="15132" width="17.5546875" style="18" bestFit="1" customWidth="1"/>
    <col min="15133" max="15133" width="12.21875" style="18" bestFit="1" customWidth="1"/>
    <col min="15134" max="15134" width="9" style="18" bestFit="1" customWidth="1"/>
    <col min="15135" max="15135" width="8.88671875" style="18"/>
    <col min="15136" max="15136" width="9.44140625" style="18" bestFit="1" customWidth="1"/>
    <col min="15137" max="15360" width="8.88671875" style="18"/>
    <col min="15361" max="15364" width="6.77734375" style="18" customWidth="1"/>
    <col min="15365" max="15365" width="16" style="18" customWidth="1"/>
    <col min="15366" max="15368" width="13.77734375" style="18" customWidth="1"/>
    <col min="15369" max="15369" width="1.77734375" style="18" customWidth="1"/>
    <col min="15370" max="15370" width="2.88671875" style="18" customWidth="1"/>
    <col min="15371" max="15371" width="2" style="18" customWidth="1"/>
    <col min="15372" max="15373" width="8.77734375" style="18" customWidth="1"/>
    <col min="15374" max="15374" width="10.77734375" style="18" customWidth="1"/>
    <col min="15375" max="15376" width="7.77734375" style="18" customWidth="1"/>
    <col min="15377" max="15377" width="8.109375" style="18" customWidth="1"/>
    <col min="15378" max="15378" width="6.88671875" style="18" customWidth="1"/>
    <col min="15379" max="15379" width="14.77734375" style="18" customWidth="1"/>
    <col min="15380" max="15381" width="6.88671875" style="18" customWidth="1"/>
    <col min="15382" max="15382" width="7.44140625" style="18" customWidth="1"/>
    <col min="15383" max="15383" width="6.88671875" style="18" customWidth="1"/>
    <col min="15384" max="15384" width="3" style="18" customWidth="1"/>
    <col min="15385" max="15385" width="14.77734375" style="18" customWidth="1"/>
    <col min="15386" max="15386" width="15.77734375" style="18" customWidth="1"/>
    <col min="15387" max="15387" width="15.44140625" style="18" bestFit="1" customWidth="1"/>
    <col min="15388" max="15388" width="17.5546875" style="18" bestFit="1" customWidth="1"/>
    <col min="15389" max="15389" width="12.21875" style="18" bestFit="1" customWidth="1"/>
    <col min="15390" max="15390" width="9" style="18" bestFit="1" customWidth="1"/>
    <col min="15391" max="15391" width="8.88671875" style="18"/>
    <col min="15392" max="15392" width="9.44140625" style="18" bestFit="1" customWidth="1"/>
    <col min="15393" max="15616" width="8.88671875" style="18"/>
    <col min="15617" max="15620" width="6.77734375" style="18" customWidth="1"/>
    <col min="15621" max="15621" width="16" style="18" customWidth="1"/>
    <col min="15622" max="15624" width="13.77734375" style="18" customWidth="1"/>
    <col min="15625" max="15625" width="1.77734375" style="18" customWidth="1"/>
    <col min="15626" max="15626" width="2.88671875" style="18" customWidth="1"/>
    <col min="15627" max="15627" width="2" style="18" customWidth="1"/>
    <col min="15628" max="15629" width="8.77734375" style="18" customWidth="1"/>
    <col min="15630" max="15630" width="10.77734375" style="18" customWidth="1"/>
    <col min="15631" max="15632" width="7.77734375" style="18" customWidth="1"/>
    <col min="15633" max="15633" width="8.109375" style="18" customWidth="1"/>
    <col min="15634" max="15634" width="6.88671875" style="18" customWidth="1"/>
    <col min="15635" max="15635" width="14.77734375" style="18" customWidth="1"/>
    <col min="15636" max="15637" width="6.88671875" style="18" customWidth="1"/>
    <col min="15638" max="15638" width="7.44140625" style="18" customWidth="1"/>
    <col min="15639" max="15639" width="6.88671875" style="18" customWidth="1"/>
    <col min="15640" max="15640" width="3" style="18" customWidth="1"/>
    <col min="15641" max="15641" width="14.77734375" style="18" customWidth="1"/>
    <col min="15642" max="15642" width="15.77734375" style="18" customWidth="1"/>
    <col min="15643" max="15643" width="15.44140625" style="18" bestFit="1" customWidth="1"/>
    <col min="15644" max="15644" width="17.5546875" style="18" bestFit="1" customWidth="1"/>
    <col min="15645" max="15645" width="12.21875" style="18" bestFit="1" customWidth="1"/>
    <col min="15646" max="15646" width="9" style="18" bestFit="1" customWidth="1"/>
    <col min="15647" max="15647" width="8.88671875" style="18"/>
    <col min="15648" max="15648" width="9.44140625" style="18" bestFit="1" customWidth="1"/>
    <col min="15649" max="15872" width="8.88671875" style="18"/>
    <col min="15873" max="15876" width="6.77734375" style="18" customWidth="1"/>
    <col min="15877" max="15877" width="16" style="18" customWidth="1"/>
    <col min="15878" max="15880" width="13.77734375" style="18" customWidth="1"/>
    <col min="15881" max="15881" width="1.77734375" style="18" customWidth="1"/>
    <col min="15882" max="15882" width="2.88671875" style="18" customWidth="1"/>
    <col min="15883" max="15883" width="2" style="18" customWidth="1"/>
    <col min="15884" max="15885" width="8.77734375" style="18" customWidth="1"/>
    <col min="15886" max="15886" width="10.77734375" style="18" customWidth="1"/>
    <col min="15887" max="15888" width="7.77734375" style="18" customWidth="1"/>
    <col min="15889" max="15889" width="8.109375" style="18" customWidth="1"/>
    <col min="15890" max="15890" width="6.88671875" style="18" customWidth="1"/>
    <col min="15891" max="15891" width="14.77734375" style="18" customWidth="1"/>
    <col min="15892" max="15893" width="6.88671875" style="18" customWidth="1"/>
    <col min="15894" max="15894" width="7.44140625" style="18" customWidth="1"/>
    <col min="15895" max="15895" width="6.88671875" style="18" customWidth="1"/>
    <col min="15896" max="15896" width="3" style="18" customWidth="1"/>
    <col min="15897" max="15897" width="14.77734375" style="18" customWidth="1"/>
    <col min="15898" max="15898" width="15.77734375" style="18" customWidth="1"/>
    <col min="15899" max="15899" width="15.44140625" style="18" bestFit="1" customWidth="1"/>
    <col min="15900" max="15900" width="17.5546875" style="18" bestFit="1" customWidth="1"/>
    <col min="15901" max="15901" width="12.21875" style="18" bestFit="1" customWidth="1"/>
    <col min="15902" max="15902" width="9" style="18" bestFit="1" customWidth="1"/>
    <col min="15903" max="15903" width="8.88671875" style="18"/>
    <col min="15904" max="15904" width="9.44140625" style="18" bestFit="1" customWidth="1"/>
    <col min="15905" max="16128" width="8.88671875" style="18"/>
    <col min="16129" max="16132" width="6.77734375" style="18" customWidth="1"/>
    <col min="16133" max="16133" width="16" style="18" customWidth="1"/>
    <col min="16134" max="16136" width="13.77734375" style="18" customWidth="1"/>
    <col min="16137" max="16137" width="1.77734375" style="18" customWidth="1"/>
    <col min="16138" max="16138" width="2.88671875" style="18" customWidth="1"/>
    <col min="16139" max="16139" width="2" style="18" customWidth="1"/>
    <col min="16140" max="16141" width="8.77734375" style="18" customWidth="1"/>
    <col min="16142" max="16142" width="10.77734375" style="18" customWidth="1"/>
    <col min="16143" max="16144" width="7.77734375" style="18" customWidth="1"/>
    <col min="16145" max="16145" width="8.109375" style="18" customWidth="1"/>
    <col min="16146" max="16146" width="6.88671875" style="18" customWidth="1"/>
    <col min="16147" max="16147" width="14.77734375" style="18" customWidth="1"/>
    <col min="16148" max="16149" width="6.88671875" style="18" customWidth="1"/>
    <col min="16150" max="16150" width="7.44140625" style="18" customWidth="1"/>
    <col min="16151" max="16151" width="6.88671875" style="18" customWidth="1"/>
    <col min="16152" max="16152" width="3" style="18" customWidth="1"/>
    <col min="16153" max="16153" width="14.77734375" style="18" customWidth="1"/>
    <col min="16154" max="16154" width="15.77734375" style="18" customWidth="1"/>
    <col min="16155" max="16155" width="15.44140625" style="18" bestFit="1" customWidth="1"/>
    <col min="16156" max="16156" width="17.5546875" style="18" bestFit="1" customWidth="1"/>
    <col min="16157" max="16157" width="12.21875" style="18" bestFit="1" customWidth="1"/>
    <col min="16158" max="16158" width="9" style="18" bestFit="1" customWidth="1"/>
    <col min="16159" max="16159" width="8.88671875" style="18"/>
    <col min="16160" max="16160" width="9.44140625" style="18" bestFit="1" customWidth="1"/>
    <col min="16161" max="16384" width="8.88671875" style="18"/>
  </cols>
  <sheetData>
    <row r="1" spans="1:29" ht="27" customHeight="1">
      <c r="A1" s="3721" t="s">
        <v>6122</v>
      </c>
      <c r="B1" s="3721"/>
      <c r="C1" s="3721"/>
      <c r="D1" s="3721"/>
      <c r="E1" s="3721"/>
      <c r="F1" s="3721"/>
      <c r="G1" s="3721"/>
      <c r="H1" s="3721"/>
      <c r="I1" s="3721"/>
      <c r="J1" s="3721"/>
      <c r="K1" s="3721"/>
      <c r="L1" s="3721"/>
      <c r="M1" s="3721"/>
      <c r="N1" s="3721"/>
      <c r="O1" s="3721"/>
      <c r="P1" s="3721"/>
      <c r="Q1" s="3721"/>
      <c r="R1" s="3721"/>
      <c r="S1" s="3721"/>
      <c r="T1" s="3721"/>
      <c r="U1" s="3721"/>
      <c r="V1" s="3721"/>
      <c r="W1" s="3721"/>
      <c r="X1" s="3721"/>
      <c r="Y1" s="3721"/>
      <c r="Z1" s="86"/>
      <c r="AA1" s="453"/>
    </row>
    <row r="2" spans="1:29" s="453" customFormat="1" ht="22.5" customHeight="1" thickBot="1">
      <c r="A2" s="428"/>
      <c r="B2" s="428"/>
      <c r="C2" s="428"/>
      <c r="D2" s="428" t="s">
        <v>48</v>
      </c>
      <c r="E2" s="428"/>
      <c r="F2" s="427"/>
      <c r="G2" s="12"/>
      <c r="H2" s="432" t="s">
        <v>194</v>
      </c>
      <c r="J2" s="428" t="s">
        <v>48</v>
      </c>
      <c r="K2" s="428"/>
      <c r="L2" s="87" t="s">
        <v>48</v>
      </c>
      <c r="M2" s="428"/>
      <c r="N2" s="428"/>
      <c r="O2" s="428"/>
      <c r="P2" s="88"/>
      <c r="Q2" s="89"/>
      <c r="Y2" s="9" t="s">
        <v>194</v>
      </c>
      <c r="Z2" s="9"/>
      <c r="AB2" s="427"/>
    </row>
    <row r="3" spans="1:29" ht="22.5" customHeight="1">
      <c r="A3" s="4162" t="s">
        <v>218</v>
      </c>
      <c r="B3" s="4163"/>
      <c r="C3" s="4163"/>
      <c r="D3" s="4163"/>
      <c r="E3" s="4164"/>
      <c r="F3" s="4165" t="s">
        <v>174</v>
      </c>
      <c r="G3" s="4123" t="s">
        <v>1077</v>
      </c>
      <c r="H3" s="4168" t="s">
        <v>11</v>
      </c>
      <c r="I3" s="439"/>
      <c r="J3" s="4170" t="s">
        <v>220</v>
      </c>
      <c r="K3" s="4171"/>
      <c r="L3" s="4171"/>
      <c r="M3" s="4171"/>
      <c r="N3" s="4171"/>
      <c r="O3" s="4171"/>
      <c r="P3" s="4171"/>
      <c r="Q3" s="4171"/>
      <c r="R3" s="4171"/>
      <c r="S3" s="4171"/>
      <c r="T3" s="4171"/>
      <c r="U3" s="4171"/>
      <c r="V3" s="4171"/>
      <c r="W3" s="4171"/>
      <c r="X3" s="4171"/>
      <c r="Y3" s="4172"/>
      <c r="Z3" s="10"/>
      <c r="AA3" s="453"/>
    </row>
    <row r="4" spans="1:29" s="90" customFormat="1" ht="22.5" customHeight="1" thickBot="1">
      <c r="A4" s="430" t="s">
        <v>12</v>
      </c>
      <c r="B4" s="437" t="s">
        <v>1385</v>
      </c>
      <c r="C4" s="431" t="s">
        <v>1386</v>
      </c>
      <c r="D4" s="431" t="s">
        <v>1387</v>
      </c>
      <c r="E4" s="431" t="s">
        <v>49</v>
      </c>
      <c r="F4" s="4166"/>
      <c r="G4" s="4167"/>
      <c r="H4" s="4169"/>
      <c r="I4" s="435"/>
      <c r="J4" s="4173"/>
      <c r="K4" s="4174"/>
      <c r="L4" s="4174"/>
      <c r="M4" s="4174"/>
      <c r="N4" s="4174"/>
      <c r="O4" s="4174"/>
      <c r="P4" s="4174"/>
      <c r="Q4" s="4174"/>
      <c r="R4" s="4174"/>
      <c r="S4" s="4174"/>
      <c r="T4" s="4174"/>
      <c r="U4" s="4174"/>
      <c r="V4" s="4174"/>
      <c r="W4" s="4174"/>
      <c r="X4" s="4174"/>
      <c r="Y4" s="4175"/>
      <c r="Z4" s="16"/>
      <c r="AA4" s="788"/>
      <c r="AB4" s="434"/>
    </row>
    <row r="5" spans="1:29" s="90" customFormat="1" ht="21.75" customHeight="1" thickBot="1">
      <c r="A5" s="4154" t="s">
        <v>1315</v>
      </c>
      <c r="B5" s="4155"/>
      <c r="C5" s="4155"/>
      <c r="D5" s="4155"/>
      <c r="E5" s="4156"/>
      <c r="F5" s="145"/>
      <c r="G5" s="1687"/>
      <c r="H5" s="1688"/>
      <c r="I5" s="435"/>
      <c r="J5" s="1705"/>
      <c r="K5" s="1706"/>
      <c r="L5" s="1706"/>
      <c r="M5" s="1706"/>
      <c r="N5" s="1706"/>
      <c r="O5" s="1706"/>
      <c r="P5" s="1706"/>
      <c r="Q5" s="1706"/>
      <c r="R5" s="1706"/>
      <c r="S5" s="1706"/>
      <c r="T5" s="1706"/>
      <c r="U5" s="1706"/>
      <c r="V5" s="1706"/>
      <c r="W5" s="1706"/>
      <c r="X5" s="1706"/>
      <c r="Y5" s="1707"/>
      <c r="Z5" s="16"/>
      <c r="AA5" s="788"/>
      <c r="AB5" s="434"/>
    </row>
    <row r="6" spans="1:29" s="208" customFormat="1" ht="21.75" customHeight="1" thickBot="1">
      <c r="A6" s="266"/>
      <c r="B6" s="267" t="s">
        <v>1315</v>
      </c>
      <c r="C6" s="223"/>
      <c r="D6" s="223"/>
      <c r="E6" s="268"/>
      <c r="F6" s="269">
        <f>+F7</f>
        <v>549951.68200000003</v>
      </c>
      <c r="G6" s="269">
        <f>+G7</f>
        <v>549951.68200000003</v>
      </c>
      <c r="H6" s="270">
        <f>+H7</f>
        <v>0</v>
      </c>
      <c r="I6" s="271"/>
      <c r="J6" s="272"/>
      <c r="K6" s="273"/>
      <c r="L6" s="273"/>
      <c r="M6" s="273"/>
      <c r="N6" s="273"/>
      <c r="O6" s="273"/>
      <c r="P6" s="274"/>
      <c r="Q6" s="275"/>
      <c r="R6" s="276"/>
      <c r="S6" s="277"/>
      <c r="T6" s="278"/>
      <c r="U6" s="277"/>
      <c r="V6" s="278"/>
      <c r="W6" s="278"/>
      <c r="X6" s="277"/>
      <c r="Y6" s="279"/>
      <c r="Z6" s="280"/>
      <c r="AB6" s="232"/>
    </row>
    <row r="7" spans="1:29" s="221" customFormat="1" ht="21.75" hidden="1" customHeight="1">
      <c r="A7" s="244"/>
      <c r="B7" s="220"/>
      <c r="C7" s="4157" t="s">
        <v>1315</v>
      </c>
      <c r="D7" s="4158"/>
      <c r="E7" s="4159"/>
      <c r="F7" s="1694">
        <f>+F8</f>
        <v>549951.68200000003</v>
      </c>
      <c r="G7" s="1694">
        <f>+G8</f>
        <v>549951.68200000003</v>
      </c>
      <c r="H7" s="1695">
        <f>F7-G7</f>
        <v>0</v>
      </c>
      <c r="I7" s="234"/>
      <c r="J7" s="281"/>
      <c r="K7" s="282"/>
      <c r="L7" s="282"/>
      <c r="M7" s="282"/>
      <c r="N7" s="282"/>
      <c r="O7" s="282"/>
      <c r="P7" s="283"/>
      <c r="Q7" s="284"/>
      <c r="R7" s="285"/>
      <c r="S7" s="286"/>
      <c r="T7" s="287"/>
      <c r="U7" s="286"/>
      <c r="V7" s="287"/>
      <c r="W7" s="287"/>
      <c r="X7" s="286"/>
      <c r="Y7" s="288"/>
      <c r="Z7" s="245"/>
      <c r="AA7" s="208"/>
      <c r="AB7" s="232"/>
    </row>
    <row r="8" spans="1:29" s="221" customFormat="1" ht="21.75" hidden="1" customHeight="1">
      <c r="A8" s="244"/>
      <c r="B8" s="883"/>
      <c r="C8" s="207"/>
      <c r="D8" s="4160" t="s">
        <v>1315</v>
      </c>
      <c r="E8" s="4161"/>
      <c r="F8" s="213">
        <f>+F9</f>
        <v>549951.68200000003</v>
      </c>
      <c r="G8" s="213">
        <f>+G9</f>
        <v>549951.68200000003</v>
      </c>
      <c r="H8" s="212">
        <f>+H9</f>
        <v>0</v>
      </c>
      <c r="I8" s="231"/>
      <c r="J8" s="224"/>
      <c r="K8" s="225"/>
      <c r="L8" s="225"/>
      <c r="M8" s="225"/>
      <c r="N8" s="225"/>
      <c r="O8" s="225"/>
      <c r="P8" s="289"/>
      <c r="Q8" s="211"/>
      <c r="R8" s="882"/>
      <c r="S8" s="290"/>
      <c r="T8" s="881"/>
      <c r="U8" s="290"/>
      <c r="V8" s="881"/>
      <c r="W8" s="881"/>
      <c r="X8" s="290"/>
      <c r="Y8" s="210"/>
      <c r="Z8" s="209"/>
      <c r="AA8" s="226"/>
      <c r="AB8" s="232"/>
      <c r="AC8" s="292"/>
    </row>
    <row r="9" spans="1:29" s="221" customFormat="1" ht="21.75" hidden="1" customHeight="1">
      <c r="A9" s="244"/>
      <c r="B9" s="883"/>
      <c r="C9" s="207"/>
      <c r="D9" s="207"/>
      <c r="E9" s="214" t="s">
        <v>1315</v>
      </c>
      <c r="F9" s="206">
        <f>+Y9</f>
        <v>549951.68200000003</v>
      </c>
      <c r="G9" s="206">
        <v>549951.68200000003</v>
      </c>
      <c r="H9" s="217"/>
      <c r="I9" s="231"/>
      <c r="J9" s="216" t="s">
        <v>1364</v>
      </c>
      <c r="K9" s="218"/>
      <c r="L9" s="218"/>
      <c r="M9" s="218"/>
      <c r="N9" s="219"/>
      <c r="O9" s="219"/>
      <c r="P9" s="218"/>
      <c r="Q9" s="215"/>
      <c r="R9" s="205"/>
      <c r="S9" s="205">
        <v>549951682</v>
      </c>
      <c r="T9" s="205" t="s">
        <v>391</v>
      </c>
      <c r="U9" s="205"/>
      <c r="V9" s="205"/>
      <c r="W9" s="205"/>
      <c r="X9" s="243" t="s">
        <v>5</v>
      </c>
      <c r="Y9" s="242">
        <v>549951.68200000003</v>
      </c>
      <c r="Z9" s="204"/>
      <c r="AA9" s="293"/>
      <c r="AB9" s="232"/>
      <c r="AC9" s="292"/>
    </row>
    <row r="10" spans="1:29" s="491" customFormat="1" ht="21.75" hidden="1" customHeight="1">
      <c r="A10" s="1689"/>
      <c r="B10" s="630"/>
      <c r="C10" s="468"/>
      <c r="D10" s="630"/>
      <c r="E10" s="624"/>
      <c r="F10" s="824"/>
      <c r="G10" s="824"/>
      <c r="H10" s="551"/>
      <c r="I10" s="471"/>
      <c r="J10" s="472" t="s">
        <v>1412</v>
      </c>
      <c r="K10" s="473"/>
      <c r="L10" s="473"/>
      <c r="M10" s="473"/>
      <c r="N10" s="474"/>
      <c r="O10" s="473"/>
      <c r="P10" s="473"/>
      <c r="Q10" s="475"/>
      <c r="R10" s="473"/>
      <c r="S10" s="474">
        <v>417737745</v>
      </c>
      <c r="T10" s="473" t="s">
        <v>391</v>
      </c>
      <c r="U10" s="479"/>
      <c r="V10" s="473"/>
      <c r="W10" s="473"/>
      <c r="X10" s="243" t="s">
        <v>5</v>
      </c>
      <c r="Y10" s="483">
        <f>S10/1000</f>
        <v>417737.745</v>
      </c>
      <c r="Z10" s="308">
        <f>S10</f>
        <v>417737745</v>
      </c>
      <c r="AA10" s="565"/>
      <c r="AB10" s="232"/>
      <c r="AC10" s="492"/>
    </row>
    <row r="11" spans="1:29" s="491" customFormat="1" ht="21.75" hidden="1" customHeight="1">
      <c r="A11" s="1689"/>
      <c r="B11" s="630"/>
      <c r="C11" s="468"/>
      <c r="D11" s="630"/>
      <c r="E11" s="624"/>
      <c r="F11" s="824"/>
      <c r="G11" s="824"/>
      <c r="H11" s="551"/>
      <c r="I11" s="471"/>
      <c r="J11" s="472" t="s">
        <v>1413</v>
      </c>
      <c r="K11" s="473"/>
      <c r="L11" s="473"/>
      <c r="M11" s="473"/>
      <c r="N11" s="474"/>
      <c r="O11" s="473"/>
      <c r="P11" s="473"/>
      <c r="Q11" s="475"/>
      <c r="R11" s="473"/>
      <c r="S11" s="474">
        <v>75174369</v>
      </c>
      <c r="T11" s="473" t="s">
        <v>391</v>
      </c>
      <c r="U11" s="479"/>
      <c r="V11" s="473"/>
      <c r="W11" s="473"/>
      <c r="X11" s="243" t="s">
        <v>5</v>
      </c>
      <c r="Y11" s="483">
        <f t="shared" ref="Y11:Y19" si="0">S11/1000</f>
        <v>75174.369000000006</v>
      </c>
      <c r="Z11" s="308">
        <f t="shared" ref="Z11:Z19" si="1">S11</f>
        <v>75174369</v>
      </c>
      <c r="AA11" s="565"/>
      <c r="AB11" s="232"/>
      <c r="AC11" s="492"/>
    </row>
    <row r="12" spans="1:29" s="491" customFormat="1" ht="21.75" hidden="1" customHeight="1">
      <c r="A12" s="1689"/>
      <c r="B12" s="630"/>
      <c r="C12" s="468"/>
      <c r="D12" s="630"/>
      <c r="E12" s="624"/>
      <c r="F12" s="824"/>
      <c r="G12" s="824"/>
      <c r="H12" s="551"/>
      <c r="I12" s="471"/>
      <c r="J12" s="472" t="s">
        <v>1414</v>
      </c>
      <c r="K12" s="473"/>
      <c r="L12" s="473"/>
      <c r="M12" s="473"/>
      <c r="N12" s="474"/>
      <c r="O12" s="473"/>
      <c r="P12" s="473"/>
      <c r="Q12" s="475"/>
      <c r="R12" s="473"/>
      <c r="S12" s="474">
        <v>28572245</v>
      </c>
      <c r="T12" s="473" t="s">
        <v>391</v>
      </c>
      <c r="U12" s="479"/>
      <c r="V12" s="473"/>
      <c r="W12" s="473"/>
      <c r="X12" s="243" t="s">
        <v>5</v>
      </c>
      <c r="Y12" s="483">
        <f t="shared" si="0"/>
        <v>28572.244999999999</v>
      </c>
      <c r="Z12" s="308">
        <f t="shared" si="1"/>
        <v>28572245</v>
      </c>
      <c r="AA12" s="565"/>
      <c r="AB12" s="232"/>
      <c r="AC12" s="492"/>
    </row>
    <row r="13" spans="1:29" s="491" customFormat="1" ht="21.75" hidden="1" customHeight="1">
      <c r="A13" s="1689"/>
      <c r="B13" s="630"/>
      <c r="C13" s="468"/>
      <c r="D13" s="630"/>
      <c r="E13" s="624"/>
      <c r="F13" s="824"/>
      <c r="G13" s="824"/>
      <c r="H13" s="551"/>
      <c r="I13" s="471"/>
      <c r="J13" s="472" t="s">
        <v>1415</v>
      </c>
      <c r="K13" s="473"/>
      <c r="L13" s="473"/>
      <c r="M13" s="473"/>
      <c r="N13" s="474"/>
      <c r="O13" s="473"/>
      <c r="P13" s="473"/>
      <c r="Q13" s="475"/>
      <c r="R13" s="473"/>
      <c r="S13" s="474">
        <v>914683</v>
      </c>
      <c r="T13" s="473" t="s">
        <v>391</v>
      </c>
      <c r="U13" s="479"/>
      <c r="V13" s="473"/>
      <c r="W13" s="473"/>
      <c r="X13" s="243" t="s">
        <v>5</v>
      </c>
      <c r="Y13" s="483">
        <f t="shared" si="0"/>
        <v>914.68299999999999</v>
      </c>
      <c r="Z13" s="308">
        <f t="shared" si="1"/>
        <v>914683</v>
      </c>
      <c r="AA13" s="565"/>
      <c r="AB13" s="232"/>
      <c r="AC13" s="492"/>
    </row>
    <row r="14" spans="1:29" s="491" customFormat="1" ht="21.75" hidden="1" customHeight="1">
      <c r="A14" s="1689"/>
      <c r="B14" s="630"/>
      <c r="C14" s="468"/>
      <c r="D14" s="630"/>
      <c r="E14" s="624"/>
      <c r="F14" s="824"/>
      <c r="G14" s="824"/>
      <c r="H14" s="551"/>
      <c r="I14" s="471"/>
      <c r="J14" s="472" t="s">
        <v>1416</v>
      </c>
      <c r="K14" s="473"/>
      <c r="L14" s="473"/>
      <c r="M14" s="473"/>
      <c r="N14" s="474"/>
      <c r="O14" s="473"/>
      <c r="P14" s="473"/>
      <c r="Q14" s="475"/>
      <c r="R14" s="473"/>
      <c r="S14" s="474">
        <v>3815388</v>
      </c>
      <c r="T14" s="473" t="s">
        <v>391</v>
      </c>
      <c r="U14" s="479"/>
      <c r="V14" s="473"/>
      <c r="W14" s="473"/>
      <c r="X14" s="243" t="s">
        <v>5</v>
      </c>
      <c r="Y14" s="483">
        <f t="shared" si="0"/>
        <v>3815.3879999999999</v>
      </c>
      <c r="Z14" s="308">
        <f t="shared" si="1"/>
        <v>3815388</v>
      </c>
      <c r="AA14" s="565"/>
      <c r="AB14" s="232"/>
      <c r="AC14" s="492"/>
    </row>
    <row r="15" spans="1:29" s="491" customFormat="1" ht="21.75" hidden="1" customHeight="1">
      <c r="A15" s="1689"/>
      <c r="B15" s="630"/>
      <c r="C15" s="468"/>
      <c r="D15" s="630"/>
      <c r="E15" s="624"/>
      <c r="F15" s="824"/>
      <c r="G15" s="824"/>
      <c r="H15" s="551"/>
      <c r="I15" s="471"/>
      <c r="J15" s="472" t="s">
        <v>1417</v>
      </c>
      <c r="K15" s="473"/>
      <c r="L15" s="473"/>
      <c r="M15" s="473"/>
      <c r="N15" s="474"/>
      <c r="O15" s="473"/>
      <c r="P15" s="473"/>
      <c r="Q15" s="475"/>
      <c r="R15" s="473"/>
      <c r="S15" s="474">
        <v>210169</v>
      </c>
      <c r="T15" s="473" t="s">
        <v>391</v>
      </c>
      <c r="U15" s="479"/>
      <c r="V15" s="473"/>
      <c r="W15" s="473"/>
      <c r="X15" s="243" t="s">
        <v>5</v>
      </c>
      <c r="Y15" s="483">
        <f t="shared" si="0"/>
        <v>210.16900000000001</v>
      </c>
      <c r="Z15" s="308">
        <f t="shared" si="1"/>
        <v>210169</v>
      </c>
      <c r="AA15" s="565"/>
      <c r="AB15" s="232"/>
      <c r="AC15" s="492"/>
    </row>
    <row r="16" spans="1:29" s="491" customFormat="1" ht="21.75" hidden="1" customHeight="1">
      <c r="A16" s="1689"/>
      <c r="B16" s="630"/>
      <c r="C16" s="468"/>
      <c r="D16" s="630"/>
      <c r="E16" s="624"/>
      <c r="F16" s="824"/>
      <c r="G16" s="824"/>
      <c r="H16" s="551"/>
      <c r="I16" s="471"/>
      <c r="J16" s="472" t="s">
        <v>1418</v>
      </c>
      <c r="K16" s="473"/>
      <c r="L16" s="473"/>
      <c r="M16" s="473"/>
      <c r="N16" s="474"/>
      <c r="O16" s="473"/>
      <c r="P16" s="473"/>
      <c r="Q16" s="475"/>
      <c r="R16" s="473"/>
      <c r="S16" s="474">
        <v>1413</v>
      </c>
      <c r="T16" s="473" t="s">
        <v>391</v>
      </c>
      <c r="U16" s="479"/>
      <c r="V16" s="473"/>
      <c r="W16" s="473"/>
      <c r="X16" s="243" t="s">
        <v>5</v>
      </c>
      <c r="Y16" s="483">
        <f t="shared" si="0"/>
        <v>1.413</v>
      </c>
      <c r="Z16" s="308">
        <f t="shared" si="1"/>
        <v>1413</v>
      </c>
      <c r="AA16" s="565"/>
      <c r="AB16" s="232"/>
      <c r="AC16" s="492"/>
    </row>
    <row r="17" spans="1:29" s="491" customFormat="1" ht="21.75" hidden="1" customHeight="1">
      <c r="A17" s="1689"/>
      <c r="B17" s="630"/>
      <c r="C17" s="468"/>
      <c r="D17" s="630"/>
      <c r="E17" s="624"/>
      <c r="F17" s="824"/>
      <c r="G17" s="824"/>
      <c r="H17" s="551"/>
      <c r="I17" s="471"/>
      <c r="J17" s="472" t="s">
        <v>1419</v>
      </c>
      <c r="K17" s="473"/>
      <c r="L17" s="473"/>
      <c r="M17" s="473"/>
      <c r="N17" s="474"/>
      <c r="O17" s="473"/>
      <c r="P17" s="473"/>
      <c r="Q17" s="475"/>
      <c r="R17" s="473"/>
      <c r="S17" s="474">
        <v>4459627</v>
      </c>
      <c r="T17" s="473" t="s">
        <v>391</v>
      </c>
      <c r="U17" s="479"/>
      <c r="V17" s="473"/>
      <c r="W17" s="473"/>
      <c r="X17" s="243" t="s">
        <v>5</v>
      </c>
      <c r="Y17" s="483">
        <f t="shared" si="0"/>
        <v>4459.6270000000004</v>
      </c>
      <c r="Z17" s="308">
        <f t="shared" si="1"/>
        <v>4459627</v>
      </c>
      <c r="AA17" s="565"/>
      <c r="AB17" s="232"/>
      <c r="AC17" s="492"/>
    </row>
    <row r="18" spans="1:29" s="491" customFormat="1" ht="21.75" hidden="1" customHeight="1">
      <c r="A18" s="1689"/>
      <c r="B18" s="630"/>
      <c r="C18" s="468"/>
      <c r="D18" s="630"/>
      <c r="E18" s="624"/>
      <c r="F18" s="824"/>
      <c r="G18" s="824"/>
      <c r="H18" s="551"/>
      <c r="I18" s="471"/>
      <c r="J18" s="472" t="s">
        <v>1420</v>
      </c>
      <c r="K18" s="473"/>
      <c r="L18" s="473"/>
      <c r="M18" s="473"/>
      <c r="N18" s="474"/>
      <c r="O18" s="473"/>
      <c r="P18" s="473"/>
      <c r="Q18" s="475"/>
      <c r="R18" s="473"/>
      <c r="S18" s="474">
        <v>651496</v>
      </c>
      <c r="T18" s="473" t="s">
        <v>391</v>
      </c>
      <c r="U18" s="479"/>
      <c r="V18" s="473"/>
      <c r="W18" s="473"/>
      <c r="X18" s="243" t="s">
        <v>5</v>
      </c>
      <c r="Y18" s="483">
        <f t="shared" si="0"/>
        <v>651.49599999999998</v>
      </c>
      <c r="Z18" s="308">
        <f t="shared" si="1"/>
        <v>651496</v>
      </c>
      <c r="AA18" s="565"/>
      <c r="AB18" s="232"/>
      <c r="AC18" s="492"/>
    </row>
    <row r="19" spans="1:29" s="491" customFormat="1" ht="21.75" hidden="1" customHeight="1" thickBot="1">
      <c r="A19" s="772"/>
      <c r="B19" s="637"/>
      <c r="C19" s="519"/>
      <c r="D19" s="637"/>
      <c r="E19" s="638"/>
      <c r="F19" s="1657"/>
      <c r="G19" s="1657"/>
      <c r="H19" s="1658"/>
      <c r="I19" s="471"/>
      <c r="J19" s="639" t="s">
        <v>1421</v>
      </c>
      <c r="K19" s="640"/>
      <c r="L19" s="640"/>
      <c r="M19" s="640"/>
      <c r="N19" s="641"/>
      <c r="O19" s="640"/>
      <c r="P19" s="640"/>
      <c r="Q19" s="642"/>
      <c r="R19" s="640"/>
      <c r="S19" s="641">
        <v>18414547</v>
      </c>
      <c r="T19" s="473" t="s">
        <v>391</v>
      </c>
      <c r="U19" s="521"/>
      <c r="V19" s="640"/>
      <c r="W19" s="640"/>
      <c r="X19" s="248" t="s">
        <v>5</v>
      </c>
      <c r="Y19" s="522">
        <f t="shared" si="0"/>
        <v>18414.546999999999</v>
      </c>
      <c r="Z19" s="308">
        <f t="shared" si="1"/>
        <v>18414547</v>
      </c>
      <c r="AA19" s="565"/>
      <c r="AB19" s="232"/>
      <c r="AC19" s="492"/>
    </row>
    <row r="20" spans="1:29" ht="21.75" hidden="1" customHeight="1"/>
    <row r="21" spans="1:29" ht="21.75" hidden="1" customHeight="1"/>
    <row r="22" spans="1:29" ht="21.75" hidden="1" customHeight="1"/>
    <row r="23" spans="1:29" ht="21.75" hidden="1" customHeight="1"/>
    <row r="24" spans="1:29" ht="21.75" hidden="1" customHeight="1"/>
    <row r="25" spans="1:29" ht="21.75" hidden="1" customHeight="1"/>
    <row r="26" spans="1:29" ht="21.75" hidden="1" customHeight="1"/>
    <row r="27" spans="1:29" ht="21.75" hidden="1" customHeight="1"/>
    <row r="28" spans="1:29" ht="21.75" hidden="1" customHeight="1"/>
    <row r="29" spans="1:29" ht="21.75" hidden="1" customHeight="1"/>
    <row r="30" spans="1:29" ht="21.75" hidden="1" customHeight="1"/>
    <row r="31" spans="1:29" ht="21.75" hidden="1" customHeight="1"/>
    <row r="32" spans="1:29" ht="21.75" hidden="1" customHeight="1"/>
    <row r="33" ht="21.75" hidden="1" customHeight="1"/>
    <row r="34" ht="21.75" hidden="1" customHeight="1"/>
    <row r="35" ht="21.75" hidden="1" customHeight="1"/>
    <row r="36" ht="21.75" hidden="1" customHeight="1"/>
    <row r="37" ht="21.75" hidden="1" customHeight="1"/>
    <row r="38" ht="21.75" hidden="1" customHeight="1"/>
    <row r="39" ht="21.75" hidden="1" customHeight="1"/>
    <row r="40" ht="21.75" hidden="1" customHeight="1"/>
    <row r="41" ht="21.75" hidden="1" customHeight="1"/>
    <row r="42" ht="21.75" hidden="1" customHeight="1"/>
    <row r="43" ht="21.75" hidden="1" customHeight="1"/>
    <row r="44" ht="21.75" hidden="1" customHeight="1"/>
    <row r="45" ht="21.75" hidden="1" customHeight="1"/>
    <row r="47" ht="21.75" hidden="1" customHeight="1"/>
    <row r="48" ht="21.75" hidden="1" customHeight="1"/>
    <row r="49" ht="21.75" hidden="1" customHeight="1"/>
    <row r="50" ht="21.75" hidden="1" customHeight="1"/>
    <row r="51" ht="21.75" hidden="1" customHeight="1"/>
    <row r="52" ht="21.75" hidden="1" customHeight="1"/>
    <row r="53" ht="21.75" hidden="1" customHeight="1"/>
    <row r="54" ht="21.75" hidden="1" customHeight="1"/>
    <row r="55" ht="21.75" hidden="1" customHeight="1"/>
    <row r="56" ht="21.75" hidden="1" customHeight="1"/>
    <row r="57" ht="21.75" hidden="1" customHeight="1"/>
    <row r="58" ht="21.75" hidden="1" customHeight="1"/>
    <row r="59" ht="21.75" hidden="1" customHeight="1"/>
    <row r="60" ht="21.75" hidden="1" customHeight="1"/>
    <row r="61" ht="21.75" hidden="1" customHeight="1"/>
    <row r="62" ht="21.75" hidden="1" customHeight="1"/>
    <row r="63" ht="21.75" hidden="1" customHeight="1"/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5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63"/>
  <sheetViews>
    <sheetView showGridLines="0" view="pageBreakPreview" zoomScale="90" zoomScaleNormal="100" zoomScaleSheetLayoutView="90" workbookViewId="0">
      <pane ySplit="4" topLeftCell="A5" activePane="bottomLeft" state="frozen"/>
      <selection activeCell="F663" sqref="F663:G663"/>
      <selection pane="bottomLeft" activeCell="K18" sqref="K18"/>
    </sheetView>
  </sheetViews>
  <sheetFormatPr defaultRowHeight="12"/>
  <cols>
    <col min="1" max="1" width="6.33203125" style="318" bestFit="1" customWidth="1"/>
    <col min="2" max="2" width="6.88671875" style="318" bestFit="1" customWidth="1"/>
    <col min="3" max="3" width="16.109375" style="323" customWidth="1"/>
    <col min="4" max="4" width="16" style="322" customWidth="1"/>
    <col min="5" max="5" width="7.88671875" style="318" hidden="1" customWidth="1"/>
    <col min="6" max="6" width="42.21875" style="321" hidden="1" customWidth="1"/>
    <col min="7" max="7" width="14.5546875" style="320" bestFit="1" customWidth="1"/>
    <col min="8" max="9" width="13.5546875" style="320" bestFit="1" customWidth="1"/>
    <col min="10" max="10" width="68.88671875" style="319" customWidth="1"/>
    <col min="11" max="11" width="8.88671875" style="323"/>
    <col min="12" max="16384" width="8.88671875" style="318"/>
  </cols>
  <sheetData>
    <row r="1" spans="1:11" ht="33.75">
      <c r="A1" s="4183" t="s">
        <v>1422</v>
      </c>
      <c r="B1" s="4183"/>
      <c r="C1" s="4183"/>
      <c r="D1" s="4183"/>
      <c r="E1" s="4183"/>
      <c r="F1" s="4183"/>
      <c r="G1" s="4183"/>
      <c r="H1" s="4183"/>
      <c r="I1" s="4183"/>
      <c r="J1" s="4183"/>
      <c r="K1" s="4183"/>
    </row>
    <row r="2" spans="1:11" ht="14.25" thickBot="1">
      <c r="B2" s="4184" t="s">
        <v>1080</v>
      </c>
      <c r="C2" s="4184"/>
      <c r="D2" s="4184"/>
      <c r="E2" s="4184"/>
      <c r="F2" s="4184"/>
      <c r="G2" s="4184"/>
      <c r="H2" s="4184"/>
      <c r="I2" s="4184"/>
      <c r="J2" s="4184"/>
    </row>
    <row r="3" spans="1:11" ht="24.95" customHeight="1">
      <c r="A3" s="4185" t="s">
        <v>1081</v>
      </c>
      <c r="B3" s="4186"/>
      <c r="C3" s="4186"/>
      <c r="D3" s="4186"/>
      <c r="E3" s="4186"/>
      <c r="F3" s="4187" t="s">
        <v>1082</v>
      </c>
      <c r="G3" s="4189" t="s">
        <v>1083</v>
      </c>
      <c r="H3" s="4191" t="s">
        <v>1084</v>
      </c>
      <c r="I3" s="4191" t="s">
        <v>1085</v>
      </c>
      <c r="J3" s="4193" t="s">
        <v>1086</v>
      </c>
      <c r="K3" s="4195" t="s">
        <v>1087</v>
      </c>
    </row>
    <row r="4" spans="1:11" ht="24.95" customHeight="1">
      <c r="A4" s="389" t="s">
        <v>252</v>
      </c>
      <c r="B4" s="388" t="s">
        <v>234</v>
      </c>
      <c r="C4" s="388" t="s">
        <v>221</v>
      </c>
      <c r="D4" s="388" t="s">
        <v>235</v>
      </c>
      <c r="E4" s="387" t="s">
        <v>49</v>
      </c>
      <c r="F4" s="4188"/>
      <c r="G4" s="4190"/>
      <c r="H4" s="4192"/>
      <c r="I4" s="4192"/>
      <c r="J4" s="4194"/>
      <c r="K4" s="4196"/>
    </row>
    <row r="5" spans="1:11" s="325" customFormat="1" ht="26.1" customHeight="1">
      <c r="A5" s="4176" t="s">
        <v>1088</v>
      </c>
      <c r="B5" s="4177"/>
      <c r="C5" s="4177"/>
      <c r="D5" s="4177"/>
      <c r="E5" s="4177"/>
      <c r="F5" s="4177"/>
      <c r="G5" s="362">
        <f>+G6+G13+G38+G41</f>
        <v>39195407500</v>
      </c>
      <c r="H5" s="362">
        <f>+H6+H13+H38+H41</f>
        <v>5598259000</v>
      </c>
      <c r="I5" s="362">
        <f>+I6+I13+I38+I41</f>
        <v>6216956409</v>
      </c>
      <c r="J5" s="386"/>
      <c r="K5" s="361"/>
    </row>
    <row r="6" spans="1:11" s="352" customFormat="1" ht="26.1" customHeight="1">
      <c r="A6" s="4176" t="s">
        <v>1089</v>
      </c>
      <c r="B6" s="4177"/>
      <c r="C6" s="4177"/>
      <c r="D6" s="4177"/>
      <c r="E6" s="4177"/>
      <c r="F6" s="4177"/>
      <c r="G6" s="362">
        <f>+G7+G9+G11</f>
        <v>208600000</v>
      </c>
      <c r="H6" s="362">
        <f>+H7+H9+H11</f>
        <v>64200000</v>
      </c>
      <c r="I6" s="362">
        <f>+I7+I9+I11</f>
        <v>64200000</v>
      </c>
      <c r="J6" s="2930"/>
      <c r="K6" s="361"/>
    </row>
    <row r="7" spans="1:11" s="363" customFormat="1" ht="26.1" customHeight="1">
      <c r="A7" s="4197" t="s">
        <v>1090</v>
      </c>
      <c r="B7" s="4178" t="s">
        <v>1091</v>
      </c>
      <c r="C7" s="4179" t="s">
        <v>1092</v>
      </c>
      <c r="D7" s="4179"/>
      <c r="E7" s="4179"/>
      <c r="F7" s="2922"/>
      <c r="G7" s="332">
        <f>+G8</f>
        <v>108600000</v>
      </c>
      <c r="H7" s="332">
        <f>+H8</f>
        <v>4200000</v>
      </c>
      <c r="I7" s="332">
        <f>+I8</f>
        <v>4200000</v>
      </c>
      <c r="J7" s="2922"/>
      <c r="K7" s="331"/>
    </row>
    <row r="8" spans="1:11" s="363" customFormat="1" ht="26.1" customHeight="1">
      <c r="A8" s="4197"/>
      <c r="B8" s="4178"/>
      <c r="C8" s="371" t="s">
        <v>1093</v>
      </c>
      <c r="D8" s="371" t="s">
        <v>1094</v>
      </c>
      <c r="E8" s="337"/>
      <c r="F8" s="365" t="s">
        <v>1095</v>
      </c>
      <c r="G8" s="339">
        <v>108600000</v>
      </c>
      <c r="H8" s="339">
        <v>4200000</v>
      </c>
      <c r="I8" s="339">
        <v>4200000</v>
      </c>
      <c r="J8" s="2926" t="s">
        <v>1931</v>
      </c>
      <c r="K8" s="384"/>
    </row>
    <row r="9" spans="1:11" s="363" customFormat="1" ht="26.1" customHeight="1">
      <c r="A9" s="4197"/>
      <c r="B9" s="4178" t="s">
        <v>1096</v>
      </c>
      <c r="C9" s="4179" t="s">
        <v>1097</v>
      </c>
      <c r="D9" s="4179"/>
      <c r="E9" s="4179"/>
      <c r="F9" s="2922"/>
      <c r="G9" s="332">
        <f>SUM(G10:G10)</f>
        <v>20000000</v>
      </c>
      <c r="H9" s="332">
        <f>SUM(H10:H10)</f>
        <v>10000000</v>
      </c>
      <c r="I9" s="332">
        <f>SUM(I10:I10)</f>
        <v>10000000</v>
      </c>
      <c r="J9" s="2922"/>
      <c r="K9" s="331"/>
    </row>
    <row r="10" spans="1:11" s="363" customFormat="1" ht="26.1" customHeight="1">
      <c r="A10" s="4197"/>
      <c r="B10" s="4178"/>
      <c r="C10" s="371" t="s">
        <v>793</v>
      </c>
      <c r="D10" s="371" t="s">
        <v>794</v>
      </c>
      <c r="E10" s="337" t="s">
        <v>431</v>
      </c>
      <c r="F10" s="336" t="s">
        <v>1099</v>
      </c>
      <c r="G10" s="339">
        <v>20000000</v>
      </c>
      <c r="H10" s="338">
        <v>10000000</v>
      </c>
      <c r="I10" s="338">
        <v>10000000</v>
      </c>
      <c r="J10" s="2926" t="s">
        <v>1100</v>
      </c>
      <c r="K10" s="364" t="s">
        <v>1932</v>
      </c>
    </row>
    <row r="11" spans="1:11" s="363" customFormat="1" ht="26.1" customHeight="1">
      <c r="A11" s="4197"/>
      <c r="B11" s="4178" t="s">
        <v>1101</v>
      </c>
      <c r="C11" s="4179" t="s">
        <v>1102</v>
      </c>
      <c r="D11" s="4179"/>
      <c r="E11" s="4179"/>
      <c r="F11" s="2922"/>
      <c r="G11" s="332">
        <f>+G12</f>
        <v>80000000</v>
      </c>
      <c r="H11" s="332">
        <f>+H12</f>
        <v>50000000</v>
      </c>
      <c r="I11" s="332">
        <f>+I12</f>
        <v>50000000</v>
      </c>
      <c r="J11" s="2922"/>
      <c r="K11" s="331"/>
    </row>
    <row r="12" spans="1:11" s="363" customFormat="1" ht="26.1" customHeight="1">
      <c r="A12" s="4197"/>
      <c r="B12" s="4178"/>
      <c r="C12" s="371" t="s">
        <v>1103</v>
      </c>
      <c r="D12" s="371" t="s">
        <v>1104</v>
      </c>
      <c r="E12" s="337" t="s">
        <v>431</v>
      </c>
      <c r="F12" s="385" t="s">
        <v>1105</v>
      </c>
      <c r="G12" s="335">
        <v>80000000</v>
      </c>
      <c r="H12" s="372">
        <v>50000000</v>
      </c>
      <c r="I12" s="372">
        <v>50000000</v>
      </c>
      <c r="J12" s="2926" t="s">
        <v>1106</v>
      </c>
      <c r="K12" s="384"/>
    </row>
    <row r="13" spans="1:11" s="352" customFormat="1" ht="26.1" customHeight="1">
      <c r="A13" s="4176" t="s">
        <v>1107</v>
      </c>
      <c r="B13" s="4177"/>
      <c r="C13" s="4177"/>
      <c r="D13" s="4177"/>
      <c r="E13" s="4177"/>
      <c r="F13" s="4177"/>
      <c r="G13" s="362">
        <f>+G14+G23+G26+G32+G35</f>
        <v>36722234800</v>
      </c>
      <c r="H13" s="362">
        <f>+H14+H23+H26+H32+H35</f>
        <v>4401974000</v>
      </c>
      <c r="I13" s="362">
        <f>+I14+I23+I26+I32+I35</f>
        <v>5050171409</v>
      </c>
      <c r="J13" s="2930"/>
      <c r="K13" s="361"/>
    </row>
    <row r="14" spans="1:11" s="363" customFormat="1" ht="26.1" customHeight="1">
      <c r="A14" s="4198" t="s">
        <v>1108</v>
      </c>
      <c r="B14" s="4178" t="s">
        <v>1109</v>
      </c>
      <c r="C14" s="4179" t="s">
        <v>1110</v>
      </c>
      <c r="D14" s="4179"/>
      <c r="E14" s="4179"/>
      <c r="F14" s="2922"/>
      <c r="G14" s="332">
        <f>SUM(G15:G22)</f>
        <v>16012834800</v>
      </c>
      <c r="H14" s="332">
        <f>SUM(H15:H22)</f>
        <v>788224000</v>
      </c>
      <c r="I14" s="332">
        <f>SUM(I15:I22)</f>
        <v>1150120432</v>
      </c>
      <c r="J14" s="2922"/>
      <c r="K14" s="331"/>
    </row>
    <row r="15" spans="1:11" s="363" customFormat="1" ht="26.1" customHeight="1">
      <c r="A15" s="4199"/>
      <c r="B15" s="4178"/>
      <c r="C15" s="2931" t="s">
        <v>1111</v>
      </c>
      <c r="D15" s="418" t="s">
        <v>1112</v>
      </c>
      <c r="E15" s="377" t="s">
        <v>278</v>
      </c>
      <c r="F15" s="379" t="s">
        <v>1113</v>
      </c>
      <c r="G15" s="378">
        <v>8428000000</v>
      </c>
      <c r="H15" s="378">
        <v>140900000</v>
      </c>
      <c r="I15" s="378">
        <v>140900000</v>
      </c>
      <c r="J15" s="383" t="s">
        <v>1114</v>
      </c>
      <c r="K15" s="374"/>
    </row>
    <row r="16" spans="1:11" s="363" customFormat="1" ht="26.1" customHeight="1">
      <c r="A16" s="4199"/>
      <c r="B16" s="4178"/>
      <c r="C16" s="4180" t="s">
        <v>1115</v>
      </c>
      <c r="D16" s="381" t="s">
        <v>1116</v>
      </c>
      <c r="E16" s="382" t="s">
        <v>229</v>
      </c>
      <c r="F16" s="382" t="s">
        <v>1117</v>
      </c>
      <c r="G16" s="380">
        <v>143000000</v>
      </c>
      <c r="H16" s="380">
        <v>0</v>
      </c>
      <c r="I16" s="380">
        <v>8971668</v>
      </c>
      <c r="J16" s="2926" t="s">
        <v>1336</v>
      </c>
      <c r="K16" s="364" t="s">
        <v>3769</v>
      </c>
    </row>
    <row r="17" spans="1:11" s="363" customFormat="1" ht="26.1" customHeight="1">
      <c r="A17" s="4199"/>
      <c r="B17" s="4178"/>
      <c r="C17" s="4181"/>
      <c r="D17" s="381" t="s">
        <v>3770</v>
      </c>
      <c r="E17" s="382" t="s">
        <v>3771</v>
      </c>
      <c r="F17" s="382" t="s">
        <v>3772</v>
      </c>
      <c r="G17" s="380">
        <v>39000000</v>
      </c>
      <c r="H17" s="380">
        <v>5000000</v>
      </c>
      <c r="I17" s="380">
        <v>5200000</v>
      </c>
      <c r="J17" s="2926" t="s">
        <v>3773</v>
      </c>
      <c r="K17" s="374" t="s">
        <v>3774</v>
      </c>
    </row>
    <row r="18" spans="1:11" s="363" customFormat="1" ht="26.1" customHeight="1">
      <c r="A18" s="4199"/>
      <c r="B18" s="4178"/>
      <c r="C18" s="4181"/>
      <c r="D18" s="381" t="s">
        <v>3775</v>
      </c>
      <c r="E18" s="382" t="s">
        <v>3771</v>
      </c>
      <c r="F18" s="382" t="s">
        <v>3772</v>
      </c>
      <c r="G18" s="380">
        <v>60000000</v>
      </c>
      <c r="H18" s="380">
        <v>7000000</v>
      </c>
      <c r="I18" s="380">
        <v>9739350</v>
      </c>
      <c r="J18" s="2926" t="s">
        <v>3776</v>
      </c>
      <c r="K18" s="374" t="s">
        <v>3774</v>
      </c>
    </row>
    <row r="19" spans="1:11" s="363" customFormat="1" ht="26.1" customHeight="1">
      <c r="A19" s="4199"/>
      <c r="B19" s="4178"/>
      <c r="C19" s="4181"/>
      <c r="D19" s="382" t="s">
        <v>3777</v>
      </c>
      <c r="E19" s="382" t="s">
        <v>3771</v>
      </c>
      <c r="F19" s="382" t="s">
        <v>3778</v>
      </c>
      <c r="G19" s="380">
        <v>58000000</v>
      </c>
      <c r="H19" s="380">
        <v>16090000</v>
      </c>
      <c r="I19" s="380">
        <v>16292600</v>
      </c>
      <c r="J19" s="2926" t="s">
        <v>3779</v>
      </c>
      <c r="K19" s="374" t="s">
        <v>3780</v>
      </c>
    </row>
    <row r="20" spans="1:11" s="363" customFormat="1" ht="26.1" customHeight="1">
      <c r="A20" s="4199"/>
      <c r="B20" s="4178"/>
      <c r="C20" s="4181"/>
      <c r="D20" s="382" t="s">
        <v>3781</v>
      </c>
      <c r="E20" s="382" t="s">
        <v>3782</v>
      </c>
      <c r="F20" s="382" t="s">
        <v>3783</v>
      </c>
      <c r="G20" s="380">
        <v>1700000000</v>
      </c>
      <c r="H20" s="380">
        <v>14650000</v>
      </c>
      <c r="I20" s="380">
        <v>135342501</v>
      </c>
      <c r="J20" s="2926" t="s">
        <v>3784</v>
      </c>
      <c r="K20" s="374" t="s">
        <v>3780</v>
      </c>
    </row>
    <row r="21" spans="1:11" s="363" customFormat="1" ht="26.1" customHeight="1">
      <c r="A21" s="4199"/>
      <c r="B21" s="4178"/>
      <c r="C21" s="4181"/>
      <c r="D21" s="382" t="s">
        <v>3785</v>
      </c>
      <c r="E21" s="382" t="s">
        <v>3782</v>
      </c>
      <c r="F21" s="382" t="s">
        <v>3783</v>
      </c>
      <c r="G21" s="380">
        <v>468000000</v>
      </c>
      <c r="H21" s="380">
        <v>4000000</v>
      </c>
      <c r="I21" s="380">
        <v>4000000</v>
      </c>
      <c r="J21" s="2926" t="s">
        <v>3786</v>
      </c>
      <c r="K21" s="364"/>
    </row>
    <row r="22" spans="1:11" s="363" customFormat="1" ht="26.1" customHeight="1">
      <c r="A22" s="4199"/>
      <c r="B22" s="4178"/>
      <c r="C22" s="4182"/>
      <c r="D22" s="382" t="s">
        <v>3787</v>
      </c>
      <c r="E22" s="382" t="s">
        <v>3788</v>
      </c>
      <c r="F22" s="381" t="s">
        <v>3789</v>
      </c>
      <c r="G22" s="380">
        <v>5116834800</v>
      </c>
      <c r="H22" s="380">
        <v>600584000</v>
      </c>
      <c r="I22" s="380">
        <v>829674313</v>
      </c>
      <c r="J22" s="2926" t="s">
        <v>3790</v>
      </c>
      <c r="K22" s="374" t="s">
        <v>3774</v>
      </c>
    </row>
    <row r="23" spans="1:11" s="363" customFormat="1" ht="26.1" customHeight="1">
      <c r="A23" s="4199" t="s">
        <v>3791</v>
      </c>
      <c r="B23" s="4178" t="s">
        <v>3792</v>
      </c>
      <c r="C23" s="4179" t="s">
        <v>3793</v>
      </c>
      <c r="D23" s="4179"/>
      <c r="E23" s="4179"/>
      <c r="F23" s="2922"/>
      <c r="G23" s="332">
        <f>SUM(G24:G25)</f>
        <v>12553000000</v>
      </c>
      <c r="H23" s="332">
        <f t="shared" ref="H23:I23" si="0">SUM(H24:H25)</f>
        <v>2731616000</v>
      </c>
      <c r="I23" s="332">
        <f t="shared" si="0"/>
        <v>3081311775</v>
      </c>
      <c r="J23" s="2922"/>
      <c r="K23" s="331"/>
    </row>
    <row r="24" spans="1:11" s="363" customFormat="1" ht="26.1" customHeight="1">
      <c r="A24" s="4199"/>
      <c r="B24" s="4178"/>
      <c r="C24" s="4207" t="s">
        <v>3794</v>
      </c>
      <c r="D24" s="2921" t="s">
        <v>3795</v>
      </c>
      <c r="E24" s="2921" t="s">
        <v>3796</v>
      </c>
      <c r="F24" s="336" t="s">
        <v>3797</v>
      </c>
      <c r="G24" s="373">
        <v>12466700000</v>
      </c>
      <c r="H24" s="372">
        <v>2731616000</v>
      </c>
      <c r="I24" s="372">
        <v>3077567296</v>
      </c>
      <c r="J24" s="2926" t="s">
        <v>3798</v>
      </c>
      <c r="K24" s="364"/>
    </row>
    <row r="25" spans="1:11" s="363" customFormat="1" ht="26.1" customHeight="1">
      <c r="A25" s="4199"/>
      <c r="B25" s="4178"/>
      <c r="C25" s="4209"/>
      <c r="D25" s="2921" t="s">
        <v>3799</v>
      </c>
      <c r="E25" s="2921" t="s">
        <v>3796</v>
      </c>
      <c r="F25" s="336" t="s">
        <v>3797</v>
      </c>
      <c r="G25" s="373">
        <v>86300000</v>
      </c>
      <c r="H25" s="372">
        <v>0</v>
      </c>
      <c r="I25" s="372">
        <v>3744479</v>
      </c>
      <c r="J25" s="2926" t="s">
        <v>3800</v>
      </c>
      <c r="K25" s="364" t="s">
        <v>3769</v>
      </c>
    </row>
    <row r="26" spans="1:11" s="363" customFormat="1" ht="26.1" customHeight="1">
      <c r="A26" s="4199"/>
      <c r="B26" s="4207" t="s">
        <v>3801</v>
      </c>
      <c r="C26" s="4179" t="s">
        <v>3802</v>
      </c>
      <c r="D26" s="4179"/>
      <c r="E26" s="4179"/>
      <c r="F26" s="2922"/>
      <c r="G26" s="332">
        <f>SUM(G27:G31)</f>
        <v>6970000000</v>
      </c>
      <c r="H26" s="332">
        <f>SUM(H27:H31)</f>
        <v>371500000</v>
      </c>
      <c r="I26" s="332">
        <f>SUM(I27:I31)</f>
        <v>321208704</v>
      </c>
      <c r="J26" s="2922"/>
      <c r="K26" s="331"/>
    </row>
    <row r="27" spans="1:11" s="363" customFormat="1" ht="26.45" customHeight="1">
      <c r="A27" s="4199"/>
      <c r="B27" s="4208"/>
      <c r="C27" s="4200" t="s">
        <v>3803</v>
      </c>
      <c r="D27" s="377" t="s">
        <v>3804</v>
      </c>
      <c r="E27" s="377" t="s">
        <v>3805</v>
      </c>
      <c r="F27" s="379" t="s">
        <v>3806</v>
      </c>
      <c r="G27" s="378">
        <v>200000000</v>
      </c>
      <c r="H27" s="378">
        <v>59000000</v>
      </c>
      <c r="I27" s="378">
        <v>58720260</v>
      </c>
      <c r="J27" s="2926" t="s">
        <v>3807</v>
      </c>
      <c r="K27" s="374" t="s">
        <v>3774</v>
      </c>
    </row>
    <row r="28" spans="1:11" s="363" customFormat="1" ht="26.45" customHeight="1">
      <c r="A28" s="4199"/>
      <c r="B28" s="4208"/>
      <c r="C28" s="4200"/>
      <c r="D28" s="2931" t="s">
        <v>3808</v>
      </c>
      <c r="E28" s="377" t="s">
        <v>3771</v>
      </c>
      <c r="F28" s="379" t="s">
        <v>3809</v>
      </c>
      <c r="G28" s="378">
        <v>170000000</v>
      </c>
      <c r="H28" s="378">
        <v>12500000</v>
      </c>
      <c r="I28" s="378">
        <v>12500000</v>
      </c>
      <c r="J28" s="2926" t="s">
        <v>3810</v>
      </c>
      <c r="K28" s="374"/>
    </row>
    <row r="29" spans="1:11" s="363" customFormat="1" ht="26.45" customHeight="1">
      <c r="A29" s="4199"/>
      <c r="B29" s="4208"/>
      <c r="C29" s="2931" t="s">
        <v>3811</v>
      </c>
      <c r="D29" s="2931" t="s">
        <v>3812</v>
      </c>
      <c r="E29" s="377" t="s">
        <v>3782</v>
      </c>
      <c r="F29" s="376" t="s">
        <v>3813</v>
      </c>
      <c r="G29" s="375">
        <v>600000000</v>
      </c>
      <c r="H29" s="378">
        <v>60000000</v>
      </c>
      <c r="I29" s="378">
        <v>60000000</v>
      </c>
      <c r="J29" s="2926" t="s">
        <v>3814</v>
      </c>
      <c r="K29" s="374"/>
    </row>
    <row r="30" spans="1:11" s="363" customFormat="1" ht="26.45" customHeight="1">
      <c r="A30" s="4199"/>
      <c r="B30" s="4208"/>
      <c r="C30" s="4180" t="s">
        <v>3815</v>
      </c>
      <c r="D30" s="2931" t="s">
        <v>3816</v>
      </c>
      <c r="E30" s="377" t="s">
        <v>3817</v>
      </c>
      <c r="F30" s="376" t="s">
        <v>3818</v>
      </c>
      <c r="G30" s="375">
        <v>4920000000</v>
      </c>
      <c r="H30" s="373">
        <v>140000000</v>
      </c>
      <c r="I30" s="373">
        <v>126422001</v>
      </c>
      <c r="J30" s="2926" t="s">
        <v>3819</v>
      </c>
      <c r="K30" s="374" t="s">
        <v>3820</v>
      </c>
    </row>
    <row r="31" spans="1:11" s="363" customFormat="1" ht="26.45" customHeight="1">
      <c r="A31" s="4199"/>
      <c r="B31" s="4209"/>
      <c r="C31" s="4182"/>
      <c r="D31" s="2931" t="s">
        <v>3821</v>
      </c>
      <c r="E31" s="377" t="s">
        <v>3817</v>
      </c>
      <c r="F31" s="376" t="s">
        <v>3822</v>
      </c>
      <c r="G31" s="375">
        <v>1080000000</v>
      </c>
      <c r="H31" s="373">
        <v>100000000</v>
      </c>
      <c r="I31" s="373">
        <v>63566443</v>
      </c>
      <c r="J31" s="2926" t="s">
        <v>3823</v>
      </c>
      <c r="K31" s="374" t="s">
        <v>3820</v>
      </c>
    </row>
    <row r="32" spans="1:11" s="363" customFormat="1" ht="26.45" customHeight="1">
      <c r="A32" s="4199"/>
      <c r="B32" s="4178" t="s">
        <v>3824</v>
      </c>
      <c r="C32" s="4179" t="s">
        <v>3825</v>
      </c>
      <c r="D32" s="4179"/>
      <c r="E32" s="4179"/>
      <c r="F32" s="2922"/>
      <c r="G32" s="332">
        <f>+G33+G34</f>
        <v>466800000</v>
      </c>
      <c r="H32" s="332">
        <f>+H33+H34</f>
        <v>123774000</v>
      </c>
      <c r="I32" s="332">
        <f>+I33+I34</f>
        <v>86591988</v>
      </c>
      <c r="J32" s="2922"/>
      <c r="K32" s="331"/>
    </row>
    <row r="33" spans="1:14" s="363" customFormat="1" ht="26.45" customHeight="1">
      <c r="A33" s="4199"/>
      <c r="B33" s="4178"/>
      <c r="C33" s="2921" t="s">
        <v>3826</v>
      </c>
      <c r="D33" s="2921" t="s">
        <v>3827</v>
      </c>
      <c r="E33" s="2921" t="s">
        <v>3828</v>
      </c>
      <c r="F33" s="365" t="s">
        <v>3829</v>
      </c>
      <c r="G33" s="373">
        <v>376800000</v>
      </c>
      <c r="H33" s="372">
        <v>100274000</v>
      </c>
      <c r="I33" s="372">
        <v>52741988</v>
      </c>
      <c r="J33" s="2926" t="s">
        <v>3830</v>
      </c>
      <c r="K33" s="364"/>
    </row>
    <row r="34" spans="1:14" s="363" customFormat="1" ht="26.45" customHeight="1">
      <c r="A34" s="4199"/>
      <c r="B34" s="4178"/>
      <c r="C34" s="2921" t="s">
        <v>3831</v>
      </c>
      <c r="D34" s="2921" t="s">
        <v>3832</v>
      </c>
      <c r="E34" s="2921" t="s">
        <v>3828</v>
      </c>
      <c r="F34" s="365" t="s">
        <v>3833</v>
      </c>
      <c r="G34" s="373">
        <v>90000000</v>
      </c>
      <c r="H34" s="372">
        <v>23500000</v>
      </c>
      <c r="I34" s="372">
        <v>33850000</v>
      </c>
      <c r="J34" s="2926" t="s">
        <v>3834</v>
      </c>
      <c r="K34" s="364"/>
    </row>
    <row r="35" spans="1:14" s="363" customFormat="1" ht="26.45" customHeight="1">
      <c r="A35" s="4199"/>
      <c r="B35" s="4178" t="s">
        <v>3835</v>
      </c>
      <c r="C35" s="4179" t="s">
        <v>3836</v>
      </c>
      <c r="D35" s="4179"/>
      <c r="E35" s="4179"/>
      <c r="F35" s="2922"/>
      <c r="G35" s="332">
        <f>SUM(G36:G37)</f>
        <v>719600000</v>
      </c>
      <c r="H35" s="332">
        <f>SUM(H36:H37)</f>
        <v>386860000</v>
      </c>
      <c r="I35" s="332">
        <f>SUM(I36:I37)</f>
        <v>410938510</v>
      </c>
      <c r="J35" s="2922"/>
      <c r="K35" s="331"/>
    </row>
    <row r="36" spans="1:14" s="363" customFormat="1" ht="26.45" customHeight="1">
      <c r="A36" s="4199"/>
      <c r="B36" s="4178"/>
      <c r="C36" s="371" t="s">
        <v>1024</v>
      </c>
      <c r="D36" s="337" t="s">
        <v>1024</v>
      </c>
      <c r="E36" s="337" t="s">
        <v>57</v>
      </c>
      <c r="F36" s="336" t="s">
        <v>1023</v>
      </c>
      <c r="G36" s="339">
        <v>600000000</v>
      </c>
      <c r="H36" s="338">
        <v>371700000</v>
      </c>
      <c r="I36" s="338">
        <v>398178510</v>
      </c>
      <c r="J36" s="2926" t="s">
        <v>3837</v>
      </c>
      <c r="K36" s="364" t="s">
        <v>3820</v>
      </c>
    </row>
    <row r="37" spans="1:14" s="363" customFormat="1" ht="26.45" customHeight="1">
      <c r="A37" s="4206"/>
      <c r="B37" s="4178"/>
      <c r="C37" s="370" t="s">
        <v>1022</v>
      </c>
      <c r="D37" s="370" t="s">
        <v>1021</v>
      </c>
      <c r="E37" s="370" t="s">
        <v>58</v>
      </c>
      <c r="F37" s="369" t="s">
        <v>1020</v>
      </c>
      <c r="G37" s="368">
        <v>119600000</v>
      </c>
      <c r="H37" s="367">
        <v>15160000</v>
      </c>
      <c r="I37" s="367">
        <f>12100000+660000</f>
        <v>12760000</v>
      </c>
      <c r="J37" s="366" t="s">
        <v>3838</v>
      </c>
      <c r="K37" s="364" t="s">
        <v>3820</v>
      </c>
    </row>
    <row r="38" spans="1:14" s="352" customFormat="1" ht="26.45" customHeight="1">
      <c r="A38" s="4176" t="s">
        <v>3839</v>
      </c>
      <c r="B38" s="4177"/>
      <c r="C38" s="4177"/>
      <c r="D38" s="4177"/>
      <c r="E38" s="4177"/>
      <c r="F38" s="4177"/>
      <c r="G38" s="362">
        <f>+G39</f>
        <v>80000000</v>
      </c>
      <c r="H38" s="362">
        <f>+H39</f>
        <v>80000000</v>
      </c>
      <c r="I38" s="362">
        <f>+I39</f>
        <v>80000000</v>
      </c>
      <c r="J38" s="2930"/>
      <c r="K38" s="361"/>
    </row>
    <row r="39" spans="1:14" s="363" customFormat="1" ht="26.45" customHeight="1">
      <c r="A39" s="4204" t="s">
        <v>3840</v>
      </c>
      <c r="B39" s="4178" t="s">
        <v>3841</v>
      </c>
      <c r="C39" s="4179" t="s">
        <v>3842</v>
      </c>
      <c r="D39" s="4179"/>
      <c r="E39" s="4179"/>
      <c r="F39" s="2922"/>
      <c r="G39" s="332">
        <f>SUM(G40:G40)</f>
        <v>80000000</v>
      </c>
      <c r="H39" s="332">
        <f>SUM(H40:H40)</f>
        <v>80000000</v>
      </c>
      <c r="I39" s="332">
        <f>SUM(I40:I40)</f>
        <v>80000000</v>
      </c>
      <c r="J39" s="2922"/>
      <c r="K39" s="331"/>
    </row>
    <row r="40" spans="1:14" s="363" customFormat="1" ht="26.45" customHeight="1">
      <c r="A40" s="4205"/>
      <c r="B40" s="4178"/>
      <c r="C40" s="2921" t="s">
        <v>3843</v>
      </c>
      <c r="D40" s="2921" t="s">
        <v>3843</v>
      </c>
      <c r="E40" s="337"/>
      <c r="F40" s="365" t="s">
        <v>3844</v>
      </c>
      <c r="G40" s="339">
        <v>80000000</v>
      </c>
      <c r="H40" s="339">
        <v>80000000</v>
      </c>
      <c r="I40" s="339">
        <v>80000000</v>
      </c>
      <c r="J40" s="2926" t="s">
        <v>3845</v>
      </c>
      <c r="K40" s="364"/>
    </row>
    <row r="41" spans="1:14" s="352" customFormat="1" ht="26.45" customHeight="1">
      <c r="A41" s="4176" t="s">
        <v>3846</v>
      </c>
      <c r="B41" s="4177"/>
      <c r="C41" s="4177"/>
      <c r="D41" s="4177"/>
      <c r="E41" s="4177"/>
      <c r="F41" s="4177"/>
      <c r="G41" s="362">
        <f>+G42+G46+G48+G50+G56+G59</f>
        <v>2184572700</v>
      </c>
      <c r="H41" s="362">
        <f>+H42+H46+H48+H50+H56+H59</f>
        <v>1052085000</v>
      </c>
      <c r="I41" s="362">
        <f>+I42+I46+I48+I50+I56+I59</f>
        <v>1022585000</v>
      </c>
      <c r="J41" s="2930"/>
      <c r="K41" s="361"/>
    </row>
    <row r="42" spans="1:14" s="352" customFormat="1" ht="26.45" customHeight="1">
      <c r="A42" s="4198" t="s">
        <v>3847</v>
      </c>
      <c r="B42" s="4201" t="s">
        <v>3848</v>
      </c>
      <c r="C42" s="4179" t="s">
        <v>3849</v>
      </c>
      <c r="D42" s="4179"/>
      <c r="E42" s="4179"/>
      <c r="F42" s="2922"/>
      <c r="G42" s="360">
        <f>SUM(G43:G45)</f>
        <v>1040000000</v>
      </c>
      <c r="H42" s="360">
        <f>SUM(H43:H45)</f>
        <v>421100000</v>
      </c>
      <c r="I42" s="360">
        <f>SUM(I43:I45)</f>
        <v>421100000</v>
      </c>
      <c r="J42" s="2922"/>
      <c r="K42" s="331"/>
    </row>
    <row r="43" spans="1:14" s="357" customFormat="1" ht="26.45" customHeight="1">
      <c r="A43" s="4199"/>
      <c r="B43" s="4201"/>
      <c r="C43" s="4203" t="s">
        <v>3850</v>
      </c>
      <c r="D43" s="359" t="s">
        <v>3851</v>
      </c>
      <c r="E43" s="2923"/>
      <c r="F43" s="2924" t="s">
        <v>3852</v>
      </c>
      <c r="G43" s="2925">
        <v>105000000</v>
      </c>
      <c r="H43" s="2925">
        <v>50000000</v>
      </c>
      <c r="I43" s="2925">
        <v>50000000</v>
      </c>
      <c r="J43" s="2926" t="s">
        <v>3853</v>
      </c>
      <c r="K43" s="358"/>
    </row>
    <row r="44" spans="1:14" s="357" customFormat="1" ht="26.45" customHeight="1">
      <c r="A44" s="4199"/>
      <c r="B44" s="4201"/>
      <c r="C44" s="4203"/>
      <c r="D44" s="4203" t="s">
        <v>3854</v>
      </c>
      <c r="E44" s="4203"/>
      <c r="F44" s="4216" t="s">
        <v>3855</v>
      </c>
      <c r="G44" s="4217">
        <v>935000000</v>
      </c>
      <c r="H44" s="4217">
        <v>371100000</v>
      </c>
      <c r="I44" s="4217">
        <v>371100000</v>
      </c>
      <c r="J44" s="4218" t="s">
        <v>3856</v>
      </c>
      <c r="K44" s="4214"/>
    </row>
    <row r="45" spans="1:14" s="341" customFormat="1" ht="26.45" customHeight="1">
      <c r="A45" s="4199"/>
      <c r="B45" s="4202"/>
      <c r="C45" s="4203"/>
      <c r="D45" s="4203"/>
      <c r="E45" s="4203"/>
      <c r="F45" s="4216"/>
      <c r="G45" s="4217"/>
      <c r="H45" s="4217"/>
      <c r="I45" s="4217"/>
      <c r="J45" s="4218"/>
      <c r="K45" s="4215"/>
    </row>
    <row r="46" spans="1:14" s="352" customFormat="1" ht="26.45" customHeight="1">
      <c r="A46" s="4199"/>
      <c r="B46" s="4178" t="s">
        <v>3857</v>
      </c>
      <c r="C46" s="4179" t="s">
        <v>3858</v>
      </c>
      <c r="D46" s="4179"/>
      <c r="E46" s="4179"/>
      <c r="F46" s="2922"/>
      <c r="G46" s="332">
        <f>SUM(G47)</f>
        <v>119000000</v>
      </c>
      <c r="H46" s="332">
        <f>SUM(H47)</f>
        <v>19000000</v>
      </c>
      <c r="I46" s="332">
        <f>SUM(I47)</f>
        <v>19000000</v>
      </c>
      <c r="J46" s="2922"/>
      <c r="K46" s="331"/>
    </row>
    <row r="47" spans="1:14" s="341" customFormat="1" ht="26.45" hidden="1" customHeight="1">
      <c r="A47" s="4199"/>
      <c r="B47" s="4178"/>
      <c r="C47" s="2928" t="s">
        <v>3859</v>
      </c>
      <c r="D47" s="2927" t="s">
        <v>3860</v>
      </c>
      <c r="E47" s="2928"/>
      <c r="F47" s="343" t="s">
        <v>3861</v>
      </c>
      <c r="G47" s="342">
        <v>119000000</v>
      </c>
      <c r="H47" s="342">
        <v>19000000</v>
      </c>
      <c r="I47" s="342">
        <v>19000000</v>
      </c>
      <c r="J47" s="2926" t="s">
        <v>3862</v>
      </c>
      <c r="K47" s="356"/>
    </row>
    <row r="48" spans="1:14" s="352" customFormat="1" ht="26.45" hidden="1" customHeight="1">
      <c r="A48" s="4199"/>
      <c r="B48" s="4178" t="s">
        <v>3863</v>
      </c>
      <c r="C48" s="4179" t="s">
        <v>3864</v>
      </c>
      <c r="D48" s="4179"/>
      <c r="E48" s="4179"/>
      <c r="F48" s="2922"/>
      <c r="G48" s="332">
        <f>SUM(G49:G49)</f>
        <v>150000000</v>
      </c>
      <c r="H48" s="332">
        <f>SUM(H49:H49)</f>
        <v>150000000</v>
      </c>
      <c r="I48" s="332">
        <f>SUM(I49:I49)</f>
        <v>120500000</v>
      </c>
      <c r="J48" s="332">
        <f>SUM(J49:J49)</f>
        <v>0</v>
      </c>
      <c r="K48" s="331"/>
      <c r="L48" s="355"/>
      <c r="M48" s="354"/>
      <c r="N48" s="353"/>
    </row>
    <row r="49" spans="1:13" s="345" customFormat="1" ht="26.45" hidden="1" customHeight="1">
      <c r="A49" s="4199"/>
      <c r="B49" s="4178"/>
      <c r="C49" s="350" t="s">
        <v>3865</v>
      </c>
      <c r="D49" s="351" t="s">
        <v>3866</v>
      </c>
      <c r="E49" s="350"/>
      <c r="F49" s="349" t="s">
        <v>3867</v>
      </c>
      <c r="G49" s="338">
        <v>150000000</v>
      </c>
      <c r="H49" s="338">
        <v>150000000</v>
      </c>
      <c r="I49" s="338">
        <v>120500000</v>
      </c>
      <c r="J49" s="348" t="s">
        <v>3868</v>
      </c>
      <c r="K49" s="364" t="s">
        <v>3869</v>
      </c>
      <c r="L49" s="347"/>
      <c r="M49" s="346" t="s">
        <v>1122</v>
      </c>
    </row>
    <row r="50" spans="1:13" s="341" customFormat="1" ht="26.45" hidden="1" customHeight="1">
      <c r="A50" s="4199" t="s">
        <v>3870</v>
      </c>
      <c r="B50" s="4201" t="s">
        <v>3871</v>
      </c>
      <c r="C50" s="4179" t="s">
        <v>3872</v>
      </c>
      <c r="D50" s="4179"/>
      <c r="E50" s="4179"/>
      <c r="F50" s="2922"/>
      <c r="G50" s="332">
        <f>SUM(G51:G55)</f>
        <v>560572700</v>
      </c>
      <c r="H50" s="332">
        <f>SUM(H51:H55)</f>
        <v>195385000</v>
      </c>
      <c r="I50" s="332">
        <f>SUM(I51:I55)</f>
        <v>195385000</v>
      </c>
      <c r="J50" s="2922"/>
      <c r="K50" s="344"/>
    </row>
    <row r="51" spans="1:13" s="341" customFormat="1" ht="24.95" hidden="1" customHeight="1">
      <c r="A51" s="4199"/>
      <c r="B51" s="4201"/>
      <c r="C51" s="2921" t="s">
        <v>3873</v>
      </c>
      <c r="D51" s="337" t="s">
        <v>3874</v>
      </c>
      <c r="E51" s="2921"/>
      <c r="F51" s="336" t="s">
        <v>3875</v>
      </c>
      <c r="G51" s="339">
        <v>11795000</v>
      </c>
      <c r="H51" s="338">
        <v>3500000</v>
      </c>
      <c r="I51" s="338">
        <v>3500000</v>
      </c>
      <c r="J51" s="2926" t="s">
        <v>3876</v>
      </c>
      <c r="K51" s="419"/>
    </row>
    <row r="52" spans="1:13" s="341" customFormat="1" ht="24.95" hidden="1" customHeight="1">
      <c r="A52" s="4199"/>
      <c r="B52" s="4201"/>
      <c r="C52" s="4178" t="s">
        <v>3877</v>
      </c>
      <c r="D52" s="337" t="s">
        <v>3878</v>
      </c>
      <c r="E52" s="2921"/>
      <c r="F52" s="336" t="s">
        <v>3879</v>
      </c>
      <c r="G52" s="339">
        <v>66000000</v>
      </c>
      <c r="H52" s="338">
        <f>3400000+565000</f>
        <v>3965000</v>
      </c>
      <c r="I52" s="338">
        <f>3400000+565000</f>
        <v>3965000</v>
      </c>
      <c r="J52" s="2926" t="s">
        <v>3880</v>
      </c>
      <c r="K52" s="419"/>
    </row>
    <row r="53" spans="1:13" s="341" customFormat="1" ht="24.95" hidden="1" customHeight="1">
      <c r="A53" s="4199"/>
      <c r="B53" s="4201"/>
      <c r="C53" s="4178"/>
      <c r="D53" s="2928" t="s">
        <v>3881</v>
      </c>
      <c r="E53" s="2921"/>
      <c r="F53" s="2926" t="s">
        <v>3882</v>
      </c>
      <c r="G53" s="342">
        <v>316377700</v>
      </c>
      <c r="H53" s="342">
        <f>1650000+23100000+3240000+2170000+10600000+60530000+6350000+2000000+2500000+900000</f>
        <v>113040000</v>
      </c>
      <c r="I53" s="342">
        <f>1650000+23100000+3240000+2170000+10600000+60530000+6350000+2000000+2500000+900000</f>
        <v>113040000</v>
      </c>
      <c r="J53" s="2926" t="s">
        <v>3883</v>
      </c>
      <c r="K53" s="364" t="s">
        <v>3884</v>
      </c>
    </row>
    <row r="54" spans="1:13" s="341" customFormat="1" ht="24.95" hidden="1" customHeight="1">
      <c r="A54" s="4199"/>
      <c r="B54" s="4201"/>
      <c r="C54" s="4202" t="s">
        <v>3865</v>
      </c>
      <c r="D54" s="2921" t="s">
        <v>3885</v>
      </c>
      <c r="E54" s="2921"/>
      <c r="F54" s="343" t="s">
        <v>3886</v>
      </c>
      <c r="G54" s="342">
        <v>100000000</v>
      </c>
      <c r="H54" s="342">
        <v>68480000</v>
      </c>
      <c r="I54" s="342">
        <v>68480000</v>
      </c>
      <c r="J54" s="2926" t="s">
        <v>3887</v>
      </c>
      <c r="K54" s="364" t="s">
        <v>3884</v>
      </c>
    </row>
    <row r="55" spans="1:13" s="341" customFormat="1" ht="24.95" hidden="1" customHeight="1">
      <c r="A55" s="4199"/>
      <c r="B55" s="4201"/>
      <c r="C55" s="4202"/>
      <c r="D55" s="2921" t="s">
        <v>3888</v>
      </c>
      <c r="E55" s="337" t="s">
        <v>3889</v>
      </c>
      <c r="F55" s="336" t="s">
        <v>3890</v>
      </c>
      <c r="G55" s="339">
        <v>66400000</v>
      </c>
      <c r="H55" s="338">
        <v>6400000</v>
      </c>
      <c r="I55" s="338">
        <v>6400000</v>
      </c>
      <c r="J55" s="2926" t="s">
        <v>3891</v>
      </c>
      <c r="K55" s="419"/>
    </row>
    <row r="56" spans="1:13" s="333" customFormat="1" ht="24.95" hidden="1" customHeight="1">
      <c r="A56" s="4199"/>
      <c r="B56" s="4211" t="s">
        <v>3892</v>
      </c>
      <c r="C56" s="4179" t="s">
        <v>3893</v>
      </c>
      <c r="D56" s="4179"/>
      <c r="E56" s="4179"/>
      <c r="F56" s="2922"/>
      <c r="G56" s="332">
        <f>SUM(G57:G58)</f>
        <v>65000000</v>
      </c>
      <c r="H56" s="332">
        <f>SUM(H57:H58)</f>
        <v>32000000</v>
      </c>
      <c r="I56" s="332">
        <f>SUM(I57:I58)</f>
        <v>32000000</v>
      </c>
      <c r="J56" s="2922"/>
      <c r="K56" s="331"/>
    </row>
    <row r="57" spans="1:13" s="333" customFormat="1" ht="24.95" hidden="1" customHeight="1">
      <c r="A57" s="4199"/>
      <c r="B57" s="4212"/>
      <c r="C57" s="337" t="s">
        <v>3894</v>
      </c>
      <c r="D57" s="2921" t="s">
        <v>3895</v>
      </c>
      <c r="E57" s="337" t="s">
        <v>3889</v>
      </c>
      <c r="F57" s="340" t="s">
        <v>1016</v>
      </c>
      <c r="G57" s="339">
        <v>20000000</v>
      </c>
      <c r="H57" s="338">
        <v>20000000</v>
      </c>
      <c r="I57" s="338">
        <v>20000000</v>
      </c>
      <c r="J57" s="2926" t="s">
        <v>3896</v>
      </c>
      <c r="K57" s="364"/>
    </row>
    <row r="58" spans="1:13" s="333" customFormat="1" ht="24.95" hidden="1" customHeight="1">
      <c r="A58" s="4199"/>
      <c r="B58" s="4212"/>
      <c r="C58" s="337" t="s">
        <v>3897</v>
      </c>
      <c r="D58" s="337" t="s">
        <v>3898</v>
      </c>
      <c r="E58" s="337" t="s">
        <v>3899</v>
      </c>
      <c r="F58" s="336" t="s">
        <v>3900</v>
      </c>
      <c r="G58" s="335">
        <v>45000000</v>
      </c>
      <c r="H58" s="334">
        <v>12000000</v>
      </c>
      <c r="I58" s="334">
        <v>12000000</v>
      </c>
      <c r="J58" s="2926" t="s">
        <v>3901</v>
      </c>
      <c r="K58" s="364" t="s">
        <v>3902</v>
      </c>
    </row>
    <row r="59" spans="1:13" s="325" customFormat="1" ht="24.95" hidden="1" customHeight="1">
      <c r="A59" s="4199"/>
      <c r="B59" s="4201" t="s">
        <v>3903</v>
      </c>
      <c r="C59" s="4179" t="s">
        <v>3904</v>
      </c>
      <c r="D59" s="4179"/>
      <c r="E59" s="4179"/>
      <c r="F59" s="2922"/>
      <c r="G59" s="332">
        <f>SUM(G60)</f>
        <v>250000000</v>
      </c>
      <c r="H59" s="332">
        <f>SUM(H60)</f>
        <v>234600000</v>
      </c>
      <c r="I59" s="332">
        <f>SUM(I60)</f>
        <v>234600000</v>
      </c>
      <c r="J59" s="2922"/>
      <c r="K59" s="331"/>
    </row>
    <row r="60" spans="1:13" s="325" customFormat="1" ht="24.95" hidden="1" customHeight="1" thickBot="1">
      <c r="A60" s="4210"/>
      <c r="B60" s="4213"/>
      <c r="C60" s="330" t="s">
        <v>3894</v>
      </c>
      <c r="D60" s="2929" t="s">
        <v>3905</v>
      </c>
      <c r="E60" s="2929" t="s">
        <v>3889</v>
      </c>
      <c r="F60" s="329" t="s">
        <v>3906</v>
      </c>
      <c r="G60" s="328">
        <v>250000000</v>
      </c>
      <c r="H60" s="327">
        <v>234600000</v>
      </c>
      <c r="I60" s="327">
        <v>234600000</v>
      </c>
      <c r="J60" s="326" t="s">
        <v>3907</v>
      </c>
      <c r="K60" s="420"/>
    </row>
    <row r="61" spans="1:13" ht="38.25" hidden="1" customHeight="1">
      <c r="G61" s="324"/>
    </row>
    <row r="62" spans="1:13" hidden="1">
      <c r="G62" s="324"/>
    </row>
    <row r="63" spans="1:13" hidden="1">
      <c r="G63" s="324"/>
    </row>
    <row r="64" spans="1:13">
      <c r="G64" s="324"/>
    </row>
    <row r="101" hidden="1"/>
    <row r="102" hidden="1"/>
    <row r="103" hidden="1"/>
    <row r="104" hidden="1"/>
    <row r="105" hidden="1"/>
    <row r="106" hidden="1"/>
    <row r="107" hidden="1"/>
    <row r="108" hidden="1"/>
    <row r="650" spans="7:7">
      <c r="G650" s="321"/>
    </row>
    <row r="663" spans="7:7">
      <c r="G663" s="321"/>
    </row>
  </sheetData>
  <mergeCells count="65">
    <mergeCell ref="K44:K45"/>
    <mergeCell ref="B46:B47"/>
    <mergeCell ref="C46:E46"/>
    <mergeCell ref="B48:B49"/>
    <mergeCell ref="C48:E48"/>
    <mergeCell ref="E44:E45"/>
    <mergeCell ref="F44:F45"/>
    <mergeCell ref="G44:G45"/>
    <mergeCell ref="H44:H45"/>
    <mergeCell ref="I44:I45"/>
    <mergeCell ref="J44:J45"/>
    <mergeCell ref="A50:A60"/>
    <mergeCell ref="B50:B55"/>
    <mergeCell ref="C50:E50"/>
    <mergeCell ref="C52:C53"/>
    <mergeCell ref="C54:C55"/>
    <mergeCell ref="B56:B58"/>
    <mergeCell ref="C56:E56"/>
    <mergeCell ref="B59:B60"/>
    <mergeCell ref="C59:E59"/>
    <mergeCell ref="B35:B37"/>
    <mergeCell ref="C35:E35"/>
    <mergeCell ref="A23:A37"/>
    <mergeCell ref="B26:B31"/>
    <mergeCell ref="C26:E26"/>
    <mergeCell ref="B23:B25"/>
    <mergeCell ref="C23:E23"/>
    <mergeCell ref="C24:C25"/>
    <mergeCell ref="A38:F38"/>
    <mergeCell ref="A39:A40"/>
    <mergeCell ref="B39:B40"/>
    <mergeCell ref="C39:E39"/>
    <mergeCell ref="A41:F41"/>
    <mergeCell ref="A42:A49"/>
    <mergeCell ref="B42:B45"/>
    <mergeCell ref="C42:E42"/>
    <mergeCell ref="C43:C45"/>
    <mergeCell ref="D44:D45"/>
    <mergeCell ref="A14:A22"/>
    <mergeCell ref="C32:E32"/>
    <mergeCell ref="C27:C28"/>
    <mergeCell ref="C30:C31"/>
    <mergeCell ref="B32:B34"/>
    <mergeCell ref="B7:B8"/>
    <mergeCell ref="C7:E7"/>
    <mergeCell ref="B9:B10"/>
    <mergeCell ref="C9:E9"/>
    <mergeCell ref="B11:B12"/>
    <mergeCell ref="C11:E11"/>
    <mergeCell ref="A13:F13"/>
    <mergeCell ref="B14:B22"/>
    <mergeCell ref="C14:E14"/>
    <mergeCell ref="C16:C22"/>
    <mergeCell ref="A1:K1"/>
    <mergeCell ref="B2:J2"/>
    <mergeCell ref="A3:E3"/>
    <mergeCell ref="F3:F4"/>
    <mergeCell ref="G3:G4"/>
    <mergeCell ref="H3:H4"/>
    <mergeCell ref="I3:I4"/>
    <mergeCell ref="J3:J4"/>
    <mergeCell ref="K3:K4"/>
    <mergeCell ref="A5:F5"/>
    <mergeCell ref="A6:F6"/>
    <mergeCell ref="A7:A12"/>
  </mergeCells>
  <phoneticPr fontId="15" type="noConversion"/>
  <printOptions horizontalCentered="1"/>
  <pageMargins left="0.23622047244094491" right="0.15748031496062992" top="0.62992125984251968" bottom="0.62992125984251968" header="0.39370078740157483" footer="0.27559055118110237"/>
  <pageSetup paperSize="9" scale="76" fitToHeight="100" orientation="landscape" r:id="rId1"/>
  <headerFooter alignWithMargins="0"/>
  <rowBreaks count="3" manualBreakCount="3">
    <brk id="22" max="10" man="1"/>
    <brk id="37" max="10" man="1"/>
    <brk id="49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P453"/>
  <sheetViews>
    <sheetView view="pageBreakPreview" zoomScale="90" zoomScaleNormal="80" zoomScaleSheetLayoutView="90" workbookViewId="0">
      <selection activeCell="D23" sqref="D23"/>
    </sheetView>
  </sheetViews>
  <sheetFormatPr defaultRowHeight="13.5"/>
  <cols>
    <col min="1" max="1" width="23.109375" style="35" customWidth="1"/>
    <col min="2" max="2" width="26.33203125" style="35" customWidth="1"/>
    <col min="3" max="4" width="22.33203125" style="82" customWidth="1"/>
    <col min="5" max="5" width="19.21875" style="82" bestFit="1" customWidth="1"/>
    <col min="6" max="6" width="12.77734375" style="83" customWidth="1"/>
    <col min="7" max="7" width="16.44140625" style="3054" bestFit="1" customWidth="1"/>
    <col min="8" max="8" width="16.44140625" style="3055" bestFit="1" customWidth="1"/>
    <col min="9" max="9" width="15.5546875" style="3054" bestFit="1" customWidth="1"/>
    <col min="10" max="16384" width="8.88671875" style="35"/>
  </cols>
  <sheetData>
    <row r="1" spans="1:16" s="425" customFormat="1" ht="27">
      <c r="A1" s="3721" t="s">
        <v>5924</v>
      </c>
      <c r="B1" s="3721"/>
      <c r="C1" s="3721"/>
      <c r="D1" s="3721"/>
      <c r="E1" s="3721"/>
      <c r="F1" s="3721"/>
      <c r="G1" s="3050"/>
      <c r="H1" s="3051"/>
      <c r="I1" s="3050"/>
      <c r="J1" s="62"/>
      <c r="K1" s="62"/>
      <c r="L1" s="62"/>
      <c r="M1" s="62"/>
      <c r="N1" s="62"/>
      <c r="O1" s="63"/>
      <c r="P1" s="426"/>
    </row>
    <row r="2" spans="1:16" s="18" customFormat="1" ht="24.75" customHeight="1">
      <c r="C2" s="432" t="s" ph="1">
        <v>48</v>
      </c>
      <c r="D2" s="432" ph="1"/>
      <c r="E2" s="432" ph="1"/>
      <c r="F2" s="317" t="s" ph="1">
        <v>194</v>
      </c>
      <c r="G2" s="3052" ph="1"/>
      <c r="H2" s="3053"/>
      <c r="I2" s="3052"/>
    </row>
    <row r="3" spans="1:16" s="65" customFormat="1" ht="18.75" customHeight="1">
      <c r="A3" s="1831" t="s">
        <v>1917</v>
      </c>
      <c r="B3" s="1831" t="s">
        <v>1045</v>
      </c>
      <c r="C3" s="1832" t="s">
        <v>603</v>
      </c>
      <c r="D3" s="1833" t="s">
        <v>1079</v>
      </c>
      <c r="E3" s="1832" t="s">
        <v>1922</v>
      </c>
      <c r="F3" s="1834" t="s">
        <v>1923</v>
      </c>
      <c r="G3" s="3052"/>
      <c r="H3" s="3053"/>
      <c r="I3" s="3052"/>
    </row>
    <row r="4" spans="1:16" s="65" customFormat="1" ht="18.75" customHeight="1">
      <c r="A4" s="3730" t="s">
        <v>1920</v>
      </c>
      <c r="B4" s="3730"/>
      <c r="C4" s="1835">
        <f>C5+C17+C28+C32</f>
        <v>97137962.171999991</v>
      </c>
      <c r="D4" s="1835">
        <f>+D5+D17+D28+D32</f>
        <v>96475524.246999994</v>
      </c>
      <c r="E4" s="1835">
        <f t="shared" ref="E4" si="0">C4-D4</f>
        <v>662437.92499999702</v>
      </c>
      <c r="F4" s="1805">
        <f t="shared" ref="F4:F31" si="1">(C4-D4)/D4</f>
        <v>6.8663832632202175E-3</v>
      </c>
      <c r="G4" s="3052">
        <f>C4*1000000</f>
        <v>97137962171999.984</v>
      </c>
      <c r="H4" s="3052">
        <f>D4*1000000</f>
        <v>96475524247000</v>
      </c>
      <c r="I4" s="3052">
        <f>G4-H4</f>
        <v>662437924999.98437</v>
      </c>
    </row>
    <row r="5" spans="1:16" s="65" customFormat="1" ht="18" customHeight="1">
      <c r="A5" s="3731" t="s">
        <v>1912</v>
      </c>
      <c r="B5" s="1810" t="s">
        <v>1921</v>
      </c>
      <c r="C5" s="1803">
        <f>+C6+C7+C8+C9+C10+C11+C12+C13+C14+C15+C16</f>
        <v>55650789.564999998</v>
      </c>
      <c r="D5" s="1803">
        <f>+D6+D7+D8+D9+D10+D11+D12+D13+D14+D15+D16</f>
        <v>55454159.564999998</v>
      </c>
      <c r="E5" s="1803">
        <f t="shared" ref="E5:E32" si="2">C5-D5</f>
        <v>196630</v>
      </c>
      <c r="F5" s="1804">
        <f t="shared" si="1"/>
        <v>3.5458115593569183E-3</v>
      </c>
      <c r="G5" s="3052">
        <f t="shared" ref="G5:G32" si="3">C5*1000000</f>
        <v>55650789565000</v>
      </c>
      <c r="H5" s="3052">
        <f t="shared" ref="H5:H32" si="4">D5*1000000</f>
        <v>55454159565000</v>
      </c>
      <c r="I5" s="3052">
        <f t="shared" ref="I5:I32" si="5">G5-H5</f>
        <v>196630000000</v>
      </c>
    </row>
    <row r="6" spans="1:16" s="68" customFormat="1" ht="18" customHeight="1">
      <c r="A6" s="3731"/>
      <c r="B6" s="1812" t="s">
        <v>1038</v>
      </c>
      <c r="C6" s="1813">
        <f>+'1.목적(지출총괄)'!D5</f>
        <v>2022034.5350000001</v>
      </c>
      <c r="D6" s="1813">
        <f>+'1.목적(지출총괄)'!E5</f>
        <v>2045852.5650000002</v>
      </c>
      <c r="E6" s="1814">
        <f t="shared" si="2"/>
        <v>-23818.030000000028</v>
      </c>
      <c r="F6" s="1815">
        <f t="shared" si="1"/>
        <v>-1.1642104816091684E-2</v>
      </c>
      <c r="G6" s="3052">
        <f t="shared" si="3"/>
        <v>2022034535000.0002</v>
      </c>
      <c r="H6" s="3052">
        <f t="shared" si="4"/>
        <v>2045852565000.0002</v>
      </c>
      <c r="I6" s="3052">
        <f>G6-H6</f>
        <v>-23818030000</v>
      </c>
    </row>
    <row r="7" spans="1:16" s="68" customFormat="1" ht="18" customHeight="1">
      <c r="A7" s="3731"/>
      <c r="B7" s="1816" t="s">
        <v>816</v>
      </c>
      <c r="C7" s="1817">
        <f>+'1.목적(지출총괄)'!D7</f>
        <v>10969600</v>
      </c>
      <c r="D7" s="1817">
        <f>+'1.목적(지출총괄)'!E7</f>
        <v>10969600</v>
      </c>
      <c r="E7" s="1818">
        <f t="shared" si="2"/>
        <v>0</v>
      </c>
      <c r="F7" s="1819">
        <f t="shared" si="1"/>
        <v>0</v>
      </c>
      <c r="G7" s="3052">
        <f t="shared" si="3"/>
        <v>10969600000000</v>
      </c>
      <c r="H7" s="3052">
        <f t="shared" si="4"/>
        <v>10969600000000</v>
      </c>
      <c r="I7" s="3678">
        <f t="shared" si="5"/>
        <v>0</v>
      </c>
    </row>
    <row r="8" spans="1:16" s="15" customFormat="1" ht="18" customHeight="1">
      <c r="A8" s="3731"/>
      <c r="B8" s="1820" t="s">
        <v>926</v>
      </c>
      <c r="C8" s="1817">
        <f>+'1.목적(지출총괄)'!D13</f>
        <v>20268506.999999996</v>
      </c>
      <c r="D8" s="1817">
        <f>+'1.목적(지출총괄)'!E13</f>
        <v>20311506.999999996</v>
      </c>
      <c r="E8" s="1818">
        <f t="shared" si="2"/>
        <v>-43000</v>
      </c>
      <c r="F8" s="1819">
        <f t="shared" si="1"/>
        <v>-2.1170265702096852E-3</v>
      </c>
      <c r="G8" s="3052">
        <f t="shared" si="3"/>
        <v>20268506999999.996</v>
      </c>
      <c r="H8" s="3052">
        <f t="shared" si="4"/>
        <v>20311506999999.996</v>
      </c>
      <c r="I8" s="3052">
        <f t="shared" si="5"/>
        <v>-43000000000</v>
      </c>
    </row>
    <row r="9" spans="1:16" s="72" customFormat="1" ht="18" customHeight="1">
      <c r="A9" s="3731"/>
      <c r="B9" s="1820" t="s">
        <v>1057</v>
      </c>
      <c r="C9" s="1817">
        <f>+'1.목적(지출총괄)'!D24</f>
        <v>3412930</v>
      </c>
      <c r="D9" s="1817">
        <f>+'1.목적(지출총괄)'!E24</f>
        <v>3257299.9999999995</v>
      </c>
      <c r="E9" s="1818">
        <f t="shared" si="2"/>
        <v>155630.00000000047</v>
      </c>
      <c r="F9" s="1819">
        <f t="shared" si="1"/>
        <v>4.7778835231633711E-2</v>
      </c>
      <c r="G9" s="3052">
        <f t="shared" si="3"/>
        <v>3412930000000</v>
      </c>
      <c r="H9" s="3052">
        <f>D9*1000000</f>
        <v>3257299999999.9995</v>
      </c>
      <c r="I9" s="3678">
        <f t="shared" si="5"/>
        <v>155630000000.00049</v>
      </c>
    </row>
    <row r="10" spans="1:16" s="68" customFormat="1" ht="18" customHeight="1">
      <c r="A10" s="3731"/>
      <c r="B10" s="1820" t="s">
        <v>52</v>
      </c>
      <c r="C10" s="1817">
        <f>+'1.목적(지출총괄)'!D31</f>
        <v>3850200</v>
      </c>
      <c r="D10" s="1817">
        <f>+'1.목적(지출총괄)'!E31</f>
        <v>3825200</v>
      </c>
      <c r="E10" s="1818">
        <f t="shared" si="2"/>
        <v>25000</v>
      </c>
      <c r="F10" s="1819">
        <f t="shared" si="1"/>
        <v>6.5356059813865943E-3</v>
      </c>
      <c r="G10" s="3052">
        <f t="shared" si="3"/>
        <v>3850200000000</v>
      </c>
      <c r="H10" s="3052">
        <f t="shared" si="4"/>
        <v>3825200000000</v>
      </c>
      <c r="I10" s="3052">
        <f t="shared" si="5"/>
        <v>25000000000</v>
      </c>
    </row>
    <row r="11" spans="1:16" s="69" customFormat="1" ht="18" customHeight="1">
      <c r="A11" s="3731"/>
      <c r="B11" s="1820" t="s">
        <v>915</v>
      </c>
      <c r="C11" s="1817">
        <f>+'1.목적(지출총괄)'!D38</f>
        <v>3056000</v>
      </c>
      <c r="D11" s="1817">
        <f>+'1.목적(지출총괄)'!E38</f>
        <v>3056000</v>
      </c>
      <c r="E11" s="1818">
        <f t="shared" si="2"/>
        <v>0</v>
      </c>
      <c r="F11" s="1819">
        <f t="shared" si="1"/>
        <v>0</v>
      </c>
      <c r="G11" s="3052">
        <f t="shared" si="3"/>
        <v>3056000000000</v>
      </c>
      <c r="H11" s="3052">
        <f t="shared" si="4"/>
        <v>3056000000000</v>
      </c>
      <c r="I11" s="3052">
        <f t="shared" si="5"/>
        <v>0</v>
      </c>
    </row>
    <row r="12" spans="1:16" s="75" customFormat="1" ht="18" customHeight="1">
      <c r="A12" s="3731"/>
      <c r="B12" s="1820" t="s">
        <v>236</v>
      </c>
      <c r="C12" s="1817">
        <f>+'1.목적(지출총괄)'!D41</f>
        <v>3015418.0300000003</v>
      </c>
      <c r="D12" s="1817">
        <f>+'1.목적(지출총괄)'!E41</f>
        <v>2991600</v>
      </c>
      <c r="E12" s="1818">
        <f t="shared" si="2"/>
        <v>23818.030000000261</v>
      </c>
      <c r="F12" s="1819">
        <f t="shared" si="1"/>
        <v>7.9616359138923194E-3</v>
      </c>
      <c r="G12" s="3052">
        <f t="shared" si="3"/>
        <v>3015418030000.0005</v>
      </c>
      <c r="H12" s="3052">
        <f t="shared" si="4"/>
        <v>2991600000000</v>
      </c>
      <c r="I12" s="3052">
        <f t="shared" si="5"/>
        <v>23818030000.000488</v>
      </c>
    </row>
    <row r="13" spans="1:16" s="75" customFormat="1" ht="18" customHeight="1">
      <c r="A13" s="3731"/>
      <c r="B13" s="1820" t="s">
        <v>611</v>
      </c>
      <c r="C13" s="1817">
        <f>+'1.목적(지출총괄)'!D44</f>
        <v>2557950</v>
      </c>
      <c r="D13" s="1817">
        <f>+'1.목적(지출총괄)'!E44</f>
        <v>2509950</v>
      </c>
      <c r="E13" s="1818">
        <f t="shared" si="2"/>
        <v>48000</v>
      </c>
      <c r="F13" s="1819">
        <f t="shared" si="1"/>
        <v>1.9123886930018527E-2</v>
      </c>
      <c r="G13" s="3052">
        <f t="shared" si="3"/>
        <v>2557950000000</v>
      </c>
      <c r="H13" s="3677">
        <f t="shared" si="4"/>
        <v>2509950000000</v>
      </c>
      <c r="I13" s="3052">
        <f t="shared" si="5"/>
        <v>48000000000</v>
      </c>
    </row>
    <row r="14" spans="1:16" s="75" customFormat="1" ht="18" customHeight="1">
      <c r="A14" s="3731"/>
      <c r="B14" s="1820" t="s">
        <v>1123</v>
      </c>
      <c r="C14" s="1817">
        <f>+'1.목적(지출총괄)'!D47</f>
        <v>3045200</v>
      </c>
      <c r="D14" s="1817">
        <f>+'1.목적(지출총괄)'!E47</f>
        <v>3009200</v>
      </c>
      <c r="E14" s="1818">
        <f t="shared" si="2"/>
        <v>36000</v>
      </c>
      <c r="F14" s="1819">
        <f t="shared" si="1"/>
        <v>1.1963312508307856E-2</v>
      </c>
      <c r="G14" s="3052">
        <f t="shared" si="3"/>
        <v>3045200000000</v>
      </c>
      <c r="H14" s="3052">
        <f t="shared" si="4"/>
        <v>3009200000000</v>
      </c>
      <c r="I14" s="3052">
        <f t="shared" si="5"/>
        <v>36000000000</v>
      </c>
    </row>
    <row r="15" spans="1:16" s="69" customFormat="1" ht="18" customHeight="1">
      <c r="A15" s="3731"/>
      <c r="B15" s="1820" t="s">
        <v>237</v>
      </c>
      <c r="C15" s="1817">
        <f>+'1.목적(지출총괄)'!D50</f>
        <v>3402950</v>
      </c>
      <c r="D15" s="1817">
        <f>+'1.목적(지출총괄)'!E50</f>
        <v>3427950</v>
      </c>
      <c r="E15" s="1818">
        <f t="shared" si="2"/>
        <v>-25000</v>
      </c>
      <c r="F15" s="1819">
        <f t="shared" si="1"/>
        <v>-7.2929885208360681E-3</v>
      </c>
      <c r="G15" s="3052">
        <f t="shared" si="3"/>
        <v>3402950000000</v>
      </c>
      <c r="H15" s="3052">
        <f t="shared" si="4"/>
        <v>3427950000000</v>
      </c>
      <c r="I15" s="3052">
        <f t="shared" si="5"/>
        <v>-25000000000</v>
      </c>
    </row>
    <row r="16" spans="1:16" s="75" customFormat="1" ht="18" customHeight="1">
      <c r="A16" s="3731"/>
      <c r="B16" s="1821" t="s">
        <v>1919</v>
      </c>
      <c r="C16" s="1822">
        <f>+'1.목적(지출총괄)'!D54</f>
        <v>50000</v>
      </c>
      <c r="D16" s="1822">
        <f>+'1.목적(지출총괄)'!E54</f>
        <v>50000</v>
      </c>
      <c r="E16" s="1823">
        <f t="shared" si="2"/>
        <v>0</v>
      </c>
      <c r="F16" s="1824">
        <f t="shared" si="1"/>
        <v>0</v>
      </c>
      <c r="G16" s="3052">
        <f t="shared" si="3"/>
        <v>50000000000</v>
      </c>
      <c r="H16" s="3052">
        <f t="shared" si="4"/>
        <v>50000000000</v>
      </c>
      <c r="I16" s="3052">
        <f t="shared" si="5"/>
        <v>0</v>
      </c>
    </row>
    <row r="17" spans="1:16" s="1807" customFormat="1" ht="18" customHeight="1">
      <c r="A17" s="3732" t="s">
        <v>2047</v>
      </c>
      <c r="B17" s="1810" t="s">
        <v>1921</v>
      </c>
      <c r="C17" s="1803">
        <f>SUM(C18:C27)</f>
        <v>35863220.924999997</v>
      </c>
      <c r="D17" s="1803">
        <f>SUM(D18:D27)</f>
        <v>35397413</v>
      </c>
      <c r="E17" s="1803">
        <f t="shared" si="2"/>
        <v>465807.92499999702</v>
      </c>
      <c r="F17" s="1804">
        <f t="shared" si="1"/>
        <v>1.3159377635874041E-2</v>
      </c>
      <c r="G17" s="3052">
        <f t="shared" si="3"/>
        <v>35863220925000</v>
      </c>
      <c r="H17" s="3052">
        <f t="shared" si="4"/>
        <v>35397413000000</v>
      </c>
      <c r="I17" s="3052">
        <f t="shared" si="5"/>
        <v>465807925000</v>
      </c>
    </row>
    <row r="18" spans="1:16" s="1807" customFormat="1" ht="18" customHeight="1">
      <c r="A18" s="3732"/>
      <c r="B18" s="1825" t="s">
        <v>1038</v>
      </c>
      <c r="C18" s="1826">
        <f>+'2-1외부지출(공기관,보조금,지원)'!G7</f>
        <v>200000</v>
      </c>
      <c r="D18" s="1826">
        <f>+'2-1외부지출(공기관,보조금,지원)'!H7</f>
        <v>200000</v>
      </c>
      <c r="E18" s="1814">
        <f t="shared" si="2"/>
        <v>0</v>
      </c>
      <c r="F18" s="1819">
        <f t="shared" si="1"/>
        <v>0</v>
      </c>
      <c r="G18" s="3052">
        <f t="shared" si="3"/>
        <v>200000000000</v>
      </c>
      <c r="H18" s="3052">
        <f t="shared" si="4"/>
        <v>200000000000</v>
      </c>
      <c r="I18" s="3052">
        <f t="shared" si="5"/>
        <v>0</v>
      </c>
    </row>
    <row r="19" spans="1:16" s="1807" customFormat="1" ht="18" customHeight="1">
      <c r="A19" s="3732"/>
      <c r="B19" s="1867" t="s">
        <v>2030</v>
      </c>
      <c r="C19" s="1868">
        <f>+'2-1외부지출(공기관,보조금,지원)'!G32</f>
        <v>280940</v>
      </c>
      <c r="D19" s="1868">
        <f>+'2-1외부지출(공기관,보조금,지원)'!H32</f>
        <v>80940</v>
      </c>
      <c r="E19" s="1818">
        <f t="shared" si="2"/>
        <v>200000</v>
      </c>
      <c r="F19" s="1819">
        <f t="shared" si="1"/>
        <v>2.4709661477637757</v>
      </c>
      <c r="G19" s="3052">
        <f t="shared" si="3"/>
        <v>280940000000</v>
      </c>
      <c r="H19" s="3052">
        <f t="shared" si="4"/>
        <v>80940000000</v>
      </c>
      <c r="I19" s="3052">
        <f t="shared" si="5"/>
        <v>200000000000</v>
      </c>
    </row>
    <row r="20" spans="1:16" s="1807" customFormat="1" ht="18" customHeight="1">
      <c r="A20" s="3732"/>
      <c r="B20" s="1867" t="s">
        <v>2029</v>
      </c>
      <c r="C20" s="1868">
        <f>+'2-1외부지출(공기관,보조금,지원)'!G45</f>
        <v>32424273</v>
      </c>
      <c r="D20" s="1868">
        <f>+'2-1외부지출(공기관,보조금,지원)'!H45</f>
        <v>32424273</v>
      </c>
      <c r="E20" s="1818">
        <f t="shared" si="2"/>
        <v>0</v>
      </c>
      <c r="F20" s="1819">
        <f t="shared" si="1"/>
        <v>0</v>
      </c>
      <c r="G20" s="3052">
        <f t="shared" si="3"/>
        <v>32424273000000</v>
      </c>
      <c r="H20" s="3052">
        <f t="shared" si="4"/>
        <v>32424273000000</v>
      </c>
      <c r="I20" s="3052">
        <f t="shared" si="5"/>
        <v>0</v>
      </c>
    </row>
    <row r="21" spans="1:16" s="1807" customFormat="1" ht="18" customHeight="1">
      <c r="A21" s="3732"/>
      <c r="B21" s="1867" t="s">
        <v>1057</v>
      </c>
      <c r="C21" s="1868">
        <f>+'2-1외부지출(공기관,보조금,지원)'!G123</f>
        <v>710000</v>
      </c>
      <c r="D21" s="1868">
        <f>+'2-1외부지출(공기관,보조금,지원)'!H123</f>
        <v>710000</v>
      </c>
      <c r="E21" s="1818">
        <f t="shared" si="2"/>
        <v>0</v>
      </c>
      <c r="F21" s="1819">
        <f t="shared" si="1"/>
        <v>0</v>
      </c>
      <c r="G21" s="3052">
        <f t="shared" si="3"/>
        <v>710000000000</v>
      </c>
      <c r="H21" s="3052">
        <f t="shared" si="4"/>
        <v>710000000000</v>
      </c>
      <c r="I21" s="3052">
        <f t="shared" si="5"/>
        <v>0</v>
      </c>
    </row>
    <row r="22" spans="1:16" s="1807" customFormat="1" ht="18" customHeight="1">
      <c r="A22" s="3732"/>
      <c r="B22" s="1827" t="s">
        <v>1918</v>
      </c>
      <c r="C22" s="1828">
        <f>+'2-1외부지출(공기관,보조금,지원)'!G138</f>
        <v>175000</v>
      </c>
      <c r="D22" s="1828">
        <f>+'2-1외부지출(공기관,보조금,지원)'!H138</f>
        <v>175000</v>
      </c>
      <c r="E22" s="1818">
        <f t="shared" si="2"/>
        <v>0</v>
      </c>
      <c r="F22" s="1819">
        <f t="shared" si="1"/>
        <v>0</v>
      </c>
      <c r="G22" s="3052">
        <f t="shared" si="3"/>
        <v>175000000000</v>
      </c>
      <c r="H22" s="3052">
        <f t="shared" si="4"/>
        <v>175000000000</v>
      </c>
      <c r="I22" s="3052">
        <f t="shared" si="5"/>
        <v>0</v>
      </c>
    </row>
    <row r="23" spans="1:16" s="1807" customFormat="1" ht="18" customHeight="1">
      <c r="A23" s="3732"/>
      <c r="B23" s="1827" t="s">
        <v>915</v>
      </c>
      <c r="C23" s="1828">
        <f>+'2-1외부지출(공기관,보조금,지원)'!G144</f>
        <v>1769000</v>
      </c>
      <c r="D23" s="1828">
        <f>+'2-1외부지출(공기관,보조금,지원)'!H144</f>
        <v>1544000</v>
      </c>
      <c r="E23" s="1818">
        <f t="shared" si="2"/>
        <v>225000</v>
      </c>
      <c r="F23" s="1819">
        <f t="shared" si="1"/>
        <v>0.14572538860103626</v>
      </c>
      <c r="G23" s="3052">
        <f t="shared" si="3"/>
        <v>1769000000000</v>
      </c>
      <c r="H23" s="3052">
        <f t="shared" si="4"/>
        <v>1544000000000</v>
      </c>
      <c r="I23" s="3677">
        <f t="shared" si="5"/>
        <v>225000000000</v>
      </c>
    </row>
    <row r="24" spans="1:16" s="1807" customFormat="1" ht="18" customHeight="1">
      <c r="A24" s="3732"/>
      <c r="B24" s="1869" t="s">
        <v>236</v>
      </c>
      <c r="C24" s="1870">
        <f>+'2-1외부지출(공기관,보조금,지원)'!G162</f>
        <v>43807.925000000003</v>
      </c>
      <c r="D24" s="1870">
        <f>+'2-1외부지출(공기관,보조금,지원)'!H162</f>
        <v>33000</v>
      </c>
      <c r="E24" s="1818">
        <f t="shared" si="2"/>
        <v>10807.925000000003</v>
      </c>
      <c r="F24" s="1819">
        <f t="shared" si="1"/>
        <v>0.32751287878787888</v>
      </c>
      <c r="G24" s="3679">
        <f t="shared" si="3"/>
        <v>43807925000</v>
      </c>
      <c r="H24" s="3052">
        <f t="shared" si="4"/>
        <v>33000000000</v>
      </c>
      <c r="I24" s="3052">
        <f t="shared" si="5"/>
        <v>10807925000</v>
      </c>
    </row>
    <row r="25" spans="1:16" s="1807" customFormat="1" ht="18" customHeight="1">
      <c r="A25" s="3732"/>
      <c r="B25" s="1869" t="s">
        <v>611</v>
      </c>
      <c r="C25" s="1870">
        <f>+'2-1외부지출(공기관,보조금,지원)'!G171</f>
        <v>40200</v>
      </c>
      <c r="D25" s="1870">
        <f>+'2-1외부지출(공기관,보조금,지원)'!H171</f>
        <v>40200</v>
      </c>
      <c r="E25" s="1818">
        <f t="shared" si="2"/>
        <v>0</v>
      </c>
      <c r="F25" s="1819">
        <f t="shared" si="1"/>
        <v>0</v>
      </c>
      <c r="G25" s="3052">
        <f t="shared" si="3"/>
        <v>40200000000</v>
      </c>
      <c r="H25" s="3052">
        <f t="shared" si="4"/>
        <v>40200000000</v>
      </c>
      <c r="I25" s="3052">
        <f t="shared" si="5"/>
        <v>0</v>
      </c>
    </row>
    <row r="26" spans="1:16" s="1807" customFormat="1" ht="18" customHeight="1">
      <c r="A26" s="3732"/>
      <c r="B26" s="1869" t="s">
        <v>2031</v>
      </c>
      <c r="C26" s="1870">
        <f>+'2-1외부지출(공기관,보조금,지원)'!G177</f>
        <v>175000</v>
      </c>
      <c r="D26" s="1870">
        <f>+'2-1외부지출(공기관,보조금,지원)'!H177</f>
        <v>175000</v>
      </c>
      <c r="E26" s="1818">
        <f t="shared" si="2"/>
        <v>0</v>
      </c>
      <c r="F26" s="1819">
        <f t="shared" si="1"/>
        <v>0</v>
      </c>
      <c r="G26" s="3052">
        <f t="shared" si="3"/>
        <v>175000000000</v>
      </c>
      <c r="H26" s="3052">
        <f t="shared" si="4"/>
        <v>175000000000</v>
      </c>
      <c r="I26" s="3052">
        <f t="shared" si="5"/>
        <v>0</v>
      </c>
    </row>
    <row r="27" spans="1:16" s="1807" customFormat="1" ht="18" customHeight="1">
      <c r="A27" s="3732"/>
      <c r="B27" s="1829" t="s">
        <v>1123</v>
      </c>
      <c r="C27" s="1830">
        <f>+'2-1외부지출(공기관,보조금,지원)'!G183</f>
        <v>45000</v>
      </c>
      <c r="D27" s="1830">
        <f>+'2-1외부지출(공기관,보조금,지원)'!H183</f>
        <v>15000</v>
      </c>
      <c r="E27" s="1818">
        <f t="shared" si="2"/>
        <v>30000</v>
      </c>
      <c r="F27" s="1819">
        <f t="shared" si="1"/>
        <v>2</v>
      </c>
      <c r="G27" s="3052">
        <f t="shared" si="3"/>
        <v>45000000000</v>
      </c>
      <c r="H27" s="3052">
        <f t="shared" si="4"/>
        <v>15000000000</v>
      </c>
      <c r="I27" s="3052">
        <f t="shared" si="5"/>
        <v>30000000000</v>
      </c>
    </row>
    <row r="28" spans="1:16" s="1807" customFormat="1" ht="18" customHeight="1">
      <c r="A28" s="3732" t="s">
        <v>1924</v>
      </c>
      <c r="B28" s="1810" t="s">
        <v>1921</v>
      </c>
      <c r="C28" s="1803">
        <f>SUM(C29:C31)</f>
        <v>5074000</v>
      </c>
      <c r="D28" s="1803">
        <f>SUM(D29:D31)</f>
        <v>5074000</v>
      </c>
      <c r="E28" s="1803">
        <f t="shared" si="2"/>
        <v>0</v>
      </c>
      <c r="F28" s="1804">
        <f t="shared" si="1"/>
        <v>0</v>
      </c>
      <c r="G28" s="3052">
        <f t="shared" si="3"/>
        <v>5074000000000</v>
      </c>
      <c r="H28" s="3052">
        <f t="shared" si="4"/>
        <v>5074000000000</v>
      </c>
      <c r="I28" s="3052">
        <f t="shared" si="5"/>
        <v>0</v>
      </c>
    </row>
    <row r="29" spans="1:16" s="1807" customFormat="1" ht="18" customHeight="1">
      <c r="A29" s="3732"/>
      <c r="B29" s="1825" t="s">
        <v>816</v>
      </c>
      <c r="C29" s="1826">
        <f>+'2-2외부지출(위탁)'!G6</f>
        <v>910000</v>
      </c>
      <c r="D29" s="1826">
        <f>+'2-2외부지출(위탁)'!H6</f>
        <v>910000</v>
      </c>
      <c r="E29" s="1814">
        <f t="shared" si="2"/>
        <v>0</v>
      </c>
      <c r="F29" s="1819">
        <f t="shared" si="1"/>
        <v>0</v>
      </c>
      <c r="G29" s="3052">
        <f t="shared" si="3"/>
        <v>910000000000</v>
      </c>
      <c r="H29" s="3052">
        <f t="shared" si="4"/>
        <v>910000000000</v>
      </c>
      <c r="I29" s="3052">
        <f t="shared" si="5"/>
        <v>0</v>
      </c>
    </row>
    <row r="30" spans="1:16" s="1807" customFormat="1" ht="18" customHeight="1">
      <c r="A30" s="3732"/>
      <c r="B30" s="1827" t="s">
        <v>926</v>
      </c>
      <c r="C30" s="1828">
        <f>+'2-2외부지출(위탁)'!G28</f>
        <v>350000</v>
      </c>
      <c r="D30" s="1828">
        <f>+'2-2외부지출(위탁)'!H28</f>
        <v>350000</v>
      </c>
      <c r="E30" s="1818">
        <f t="shared" si="2"/>
        <v>0</v>
      </c>
      <c r="F30" s="1819">
        <f t="shared" si="1"/>
        <v>0</v>
      </c>
      <c r="G30" s="3052">
        <f t="shared" si="3"/>
        <v>350000000000</v>
      </c>
      <c r="H30" s="3052">
        <f t="shared" si="4"/>
        <v>350000000000</v>
      </c>
      <c r="I30" s="3052">
        <f t="shared" si="5"/>
        <v>0</v>
      </c>
    </row>
    <row r="31" spans="1:16" s="1807" customFormat="1" ht="18" customHeight="1">
      <c r="A31" s="3732"/>
      <c r="B31" s="1829" t="s">
        <v>1057</v>
      </c>
      <c r="C31" s="1830">
        <f>+'2-2외부지출(위탁)'!G32</f>
        <v>3814000</v>
      </c>
      <c r="D31" s="1830">
        <f>+'2-2외부지출(위탁)'!H32</f>
        <v>3814000</v>
      </c>
      <c r="E31" s="1823">
        <f t="shared" si="2"/>
        <v>0</v>
      </c>
      <c r="F31" s="1819">
        <f t="shared" si="1"/>
        <v>0</v>
      </c>
      <c r="G31" s="3052">
        <f t="shared" si="3"/>
        <v>3814000000000</v>
      </c>
      <c r="H31" s="3052">
        <f t="shared" si="4"/>
        <v>3814000000000</v>
      </c>
      <c r="I31" s="3052">
        <f t="shared" si="5"/>
        <v>0</v>
      </c>
    </row>
    <row r="32" spans="1:16" s="1808" customFormat="1" ht="18" customHeight="1">
      <c r="A32" s="3729" t="s">
        <v>1315</v>
      </c>
      <c r="B32" s="3729"/>
      <c r="C32" s="1811">
        <f>+'3.반납비'!F6</f>
        <v>549951.68200000003</v>
      </c>
      <c r="D32" s="1811">
        <f>+'3.반납비'!G6</f>
        <v>549951.68200000003</v>
      </c>
      <c r="E32" s="1811">
        <f t="shared" si="2"/>
        <v>0</v>
      </c>
      <c r="F32" s="1811"/>
      <c r="G32" s="3676">
        <f t="shared" si="3"/>
        <v>549951682000</v>
      </c>
      <c r="H32" s="3052">
        <f t="shared" si="4"/>
        <v>549951682000</v>
      </c>
      <c r="I32" s="3052">
        <f t="shared" si="5"/>
        <v>0</v>
      </c>
      <c r="J32" s="1809"/>
      <c r="K32" s="1809"/>
      <c r="L32" s="1809"/>
      <c r="M32" s="1809"/>
      <c r="N32" s="1809"/>
      <c r="O32" s="1809"/>
      <c r="P32" s="1809"/>
    </row>
    <row r="33" spans="6:16" s="82" customFormat="1">
      <c r="F33" s="83"/>
      <c r="G33" s="3054"/>
      <c r="H33" s="3055"/>
      <c r="I33" s="3054"/>
      <c r="J33" s="35"/>
      <c r="K33" s="35"/>
      <c r="L33" s="35"/>
      <c r="M33" s="35"/>
      <c r="N33" s="35"/>
      <c r="O33" s="35"/>
      <c r="P33" s="35"/>
    </row>
    <row r="34" spans="6:16" s="82" customFormat="1">
      <c r="F34" s="83"/>
      <c r="G34" s="3054"/>
      <c r="H34" s="3055"/>
      <c r="I34" s="3054"/>
      <c r="J34" s="35"/>
      <c r="K34" s="35"/>
      <c r="L34" s="35"/>
      <c r="M34" s="35"/>
      <c r="N34" s="35"/>
      <c r="O34" s="35"/>
      <c r="P34" s="35"/>
    </row>
    <row r="35" spans="6:16" s="82" customFormat="1">
      <c r="F35" s="83"/>
      <c r="G35" s="3054"/>
      <c r="H35" s="3055"/>
      <c r="I35" s="3054"/>
      <c r="J35" s="35"/>
      <c r="K35" s="35"/>
      <c r="L35" s="35"/>
      <c r="M35" s="35"/>
      <c r="N35" s="35"/>
      <c r="O35" s="35"/>
      <c r="P35" s="35"/>
    </row>
    <row r="36" spans="6:16" s="82" customFormat="1">
      <c r="F36" s="83"/>
      <c r="G36" s="3054"/>
      <c r="H36" s="3055"/>
      <c r="I36" s="3054"/>
      <c r="J36" s="35"/>
      <c r="K36" s="35"/>
      <c r="L36" s="35"/>
      <c r="M36" s="35"/>
      <c r="N36" s="35"/>
      <c r="O36" s="35"/>
      <c r="P36" s="35"/>
    </row>
    <row r="37" spans="6:16" s="82" customFormat="1">
      <c r="F37" s="83"/>
      <c r="G37" s="3054"/>
      <c r="H37" s="3055"/>
      <c r="I37" s="3054"/>
      <c r="J37" s="35"/>
      <c r="K37" s="35"/>
      <c r="L37" s="35"/>
      <c r="M37" s="35"/>
      <c r="N37" s="35"/>
      <c r="O37" s="35"/>
      <c r="P37" s="35"/>
    </row>
    <row r="38" spans="6:16" s="82" customFormat="1">
      <c r="F38" s="83"/>
      <c r="G38" s="3054"/>
      <c r="H38" s="3055"/>
      <c r="I38" s="3054"/>
      <c r="J38" s="35"/>
      <c r="K38" s="35"/>
      <c r="L38" s="35"/>
      <c r="M38" s="35"/>
      <c r="N38" s="35"/>
      <c r="O38" s="35"/>
      <c r="P38" s="35"/>
    </row>
    <row r="39" spans="6:16" s="82" customFormat="1">
      <c r="F39" s="83"/>
      <c r="G39" s="3054"/>
      <c r="H39" s="3055"/>
      <c r="I39" s="3054"/>
      <c r="J39" s="35"/>
      <c r="K39" s="35"/>
      <c r="L39" s="35"/>
      <c r="M39" s="35"/>
      <c r="N39" s="35"/>
      <c r="O39" s="35"/>
      <c r="P39" s="35"/>
    </row>
    <row r="40" spans="6:16" s="82" customFormat="1">
      <c r="F40" s="83"/>
      <c r="G40" s="3054"/>
      <c r="H40" s="3055"/>
      <c r="I40" s="3054"/>
      <c r="J40" s="35"/>
      <c r="K40" s="35"/>
      <c r="L40" s="35"/>
      <c r="M40" s="35"/>
      <c r="N40" s="35"/>
      <c r="O40" s="35"/>
      <c r="P40" s="35"/>
    </row>
    <row r="41" spans="6:16" s="82" customFormat="1">
      <c r="F41" s="83"/>
      <c r="G41" s="3054"/>
      <c r="H41" s="3055"/>
      <c r="I41" s="3054"/>
      <c r="J41" s="35"/>
      <c r="K41" s="35"/>
      <c r="L41" s="35"/>
      <c r="M41" s="35"/>
      <c r="N41" s="35"/>
      <c r="O41" s="35"/>
      <c r="P41" s="35"/>
    </row>
    <row r="42" spans="6:16" s="82" customFormat="1">
      <c r="F42" s="83"/>
      <c r="G42" s="3054"/>
      <c r="H42" s="3055"/>
      <c r="I42" s="3054"/>
      <c r="J42" s="35"/>
      <c r="K42" s="35"/>
      <c r="L42" s="35"/>
      <c r="M42" s="35"/>
      <c r="N42" s="35"/>
      <c r="O42" s="35"/>
      <c r="P42" s="35"/>
    </row>
    <row r="43" spans="6:16" s="82" customFormat="1">
      <c r="F43" s="83"/>
      <c r="G43" s="3054"/>
      <c r="H43" s="3055"/>
      <c r="I43" s="3054"/>
      <c r="J43" s="35"/>
      <c r="K43" s="35"/>
      <c r="L43" s="35"/>
      <c r="M43" s="35"/>
      <c r="N43" s="35"/>
      <c r="O43" s="35"/>
      <c r="P43" s="35"/>
    </row>
    <row r="44" spans="6:16" s="82" customFormat="1">
      <c r="F44" s="83"/>
      <c r="G44" s="3054"/>
      <c r="H44" s="3055"/>
      <c r="I44" s="3054"/>
      <c r="J44" s="35"/>
      <c r="K44" s="35"/>
      <c r="L44" s="35"/>
      <c r="M44" s="35"/>
      <c r="N44" s="35"/>
      <c r="O44" s="35"/>
      <c r="P44" s="35"/>
    </row>
    <row r="45" spans="6:16" s="82" customFormat="1">
      <c r="F45" s="83"/>
      <c r="G45" s="3054"/>
      <c r="H45" s="3055"/>
      <c r="I45" s="3054"/>
      <c r="J45" s="35"/>
      <c r="K45" s="35"/>
      <c r="L45" s="35"/>
      <c r="M45" s="35"/>
      <c r="N45" s="35"/>
      <c r="O45" s="35"/>
      <c r="P45" s="35"/>
    </row>
    <row r="46" spans="6:16" s="82" customFormat="1">
      <c r="F46" s="83"/>
      <c r="G46" s="3054"/>
      <c r="H46" s="3055"/>
      <c r="I46" s="3054"/>
      <c r="J46" s="35"/>
      <c r="K46" s="35"/>
      <c r="L46" s="35"/>
      <c r="M46" s="35"/>
      <c r="N46" s="35"/>
      <c r="O46" s="35"/>
      <c r="P46" s="35"/>
    </row>
    <row r="47" spans="6:16" s="82" customFormat="1">
      <c r="F47" s="83"/>
      <c r="G47" s="3054"/>
      <c r="H47" s="3055"/>
      <c r="I47" s="3054"/>
      <c r="J47" s="35"/>
      <c r="K47" s="35"/>
      <c r="L47" s="35"/>
      <c r="M47" s="35"/>
      <c r="N47" s="35"/>
      <c r="O47" s="35"/>
      <c r="P47" s="35"/>
    </row>
    <row r="48" spans="6:16" s="82" customFormat="1">
      <c r="F48" s="83"/>
      <c r="G48" s="3054"/>
      <c r="H48" s="3055"/>
      <c r="I48" s="3054"/>
      <c r="J48" s="35"/>
      <c r="K48" s="35"/>
      <c r="L48" s="35"/>
      <c r="M48" s="35"/>
      <c r="N48" s="35"/>
      <c r="O48" s="35"/>
      <c r="P48" s="35"/>
    </row>
    <row r="49" spans="6:16" s="82" customFormat="1">
      <c r="F49" s="83"/>
      <c r="G49" s="3054"/>
      <c r="H49" s="3055"/>
      <c r="I49" s="3054"/>
      <c r="J49" s="35"/>
      <c r="K49" s="35"/>
      <c r="L49" s="35"/>
      <c r="M49" s="35"/>
      <c r="N49" s="35"/>
      <c r="O49" s="35"/>
      <c r="P49" s="35"/>
    </row>
    <row r="50" spans="6:16" s="82" customFormat="1">
      <c r="F50" s="83"/>
      <c r="G50" s="3054"/>
      <c r="H50" s="3055"/>
      <c r="I50" s="3054"/>
      <c r="J50" s="35"/>
      <c r="K50" s="35"/>
      <c r="L50" s="35"/>
      <c r="M50" s="35"/>
      <c r="N50" s="35"/>
      <c r="O50" s="35"/>
      <c r="P50" s="35"/>
    </row>
    <row r="51" spans="6:16" s="82" customFormat="1">
      <c r="F51" s="83"/>
      <c r="G51" s="3054"/>
      <c r="H51" s="3055"/>
      <c r="I51" s="3054"/>
      <c r="J51" s="35"/>
      <c r="K51" s="35"/>
      <c r="L51" s="35"/>
      <c r="M51" s="35"/>
      <c r="N51" s="35"/>
      <c r="O51" s="35"/>
      <c r="P51" s="35"/>
    </row>
    <row r="52" spans="6:16" s="82" customFormat="1">
      <c r="F52" s="83"/>
      <c r="G52" s="3054"/>
      <c r="H52" s="3055"/>
      <c r="I52" s="3054"/>
      <c r="J52" s="35"/>
      <c r="K52" s="35"/>
      <c r="L52" s="35"/>
      <c r="M52" s="35"/>
      <c r="N52" s="35"/>
      <c r="O52" s="35"/>
      <c r="P52" s="35"/>
    </row>
    <row r="53" spans="6:16" s="82" customFormat="1">
      <c r="F53" s="83"/>
      <c r="G53" s="3054"/>
      <c r="H53" s="3055"/>
      <c r="I53" s="3054"/>
      <c r="J53" s="35"/>
      <c r="K53" s="35"/>
      <c r="L53" s="35"/>
      <c r="M53" s="35"/>
      <c r="N53" s="35"/>
      <c r="O53" s="35"/>
      <c r="P53" s="35"/>
    </row>
    <row r="54" spans="6:16" s="82" customFormat="1">
      <c r="F54" s="83"/>
      <c r="G54" s="3054"/>
      <c r="H54" s="3055"/>
      <c r="I54" s="3054"/>
      <c r="J54" s="35"/>
      <c r="K54" s="35"/>
      <c r="L54" s="35"/>
      <c r="M54" s="35"/>
      <c r="N54" s="35"/>
      <c r="O54" s="35"/>
      <c r="P54" s="35"/>
    </row>
    <row r="55" spans="6:16" s="82" customFormat="1">
      <c r="F55" s="83"/>
      <c r="G55" s="3054"/>
      <c r="H55" s="3055"/>
      <c r="I55" s="3054"/>
      <c r="J55" s="35"/>
      <c r="K55" s="35"/>
      <c r="L55" s="35"/>
      <c r="M55" s="35"/>
      <c r="N55" s="35"/>
      <c r="O55" s="35"/>
      <c r="P55" s="35"/>
    </row>
    <row r="56" spans="6:16" s="82" customFormat="1">
      <c r="F56" s="83"/>
      <c r="G56" s="3054"/>
      <c r="H56" s="3055"/>
      <c r="I56" s="3054"/>
      <c r="J56" s="35"/>
      <c r="K56" s="35"/>
      <c r="L56" s="35"/>
      <c r="M56" s="35"/>
      <c r="N56" s="35"/>
      <c r="O56" s="35"/>
      <c r="P56" s="35"/>
    </row>
    <row r="57" spans="6:16" s="82" customFormat="1">
      <c r="F57" s="83"/>
      <c r="G57" s="3054"/>
      <c r="H57" s="3055"/>
      <c r="I57" s="3054"/>
      <c r="J57" s="35"/>
      <c r="K57" s="35"/>
      <c r="L57" s="35"/>
      <c r="M57" s="35"/>
      <c r="N57" s="35"/>
      <c r="O57" s="35"/>
      <c r="P57" s="35"/>
    </row>
    <row r="58" spans="6:16" s="82" customFormat="1">
      <c r="F58" s="83"/>
      <c r="G58" s="3054"/>
      <c r="H58" s="3055"/>
      <c r="I58" s="3054"/>
      <c r="J58" s="35"/>
      <c r="K58" s="35"/>
      <c r="L58" s="35"/>
      <c r="M58" s="35"/>
      <c r="N58" s="35"/>
      <c r="O58" s="35"/>
      <c r="P58" s="35"/>
    </row>
    <row r="59" spans="6:16" s="82" customFormat="1">
      <c r="F59" s="83"/>
      <c r="G59" s="3054"/>
      <c r="H59" s="3055"/>
      <c r="I59" s="3054"/>
      <c r="J59" s="35"/>
      <c r="K59" s="35"/>
      <c r="L59" s="35"/>
      <c r="M59" s="35"/>
      <c r="N59" s="35"/>
      <c r="O59" s="35"/>
      <c r="P59" s="35"/>
    </row>
    <row r="60" spans="6:16" s="82" customFormat="1">
      <c r="F60" s="83"/>
      <c r="G60" s="3054"/>
      <c r="H60" s="3055"/>
      <c r="I60" s="3054"/>
      <c r="J60" s="35"/>
      <c r="K60" s="35"/>
      <c r="L60" s="35"/>
      <c r="M60" s="35"/>
      <c r="N60" s="35"/>
      <c r="O60" s="35"/>
      <c r="P60" s="35"/>
    </row>
    <row r="61" spans="6:16" s="82" customFormat="1">
      <c r="F61" s="83"/>
      <c r="G61" s="3054"/>
      <c r="H61" s="3055"/>
      <c r="I61" s="3054"/>
      <c r="J61" s="35"/>
      <c r="K61" s="35"/>
      <c r="L61" s="35"/>
      <c r="M61" s="35"/>
      <c r="N61" s="35"/>
      <c r="O61" s="35"/>
      <c r="P61" s="35"/>
    </row>
    <row r="62" spans="6:16" s="82" customFormat="1">
      <c r="F62" s="83"/>
      <c r="G62" s="3054"/>
      <c r="H62" s="3055"/>
      <c r="I62" s="3054"/>
      <c r="J62" s="35"/>
      <c r="K62" s="35"/>
      <c r="L62" s="35"/>
      <c r="M62" s="35"/>
      <c r="N62" s="35"/>
      <c r="O62" s="35"/>
      <c r="P62" s="35"/>
    </row>
    <row r="63" spans="6:16" s="82" customFormat="1">
      <c r="F63" s="83"/>
      <c r="G63" s="3054"/>
      <c r="H63" s="3055"/>
      <c r="I63" s="3054"/>
      <c r="J63" s="35"/>
      <c r="K63" s="35"/>
      <c r="L63" s="35"/>
      <c r="M63" s="35"/>
      <c r="N63" s="35"/>
      <c r="O63" s="35"/>
      <c r="P63" s="35"/>
    </row>
    <row r="64" spans="6:16" s="82" customFormat="1">
      <c r="F64" s="83"/>
      <c r="G64" s="3054"/>
      <c r="H64" s="3055"/>
      <c r="I64" s="3054"/>
      <c r="J64" s="35"/>
      <c r="K64" s="35"/>
      <c r="L64" s="35"/>
      <c r="M64" s="35"/>
      <c r="N64" s="35"/>
      <c r="O64" s="35"/>
      <c r="P64" s="35"/>
    </row>
    <row r="65" spans="6:16" s="82" customFormat="1">
      <c r="F65" s="83"/>
      <c r="G65" s="3054"/>
      <c r="H65" s="3055"/>
      <c r="I65" s="3054"/>
      <c r="J65" s="35"/>
      <c r="K65" s="35"/>
      <c r="L65" s="35"/>
      <c r="M65" s="35"/>
      <c r="N65" s="35"/>
      <c r="O65" s="35"/>
      <c r="P65" s="35"/>
    </row>
    <row r="66" spans="6:16" s="82" customFormat="1">
      <c r="F66" s="83"/>
      <c r="G66" s="3054"/>
      <c r="H66" s="3055"/>
      <c r="I66" s="3054"/>
      <c r="J66" s="35"/>
      <c r="K66" s="35"/>
      <c r="L66" s="35"/>
      <c r="M66" s="35"/>
      <c r="N66" s="35"/>
      <c r="O66" s="35"/>
      <c r="P66" s="35"/>
    </row>
    <row r="67" spans="6:16" s="82" customFormat="1">
      <c r="F67" s="83"/>
      <c r="G67" s="3054"/>
      <c r="H67" s="3055"/>
      <c r="I67" s="3054"/>
      <c r="J67" s="35"/>
      <c r="K67" s="35"/>
      <c r="L67" s="35"/>
      <c r="M67" s="35"/>
      <c r="N67" s="35"/>
      <c r="O67" s="35"/>
      <c r="P67" s="35"/>
    </row>
    <row r="68" spans="6:16" s="82" customFormat="1">
      <c r="F68" s="83"/>
      <c r="G68" s="3054"/>
      <c r="H68" s="3055"/>
      <c r="I68" s="3054"/>
      <c r="J68" s="35"/>
      <c r="K68" s="35"/>
      <c r="L68" s="35"/>
      <c r="M68" s="35"/>
      <c r="N68" s="35"/>
      <c r="O68" s="35"/>
      <c r="P68" s="35"/>
    </row>
    <row r="69" spans="6:16" s="82" customFormat="1">
      <c r="F69" s="83"/>
      <c r="G69" s="3054"/>
      <c r="H69" s="3055"/>
      <c r="I69" s="3054"/>
      <c r="J69" s="35"/>
      <c r="K69" s="35"/>
      <c r="L69" s="35"/>
      <c r="M69" s="35"/>
      <c r="N69" s="35"/>
      <c r="O69" s="35"/>
      <c r="P69" s="35"/>
    </row>
    <row r="70" spans="6:16" s="82" customFormat="1">
      <c r="F70" s="83"/>
      <c r="G70" s="3054"/>
      <c r="H70" s="3055"/>
      <c r="I70" s="3054"/>
      <c r="J70" s="35"/>
      <c r="K70" s="35"/>
      <c r="L70" s="35"/>
      <c r="M70" s="35"/>
      <c r="N70" s="35"/>
      <c r="O70" s="35"/>
      <c r="P70" s="35"/>
    </row>
    <row r="71" spans="6:16" s="82" customFormat="1">
      <c r="F71" s="83"/>
      <c r="G71" s="3054"/>
      <c r="H71" s="3055"/>
      <c r="I71" s="3054"/>
      <c r="J71" s="35"/>
      <c r="K71" s="35"/>
      <c r="L71" s="35"/>
      <c r="M71" s="35"/>
      <c r="N71" s="35"/>
      <c r="O71" s="35"/>
      <c r="P71" s="35"/>
    </row>
    <row r="72" spans="6:16" s="82" customFormat="1">
      <c r="F72" s="83"/>
      <c r="G72" s="3054"/>
      <c r="H72" s="3055"/>
      <c r="I72" s="3054"/>
      <c r="J72" s="35"/>
      <c r="K72" s="35"/>
      <c r="L72" s="35"/>
      <c r="M72" s="35"/>
      <c r="N72" s="35"/>
      <c r="O72" s="35"/>
      <c r="P72" s="35"/>
    </row>
    <row r="73" spans="6:16" s="82" customFormat="1">
      <c r="F73" s="83"/>
      <c r="G73" s="3054"/>
      <c r="H73" s="3055"/>
      <c r="I73" s="3054"/>
      <c r="J73" s="35"/>
      <c r="K73" s="35"/>
      <c r="L73" s="35"/>
      <c r="M73" s="35"/>
      <c r="N73" s="35"/>
      <c r="O73" s="35"/>
      <c r="P73" s="35"/>
    </row>
    <row r="74" spans="6:16" s="82" customFormat="1">
      <c r="F74" s="83"/>
      <c r="G74" s="3054"/>
      <c r="H74" s="3055"/>
      <c r="I74" s="3054"/>
      <c r="J74" s="35"/>
      <c r="K74" s="35"/>
      <c r="L74" s="35"/>
      <c r="M74" s="35"/>
      <c r="N74" s="35"/>
      <c r="O74" s="35"/>
      <c r="P74" s="35"/>
    </row>
    <row r="75" spans="6:16" s="82" customFormat="1">
      <c r="F75" s="83"/>
      <c r="G75" s="3054"/>
      <c r="H75" s="3055"/>
      <c r="I75" s="3054"/>
      <c r="J75" s="35"/>
      <c r="K75" s="35"/>
      <c r="L75" s="35"/>
      <c r="M75" s="35"/>
      <c r="N75" s="35"/>
      <c r="O75" s="35"/>
      <c r="P75" s="35"/>
    </row>
    <row r="76" spans="6:16" s="82" customFormat="1">
      <c r="F76" s="83"/>
      <c r="G76" s="3054"/>
      <c r="H76" s="3055"/>
      <c r="I76" s="3054"/>
      <c r="J76" s="35"/>
      <c r="K76" s="35"/>
      <c r="L76" s="35"/>
      <c r="M76" s="35"/>
      <c r="N76" s="35"/>
      <c r="O76" s="35"/>
      <c r="P76" s="35"/>
    </row>
    <row r="77" spans="6:16" s="82" customFormat="1">
      <c r="F77" s="83"/>
      <c r="G77" s="3054"/>
      <c r="H77" s="3055"/>
      <c r="I77" s="3054"/>
      <c r="J77" s="35"/>
      <c r="K77" s="35"/>
      <c r="L77" s="35"/>
      <c r="M77" s="35"/>
      <c r="N77" s="35"/>
      <c r="O77" s="35"/>
      <c r="P77" s="35"/>
    </row>
    <row r="78" spans="6:16" s="82" customFormat="1">
      <c r="F78" s="83"/>
      <c r="G78" s="3054"/>
      <c r="H78" s="3055"/>
      <c r="I78" s="3054"/>
      <c r="J78" s="35"/>
      <c r="K78" s="35"/>
      <c r="L78" s="35"/>
      <c r="M78" s="35"/>
      <c r="N78" s="35"/>
      <c r="O78" s="35"/>
      <c r="P78" s="35"/>
    </row>
    <row r="79" spans="6:16" s="82" customFormat="1">
      <c r="F79" s="83"/>
      <c r="G79" s="3054"/>
      <c r="H79" s="3055"/>
      <c r="I79" s="3054"/>
      <c r="J79" s="35"/>
      <c r="K79" s="35"/>
      <c r="L79" s="35"/>
      <c r="M79" s="35"/>
      <c r="N79" s="35"/>
      <c r="O79" s="35"/>
      <c r="P79" s="35"/>
    </row>
    <row r="80" spans="6:16" s="82" customFormat="1">
      <c r="F80" s="83"/>
      <c r="G80" s="3054"/>
      <c r="H80" s="3055"/>
      <c r="I80" s="3054"/>
      <c r="J80" s="35"/>
      <c r="K80" s="35"/>
      <c r="L80" s="35"/>
      <c r="M80" s="35"/>
      <c r="N80" s="35"/>
      <c r="O80" s="35"/>
      <c r="P80" s="35"/>
    </row>
    <row r="81" spans="6:16" s="82" customFormat="1">
      <c r="F81" s="83"/>
      <c r="G81" s="3054"/>
      <c r="H81" s="3055"/>
      <c r="I81" s="3054"/>
      <c r="J81" s="35"/>
      <c r="K81" s="35"/>
      <c r="L81" s="35"/>
      <c r="M81" s="35"/>
      <c r="N81" s="35"/>
      <c r="O81" s="35"/>
      <c r="P81" s="35"/>
    </row>
    <row r="82" spans="6:16" s="82" customFormat="1">
      <c r="F82" s="83"/>
      <c r="G82" s="3054"/>
      <c r="H82" s="3055"/>
      <c r="I82" s="3054"/>
      <c r="J82" s="35"/>
      <c r="K82" s="35"/>
      <c r="L82" s="35"/>
      <c r="M82" s="35"/>
      <c r="N82" s="35"/>
      <c r="O82" s="35"/>
      <c r="P82" s="35"/>
    </row>
    <row r="83" spans="6:16" s="82" customFormat="1">
      <c r="F83" s="83"/>
      <c r="G83" s="3054"/>
      <c r="H83" s="3055"/>
      <c r="I83" s="3054"/>
      <c r="J83" s="35"/>
      <c r="K83" s="35"/>
      <c r="L83" s="35"/>
      <c r="M83" s="35"/>
      <c r="N83" s="35"/>
      <c r="O83" s="35"/>
      <c r="P83" s="35"/>
    </row>
    <row r="84" spans="6:16" s="82" customFormat="1">
      <c r="F84" s="83"/>
      <c r="G84" s="3054"/>
      <c r="H84" s="3055"/>
      <c r="I84" s="3054"/>
      <c r="J84" s="35"/>
      <c r="K84" s="35"/>
      <c r="L84" s="35"/>
      <c r="M84" s="35"/>
      <c r="N84" s="35"/>
      <c r="O84" s="35"/>
      <c r="P84" s="35"/>
    </row>
    <row r="85" spans="6:16" s="82" customFormat="1">
      <c r="F85" s="83"/>
      <c r="G85" s="3054"/>
      <c r="H85" s="3055"/>
      <c r="I85" s="3054"/>
      <c r="J85" s="35"/>
      <c r="K85" s="35"/>
      <c r="L85" s="35"/>
      <c r="M85" s="35"/>
      <c r="N85" s="35"/>
      <c r="O85" s="35"/>
      <c r="P85" s="35"/>
    </row>
    <row r="86" spans="6:16" s="82" customFormat="1">
      <c r="F86" s="83"/>
      <c r="G86" s="3054"/>
      <c r="H86" s="3055"/>
      <c r="I86" s="3054"/>
      <c r="J86" s="35"/>
      <c r="K86" s="35"/>
      <c r="L86" s="35"/>
      <c r="M86" s="35"/>
      <c r="N86" s="35"/>
      <c r="O86" s="35"/>
      <c r="P86" s="35"/>
    </row>
    <row r="87" spans="6:16" s="82" customFormat="1">
      <c r="F87" s="83"/>
      <c r="G87" s="3054"/>
      <c r="H87" s="3055"/>
      <c r="I87" s="3054"/>
      <c r="J87" s="35"/>
      <c r="K87" s="35"/>
      <c r="L87" s="35"/>
      <c r="M87" s="35"/>
      <c r="N87" s="35"/>
      <c r="O87" s="35"/>
      <c r="P87" s="35"/>
    </row>
    <row r="88" spans="6:16" s="82" customFormat="1">
      <c r="F88" s="83"/>
      <c r="G88" s="3054"/>
      <c r="H88" s="3055"/>
      <c r="I88" s="3054"/>
      <c r="J88" s="35"/>
      <c r="K88" s="35"/>
      <c r="L88" s="35"/>
      <c r="M88" s="35"/>
      <c r="N88" s="35"/>
      <c r="O88" s="35"/>
      <c r="P88" s="35"/>
    </row>
    <row r="89" spans="6:16" s="82" customFormat="1">
      <c r="F89" s="83"/>
      <c r="G89" s="3054"/>
      <c r="H89" s="3055"/>
      <c r="I89" s="3054"/>
      <c r="J89" s="35"/>
      <c r="K89" s="35"/>
      <c r="L89" s="35"/>
      <c r="M89" s="35"/>
      <c r="N89" s="35"/>
      <c r="O89" s="35"/>
      <c r="P89" s="35"/>
    </row>
    <row r="90" spans="6:16" s="82" customFormat="1">
      <c r="F90" s="83"/>
      <c r="G90" s="3054"/>
      <c r="H90" s="3055"/>
      <c r="I90" s="3054"/>
      <c r="J90" s="35"/>
      <c r="K90" s="35"/>
      <c r="L90" s="35"/>
      <c r="M90" s="35"/>
      <c r="N90" s="35"/>
      <c r="O90" s="35"/>
      <c r="P90" s="35"/>
    </row>
    <row r="91" spans="6:16" s="82" customFormat="1">
      <c r="F91" s="83"/>
      <c r="G91" s="3054"/>
      <c r="H91" s="3055"/>
      <c r="I91" s="3054"/>
      <c r="J91" s="35"/>
      <c r="K91" s="35"/>
      <c r="L91" s="35"/>
      <c r="M91" s="35"/>
      <c r="N91" s="35"/>
      <c r="O91" s="35"/>
      <c r="P91" s="35"/>
    </row>
    <row r="92" spans="6:16" s="82" customFormat="1">
      <c r="F92" s="83"/>
      <c r="G92" s="3054"/>
      <c r="H92" s="3055"/>
      <c r="I92" s="3054"/>
      <c r="J92" s="35"/>
      <c r="K92" s="35"/>
      <c r="L92" s="35"/>
      <c r="M92" s="35"/>
      <c r="N92" s="35"/>
      <c r="O92" s="35"/>
      <c r="P92" s="35"/>
    </row>
    <row r="93" spans="6:16" s="82" customFormat="1">
      <c r="F93" s="83"/>
      <c r="G93" s="3054"/>
      <c r="H93" s="3055"/>
      <c r="I93" s="3054"/>
      <c r="J93" s="35"/>
      <c r="K93" s="35"/>
      <c r="L93" s="35"/>
      <c r="M93" s="35"/>
      <c r="N93" s="35"/>
      <c r="O93" s="35"/>
      <c r="P93" s="35"/>
    </row>
    <row r="94" spans="6:16" s="82" customFormat="1">
      <c r="F94" s="83"/>
      <c r="G94" s="3054"/>
      <c r="H94" s="3055"/>
      <c r="I94" s="3054"/>
      <c r="J94" s="35"/>
      <c r="K94" s="35"/>
      <c r="L94" s="35"/>
      <c r="M94" s="35"/>
      <c r="N94" s="35"/>
      <c r="O94" s="35"/>
      <c r="P94" s="35"/>
    </row>
    <row r="95" spans="6:16" s="82" customFormat="1">
      <c r="F95" s="83"/>
      <c r="G95" s="3054"/>
      <c r="H95" s="3055"/>
      <c r="I95" s="3054"/>
      <c r="J95" s="35"/>
      <c r="K95" s="35"/>
      <c r="L95" s="35"/>
      <c r="M95" s="35"/>
      <c r="N95" s="35"/>
      <c r="O95" s="35"/>
      <c r="P95" s="35"/>
    </row>
    <row r="96" spans="6:16" s="82" customFormat="1">
      <c r="F96" s="83"/>
      <c r="G96" s="3054"/>
      <c r="H96" s="3055"/>
      <c r="I96" s="3054"/>
      <c r="J96" s="35"/>
      <c r="K96" s="35"/>
      <c r="L96" s="35"/>
      <c r="M96" s="35"/>
      <c r="N96" s="35"/>
      <c r="O96" s="35"/>
      <c r="P96" s="35"/>
    </row>
    <row r="97" spans="6:16" s="82" customFormat="1">
      <c r="F97" s="83"/>
      <c r="G97" s="3054"/>
      <c r="H97" s="3055"/>
      <c r="I97" s="3054"/>
      <c r="J97" s="35"/>
      <c r="K97" s="35"/>
      <c r="L97" s="35"/>
      <c r="M97" s="35"/>
      <c r="N97" s="35"/>
      <c r="O97" s="35"/>
      <c r="P97" s="35"/>
    </row>
    <row r="98" spans="6:16" s="82" customFormat="1">
      <c r="F98" s="83"/>
      <c r="G98" s="3054"/>
      <c r="H98" s="3055"/>
      <c r="I98" s="3054"/>
      <c r="J98" s="35"/>
      <c r="K98" s="35"/>
      <c r="L98" s="35"/>
      <c r="M98" s="35"/>
      <c r="N98" s="35"/>
      <c r="O98" s="35"/>
      <c r="P98" s="35"/>
    </row>
    <row r="99" spans="6:16" s="82" customFormat="1">
      <c r="F99" s="83"/>
      <c r="G99" s="3054"/>
      <c r="H99" s="3055"/>
      <c r="I99" s="3054"/>
      <c r="J99" s="35"/>
      <c r="K99" s="35"/>
      <c r="L99" s="35"/>
      <c r="M99" s="35"/>
      <c r="N99" s="35"/>
      <c r="O99" s="35"/>
      <c r="P99" s="35"/>
    </row>
    <row r="100" spans="6:16" s="82" customFormat="1">
      <c r="F100" s="83"/>
      <c r="G100" s="3054"/>
      <c r="H100" s="3055"/>
      <c r="I100" s="3054"/>
      <c r="J100" s="35"/>
      <c r="K100" s="35"/>
      <c r="L100" s="35"/>
      <c r="M100" s="35"/>
      <c r="N100" s="35"/>
      <c r="O100" s="35"/>
      <c r="P100" s="35"/>
    </row>
    <row r="101" spans="6:16" s="82" customFormat="1">
      <c r="F101" s="83"/>
      <c r="G101" s="3054"/>
      <c r="H101" s="3055"/>
      <c r="I101" s="3054"/>
      <c r="J101" s="35"/>
      <c r="K101" s="35"/>
      <c r="L101" s="35"/>
      <c r="M101" s="35"/>
      <c r="N101" s="35"/>
      <c r="O101" s="35"/>
      <c r="P101" s="35"/>
    </row>
    <row r="102" spans="6:16" s="82" customFormat="1">
      <c r="F102" s="83"/>
      <c r="G102" s="3054"/>
      <c r="H102" s="3055"/>
      <c r="I102" s="3054"/>
      <c r="J102" s="35"/>
      <c r="K102" s="35"/>
      <c r="L102" s="35"/>
      <c r="M102" s="35"/>
      <c r="N102" s="35"/>
      <c r="O102" s="35"/>
      <c r="P102" s="35"/>
    </row>
    <row r="103" spans="6:16" s="82" customFormat="1">
      <c r="F103" s="83"/>
      <c r="G103" s="3054"/>
      <c r="H103" s="3055"/>
      <c r="I103" s="3054"/>
      <c r="J103" s="35"/>
      <c r="K103" s="35"/>
      <c r="L103" s="35"/>
      <c r="M103" s="35"/>
      <c r="N103" s="35"/>
      <c r="O103" s="35"/>
      <c r="P103" s="35"/>
    </row>
    <row r="104" spans="6:16" s="82" customFormat="1">
      <c r="F104" s="83"/>
      <c r="G104" s="3054"/>
      <c r="H104" s="3055"/>
      <c r="I104" s="3054"/>
      <c r="J104" s="35"/>
      <c r="K104" s="35"/>
      <c r="L104" s="35"/>
      <c r="M104" s="35"/>
      <c r="N104" s="35"/>
      <c r="O104" s="35"/>
      <c r="P104" s="35"/>
    </row>
    <row r="105" spans="6:16" s="82" customFormat="1">
      <c r="F105" s="83"/>
      <c r="G105" s="3054"/>
      <c r="H105" s="3055"/>
      <c r="I105" s="3054"/>
      <c r="J105" s="35"/>
      <c r="K105" s="35"/>
      <c r="L105" s="35"/>
      <c r="M105" s="35"/>
      <c r="N105" s="35"/>
      <c r="O105" s="35"/>
      <c r="P105" s="35"/>
    </row>
    <row r="106" spans="6:16" s="82" customFormat="1">
      <c r="F106" s="83"/>
      <c r="G106" s="3054"/>
      <c r="H106" s="3055"/>
      <c r="I106" s="3054"/>
      <c r="J106" s="35"/>
      <c r="K106" s="35"/>
      <c r="L106" s="35"/>
      <c r="M106" s="35"/>
      <c r="N106" s="35"/>
      <c r="O106" s="35"/>
      <c r="P106" s="35"/>
    </row>
    <row r="107" spans="6:16" s="82" customFormat="1">
      <c r="F107" s="83"/>
      <c r="G107" s="3054"/>
      <c r="H107" s="3055"/>
      <c r="I107" s="3054"/>
      <c r="J107" s="35"/>
      <c r="K107" s="35"/>
      <c r="L107" s="35"/>
      <c r="M107" s="35"/>
      <c r="N107" s="35"/>
      <c r="O107" s="35"/>
      <c r="P107" s="35"/>
    </row>
    <row r="108" spans="6:16" s="82" customFormat="1">
      <c r="F108" s="83"/>
      <c r="G108" s="3054"/>
      <c r="H108" s="3055"/>
      <c r="I108" s="3054"/>
      <c r="J108" s="35"/>
      <c r="K108" s="35"/>
      <c r="L108" s="35"/>
      <c r="M108" s="35"/>
      <c r="N108" s="35"/>
      <c r="O108" s="35"/>
      <c r="P108" s="35"/>
    </row>
    <row r="109" spans="6:16" s="82" customFormat="1">
      <c r="F109" s="83"/>
      <c r="G109" s="3054"/>
      <c r="H109" s="3055"/>
      <c r="I109" s="3054"/>
      <c r="J109" s="35"/>
      <c r="K109" s="35"/>
      <c r="L109" s="35"/>
      <c r="M109" s="35"/>
      <c r="N109" s="35"/>
      <c r="O109" s="35"/>
      <c r="P109" s="35"/>
    </row>
    <row r="110" spans="6:16" s="82" customFormat="1">
      <c r="F110" s="83"/>
      <c r="G110" s="3054"/>
      <c r="H110" s="3055"/>
      <c r="I110" s="3054"/>
      <c r="J110" s="35"/>
      <c r="K110" s="35"/>
      <c r="L110" s="35"/>
      <c r="M110" s="35"/>
      <c r="N110" s="35"/>
      <c r="O110" s="35"/>
      <c r="P110" s="35"/>
    </row>
    <row r="111" spans="6:16" s="82" customFormat="1">
      <c r="F111" s="83"/>
      <c r="G111" s="3054"/>
      <c r="H111" s="3055"/>
      <c r="I111" s="3054"/>
      <c r="J111" s="35"/>
      <c r="K111" s="35"/>
      <c r="L111" s="35"/>
      <c r="M111" s="35"/>
      <c r="N111" s="35"/>
      <c r="O111" s="35"/>
      <c r="P111" s="35"/>
    </row>
    <row r="112" spans="6:16" s="82" customFormat="1">
      <c r="F112" s="83"/>
      <c r="G112" s="3054"/>
      <c r="H112" s="3055"/>
      <c r="I112" s="3054"/>
      <c r="J112" s="35"/>
      <c r="K112" s="35"/>
      <c r="L112" s="35"/>
      <c r="M112" s="35"/>
      <c r="N112" s="35"/>
      <c r="O112" s="35"/>
      <c r="P112" s="35"/>
    </row>
    <row r="113" spans="6:16" s="82" customFormat="1">
      <c r="F113" s="83"/>
      <c r="G113" s="3054"/>
      <c r="H113" s="3055"/>
      <c r="I113" s="3054"/>
      <c r="J113" s="35"/>
      <c r="K113" s="35"/>
      <c r="L113" s="35"/>
      <c r="M113" s="35"/>
      <c r="N113" s="35"/>
      <c r="O113" s="35"/>
      <c r="P113" s="35"/>
    </row>
    <row r="114" spans="6:16" s="82" customFormat="1">
      <c r="F114" s="83"/>
      <c r="G114" s="3054"/>
      <c r="H114" s="3055"/>
      <c r="I114" s="3054"/>
      <c r="J114" s="35"/>
      <c r="K114" s="35"/>
      <c r="L114" s="35"/>
      <c r="M114" s="35"/>
      <c r="N114" s="35"/>
      <c r="O114" s="35"/>
      <c r="P114" s="35"/>
    </row>
    <row r="115" spans="6:16" s="82" customFormat="1">
      <c r="F115" s="83"/>
      <c r="G115" s="3054"/>
      <c r="H115" s="3055"/>
      <c r="I115" s="3054"/>
      <c r="J115" s="35"/>
      <c r="K115" s="35"/>
      <c r="L115" s="35"/>
      <c r="M115" s="35"/>
      <c r="N115" s="35"/>
      <c r="O115" s="35"/>
      <c r="P115" s="35"/>
    </row>
    <row r="116" spans="6:16" s="82" customFormat="1">
      <c r="F116" s="83"/>
      <c r="G116" s="3054"/>
      <c r="H116" s="3055"/>
      <c r="I116" s="3054"/>
      <c r="J116" s="35"/>
      <c r="K116" s="35"/>
      <c r="L116" s="35"/>
      <c r="M116" s="35"/>
      <c r="N116" s="35"/>
      <c r="O116" s="35"/>
      <c r="P116" s="35"/>
    </row>
    <row r="117" spans="6:16" s="82" customFormat="1">
      <c r="F117" s="83"/>
      <c r="G117" s="3054"/>
      <c r="H117" s="3055"/>
      <c r="I117" s="3054"/>
      <c r="J117" s="35"/>
      <c r="K117" s="35"/>
      <c r="L117" s="35"/>
      <c r="M117" s="35"/>
      <c r="N117" s="35"/>
      <c r="O117" s="35"/>
      <c r="P117" s="35"/>
    </row>
    <row r="118" spans="6:16" s="82" customFormat="1">
      <c r="F118" s="83"/>
      <c r="G118" s="3054"/>
      <c r="H118" s="3055"/>
      <c r="I118" s="3054"/>
      <c r="J118" s="35"/>
      <c r="K118" s="35"/>
      <c r="L118" s="35"/>
      <c r="M118" s="35"/>
      <c r="N118" s="35"/>
      <c r="O118" s="35"/>
      <c r="P118" s="35"/>
    </row>
    <row r="119" spans="6:16" s="82" customFormat="1">
      <c r="F119" s="83"/>
      <c r="G119" s="3054"/>
      <c r="H119" s="3055"/>
      <c r="I119" s="3054"/>
      <c r="J119" s="35"/>
      <c r="K119" s="35"/>
      <c r="L119" s="35"/>
      <c r="M119" s="35"/>
      <c r="N119" s="35"/>
      <c r="O119" s="35"/>
      <c r="P119" s="35"/>
    </row>
    <row r="120" spans="6:16" s="82" customFormat="1">
      <c r="F120" s="83"/>
      <c r="G120" s="3054"/>
      <c r="H120" s="3055"/>
      <c r="I120" s="3054"/>
      <c r="J120" s="35"/>
      <c r="K120" s="35"/>
      <c r="L120" s="35"/>
      <c r="M120" s="35"/>
      <c r="N120" s="35"/>
      <c r="O120" s="35"/>
      <c r="P120" s="35"/>
    </row>
    <row r="121" spans="6:16" s="82" customFormat="1">
      <c r="F121" s="83"/>
      <c r="G121" s="3054"/>
      <c r="H121" s="3055"/>
      <c r="I121" s="3054"/>
      <c r="J121" s="35"/>
      <c r="K121" s="35"/>
      <c r="L121" s="35"/>
      <c r="M121" s="35"/>
      <c r="N121" s="35"/>
      <c r="O121" s="35"/>
      <c r="P121" s="35"/>
    </row>
    <row r="122" spans="6:16" s="82" customFormat="1">
      <c r="F122" s="83"/>
      <c r="G122" s="3054"/>
      <c r="H122" s="3055"/>
      <c r="I122" s="3054"/>
      <c r="J122" s="35"/>
      <c r="K122" s="35"/>
      <c r="L122" s="35"/>
      <c r="M122" s="35"/>
      <c r="N122" s="35"/>
      <c r="O122" s="35"/>
      <c r="P122" s="35"/>
    </row>
    <row r="123" spans="6:16" s="82" customFormat="1">
      <c r="F123" s="83"/>
      <c r="G123" s="3054"/>
      <c r="H123" s="3055"/>
      <c r="I123" s="3054"/>
      <c r="J123" s="35"/>
      <c r="K123" s="35"/>
      <c r="L123" s="35"/>
      <c r="M123" s="35"/>
      <c r="N123" s="35"/>
      <c r="O123" s="35"/>
      <c r="P123" s="35"/>
    </row>
    <row r="124" spans="6:16" s="82" customFormat="1">
      <c r="F124" s="83"/>
      <c r="G124" s="3054"/>
      <c r="H124" s="3055"/>
      <c r="I124" s="3054"/>
      <c r="J124" s="35"/>
      <c r="K124" s="35"/>
      <c r="L124" s="35"/>
      <c r="M124" s="35"/>
      <c r="N124" s="35"/>
      <c r="O124" s="35"/>
      <c r="P124" s="35"/>
    </row>
    <row r="125" spans="6:16" s="82" customFormat="1">
      <c r="F125" s="83"/>
      <c r="G125" s="3054"/>
      <c r="H125" s="3055"/>
      <c r="I125" s="3054"/>
      <c r="J125" s="35"/>
      <c r="K125" s="35"/>
      <c r="L125" s="35"/>
      <c r="M125" s="35"/>
      <c r="N125" s="35"/>
      <c r="O125" s="35"/>
      <c r="P125" s="35"/>
    </row>
    <row r="126" spans="6:16" s="82" customFormat="1">
      <c r="F126" s="83"/>
      <c r="G126" s="3054"/>
      <c r="H126" s="3055"/>
      <c r="I126" s="3054"/>
      <c r="J126" s="35"/>
      <c r="K126" s="35"/>
      <c r="L126" s="35"/>
      <c r="M126" s="35"/>
      <c r="N126" s="35"/>
      <c r="O126" s="35"/>
      <c r="P126" s="35"/>
    </row>
    <row r="127" spans="6:16" s="82" customFormat="1">
      <c r="F127" s="83"/>
      <c r="G127" s="3054"/>
      <c r="H127" s="3055"/>
      <c r="I127" s="3054"/>
      <c r="J127" s="35"/>
      <c r="K127" s="35"/>
      <c r="L127" s="35"/>
      <c r="M127" s="35"/>
      <c r="N127" s="35"/>
      <c r="O127" s="35"/>
      <c r="P127" s="35"/>
    </row>
    <row r="128" spans="6:16" s="82" customFormat="1">
      <c r="F128" s="83"/>
      <c r="G128" s="3054"/>
      <c r="H128" s="3055"/>
      <c r="I128" s="3054"/>
      <c r="J128" s="35"/>
      <c r="K128" s="35"/>
      <c r="L128" s="35"/>
      <c r="M128" s="35"/>
      <c r="N128" s="35"/>
      <c r="O128" s="35"/>
      <c r="P128" s="35"/>
    </row>
    <row r="129" spans="6:16" s="82" customFormat="1">
      <c r="F129" s="83"/>
      <c r="G129" s="3054"/>
      <c r="H129" s="3055"/>
      <c r="I129" s="3054"/>
      <c r="J129" s="35"/>
      <c r="K129" s="35"/>
      <c r="L129" s="35"/>
      <c r="M129" s="35"/>
      <c r="N129" s="35"/>
      <c r="O129" s="35"/>
      <c r="P129" s="35"/>
    </row>
    <row r="130" spans="6:16" s="82" customFormat="1">
      <c r="F130" s="83"/>
      <c r="G130" s="3054"/>
      <c r="H130" s="3055"/>
      <c r="I130" s="3054"/>
      <c r="J130" s="35"/>
      <c r="K130" s="35"/>
      <c r="L130" s="35"/>
      <c r="M130" s="35"/>
      <c r="N130" s="35"/>
      <c r="O130" s="35"/>
      <c r="P130" s="35"/>
    </row>
    <row r="131" spans="6:16" s="82" customFormat="1">
      <c r="F131" s="83"/>
      <c r="G131" s="3054"/>
      <c r="H131" s="3055"/>
      <c r="I131" s="3054"/>
      <c r="J131" s="35"/>
      <c r="K131" s="35"/>
      <c r="L131" s="35"/>
      <c r="M131" s="35"/>
      <c r="N131" s="35"/>
      <c r="O131" s="35"/>
      <c r="P131" s="35"/>
    </row>
    <row r="132" spans="6:16" s="82" customFormat="1">
      <c r="F132" s="83"/>
      <c r="G132" s="3054"/>
      <c r="H132" s="3055"/>
      <c r="I132" s="3054"/>
      <c r="J132" s="35"/>
      <c r="K132" s="35"/>
      <c r="L132" s="35"/>
      <c r="M132" s="35"/>
      <c r="N132" s="35"/>
      <c r="O132" s="35"/>
      <c r="P132" s="35"/>
    </row>
    <row r="133" spans="6:16" s="82" customFormat="1">
      <c r="F133" s="83"/>
      <c r="G133" s="3054"/>
      <c r="H133" s="3055"/>
      <c r="I133" s="3054"/>
      <c r="J133" s="35"/>
      <c r="K133" s="35"/>
      <c r="L133" s="35"/>
      <c r="M133" s="35"/>
      <c r="N133" s="35"/>
      <c r="O133" s="35"/>
      <c r="P133" s="35"/>
    </row>
    <row r="134" spans="6:16" s="82" customFormat="1">
      <c r="F134" s="83"/>
      <c r="G134" s="3054"/>
      <c r="H134" s="3055"/>
      <c r="I134" s="3054"/>
      <c r="J134" s="35"/>
      <c r="K134" s="35"/>
      <c r="L134" s="35"/>
      <c r="M134" s="35"/>
      <c r="N134" s="35"/>
      <c r="O134" s="35"/>
      <c r="P134" s="35"/>
    </row>
    <row r="135" spans="6:16" s="82" customFormat="1">
      <c r="F135" s="83"/>
      <c r="G135" s="3054"/>
      <c r="H135" s="3055"/>
      <c r="I135" s="3054"/>
      <c r="J135" s="35"/>
      <c r="K135" s="35"/>
      <c r="L135" s="35"/>
      <c r="M135" s="35"/>
      <c r="N135" s="35"/>
      <c r="O135" s="35"/>
      <c r="P135" s="35"/>
    </row>
    <row r="136" spans="6:16" s="82" customFormat="1">
      <c r="F136" s="83"/>
      <c r="G136" s="3054"/>
      <c r="H136" s="3055"/>
      <c r="I136" s="3054"/>
      <c r="J136" s="35"/>
      <c r="K136" s="35"/>
      <c r="L136" s="35"/>
      <c r="M136" s="35"/>
      <c r="N136" s="35"/>
      <c r="O136" s="35"/>
      <c r="P136" s="35"/>
    </row>
    <row r="137" spans="6:16" s="82" customFormat="1">
      <c r="F137" s="83"/>
      <c r="G137" s="3054"/>
      <c r="H137" s="3055"/>
      <c r="I137" s="3054"/>
      <c r="J137" s="35"/>
      <c r="K137" s="35"/>
      <c r="L137" s="35"/>
      <c r="M137" s="35"/>
      <c r="N137" s="35"/>
      <c r="O137" s="35"/>
      <c r="P137" s="35"/>
    </row>
    <row r="138" spans="6:16" s="82" customFormat="1">
      <c r="F138" s="83"/>
      <c r="G138" s="3054"/>
      <c r="H138" s="3055"/>
      <c r="I138" s="3054"/>
      <c r="J138" s="35"/>
      <c r="K138" s="35"/>
      <c r="L138" s="35"/>
      <c r="M138" s="35"/>
      <c r="N138" s="35"/>
      <c r="O138" s="35"/>
      <c r="P138" s="35"/>
    </row>
    <row r="139" spans="6:16" s="82" customFormat="1">
      <c r="F139" s="83"/>
      <c r="G139" s="3054"/>
      <c r="H139" s="3055"/>
      <c r="I139" s="3054"/>
      <c r="J139" s="35"/>
      <c r="K139" s="35"/>
      <c r="L139" s="35"/>
      <c r="M139" s="35"/>
      <c r="N139" s="35"/>
      <c r="O139" s="35"/>
      <c r="P139" s="35"/>
    </row>
    <row r="140" spans="6:16" s="82" customFormat="1">
      <c r="F140" s="83"/>
      <c r="G140" s="3054"/>
      <c r="H140" s="3055"/>
      <c r="I140" s="3054"/>
      <c r="J140" s="35"/>
      <c r="K140" s="35"/>
      <c r="L140" s="35"/>
      <c r="M140" s="35"/>
      <c r="N140" s="35"/>
      <c r="O140" s="35"/>
      <c r="P140" s="35"/>
    </row>
    <row r="141" spans="6:16" s="82" customFormat="1">
      <c r="F141" s="83"/>
      <c r="G141" s="3054"/>
      <c r="H141" s="3055"/>
      <c r="I141" s="3054"/>
      <c r="J141" s="35"/>
      <c r="K141" s="35"/>
      <c r="L141" s="35"/>
      <c r="M141" s="35"/>
      <c r="N141" s="35"/>
      <c r="O141" s="35"/>
      <c r="P141" s="35"/>
    </row>
    <row r="142" spans="6:16" s="82" customFormat="1">
      <c r="F142" s="83"/>
      <c r="G142" s="3054"/>
      <c r="H142" s="3055"/>
      <c r="I142" s="3054"/>
      <c r="J142" s="35"/>
      <c r="K142" s="35"/>
      <c r="L142" s="35"/>
      <c r="M142" s="35"/>
      <c r="N142" s="35"/>
      <c r="O142" s="35"/>
      <c r="P142" s="35"/>
    </row>
    <row r="143" spans="6:16" s="82" customFormat="1">
      <c r="F143" s="83"/>
      <c r="G143" s="3054"/>
      <c r="H143" s="3055"/>
      <c r="I143" s="3054"/>
      <c r="J143" s="35"/>
      <c r="K143" s="35"/>
      <c r="L143" s="35"/>
      <c r="M143" s="35"/>
      <c r="N143" s="35"/>
      <c r="O143" s="35"/>
      <c r="P143" s="35"/>
    </row>
    <row r="144" spans="6:16" s="82" customFormat="1">
      <c r="F144" s="83"/>
      <c r="G144" s="3054"/>
      <c r="H144" s="3055"/>
      <c r="I144" s="3054"/>
      <c r="J144" s="35"/>
      <c r="K144" s="35"/>
      <c r="L144" s="35"/>
      <c r="M144" s="35"/>
      <c r="N144" s="35"/>
      <c r="O144" s="35"/>
      <c r="P144" s="35"/>
    </row>
    <row r="145" spans="6:16" s="82" customFormat="1">
      <c r="F145" s="83"/>
      <c r="G145" s="3054"/>
      <c r="H145" s="3055"/>
      <c r="I145" s="3054"/>
      <c r="J145" s="35"/>
      <c r="K145" s="35"/>
      <c r="L145" s="35"/>
      <c r="M145" s="35"/>
      <c r="N145" s="35"/>
      <c r="O145" s="35"/>
      <c r="P145" s="35"/>
    </row>
    <row r="146" spans="6:16" s="82" customFormat="1">
      <c r="F146" s="83"/>
      <c r="G146" s="3054"/>
      <c r="H146" s="3055"/>
      <c r="I146" s="3054"/>
      <c r="J146" s="35"/>
      <c r="K146" s="35"/>
      <c r="L146" s="35"/>
      <c r="M146" s="35"/>
      <c r="N146" s="35"/>
      <c r="O146" s="35"/>
      <c r="P146" s="35"/>
    </row>
    <row r="147" spans="6:16" s="82" customFormat="1">
      <c r="F147" s="83"/>
      <c r="G147" s="3054"/>
      <c r="H147" s="3055"/>
      <c r="I147" s="3054"/>
      <c r="J147" s="35"/>
      <c r="K147" s="35"/>
      <c r="L147" s="35"/>
      <c r="M147" s="35"/>
      <c r="N147" s="35"/>
      <c r="O147" s="35"/>
      <c r="P147" s="35"/>
    </row>
    <row r="148" spans="6:16" s="82" customFormat="1">
      <c r="F148" s="83"/>
      <c r="G148" s="3054"/>
      <c r="H148" s="3055"/>
      <c r="I148" s="3054"/>
      <c r="J148" s="35"/>
      <c r="K148" s="35"/>
      <c r="L148" s="35"/>
      <c r="M148" s="35"/>
      <c r="N148" s="35"/>
      <c r="O148" s="35"/>
      <c r="P148" s="35"/>
    </row>
    <row r="149" spans="6:16" s="82" customFormat="1">
      <c r="F149" s="83"/>
      <c r="G149" s="3054"/>
      <c r="H149" s="3055"/>
      <c r="I149" s="3054"/>
      <c r="J149" s="35"/>
      <c r="K149" s="35"/>
      <c r="L149" s="35"/>
      <c r="M149" s="35"/>
      <c r="N149" s="35"/>
      <c r="O149" s="35"/>
      <c r="P149" s="35"/>
    </row>
    <row r="150" spans="6:16" s="82" customFormat="1">
      <c r="F150" s="83"/>
      <c r="G150" s="3054"/>
      <c r="H150" s="3055"/>
      <c r="I150" s="3054"/>
      <c r="J150" s="35"/>
      <c r="K150" s="35"/>
      <c r="L150" s="35"/>
      <c r="M150" s="35"/>
      <c r="N150" s="35"/>
      <c r="O150" s="35"/>
      <c r="P150" s="35"/>
    </row>
    <row r="151" spans="6:16" s="82" customFormat="1">
      <c r="F151" s="83"/>
      <c r="G151" s="3054"/>
      <c r="H151" s="3055"/>
      <c r="I151" s="3054"/>
      <c r="J151" s="35"/>
      <c r="K151" s="35"/>
      <c r="L151" s="35"/>
      <c r="M151" s="35"/>
      <c r="N151" s="35"/>
      <c r="O151" s="35"/>
      <c r="P151" s="35"/>
    </row>
    <row r="152" spans="6:16" s="82" customFormat="1">
      <c r="F152" s="83"/>
      <c r="G152" s="3054"/>
      <c r="H152" s="3055"/>
      <c r="I152" s="3054"/>
      <c r="J152" s="35"/>
      <c r="K152" s="35"/>
      <c r="L152" s="35"/>
      <c r="M152" s="35"/>
      <c r="N152" s="35"/>
      <c r="O152" s="35"/>
      <c r="P152" s="35"/>
    </row>
    <row r="153" spans="6:16" s="82" customFormat="1">
      <c r="F153" s="83"/>
      <c r="G153" s="3054"/>
      <c r="H153" s="3055"/>
      <c r="I153" s="3054"/>
      <c r="J153" s="35"/>
      <c r="K153" s="35"/>
      <c r="L153" s="35"/>
      <c r="M153" s="35"/>
      <c r="N153" s="35"/>
      <c r="O153" s="35"/>
      <c r="P153" s="35"/>
    </row>
    <row r="154" spans="6:16" s="82" customFormat="1">
      <c r="F154" s="83"/>
      <c r="G154" s="3054"/>
      <c r="H154" s="3055"/>
      <c r="I154" s="3054"/>
      <c r="J154" s="35"/>
      <c r="K154" s="35"/>
      <c r="L154" s="35"/>
      <c r="M154" s="35"/>
      <c r="N154" s="35"/>
      <c r="O154" s="35"/>
      <c r="P154" s="35"/>
    </row>
    <row r="155" spans="6:16" s="82" customFormat="1">
      <c r="F155" s="83"/>
      <c r="G155" s="3054"/>
      <c r="H155" s="3055"/>
      <c r="I155" s="3054"/>
      <c r="J155" s="35"/>
      <c r="K155" s="35"/>
      <c r="L155" s="35"/>
      <c r="M155" s="35"/>
      <c r="N155" s="35"/>
      <c r="O155" s="35"/>
      <c r="P155" s="35"/>
    </row>
    <row r="156" spans="6:16" s="82" customFormat="1">
      <c r="F156" s="83"/>
      <c r="G156" s="3054"/>
      <c r="H156" s="3055"/>
      <c r="I156" s="3054"/>
      <c r="J156" s="35"/>
      <c r="K156" s="35"/>
      <c r="L156" s="35"/>
      <c r="M156" s="35"/>
      <c r="N156" s="35"/>
      <c r="O156" s="35"/>
      <c r="P156" s="35"/>
    </row>
    <row r="157" spans="6:16" s="82" customFormat="1">
      <c r="F157" s="83"/>
      <c r="G157" s="3054"/>
      <c r="H157" s="3055"/>
      <c r="I157" s="3054"/>
      <c r="J157" s="35"/>
      <c r="K157" s="35"/>
      <c r="L157" s="35"/>
      <c r="M157" s="35"/>
      <c r="N157" s="35"/>
      <c r="O157" s="35"/>
      <c r="P157" s="35"/>
    </row>
    <row r="158" spans="6:16" s="82" customFormat="1">
      <c r="F158" s="83"/>
      <c r="G158" s="3054"/>
      <c r="H158" s="3055"/>
      <c r="I158" s="3054"/>
      <c r="J158" s="35"/>
      <c r="K158" s="35"/>
      <c r="L158" s="35"/>
      <c r="M158" s="35"/>
      <c r="N158" s="35"/>
      <c r="O158" s="35"/>
      <c r="P158" s="35"/>
    </row>
    <row r="159" spans="6:16" s="82" customFormat="1">
      <c r="F159" s="83"/>
      <c r="G159" s="3054"/>
      <c r="H159" s="3055"/>
      <c r="I159" s="3054"/>
      <c r="J159" s="35"/>
      <c r="K159" s="35"/>
      <c r="L159" s="35"/>
      <c r="M159" s="35"/>
      <c r="N159" s="35"/>
      <c r="O159" s="35"/>
      <c r="P159" s="35"/>
    </row>
    <row r="160" spans="6:16" s="82" customFormat="1">
      <c r="F160" s="83"/>
      <c r="G160" s="3054"/>
      <c r="H160" s="3055"/>
      <c r="I160" s="3054"/>
      <c r="J160" s="35"/>
      <c r="K160" s="35"/>
      <c r="L160" s="35"/>
      <c r="M160" s="35"/>
      <c r="N160" s="35"/>
      <c r="O160" s="35"/>
      <c r="P160" s="35"/>
    </row>
    <row r="161" spans="6:16" s="82" customFormat="1">
      <c r="F161" s="83"/>
      <c r="G161" s="3054"/>
      <c r="H161" s="3055"/>
      <c r="I161" s="3054"/>
      <c r="J161" s="35"/>
      <c r="K161" s="35"/>
      <c r="L161" s="35"/>
      <c r="M161" s="35"/>
      <c r="N161" s="35"/>
      <c r="O161" s="35"/>
      <c r="P161" s="35"/>
    </row>
    <row r="162" spans="6:16" s="82" customFormat="1">
      <c r="F162" s="83"/>
      <c r="G162" s="3054"/>
      <c r="H162" s="3055"/>
      <c r="I162" s="3054"/>
      <c r="J162" s="35"/>
      <c r="K162" s="35"/>
      <c r="L162" s="35"/>
      <c r="M162" s="35"/>
      <c r="N162" s="35"/>
      <c r="O162" s="35"/>
      <c r="P162" s="35"/>
    </row>
    <row r="163" spans="6:16" s="82" customFormat="1">
      <c r="F163" s="83"/>
      <c r="G163" s="3054"/>
      <c r="H163" s="3055"/>
      <c r="I163" s="3054"/>
      <c r="J163" s="35"/>
      <c r="K163" s="35"/>
      <c r="L163" s="35"/>
      <c r="M163" s="35"/>
      <c r="N163" s="35"/>
      <c r="O163" s="35"/>
      <c r="P163" s="35"/>
    </row>
    <row r="164" spans="6:16" s="82" customFormat="1">
      <c r="F164" s="83"/>
      <c r="G164" s="3054"/>
      <c r="H164" s="3055"/>
      <c r="I164" s="3054"/>
      <c r="J164" s="35"/>
      <c r="K164" s="35"/>
      <c r="L164" s="35"/>
      <c r="M164" s="35"/>
      <c r="N164" s="35"/>
      <c r="O164" s="35"/>
      <c r="P164" s="35"/>
    </row>
    <row r="165" spans="6:16" s="82" customFormat="1">
      <c r="F165" s="83"/>
      <c r="G165" s="3054"/>
      <c r="H165" s="3055"/>
      <c r="I165" s="3054"/>
      <c r="J165" s="35"/>
      <c r="K165" s="35"/>
      <c r="L165" s="35"/>
      <c r="M165" s="35"/>
      <c r="N165" s="35"/>
      <c r="O165" s="35"/>
      <c r="P165" s="35"/>
    </row>
    <row r="166" spans="6:16" s="82" customFormat="1">
      <c r="F166" s="83"/>
      <c r="G166" s="3054"/>
      <c r="H166" s="3055"/>
      <c r="I166" s="3054"/>
      <c r="J166" s="35"/>
      <c r="K166" s="35"/>
      <c r="L166" s="35"/>
      <c r="M166" s="35"/>
      <c r="N166" s="35"/>
      <c r="O166" s="35"/>
      <c r="P166" s="35"/>
    </row>
    <row r="167" spans="6:16" s="82" customFormat="1">
      <c r="F167" s="83"/>
      <c r="G167" s="3054"/>
      <c r="H167" s="3055"/>
      <c r="I167" s="3054"/>
      <c r="J167" s="35"/>
      <c r="K167" s="35"/>
      <c r="L167" s="35"/>
      <c r="M167" s="35"/>
      <c r="N167" s="35"/>
      <c r="O167" s="35"/>
      <c r="P167" s="35"/>
    </row>
    <row r="168" spans="6:16" s="82" customFormat="1">
      <c r="F168" s="83"/>
      <c r="G168" s="3054"/>
      <c r="H168" s="3055"/>
      <c r="I168" s="3054"/>
      <c r="J168" s="35"/>
      <c r="K168" s="35"/>
      <c r="L168" s="35"/>
      <c r="M168" s="35"/>
      <c r="N168" s="35"/>
      <c r="O168" s="35"/>
      <c r="P168" s="35"/>
    </row>
    <row r="169" spans="6:16" s="82" customFormat="1">
      <c r="F169" s="83"/>
      <c r="G169" s="3054"/>
      <c r="H169" s="3055"/>
      <c r="I169" s="3054"/>
      <c r="J169" s="35"/>
      <c r="K169" s="35"/>
      <c r="L169" s="35"/>
      <c r="M169" s="35"/>
      <c r="N169" s="35"/>
      <c r="O169" s="35"/>
      <c r="P169" s="35"/>
    </row>
    <row r="170" spans="6:16" s="82" customFormat="1">
      <c r="F170" s="83"/>
      <c r="G170" s="3054"/>
      <c r="H170" s="3055"/>
      <c r="I170" s="3054"/>
      <c r="J170" s="35"/>
      <c r="K170" s="35"/>
      <c r="L170" s="35"/>
      <c r="M170" s="35"/>
      <c r="N170" s="35"/>
      <c r="O170" s="35"/>
      <c r="P170" s="35"/>
    </row>
    <row r="171" spans="6:16" s="82" customFormat="1">
      <c r="F171" s="83"/>
      <c r="G171" s="3054"/>
      <c r="H171" s="3055"/>
      <c r="I171" s="3054"/>
      <c r="J171" s="35"/>
      <c r="K171" s="35"/>
      <c r="L171" s="35"/>
      <c r="M171" s="35"/>
      <c r="N171" s="35"/>
      <c r="O171" s="35"/>
      <c r="P171" s="35"/>
    </row>
    <row r="172" spans="6:16" s="82" customFormat="1">
      <c r="F172" s="83"/>
      <c r="G172" s="3054"/>
      <c r="H172" s="3055"/>
      <c r="I172" s="3054"/>
      <c r="J172" s="35"/>
      <c r="K172" s="35"/>
      <c r="L172" s="35"/>
      <c r="M172" s="35"/>
      <c r="N172" s="35"/>
      <c r="O172" s="35"/>
      <c r="P172" s="35"/>
    </row>
    <row r="173" spans="6:16" s="82" customFormat="1">
      <c r="F173" s="83"/>
      <c r="G173" s="3054"/>
      <c r="H173" s="3055"/>
      <c r="I173" s="3054"/>
      <c r="J173" s="35"/>
      <c r="K173" s="35"/>
      <c r="L173" s="35"/>
      <c r="M173" s="35"/>
      <c r="N173" s="35"/>
      <c r="O173" s="35"/>
      <c r="P173" s="35"/>
    </row>
    <row r="174" spans="6:16" s="82" customFormat="1">
      <c r="F174" s="83"/>
      <c r="G174" s="3054"/>
      <c r="H174" s="3055"/>
      <c r="I174" s="3054"/>
      <c r="J174" s="35"/>
      <c r="K174" s="35"/>
      <c r="L174" s="35"/>
      <c r="M174" s="35"/>
      <c r="N174" s="35"/>
      <c r="O174" s="35"/>
      <c r="P174" s="35"/>
    </row>
    <row r="175" spans="6:16" s="82" customFormat="1">
      <c r="F175" s="83"/>
      <c r="G175" s="3054"/>
      <c r="H175" s="3055"/>
      <c r="I175" s="3054"/>
      <c r="J175" s="35"/>
      <c r="K175" s="35"/>
      <c r="L175" s="35"/>
      <c r="M175" s="35"/>
      <c r="N175" s="35"/>
      <c r="O175" s="35"/>
      <c r="P175" s="35"/>
    </row>
    <row r="176" spans="6:16" s="82" customFormat="1">
      <c r="F176" s="83"/>
      <c r="G176" s="3054"/>
      <c r="H176" s="3055"/>
      <c r="I176" s="3054"/>
      <c r="J176" s="35"/>
      <c r="K176" s="35"/>
      <c r="L176" s="35"/>
      <c r="M176" s="35"/>
      <c r="N176" s="35"/>
      <c r="O176" s="35"/>
      <c r="P176" s="35"/>
    </row>
    <row r="177" spans="6:16" s="82" customFormat="1">
      <c r="F177" s="83"/>
      <c r="G177" s="3054"/>
      <c r="H177" s="3055"/>
      <c r="I177" s="3054"/>
      <c r="J177" s="35"/>
      <c r="K177" s="35"/>
      <c r="L177" s="35"/>
      <c r="M177" s="35"/>
      <c r="N177" s="35"/>
      <c r="O177" s="35"/>
      <c r="P177" s="35"/>
    </row>
    <row r="178" spans="6:16" s="82" customFormat="1">
      <c r="F178" s="83"/>
      <c r="G178" s="3054"/>
      <c r="H178" s="3055"/>
      <c r="I178" s="3054"/>
      <c r="J178" s="35"/>
      <c r="K178" s="35"/>
      <c r="L178" s="35"/>
      <c r="M178" s="35"/>
      <c r="N178" s="35"/>
      <c r="O178" s="35"/>
      <c r="P178" s="35"/>
    </row>
    <row r="179" spans="6:16" s="82" customFormat="1">
      <c r="F179" s="83"/>
      <c r="G179" s="3054"/>
      <c r="H179" s="3055"/>
      <c r="I179" s="3054"/>
      <c r="J179" s="35"/>
      <c r="K179" s="35"/>
      <c r="L179" s="35"/>
      <c r="M179" s="35"/>
      <c r="N179" s="35"/>
      <c r="O179" s="35"/>
      <c r="P179" s="35"/>
    </row>
    <row r="180" spans="6:16" s="82" customFormat="1">
      <c r="F180" s="83"/>
      <c r="G180" s="3054"/>
      <c r="H180" s="3055"/>
      <c r="I180" s="3054"/>
      <c r="J180" s="35"/>
      <c r="K180" s="35"/>
      <c r="L180" s="35"/>
      <c r="M180" s="35"/>
      <c r="N180" s="35"/>
      <c r="O180" s="35"/>
      <c r="P180" s="35"/>
    </row>
    <row r="181" spans="6:16" s="82" customFormat="1">
      <c r="F181" s="83"/>
      <c r="G181" s="3054"/>
      <c r="H181" s="3055"/>
      <c r="I181" s="3054"/>
      <c r="J181" s="35"/>
      <c r="K181" s="35"/>
      <c r="L181" s="35"/>
      <c r="M181" s="35"/>
      <c r="N181" s="35"/>
      <c r="O181" s="35"/>
      <c r="P181" s="35"/>
    </row>
    <row r="182" spans="6:16" s="82" customFormat="1">
      <c r="F182" s="83"/>
      <c r="G182" s="3054"/>
      <c r="H182" s="3055"/>
      <c r="I182" s="3054"/>
      <c r="J182" s="35"/>
      <c r="K182" s="35"/>
      <c r="L182" s="35"/>
      <c r="M182" s="35"/>
      <c r="N182" s="35"/>
      <c r="O182" s="35"/>
      <c r="P182" s="35"/>
    </row>
    <row r="183" spans="6:16" s="82" customFormat="1">
      <c r="F183" s="83"/>
      <c r="G183" s="3054"/>
      <c r="H183" s="3055"/>
      <c r="I183" s="3054"/>
      <c r="J183" s="35"/>
      <c r="K183" s="35"/>
      <c r="L183" s="35"/>
      <c r="M183" s="35"/>
      <c r="N183" s="35"/>
      <c r="O183" s="35"/>
      <c r="P183" s="35"/>
    </row>
    <row r="184" spans="6:16" s="82" customFormat="1">
      <c r="F184" s="83"/>
      <c r="G184" s="3054"/>
      <c r="H184" s="3055"/>
      <c r="I184" s="3054"/>
      <c r="J184" s="35"/>
      <c r="K184" s="35"/>
      <c r="L184" s="35"/>
      <c r="M184" s="35"/>
      <c r="N184" s="35"/>
      <c r="O184" s="35"/>
      <c r="P184" s="35"/>
    </row>
    <row r="185" spans="6:16" s="82" customFormat="1">
      <c r="F185" s="83"/>
      <c r="G185" s="3054"/>
      <c r="H185" s="3055"/>
      <c r="I185" s="3054"/>
      <c r="J185" s="35"/>
      <c r="K185" s="35"/>
      <c r="L185" s="35"/>
      <c r="M185" s="35"/>
      <c r="N185" s="35"/>
      <c r="O185" s="35"/>
      <c r="P185" s="35"/>
    </row>
    <row r="186" spans="6:16" s="82" customFormat="1">
      <c r="F186" s="83"/>
      <c r="G186" s="3054"/>
      <c r="H186" s="3055"/>
      <c r="I186" s="3054"/>
      <c r="J186" s="35"/>
      <c r="K186" s="35"/>
      <c r="L186" s="35"/>
      <c r="M186" s="35"/>
      <c r="N186" s="35"/>
      <c r="O186" s="35"/>
      <c r="P186" s="35"/>
    </row>
    <row r="187" spans="6:16" s="82" customFormat="1">
      <c r="F187" s="83"/>
      <c r="G187" s="3054"/>
      <c r="H187" s="3055"/>
      <c r="I187" s="3054"/>
      <c r="J187" s="35"/>
      <c r="K187" s="35"/>
      <c r="L187" s="35"/>
      <c r="M187" s="35"/>
      <c r="N187" s="35"/>
      <c r="O187" s="35"/>
      <c r="P187" s="35"/>
    </row>
    <row r="188" spans="6:16" s="82" customFormat="1">
      <c r="F188" s="83"/>
      <c r="G188" s="3054"/>
      <c r="H188" s="3055"/>
      <c r="I188" s="3054"/>
      <c r="J188" s="35"/>
      <c r="K188" s="35"/>
      <c r="L188" s="35"/>
      <c r="M188" s="35"/>
      <c r="N188" s="35"/>
      <c r="O188" s="35"/>
      <c r="P188" s="35"/>
    </row>
    <row r="189" spans="6:16" s="82" customFormat="1">
      <c r="F189" s="83"/>
      <c r="G189" s="3054"/>
      <c r="H189" s="3055"/>
      <c r="I189" s="3054"/>
      <c r="J189" s="35"/>
      <c r="K189" s="35"/>
      <c r="L189" s="35"/>
      <c r="M189" s="35"/>
      <c r="N189" s="35"/>
      <c r="O189" s="35"/>
      <c r="P189" s="35"/>
    </row>
    <row r="190" spans="6:16" s="82" customFormat="1">
      <c r="F190" s="83"/>
      <c r="G190" s="3054"/>
      <c r="H190" s="3055"/>
      <c r="I190" s="3054"/>
      <c r="J190" s="35"/>
      <c r="K190" s="35"/>
      <c r="L190" s="35"/>
      <c r="M190" s="35"/>
      <c r="N190" s="35"/>
      <c r="O190" s="35"/>
      <c r="P190" s="35"/>
    </row>
    <row r="191" spans="6:16" s="82" customFormat="1">
      <c r="F191" s="83"/>
      <c r="G191" s="3054"/>
      <c r="H191" s="3055"/>
      <c r="I191" s="3054"/>
      <c r="J191" s="35"/>
      <c r="K191" s="35"/>
      <c r="L191" s="35"/>
      <c r="M191" s="35"/>
      <c r="N191" s="35"/>
      <c r="O191" s="35"/>
      <c r="P191" s="35"/>
    </row>
    <row r="192" spans="6:16" s="82" customFormat="1">
      <c r="F192" s="83"/>
      <c r="G192" s="3054"/>
      <c r="H192" s="3055"/>
      <c r="I192" s="3054"/>
      <c r="J192" s="35"/>
      <c r="K192" s="35"/>
      <c r="L192" s="35"/>
      <c r="M192" s="35"/>
      <c r="N192" s="35"/>
      <c r="O192" s="35"/>
      <c r="P192" s="35"/>
    </row>
    <row r="193" spans="6:16" s="82" customFormat="1">
      <c r="F193" s="83"/>
      <c r="G193" s="3054"/>
      <c r="H193" s="3055"/>
      <c r="I193" s="3054"/>
      <c r="J193" s="35"/>
      <c r="K193" s="35"/>
      <c r="L193" s="35"/>
      <c r="M193" s="35"/>
      <c r="N193" s="35"/>
      <c r="O193" s="35"/>
      <c r="P193" s="35"/>
    </row>
    <row r="194" spans="6:16" s="82" customFormat="1">
      <c r="F194" s="83"/>
      <c r="G194" s="3054"/>
      <c r="H194" s="3055"/>
      <c r="I194" s="3054"/>
      <c r="J194" s="35"/>
      <c r="K194" s="35"/>
      <c r="L194" s="35"/>
      <c r="M194" s="35"/>
      <c r="N194" s="35"/>
      <c r="O194" s="35"/>
      <c r="P194" s="35"/>
    </row>
    <row r="195" spans="6:16" s="82" customFormat="1">
      <c r="F195" s="83"/>
      <c r="G195" s="3054"/>
      <c r="H195" s="3055"/>
      <c r="I195" s="3054"/>
      <c r="J195" s="35"/>
      <c r="K195" s="35"/>
      <c r="L195" s="35"/>
      <c r="M195" s="35"/>
      <c r="N195" s="35"/>
      <c r="O195" s="35"/>
      <c r="P195" s="35"/>
    </row>
    <row r="196" spans="6:16" s="82" customFormat="1">
      <c r="F196" s="83"/>
      <c r="G196" s="3054"/>
      <c r="H196" s="3055"/>
      <c r="I196" s="3054"/>
      <c r="J196" s="35"/>
      <c r="K196" s="35"/>
      <c r="L196" s="35"/>
      <c r="M196" s="35"/>
      <c r="N196" s="35"/>
      <c r="O196" s="35"/>
      <c r="P196" s="35"/>
    </row>
    <row r="197" spans="6:16" s="82" customFormat="1">
      <c r="F197" s="83"/>
      <c r="G197" s="3054"/>
      <c r="H197" s="3055"/>
      <c r="I197" s="3054"/>
      <c r="J197" s="35"/>
      <c r="K197" s="35"/>
      <c r="L197" s="35"/>
      <c r="M197" s="35"/>
      <c r="N197" s="35"/>
      <c r="O197" s="35"/>
      <c r="P197" s="35"/>
    </row>
    <row r="198" spans="6:16" s="82" customFormat="1">
      <c r="F198" s="83"/>
      <c r="G198" s="3054"/>
      <c r="H198" s="3055"/>
      <c r="I198" s="3054"/>
      <c r="J198" s="35"/>
      <c r="K198" s="35"/>
      <c r="L198" s="35"/>
      <c r="M198" s="35"/>
      <c r="N198" s="35"/>
      <c r="O198" s="35"/>
      <c r="P198" s="35"/>
    </row>
    <row r="199" spans="6:16" s="82" customFormat="1">
      <c r="F199" s="83"/>
      <c r="G199" s="3054"/>
      <c r="H199" s="3055"/>
      <c r="I199" s="3054"/>
      <c r="J199" s="35"/>
      <c r="K199" s="35"/>
      <c r="L199" s="35"/>
      <c r="M199" s="35"/>
      <c r="N199" s="35"/>
      <c r="O199" s="35"/>
      <c r="P199" s="35"/>
    </row>
    <row r="200" spans="6:16" s="82" customFormat="1">
      <c r="F200" s="83"/>
      <c r="G200" s="3054"/>
      <c r="H200" s="3055"/>
      <c r="I200" s="3054"/>
      <c r="J200" s="35"/>
      <c r="K200" s="35"/>
      <c r="L200" s="35"/>
      <c r="M200" s="35"/>
      <c r="N200" s="35"/>
      <c r="O200" s="35"/>
      <c r="P200" s="35"/>
    </row>
    <row r="201" spans="6:16" s="82" customFormat="1">
      <c r="F201" s="83"/>
      <c r="G201" s="3054"/>
      <c r="H201" s="3055"/>
      <c r="I201" s="3054"/>
      <c r="J201" s="35"/>
      <c r="K201" s="35"/>
      <c r="L201" s="35"/>
      <c r="M201" s="35"/>
      <c r="N201" s="35"/>
      <c r="O201" s="35"/>
      <c r="P201" s="35"/>
    </row>
    <row r="202" spans="6:16" s="82" customFormat="1">
      <c r="F202" s="83"/>
      <c r="G202" s="3054"/>
      <c r="H202" s="3055"/>
      <c r="I202" s="3054"/>
      <c r="J202" s="35"/>
      <c r="K202" s="35"/>
      <c r="L202" s="35"/>
      <c r="M202" s="35"/>
      <c r="N202" s="35"/>
      <c r="O202" s="35"/>
      <c r="P202" s="35"/>
    </row>
    <row r="203" spans="6:16" s="82" customFormat="1">
      <c r="F203" s="83"/>
      <c r="G203" s="3054"/>
      <c r="H203" s="3055"/>
      <c r="I203" s="3054"/>
      <c r="J203" s="35"/>
      <c r="K203" s="35"/>
      <c r="L203" s="35"/>
      <c r="M203" s="35"/>
      <c r="N203" s="35"/>
      <c r="O203" s="35"/>
      <c r="P203" s="35"/>
    </row>
    <row r="204" spans="6:16" s="82" customFormat="1">
      <c r="F204" s="83"/>
      <c r="G204" s="3054"/>
      <c r="H204" s="3055"/>
      <c r="I204" s="3054"/>
      <c r="J204" s="35"/>
      <c r="K204" s="35"/>
      <c r="L204" s="35"/>
      <c r="M204" s="35"/>
      <c r="N204" s="35"/>
      <c r="O204" s="35"/>
      <c r="P204" s="35"/>
    </row>
    <row r="205" spans="6:16" s="82" customFormat="1">
      <c r="F205" s="83"/>
      <c r="G205" s="3054"/>
      <c r="H205" s="3055"/>
      <c r="I205" s="3054"/>
      <c r="J205" s="35"/>
      <c r="K205" s="35"/>
      <c r="L205" s="35"/>
      <c r="M205" s="35"/>
      <c r="N205" s="35"/>
      <c r="O205" s="35"/>
      <c r="P205" s="35"/>
    </row>
    <row r="206" spans="6:16" s="82" customFormat="1">
      <c r="F206" s="83"/>
      <c r="G206" s="3054"/>
      <c r="H206" s="3055"/>
      <c r="I206" s="3054"/>
      <c r="J206" s="35"/>
      <c r="K206" s="35"/>
      <c r="L206" s="35"/>
      <c r="M206" s="35"/>
      <c r="N206" s="35"/>
      <c r="O206" s="35"/>
      <c r="P206" s="35"/>
    </row>
    <row r="207" spans="6:16" s="82" customFormat="1">
      <c r="F207" s="83"/>
      <c r="G207" s="3054"/>
      <c r="H207" s="3055"/>
      <c r="I207" s="3054"/>
      <c r="J207" s="35"/>
      <c r="K207" s="35"/>
      <c r="L207" s="35"/>
      <c r="M207" s="35"/>
      <c r="N207" s="35"/>
      <c r="O207" s="35"/>
      <c r="P207" s="35"/>
    </row>
    <row r="208" spans="6:16" s="82" customFormat="1">
      <c r="F208" s="83"/>
      <c r="G208" s="3054"/>
      <c r="H208" s="3055"/>
      <c r="I208" s="3054"/>
      <c r="J208" s="35"/>
      <c r="K208" s="35"/>
      <c r="L208" s="35"/>
      <c r="M208" s="35"/>
      <c r="N208" s="35"/>
      <c r="O208" s="35"/>
      <c r="P208" s="35"/>
    </row>
    <row r="209" spans="6:16" s="82" customFormat="1">
      <c r="F209" s="83"/>
      <c r="G209" s="3054"/>
      <c r="H209" s="3055"/>
      <c r="I209" s="3054"/>
      <c r="J209" s="35"/>
      <c r="K209" s="35"/>
      <c r="L209" s="35"/>
      <c r="M209" s="35"/>
      <c r="N209" s="35"/>
      <c r="O209" s="35"/>
      <c r="P209" s="35"/>
    </row>
    <row r="210" spans="6:16" s="82" customFormat="1">
      <c r="F210" s="83"/>
      <c r="G210" s="3054"/>
      <c r="H210" s="3055"/>
      <c r="I210" s="3054"/>
      <c r="J210" s="35"/>
      <c r="K210" s="35"/>
      <c r="L210" s="35"/>
      <c r="M210" s="35"/>
      <c r="N210" s="35"/>
      <c r="O210" s="35"/>
      <c r="P210" s="35"/>
    </row>
    <row r="211" spans="6:16" s="82" customFormat="1">
      <c r="F211" s="83"/>
      <c r="G211" s="3054"/>
      <c r="H211" s="3055"/>
      <c r="I211" s="3054"/>
      <c r="J211" s="35"/>
      <c r="K211" s="35"/>
      <c r="L211" s="35"/>
      <c r="M211" s="35"/>
      <c r="N211" s="35"/>
      <c r="O211" s="35"/>
      <c r="P211" s="35"/>
    </row>
    <row r="212" spans="6:16" s="82" customFormat="1">
      <c r="F212" s="83"/>
      <c r="G212" s="3054"/>
      <c r="H212" s="3055"/>
      <c r="I212" s="3054"/>
      <c r="J212" s="35"/>
      <c r="K212" s="35"/>
      <c r="L212" s="35"/>
      <c r="M212" s="35"/>
      <c r="N212" s="35"/>
      <c r="O212" s="35"/>
      <c r="P212" s="35"/>
    </row>
    <row r="213" spans="6:16" s="82" customFormat="1">
      <c r="F213" s="83"/>
      <c r="G213" s="3054"/>
      <c r="H213" s="3055"/>
      <c r="I213" s="3054"/>
      <c r="J213" s="35"/>
      <c r="K213" s="35"/>
      <c r="L213" s="35"/>
      <c r="M213" s="35"/>
      <c r="N213" s="35"/>
      <c r="O213" s="35"/>
      <c r="P213" s="35"/>
    </row>
    <row r="214" spans="6:16" s="82" customFormat="1">
      <c r="F214" s="83"/>
      <c r="G214" s="3054"/>
      <c r="H214" s="3055"/>
      <c r="I214" s="3054"/>
      <c r="J214" s="35"/>
      <c r="K214" s="35"/>
      <c r="L214" s="35"/>
      <c r="M214" s="35"/>
      <c r="N214" s="35"/>
      <c r="O214" s="35"/>
      <c r="P214" s="35"/>
    </row>
    <row r="215" spans="6:16" s="82" customFormat="1">
      <c r="F215" s="83"/>
      <c r="G215" s="3054"/>
      <c r="H215" s="3055"/>
      <c r="I215" s="3054"/>
      <c r="J215" s="35"/>
      <c r="K215" s="35"/>
      <c r="L215" s="35"/>
      <c r="M215" s="35"/>
      <c r="N215" s="35"/>
      <c r="O215" s="35"/>
      <c r="P215" s="35"/>
    </row>
    <row r="216" spans="6:16" s="82" customFormat="1">
      <c r="F216" s="83"/>
      <c r="G216" s="3054"/>
      <c r="H216" s="3055"/>
      <c r="I216" s="3054"/>
      <c r="J216" s="35"/>
      <c r="K216" s="35"/>
      <c r="L216" s="35"/>
      <c r="M216" s="35"/>
      <c r="N216" s="35"/>
      <c r="O216" s="35"/>
      <c r="P216" s="35"/>
    </row>
    <row r="217" spans="6:16" s="82" customFormat="1">
      <c r="F217" s="83"/>
      <c r="G217" s="3054"/>
      <c r="H217" s="3055"/>
      <c r="I217" s="3054"/>
      <c r="J217" s="35"/>
      <c r="K217" s="35"/>
      <c r="L217" s="35"/>
      <c r="M217" s="35"/>
      <c r="N217" s="35"/>
      <c r="O217" s="35"/>
      <c r="P217" s="35"/>
    </row>
    <row r="218" spans="6:16" s="82" customFormat="1">
      <c r="F218" s="83"/>
      <c r="G218" s="3054"/>
      <c r="H218" s="3055"/>
      <c r="I218" s="3054"/>
      <c r="J218" s="35"/>
      <c r="K218" s="35"/>
      <c r="L218" s="35"/>
      <c r="M218" s="35"/>
      <c r="N218" s="35"/>
      <c r="O218" s="35"/>
      <c r="P218" s="35"/>
    </row>
    <row r="219" spans="6:16" s="82" customFormat="1">
      <c r="F219" s="83"/>
      <c r="G219" s="3054"/>
      <c r="H219" s="3055"/>
      <c r="I219" s="3054"/>
      <c r="J219" s="35"/>
      <c r="K219" s="35"/>
      <c r="L219" s="35"/>
      <c r="M219" s="35"/>
      <c r="N219" s="35"/>
      <c r="O219" s="35"/>
      <c r="P219" s="35"/>
    </row>
    <row r="220" spans="6:16" s="82" customFormat="1">
      <c r="F220" s="83"/>
      <c r="G220" s="3054"/>
      <c r="H220" s="3055"/>
      <c r="I220" s="3054"/>
      <c r="J220" s="35"/>
      <c r="K220" s="35"/>
      <c r="L220" s="35"/>
      <c r="M220" s="35"/>
      <c r="N220" s="35"/>
      <c r="O220" s="35"/>
      <c r="P220" s="35"/>
    </row>
    <row r="221" spans="6:16" s="82" customFormat="1">
      <c r="F221" s="83"/>
      <c r="G221" s="3054"/>
      <c r="H221" s="3055"/>
      <c r="I221" s="3054"/>
      <c r="J221" s="35"/>
      <c r="K221" s="35"/>
      <c r="L221" s="35"/>
      <c r="M221" s="35"/>
      <c r="N221" s="35"/>
      <c r="O221" s="35"/>
      <c r="P221" s="35"/>
    </row>
    <row r="222" spans="6:16" s="82" customFormat="1">
      <c r="F222" s="83"/>
      <c r="G222" s="3054"/>
      <c r="H222" s="3055"/>
      <c r="I222" s="3054"/>
      <c r="J222" s="35"/>
      <c r="K222" s="35"/>
      <c r="L222" s="35"/>
      <c r="M222" s="35"/>
      <c r="N222" s="35"/>
      <c r="O222" s="35"/>
      <c r="P222" s="35"/>
    </row>
    <row r="223" spans="6:16" s="82" customFormat="1">
      <c r="F223" s="83"/>
      <c r="G223" s="3054"/>
      <c r="H223" s="3055"/>
      <c r="I223" s="3054"/>
      <c r="J223" s="35"/>
      <c r="K223" s="35"/>
      <c r="L223" s="35"/>
      <c r="M223" s="35"/>
      <c r="N223" s="35"/>
      <c r="O223" s="35"/>
      <c r="P223" s="35"/>
    </row>
    <row r="224" spans="6:16" s="82" customFormat="1">
      <c r="F224" s="83"/>
      <c r="G224" s="3054"/>
      <c r="H224" s="3055"/>
      <c r="I224" s="3054"/>
      <c r="J224" s="35"/>
      <c r="K224" s="35"/>
      <c r="L224" s="35"/>
      <c r="M224" s="35"/>
      <c r="N224" s="35"/>
      <c r="O224" s="35"/>
      <c r="P224" s="35"/>
    </row>
    <row r="225" spans="6:16" s="82" customFormat="1">
      <c r="F225" s="83"/>
      <c r="G225" s="3054"/>
      <c r="H225" s="3055"/>
      <c r="I225" s="3054"/>
      <c r="J225" s="35"/>
      <c r="K225" s="35"/>
      <c r="L225" s="35"/>
      <c r="M225" s="35"/>
      <c r="N225" s="35"/>
      <c r="O225" s="35"/>
      <c r="P225" s="35"/>
    </row>
    <row r="226" spans="6:16" s="82" customFormat="1">
      <c r="F226" s="83"/>
      <c r="G226" s="3054"/>
      <c r="H226" s="3055"/>
      <c r="I226" s="3054"/>
      <c r="J226" s="35"/>
      <c r="K226" s="35"/>
      <c r="L226" s="35"/>
      <c r="M226" s="35"/>
      <c r="N226" s="35"/>
      <c r="O226" s="35"/>
      <c r="P226" s="35"/>
    </row>
    <row r="227" spans="6:16" s="82" customFormat="1">
      <c r="F227" s="83"/>
      <c r="G227" s="3054"/>
      <c r="H227" s="3055"/>
      <c r="I227" s="3054"/>
      <c r="J227" s="35"/>
      <c r="K227" s="35"/>
      <c r="L227" s="35"/>
      <c r="M227" s="35"/>
      <c r="N227" s="35"/>
      <c r="O227" s="35"/>
      <c r="P227" s="35"/>
    </row>
    <row r="228" spans="6:16" s="82" customFormat="1">
      <c r="F228" s="83"/>
      <c r="G228" s="3054"/>
      <c r="H228" s="3055"/>
      <c r="I228" s="3054"/>
      <c r="J228" s="35"/>
      <c r="K228" s="35"/>
      <c r="L228" s="35"/>
      <c r="M228" s="35"/>
      <c r="N228" s="35"/>
      <c r="O228" s="35"/>
      <c r="P228" s="35"/>
    </row>
    <row r="229" spans="6:16" s="82" customFormat="1">
      <c r="F229" s="83"/>
      <c r="G229" s="3054"/>
      <c r="H229" s="3055"/>
      <c r="I229" s="3054"/>
      <c r="J229" s="35"/>
      <c r="K229" s="35"/>
      <c r="L229" s="35"/>
      <c r="M229" s="35"/>
      <c r="N229" s="35"/>
      <c r="O229" s="35"/>
      <c r="P229" s="35"/>
    </row>
    <row r="230" spans="6:16" s="82" customFormat="1">
      <c r="F230" s="83"/>
      <c r="G230" s="3054"/>
      <c r="H230" s="3055"/>
      <c r="I230" s="3054"/>
      <c r="J230" s="35"/>
      <c r="K230" s="35"/>
      <c r="L230" s="35"/>
      <c r="M230" s="35"/>
      <c r="N230" s="35"/>
      <c r="O230" s="35"/>
      <c r="P230" s="35"/>
    </row>
    <row r="231" spans="6:16" s="82" customFormat="1">
      <c r="F231" s="83"/>
      <c r="G231" s="3054"/>
      <c r="H231" s="3055"/>
      <c r="I231" s="3054"/>
      <c r="J231" s="35"/>
      <c r="K231" s="35"/>
      <c r="L231" s="35"/>
      <c r="M231" s="35"/>
      <c r="N231" s="35"/>
      <c r="O231" s="35"/>
      <c r="P231" s="35"/>
    </row>
    <row r="232" spans="6:16" s="82" customFormat="1">
      <c r="F232" s="83"/>
      <c r="G232" s="3054"/>
      <c r="H232" s="3055"/>
      <c r="I232" s="3054"/>
      <c r="J232" s="35"/>
      <c r="K232" s="35"/>
      <c r="L232" s="35"/>
      <c r="M232" s="35"/>
      <c r="N232" s="35"/>
      <c r="O232" s="35"/>
      <c r="P232" s="35"/>
    </row>
    <row r="233" spans="6:16" s="82" customFormat="1">
      <c r="F233" s="83"/>
      <c r="G233" s="3054"/>
      <c r="H233" s="3055"/>
      <c r="I233" s="3054"/>
      <c r="J233" s="35"/>
      <c r="K233" s="35"/>
      <c r="L233" s="35"/>
      <c r="M233" s="35"/>
      <c r="N233" s="35"/>
      <c r="O233" s="35"/>
      <c r="P233" s="35"/>
    </row>
    <row r="234" spans="6:16" s="82" customFormat="1">
      <c r="F234" s="83"/>
      <c r="G234" s="3054"/>
      <c r="H234" s="3055"/>
      <c r="I234" s="3054"/>
      <c r="J234" s="35"/>
      <c r="K234" s="35"/>
      <c r="L234" s="35"/>
      <c r="M234" s="35"/>
      <c r="N234" s="35"/>
      <c r="O234" s="35"/>
      <c r="P234" s="35"/>
    </row>
    <row r="235" spans="6:16" s="82" customFormat="1">
      <c r="F235" s="83"/>
      <c r="G235" s="3054"/>
      <c r="H235" s="3055"/>
      <c r="I235" s="3054"/>
      <c r="J235" s="35"/>
      <c r="K235" s="35"/>
      <c r="L235" s="35"/>
      <c r="M235" s="35"/>
      <c r="N235" s="35"/>
      <c r="O235" s="35"/>
      <c r="P235" s="35"/>
    </row>
    <row r="236" spans="6:16" s="82" customFormat="1">
      <c r="F236" s="83"/>
      <c r="G236" s="3054"/>
      <c r="H236" s="3055"/>
      <c r="I236" s="3054"/>
      <c r="J236" s="35"/>
      <c r="K236" s="35"/>
      <c r="L236" s="35"/>
      <c r="M236" s="35"/>
      <c r="N236" s="35"/>
      <c r="O236" s="35"/>
      <c r="P236" s="35"/>
    </row>
    <row r="237" spans="6:16" s="82" customFormat="1">
      <c r="F237" s="83"/>
      <c r="G237" s="3054"/>
      <c r="H237" s="3055"/>
      <c r="I237" s="3054"/>
      <c r="J237" s="35"/>
      <c r="K237" s="35"/>
      <c r="L237" s="35"/>
      <c r="M237" s="35"/>
      <c r="N237" s="35"/>
      <c r="O237" s="35"/>
      <c r="P237" s="35"/>
    </row>
    <row r="238" spans="6:16" s="82" customFormat="1">
      <c r="F238" s="83"/>
      <c r="G238" s="3054"/>
      <c r="H238" s="3055"/>
      <c r="I238" s="3054"/>
      <c r="J238" s="35"/>
      <c r="K238" s="35"/>
      <c r="L238" s="35"/>
      <c r="M238" s="35"/>
      <c r="N238" s="35"/>
      <c r="O238" s="35"/>
      <c r="P238" s="35"/>
    </row>
    <row r="239" spans="6:16" s="82" customFormat="1">
      <c r="F239" s="83"/>
      <c r="G239" s="3054"/>
      <c r="H239" s="3055"/>
      <c r="I239" s="3054"/>
      <c r="J239" s="35"/>
      <c r="K239" s="35"/>
      <c r="L239" s="35"/>
      <c r="M239" s="35"/>
      <c r="N239" s="35"/>
      <c r="O239" s="35"/>
      <c r="P239" s="35"/>
    </row>
    <row r="240" spans="6:16" s="82" customFormat="1">
      <c r="F240" s="83"/>
      <c r="G240" s="3054"/>
      <c r="H240" s="3055"/>
      <c r="I240" s="3054"/>
      <c r="J240" s="35"/>
      <c r="K240" s="35"/>
      <c r="L240" s="35"/>
      <c r="M240" s="35"/>
      <c r="N240" s="35"/>
      <c r="O240" s="35"/>
      <c r="P240" s="35"/>
    </row>
    <row r="241" spans="6:16" s="82" customFormat="1">
      <c r="F241" s="83"/>
      <c r="G241" s="3054"/>
      <c r="H241" s="3055"/>
      <c r="I241" s="3054"/>
      <c r="J241" s="35"/>
      <c r="K241" s="35"/>
      <c r="L241" s="35"/>
      <c r="M241" s="35"/>
      <c r="N241" s="35"/>
      <c r="O241" s="35"/>
      <c r="P241" s="35"/>
    </row>
    <row r="242" spans="6:16" s="82" customFormat="1">
      <c r="F242" s="83"/>
      <c r="G242" s="3054"/>
      <c r="H242" s="3055"/>
      <c r="I242" s="3054"/>
      <c r="J242" s="35"/>
      <c r="K242" s="35"/>
      <c r="L242" s="35"/>
      <c r="M242" s="35"/>
      <c r="N242" s="35"/>
      <c r="O242" s="35"/>
      <c r="P242" s="35"/>
    </row>
    <row r="243" spans="6:16" s="82" customFormat="1">
      <c r="F243" s="83"/>
      <c r="G243" s="3054"/>
      <c r="H243" s="3055"/>
      <c r="I243" s="3054"/>
      <c r="J243" s="35"/>
      <c r="K243" s="35"/>
      <c r="L243" s="35"/>
      <c r="M243" s="35"/>
      <c r="N243" s="35"/>
      <c r="O243" s="35"/>
      <c r="P243" s="35"/>
    </row>
    <row r="244" spans="6:16" s="82" customFormat="1">
      <c r="F244" s="83"/>
      <c r="G244" s="3054"/>
      <c r="H244" s="3055"/>
      <c r="I244" s="3054"/>
      <c r="J244" s="35"/>
      <c r="K244" s="35"/>
      <c r="L244" s="35"/>
      <c r="M244" s="35"/>
      <c r="N244" s="35"/>
      <c r="O244" s="35"/>
      <c r="P244" s="35"/>
    </row>
    <row r="245" spans="6:16" s="82" customFormat="1">
      <c r="F245" s="83"/>
      <c r="G245" s="3054"/>
      <c r="H245" s="3055"/>
      <c r="I245" s="3054"/>
      <c r="J245" s="35"/>
      <c r="K245" s="35"/>
      <c r="L245" s="35"/>
      <c r="M245" s="35"/>
      <c r="N245" s="35"/>
      <c r="O245" s="35"/>
      <c r="P245" s="35"/>
    </row>
    <row r="246" spans="6:16" s="82" customFormat="1">
      <c r="F246" s="83"/>
      <c r="G246" s="3054"/>
      <c r="H246" s="3055"/>
      <c r="I246" s="3054"/>
      <c r="J246" s="35"/>
      <c r="K246" s="35"/>
      <c r="L246" s="35"/>
      <c r="M246" s="35"/>
      <c r="N246" s="35"/>
      <c r="O246" s="35"/>
      <c r="P246" s="35"/>
    </row>
    <row r="247" spans="6:16" s="82" customFormat="1">
      <c r="F247" s="83"/>
      <c r="G247" s="3054"/>
      <c r="H247" s="3055"/>
      <c r="I247" s="3054"/>
      <c r="J247" s="35"/>
      <c r="K247" s="35"/>
      <c r="L247" s="35"/>
      <c r="M247" s="35"/>
      <c r="N247" s="35"/>
      <c r="O247" s="35"/>
      <c r="P247" s="35"/>
    </row>
    <row r="248" spans="6:16" s="82" customFormat="1">
      <c r="F248" s="83"/>
      <c r="G248" s="3054"/>
      <c r="H248" s="3055"/>
      <c r="I248" s="3054"/>
      <c r="J248" s="35"/>
      <c r="K248" s="35"/>
      <c r="L248" s="35"/>
      <c r="M248" s="35"/>
      <c r="N248" s="35"/>
      <c r="O248" s="35"/>
      <c r="P248" s="35"/>
    </row>
    <row r="249" spans="6:16" s="82" customFormat="1">
      <c r="F249" s="83"/>
      <c r="G249" s="3054"/>
      <c r="H249" s="3055"/>
      <c r="I249" s="3054"/>
      <c r="J249" s="35"/>
      <c r="K249" s="35"/>
      <c r="L249" s="35"/>
      <c r="M249" s="35"/>
      <c r="N249" s="35"/>
      <c r="O249" s="35"/>
      <c r="P249" s="35"/>
    </row>
    <row r="250" spans="6:16" s="82" customFormat="1">
      <c r="F250" s="83"/>
      <c r="G250" s="3054"/>
      <c r="H250" s="3055"/>
      <c r="I250" s="3054"/>
      <c r="J250" s="35"/>
      <c r="K250" s="35"/>
      <c r="L250" s="35"/>
      <c r="M250" s="35"/>
      <c r="N250" s="35"/>
      <c r="O250" s="35"/>
      <c r="P250" s="35"/>
    </row>
    <row r="251" spans="6:16" s="82" customFormat="1">
      <c r="F251" s="83"/>
      <c r="G251" s="3054"/>
      <c r="H251" s="3055"/>
      <c r="I251" s="3054"/>
      <c r="J251" s="35"/>
      <c r="K251" s="35"/>
      <c r="L251" s="35"/>
      <c r="M251" s="35"/>
      <c r="N251" s="35"/>
      <c r="O251" s="35"/>
      <c r="P251" s="35"/>
    </row>
    <row r="252" spans="6:16" s="82" customFormat="1">
      <c r="F252" s="83"/>
      <c r="G252" s="3054"/>
      <c r="H252" s="3055"/>
      <c r="I252" s="3054"/>
      <c r="J252" s="35"/>
      <c r="K252" s="35"/>
      <c r="L252" s="35"/>
      <c r="M252" s="35"/>
      <c r="N252" s="35"/>
      <c r="O252" s="35"/>
      <c r="P252" s="35"/>
    </row>
    <row r="253" spans="6:16" s="82" customFormat="1">
      <c r="F253" s="83"/>
      <c r="G253" s="3054"/>
      <c r="H253" s="3055"/>
      <c r="I253" s="3054"/>
      <c r="J253" s="35"/>
      <c r="K253" s="35"/>
      <c r="L253" s="35"/>
      <c r="M253" s="35"/>
      <c r="N253" s="35"/>
      <c r="O253" s="35"/>
      <c r="P253" s="35"/>
    </row>
    <row r="254" spans="6:16" s="82" customFormat="1">
      <c r="F254" s="83"/>
      <c r="G254" s="3054"/>
      <c r="H254" s="3055"/>
      <c r="I254" s="3054"/>
      <c r="J254" s="35"/>
      <c r="K254" s="35"/>
      <c r="L254" s="35"/>
      <c r="M254" s="35"/>
      <c r="N254" s="35"/>
      <c r="O254" s="35"/>
      <c r="P254" s="35"/>
    </row>
    <row r="255" spans="6:16" s="82" customFormat="1">
      <c r="F255" s="83"/>
      <c r="G255" s="3054"/>
      <c r="H255" s="3055"/>
      <c r="I255" s="3054"/>
      <c r="J255" s="35"/>
      <c r="K255" s="35"/>
      <c r="L255" s="35"/>
      <c r="M255" s="35"/>
      <c r="N255" s="35"/>
      <c r="O255" s="35"/>
      <c r="P255" s="35"/>
    </row>
    <row r="256" spans="6:16" s="82" customFormat="1">
      <c r="F256" s="83"/>
      <c r="G256" s="3054"/>
      <c r="H256" s="3055"/>
      <c r="I256" s="3054"/>
      <c r="J256" s="35"/>
      <c r="K256" s="35"/>
      <c r="L256" s="35"/>
      <c r="M256" s="35"/>
      <c r="N256" s="35"/>
      <c r="O256" s="35"/>
      <c r="P256" s="35"/>
    </row>
    <row r="257" spans="6:16" s="82" customFormat="1">
      <c r="F257" s="83"/>
      <c r="G257" s="3054"/>
      <c r="H257" s="3055"/>
      <c r="I257" s="3054"/>
      <c r="J257" s="35"/>
      <c r="K257" s="35"/>
      <c r="L257" s="35"/>
      <c r="M257" s="35"/>
      <c r="N257" s="35"/>
      <c r="O257" s="35"/>
      <c r="P257" s="35"/>
    </row>
    <row r="258" spans="6:16" s="82" customFormat="1">
      <c r="F258" s="83"/>
      <c r="G258" s="3054"/>
      <c r="H258" s="3055"/>
      <c r="I258" s="3054"/>
      <c r="J258" s="35"/>
      <c r="K258" s="35"/>
      <c r="L258" s="35"/>
      <c r="M258" s="35"/>
      <c r="N258" s="35"/>
      <c r="O258" s="35"/>
      <c r="P258" s="35"/>
    </row>
    <row r="259" spans="6:16" s="82" customFormat="1">
      <c r="F259" s="83"/>
      <c r="G259" s="3054"/>
      <c r="H259" s="3055"/>
      <c r="I259" s="3054"/>
      <c r="J259" s="35"/>
      <c r="K259" s="35"/>
      <c r="L259" s="35"/>
      <c r="M259" s="35"/>
      <c r="N259" s="35"/>
      <c r="O259" s="35"/>
      <c r="P259" s="35"/>
    </row>
    <row r="260" spans="6:16" s="82" customFormat="1">
      <c r="F260" s="83"/>
      <c r="G260" s="3054"/>
      <c r="H260" s="3055"/>
      <c r="I260" s="3054"/>
      <c r="J260" s="35"/>
      <c r="K260" s="35"/>
      <c r="L260" s="35"/>
      <c r="M260" s="35"/>
      <c r="N260" s="35"/>
      <c r="O260" s="35"/>
      <c r="P260" s="35"/>
    </row>
    <row r="261" spans="6:16" s="82" customFormat="1">
      <c r="F261" s="83"/>
      <c r="G261" s="3054"/>
      <c r="H261" s="3055"/>
      <c r="I261" s="3054"/>
      <c r="J261" s="35"/>
      <c r="K261" s="35"/>
      <c r="L261" s="35"/>
      <c r="M261" s="35"/>
      <c r="N261" s="35"/>
      <c r="O261" s="35"/>
      <c r="P261" s="35"/>
    </row>
    <row r="262" spans="6:16" s="82" customFormat="1">
      <c r="F262" s="83"/>
      <c r="G262" s="3054"/>
      <c r="H262" s="3055"/>
      <c r="I262" s="3054"/>
      <c r="J262" s="35"/>
      <c r="K262" s="35"/>
      <c r="L262" s="35"/>
      <c r="M262" s="35"/>
      <c r="N262" s="35"/>
      <c r="O262" s="35"/>
      <c r="P262" s="35"/>
    </row>
    <row r="263" spans="6:16" s="82" customFormat="1">
      <c r="F263" s="83"/>
      <c r="G263" s="3054"/>
      <c r="H263" s="3055"/>
      <c r="I263" s="3054"/>
      <c r="J263" s="35"/>
      <c r="K263" s="35"/>
      <c r="L263" s="35"/>
      <c r="M263" s="35"/>
      <c r="N263" s="35"/>
      <c r="O263" s="35"/>
      <c r="P263" s="35"/>
    </row>
    <row r="264" spans="6:16" s="82" customFormat="1">
      <c r="F264" s="83"/>
      <c r="G264" s="3054"/>
      <c r="H264" s="3055"/>
      <c r="I264" s="3054"/>
      <c r="J264" s="35"/>
      <c r="K264" s="35"/>
      <c r="L264" s="35"/>
      <c r="M264" s="35"/>
      <c r="N264" s="35"/>
      <c r="O264" s="35"/>
      <c r="P264" s="35"/>
    </row>
    <row r="265" spans="6:16" s="82" customFormat="1">
      <c r="F265" s="83"/>
      <c r="G265" s="3054"/>
      <c r="H265" s="3055"/>
      <c r="I265" s="3054"/>
      <c r="J265" s="35"/>
      <c r="K265" s="35"/>
      <c r="L265" s="35"/>
      <c r="M265" s="35"/>
      <c r="N265" s="35"/>
      <c r="O265" s="35"/>
      <c r="P265" s="35"/>
    </row>
    <row r="266" spans="6:16" s="82" customFormat="1">
      <c r="F266" s="83"/>
      <c r="G266" s="3054"/>
      <c r="H266" s="3055"/>
      <c r="I266" s="3054"/>
      <c r="J266" s="35"/>
      <c r="K266" s="35"/>
      <c r="L266" s="35"/>
      <c r="M266" s="35"/>
      <c r="N266" s="35"/>
      <c r="O266" s="35"/>
      <c r="P266" s="35"/>
    </row>
    <row r="267" spans="6:16" s="82" customFormat="1">
      <c r="F267" s="83"/>
      <c r="G267" s="3054"/>
      <c r="H267" s="3055"/>
      <c r="I267" s="3054"/>
      <c r="J267" s="35"/>
      <c r="K267" s="35"/>
      <c r="L267" s="35"/>
      <c r="M267" s="35"/>
      <c r="N267" s="35"/>
      <c r="O267" s="35"/>
      <c r="P267" s="35"/>
    </row>
    <row r="268" spans="6:16" s="82" customFormat="1">
      <c r="F268" s="83"/>
      <c r="G268" s="3054"/>
      <c r="H268" s="3055"/>
      <c r="I268" s="3054"/>
      <c r="J268" s="35"/>
      <c r="K268" s="35"/>
      <c r="L268" s="35"/>
      <c r="M268" s="35"/>
      <c r="N268" s="35"/>
      <c r="O268" s="35"/>
      <c r="P268" s="35"/>
    </row>
    <row r="269" spans="6:16" s="82" customFormat="1">
      <c r="F269" s="83"/>
      <c r="G269" s="3054"/>
      <c r="H269" s="3055"/>
      <c r="I269" s="3054"/>
      <c r="J269" s="35"/>
      <c r="K269" s="35"/>
      <c r="L269" s="35"/>
      <c r="M269" s="35"/>
      <c r="N269" s="35"/>
      <c r="O269" s="35"/>
      <c r="P269" s="35"/>
    </row>
    <row r="270" spans="6:16" s="82" customFormat="1">
      <c r="F270" s="83"/>
      <c r="G270" s="3054"/>
      <c r="H270" s="3055"/>
      <c r="I270" s="3054"/>
      <c r="J270" s="35"/>
      <c r="K270" s="35"/>
      <c r="L270" s="35"/>
      <c r="M270" s="35"/>
      <c r="N270" s="35"/>
      <c r="O270" s="35"/>
      <c r="P270" s="35"/>
    </row>
    <row r="271" spans="6:16" s="82" customFormat="1">
      <c r="F271" s="83"/>
      <c r="G271" s="3054"/>
      <c r="H271" s="3055"/>
      <c r="I271" s="3054"/>
      <c r="J271" s="35"/>
      <c r="K271" s="35"/>
      <c r="L271" s="35"/>
      <c r="M271" s="35"/>
      <c r="N271" s="35"/>
      <c r="O271" s="35"/>
      <c r="P271" s="35"/>
    </row>
    <row r="272" spans="6:16" s="82" customFormat="1">
      <c r="F272" s="83"/>
      <c r="G272" s="3054"/>
      <c r="H272" s="3055"/>
      <c r="I272" s="3054"/>
      <c r="J272" s="35"/>
      <c r="K272" s="35"/>
      <c r="L272" s="35"/>
      <c r="M272" s="35"/>
      <c r="N272" s="35"/>
      <c r="O272" s="35"/>
      <c r="P272" s="35"/>
    </row>
    <row r="273" spans="6:16" s="82" customFormat="1">
      <c r="F273" s="83"/>
      <c r="G273" s="3054"/>
      <c r="H273" s="3055"/>
      <c r="I273" s="3054"/>
      <c r="J273" s="35"/>
      <c r="K273" s="35"/>
      <c r="L273" s="35"/>
      <c r="M273" s="35"/>
      <c r="N273" s="35"/>
      <c r="O273" s="35"/>
      <c r="P273" s="35"/>
    </row>
    <row r="274" spans="6:16" s="82" customFormat="1">
      <c r="F274" s="83"/>
      <c r="G274" s="3054"/>
      <c r="H274" s="3055"/>
      <c r="I274" s="3054"/>
      <c r="J274" s="35"/>
      <c r="K274" s="35"/>
      <c r="L274" s="35"/>
      <c r="M274" s="35"/>
      <c r="N274" s="35"/>
      <c r="O274" s="35"/>
      <c r="P274" s="35"/>
    </row>
    <row r="275" spans="6:16" s="82" customFormat="1">
      <c r="F275" s="83"/>
      <c r="G275" s="3054"/>
      <c r="H275" s="3055"/>
      <c r="I275" s="3054"/>
      <c r="J275" s="35"/>
      <c r="K275" s="35"/>
      <c r="L275" s="35"/>
      <c r="M275" s="35"/>
      <c r="N275" s="35"/>
      <c r="O275" s="35"/>
      <c r="P275" s="35"/>
    </row>
    <row r="276" spans="6:16" s="82" customFormat="1">
      <c r="F276" s="83"/>
      <c r="G276" s="3054"/>
      <c r="H276" s="3055"/>
      <c r="I276" s="3054"/>
      <c r="J276" s="35"/>
      <c r="K276" s="35"/>
      <c r="L276" s="35"/>
      <c r="M276" s="35"/>
      <c r="N276" s="35"/>
      <c r="O276" s="35"/>
      <c r="P276" s="35"/>
    </row>
    <row r="277" spans="6:16" s="82" customFormat="1">
      <c r="F277" s="83"/>
      <c r="G277" s="3054"/>
      <c r="H277" s="3055"/>
      <c r="I277" s="3054"/>
      <c r="J277" s="35"/>
      <c r="K277" s="35"/>
      <c r="L277" s="35"/>
      <c r="M277" s="35"/>
      <c r="N277" s="35"/>
      <c r="O277" s="35"/>
      <c r="P277" s="35"/>
    </row>
    <row r="278" spans="6:16" s="82" customFormat="1">
      <c r="F278" s="83"/>
      <c r="G278" s="3054"/>
      <c r="H278" s="3055"/>
      <c r="I278" s="3054"/>
      <c r="J278" s="35"/>
      <c r="K278" s="35"/>
      <c r="L278" s="35"/>
      <c r="M278" s="35"/>
      <c r="N278" s="35"/>
      <c r="O278" s="35"/>
      <c r="P278" s="35"/>
    </row>
    <row r="279" spans="6:16" s="82" customFormat="1">
      <c r="F279" s="83"/>
      <c r="G279" s="3054"/>
      <c r="H279" s="3055"/>
      <c r="I279" s="3054"/>
      <c r="J279" s="35"/>
      <c r="K279" s="35"/>
      <c r="L279" s="35"/>
      <c r="M279" s="35"/>
      <c r="N279" s="35"/>
      <c r="O279" s="35"/>
      <c r="P279" s="35"/>
    </row>
    <row r="280" spans="6:16" s="82" customFormat="1">
      <c r="F280" s="83"/>
      <c r="G280" s="3054"/>
      <c r="H280" s="3055"/>
      <c r="I280" s="3054"/>
      <c r="J280" s="35"/>
      <c r="K280" s="35"/>
      <c r="L280" s="35"/>
      <c r="M280" s="35"/>
      <c r="N280" s="35"/>
      <c r="O280" s="35"/>
      <c r="P280" s="35"/>
    </row>
    <row r="281" spans="6:16" s="82" customFormat="1">
      <c r="F281" s="83"/>
      <c r="G281" s="3054"/>
      <c r="H281" s="3055"/>
      <c r="I281" s="3054"/>
      <c r="J281" s="35"/>
      <c r="K281" s="35"/>
      <c r="L281" s="35"/>
      <c r="M281" s="35"/>
      <c r="N281" s="35"/>
      <c r="O281" s="35"/>
      <c r="P281" s="35"/>
    </row>
    <row r="282" spans="6:16" s="82" customFormat="1">
      <c r="F282" s="83"/>
      <c r="G282" s="3054"/>
      <c r="H282" s="3055"/>
      <c r="I282" s="3054"/>
      <c r="J282" s="35"/>
      <c r="K282" s="35"/>
      <c r="L282" s="35"/>
      <c r="M282" s="35"/>
      <c r="N282" s="35"/>
      <c r="O282" s="35"/>
      <c r="P282" s="35"/>
    </row>
    <row r="283" spans="6:16" s="82" customFormat="1">
      <c r="F283" s="83"/>
      <c r="G283" s="3054"/>
      <c r="H283" s="3055"/>
      <c r="I283" s="3054"/>
      <c r="J283" s="35"/>
      <c r="K283" s="35"/>
      <c r="L283" s="35"/>
      <c r="M283" s="35"/>
      <c r="N283" s="35"/>
      <c r="O283" s="35"/>
      <c r="P283" s="35"/>
    </row>
    <row r="284" spans="6:16" s="82" customFormat="1">
      <c r="F284" s="83"/>
      <c r="G284" s="3054"/>
      <c r="H284" s="3055"/>
      <c r="I284" s="3054"/>
      <c r="J284" s="35"/>
      <c r="K284" s="35"/>
      <c r="L284" s="35"/>
      <c r="M284" s="35"/>
      <c r="N284" s="35"/>
      <c r="O284" s="35"/>
      <c r="P284" s="35"/>
    </row>
    <row r="285" spans="6:16" s="82" customFormat="1">
      <c r="F285" s="83"/>
      <c r="G285" s="3054"/>
      <c r="H285" s="3055"/>
      <c r="I285" s="3054"/>
      <c r="J285" s="35"/>
      <c r="K285" s="35"/>
      <c r="L285" s="35"/>
      <c r="M285" s="35"/>
      <c r="N285" s="35"/>
      <c r="O285" s="35"/>
      <c r="P285" s="35"/>
    </row>
    <row r="286" spans="6:16" s="82" customFormat="1">
      <c r="F286" s="83"/>
      <c r="G286" s="3054"/>
      <c r="H286" s="3055"/>
      <c r="I286" s="3054"/>
      <c r="J286" s="35"/>
      <c r="K286" s="35"/>
      <c r="L286" s="35"/>
      <c r="M286" s="35"/>
      <c r="N286" s="35"/>
      <c r="O286" s="35"/>
      <c r="P286" s="35"/>
    </row>
    <row r="287" spans="6:16" s="82" customFormat="1">
      <c r="F287" s="83"/>
      <c r="G287" s="3054"/>
      <c r="H287" s="3055"/>
      <c r="I287" s="3054"/>
      <c r="J287" s="35"/>
      <c r="K287" s="35"/>
      <c r="L287" s="35"/>
      <c r="M287" s="35"/>
      <c r="N287" s="35"/>
      <c r="O287" s="35"/>
      <c r="P287" s="35"/>
    </row>
    <row r="288" spans="6:16" s="82" customFormat="1">
      <c r="F288" s="83"/>
      <c r="G288" s="3054"/>
      <c r="H288" s="3055"/>
      <c r="I288" s="3054"/>
      <c r="J288" s="35"/>
      <c r="K288" s="35"/>
      <c r="L288" s="35"/>
      <c r="M288" s="35"/>
      <c r="N288" s="35"/>
      <c r="O288" s="35"/>
      <c r="P288" s="35"/>
    </row>
    <row r="289" spans="6:16" s="82" customFormat="1">
      <c r="F289" s="83"/>
      <c r="G289" s="3054"/>
      <c r="H289" s="3055"/>
      <c r="I289" s="3054"/>
      <c r="J289" s="35"/>
      <c r="K289" s="35"/>
      <c r="L289" s="35"/>
      <c r="M289" s="35"/>
      <c r="N289" s="35"/>
      <c r="O289" s="35"/>
      <c r="P289" s="35"/>
    </row>
    <row r="290" spans="6:16" s="82" customFormat="1">
      <c r="F290" s="83"/>
      <c r="G290" s="3054"/>
      <c r="H290" s="3055"/>
      <c r="I290" s="3054"/>
      <c r="J290" s="35"/>
      <c r="K290" s="35"/>
      <c r="L290" s="35"/>
      <c r="M290" s="35"/>
      <c r="N290" s="35"/>
      <c r="O290" s="35"/>
      <c r="P290" s="35"/>
    </row>
    <row r="291" spans="6:16" s="82" customFormat="1">
      <c r="F291" s="83"/>
      <c r="G291" s="3054"/>
      <c r="H291" s="3055"/>
      <c r="I291" s="3054"/>
      <c r="J291" s="35"/>
      <c r="K291" s="35"/>
      <c r="L291" s="35"/>
      <c r="M291" s="35"/>
      <c r="N291" s="35"/>
      <c r="O291" s="35"/>
      <c r="P291" s="35"/>
    </row>
    <row r="292" spans="6:16" s="82" customFormat="1">
      <c r="F292" s="83"/>
      <c r="G292" s="3054"/>
      <c r="H292" s="3055"/>
      <c r="I292" s="3054"/>
      <c r="J292" s="35"/>
      <c r="K292" s="35"/>
      <c r="L292" s="35"/>
      <c r="M292" s="35"/>
      <c r="N292" s="35"/>
      <c r="O292" s="35"/>
      <c r="P292" s="35"/>
    </row>
    <row r="293" spans="6:16" s="82" customFormat="1">
      <c r="F293" s="83"/>
      <c r="G293" s="3054"/>
      <c r="H293" s="3055"/>
      <c r="I293" s="3054"/>
      <c r="J293" s="35"/>
      <c r="K293" s="35"/>
      <c r="L293" s="35"/>
      <c r="M293" s="35"/>
      <c r="N293" s="35"/>
      <c r="O293" s="35"/>
      <c r="P293" s="35"/>
    </row>
    <row r="294" spans="6:16" s="82" customFormat="1">
      <c r="F294" s="83"/>
      <c r="G294" s="3054"/>
      <c r="H294" s="3055"/>
      <c r="I294" s="3054"/>
      <c r="J294" s="35"/>
      <c r="K294" s="35"/>
      <c r="L294" s="35"/>
      <c r="M294" s="35"/>
      <c r="N294" s="35"/>
      <c r="O294" s="35"/>
      <c r="P294" s="35"/>
    </row>
    <row r="295" spans="6:16" s="82" customFormat="1">
      <c r="F295" s="83"/>
      <c r="G295" s="3054"/>
      <c r="H295" s="3055"/>
      <c r="I295" s="3054"/>
      <c r="J295" s="35"/>
      <c r="K295" s="35"/>
      <c r="L295" s="35"/>
      <c r="M295" s="35"/>
      <c r="N295" s="35"/>
      <c r="O295" s="35"/>
      <c r="P295" s="35"/>
    </row>
    <row r="296" spans="6:16" s="82" customFormat="1">
      <c r="F296" s="83"/>
      <c r="G296" s="3054"/>
      <c r="H296" s="3055"/>
      <c r="I296" s="3054"/>
      <c r="J296" s="35"/>
      <c r="K296" s="35"/>
      <c r="L296" s="35"/>
      <c r="M296" s="35"/>
      <c r="N296" s="35"/>
      <c r="O296" s="35"/>
      <c r="P296" s="35"/>
    </row>
    <row r="297" spans="6:16" s="82" customFormat="1">
      <c r="F297" s="83"/>
      <c r="G297" s="3054"/>
      <c r="H297" s="3055"/>
      <c r="I297" s="3054"/>
      <c r="J297" s="35"/>
      <c r="K297" s="35"/>
      <c r="L297" s="35"/>
      <c r="M297" s="35"/>
      <c r="N297" s="35"/>
      <c r="O297" s="35"/>
      <c r="P297" s="35"/>
    </row>
    <row r="298" spans="6:16" s="82" customFormat="1">
      <c r="F298" s="83"/>
      <c r="G298" s="3054"/>
      <c r="H298" s="3055"/>
      <c r="I298" s="3054"/>
      <c r="J298" s="35"/>
      <c r="K298" s="35"/>
      <c r="L298" s="35"/>
      <c r="M298" s="35"/>
      <c r="N298" s="35"/>
      <c r="O298" s="35"/>
      <c r="P298" s="35"/>
    </row>
    <row r="299" spans="6:16" s="82" customFormat="1">
      <c r="F299" s="83"/>
      <c r="G299" s="3054"/>
      <c r="H299" s="3055"/>
      <c r="I299" s="3054"/>
      <c r="J299" s="35"/>
      <c r="K299" s="35"/>
      <c r="L299" s="35"/>
      <c r="M299" s="35"/>
      <c r="N299" s="35"/>
      <c r="O299" s="35"/>
      <c r="P299" s="35"/>
    </row>
    <row r="300" spans="6:16" s="82" customFormat="1">
      <c r="F300" s="83"/>
      <c r="G300" s="3054"/>
      <c r="H300" s="3055"/>
      <c r="I300" s="3054"/>
      <c r="J300" s="35"/>
      <c r="K300" s="35"/>
      <c r="L300" s="35"/>
      <c r="M300" s="35"/>
      <c r="N300" s="35"/>
      <c r="O300" s="35"/>
      <c r="P300" s="35"/>
    </row>
    <row r="301" spans="6:16" s="82" customFormat="1">
      <c r="F301" s="83"/>
      <c r="G301" s="3054"/>
      <c r="H301" s="3055"/>
      <c r="I301" s="3054"/>
      <c r="J301" s="35"/>
      <c r="K301" s="35"/>
      <c r="L301" s="35"/>
      <c r="M301" s="35"/>
      <c r="N301" s="35"/>
      <c r="O301" s="35"/>
      <c r="P301" s="35"/>
    </row>
    <row r="302" spans="6:16" s="82" customFormat="1">
      <c r="F302" s="83"/>
      <c r="G302" s="3054"/>
      <c r="H302" s="3055"/>
      <c r="I302" s="3054"/>
      <c r="J302" s="35"/>
      <c r="K302" s="35"/>
      <c r="L302" s="35"/>
      <c r="M302" s="35"/>
      <c r="N302" s="35"/>
      <c r="O302" s="35"/>
      <c r="P302" s="35"/>
    </row>
    <row r="303" spans="6:16" s="82" customFormat="1">
      <c r="F303" s="83"/>
      <c r="G303" s="3054"/>
      <c r="H303" s="3055"/>
      <c r="I303" s="3054"/>
      <c r="J303" s="35"/>
      <c r="K303" s="35"/>
      <c r="L303" s="35"/>
      <c r="M303" s="35"/>
      <c r="N303" s="35"/>
      <c r="O303" s="35"/>
      <c r="P303" s="35"/>
    </row>
    <row r="304" spans="6:16" s="82" customFormat="1">
      <c r="F304" s="83"/>
      <c r="G304" s="3054"/>
      <c r="H304" s="3055"/>
      <c r="I304" s="3054"/>
      <c r="J304" s="35"/>
      <c r="K304" s="35"/>
      <c r="L304" s="35"/>
      <c r="M304" s="35"/>
      <c r="N304" s="35"/>
      <c r="O304" s="35"/>
      <c r="P304" s="35"/>
    </row>
    <row r="305" spans="6:16" s="82" customFormat="1">
      <c r="F305" s="83"/>
      <c r="G305" s="3054"/>
      <c r="H305" s="3055"/>
      <c r="I305" s="3054"/>
      <c r="J305" s="35"/>
      <c r="K305" s="35"/>
      <c r="L305" s="35"/>
      <c r="M305" s="35"/>
      <c r="N305" s="35"/>
      <c r="O305" s="35"/>
      <c r="P305" s="35"/>
    </row>
    <row r="306" spans="6:16" s="82" customFormat="1">
      <c r="F306" s="83"/>
      <c r="G306" s="3054"/>
      <c r="H306" s="3055"/>
      <c r="I306" s="3054"/>
      <c r="J306" s="35"/>
      <c r="K306" s="35"/>
      <c r="L306" s="35"/>
      <c r="M306" s="35"/>
      <c r="N306" s="35"/>
      <c r="O306" s="35"/>
      <c r="P306" s="35"/>
    </row>
    <row r="307" spans="6:16" s="82" customFormat="1">
      <c r="F307" s="83"/>
      <c r="G307" s="3054"/>
      <c r="H307" s="3055"/>
      <c r="I307" s="3054"/>
      <c r="J307" s="35"/>
      <c r="K307" s="35"/>
      <c r="L307" s="35"/>
      <c r="M307" s="35"/>
      <c r="N307" s="35"/>
      <c r="O307" s="35"/>
      <c r="P307" s="35"/>
    </row>
    <row r="308" spans="6:16" s="82" customFormat="1">
      <c r="F308" s="83"/>
      <c r="G308" s="3054"/>
      <c r="H308" s="3055"/>
      <c r="I308" s="3054"/>
      <c r="J308" s="35"/>
      <c r="K308" s="35"/>
      <c r="L308" s="35"/>
      <c r="M308" s="35"/>
      <c r="N308" s="35"/>
      <c r="O308" s="35"/>
      <c r="P308" s="35"/>
    </row>
    <row r="309" spans="6:16" s="82" customFormat="1">
      <c r="F309" s="83"/>
      <c r="G309" s="3054"/>
      <c r="H309" s="3055"/>
      <c r="I309" s="3054"/>
      <c r="J309" s="35"/>
      <c r="K309" s="35"/>
      <c r="L309" s="35"/>
      <c r="M309" s="35"/>
      <c r="N309" s="35"/>
      <c r="O309" s="35"/>
      <c r="P309" s="35"/>
    </row>
    <row r="310" spans="6:16" s="82" customFormat="1">
      <c r="F310" s="83"/>
      <c r="G310" s="3054"/>
      <c r="H310" s="3055"/>
      <c r="I310" s="3054"/>
      <c r="J310" s="35"/>
      <c r="K310" s="35"/>
      <c r="L310" s="35"/>
      <c r="M310" s="35"/>
      <c r="N310" s="35"/>
      <c r="O310" s="35"/>
      <c r="P310" s="35"/>
    </row>
    <row r="311" spans="6:16" s="82" customFormat="1">
      <c r="F311" s="83"/>
      <c r="G311" s="3054"/>
      <c r="H311" s="3055"/>
      <c r="I311" s="3054"/>
      <c r="J311" s="35"/>
      <c r="K311" s="35"/>
      <c r="L311" s="35"/>
      <c r="M311" s="35"/>
      <c r="N311" s="35"/>
      <c r="O311" s="35"/>
      <c r="P311" s="35"/>
    </row>
    <row r="312" spans="6:16" s="82" customFormat="1">
      <c r="F312" s="83"/>
      <c r="G312" s="3054"/>
      <c r="H312" s="3055"/>
      <c r="I312" s="3054"/>
      <c r="J312" s="35"/>
      <c r="K312" s="35"/>
      <c r="L312" s="35"/>
      <c r="M312" s="35"/>
      <c r="N312" s="35"/>
      <c r="O312" s="35"/>
      <c r="P312" s="35"/>
    </row>
    <row r="313" spans="6:16" s="82" customFormat="1">
      <c r="F313" s="83"/>
      <c r="G313" s="3054"/>
      <c r="H313" s="3055"/>
      <c r="I313" s="3054"/>
      <c r="J313" s="35"/>
      <c r="K313" s="35"/>
      <c r="L313" s="35"/>
      <c r="M313" s="35"/>
      <c r="N313" s="35"/>
      <c r="O313" s="35"/>
      <c r="P313" s="35"/>
    </row>
    <row r="314" spans="6:16" s="82" customFormat="1">
      <c r="F314" s="83"/>
      <c r="G314" s="3054"/>
      <c r="H314" s="3055"/>
      <c r="I314" s="3054"/>
      <c r="J314" s="35"/>
      <c r="K314" s="35"/>
      <c r="L314" s="35"/>
      <c r="M314" s="35"/>
      <c r="N314" s="35"/>
      <c r="O314" s="35"/>
      <c r="P314" s="35"/>
    </row>
    <row r="315" spans="6:16" s="82" customFormat="1">
      <c r="F315" s="83"/>
      <c r="G315" s="3054"/>
      <c r="H315" s="3055"/>
      <c r="I315" s="3054"/>
      <c r="J315" s="35"/>
      <c r="K315" s="35"/>
      <c r="L315" s="35"/>
      <c r="M315" s="35"/>
      <c r="N315" s="35"/>
      <c r="O315" s="35"/>
      <c r="P315" s="35"/>
    </row>
    <row r="316" spans="6:16" s="82" customFormat="1">
      <c r="F316" s="83"/>
      <c r="G316" s="3054"/>
      <c r="H316" s="3055"/>
      <c r="I316" s="3054"/>
      <c r="J316" s="35"/>
      <c r="K316" s="35"/>
      <c r="L316" s="35"/>
      <c r="M316" s="35"/>
      <c r="N316" s="35"/>
      <c r="O316" s="35"/>
      <c r="P316" s="35"/>
    </row>
    <row r="317" spans="6:16" s="82" customFormat="1">
      <c r="F317" s="83"/>
      <c r="G317" s="3054"/>
      <c r="H317" s="3055"/>
      <c r="I317" s="3054"/>
      <c r="J317" s="35"/>
      <c r="K317" s="35"/>
      <c r="L317" s="35"/>
      <c r="M317" s="35"/>
      <c r="N317" s="35"/>
      <c r="O317" s="35"/>
      <c r="P317" s="35"/>
    </row>
    <row r="318" spans="6:16" s="82" customFormat="1">
      <c r="F318" s="83"/>
      <c r="G318" s="3054"/>
      <c r="H318" s="3055"/>
      <c r="I318" s="3054"/>
      <c r="J318" s="35"/>
      <c r="K318" s="35"/>
      <c r="L318" s="35"/>
      <c r="M318" s="35"/>
      <c r="N318" s="35"/>
      <c r="O318" s="35"/>
      <c r="P318" s="35"/>
    </row>
    <row r="319" spans="6:16" s="82" customFormat="1">
      <c r="F319" s="83"/>
      <c r="G319" s="3054"/>
      <c r="H319" s="3055"/>
      <c r="I319" s="3054"/>
      <c r="J319" s="35"/>
      <c r="K319" s="35"/>
      <c r="L319" s="35"/>
      <c r="M319" s="35"/>
      <c r="N319" s="35"/>
      <c r="O319" s="35"/>
      <c r="P319" s="35"/>
    </row>
    <row r="320" spans="6:16" s="82" customFormat="1">
      <c r="F320" s="83"/>
      <c r="G320" s="3054"/>
      <c r="H320" s="3055"/>
      <c r="I320" s="3054"/>
      <c r="J320" s="35"/>
      <c r="K320" s="35"/>
      <c r="L320" s="35"/>
      <c r="M320" s="35"/>
      <c r="N320" s="35"/>
      <c r="O320" s="35"/>
      <c r="P320" s="35"/>
    </row>
    <row r="321" spans="6:16" s="82" customFormat="1">
      <c r="F321" s="83"/>
      <c r="G321" s="3054"/>
      <c r="H321" s="3055"/>
      <c r="I321" s="3054"/>
      <c r="J321" s="35"/>
      <c r="K321" s="35"/>
      <c r="L321" s="35"/>
      <c r="M321" s="35"/>
      <c r="N321" s="35"/>
      <c r="O321" s="35"/>
      <c r="P321" s="35"/>
    </row>
    <row r="322" spans="6:16" s="82" customFormat="1">
      <c r="F322" s="83"/>
      <c r="G322" s="3054"/>
      <c r="H322" s="3055"/>
      <c r="I322" s="3054"/>
      <c r="J322" s="35"/>
      <c r="K322" s="35"/>
      <c r="L322" s="35"/>
      <c r="M322" s="35"/>
      <c r="N322" s="35"/>
      <c r="O322" s="35"/>
      <c r="P322" s="35"/>
    </row>
    <row r="323" spans="6:16" s="82" customFormat="1">
      <c r="F323" s="83"/>
      <c r="G323" s="3054"/>
      <c r="H323" s="3055"/>
      <c r="I323" s="3054"/>
      <c r="J323" s="35"/>
      <c r="K323" s="35"/>
      <c r="L323" s="35"/>
      <c r="M323" s="35"/>
      <c r="N323" s="35"/>
      <c r="O323" s="35"/>
      <c r="P323" s="35"/>
    </row>
    <row r="324" spans="6:16" s="82" customFormat="1">
      <c r="F324" s="83"/>
      <c r="G324" s="3054"/>
      <c r="H324" s="3055"/>
      <c r="I324" s="3054"/>
      <c r="J324" s="35"/>
      <c r="K324" s="35"/>
      <c r="L324" s="35"/>
      <c r="M324" s="35"/>
      <c r="N324" s="35"/>
      <c r="O324" s="35"/>
      <c r="P324" s="35"/>
    </row>
    <row r="325" spans="6:16" s="82" customFormat="1">
      <c r="F325" s="83"/>
      <c r="G325" s="3054"/>
      <c r="H325" s="3055"/>
      <c r="I325" s="3054"/>
      <c r="J325" s="35"/>
      <c r="K325" s="35"/>
      <c r="L325" s="35"/>
      <c r="M325" s="35"/>
      <c r="N325" s="35"/>
      <c r="O325" s="35"/>
      <c r="P325" s="35"/>
    </row>
    <row r="326" spans="6:16" s="82" customFormat="1">
      <c r="F326" s="83"/>
      <c r="G326" s="3054"/>
      <c r="H326" s="3055"/>
      <c r="I326" s="3054"/>
      <c r="J326" s="35"/>
      <c r="K326" s="35"/>
      <c r="L326" s="35"/>
      <c r="M326" s="35"/>
      <c r="N326" s="35"/>
      <c r="O326" s="35"/>
      <c r="P326" s="35"/>
    </row>
    <row r="327" spans="6:16" s="82" customFormat="1">
      <c r="F327" s="83"/>
      <c r="G327" s="3054"/>
      <c r="H327" s="3055"/>
      <c r="I327" s="3054"/>
      <c r="J327" s="35"/>
      <c r="K327" s="35"/>
      <c r="L327" s="35"/>
      <c r="M327" s="35"/>
      <c r="N327" s="35"/>
      <c r="O327" s="35"/>
      <c r="P327" s="35"/>
    </row>
    <row r="328" spans="6:16" s="82" customFormat="1">
      <c r="F328" s="83"/>
      <c r="G328" s="3054"/>
      <c r="H328" s="3055"/>
      <c r="I328" s="3054"/>
      <c r="J328" s="35"/>
      <c r="K328" s="35"/>
      <c r="L328" s="35"/>
      <c r="M328" s="35"/>
      <c r="N328" s="35"/>
      <c r="O328" s="35"/>
      <c r="P328" s="35"/>
    </row>
    <row r="329" spans="6:16" s="82" customFormat="1">
      <c r="F329" s="83"/>
      <c r="G329" s="3054"/>
      <c r="H329" s="3055"/>
      <c r="I329" s="3054"/>
      <c r="J329" s="35"/>
      <c r="K329" s="35"/>
      <c r="L329" s="35"/>
      <c r="M329" s="35"/>
      <c r="N329" s="35"/>
      <c r="O329" s="35"/>
      <c r="P329" s="35"/>
    </row>
    <row r="330" spans="6:16" s="82" customFormat="1">
      <c r="F330" s="83"/>
      <c r="G330" s="3054"/>
      <c r="H330" s="3055"/>
      <c r="I330" s="3054"/>
      <c r="J330" s="35"/>
      <c r="K330" s="35"/>
      <c r="L330" s="35"/>
      <c r="M330" s="35"/>
      <c r="N330" s="35"/>
      <c r="O330" s="35"/>
      <c r="P330" s="35"/>
    </row>
    <row r="331" spans="6:16" s="82" customFormat="1">
      <c r="F331" s="83"/>
      <c r="G331" s="3054"/>
      <c r="H331" s="3055"/>
      <c r="I331" s="3054"/>
      <c r="J331" s="35"/>
      <c r="K331" s="35"/>
      <c r="L331" s="35"/>
      <c r="M331" s="35"/>
      <c r="N331" s="35"/>
      <c r="O331" s="35"/>
      <c r="P331" s="35"/>
    </row>
    <row r="332" spans="6:16" s="82" customFormat="1">
      <c r="F332" s="83"/>
      <c r="G332" s="3054"/>
      <c r="H332" s="3055"/>
      <c r="I332" s="3054"/>
      <c r="J332" s="35"/>
      <c r="K332" s="35"/>
      <c r="L332" s="35"/>
      <c r="M332" s="35"/>
      <c r="N332" s="35"/>
      <c r="O332" s="35"/>
      <c r="P332" s="35"/>
    </row>
    <row r="333" spans="6:16" s="82" customFormat="1">
      <c r="F333" s="83"/>
      <c r="G333" s="3054"/>
      <c r="H333" s="3055"/>
      <c r="I333" s="3054"/>
      <c r="J333" s="35"/>
      <c r="K333" s="35"/>
      <c r="L333" s="35"/>
      <c r="M333" s="35"/>
      <c r="N333" s="35"/>
      <c r="O333" s="35"/>
      <c r="P333" s="35"/>
    </row>
    <row r="334" spans="6:16" s="82" customFormat="1">
      <c r="F334" s="83"/>
      <c r="G334" s="3054"/>
      <c r="H334" s="3055"/>
      <c r="I334" s="3054"/>
      <c r="J334" s="35"/>
      <c r="K334" s="35"/>
      <c r="L334" s="35"/>
      <c r="M334" s="35"/>
      <c r="N334" s="35"/>
      <c r="O334" s="35"/>
      <c r="P334" s="35"/>
    </row>
    <row r="335" spans="6:16" s="82" customFormat="1">
      <c r="F335" s="83"/>
      <c r="G335" s="3054"/>
      <c r="H335" s="3055"/>
      <c r="I335" s="3054"/>
      <c r="J335" s="35"/>
      <c r="K335" s="35"/>
      <c r="L335" s="35"/>
      <c r="M335" s="35"/>
      <c r="N335" s="35"/>
      <c r="O335" s="35"/>
      <c r="P335" s="35"/>
    </row>
    <row r="336" spans="6:16" s="82" customFormat="1">
      <c r="F336" s="83"/>
      <c r="G336" s="3054"/>
      <c r="H336" s="3055"/>
      <c r="I336" s="3054"/>
      <c r="J336" s="35"/>
      <c r="K336" s="35"/>
      <c r="L336" s="35"/>
      <c r="M336" s="35"/>
      <c r="N336" s="35"/>
      <c r="O336" s="35"/>
      <c r="P336" s="35"/>
    </row>
    <row r="337" spans="6:16" s="82" customFormat="1">
      <c r="F337" s="83"/>
      <c r="G337" s="3054"/>
      <c r="H337" s="3055"/>
      <c r="I337" s="3054"/>
      <c r="J337" s="35"/>
      <c r="K337" s="35"/>
      <c r="L337" s="35"/>
      <c r="M337" s="35"/>
      <c r="N337" s="35"/>
      <c r="O337" s="35"/>
      <c r="P337" s="35"/>
    </row>
    <row r="338" spans="6:16" s="82" customFormat="1">
      <c r="F338" s="83"/>
      <c r="G338" s="3054"/>
      <c r="H338" s="3055"/>
      <c r="I338" s="3054"/>
      <c r="J338" s="35"/>
      <c r="K338" s="35"/>
      <c r="L338" s="35"/>
      <c r="M338" s="35"/>
      <c r="N338" s="35"/>
      <c r="O338" s="35"/>
      <c r="P338" s="35"/>
    </row>
    <row r="339" spans="6:16" s="82" customFormat="1">
      <c r="F339" s="83"/>
      <c r="G339" s="3054"/>
      <c r="H339" s="3055"/>
      <c r="I339" s="3054"/>
      <c r="J339" s="35"/>
      <c r="K339" s="35"/>
      <c r="L339" s="35"/>
      <c r="M339" s="35"/>
      <c r="N339" s="35"/>
      <c r="O339" s="35"/>
      <c r="P339" s="35"/>
    </row>
    <row r="340" spans="6:16" s="82" customFormat="1">
      <c r="F340" s="83"/>
      <c r="G340" s="3054"/>
      <c r="H340" s="3055"/>
      <c r="I340" s="3054"/>
      <c r="J340" s="35"/>
      <c r="K340" s="35"/>
      <c r="L340" s="35"/>
      <c r="M340" s="35"/>
      <c r="N340" s="35"/>
      <c r="O340" s="35"/>
      <c r="P340" s="35"/>
    </row>
    <row r="341" spans="6:16" s="82" customFormat="1">
      <c r="F341" s="83"/>
      <c r="G341" s="3054"/>
      <c r="H341" s="3055"/>
      <c r="I341" s="3054"/>
      <c r="J341" s="35"/>
      <c r="K341" s="35"/>
      <c r="L341" s="35"/>
      <c r="M341" s="35"/>
      <c r="N341" s="35"/>
      <c r="O341" s="35"/>
      <c r="P341" s="35"/>
    </row>
    <row r="342" spans="6:16" s="82" customFormat="1">
      <c r="F342" s="83"/>
      <c r="G342" s="3054"/>
      <c r="H342" s="3055"/>
      <c r="I342" s="3054"/>
      <c r="J342" s="35"/>
      <c r="K342" s="35"/>
      <c r="L342" s="35"/>
      <c r="M342" s="35"/>
      <c r="N342" s="35"/>
      <c r="O342" s="35"/>
      <c r="P342" s="35"/>
    </row>
    <row r="343" spans="6:16" s="82" customFormat="1">
      <c r="F343" s="83"/>
      <c r="G343" s="3054"/>
      <c r="H343" s="3055"/>
      <c r="I343" s="3054"/>
      <c r="J343" s="35"/>
      <c r="K343" s="35"/>
      <c r="L343" s="35"/>
      <c r="M343" s="35"/>
      <c r="N343" s="35"/>
      <c r="O343" s="35"/>
      <c r="P343" s="35"/>
    </row>
    <row r="344" spans="6:16" s="82" customFormat="1">
      <c r="F344" s="83"/>
      <c r="G344" s="3054"/>
      <c r="H344" s="3055"/>
      <c r="I344" s="3054"/>
      <c r="J344" s="35"/>
      <c r="K344" s="35"/>
      <c r="L344" s="35"/>
      <c r="M344" s="35"/>
      <c r="N344" s="35"/>
      <c r="O344" s="35"/>
      <c r="P344" s="35"/>
    </row>
    <row r="345" spans="6:16" s="82" customFormat="1">
      <c r="F345" s="83"/>
      <c r="G345" s="3054"/>
      <c r="H345" s="3055"/>
      <c r="I345" s="3054"/>
      <c r="J345" s="35"/>
      <c r="K345" s="35"/>
      <c r="L345" s="35"/>
      <c r="M345" s="35"/>
      <c r="N345" s="35"/>
      <c r="O345" s="35"/>
      <c r="P345" s="35"/>
    </row>
    <row r="346" spans="6:16" s="82" customFormat="1">
      <c r="F346" s="83"/>
      <c r="G346" s="3054"/>
      <c r="H346" s="3055"/>
      <c r="I346" s="3054"/>
      <c r="J346" s="35"/>
      <c r="K346" s="35"/>
      <c r="L346" s="35"/>
      <c r="M346" s="35"/>
      <c r="N346" s="35"/>
      <c r="O346" s="35"/>
      <c r="P346" s="35"/>
    </row>
    <row r="347" spans="6:16" s="82" customFormat="1">
      <c r="F347" s="83"/>
      <c r="G347" s="3054"/>
      <c r="H347" s="3055"/>
      <c r="I347" s="3054"/>
      <c r="J347" s="35"/>
      <c r="K347" s="35"/>
      <c r="L347" s="35"/>
      <c r="M347" s="35"/>
      <c r="N347" s="35"/>
      <c r="O347" s="35"/>
      <c r="P347" s="35"/>
    </row>
    <row r="348" spans="6:16" s="82" customFormat="1">
      <c r="F348" s="83"/>
      <c r="G348" s="3054"/>
      <c r="H348" s="3055"/>
      <c r="I348" s="3054"/>
      <c r="J348" s="35"/>
      <c r="K348" s="35"/>
      <c r="L348" s="35"/>
      <c r="M348" s="35"/>
      <c r="N348" s="35"/>
      <c r="O348" s="35"/>
      <c r="P348" s="35"/>
    </row>
    <row r="349" spans="6:16" s="82" customFormat="1">
      <c r="F349" s="83"/>
      <c r="G349" s="3054"/>
      <c r="H349" s="3055"/>
      <c r="I349" s="3054"/>
      <c r="J349" s="35"/>
      <c r="K349" s="35"/>
      <c r="L349" s="35"/>
      <c r="M349" s="35"/>
      <c r="N349" s="35"/>
      <c r="O349" s="35"/>
      <c r="P349" s="35"/>
    </row>
    <row r="350" spans="6:16" s="82" customFormat="1">
      <c r="F350" s="83"/>
      <c r="G350" s="3054"/>
      <c r="H350" s="3055"/>
      <c r="I350" s="3054"/>
      <c r="J350" s="35"/>
      <c r="K350" s="35"/>
      <c r="L350" s="35"/>
      <c r="M350" s="35"/>
      <c r="N350" s="35"/>
      <c r="O350" s="35"/>
      <c r="P350" s="35"/>
    </row>
    <row r="351" spans="6:16" s="82" customFormat="1">
      <c r="F351" s="83"/>
      <c r="G351" s="3054"/>
      <c r="H351" s="3055"/>
      <c r="I351" s="3054"/>
      <c r="J351" s="35"/>
      <c r="K351" s="35"/>
      <c r="L351" s="35"/>
      <c r="M351" s="35"/>
      <c r="N351" s="35"/>
      <c r="O351" s="35"/>
      <c r="P351" s="35"/>
    </row>
    <row r="352" spans="6:16" s="82" customFormat="1">
      <c r="F352" s="83"/>
      <c r="G352" s="3054"/>
      <c r="H352" s="3055"/>
      <c r="I352" s="3054"/>
      <c r="J352" s="35"/>
      <c r="K352" s="35"/>
      <c r="L352" s="35"/>
      <c r="M352" s="35"/>
      <c r="N352" s="35"/>
      <c r="O352" s="35"/>
      <c r="P352" s="35"/>
    </row>
    <row r="353" spans="6:16" s="82" customFormat="1">
      <c r="F353" s="83"/>
      <c r="G353" s="3054"/>
      <c r="H353" s="3055"/>
      <c r="I353" s="3054"/>
      <c r="J353" s="35"/>
      <c r="K353" s="35"/>
      <c r="L353" s="35"/>
      <c r="M353" s="35"/>
      <c r="N353" s="35"/>
      <c r="O353" s="35"/>
      <c r="P353" s="35"/>
    </row>
    <row r="354" spans="6:16" s="82" customFormat="1">
      <c r="F354" s="83"/>
      <c r="G354" s="3054"/>
      <c r="H354" s="3055"/>
      <c r="I354" s="3054"/>
      <c r="J354" s="35"/>
      <c r="K354" s="35"/>
      <c r="L354" s="35"/>
      <c r="M354" s="35"/>
      <c r="N354" s="35"/>
      <c r="O354" s="35"/>
      <c r="P354" s="35"/>
    </row>
    <row r="355" spans="6:16" s="82" customFormat="1">
      <c r="F355" s="83"/>
      <c r="G355" s="3054"/>
      <c r="H355" s="3055"/>
      <c r="I355" s="3054"/>
      <c r="J355" s="35"/>
      <c r="K355" s="35"/>
      <c r="L355" s="35"/>
      <c r="M355" s="35"/>
      <c r="N355" s="35"/>
      <c r="O355" s="35"/>
      <c r="P355" s="35"/>
    </row>
    <row r="356" spans="6:16" s="82" customFormat="1">
      <c r="F356" s="83"/>
      <c r="G356" s="3054"/>
      <c r="H356" s="3055"/>
      <c r="I356" s="3054"/>
      <c r="J356" s="35"/>
      <c r="K356" s="35"/>
      <c r="L356" s="35"/>
      <c r="M356" s="35"/>
      <c r="N356" s="35"/>
      <c r="O356" s="35"/>
      <c r="P356" s="35"/>
    </row>
    <row r="357" spans="6:16" s="82" customFormat="1">
      <c r="F357" s="83"/>
      <c r="G357" s="3054"/>
      <c r="H357" s="3055"/>
      <c r="I357" s="3054"/>
      <c r="J357" s="35"/>
      <c r="K357" s="35"/>
      <c r="L357" s="35"/>
      <c r="M357" s="35"/>
      <c r="N357" s="35"/>
      <c r="O357" s="35"/>
      <c r="P357" s="35"/>
    </row>
    <row r="358" spans="6:16" s="82" customFormat="1">
      <c r="F358" s="83"/>
      <c r="G358" s="3054"/>
      <c r="H358" s="3055"/>
      <c r="I358" s="3054"/>
      <c r="J358" s="35"/>
      <c r="K358" s="35"/>
      <c r="L358" s="35"/>
      <c r="M358" s="35"/>
      <c r="N358" s="35"/>
      <c r="O358" s="35"/>
      <c r="P358" s="35"/>
    </row>
    <row r="359" spans="6:16" s="82" customFormat="1">
      <c r="F359" s="83"/>
      <c r="G359" s="3054"/>
      <c r="H359" s="3055"/>
      <c r="I359" s="3054"/>
      <c r="J359" s="35"/>
      <c r="K359" s="35"/>
      <c r="L359" s="35"/>
      <c r="M359" s="35"/>
      <c r="N359" s="35"/>
      <c r="O359" s="35"/>
      <c r="P359" s="35"/>
    </row>
    <row r="360" spans="6:16" s="82" customFormat="1">
      <c r="F360" s="83"/>
      <c r="G360" s="3054"/>
      <c r="H360" s="3055"/>
      <c r="I360" s="3054"/>
      <c r="J360" s="35"/>
      <c r="K360" s="35"/>
      <c r="L360" s="35"/>
      <c r="M360" s="35"/>
      <c r="N360" s="35"/>
      <c r="O360" s="35"/>
      <c r="P360" s="35"/>
    </row>
    <row r="361" spans="6:16" s="82" customFormat="1">
      <c r="F361" s="83"/>
      <c r="G361" s="3054"/>
      <c r="H361" s="3055"/>
      <c r="I361" s="3054"/>
      <c r="J361" s="35"/>
      <c r="K361" s="35"/>
      <c r="L361" s="35"/>
      <c r="M361" s="35"/>
      <c r="N361" s="35"/>
      <c r="O361" s="35"/>
      <c r="P361" s="35"/>
    </row>
    <row r="362" spans="6:16" s="82" customFormat="1">
      <c r="F362" s="83"/>
      <c r="G362" s="3054"/>
      <c r="H362" s="3055"/>
      <c r="I362" s="3054"/>
      <c r="J362" s="35"/>
      <c r="K362" s="35"/>
      <c r="L362" s="35"/>
      <c r="M362" s="35"/>
      <c r="N362" s="35"/>
      <c r="O362" s="35"/>
      <c r="P362" s="35"/>
    </row>
    <row r="363" spans="6:16" s="82" customFormat="1">
      <c r="F363" s="83"/>
      <c r="G363" s="3054"/>
      <c r="H363" s="3055"/>
      <c r="I363" s="3054"/>
      <c r="J363" s="35"/>
      <c r="K363" s="35"/>
      <c r="L363" s="35"/>
      <c r="M363" s="35"/>
      <c r="N363" s="35"/>
      <c r="O363" s="35"/>
      <c r="P363" s="35"/>
    </row>
    <row r="364" spans="6:16" s="82" customFormat="1">
      <c r="F364" s="83"/>
      <c r="G364" s="3054"/>
      <c r="H364" s="3055"/>
      <c r="I364" s="3054"/>
      <c r="J364" s="35"/>
      <c r="K364" s="35"/>
      <c r="L364" s="35"/>
      <c r="M364" s="35"/>
      <c r="N364" s="35"/>
      <c r="O364" s="35"/>
      <c r="P364" s="35"/>
    </row>
    <row r="365" spans="6:16" s="82" customFormat="1">
      <c r="F365" s="83"/>
      <c r="G365" s="3054"/>
      <c r="H365" s="3055"/>
      <c r="I365" s="3054"/>
      <c r="J365" s="35"/>
      <c r="K365" s="35"/>
      <c r="L365" s="35"/>
      <c r="M365" s="35"/>
      <c r="N365" s="35"/>
      <c r="O365" s="35"/>
      <c r="P365" s="35"/>
    </row>
    <row r="366" spans="6:16" s="82" customFormat="1">
      <c r="F366" s="83"/>
      <c r="G366" s="3054"/>
      <c r="H366" s="3055"/>
      <c r="I366" s="3054"/>
      <c r="J366" s="35"/>
      <c r="K366" s="35"/>
      <c r="L366" s="35"/>
      <c r="M366" s="35"/>
      <c r="N366" s="35"/>
      <c r="O366" s="35"/>
      <c r="P366" s="35"/>
    </row>
    <row r="367" spans="6:16" s="82" customFormat="1">
      <c r="F367" s="83"/>
      <c r="G367" s="3054"/>
      <c r="H367" s="3055"/>
      <c r="I367" s="3054"/>
      <c r="J367" s="35"/>
      <c r="K367" s="35"/>
      <c r="L367" s="35"/>
      <c r="M367" s="35"/>
      <c r="N367" s="35"/>
      <c r="O367" s="35"/>
      <c r="P367" s="35"/>
    </row>
    <row r="368" spans="6:16" s="82" customFormat="1">
      <c r="F368" s="83"/>
      <c r="G368" s="3054"/>
      <c r="H368" s="3055"/>
      <c r="I368" s="3054"/>
      <c r="J368" s="35"/>
      <c r="K368" s="35"/>
      <c r="L368" s="35"/>
      <c r="M368" s="35"/>
      <c r="N368" s="35"/>
      <c r="O368" s="35"/>
      <c r="P368" s="35"/>
    </row>
    <row r="369" spans="6:16" s="82" customFormat="1">
      <c r="F369" s="83"/>
      <c r="G369" s="3054"/>
      <c r="H369" s="3055"/>
      <c r="I369" s="3054"/>
      <c r="J369" s="35"/>
      <c r="K369" s="35"/>
      <c r="L369" s="35"/>
      <c r="M369" s="35"/>
      <c r="N369" s="35"/>
      <c r="O369" s="35"/>
      <c r="P369" s="35"/>
    </row>
    <row r="370" spans="6:16" s="82" customFormat="1">
      <c r="F370" s="83"/>
      <c r="G370" s="3054"/>
      <c r="H370" s="3055"/>
      <c r="I370" s="3054"/>
      <c r="J370" s="35"/>
      <c r="K370" s="35"/>
      <c r="L370" s="35"/>
      <c r="M370" s="35"/>
      <c r="N370" s="35"/>
      <c r="O370" s="35"/>
      <c r="P370" s="35"/>
    </row>
    <row r="371" spans="6:16" s="82" customFormat="1">
      <c r="F371" s="83"/>
      <c r="G371" s="3054"/>
      <c r="H371" s="3055"/>
      <c r="I371" s="3054"/>
      <c r="J371" s="35"/>
      <c r="K371" s="35"/>
      <c r="L371" s="35"/>
      <c r="M371" s="35"/>
      <c r="N371" s="35"/>
      <c r="O371" s="35"/>
      <c r="P371" s="35"/>
    </row>
    <row r="372" spans="6:16" s="82" customFormat="1">
      <c r="F372" s="83"/>
      <c r="G372" s="3054"/>
      <c r="H372" s="3055"/>
      <c r="I372" s="3054"/>
      <c r="J372" s="35"/>
      <c r="K372" s="35"/>
      <c r="L372" s="35"/>
      <c r="M372" s="35"/>
      <c r="N372" s="35"/>
      <c r="O372" s="35"/>
      <c r="P372" s="35"/>
    </row>
    <row r="373" spans="6:16" s="82" customFormat="1">
      <c r="F373" s="83"/>
      <c r="G373" s="3054"/>
      <c r="H373" s="3055"/>
      <c r="I373" s="3054"/>
      <c r="J373" s="35"/>
      <c r="K373" s="35"/>
      <c r="L373" s="35"/>
      <c r="M373" s="35"/>
      <c r="N373" s="35"/>
      <c r="O373" s="35"/>
      <c r="P373" s="35"/>
    </row>
    <row r="374" spans="6:16" s="82" customFormat="1">
      <c r="F374" s="83"/>
      <c r="G374" s="3054"/>
      <c r="H374" s="3055"/>
      <c r="I374" s="3054"/>
      <c r="J374" s="35"/>
      <c r="K374" s="35"/>
      <c r="L374" s="35"/>
      <c r="M374" s="35"/>
      <c r="N374" s="35"/>
      <c r="O374" s="35"/>
      <c r="P374" s="35"/>
    </row>
    <row r="375" spans="6:16" s="82" customFormat="1">
      <c r="F375" s="83"/>
      <c r="G375" s="3054"/>
      <c r="H375" s="3055"/>
      <c r="I375" s="3054"/>
      <c r="J375" s="35"/>
      <c r="K375" s="35"/>
      <c r="L375" s="35"/>
      <c r="M375" s="35"/>
      <c r="N375" s="35"/>
      <c r="O375" s="35"/>
      <c r="P375" s="35"/>
    </row>
    <row r="376" spans="6:16" s="82" customFormat="1">
      <c r="F376" s="83"/>
      <c r="G376" s="3054"/>
      <c r="H376" s="3055"/>
      <c r="I376" s="3054"/>
      <c r="J376" s="35"/>
      <c r="K376" s="35"/>
      <c r="L376" s="35"/>
      <c r="M376" s="35"/>
      <c r="N376" s="35"/>
      <c r="O376" s="35"/>
      <c r="P376" s="35"/>
    </row>
    <row r="377" spans="6:16" s="82" customFormat="1">
      <c r="F377" s="83"/>
      <c r="G377" s="3054"/>
      <c r="H377" s="3055"/>
      <c r="I377" s="3054"/>
      <c r="J377" s="35"/>
      <c r="K377" s="35"/>
      <c r="L377" s="35"/>
      <c r="M377" s="35"/>
      <c r="N377" s="35"/>
      <c r="O377" s="35"/>
      <c r="P377" s="35"/>
    </row>
    <row r="378" spans="6:16" s="82" customFormat="1">
      <c r="F378" s="83"/>
      <c r="G378" s="3054"/>
      <c r="H378" s="3055"/>
      <c r="I378" s="3054"/>
      <c r="J378" s="35"/>
      <c r="K378" s="35"/>
      <c r="L378" s="35"/>
      <c r="M378" s="35"/>
      <c r="N378" s="35"/>
      <c r="O378" s="35"/>
      <c r="P378" s="35"/>
    </row>
    <row r="379" spans="6:16" s="82" customFormat="1">
      <c r="F379" s="83"/>
      <c r="G379" s="3054"/>
      <c r="H379" s="3055"/>
      <c r="I379" s="3054"/>
      <c r="J379" s="35"/>
      <c r="K379" s="35"/>
      <c r="L379" s="35"/>
      <c r="M379" s="35"/>
      <c r="N379" s="35"/>
      <c r="O379" s="35"/>
      <c r="P379" s="35"/>
    </row>
    <row r="380" spans="6:16" s="82" customFormat="1">
      <c r="F380" s="83"/>
      <c r="G380" s="3054"/>
      <c r="H380" s="3055"/>
      <c r="I380" s="3054"/>
      <c r="J380" s="35"/>
      <c r="K380" s="35"/>
      <c r="L380" s="35"/>
      <c r="M380" s="35"/>
      <c r="N380" s="35"/>
      <c r="O380" s="35"/>
      <c r="P380" s="35"/>
    </row>
    <row r="381" spans="6:16" s="82" customFormat="1">
      <c r="F381" s="83"/>
      <c r="G381" s="3054"/>
      <c r="H381" s="3055"/>
      <c r="I381" s="3054"/>
      <c r="J381" s="35"/>
      <c r="K381" s="35"/>
      <c r="L381" s="35"/>
      <c r="M381" s="35"/>
      <c r="N381" s="35"/>
      <c r="O381" s="35"/>
      <c r="P381" s="35"/>
    </row>
    <row r="382" spans="6:16" s="82" customFormat="1">
      <c r="F382" s="83"/>
      <c r="G382" s="3054"/>
      <c r="H382" s="3055"/>
      <c r="I382" s="3054"/>
      <c r="J382" s="35"/>
      <c r="K382" s="35"/>
      <c r="L382" s="35"/>
      <c r="M382" s="35"/>
      <c r="N382" s="35"/>
      <c r="O382" s="35"/>
      <c r="P382" s="35"/>
    </row>
    <row r="383" spans="6:16" s="82" customFormat="1">
      <c r="F383" s="83"/>
      <c r="G383" s="3054"/>
      <c r="H383" s="3055"/>
      <c r="I383" s="3054"/>
      <c r="J383" s="35"/>
      <c r="K383" s="35"/>
      <c r="L383" s="35"/>
      <c r="M383" s="35"/>
      <c r="N383" s="35"/>
      <c r="O383" s="35"/>
      <c r="P383" s="35"/>
    </row>
    <row r="384" spans="6:16" s="82" customFormat="1">
      <c r="F384" s="83"/>
      <c r="G384" s="3054"/>
      <c r="H384" s="3055"/>
      <c r="I384" s="3054"/>
      <c r="J384" s="35"/>
      <c r="K384" s="35"/>
      <c r="L384" s="35"/>
      <c r="M384" s="35"/>
      <c r="N384" s="35"/>
      <c r="O384" s="35"/>
      <c r="P384" s="35"/>
    </row>
    <row r="385" spans="6:16" s="82" customFormat="1">
      <c r="F385" s="83"/>
      <c r="G385" s="3054"/>
      <c r="H385" s="3055"/>
      <c r="I385" s="3054"/>
      <c r="J385" s="35"/>
      <c r="K385" s="35"/>
      <c r="L385" s="35"/>
      <c r="M385" s="35"/>
      <c r="N385" s="35"/>
      <c r="O385" s="35"/>
      <c r="P385" s="35"/>
    </row>
    <row r="386" spans="6:16" s="82" customFormat="1">
      <c r="F386" s="83"/>
      <c r="G386" s="3054"/>
      <c r="H386" s="3055"/>
      <c r="I386" s="3054"/>
      <c r="J386" s="35"/>
      <c r="K386" s="35"/>
      <c r="L386" s="35"/>
      <c r="M386" s="35"/>
      <c r="N386" s="35"/>
      <c r="O386" s="35"/>
      <c r="P386" s="35"/>
    </row>
    <row r="387" spans="6:16" s="82" customFormat="1">
      <c r="F387" s="83"/>
      <c r="G387" s="3054"/>
      <c r="H387" s="3055"/>
      <c r="I387" s="3054"/>
      <c r="J387" s="35"/>
      <c r="K387" s="35"/>
      <c r="L387" s="35"/>
      <c r="M387" s="35"/>
      <c r="N387" s="35"/>
      <c r="O387" s="35"/>
      <c r="P387" s="35"/>
    </row>
    <row r="388" spans="6:16" s="82" customFormat="1">
      <c r="F388" s="83"/>
      <c r="G388" s="3054"/>
      <c r="H388" s="3055"/>
      <c r="I388" s="3054"/>
      <c r="J388" s="35"/>
      <c r="K388" s="35"/>
      <c r="L388" s="35"/>
      <c r="M388" s="35"/>
      <c r="N388" s="35"/>
      <c r="O388" s="35"/>
      <c r="P388" s="35"/>
    </row>
    <row r="389" spans="6:16" s="82" customFormat="1">
      <c r="F389" s="83"/>
      <c r="G389" s="3054"/>
      <c r="H389" s="3055"/>
      <c r="I389" s="3054"/>
      <c r="J389" s="35"/>
      <c r="K389" s="35"/>
      <c r="L389" s="35"/>
      <c r="M389" s="35"/>
      <c r="N389" s="35"/>
      <c r="O389" s="35"/>
      <c r="P389" s="35"/>
    </row>
    <row r="390" spans="6:16" s="82" customFormat="1">
      <c r="F390" s="83"/>
      <c r="G390" s="3054"/>
      <c r="H390" s="3055"/>
      <c r="I390" s="3054"/>
      <c r="J390" s="35"/>
      <c r="K390" s="35"/>
      <c r="L390" s="35"/>
      <c r="M390" s="35"/>
      <c r="N390" s="35"/>
      <c r="O390" s="35"/>
      <c r="P390" s="35"/>
    </row>
    <row r="391" spans="6:16" s="82" customFormat="1">
      <c r="F391" s="83"/>
      <c r="G391" s="3054"/>
      <c r="H391" s="3055"/>
      <c r="I391" s="3054"/>
      <c r="J391" s="35"/>
      <c r="K391" s="35"/>
      <c r="L391" s="35"/>
      <c r="M391" s="35"/>
      <c r="N391" s="35"/>
      <c r="O391" s="35"/>
      <c r="P391" s="35"/>
    </row>
    <row r="392" spans="6:16" s="82" customFormat="1">
      <c r="F392" s="83"/>
      <c r="G392" s="3054"/>
      <c r="H392" s="3055"/>
      <c r="I392" s="3054"/>
      <c r="J392" s="35"/>
      <c r="K392" s="35"/>
      <c r="L392" s="35"/>
      <c r="M392" s="35"/>
      <c r="N392" s="35"/>
      <c r="O392" s="35"/>
      <c r="P392" s="35"/>
    </row>
    <row r="393" spans="6:16" s="82" customFormat="1">
      <c r="F393" s="83"/>
      <c r="G393" s="3054"/>
      <c r="H393" s="3055"/>
      <c r="I393" s="3054"/>
      <c r="J393" s="35"/>
      <c r="K393" s="35"/>
      <c r="L393" s="35"/>
      <c r="M393" s="35"/>
      <c r="N393" s="35"/>
      <c r="O393" s="35"/>
      <c r="P393" s="35"/>
    </row>
    <row r="394" spans="6:16" s="82" customFormat="1">
      <c r="F394" s="83"/>
      <c r="G394" s="3054"/>
      <c r="H394" s="3055"/>
      <c r="I394" s="3054"/>
      <c r="J394" s="35"/>
      <c r="K394" s="35"/>
      <c r="L394" s="35"/>
      <c r="M394" s="35"/>
      <c r="N394" s="35"/>
      <c r="O394" s="35"/>
      <c r="P394" s="35"/>
    </row>
    <row r="395" spans="6:16" s="82" customFormat="1">
      <c r="F395" s="83"/>
      <c r="G395" s="3054"/>
      <c r="H395" s="3055"/>
      <c r="I395" s="3054"/>
      <c r="J395" s="35"/>
      <c r="K395" s="35"/>
      <c r="L395" s="35"/>
      <c r="M395" s="35"/>
      <c r="N395" s="35"/>
      <c r="O395" s="35"/>
      <c r="P395" s="35"/>
    </row>
    <row r="396" spans="6:16" s="82" customFormat="1">
      <c r="F396" s="83"/>
      <c r="G396" s="3054"/>
      <c r="H396" s="3055"/>
      <c r="I396" s="3054"/>
      <c r="J396" s="35"/>
      <c r="K396" s="35"/>
      <c r="L396" s="35"/>
      <c r="M396" s="35"/>
      <c r="N396" s="35"/>
      <c r="O396" s="35"/>
      <c r="P396" s="35"/>
    </row>
    <row r="397" spans="6:16" s="82" customFormat="1">
      <c r="F397" s="83"/>
      <c r="G397" s="3054"/>
      <c r="H397" s="3055"/>
      <c r="I397" s="3054"/>
      <c r="J397" s="35"/>
      <c r="K397" s="35"/>
      <c r="L397" s="35"/>
      <c r="M397" s="35"/>
      <c r="N397" s="35"/>
      <c r="O397" s="35"/>
      <c r="P397" s="35"/>
    </row>
    <row r="398" spans="6:16" s="82" customFormat="1">
      <c r="F398" s="83"/>
      <c r="G398" s="3054"/>
      <c r="H398" s="3055"/>
      <c r="I398" s="3054"/>
      <c r="J398" s="35"/>
      <c r="K398" s="35"/>
      <c r="L398" s="35"/>
      <c r="M398" s="35"/>
      <c r="N398" s="35"/>
      <c r="O398" s="35"/>
      <c r="P398" s="35"/>
    </row>
    <row r="399" spans="6:16" s="82" customFormat="1">
      <c r="F399" s="83"/>
      <c r="G399" s="3054"/>
      <c r="H399" s="3055"/>
      <c r="I399" s="3054"/>
      <c r="J399" s="35"/>
      <c r="K399" s="35"/>
      <c r="L399" s="35"/>
      <c r="M399" s="35"/>
      <c r="N399" s="35"/>
      <c r="O399" s="35"/>
      <c r="P399" s="35"/>
    </row>
    <row r="400" spans="6:16" s="82" customFormat="1">
      <c r="F400" s="83"/>
      <c r="G400" s="3054"/>
      <c r="H400" s="3055"/>
      <c r="I400" s="3054"/>
      <c r="J400" s="35"/>
      <c r="K400" s="35"/>
      <c r="L400" s="35"/>
      <c r="M400" s="35"/>
      <c r="N400" s="35"/>
      <c r="O400" s="35"/>
      <c r="P400" s="35"/>
    </row>
    <row r="401" spans="6:16" s="82" customFormat="1">
      <c r="F401" s="83"/>
      <c r="G401" s="3054"/>
      <c r="H401" s="3055"/>
      <c r="I401" s="3054"/>
      <c r="J401" s="35"/>
      <c r="K401" s="35"/>
      <c r="L401" s="35"/>
      <c r="M401" s="35"/>
      <c r="N401" s="35"/>
      <c r="O401" s="35"/>
      <c r="P401" s="35"/>
    </row>
    <row r="402" spans="6:16" s="82" customFormat="1">
      <c r="F402" s="83"/>
      <c r="G402" s="3054"/>
      <c r="H402" s="3055"/>
      <c r="I402" s="3054"/>
      <c r="J402" s="35"/>
      <c r="K402" s="35"/>
      <c r="L402" s="35"/>
      <c r="M402" s="35"/>
      <c r="N402" s="35"/>
      <c r="O402" s="35"/>
      <c r="P402" s="35"/>
    </row>
    <row r="403" spans="6:16" s="82" customFormat="1">
      <c r="F403" s="83"/>
      <c r="G403" s="3054"/>
      <c r="H403" s="3055"/>
      <c r="I403" s="3054"/>
      <c r="J403" s="35"/>
      <c r="K403" s="35"/>
      <c r="L403" s="35"/>
      <c r="M403" s="35"/>
      <c r="N403" s="35"/>
      <c r="O403" s="35"/>
      <c r="P403" s="35"/>
    </row>
    <row r="404" spans="6:16" s="82" customFormat="1">
      <c r="F404" s="83"/>
      <c r="G404" s="3054"/>
      <c r="H404" s="3055"/>
      <c r="I404" s="3054"/>
      <c r="J404" s="35"/>
      <c r="K404" s="35"/>
      <c r="L404" s="35"/>
      <c r="M404" s="35"/>
      <c r="N404" s="35"/>
      <c r="O404" s="35"/>
      <c r="P404" s="35"/>
    </row>
    <row r="405" spans="6:16" s="82" customFormat="1">
      <c r="F405" s="83"/>
      <c r="G405" s="3054"/>
      <c r="H405" s="3055"/>
      <c r="I405" s="3054"/>
      <c r="J405" s="35"/>
      <c r="K405" s="35"/>
      <c r="L405" s="35"/>
      <c r="M405" s="35"/>
      <c r="N405" s="35"/>
      <c r="O405" s="35"/>
      <c r="P405" s="35"/>
    </row>
    <row r="406" spans="6:16" s="82" customFormat="1">
      <c r="F406" s="83"/>
      <c r="G406" s="3054"/>
      <c r="H406" s="3055"/>
      <c r="I406" s="3054"/>
      <c r="J406" s="35"/>
      <c r="K406" s="35"/>
      <c r="L406" s="35"/>
      <c r="M406" s="35"/>
      <c r="N406" s="35"/>
      <c r="O406" s="35"/>
      <c r="P406" s="35"/>
    </row>
    <row r="407" spans="6:16" s="82" customFormat="1">
      <c r="F407" s="83"/>
      <c r="G407" s="3054"/>
      <c r="H407" s="3055"/>
      <c r="I407" s="3054"/>
      <c r="J407" s="35"/>
      <c r="K407" s="35"/>
      <c r="L407" s="35"/>
      <c r="M407" s="35"/>
      <c r="N407" s="35"/>
      <c r="O407" s="35"/>
      <c r="P407" s="35"/>
    </row>
    <row r="408" spans="6:16" s="82" customFormat="1">
      <c r="F408" s="83"/>
      <c r="G408" s="3054"/>
      <c r="H408" s="3055"/>
      <c r="I408" s="3054"/>
      <c r="J408" s="35"/>
      <c r="K408" s="35"/>
      <c r="L408" s="35"/>
      <c r="M408" s="35"/>
      <c r="N408" s="35"/>
      <c r="O408" s="35"/>
      <c r="P408" s="35"/>
    </row>
    <row r="409" spans="6:16" s="82" customFormat="1">
      <c r="F409" s="83"/>
      <c r="G409" s="3054"/>
      <c r="H409" s="3055"/>
      <c r="I409" s="3054"/>
      <c r="J409" s="35"/>
      <c r="K409" s="35"/>
      <c r="L409" s="35"/>
      <c r="M409" s="35"/>
      <c r="N409" s="35"/>
      <c r="O409" s="35"/>
      <c r="P409" s="35"/>
    </row>
    <row r="410" spans="6:16" s="82" customFormat="1">
      <c r="F410" s="83"/>
      <c r="G410" s="3054"/>
      <c r="H410" s="3055"/>
      <c r="I410" s="3054"/>
      <c r="J410" s="35"/>
      <c r="K410" s="35"/>
      <c r="L410" s="35"/>
      <c r="M410" s="35"/>
      <c r="N410" s="35"/>
      <c r="O410" s="35"/>
      <c r="P410" s="35"/>
    </row>
    <row r="411" spans="6:16" s="82" customFormat="1">
      <c r="F411" s="83"/>
      <c r="G411" s="3054"/>
      <c r="H411" s="3055"/>
      <c r="I411" s="3054"/>
      <c r="J411" s="35"/>
      <c r="K411" s="35"/>
      <c r="L411" s="35"/>
      <c r="M411" s="35"/>
      <c r="N411" s="35"/>
      <c r="O411" s="35"/>
      <c r="P411" s="35"/>
    </row>
    <row r="412" spans="6:16" s="82" customFormat="1">
      <c r="F412" s="83"/>
      <c r="G412" s="3054"/>
      <c r="H412" s="3055"/>
      <c r="I412" s="3054"/>
      <c r="J412" s="35"/>
      <c r="K412" s="35"/>
      <c r="L412" s="35"/>
      <c r="M412" s="35"/>
      <c r="N412" s="35"/>
      <c r="O412" s="35"/>
      <c r="P412" s="35"/>
    </row>
    <row r="413" spans="6:16" s="82" customFormat="1">
      <c r="F413" s="83"/>
      <c r="G413" s="3054"/>
      <c r="H413" s="3055"/>
      <c r="I413" s="3054"/>
      <c r="J413" s="35"/>
      <c r="K413" s="35"/>
      <c r="L413" s="35"/>
      <c r="M413" s="35"/>
      <c r="N413" s="35"/>
      <c r="O413" s="35"/>
      <c r="P413" s="35"/>
    </row>
    <row r="414" spans="6:16" s="82" customFormat="1">
      <c r="F414" s="83"/>
      <c r="G414" s="3054"/>
      <c r="H414" s="3055"/>
      <c r="I414" s="3054"/>
      <c r="J414" s="35"/>
      <c r="K414" s="35"/>
      <c r="L414" s="35"/>
      <c r="M414" s="35"/>
      <c r="N414" s="35"/>
      <c r="O414" s="35"/>
      <c r="P414" s="35"/>
    </row>
    <row r="415" spans="6:16" s="82" customFormat="1">
      <c r="F415" s="83"/>
      <c r="G415" s="3054"/>
      <c r="H415" s="3055"/>
      <c r="I415" s="3054"/>
      <c r="J415" s="35"/>
      <c r="K415" s="35"/>
      <c r="L415" s="35"/>
      <c r="M415" s="35"/>
      <c r="N415" s="35"/>
      <c r="O415" s="35"/>
      <c r="P415" s="35"/>
    </row>
    <row r="416" spans="6:16" s="82" customFormat="1">
      <c r="F416" s="83"/>
      <c r="G416" s="3054"/>
      <c r="H416" s="3055"/>
      <c r="I416" s="3054"/>
      <c r="J416" s="35"/>
      <c r="K416" s="35"/>
      <c r="L416" s="35"/>
      <c r="M416" s="35"/>
      <c r="N416" s="35"/>
      <c r="O416" s="35"/>
      <c r="P416" s="35"/>
    </row>
    <row r="417" spans="6:16" s="82" customFormat="1">
      <c r="F417" s="83"/>
      <c r="G417" s="3054"/>
      <c r="H417" s="3055"/>
      <c r="I417" s="3054"/>
      <c r="J417" s="35"/>
      <c r="K417" s="35"/>
      <c r="L417" s="35"/>
      <c r="M417" s="35"/>
      <c r="N417" s="35"/>
      <c r="O417" s="35"/>
      <c r="P417" s="35"/>
    </row>
    <row r="418" spans="6:16" s="82" customFormat="1">
      <c r="F418" s="83"/>
      <c r="G418" s="3054"/>
      <c r="H418" s="3055"/>
      <c r="I418" s="3054"/>
      <c r="J418" s="35"/>
      <c r="K418" s="35"/>
      <c r="L418" s="35"/>
      <c r="M418" s="35"/>
      <c r="N418" s="35"/>
      <c r="O418" s="35"/>
      <c r="P418" s="35"/>
    </row>
    <row r="419" spans="6:16" s="82" customFormat="1">
      <c r="F419" s="83"/>
      <c r="G419" s="3054"/>
      <c r="H419" s="3055"/>
      <c r="I419" s="3054"/>
      <c r="J419" s="35"/>
      <c r="K419" s="35"/>
      <c r="L419" s="35"/>
      <c r="M419" s="35"/>
      <c r="N419" s="35"/>
      <c r="O419" s="35"/>
      <c r="P419" s="35"/>
    </row>
    <row r="420" spans="6:16" s="82" customFormat="1">
      <c r="F420" s="83"/>
      <c r="G420" s="3054"/>
      <c r="H420" s="3055"/>
      <c r="I420" s="3054"/>
      <c r="J420" s="35"/>
      <c r="K420" s="35"/>
      <c r="L420" s="35"/>
      <c r="M420" s="35"/>
      <c r="N420" s="35"/>
      <c r="O420" s="35"/>
      <c r="P420" s="35"/>
    </row>
    <row r="421" spans="6:16" s="82" customFormat="1">
      <c r="F421" s="83"/>
      <c r="G421" s="3054"/>
      <c r="H421" s="3055"/>
      <c r="I421" s="3054"/>
      <c r="J421" s="35"/>
      <c r="K421" s="35"/>
      <c r="L421" s="35"/>
      <c r="M421" s="35"/>
      <c r="N421" s="35"/>
      <c r="O421" s="35"/>
      <c r="P421" s="35"/>
    </row>
    <row r="422" spans="6:16" s="82" customFormat="1">
      <c r="F422" s="83"/>
      <c r="G422" s="3054"/>
      <c r="H422" s="3055"/>
      <c r="I422" s="3054"/>
      <c r="J422" s="35"/>
      <c r="K422" s="35"/>
      <c r="L422" s="35"/>
      <c r="M422" s="35"/>
      <c r="N422" s="35"/>
      <c r="O422" s="35"/>
      <c r="P422" s="35"/>
    </row>
    <row r="423" spans="6:16" s="82" customFormat="1">
      <c r="F423" s="83"/>
      <c r="G423" s="3054"/>
      <c r="H423" s="3055"/>
      <c r="I423" s="3054"/>
      <c r="J423" s="35"/>
      <c r="K423" s="35"/>
      <c r="L423" s="35"/>
      <c r="M423" s="35"/>
      <c r="N423" s="35"/>
      <c r="O423" s="35"/>
      <c r="P423" s="35"/>
    </row>
    <row r="424" spans="6:16" s="82" customFormat="1">
      <c r="F424" s="83"/>
      <c r="G424" s="3054"/>
      <c r="H424" s="3055"/>
      <c r="I424" s="3054"/>
      <c r="J424" s="35"/>
      <c r="K424" s="35"/>
      <c r="L424" s="35"/>
      <c r="M424" s="35"/>
      <c r="N424" s="35"/>
      <c r="O424" s="35"/>
      <c r="P424" s="35"/>
    </row>
    <row r="425" spans="6:16" s="82" customFormat="1">
      <c r="F425" s="83"/>
      <c r="G425" s="3054"/>
      <c r="H425" s="3055"/>
      <c r="I425" s="3054"/>
      <c r="J425" s="35"/>
      <c r="K425" s="35"/>
      <c r="L425" s="35"/>
      <c r="M425" s="35"/>
      <c r="N425" s="35"/>
      <c r="O425" s="35"/>
      <c r="P425" s="35"/>
    </row>
    <row r="426" spans="6:16" s="82" customFormat="1">
      <c r="F426" s="83"/>
      <c r="G426" s="3054"/>
      <c r="H426" s="3055"/>
      <c r="I426" s="3054"/>
      <c r="J426" s="35"/>
      <c r="K426" s="35"/>
      <c r="L426" s="35"/>
      <c r="M426" s="35"/>
      <c r="N426" s="35"/>
      <c r="O426" s="35"/>
      <c r="P426" s="35"/>
    </row>
    <row r="427" spans="6:16" s="82" customFormat="1">
      <c r="F427" s="83"/>
      <c r="G427" s="3054"/>
      <c r="H427" s="3055"/>
      <c r="I427" s="3054"/>
      <c r="J427" s="35"/>
      <c r="K427" s="35"/>
      <c r="L427" s="35"/>
      <c r="M427" s="35"/>
      <c r="N427" s="35"/>
      <c r="O427" s="35"/>
      <c r="P427" s="35"/>
    </row>
    <row r="428" spans="6:16" s="82" customFormat="1">
      <c r="F428" s="83"/>
      <c r="G428" s="3054"/>
      <c r="H428" s="3055"/>
      <c r="I428" s="3054"/>
      <c r="J428" s="35"/>
      <c r="K428" s="35"/>
      <c r="L428" s="35"/>
      <c r="M428" s="35"/>
      <c r="N428" s="35"/>
      <c r="O428" s="35"/>
      <c r="P428" s="35"/>
    </row>
    <row r="429" spans="6:16" s="82" customFormat="1">
      <c r="F429" s="83"/>
      <c r="G429" s="3054"/>
      <c r="H429" s="3055"/>
      <c r="I429" s="3054"/>
      <c r="J429" s="35"/>
      <c r="K429" s="35"/>
      <c r="L429" s="35"/>
      <c r="M429" s="35"/>
      <c r="N429" s="35"/>
      <c r="O429" s="35"/>
      <c r="P429" s="35"/>
    </row>
    <row r="430" spans="6:16" s="82" customFormat="1">
      <c r="F430" s="83"/>
      <c r="G430" s="3054"/>
      <c r="H430" s="3055"/>
      <c r="I430" s="3054"/>
      <c r="J430" s="35"/>
      <c r="K430" s="35"/>
      <c r="L430" s="35"/>
      <c r="M430" s="35"/>
      <c r="N430" s="35"/>
      <c r="O430" s="35"/>
      <c r="P430" s="35"/>
    </row>
    <row r="431" spans="6:16" s="82" customFormat="1">
      <c r="F431" s="83"/>
      <c r="G431" s="3054"/>
      <c r="H431" s="3055"/>
      <c r="I431" s="3054"/>
      <c r="J431" s="35"/>
      <c r="K431" s="35"/>
      <c r="L431" s="35"/>
      <c r="M431" s="35"/>
      <c r="N431" s="35"/>
      <c r="O431" s="35"/>
      <c r="P431" s="35"/>
    </row>
    <row r="432" spans="6:16" s="82" customFormat="1">
      <c r="F432" s="83"/>
      <c r="G432" s="3054"/>
      <c r="H432" s="3055"/>
      <c r="I432" s="3054"/>
      <c r="J432" s="35"/>
      <c r="K432" s="35"/>
      <c r="L432" s="35"/>
      <c r="M432" s="35"/>
      <c r="N432" s="35"/>
      <c r="O432" s="35"/>
      <c r="P432" s="35"/>
    </row>
    <row r="433" spans="6:16" s="82" customFormat="1">
      <c r="F433" s="83"/>
      <c r="G433" s="3054"/>
      <c r="H433" s="3055"/>
      <c r="I433" s="3054"/>
      <c r="J433" s="35"/>
      <c r="K433" s="35"/>
      <c r="L433" s="35"/>
      <c r="M433" s="35"/>
      <c r="N433" s="35"/>
      <c r="O433" s="35"/>
      <c r="P433" s="35"/>
    </row>
    <row r="434" spans="6:16" s="82" customFormat="1">
      <c r="F434" s="83"/>
      <c r="G434" s="3054"/>
      <c r="H434" s="3055"/>
      <c r="I434" s="3054"/>
      <c r="J434" s="35"/>
      <c r="K434" s="35"/>
      <c r="L434" s="35"/>
      <c r="M434" s="35"/>
      <c r="N434" s="35"/>
      <c r="O434" s="35"/>
      <c r="P434" s="35"/>
    </row>
    <row r="435" spans="6:16" s="82" customFormat="1">
      <c r="F435" s="83"/>
      <c r="G435" s="3054"/>
      <c r="H435" s="3055"/>
      <c r="I435" s="3054"/>
      <c r="J435" s="35"/>
      <c r="K435" s="35"/>
      <c r="L435" s="35"/>
      <c r="M435" s="35"/>
      <c r="N435" s="35"/>
      <c r="O435" s="35"/>
      <c r="P435" s="35"/>
    </row>
    <row r="436" spans="6:16" s="82" customFormat="1">
      <c r="F436" s="83"/>
      <c r="G436" s="3054"/>
      <c r="H436" s="3055"/>
      <c r="I436" s="3054"/>
      <c r="J436" s="35"/>
      <c r="K436" s="35"/>
      <c r="L436" s="35"/>
      <c r="M436" s="35"/>
      <c r="N436" s="35"/>
      <c r="O436" s="35"/>
      <c r="P436" s="35"/>
    </row>
    <row r="437" spans="6:16" s="82" customFormat="1">
      <c r="F437" s="83"/>
      <c r="G437" s="3054"/>
      <c r="H437" s="3055"/>
      <c r="I437" s="3054"/>
      <c r="J437" s="35"/>
      <c r="K437" s="35"/>
      <c r="L437" s="35"/>
      <c r="M437" s="35"/>
      <c r="N437" s="35"/>
      <c r="O437" s="35"/>
      <c r="P437" s="35"/>
    </row>
    <row r="438" spans="6:16" s="82" customFormat="1">
      <c r="F438" s="83"/>
      <c r="G438" s="3054"/>
      <c r="H438" s="3055"/>
      <c r="I438" s="3054"/>
      <c r="J438" s="35"/>
      <c r="K438" s="35"/>
      <c r="L438" s="35"/>
      <c r="M438" s="35"/>
      <c r="N438" s="35"/>
      <c r="O438" s="35"/>
      <c r="P438" s="35"/>
    </row>
    <row r="439" spans="6:16" s="82" customFormat="1">
      <c r="F439" s="83"/>
      <c r="G439" s="3054"/>
      <c r="H439" s="3055"/>
      <c r="I439" s="3054"/>
      <c r="J439" s="35"/>
      <c r="K439" s="35"/>
      <c r="L439" s="35"/>
      <c r="M439" s="35"/>
      <c r="N439" s="35"/>
      <c r="O439" s="35"/>
      <c r="P439" s="35"/>
    </row>
    <row r="440" spans="6:16" s="82" customFormat="1">
      <c r="F440" s="83"/>
      <c r="G440" s="3054"/>
      <c r="H440" s="3055"/>
      <c r="I440" s="3054"/>
      <c r="J440" s="35"/>
      <c r="K440" s="35"/>
      <c r="L440" s="35"/>
      <c r="M440" s="35"/>
      <c r="N440" s="35"/>
      <c r="O440" s="35"/>
      <c r="P440" s="35"/>
    </row>
    <row r="441" spans="6:16" s="82" customFormat="1">
      <c r="F441" s="83"/>
      <c r="G441" s="3054"/>
      <c r="H441" s="3055"/>
      <c r="I441" s="3054"/>
      <c r="J441" s="35"/>
      <c r="K441" s="35"/>
      <c r="L441" s="35"/>
      <c r="M441" s="35"/>
      <c r="N441" s="35"/>
      <c r="O441" s="35"/>
      <c r="P441" s="35"/>
    </row>
    <row r="442" spans="6:16" s="82" customFormat="1">
      <c r="F442" s="83"/>
      <c r="G442" s="3054"/>
      <c r="H442" s="3055"/>
      <c r="I442" s="3054"/>
      <c r="J442" s="35"/>
      <c r="K442" s="35"/>
      <c r="L442" s="35"/>
      <c r="M442" s="35"/>
      <c r="N442" s="35"/>
      <c r="O442" s="35"/>
      <c r="P442" s="35"/>
    </row>
    <row r="443" spans="6:16" s="82" customFormat="1">
      <c r="F443" s="83"/>
      <c r="G443" s="3054"/>
      <c r="H443" s="3055"/>
      <c r="I443" s="3054"/>
      <c r="J443" s="35"/>
      <c r="K443" s="35"/>
      <c r="L443" s="35"/>
      <c r="M443" s="35"/>
      <c r="N443" s="35"/>
      <c r="O443" s="35"/>
      <c r="P443" s="35"/>
    </row>
    <row r="444" spans="6:16" s="82" customFormat="1">
      <c r="F444" s="83"/>
      <c r="G444" s="3054"/>
      <c r="H444" s="3055"/>
      <c r="I444" s="3054"/>
      <c r="J444" s="35"/>
      <c r="K444" s="35"/>
      <c r="L444" s="35"/>
      <c r="M444" s="35"/>
      <c r="N444" s="35"/>
      <c r="O444" s="35"/>
      <c r="P444" s="35"/>
    </row>
    <row r="445" spans="6:16" s="82" customFormat="1">
      <c r="F445" s="83"/>
      <c r="G445" s="3054"/>
      <c r="H445" s="3055"/>
      <c r="I445" s="3054"/>
      <c r="J445" s="35"/>
      <c r="K445" s="35"/>
      <c r="L445" s="35"/>
      <c r="M445" s="35"/>
      <c r="N445" s="35"/>
      <c r="O445" s="35"/>
      <c r="P445" s="35"/>
    </row>
    <row r="446" spans="6:16" s="82" customFormat="1">
      <c r="F446" s="83"/>
      <c r="G446" s="3054"/>
      <c r="H446" s="3055"/>
      <c r="I446" s="3054"/>
      <c r="J446" s="35"/>
      <c r="K446" s="35"/>
      <c r="L446" s="35"/>
      <c r="M446" s="35"/>
      <c r="N446" s="35"/>
      <c r="O446" s="35"/>
      <c r="P446" s="35"/>
    </row>
    <row r="447" spans="6:16" s="82" customFormat="1">
      <c r="F447" s="83"/>
      <c r="G447" s="3054"/>
      <c r="H447" s="3055"/>
      <c r="I447" s="3054"/>
      <c r="J447" s="35"/>
      <c r="K447" s="35"/>
      <c r="L447" s="35"/>
      <c r="M447" s="35"/>
      <c r="N447" s="35"/>
      <c r="O447" s="35"/>
      <c r="P447" s="35"/>
    </row>
    <row r="448" spans="6:16" s="82" customFormat="1">
      <c r="F448" s="83"/>
      <c r="G448" s="3054"/>
      <c r="H448" s="3055"/>
      <c r="I448" s="3054"/>
      <c r="J448" s="35"/>
      <c r="K448" s="35"/>
      <c r="L448" s="35"/>
      <c r="M448" s="35"/>
      <c r="N448" s="35"/>
      <c r="O448" s="35"/>
      <c r="P448" s="35"/>
    </row>
    <row r="449" spans="6:16" s="82" customFormat="1">
      <c r="F449" s="83"/>
      <c r="G449" s="3054"/>
      <c r="H449" s="3055"/>
      <c r="I449" s="3054"/>
      <c r="J449" s="35"/>
      <c r="K449" s="35"/>
      <c r="L449" s="35"/>
      <c r="M449" s="35"/>
      <c r="N449" s="35"/>
      <c r="O449" s="35"/>
      <c r="P449" s="35"/>
    </row>
    <row r="450" spans="6:16" s="82" customFormat="1">
      <c r="F450" s="83"/>
      <c r="G450" s="3054"/>
      <c r="H450" s="3055"/>
      <c r="I450" s="3054"/>
      <c r="J450" s="35"/>
      <c r="K450" s="35"/>
      <c r="L450" s="35"/>
      <c r="M450" s="35"/>
      <c r="N450" s="35"/>
      <c r="O450" s="35"/>
      <c r="P450" s="35"/>
    </row>
    <row r="451" spans="6:16" s="82" customFormat="1">
      <c r="F451" s="83"/>
      <c r="G451" s="3054"/>
      <c r="H451" s="3055"/>
      <c r="I451" s="3054"/>
      <c r="J451" s="35"/>
      <c r="K451" s="35"/>
      <c r="L451" s="35"/>
      <c r="M451" s="35"/>
      <c r="N451" s="35"/>
      <c r="O451" s="35"/>
      <c r="P451" s="35"/>
    </row>
    <row r="452" spans="6:16" s="82" customFormat="1">
      <c r="F452" s="83"/>
      <c r="G452" s="3054"/>
      <c r="H452" s="3055"/>
      <c r="I452" s="3054"/>
      <c r="J452" s="35"/>
      <c r="K452" s="35"/>
      <c r="L452" s="35"/>
      <c r="M452" s="35"/>
      <c r="N452" s="35"/>
      <c r="O452" s="35"/>
      <c r="P452" s="35"/>
    </row>
    <row r="453" spans="6:16" s="82" customFormat="1">
      <c r="F453" s="83"/>
      <c r="G453" s="3054"/>
      <c r="H453" s="3055"/>
      <c r="I453" s="3054"/>
      <c r="J453" s="35"/>
      <c r="K453" s="35"/>
      <c r="L453" s="35"/>
      <c r="M453" s="35"/>
      <c r="N453" s="35"/>
      <c r="O453" s="35"/>
      <c r="P453" s="35"/>
    </row>
  </sheetData>
  <mergeCells count="6">
    <mergeCell ref="A1:F1"/>
    <mergeCell ref="A32:B32"/>
    <mergeCell ref="A4:B4"/>
    <mergeCell ref="A5:A16"/>
    <mergeCell ref="A17:A27"/>
    <mergeCell ref="A28:A31"/>
  </mergeCells>
  <phoneticPr fontId="15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5" firstPageNumber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72"/>
  <sheetViews>
    <sheetView view="pageBreakPreview" zoomScale="60" zoomScaleNormal="70" workbookViewId="0">
      <selection activeCell="I62" sqref="I62"/>
    </sheetView>
  </sheetViews>
  <sheetFormatPr defaultRowHeight="18.75"/>
  <cols>
    <col min="1" max="2" width="8.33203125" style="15" customWidth="1"/>
    <col min="3" max="3" width="7" style="15" customWidth="1"/>
    <col min="4" max="4" width="21" style="15" customWidth="1"/>
    <col min="5" max="6" width="16" style="158" customWidth="1"/>
    <col min="7" max="7" width="16" style="178" customWidth="1"/>
    <col min="8" max="8" width="1.5546875" style="15" customWidth="1"/>
    <col min="9" max="9" width="19.6640625" style="15" customWidth="1"/>
    <col min="10" max="10" width="24.109375" style="15" customWidth="1"/>
    <col min="11" max="11" width="3.44140625" style="313" customWidth="1"/>
    <col min="12" max="12" width="18" style="15" customWidth="1"/>
    <col min="13" max="13" width="7.21875" style="15" customWidth="1"/>
    <col min="14" max="14" width="8.6640625" style="15" customWidth="1"/>
    <col min="15" max="15" width="7.44140625" style="15" customWidth="1"/>
    <col min="16" max="16" width="9.109375" style="15" customWidth="1"/>
    <col min="17" max="17" width="19.5546875" style="15" customWidth="1"/>
    <col min="18" max="18" width="19.33203125" style="15" customWidth="1"/>
    <col min="19" max="19" width="3.5546875" style="15" customWidth="1"/>
    <col min="20" max="20" width="18.5546875" style="15" customWidth="1"/>
    <col min="21" max="21" width="18.44140625" style="797" bestFit="1" customWidth="1"/>
    <col min="22" max="22" width="29.5546875" style="179" customWidth="1"/>
    <col min="23" max="23" width="16.77734375" style="433" bestFit="1" customWidth="1"/>
    <col min="24" max="24" width="11.77734375" style="433" bestFit="1" customWidth="1"/>
    <col min="25" max="16384" width="8.88671875" style="4"/>
  </cols>
  <sheetData>
    <row r="1" spans="1:24" ht="18.75" customHeight="1">
      <c r="A1" s="3736" t="s">
        <v>5938</v>
      </c>
      <c r="B1" s="3736"/>
      <c r="C1" s="3737"/>
      <c r="D1" s="3737"/>
      <c r="E1" s="3737"/>
      <c r="F1" s="3737"/>
      <c r="G1" s="3737"/>
      <c r="H1" s="3737"/>
      <c r="I1" s="3737"/>
      <c r="J1" s="3737"/>
      <c r="K1" s="3737"/>
      <c r="L1" s="3737"/>
      <c r="M1" s="3737"/>
      <c r="N1" s="3737"/>
      <c r="O1" s="3737"/>
      <c r="P1" s="3737"/>
      <c r="Q1" s="3737"/>
      <c r="R1" s="3737"/>
      <c r="S1" s="3737"/>
      <c r="T1" s="3737"/>
    </row>
    <row r="2" spans="1:24" ht="18.75" customHeight="1">
      <c r="A2" s="3737"/>
      <c r="B2" s="3737"/>
      <c r="C2" s="3737"/>
      <c r="D2" s="3737"/>
      <c r="E2" s="3737"/>
      <c r="F2" s="3737"/>
      <c r="G2" s="3737"/>
      <c r="H2" s="3737"/>
      <c r="I2" s="3737"/>
      <c r="J2" s="3737"/>
      <c r="K2" s="3737"/>
      <c r="L2" s="3737"/>
      <c r="M2" s="3737"/>
      <c r="N2" s="3737"/>
      <c r="O2" s="3737"/>
      <c r="P2" s="3737"/>
      <c r="Q2" s="3737"/>
      <c r="R2" s="3737"/>
      <c r="S2" s="3737"/>
      <c r="T2" s="3737"/>
    </row>
    <row r="3" spans="1:24" ht="19.5" thickBot="1">
      <c r="A3" s="2779"/>
      <c r="B3" s="2779"/>
      <c r="C3" s="2779"/>
      <c r="D3" s="2779" t="s">
        <v>378</v>
      </c>
      <c r="E3" s="2780"/>
      <c r="F3" s="2781"/>
      <c r="G3" s="2782" t="s">
        <v>217</v>
      </c>
      <c r="H3" s="2779" t="s">
        <v>378</v>
      </c>
      <c r="I3" s="2783" t="s">
        <v>378</v>
      </c>
      <c r="J3" s="2779"/>
      <c r="K3" s="2784"/>
      <c r="L3" s="2779"/>
      <c r="M3" s="2785"/>
      <c r="N3" s="2779"/>
      <c r="O3" s="2779"/>
      <c r="P3" s="2779"/>
      <c r="Q3" s="2779"/>
      <c r="R3" s="2779"/>
      <c r="S3" s="2779"/>
      <c r="T3" s="2781" t="s">
        <v>217</v>
      </c>
    </row>
    <row r="4" spans="1:24" ht="19.5" customHeight="1">
      <c r="A4" s="3738" t="s">
        <v>925</v>
      </c>
      <c r="B4" s="3739"/>
      <c r="C4" s="3739"/>
      <c r="D4" s="3740"/>
      <c r="E4" s="3741" t="s">
        <v>726</v>
      </c>
      <c r="F4" s="3743" t="s">
        <v>1077</v>
      </c>
      <c r="G4" s="3745" t="s">
        <v>11</v>
      </c>
      <c r="H4" s="2786"/>
      <c r="I4" s="3747" t="s">
        <v>814</v>
      </c>
      <c r="J4" s="3748"/>
      <c r="K4" s="3748"/>
      <c r="L4" s="3748"/>
      <c r="M4" s="3748"/>
      <c r="N4" s="3748"/>
      <c r="O4" s="3748"/>
      <c r="P4" s="3748"/>
      <c r="Q4" s="3748"/>
      <c r="R4" s="3748"/>
      <c r="S4" s="3748"/>
      <c r="T4" s="3749"/>
      <c r="U4" s="168"/>
    </row>
    <row r="5" spans="1:24" ht="42.75" customHeight="1" thickBot="1">
      <c r="A5" s="2787" t="s">
        <v>252</v>
      </c>
      <c r="B5" s="2788" t="s">
        <v>1381</v>
      </c>
      <c r="C5" s="2789" t="s">
        <v>221</v>
      </c>
      <c r="D5" s="2789" t="s">
        <v>235</v>
      </c>
      <c r="E5" s="3742"/>
      <c r="F5" s="3744"/>
      <c r="G5" s="3746"/>
      <c r="H5" s="2786"/>
      <c r="I5" s="3750"/>
      <c r="J5" s="3751"/>
      <c r="K5" s="3751"/>
      <c r="L5" s="3751"/>
      <c r="M5" s="3751"/>
      <c r="N5" s="3751"/>
      <c r="O5" s="3751"/>
      <c r="P5" s="3751"/>
      <c r="Q5" s="3751"/>
      <c r="R5" s="3751"/>
      <c r="S5" s="3751"/>
      <c r="T5" s="3752"/>
      <c r="U5" s="168"/>
    </row>
    <row r="6" spans="1:24" s="104" customFormat="1" ht="22.5" customHeight="1" thickBot="1">
      <c r="A6" s="3757" t="s">
        <v>1564</v>
      </c>
      <c r="B6" s="3758"/>
      <c r="C6" s="2790"/>
      <c r="D6" s="2791"/>
      <c r="E6" s="2792">
        <f>E7+E37</f>
        <v>55650789.564999998</v>
      </c>
      <c r="F6" s="2792">
        <f>F7+F37</f>
        <v>55454159.564999923</v>
      </c>
      <c r="G6" s="2793">
        <f>E6-F6</f>
        <v>196630.00000007451</v>
      </c>
      <c r="H6" s="2794"/>
      <c r="I6" s="2795"/>
      <c r="J6" s="2796"/>
      <c r="K6" s="2797"/>
      <c r="L6" s="2798"/>
      <c r="M6" s="2798"/>
      <c r="N6" s="2798"/>
      <c r="O6" s="2798"/>
      <c r="P6" s="2798"/>
      <c r="Q6" s="2798"/>
      <c r="R6" s="2798"/>
      <c r="S6" s="2798"/>
      <c r="T6" s="2799"/>
      <c r="U6" s="1871"/>
      <c r="V6" s="1806"/>
      <c r="W6" s="138"/>
      <c r="X6" s="138"/>
    </row>
    <row r="7" spans="1:24" s="104" customFormat="1" ht="22.5" customHeight="1" thickBot="1">
      <c r="A7" s="2800"/>
      <c r="B7" s="2801" t="s">
        <v>1382</v>
      </c>
      <c r="C7" s="2802"/>
      <c r="D7" s="2791" t="s">
        <v>20</v>
      </c>
      <c r="E7" s="2792">
        <f>E8</f>
        <v>49770307</v>
      </c>
      <c r="F7" s="2792">
        <f>F8</f>
        <v>49620307</v>
      </c>
      <c r="G7" s="2793">
        <f>E7-F7</f>
        <v>150000</v>
      </c>
      <c r="H7" s="2794"/>
      <c r="I7" s="2795"/>
      <c r="J7" s="2798"/>
      <c r="K7" s="2797"/>
      <c r="L7" s="2798"/>
      <c r="M7" s="2798"/>
      <c r="N7" s="2798"/>
      <c r="O7" s="2798"/>
      <c r="P7" s="2798"/>
      <c r="Q7" s="2798"/>
      <c r="R7" s="2798"/>
      <c r="S7" s="2798"/>
      <c r="T7" s="2799"/>
      <c r="U7" s="1871"/>
      <c r="V7" s="1806"/>
      <c r="W7" s="138"/>
      <c r="X7" s="138"/>
    </row>
    <row r="8" spans="1:24" ht="22.5" customHeight="1">
      <c r="A8" s="2803"/>
      <c r="B8" s="2779"/>
      <c r="C8" s="2804" t="s">
        <v>211</v>
      </c>
      <c r="D8" s="2805"/>
      <c r="E8" s="2806">
        <f>SUM(E9:E33)</f>
        <v>49770307</v>
      </c>
      <c r="F8" s="2806">
        <f>SUM(F9:F33)</f>
        <v>49620307</v>
      </c>
      <c r="G8" s="2807">
        <f>E8-F8</f>
        <v>150000</v>
      </c>
      <c r="H8" s="2808"/>
      <c r="I8" s="2809"/>
      <c r="J8" s="2810"/>
      <c r="K8" s="2811"/>
      <c r="L8" s="2810"/>
      <c r="M8" s="2810"/>
      <c r="N8" s="2810"/>
      <c r="O8" s="2810"/>
      <c r="P8" s="2810"/>
      <c r="Q8" s="2810"/>
      <c r="R8" s="2810"/>
      <c r="S8" s="2810"/>
      <c r="T8" s="2812"/>
      <c r="U8" s="168"/>
    </row>
    <row r="9" spans="1:24" ht="22.5" customHeight="1">
      <c r="A9" s="2803"/>
      <c r="B9" s="2813"/>
      <c r="C9" s="2814"/>
      <c r="D9" s="2815" t="s">
        <v>178</v>
      </c>
      <c r="E9" s="2816">
        <f>T9</f>
        <v>3000000</v>
      </c>
      <c r="F9" s="2817">
        <v>3000000</v>
      </c>
      <c r="G9" s="2818"/>
      <c r="H9" s="2808"/>
      <c r="I9" s="2819" t="s">
        <v>988</v>
      </c>
      <c r="J9" s="1146"/>
      <c r="K9" s="3753">
        <v>105111774000</v>
      </c>
      <c r="L9" s="3753"/>
      <c r="M9" s="1146" t="s">
        <v>37</v>
      </c>
      <c r="N9" s="2820">
        <v>3.3736461252949997E-2</v>
      </c>
      <c r="O9" s="3754" t="s">
        <v>222</v>
      </c>
      <c r="P9" s="3754"/>
      <c r="Q9" s="2821">
        <v>0.154</v>
      </c>
      <c r="R9" s="2822" t="s">
        <v>989</v>
      </c>
      <c r="S9" s="1146" t="s">
        <v>5</v>
      </c>
      <c r="T9" s="2695">
        <f>ROUND(U9/1000,0)</f>
        <v>3000000</v>
      </c>
      <c r="U9" s="168">
        <v>3000000000</v>
      </c>
    </row>
    <row r="10" spans="1:24" ht="22.5" customHeight="1">
      <c r="A10" s="2803"/>
      <c r="B10" s="2813"/>
      <c r="C10" s="2814"/>
      <c r="D10" s="2815" t="s">
        <v>179</v>
      </c>
      <c r="E10" s="2816">
        <f>T10</f>
        <v>2650000</v>
      </c>
      <c r="F10" s="2817">
        <v>2500000</v>
      </c>
      <c r="G10" s="2818"/>
      <c r="H10" s="2808"/>
      <c r="I10" s="2823" t="s">
        <v>1073</v>
      </c>
      <c r="J10" s="2824"/>
      <c r="K10" s="2825"/>
      <c r="L10" s="2826"/>
      <c r="M10" s="2826"/>
      <c r="N10" s="2826"/>
      <c r="O10" s="2826"/>
      <c r="P10" s="2826"/>
      <c r="Q10" s="2826"/>
      <c r="R10" s="2826"/>
      <c r="S10" s="2826" t="s">
        <v>5</v>
      </c>
      <c r="T10" s="2827">
        <v>2650000</v>
      </c>
      <c r="U10" s="168"/>
    </row>
    <row r="11" spans="1:24" ht="22.5" customHeight="1">
      <c r="A11" s="2803"/>
      <c r="B11" s="2813"/>
      <c r="C11" s="2814"/>
      <c r="D11" s="2814" t="s">
        <v>990</v>
      </c>
      <c r="E11" s="2828">
        <f>T11</f>
        <v>41697000</v>
      </c>
      <c r="F11" s="2829">
        <v>41697000</v>
      </c>
      <c r="G11" s="2830"/>
      <c r="H11" s="2808"/>
      <c r="I11" s="2831" t="s">
        <v>223</v>
      </c>
      <c r="J11" s="2832"/>
      <c r="K11" s="3733" t="s">
        <v>378</v>
      </c>
      <c r="L11" s="3733"/>
      <c r="M11" s="3733"/>
      <c r="N11" s="3733"/>
      <c r="O11" s="3733"/>
      <c r="P11" s="3733"/>
      <c r="Q11" s="3733"/>
      <c r="R11" s="3733"/>
      <c r="S11" s="1146"/>
      <c r="T11" s="2695">
        <f>SUM(L12:L17,T12:T17)</f>
        <v>41697000</v>
      </c>
      <c r="U11" s="168"/>
    </row>
    <row r="12" spans="1:24" s="15" customFormat="1" ht="22.5" customHeight="1">
      <c r="A12" s="2803"/>
      <c r="B12" s="2813"/>
      <c r="C12" s="2814"/>
      <c r="D12" s="2814"/>
      <c r="E12" s="2829"/>
      <c r="F12" s="2829"/>
      <c r="G12" s="2830"/>
      <c r="H12" s="2808"/>
      <c r="I12" s="3755" t="s">
        <v>1071</v>
      </c>
      <c r="J12" s="3756"/>
      <c r="K12" s="2833" t="s">
        <v>5</v>
      </c>
      <c r="L12" s="1146">
        <v>1345000</v>
      </c>
      <c r="M12" s="1146"/>
      <c r="N12" s="1146" t="s">
        <v>1070</v>
      </c>
      <c r="O12" s="2834"/>
      <c r="P12" s="2832"/>
      <c r="Q12" s="2835"/>
      <c r="R12" s="1146"/>
      <c r="S12" s="1146" t="s">
        <v>5</v>
      </c>
      <c r="T12" s="2695">
        <f>3360000+150000</f>
        <v>3510000</v>
      </c>
      <c r="U12" s="168"/>
      <c r="V12" s="179"/>
      <c r="W12" s="179"/>
      <c r="X12" s="179"/>
    </row>
    <row r="13" spans="1:24" s="15" customFormat="1" ht="22.5" customHeight="1">
      <c r="A13" s="2803"/>
      <c r="B13" s="2813"/>
      <c r="C13" s="2814"/>
      <c r="D13" s="2814"/>
      <c r="E13" s="2829"/>
      <c r="F13" s="2829"/>
      <c r="G13" s="2830"/>
      <c r="H13" s="2808"/>
      <c r="I13" s="3734" t="s">
        <v>1072</v>
      </c>
      <c r="J13" s="3735"/>
      <c r="K13" s="2833" t="s">
        <v>5</v>
      </c>
      <c r="L13" s="1146">
        <f>12672000+2020000+950000</f>
        <v>15642000</v>
      </c>
      <c r="M13" s="1146"/>
      <c r="N13" s="3450" t="s">
        <v>5586</v>
      </c>
      <c r="O13" s="2834"/>
      <c r="P13" s="2832"/>
      <c r="Q13" s="2835"/>
      <c r="R13" s="1146"/>
      <c r="S13" s="1146" t="s">
        <v>5</v>
      </c>
      <c r="T13" s="2695">
        <v>1150000</v>
      </c>
      <c r="U13" s="168"/>
      <c r="V13" s="179"/>
      <c r="W13" s="179"/>
      <c r="X13" s="179"/>
    </row>
    <row r="14" spans="1:24" s="15" customFormat="1" ht="22.5" customHeight="1">
      <c r="A14" s="2803"/>
      <c r="B14" s="2813"/>
      <c r="C14" s="2814"/>
      <c r="D14" s="2836"/>
      <c r="E14" s="2829"/>
      <c r="F14" s="2829"/>
      <c r="G14" s="2830"/>
      <c r="H14" s="2808"/>
      <c r="I14" s="2831" t="s">
        <v>181</v>
      </c>
      <c r="J14" s="2834"/>
      <c r="K14" s="2833" t="s">
        <v>5</v>
      </c>
      <c r="L14" s="1146">
        <v>1927000</v>
      </c>
      <c r="M14" s="1146"/>
      <c r="N14" s="1146" t="s">
        <v>1069</v>
      </c>
      <c r="O14" s="2834"/>
      <c r="P14" s="2834"/>
      <c r="Q14" s="1146"/>
      <c r="R14" s="1146"/>
      <c r="S14" s="1146" t="s">
        <v>1068</v>
      </c>
      <c r="T14" s="2695">
        <v>877000</v>
      </c>
      <c r="U14" s="168"/>
      <c r="V14" s="179"/>
      <c r="W14" s="179"/>
      <c r="X14" s="179"/>
    </row>
    <row r="15" spans="1:24" s="15" customFormat="1" ht="22.5" customHeight="1">
      <c r="A15" s="2803"/>
      <c r="B15" s="2813"/>
      <c r="C15" s="2814"/>
      <c r="D15" s="2814"/>
      <c r="E15" s="2829"/>
      <c r="F15" s="2829"/>
      <c r="G15" s="2830"/>
      <c r="H15" s="2808"/>
      <c r="I15" s="2831" t="s">
        <v>1062</v>
      </c>
      <c r="J15" s="2832"/>
      <c r="K15" s="2833" t="s">
        <v>5</v>
      </c>
      <c r="L15" s="1146">
        <v>4311000</v>
      </c>
      <c r="M15" s="1146"/>
      <c r="N15" s="1146" t="s">
        <v>1061</v>
      </c>
      <c r="O15" s="2834"/>
      <c r="P15" s="2834"/>
      <c r="Q15" s="2837"/>
      <c r="R15" s="2837"/>
      <c r="S15" s="1146" t="s">
        <v>5</v>
      </c>
      <c r="T15" s="2695">
        <f>2635000+50000</f>
        <v>2685000</v>
      </c>
      <c r="U15" s="168"/>
      <c r="V15" s="179"/>
      <c r="W15" s="179"/>
      <c r="X15" s="179"/>
    </row>
    <row r="16" spans="1:24" s="15" customFormat="1" ht="22.5" customHeight="1">
      <c r="A16" s="2803"/>
      <c r="B16" s="2813"/>
      <c r="C16" s="2814"/>
      <c r="D16" s="2814"/>
      <c r="E16" s="2829"/>
      <c r="F16" s="2829"/>
      <c r="G16" s="2830"/>
      <c r="H16" s="2808"/>
      <c r="I16" s="2831" t="s">
        <v>1063</v>
      </c>
      <c r="J16" s="2832"/>
      <c r="K16" s="2833" t="s">
        <v>5</v>
      </c>
      <c r="L16" s="1146">
        <f>2570000+50000</f>
        <v>2620000</v>
      </c>
      <c r="M16" s="1146"/>
      <c r="N16" s="1146" t="s">
        <v>1064</v>
      </c>
      <c r="O16" s="2834"/>
      <c r="P16" s="2834"/>
      <c r="Q16" s="2837"/>
      <c r="R16" s="2837"/>
      <c r="S16" s="1146" t="s">
        <v>5</v>
      </c>
      <c r="T16" s="2695">
        <f>2181000+50000</f>
        <v>2231000</v>
      </c>
      <c r="U16" s="168"/>
      <c r="V16" s="179"/>
      <c r="W16" s="179"/>
      <c r="X16" s="179"/>
    </row>
    <row r="17" spans="1:24" s="15" customFormat="1" ht="22.5" customHeight="1">
      <c r="A17" s="2803"/>
      <c r="B17" s="2813"/>
      <c r="C17" s="2814"/>
      <c r="D17" s="2814"/>
      <c r="E17" s="2829"/>
      <c r="F17" s="2829"/>
      <c r="G17" s="2830"/>
      <c r="H17" s="2808"/>
      <c r="I17" s="2831" t="s">
        <v>1065</v>
      </c>
      <c r="J17" s="2832"/>
      <c r="K17" s="2833" t="s">
        <v>5</v>
      </c>
      <c r="L17" s="1146">
        <f>2573000</f>
        <v>2573000</v>
      </c>
      <c r="M17" s="1146"/>
      <c r="N17" s="1146" t="s">
        <v>1066</v>
      </c>
      <c r="O17" s="2834"/>
      <c r="P17" s="2834"/>
      <c r="Q17" s="2837"/>
      <c r="R17" s="2837"/>
      <c r="S17" s="1146" t="s">
        <v>5</v>
      </c>
      <c r="T17" s="2695">
        <f>2776000+50000</f>
        <v>2826000</v>
      </c>
      <c r="U17" s="168"/>
      <c r="V17" s="179"/>
      <c r="W17" s="179"/>
      <c r="X17" s="179"/>
    </row>
    <row r="18" spans="1:24" ht="22.5" customHeight="1">
      <c r="A18" s="2838"/>
      <c r="B18" s="2839"/>
      <c r="C18" s="2840"/>
      <c r="D18" s="2841" t="s">
        <v>992</v>
      </c>
      <c r="E18" s="2842">
        <f>T18</f>
        <v>372000</v>
      </c>
      <c r="F18" s="2842">
        <v>372000</v>
      </c>
      <c r="G18" s="2843"/>
      <c r="H18" s="2844"/>
      <c r="I18" s="2845" t="s">
        <v>182</v>
      </c>
      <c r="J18" s="2846"/>
      <c r="K18" s="2847" t="s">
        <v>378</v>
      </c>
      <c r="L18" s="2848"/>
      <c r="M18" s="2848"/>
      <c r="N18" s="2848"/>
      <c r="O18" s="2848"/>
      <c r="P18" s="2848"/>
      <c r="Q18" s="2848"/>
      <c r="R18" s="2848"/>
      <c r="S18" s="2849"/>
      <c r="T18" s="2850">
        <f>+L19+L20+L21+T19+T20+T21</f>
        <v>372000</v>
      </c>
      <c r="U18" s="168"/>
    </row>
    <row r="19" spans="1:24" s="15" customFormat="1" ht="22.5" customHeight="1">
      <c r="A19" s="2803"/>
      <c r="B19" s="2813"/>
      <c r="C19" s="2814"/>
      <c r="D19" s="2814"/>
      <c r="E19" s="2829"/>
      <c r="F19" s="2829"/>
      <c r="G19" s="2830"/>
      <c r="H19" s="2808"/>
      <c r="I19" s="2831" t="s">
        <v>1062</v>
      </c>
      <c r="J19" s="2832"/>
      <c r="K19" s="2833" t="s">
        <v>5</v>
      </c>
      <c r="L19" s="1146">
        <f>5000+40000</f>
        <v>45000</v>
      </c>
      <c r="M19" s="1146"/>
      <c r="N19" s="2785"/>
      <c r="O19" s="2785"/>
      <c r="P19" s="1146" t="s">
        <v>1064</v>
      </c>
      <c r="Q19" s="2785"/>
      <c r="R19" s="2785"/>
      <c r="S19" s="2833" t="s">
        <v>5</v>
      </c>
      <c r="T19" s="2695">
        <v>55000</v>
      </c>
      <c r="U19" s="168"/>
      <c r="V19" s="179"/>
      <c r="W19" s="179"/>
      <c r="X19" s="179"/>
    </row>
    <row r="20" spans="1:24" s="15" customFormat="1" ht="22.5" customHeight="1">
      <c r="A20" s="2803"/>
      <c r="B20" s="2813"/>
      <c r="C20" s="2814"/>
      <c r="D20" s="2814"/>
      <c r="E20" s="2829"/>
      <c r="F20" s="2829"/>
      <c r="G20" s="2830"/>
      <c r="H20" s="2808"/>
      <c r="I20" s="2831" t="s">
        <v>1061</v>
      </c>
      <c r="J20" s="2832"/>
      <c r="K20" s="2833" t="s">
        <v>5</v>
      </c>
      <c r="L20" s="1146">
        <v>17000</v>
      </c>
      <c r="M20" s="1146"/>
      <c r="N20" s="2785"/>
      <c r="O20" s="2785"/>
      <c r="P20" s="1146" t="s">
        <v>1065</v>
      </c>
      <c r="Q20" s="2834"/>
      <c r="R20" s="2834"/>
      <c r="S20" s="2833" t="s">
        <v>5</v>
      </c>
      <c r="T20" s="2695">
        <v>160000</v>
      </c>
      <c r="U20" s="168"/>
      <c r="V20" s="179"/>
      <c r="W20" s="179"/>
      <c r="X20" s="179"/>
    </row>
    <row r="21" spans="1:24" s="15" customFormat="1" ht="22.5" customHeight="1">
      <c r="A21" s="2803"/>
      <c r="B21" s="2813"/>
      <c r="C21" s="2814"/>
      <c r="D21" s="2814"/>
      <c r="E21" s="2829"/>
      <c r="F21" s="2829"/>
      <c r="G21" s="2830"/>
      <c r="H21" s="2808"/>
      <c r="I21" s="2831" t="s">
        <v>1063</v>
      </c>
      <c r="J21" s="2832"/>
      <c r="K21" s="2833" t="s">
        <v>5</v>
      </c>
      <c r="L21" s="1146">
        <f>10000+40000</f>
        <v>50000</v>
      </c>
      <c r="M21" s="1146"/>
      <c r="N21" s="2785"/>
      <c r="O21" s="2785"/>
      <c r="P21" s="1146" t="s">
        <v>1066</v>
      </c>
      <c r="Q21" s="2785"/>
      <c r="R21" s="2785"/>
      <c r="S21" s="2833" t="s">
        <v>5</v>
      </c>
      <c r="T21" s="2695">
        <f>5000+40000</f>
        <v>45000</v>
      </c>
      <c r="U21" s="168"/>
      <c r="V21" s="179"/>
      <c r="W21" s="179"/>
      <c r="X21" s="179"/>
    </row>
    <row r="22" spans="1:24" s="17" customFormat="1" ht="22.5" customHeight="1">
      <c r="A22" s="2838"/>
      <c r="B22" s="2839"/>
      <c r="C22" s="2840"/>
      <c r="D22" s="2851" t="s">
        <v>183</v>
      </c>
      <c r="E22" s="2842">
        <f>T22</f>
        <v>242000</v>
      </c>
      <c r="F22" s="2842">
        <v>242000</v>
      </c>
      <c r="G22" s="2843"/>
      <c r="H22" s="2808"/>
      <c r="I22" s="2852" t="s">
        <v>182</v>
      </c>
      <c r="J22" s="2853"/>
      <c r="K22" s="2854"/>
      <c r="L22" s="2855"/>
      <c r="M22" s="2855"/>
      <c r="N22" s="2856"/>
      <c r="O22" s="2856"/>
      <c r="P22" s="2856"/>
      <c r="Q22" s="2856"/>
      <c r="R22" s="2856"/>
      <c r="S22" s="2854"/>
      <c r="T22" s="2697">
        <f>SUM(T23:T24)</f>
        <v>242000</v>
      </c>
      <c r="U22" s="168"/>
      <c r="V22" s="179"/>
      <c r="W22" s="449"/>
      <c r="X22" s="449"/>
    </row>
    <row r="23" spans="1:24" s="17" customFormat="1" ht="22.5" customHeight="1">
      <c r="A23" s="2838"/>
      <c r="B23" s="2839"/>
      <c r="C23" s="2840"/>
      <c r="D23" s="2840"/>
      <c r="E23" s="2828"/>
      <c r="F23" s="2828"/>
      <c r="G23" s="2857"/>
      <c r="H23" s="2808"/>
      <c r="I23" s="2831" t="s">
        <v>1060</v>
      </c>
      <c r="J23" s="2832"/>
      <c r="K23" s="2833"/>
      <c r="L23" s="1146"/>
      <c r="M23" s="1146"/>
      <c r="N23" s="2837"/>
      <c r="O23" s="2837"/>
      <c r="P23" s="2837"/>
      <c r="Q23" s="2837"/>
      <c r="R23" s="2837"/>
      <c r="S23" s="2833" t="s">
        <v>5</v>
      </c>
      <c r="T23" s="2695">
        <f>100000+35000</f>
        <v>135000</v>
      </c>
      <c r="U23" s="168"/>
      <c r="V23" s="179"/>
      <c r="W23" s="449"/>
      <c r="X23" s="449"/>
    </row>
    <row r="24" spans="1:24" s="17" customFormat="1" ht="20.25" customHeight="1">
      <c r="A24" s="2838"/>
      <c r="B24" s="2839"/>
      <c r="C24" s="2840"/>
      <c r="D24" s="2840"/>
      <c r="E24" s="2828"/>
      <c r="F24" s="2828"/>
      <c r="G24" s="2857"/>
      <c r="H24" s="2808"/>
      <c r="I24" s="2809" t="s">
        <v>1061</v>
      </c>
      <c r="J24" s="2858"/>
      <c r="K24" s="2811"/>
      <c r="L24" s="2810"/>
      <c r="M24" s="2810"/>
      <c r="N24" s="2859"/>
      <c r="O24" s="2859"/>
      <c r="P24" s="2859"/>
      <c r="Q24" s="2859"/>
      <c r="R24" s="2859"/>
      <c r="S24" s="2811" t="s">
        <v>5</v>
      </c>
      <c r="T24" s="2812">
        <f>35000+72000</f>
        <v>107000</v>
      </c>
      <c r="U24" s="168"/>
      <c r="V24" s="179"/>
      <c r="W24" s="449"/>
      <c r="X24" s="449"/>
    </row>
    <row r="25" spans="1:24" s="17" customFormat="1" ht="22.5" customHeight="1">
      <c r="A25" s="2803"/>
      <c r="B25" s="2813"/>
      <c r="C25" s="2814"/>
      <c r="D25" s="2860" t="s">
        <v>993</v>
      </c>
      <c r="E25" s="2842">
        <f>T25</f>
        <v>1590000</v>
      </c>
      <c r="F25" s="2861">
        <v>1590000</v>
      </c>
      <c r="G25" s="2862"/>
      <c r="H25" s="2808"/>
      <c r="I25" s="2831" t="s">
        <v>223</v>
      </c>
      <c r="J25" s="2832"/>
      <c r="K25" s="3733" t="s">
        <v>378</v>
      </c>
      <c r="L25" s="3733"/>
      <c r="M25" s="3733"/>
      <c r="N25" s="3733"/>
      <c r="O25" s="3733"/>
      <c r="P25" s="3733"/>
      <c r="Q25" s="3733"/>
      <c r="R25" s="3733"/>
      <c r="S25" s="2833"/>
      <c r="T25" s="2695">
        <f>SUM(L26,L27,L28,T26,T27,T28)</f>
        <v>1590000</v>
      </c>
      <c r="U25" s="168"/>
      <c r="V25" s="179"/>
      <c r="W25" s="449"/>
      <c r="X25" s="449"/>
    </row>
    <row r="26" spans="1:24" s="15" customFormat="1" ht="22.5" customHeight="1">
      <c r="A26" s="2803"/>
      <c r="B26" s="2813"/>
      <c r="C26" s="2814"/>
      <c r="D26" s="2814"/>
      <c r="E26" s="2829"/>
      <c r="F26" s="2829"/>
      <c r="G26" s="2830"/>
      <c r="H26" s="2808"/>
      <c r="I26" s="2831" t="s">
        <v>1062</v>
      </c>
      <c r="J26" s="2832"/>
      <c r="K26" s="2833" t="s">
        <v>5</v>
      </c>
      <c r="L26" s="1146">
        <v>80000</v>
      </c>
      <c r="M26" s="1146"/>
      <c r="N26" s="2834"/>
      <c r="O26" s="2835"/>
      <c r="P26" s="1146" t="s">
        <v>1064</v>
      </c>
      <c r="Q26" s="1146"/>
      <c r="R26" s="1146"/>
      <c r="S26" s="2833" t="s">
        <v>5</v>
      </c>
      <c r="T26" s="2695">
        <v>100000</v>
      </c>
      <c r="U26" s="168"/>
      <c r="V26" s="179"/>
      <c r="W26" s="179"/>
      <c r="X26" s="179"/>
    </row>
    <row r="27" spans="1:24" s="15" customFormat="1" ht="22.5" customHeight="1">
      <c r="A27" s="2803"/>
      <c r="B27" s="2813"/>
      <c r="C27" s="2814"/>
      <c r="D27" s="2814"/>
      <c r="E27" s="2829"/>
      <c r="F27" s="2829"/>
      <c r="G27" s="2830"/>
      <c r="H27" s="2808"/>
      <c r="I27" s="2831" t="s">
        <v>1061</v>
      </c>
      <c r="J27" s="2832"/>
      <c r="K27" s="2833" t="s">
        <v>5</v>
      </c>
      <c r="L27" s="1146">
        <v>80000</v>
      </c>
      <c r="M27" s="1146"/>
      <c r="N27" s="2837"/>
      <c r="O27" s="2835"/>
      <c r="P27" s="1146" t="s">
        <v>1065</v>
      </c>
      <c r="Q27" s="2837"/>
      <c r="R27" s="2837"/>
      <c r="S27" s="2833" t="s">
        <v>5</v>
      </c>
      <c r="T27" s="2695">
        <v>130000</v>
      </c>
      <c r="U27" s="168"/>
      <c r="V27" s="179"/>
      <c r="W27" s="179"/>
      <c r="X27" s="179"/>
    </row>
    <row r="28" spans="1:24" s="15" customFormat="1" ht="22.5" customHeight="1">
      <c r="A28" s="2803"/>
      <c r="B28" s="2813"/>
      <c r="C28" s="2814"/>
      <c r="D28" s="2814"/>
      <c r="E28" s="2829"/>
      <c r="F28" s="2829"/>
      <c r="G28" s="2830"/>
      <c r="H28" s="2808"/>
      <c r="I28" s="2831" t="s">
        <v>1063</v>
      </c>
      <c r="J28" s="2832"/>
      <c r="K28" s="2833" t="s">
        <v>5</v>
      </c>
      <c r="L28" s="1146">
        <v>100000</v>
      </c>
      <c r="M28" s="1146"/>
      <c r="N28" s="2837"/>
      <c r="O28" s="2835"/>
      <c r="P28" s="1146" t="s">
        <v>1066</v>
      </c>
      <c r="Q28" s="2837"/>
      <c r="R28" s="2837"/>
      <c r="S28" s="2833" t="s">
        <v>5</v>
      </c>
      <c r="T28" s="2695">
        <v>1100000</v>
      </c>
      <c r="U28" s="168"/>
      <c r="V28" s="179"/>
      <c r="W28" s="179"/>
      <c r="X28" s="179"/>
    </row>
    <row r="29" spans="1:24" s="17" customFormat="1" ht="22.5" customHeight="1">
      <c r="A29" s="2838"/>
      <c r="B29" s="2839"/>
      <c r="C29" s="2840"/>
      <c r="D29" s="2851" t="s">
        <v>184</v>
      </c>
      <c r="E29" s="2842">
        <f>T29</f>
        <v>168000</v>
      </c>
      <c r="F29" s="2842">
        <v>168000</v>
      </c>
      <c r="G29" s="2843"/>
      <c r="H29" s="2844"/>
      <c r="I29" s="3764" t="s">
        <v>994</v>
      </c>
      <c r="J29" s="3765"/>
      <c r="K29" s="3765"/>
      <c r="L29" s="3765"/>
      <c r="M29" s="3765"/>
      <c r="N29" s="3765"/>
      <c r="O29" s="3765"/>
      <c r="P29" s="3765"/>
      <c r="Q29" s="3765"/>
      <c r="R29" s="3765"/>
      <c r="S29" s="2854"/>
      <c r="T29" s="2863">
        <f>SUM(L30:L32,T30:T32)</f>
        <v>168000</v>
      </c>
      <c r="U29" s="168"/>
      <c r="V29" s="179"/>
      <c r="W29" s="449"/>
      <c r="X29" s="449"/>
    </row>
    <row r="30" spans="1:24" s="15" customFormat="1" ht="20.25" customHeight="1">
      <c r="A30" s="2803"/>
      <c r="B30" s="2813"/>
      <c r="C30" s="2814"/>
      <c r="D30" s="2814"/>
      <c r="E30" s="2829"/>
      <c r="F30" s="2829"/>
      <c r="G30" s="2830"/>
      <c r="H30" s="2808"/>
      <c r="I30" s="2831" t="s">
        <v>181</v>
      </c>
      <c r="J30" s="2832"/>
      <c r="K30" s="2833" t="s">
        <v>5</v>
      </c>
      <c r="L30" s="1146">
        <v>80000</v>
      </c>
      <c r="M30" s="1146"/>
      <c r="N30" s="2834"/>
      <c r="O30" s="2835"/>
      <c r="P30" s="1146" t="s">
        <v>1063</v>
      </c>
      <c r="Q30" s="1146"/>
      <c r="R30" s="1146"/>
      <c r="S30" s="2833" t="s">
        <v>5</v>
      </c>
      <c r="T30" s="2695">
        <v>5000</v>
      </c>
      <c r="U30" s="168"/>
      <c r="V30" s="179"/>
      <c r="W30" s="179"/>
      <c r="X30" s="179"/>
    </row>
    <row r="31" spans="1:24" s="15" customFormat="1" ht="20.25" customHeight="1">
      <c r="A31" s="2803"/>
      <c r="B31" s="2813"/>
      <c r="C31" s="2814"/>
      <c r="D31" s="2814"/>
      <c r="E31" s="2829"/>
      <c r="F31" s="2829"/>
      <c r="G31" s="2830"/>
      <c r="H31" s="2808"/>
      <c r="I31" s="2831" t="s">
        <v>1062</v>
      </c>
      <c r="J31" s="2832"/>
      <c r="K31" s="2833" t="s">
        <v>5</v>
      </c>
      <c r="L31" s="1146">
        <v>38000</v>
      </c>
      <c r="M31" s="1146"/>
      <c r="N31" s="2837"/>
      <c r="O31" s="2835"/>
      <c r="P31" s="1146" t="s">
        <v>1064</v>
      </c>
      <c r="Q31" s="1146"/>
      <c r="R31" s="1146"/>
      <c r="S31" s="2833" t="s">
        <v>5</v>
      </c>
      <c r="T31" s="2695">
        <v>25000</v>
      </c>
      <c r="U31" s="168"/>
      <c r="V31" s="179"/>
      <c r="W31" s="179"/>
      <c r="X31" s="179"/>
    </row>
    <row r="32" spans="1:24" s="15" customFormat="1" ht="20.25" customHeight="1">
      <c r="A32" s="2803"/>
      <c r="B32" s="2813"/>
      <c r="C32" s="2814"/>
      <c r="D32" s="2814"/>
      <c r="E32" s="2829"/>
      <c r="F32" s="2829"/>
      <c r="G32" s="2830"/>
      <c r="H32" s="2808"/>
      <c r="I32" s="2831" t="s">
        <v>1061</v>
      </c>
      <c r="J32" s="2832"/>
      <c r="K32" s="2833" t="s">
        <v>5</v>
      </c>
      <c r="L32" s="1146">
        <v>0</v>
      </c>
      <c r="M32" s="1146"/>
      <c r="N32" s="2837"/>
      <c r="O32" s="2835"/>
      <c r="P32" s="1146" t="s">
        <v>1066</v>
      </c>
      <c r="Q32" s="2837"/>
      <c r="R32" s="2837"/>
      <c r="S32" s="2833" t="s">
        <v>5</v>
      </c>
      <c r="T32" s="2695">
        <v>20000</v>
      </c>
      <c r="U32" s="168"/>
      <c r="V32" s="179"/>
      <c r="W32" s="179"/>
      <c r="X32" s="179"/>
    </row>
    <row r="33" spans="1:24" s="1679" customFormat="1" ht="22.5" customHeight="1">
      <c r="A33" s="2838"/>
      <c r="B33" s="2839"/>
      <c r="C33" s="2840"/>
      <c r="D33" s="2851" t="s">
        <v>1934</v>
      </c>
      <c r="E33" s="2842">
        <f>T33</f>
        <v>51307</v>
      </c>
      <c r="F33" s="2842">
        <v>51307</v>
      </c>
      <c r="G33" s="2862"/>
      <c r="H33" s="2844"/>
      <c r="I33" s="3764" t="s">
        <v>994</v>
      </c>
      <c r="J33" s="3765"/>
      <c r="K33" s="3765"/>
      <c r="L33" s="3765"/>
      <c r="M33" s="3765"/>
      <c r="N33" s="3765"/>
      <c r="O33" s="3765"/>
      <c r="P33" s="3765"/>
      <c r="Q33" s="3765"/>
      <c r="R33" s="3765"/>
      <c r="S33" s="2854"/>
      <c r="T33" s="2863">
        <f>U33/1000</f>
        <v>51307</v>
      </c>
      <c r="U33" s="168">
        <f>SUM(U34:U36)</f>
        <v>51307000</v>
      </c>
      <c r="V33" s="179"/>
      <c r="W33" s="449"/>
      <c r="X33" s="449"/>
    </row>
    <row r="34" spans="1:24" s="15" customFormat="1" ht="20.25" customHeight="1">
      <c r="A34" s="2803"/>
      <c r="B34" s="2813"/>
      <c r="C34" s="2814"/>
      <c r="D34" s="2814"/>
      <c r="E34" s="2829"/>
      <c r="F34" s="2829"/>
      <c r="G34" s="2830"/>
      <c r="H34" s="2808"/>
      <c r="I34" s="2831" t="s">
        <v>1936</v>
      </c>
      <c r="J34" s="2832"/>
      <c r="K34" s="2833"/>
      <c r="L34" s="1146"/>
      <c r="M34" s="1146"/>
      <c r="N34" s="2834"/>
      <c r="O34" s="2835"/>
      <c r="P34" s="1146"/>
      <c r="Q34" s="1146"/>
      <c r="R34" s="1146"/>
      <c r="S34" s="2833" t="s">
        <v>5</v>
      </c>
      <c r="T34" s="2695">
        <f>U34/1000</f>
        <v>18507</v>
      </c>
      <c r="U34" s="168">
        <v>18507000</v>
      </c>
      <c r="V34" s="179"/>
      <c r="W34" s="179"/>
      <c r="X34" s="179"/>
    </row>
    <row r="35" spans="1:24" s="15" customFormat="1" ht="20.25" customHeight="1">
      <c r="A35" s="2803"/>
      <c r="B35" s="2813"/>
      <c r="C35" s="2814"/>
      <c r="D35" s="2814"/>
      <c r="E35" s="2829"/>
      <c r="F35" s="2829"/>
      <c r="G35" s="2830"/>
      <c r="H35" s="2808"/>
      <c r="I35" s="3449" t="s">
        <v>5587</v>
      </c>
      <c r="J35" s="2832"/>
      <c r="K35" s="2833"/>
      <c r="L35" s="3450"/>
      <c r="M35" s="3450"/>
      <c r="N35" s="2837"/>
      <c r="O35" s="2835"/>
      <c r="P35" s="3450"/>
      <c r="Q35" s="3450"/>
      <c r="R35" s="3450"/>
      <c r="S35" s="2833" t="s">
        <v>5</v>
      </c>
      <c r="T35" s="2695">
        <v>13800</v>
      </c>
      <c r="U35" s="168">
        <f>T35*1000</f>
        <v>13800000</v>
      </c>
      <c r="V35" s="179"/>
      <c r="W35" s="179"/>
      <c r="X35" s="179"/>
    </row>
    <row r="36" spans="1:24" s="15" customFormat="1" ht="20.25" customHeight="1">
      <c r="A36" s="2803"/>
      <c r="B36" s="2813"/>
      <c r="C36" s="2814"/>
      <c r="D36" s="2814"/>
      <c r="E36" s="2829"/>
      <c r="F36" s="2829"/>
      <c r="G36" s="2830"/>
      <c r="H36" s="2808"/>
      <c r="I36" s="2831" t="s">
        <v>1935</v>
      </c>
      <c r="J36" s="2832"/>
      <c r="K36" s="2833"/>
      <c r="L36" s="1146"/>
      <c r="M36" s="1146"/>
      <c r="N36" s="2837"/>
      <c r="O36" s="2835"/>
      <c r="P36" s="1146"/>
      <c r="Q36" s="1146"/>
      <c r="R36" s="1146"/>
      <c r="S36" s="2833" t="s">
        <v>5</v>
      </c>
      <c r="T36" s="2695">
        <v>19000</v>
      </c>
      <c r="U36" s="168">
        <f>T36*1000</f>
        <v>19000000</v>
      </c>
      <c r="V36" s="179"/>
      <c r="W36" s="179"/>
      <c r="X36" s="179"/>
    </row>
    <row r="37" spans="1:24" s="143" customFormat="1" ht="22.5" customHeight="1">
      <c r="A37" s="2864"/>
      <c r="B37" s="2865" t="s">
        <v>1383</v>
      </c>
      <c r="C37" s="2866"/>
      <c r="D37" s="2867"/>
      <c r="E37" s="2868">
        <f>+E38</f>
        <v>5880482.5649999995</v>
      </c>
      <c r="F37" s="2868">
        <f>+F38</f>
        <v>5833852.5649999203</v>
      </c>
      <c r="G37" s="2869">
        <f>E37-F37</f>
        <v>46630.000000079162</v>
      </c>
      <c r="H37" s="2844"/>
      <c r="I37" s="2870"/>
      <c r="J37" s="2871"/>
      <c r="K37" s="2872"/>
      <c r="L37" s="2873"/>
      <c r="M37" s="2874"/>
      <c r="N37" s="2874"/>
      <c r="O37" s="2874"/>
      <c r="P37" s="2875"/>
      <c r="Q37" s="2874"/>
      <c r="R37" s="2874"/>
      <c r="S37" s="2871"/>
      <c r="T37" s="2876"/>
      <c r="U37" s="1871"/>
      <c r="V37" s="179"/>
      <c r="W37" s="1637"/>
      <c r="X37" s="1637"/>
    </row>
    <row r="38" spans="1:24" ht="22.5" customHeight="1">
      <c r="A38" s="2838"/>
      <c r="B38" s="2877"/>
      <c r="C38" s="3759" t="s">
        <v>185</v>
      </c>
      <c r="D38" s="3760"/>
      <c r="E38" s="2878">
        <f>SUM(E39:E58)</f>
        <v>5880482.5649999995</v>
      </c>
      <c r="F38" s="2878">
        <f>SUM(F39:F58)</f>
        <v>5833852.5649999203</v>
      </c>
      <c r="G38" s="2807">
        <f>E38-F38</f>
        <v>46630.000000079162</v>
      </c>
      <c r="H38" s="2844"/>
      <c r="I38" s="3761"/>
      <c r="J38" s="3762"/>
      <c r="K38" s="3762"/>
      <c r="L38" s="2879"/>
      <c r="M38" s="2880"/>
      <c r="N38" s="2881"/>
      <c r="O38" s="2880"/>
      <c r="P38" s="2880"/>
      <c r="Q38" s="2880"/>
      <c r="R38" s="2880"/>
      <c r="S38" s="2882"/>
      <c r="T38" s="2883"/>
      <c r="U38" s="168"/>
    </row>
    <row r="39" spans="1:24" ht="22.5" customHeight="1">
      <c r="A39" s="2838"/>
      <c r="B39" s="2839"/>
      <c r="C39" s="2840"/>
      <c r="D39" s="2840" t="s">
        <v>995</v>
      </c>
      <c r="E39" s="2884">
        <f>T39</f>
        <v>120000</v>
      </c>
      <c r="F39" s="2828">
        <v>120000</v>
      </c>
      <c r="G39" s="2857"/>
      <c r="H39" s="2844"/>
      <c r="I39" s="2885" t="s">
        <v>996</v>
      </c>
      <c r="J39" s="2834"/>
      <c r="K39" s="2833"/>
      <c r="L39" s="2886"/>
      <c r="M39" s="2834"/>
      <c r="N39" s="2834"/>
      <c r="O39" s="2834"/>
      <c r="P39" s="2834"/>
      <c r="Q39" s="2834"/>
      <c r="R39" s="2834"/>
      <c r="S39" s="2849" t="s">
        <v>5</v>
      </c>
      <c r="T39" s="2887">
        <v>120000</v>
      </c>
      <c r="U39" s="168"/>
    </row>
    <row r="40" spans="1:24" s="17" customFormat="1" ht="22.5" customHeight="1">
      <c r="A40" s="2838"/>
      <c r="B40" s="2839"/>
      <c r="C40" s="2840"/>
      <c r="D40" s="2851" t="s">
        <v>273</v>
      </c>
      <c r="E40" s="2842">
        <f>+T40</f>
        <v>3751852.5649999999</v>
      </c>
      <c r="F40" s="2842">
        <v>3751852.5649999999</v>
      </c>
      <c r="G40" s="2843"/>
      <c r="H40" s="2844"/>
      <c r="I40" s="2888" t="s">
        <v>1275</v>
      </c>
      <c r="J40" s="2889"/>
      <c r="K40" s="2889"/>
      <c r="L40" s="2890" t="s">
        <v>1365</v>
      </c>
      <c r="M40" s="2889" t="s">
        <v>1276</v>
      </c>
      <c r="N40" s="2889"/>
      <c r="O40" s="2889"/>
      <c r="P40" s="2889"/>
      <c r="Q40" s="2889"/>
      <c r="R40" s="2889"/>
      <c r="S40" s="2854" t="s">
        <v>5</v>
      </c>
      <c r="T40" s="2863">
        <f>L40/1000</f>
        <v>3751852.5649999999</v>
      </c>
      <c r="U40" s="168"/>
      <c r="V40" s="179"/>
      <c r="W40" s="449"/>
      <c r="X40" s="449"/>
    </row>
    <row r="41" spans="1:24" ht="22.5" customHeight="1">
      <c r="A41" s="2838"/>
      <c r="B41" s="2839"/>
      <c r="C41" s="2840"/>
      <c r="D41" s="2851" t="s">
        <v>997</v>
      </c>
      <c r="E41" s="2842">
        <f>+T41</f>
        <v>979500</v>
      </c>
      <c r="F41" s="2842">
        <v>979499.99999992002</v>
      </c>
      <c r="G41" s="2843"/>
      <c r="H41" s="2844"/>
      <c r="I41" s="2845" t="s">
        <v>1563</v>
      </c>
      <c r="J41" s="2846"/>
      <c r="K41" s="2854"/>
      <c r="L41" s="2891"/>
      <c r="M41" s="2892"/>
      <c r="N41" s="2892"/>
      <c r="O41" s="2892"/>
      <c r="P41" s="2892"/>
      <c r="Q41" s="2892"/>
      <c r="R41" s="2892"/>
      <c r="S41" s="2849"/>
      <c r="T41" s="2850">
        <f>SUM(T42,T43,L44,L45,L46,T44,T45,T46)</f>
        <v>979500</v>
      </c>
      <c r="U41" s="168"/>
    </row>
    <row r="42" spans="1:24" ht="22.5" customHeight="1">
      <c r="A42" s="2838"/>
      <c r="B42" s="2839"/>
      <c r="C42" s="2840"/>
      <c r="D42" s="2840"/>
      <c r="E42" s="2828"/>
      <c r="F42" s="2828"/>
      <c r="G42" s="2857"/>
      <c r="H42" s="2844"/>
      <c r="I42" s="2893" t="s">
        <v>999</v>
      </c>
      <c r="J42" s="2894"/>
      <c r="K42" s="2833"/>
      <c r="L42" s="2886">
        <v>35000000</v>
      </c>
      <c r="M42" s="2834" t="s">
        <v>37</v>
      </c>
      <c r="N42" s="2834">
        <v>12</v>
      </c>
      <c r="O42" s="2834" t="s">
        <v>386</v>
      </c>
      <c r="P42" s="2834"/>
      <c r="Q42" s="2834"/>
      <c r="R42" s="2834"/>
      <c r="S42" s="2895" t="s">
        <v>5</v>
      </c>
      <c r="T42" s="2695">
        <f>L42*N42/1000</f>
        <v>420000</v>
      </c>
      <c r="U42" s="168"/>
      <c r="V42" s="179">
        <f>T42*1000000</f>
        <v>420000000000</v>
      </c>
    </row>
    <row r="43" spans="1:24" s="17" customFormat="1" ht="22.5" customHeight="1">
      <c r="A43" s="2838"/>
      <c r="B43" s="2839"/>
      <c r="C43" s="2840"/>
      <c r="D43" s="2840"/>
      <c r="E43" s="2828"/>
      <c r="F43" s="2828"/>
      <c r="G43" s="2857"/>
      <c r="H43" s="2844"/>
      <c r="I43" s="2893" t="s">
        <v>188</v>
      </c>
      <c r="J43" s="2894"/>
      <c r="K43" s="2833"/>
      <c r="L43" s="2886">
        <v>6666666.666666667</v>
      </c>
      <c r="M43" s="2834" t="s">
        <v>37</v>
      </c>
      <c r="N43" s="2834">
        <v>12</v>
      </c>
      <c r="O43" s="2834" t="s">
        <v>386</v>
      </c>
      <c r="P43" s="2834"/>
      <c r="Q43" s="2834"/>
      <c r="R43" s="2834"/>
      <c r="S43" s="2895" t="s">
        <v>5</v>
      </c>
      <c r="T43" s="2887">
        <f>L43*N43/1000</f>
        <v>80000</v>
      </c>
      <c r="U43" s="168"/>
      <c r="V43" s="179">
        <f t="shared" ref="V43:V46" si="0">T43*1000000</f>
        <v>80000000000</v>
      </c>
      <c r="W43" s="449"/>
      <c r="X43" s="449"/>
    </row>
    <row r="44" spans="1:24" s="15" customFormat="1" ht="20.25" customHeight="1">
      <c r="A44" s="2803"/>
      <c r="B44" s="2813"/>
      <c r="C44" s="2814"/>
      <c r="D44" s="2814"/>
      <c r="E44" s="2829"/>
      <c r="F44" s="2829"/>
      <c r="G44" s="2830"/>
      <c r="H44" s="2808"/>
      <c r="I44" s="2893" t="s">
        <v>181</v>
      </c>
      <c r="J44" s="2832"/>
      <c r="K44" s="2833" t="s">
        <v>5</v>
      </c>
      <c r="L44" s="1146">
        <v>60000</v>
      </c>
      <c r="M44" s="1146"/>
      <c r="N44" s="2834"/>
      <c r="O44" s="2835"/>
      <c r="P44" s="2877" t="s">
        <v>1063</v>
      </c>
      <c r="Q44" s="1146"/>
      <c r="R44" s="1146"/>
      <c r="S44" s="2833" t="s">
        <v>5</v>
      </c>
      <c r="T44" s="2695">
        <f>72000+20000</f>
        <v>92000</v>
      </c>
      <c r="U44" s="168"/>
      <c r="V44" s="179">
        <f t="shared" si="0"/>
        <v>92000000000</v>
      </c>
      <c r="W44" s="179"/>
      <c r="X44" s="179"/>
    </row>
    <row r="45" spans="1:24" s="15" customFormat="1" ht="20.25" customHeight="1">
      <c r="A45" s="2803"/>
      <c r="B45" s="2813"/>
      <c r="C45" s="2814"/>
      <c r="D45" s="2814"/>
      <c r="E45" s="2829"/>
      <c r="F45" s="2829"/>
      <c r="G45" s="2830"/>
      <c r="H45" s="2808"/>
      <c r="I45" s="2893" t="s">
        <v>1062</v>
      </c>
      <c r="J45" s="2832"/>
      <c r="K45" s="2833" t="s">
        <v>5</v>
      </c>
      <c r="L45" s="1146">
        <f>117000+20000</f>
        <v>137000</v>
      </c>
      <c r="M45" s="1146"/>
      <c r="N45" s="2837"/>
      <c r="O45" s="2835"/>
      <c r="P45" s="2877" t="s">
        <v>1064</v>
      </c>
      <c r="Q45" s="1146"/>
      <c r="R45" s="1146"/>
      <c r="S45" s="2833" t="s">
        <v>5</v>
      </c>
      <c r="T45" s="2695">
        <v>500</v>
      </c>
      <c r="U45" s="168"/>
      <c r="V45" s="179">
        <f t="shared" si="0"/>
        <v>500000000</v>
      </c>
      <c r="W45" s="179"/>
      <c r="X45" s="179"/>
    </row>
    <row r="46" spans="1:24" s="15" customFormat="1" ht="20.25" customHeight="1">
      <c r="A46" s="2803"/>
      <c r="B46" s="2813"/>
      <c r="C46" s="2814"/>
      <c r="D46" s="2814"/>
      <c r="E46" s="2829"/>
      <c r="F46" s="2829"/>
      <c r="G46" s="2830"/>
      <c r="H46" s="2808"/>
      <c r="I46" s="2893" t="s">
        <v>1061</v>
      </c>
      <c r="J46" s="2832"/>
      <c r="K46" s="2833" t="s">
        <v>5</v>
      </c>
      <c r="L46" s="1146">
        <v>40000</v>
      </c>
      <c r="M46" s="1146"/>
      <c r="N46" s="2837"/>
      <c r="O46" s="2835"/>
      <c r="P46" s="2877" t="s">
        <v>1066</v>
      </c>
      <c r="Q46" s="2837"/>
      <c r="R46" s="2837"/>
      <c r="S46" s="2833" t="s">
        <v>5</v>
      </c>
      <c r="T46" s="2695">
        <f>130000+20000</f>
        <v>150000</v>
      </c>
      <c r="U46" s="168"/>
      <c r="V46" s="179">
        <f t="shared" si="0"/>
        <v>150000000000</v>
      </c>
      <c r="W46" s="179"/>
      <c r="X46" s="179"/>
    </row>
    <row r="47" spans="1:24" ht="22.5" customHeight="1">
      <c r="A47" s="2838"/>
      <c r="B47" s="2839"/>
      <c r="C47" s="2840"/>
      <c r="D47" s="2851" t="s">
        <v>1000</v>
      </c>
      <c r="E47" s="2842">
        <f>T47</f>
        <v>380500</v>
      </c>
      <c r="F47" s="2842">
        <v>380500</v>
      </c>
      <c r="G47" s="2843"/>
      <c r="H47" s="2844"/>
      <c r="I47" s="2845" t="s">
        <v>1563</v>
      </c>
      <c r="J47" s="2846"/>
      <c r="K47" s="2854"/>
      <c r="L47" s="2891"/>
      <c r="M47" s="2892"/>
      <c r="N47" s="2892"/>
      <c r="O47" s="2892"/>
      <c r="P47" s="2892"/>
      <c r="Q47" s="2892"/>
      <c r="R47" s="2892"/>
      <c r="S47" s="2849"/>
      <c r="T47" s="2850">
        <f>T48+T49</f>
        <v>380500</v>
      </c>
      <c r="U47" s="168"/>
    </row>
    <row r="48" spans="1:24" ht="22.5" customHeight="1">
      <c r="A48" s="2838"/>
      <c r="B48" s="2839"/>
      <c r="C48" s="2840"/>
      <c r="D48" s="2840"/>
      <c r="E48" s="2828"/>
      <c r="F48" s="2828"/>
      <c r="G48" s="2857"/>
      <c r="H48" s="2844"/>
      <c r="I48" s="2893" t="s">
        <v>190</v>
      </c>
      <c r="J48" s="2894"/>
      <c r="K48" s="2833"/>
      <c r="L48" s="2886"/>
      <c r="M48" s="2834"/>
      <c r="N48" s="2834"/>
      <c r="O48" s="2834"/>
      <c r="P48" s="2834"/>
      <c r="Q48" s="2834"/>
      <c r="R48" s="2834"/>
      <c r="S48" s="2895" t="s">
        <v>5</v>
      </c>
      <c r="T48" s="2896">
        <v>350000</v>
      </c>
      <c r="U48" s="168"/>
    </row>
    <row r="49" spans="1:24" ht="18.75" customHeight="1">
      <c r="A49" s="2838"/>
      <c r="B49" s="2839"/>
      <c r="C49" s="2840"/>
      <c r="D49" s="2897"/>
      <c r="E49" s="2878"/>
      <c r="F49" s="2878"/>
      <c r="G49" s="2898"/>
      <c r="H49" s="2844"/>
      <c r="I49" s="2899" t="s">
        <v>1067</v>
      </c>
      <c r="J49" s="2882"/>
      <c r="K49" s="2811"/>
      <c r="L49" s="2879"/>
      <c r="M49" s="2880"/>
      <c r="N49" s="2880"/>
      <c r="O49" s="2880"/>
      <c r="P49" s="2880"/>
      <c r="Q49" s="2880"/>
      <c r="R49" s="2880"/>
      <c r="S49" s="2900" t="s">
        <v>5</v>
      </c>
      <c r="T49" s="2901">
        <v>30500</v>
      </c>
      <c r="U49" s="168"/>
    </row>
    <row r="50" spans="1:24" s="17" customFormat="1" ht="22.5" customHeight="1">
      <c r="A50" s="2838"/>
      <c r="B50" s="2839"/>
      <c r="C50" s="2840"/>
      <c r="D50" s="2902" t="s">
        <v>1001</v>
      </c>
      <c r="E50" s="2816">
        <f>T50</f>
        <v>560000</v>
      </c>
      <c r="F50" s="2816">
        <v>560000</v>
      </c>
      <c r="G50" s="2903"/>
      <c r="H50" s="2904"/>
      <c r="I50" s="2905" t="s">
        <v>192</v>
      </c>
      <c r="J50" s="2906"/>
      <c r="K50" s="2907"/>
      <c r="L50" s="2908"/>
      <c r="M50" s="2909"/>
      <c r="N50" s="2910"/>
      <c r="O50" s="2909"/>
      <c r="P50" s="2909"/>
      <c r="Q50" s="2909"/>
      <c r="R50" s="2909"/>
      <c r="S50" s="2907" t="s">
        <v>5</v>
      </c>
      <c r="T50" s="2911">
        <v>560000</v>
      </c>
      <c r="U50" s="168"/>
      <c r="V50" s="179"/>
      <c r="W50" s="449"/>
      <c r="X50" s="449"/>
    </row>
    <row r="51" spans="1:24" s="17" customFormat="1" ht="22.5" customHeight="1">
      <c r="A51" s="2838"/>
      <c r="B51" s="2839"/>
      <c r="C51" s="2840"/>
      <c r="D51" s="2851" t="s">
        <v>1002</v>
      </c>
      <c r="E51" s="2842">
        <f>T51</f>
        <v>24000</v>
      </c>
      <c r="F51" s="2842">
        <v>24000</v>
      </c>
      <c r="G51" s="2843"/>
      <c r="H51" s="2904"/>
      <c r="I51" s="2912" t="s">
        <v>193</v>
      </c>
      <c r="J51" s="2913"/>
      <c r="K51" s="2849"/>
      <c r="L51" s="2891">
        <v>2000000</v>
      </c>
      <c r="M51" s="2892" t="s">
        <v>0</v>
      </c>
      <c r="N51" s="2892">
        <v>12</v>
      </c>
      <c r="O51" s="2892" t="s">
        <v>2</v>
      </c>
      <c r="P51" s="2892"/>
      <c r="Q51" s="2892"/>
      <c r="R51" s="2892"/>
      <c r="S51" s="2849" t="s">
        <v>1</v>
      </c>
      <c r="T51" s="2850">
        <f>L51*N51/1000</f>
        <v>24000</v>
      </c>
      <c r="U51" s="168"/>
      <c r="V51" s="179"/>
      <c r="W51" s="449"/>
      <c r="X51" s="449"/>
    </row>
    <row r="52" spans="1:24" s="17" customFormat="1" ht="22.5" customHeight="1">
      <c r="A52" s="2838"/>
      <c r="B52" s="2839"/>
      <c r="C52" s="2840"/>
      <c r="D52" s="2851" t="s">
        <v>1003</v>
      </c>
      <c r="E52" s="2842">
        <f>T52</f>
        <v>64630</v>
      </c>
      <c r="F52" s="2842">
        <v>18000</v>
      </c>
      <c r="G52" s="2843">
        <f>E52-F52</f>
        <v>46630</v>
      </c>
      <c r="H52" s="2904"/>
      <c r="I52" s="2845" t="s">
        <v>998</v>
      </c>
      <c r="J52" s="2846"/>
      <c r="K52" s="2854"/>
      <c r="L52" s="2891"/>
      <c r="M52" s="2892"/>
      <c r="N52" s="2892"/>
      <c r="O52" s="2892"/>
      <c r="P52" s="2892"/>
      <c r="Q52" s="2892"/>
      <c r="R52" s="2892"/>
      <c r="S52" s="2849"/>
      <c r="T52" s="2914">
        <f>SUM(T53:T58)</f>
        <v>64630</v>
      </c>
      <c r="U52" s="168"/>
      <c r="V52" s="179"/>
      <c r="W52" s="449"/>
      <c r="X52" s="449"/>
    </row>
    <row r="53" spans="1:24" s="17" customFormat="1" ht="18.75" customHeight="1">
      <c r="A53" s="2838"/>
      <c r="B53" s="2839"/>
      <c r="C53" s="2840"/>
      <c r="D53" s="2840"/>
      <c r="E53" s="2828"/>
      <c r="F53" s="2828"/>
      <c r="G53" s="2857"/>
      <c r="H53" s="2904"/>
      <c r="I53" s="3449" t="s">
        <v>1937</v>
      </c>
      <c r="J53" s="2832"/>
      <c r="K53" s="2833"/>
      <c r="L53" s="3450"/>
      <c r="M53" s="3450"/>
      <c r="N53" s="3763"/>
      <c r="O53" s="3763"/>
      <c r="P53" s="3763"/>
      <c r="Q53" s="3763"/>
      <c r="R53" s="3763"/>
      <c r="S53" s="2833" t="s">
        <v>5</v>
      </c>
      <c r="T53" s="2695">
        <v>8000</v>
      </c>
      <c r="U53" s="168"/>
      <c r="V53" s="179"/>
      <c r="W53" s="449"/>
      <c r="X53" s="449"/>
    </row>
    <row r="54" spans="1:24" s="1679" customFormat="1" ht="18.75" customHeight="1">
      <c r="A54" s="2838"/>
      <c r="B54" s="2839"/>
      <c r="C54" s="2840"/>
      <c r="D54" s="2840"/>
      <c r="E54" s="2828"/>
      <c r="F54" s="2828"/>
      <c r="G54" s="2857"/>
      <c r="H54" s="2904"/>
      <c r="I54" s="3632" t="s">
        <v>5588</v>
      </c>
      <c r="J54" s="2832"/>
      <c r="K54" s="2833"/>
      <c r="L54" s="3633"/>
      <c r="M54" s="3633"/>
      <c r="N54" s="3763"/>
      <c r="O54" s="3763"/>
      <c r="P54" s="3763"/>
      <c r="Q54" s="3763"/>
      <c r="R54" s="3763"/>
      <c r="S54" s="2833" t="s">
        <v>5</v>
      </c>
      <c r="T54" s="2695">
        <v>10000</v>
      </c>
      <c r="U54" s="168"/>
      <c r="V54" s="179"/>
      <c r="W54" s="449"/>
      <c r="X54" s="449"/>
    </row>
    <row r="55" spans="1:24" s="1679" customFormat="1" ht="18.75" customHeight="1">
      <c r="A55" s="2838"/>
      <c r="B55" s="2839"/>
      <c r="C55" s="2840"/>
      <c r="D55" s="2840"/>
      <c r="E55" s="2828"/>
      <c r="F55" s="2828"/>
      <c r="G55" s="2857"/>
      <c r="H55" s="2904"/>
      <c r="I55" s="3632" t="s">
        <v>5929</v>
      </c>
      <c r="J55" s="2832"/>
      <c r="K55" s="2833"/>
      <c r="L55" s="3633"/>
      <c r="M55" s="3633"/>
      <c r="N55" s="3763"/>
      <c r="O55" s="3763"/>
      <c r="P55" s="3763"/>
      <c r="Q55" s="3763"/>
      <c r="R55" s="3763"/>
      <c r="S55" s="2833" t="s">
        <v>5</v>
      </c>
      <c r="T55" s="2695">
        <v>5630</v>
      </c>
      <c r="U55" s="168"/>
      <c r="V55" s="179"/>
      <c r="W55" s="449"/>
      <c r="X55" s="449"/>
    </row>
    <row r="56" spans="1:24" s="1679" customFormat="1" ht="18.75" customHeight="1">
      <c r="A56" s="2838"/>
      <c r="B56" s="2839"/>
      <c r="C56" s="2840"/>
      <c r="D56" s="2840"/>
      <c r="E56" s="2828"/>
      <c r="F56" s="2828"/>
      <c r="G56" s="2857"/>
      <c r="H56" s="2904"/>
      <c r="I56" s="3632" t="s">
        <v>5928</v>
      </c>
      <c r="J56" s="2832"/>
      <c r="K56" s="2833"/>
      <c r="L56" s="3633"/>
      <c r="M56" s="3633"/>
      <c r="N56" s="3763"/>
      <c r="O56" s="3763"/>
      <c r="P56" s="3763"/>
      <c r="Q56" s="3763"/>
      <c r="R56" s="3763"/>
      <c r="S56" s="2833" t="s">
        <v>5</v>
      </c>
      <c r="T56" s="2695">
        <v>30000</v>
      </c>
      <c r="U56" s="168"/>
      <c r="V56" s="179"/>
      <c r="W56" s="449"/>
      <c r="X56" s="449"/>
    </row>
    <row r="57" spans="1:24" s="1679" customFormat="1" ht="18.75" customHeight="1">
      <c r="A57" s="2838"/>
      <c r="B57" s="2839"/>
      <c r="C57" s="2840"/>
      <c r="D57" s="2840"/>
      <c r="E57" s="2828"/>
      <c r="F57" s="2828"/>
      <c r="G57" s="2857"/>
      <c r="H57" s="2904"/>
      <c r="I57" s="3632" t="s">
        <v>5926</v>
      </c>
      <c r="J57" s="2832"/>
      <c r="K57" s="2833"/>
      <c r="L57" s="3633"/>
      <c r="M57" s="3633"/>
      <c r="N57" s="3763"/>
      <c r="O57" s="3763"/>
      <c r="P57" s="3763"/>
      <c r="Q57" s="3763"/>
      <c r="R57" s="3763"/>
      <c r="S57" s="2833" t="s">
        <v>5</v>
      </c>
      <c r="T57" s="2695">
        <v>6000</v>
      </c>
      <c r="U57" s="168"/>
      <c r="V57" s="179"/>
      <c r="W57" s="449"/>
      <c r="X57" s="449"/>
    </row>
    <row r="58" spans="1:24" s="17" customFormat="1" ht="18.75" customHeight="1" thickBot="1">
      <c r="A58" s="55"/>
      <c r="B58" s="1641"/>
      <c r="C58" s="56"/>
      <c r="D58" s="56"/>
      <c r="E58" s="112"/>
      <c r="F58" s="112"/>
      <c r="G58" s="113"/>
      <c r="H58" s="54"/>
      <c r="I58" s="3632" t="s">
        <v>5927</v>
      </c>
      <c r="J58" s="2832"/>
      <c r="K58" s="2833"/>
      <c r="L58" s="3450"/>
      <c r="M58" s="3450"/>
      <c r="N58" s="3763"/>
      <c r="O58" s="3763"/>
      <c r="P58" s="3763"/>
      <c r="Q58" s="3763"/>
      <c r="R58" s="3763"/>
      <c r="S58" s="2833" t="s">
        <v>5</v>
      </c>
      <c r="T58" s="2695">
        <v>5000</v>
      </c>
      <c r="U58" s="168"/>
      <c r="V58" s="179"/>
      <c r="W58" s="449"/>
      <c r="X58" s="449"/>
    </row>
    <row r="59" spans="1:24" s="17" customFormat="1" ht="30" customHeight="1">
      <c r="A59" s="57"/>
      <c r="B59" s="57"/>
      <c r="C59" s="57"/>
      <c r="D59" s="57"/>
      <c r="E59" s="58"/>
      <c r="F59" s="58"/>
      <c r="G59" s="38"/>
      <c r="H59" s="59"/>
      <c r="I59" s="59"/>
      <c r="J59" s="52"/>
      <c r="K59" s="169"/>
      <c r="L59" s="53"/>
      <c r="M59" s="2"/>
      <c r="N59" s="2"/>
      <c r="O59" s="2"/>
      <c r="P59" s="2"/>
      <c r="Q59" s="2"/>
      <c r="R59" s="2"/>
      <c r="S59" s="2"/>
      <c r="T59" s="60"/>
      <c r="U59" s="168"/>
      <c r="V59" s="1864"/>
      <c r="W59" s="449"/>
      <c r="X59" s="449"/>
    </row>
    <row r="63" spans="1:24">
      <c r="J63" s="179"/>
    </row>
    <row r="64" spans="1:24">
      <c r="J64" s="179"/>
      <c r="O64" s="15" t="s">
        <v>378</v>
      </c>
    </row>
    <row r="65" spans="10:10">
      <c r="J65" s="179"/>
    </row>
    <row r="66" spans="10:10">
      <c r="J66" s="179"/>
    </row>
    <row r="67" spans="10:10">
      <c r="J67" s="179"/>
    </row>
    <row r="68" spans="10:10">
      <c r="J68" s="179"/>
    </row>
    <row r="69" spans="10:10">
      <c r="J69" s="179"/>
    </row>
    <row r="70" spans="10:10">
      <c r="J70" s="179"/>
    </row>
    <row r="72" spans="10:10">
      <c r="J72" s="180"/>
    </row>
  </sheetData>
  <mergeCells count="23">
    <mergeCell ref="N58:R58"/>
    <mergeCell ref="N54:R54"/>
    <mergeCell ref="N55:R55"/>
    <mergeCell ref="N56:R56"/>
    <mergeCell ref="N57:R57"/>
    <mergeCell ref="C38:D38"/>
    <mergeCell ref="I38:K38"/>
    <mergeCell ref="N53:R53"/>
    <mergeCell ref="I29:R29"/>
    <mergeCell ref="I33:R33"/>
    <mergeCell ref="K25:R25"/>
    <mergeCell ref="I13:J13"/>
    <mergeCell ref="A1:T2"/>
    <mergeCell ref="A4:D4"/>
    <mergeCell ref="E4:E5"/>
    <mergeCell ref="F4:F5"/>
    <mergeCell ref="G4:G5"/>
    <mergeCell ref="I4:T5"/>
    <mergeCell ref="K9:L9"/>
    <mergeCell ref="O9:P9"/>
    <mergeCell ref="K11:R11"/>
    <mergeCell ref="I12:J12"/>
    <mergeCell ref="A6:B6"/>
  </mergeCells>
  <phoneticPr fontId="15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39" firstPageNumber="3" orientation="landscape" useFirstPageNumber="1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528"/>
  <sheetViews>
    <sheetView view="pageBreakPreview" zoomScale="75" zoomScaleNormal="80" zoomScaleSheetLayoutView="75" workbookViewId="0">
      <selection activeCell="H28" activeCellId="1" sqref="H25 H28"/>
    </sheetView>
  </sheetViews>
  <sheetFormatPr defaultRowHeight="14.25"/>
  <cols>
    <col min="1" max="1" width="13.44140625" style="35" customWidth="1"/>
    <col min="2" max="2" width="4" style="35" customWidth="1"/>
    <col min="3" max="3" width="37.6640625" style="35" customWidth="1"/>
    <col min="4" max="5" width="22.33203125" style="82" customWidth="1"/>
    <col min="6" max="6" width="19.21875" style="82" bestFit="1" customWidth="1"/>
    <col min="7" max="7" width="12.77734375" style="83" customWidth="1"/>
    <col min="8" max="8" width="27.5546875" style="84" bestFit="1" customWidth="1"/>
    <col min="9" max="9" width="23.33203125" style="417" bestFit="1" customWidth="1"/>
    <col min="10" max="10" width="24.21875" style="84" bestFit="1" customWidth="1"/>
    <col min="11" max="16384" width="8.88671875" style="35"/>
  </cols>
  <sheetData>
    <row r="1" spans="1:17" s="4" customFormat="1" ht="55.5" customHeight="1">
      <c r="A1" s="3766" t="s">
        <v>5940</v>
      </c>
      <c r="B1" s="3766"/>
      <c r="C1" s="3766"/>
      <c r="D1" s="3766"/>
      <c r="E1" s="3766"/>
      <c r="F1" s="3766"/>
      <c r="G1" s="3766"/>
      <c r="H1" s="61"/>
      <c r="I1" s="415"/>
      <c r="J1" s="61"/>
      <c r="K1" s="62"/>
      <c r="L1" s="62"/>
      <c r="M1" s="62"/>
      <c r="N1" s="62"/>
      <c r="O1" s="62"/>
      <c r="P1" s="63"/>
      <c r="Q1" s="5"/>
    </row>
    <row r="2" spans="1:17" s="18" customFormat="1" ht="24.75" customHeight="1" thickBot="1">
      <c r="B2" s="7" ph="1"/>
      <c r="C2" s="7" ph="1"/>
      <c r="D2" s="8" t="s" ph="1">
        <v>48</v>
      </c>
      <c r="E2" s="8" ph="1"/>
      <c r="F2" s="8" ph="1"/>
      <c r="G2" s="317" t="s" ph="1">
        <v>194</v>
      </c>
      <c r="H2" s="434" ph="1"/>
      <c r="I2" s="64"/>
      <c r="J2" s="14"/>
    </row>
    <row r="3" spans="1:17" s="65" customFormat="1" ht="21.75" customHeight="1">
      <c r="A3" s="3767" t="s">
        <v>1045</v>
      </c>
      <c r="B3" s="3769" t="s">
        <v>195</v>
      </c>
      <c r="C3" s="3770"/>
      <c r="D3" s="392" t="s">
        <v>174</v>
      </c>
      <c r="E3" s="393" t="s">
        <v>1079</v>
      </c>
      <c r="F3" s="392" t="s">
        <v>196</v>
      </c>
      <c r="G3" s="394" t="s">
        <v>197</v>
      </c>
      <c r="H3" s="434"/>
      <c r="I3" s="64"/>
      <c r="J3" s="64"/>
    </row>
    <row r="4" spans="1:17" s="65" customFormat="1" ht="21.75" customHeight="1">
      <c r="A4" s="3768"/>
      <c r="B4" s="3771" t="s">
        <v>1411</v>
      </c>
      <c r="C4" s="3772"/>
      <c r="D4" s="395">
        <f>D5+D7+D13+D24+D31+D38+D41+D44+D47+D50+D53+D54</f>
        <v>55650789.564999998</v>
      </c>
      <c r="E4" s="395">
        <f>E5+E7+E13+E24+E31+E38+E41+E44+E47+E50+E53+E54</f>
        <v>55454159.564999998</v>
      </c>
      <c r="F4" s="395">
        <f t="shared" ref="F4:F18" si="0">D4-E4</f>
        <v>196630</v>
      </c>
      <c r="G4" s="414">
        <f t="shared" ref="G4:G37" si="1">(D4-E4)/E4</f>
        <v>3.5458115593569183E-3</v>
      </c>
      <c r="H4" s="434">
        <f>D4*1000000000</f>
        <v>5.5650789565E+16</v>
      </c>
      <c r="I4" s="434">
        <f t="shared" ref="H4:I54" si="2">E4*1000000000</f>
        <v>5.5454159565E+16</v>
      </c>
      <c r="J4" s="64">
        <f>H4-I4</f>
        <v>196630000000000</v>
      </c>
    </row>
    <row r="5" spans="1:17" s="68" customFormat="1" ht="21.75" customHeight="1">
      <c r="A5" s="3777" t="s">
        <v>1038</v>
      </c>
      <c r="B5" s="3776" t="s">
        <v>1053</v>
      </c>
      <c r="C5" s="3776"/>
      <c r="D5" s="114">
        <f>+D6</f>
        <v>2022034.5350000001</v>
      </c>
      <c r="E5" s="114">
        <f>+E6</f>
        <v>2045852.5650000002</v>
      </c>
      <c r="F5" s="67">
        <f>D5-E5</f>
        <v>-23818.030000000028</v>
      </c>
      <c r="G5" s="109">
        <f t="shared" ref="G5:G6" si="3">(D5-E5)/E5</f>
        <v>-1.1642104816091684E-2</v>
      </c>
      <c r="H5" s="434">
        <f t="shared" si="2"/>
        <v>2022034535000000.2</v>
      </c>
      <c r="I5" s="434">
        <f t="shared" si="2"/>
        <v>2045852565000000.2</v>
      </c>
      <c r="J5" s="64">
        <f t="shared" ref="J5:J54" si="4">H5-I5</f>
        <v>-23818030000000</v>
      </c>
    </row>
    <row r="6" spans="1:17" s="65" customFormat="1" ht="21.75" customHeight="1">
      <c r="A6" s="3778"/>
      <c r="B6" s="3774" t="s">
        <v>1039</v>
      </c>
      <c r="C6" s="3775"/>
      <c r="D6" s="115">
        <f>+'1-1목적(정책실)'!F5</f>
        <v>2022034.5350000001</v>
      </c>
      <c r="E6" s="115">
        <f>+'1-1목적(정책실)'!G5</f>
        <v>2045852.5650000002</v>
      </c>
      <c r="F6" s="66">
        <f t="shared" ref="F6" si="5">D6-E6</f>
        <v>-23818.030000000028</v>
      </c>
      <c r="G6" s="108">
        <f t="shared" si="3"/>
        <v>-1.1642104816091684E-2</v>
      </c>
      <c r="H6" s="434">
        <f t="shared" si="2"/>
        <v>2022034535000000.2</v>
      </c>
      <c r="I6" s="434">
        <f t="shared" si="2"/>
        <v>2045852565000000.2</v>
      </c>
      <c r="J6" s="64">
        <f t="shared" si="4"/>
        <v>-23818030000000</v>
      </c>
    </row>
    <row r="7" spans="1:17" s="68" customFormat="1" ht="21.75" customHeight="1">
      <c r="A7" s="3773" t="s">
        <v>157</v>
      </c>
      <c r="B7" s="3771" t="s">
        <v>1053</v>
      </c>
      <c r="C7" s="3772"/>
      <c r="D7" s="114">
        <f>SUM(D8:D12)</f>
        <v>10969600</v>
      </c>
      <c r="E7" s="114">
        <f>SUM(E8:E12)</f>
        <v>10969600</v>
      </c>
      <c r="F7" s="67">
        <f>D7-E7</f>
        <v>0</v>
      </c>
      <c r="G7" s="109">
        <f t="shared" si="1"/>
        <v>0</v>
      </c>
      <c r="H7" s="434">
        <f t="shared" si="2"/>
        <v>1.09696E+16</v>
      </c>
      <c r="I7" s="434">
        <f t="shared" si="2"/>
        <v>1.09696E+16</v>
      </c>
      <c r="J7" s="64">
        <f t="shared" si="4"/>
        <v>0</v>
      </c>
    </row>
    <row r="8" spans="1:17" s="65" customFormat="1" ht="21.75" customHeight="1">
      <c r="A8" s="3773"/>
      <c r="B8" s="3774" t="s">
        <v>198</v>
      </c>
      <c r="C8" s="3775"/>
      <c r="D8" s="115">
        <f>+'1-2목적(경영관리비)'!F6</f>
        <v>7860600</v>
      </c>
      <c r="E8" s="115">
        <f>+'1-2목적(경영관리비)'!G6</f>
        <v>7860600</v>
      </c>
      <c r="F8" s="66">
        <f t="shared" si="0"/>
        <v>0</v>
      </c>
      <c r="G8" s="108">
        <f t="shared" si="1"/>
        <v>0</v>
      </c>
      <c r="H8" s="434">
        <f t="shared" si="2"/>
        <v>7860600000000000</v>
      </c>
      <c r="I8" s="434">
        <f t="shared" si="2"/>
        <v>7860600000000000</v>
      </c>
      <c r="J8" s="64">
        <f t="shared" si="4"/>
        <v>0</v>
      </c>
    </row>
    <row r="9" spans="1:17" s="65" customFormat="1" ht="21.75" customHeight="1">
      <c r="A9" s="3773"/>
      <c r="B9" s="3774" t="s">
        <v>1040</v>
      </c>
      <c r="C9" s="3775"/>
      <c r="D9" s="236">
        <f>+'1-3목적(경영본부사업)'!F7</f>
        <v>453000</v>
      </c>
      <c r="E9" s="236">
        <f>+'1-3목적(경영본부사업)'!G7</f>
        <v>453000</v>
      </c>
      <c r="F9" s="66">
        <f t="shared" si="0"/>
        <v>0</v>
      </c>
      <c r="G9" s="108">
        <f t="shared" si="1"/>
        <v>0</v>
      </c>
      <c r="H9" s="434">
        <f t="shared" si="2"/>
        <v>453000000000000</v>
      </c>
      <c r="I9" s="434">
        <f t="shared" si="2"/>
        <v>453000000000000</v>
      </c>
      <c r="J9" s="64">
        <f t="shared" si="4"/>
        <v>0</v>
      </c>
    </row>
    <row r="10" spans="1:17" s="65" customFormat="1" ht="21.75" customHeight="1">
      <c r="A10" s="3773"/>
      <c r="B10" s="3774" t="s">
        <v>1274</v>
      </c>
      <c r="C10" s="3775"/>
      <c r="D10" s="236">
        <f>+'1-3목적(경영본부사업)'!F60</f>
        <v>250000</v>
      </c>
      <c r="E10" s="236">
        <f>+'1-3목적(경영본부사업)'!G60</f>
        <v>250000</v>
      </c>
      <c r="F10" s="66">
        <f t="shared" si="0"/>
        <v>0</v>
      </c>
      <c r="G10" s="108">
        <f t="shared" si="1"/>
        <v>0</v>
      </c>
      <c r="H10" s="434">
        <f t="shared" si="2"/>
        <v>250000000000000</v>
      </c>
      <c r="I10" s="434">
        <f t="shared" si="2"/>
        <v>250000000000000</v>
      </c>
      <c r="J10" s="64">
        <f t="shared" si="4"/>
        <v>0</v>
      </c>
    </row>
    <row r="11" spans="1:17" s="65" customFormat="1" ht="21.75" customHeight="1">
      <c r="A11" s="3773"/>
      <c r="B11" s="3774" t="s">
        <v>750</v>
      </c>
      <c r="C11" s="3775"/>
      <c r="D11" s="236">
        <f>'1-3목적(경영본부사업)'!F106</f>
        <v>250000</v>
      </c>
      <c r="E11" s="236">
        <f>'1-3목적(경영본부사업)'!G106</f>
        <v>250000</v>
      </c>
      <c r="F11" s="66">
        <f t="shared" ref="F11" si="6">D11-E11</f>
        <v>0</v>
      </c>
      <c r="G11" s="108">
        <f t="shared" si="1"/>
        <v>0</v>
      </c>
      <c r="H11" s="434">
        <f t="shared" si="2"/>
        <v>250000000000000</v>
      </c>
      <c r="I11" s="434">
        <f t="shared" si="2"/>
        <v>250000000000000</v>
      </c>
      <c r="J11" s="64">
        <f t="shared" si="4"/>
        <v>0</v>
      </c>
    </row>
    <row r="12" spans="1:17" s="65" customFormat="1" ht="21.75" customHeight="1">
      <c r="A12" s="3773"/>
      <c r="B12" s="3774" t="s">
        <v>1041</v>
      </c>
      <c r="C12" s="3775"/>
      <c r="D12" s="236">
        <f>+'1-3목적(경영본부사업)'!F110</f>
        <v>2156000</v>
      </c>
      <c r="E12" s="236">
        <f>+'1-3목적(경영본부사업)'!G110</f>
        <v>2156000</v>
      </c>
      <c r="F12" s="66">
        <f t="shared" si="0"/>
        <v>0</v>
      </c>
      <c r="G12" s="108">
        <f t="shared" si="1"/>
        <v>0</v>
      </c>
      <c r="H12" s="434">
        <f t="shared" si="2"/>
        <v>2156000000000000</v>
      </c>
      <c r="I12" s="434">
        <f t="shared" si="2"/>
        <v>2156000000000000</v>
      </c>
      <c r="J12" s="64">
        <f t="shared" si="4"/>
        <v>0</v>
      </c>
    </row>
    <row r="13" spans="1:17" s="15" customFormat="1" ht="21.75" customHeight="1">
      <c r="A13" s="3779" t="s">
        <v>199</v>
      </c>
      <c r="B13" s="3771" t="s">
        <v>1053</v>
      </c>
      <c r="C13" s="3772"/>
      <c r="D13" s="117">
        <f>SUM(D14:D18)+D21</f>
        <v>20268506.999999996</v>
      </c>
      <c r="E13" s="117">
        <f>SUM(E14:E18)+E21</f>
        <v>20311506.999999996</v>
      </c>
      <c r="F13" s="67">
        <f t="shared" si="0"/>
        <v>-43000</v>
      </c>
      <c r="G13" s="109">
        <f t="shared" si="1"/>
        <v>-2.1170265702096852E-3</v>
      </c>
      <c r="H13" s="434">
        <f t="shared" si="2"/>
        <v>2.0268506999999996E+16</v>
      </c>
      <c r="I13" s="434">
        <f t="shared" si="2"/>
        <v>2.0311506999999996E+16</v>
      </c>
      <c r="J13" s="64">
        <f t="shared" si="4"/>
        <v>-43000000000000</v>
      </c>
    </row>
    <row r="14" spans="1:17" s="65" customFormat="1" ht="21.75" customHeight="1">
      <c r="A14" s="3780"/>
      <c r="B14" s="3795" t="s">
        <v>1042</v>
      </c>
      <c r="C14" s="3795"/>
      <c r="D14" s="118">
        <f>+'1-4목적(문예본부)'!F6</f>
        <v>9195000</v>
      </c>
      <c r="E14" s="309">
        <v>9195000</v>
      </c>
      <c r="F14" s="66">
        <f t="shared" si="0"/>
        <v>0</v>
      </c>
      <c r="G14" s="108">
        <f t="shared" si="1"/>
        <v>0</v>
      </c>
      <c r="H14" s="434">
        <f t="shared" si="2"/>
        <v>9195000000000000</v>
      </c>
      <c r="I14" s="434">
        <f t="shared" si="2"/>
        <v>9195000000000000</v>
      </c>
      <c r="J14" s="64">
        <f t="shared" si="4"/>
        <v>0</v>
      </c>
    </row>
    <row r="15" spans="1:17" s="65" customFormat="1" ht="21.75" customHeight="1">
      <c r="A15" s="3780"/>
      <c r="B15" s="3795" t="s">
        <v>1043</v>
      </c>
      <c r="C15" s="3795"/>
      <c r="D15" s="118">
        <f>+'1-4목적(문예본부)'!F111</f>
        <v>1550000</v>
      </c>
      <c r="E15" s="118">
        <v>1550000</v>
      </c>
      <c r="F15" s="66">
        <f t="shared" si="0"/>
        <v>0</v>
      </c>
      <c r="G15" s="108">
        <f t="shared" si="1"/>
        <v>0</v>
      </c>
      <c r="H15" s="434">
        <f t="shared" si="2"/>
        <v>1550000000000000</v>
      </c>
      <c r="I15" s="434">
        <f t="shared" si="2"/>
        <v>1550000000000000</v>
      </c>
      <c r="J15" s="64">
        <f t="shared" si="4"/>
        <v>0</v>
      </c>
    </row>
    <row r="16" spans="1:17" s="65" customFormat="1" ht="21.75" customHeight="1">
      <c r="A16" s="3780"/>
      <c r="B16" s="3795" t="s">
        <v>1044</v>
      </c>
      <c r="C16" s="3795"/>
      <c r="D16" s="118">
        <f>'1-4목적(문예본부)'!F233</f>
        <v>5500000</v>
      </c>
      <c r="E16" s="309">
        <v>5500000</v>
      </c>
      <c r="F16" s="66">
        <f t="shared" si="0"/>
        <v>0</v>
      </c>
      <c r="G16" s="108">
        <f t="shared" si="1"/>
        <v>0</v>
      </c>
      <c r="H16" s="434">
        <f t="shared" si="2"/>
        <v>5500000000000000</v>
      </c>
      <c r="I16" s="434">
        <f t="shared" si="2"/>
        <v>5500000000000000</v>
      </c>
      <c r="J16" s="64">
        <f t="shared" si="4"/>
        <v>0</v>
      </c>
    </row>
    <row r="17" spans="1:10" s="65" customFormat="1" ht="21.75" customHeight="1">
      <c r="A17" s="3780"/>
      <c r="B17" s="3795" t="s">
        <v>248</v>
      </c>
      <c r="C17" s="3795"/>
      <c r="D17" s="118">
        <f>+'1-4목적(문예본부)'!F427</f>
        <v>1249999.999999996</v>
      </c>
      <c r="E17" s="309">
        <v>1249999.999999996</v>
      </c>
      <c r="F17" s="66">
        <f t="shared" si="0"/>
        <v>0</v>
      </c>
      <c r="G17" s="108">
        <f t="shared" si="1"/>
        <v>0</v>
      </c>
      <c r="H17" s="434">
        <f t="shared" si="2"/>
        <v>1249999999999996</v>
      </c>
      <c r="I17" s="434">
        <f t="shared" si="2"/>
        <v>1249999999999996</v>
      </c>
      <c r="J17" s="64">
        <f t="shared" si="4"/>
        <v>0</v>
      </c>
    </row>
    <row r="18" spans="1:10" s="69" customFormat="1" ht="21.75" customHeight="1">
      <c r="A18" s="3780"/>
      <c r="B18" s="3784" t="s">
        <v>200</v>
      </c>
      <c r="C18" s="3785"/>
      <c r="D18" s="236">
        <f>SUM(D19:D20)</f>
        <v>2229200</v>
      </c>
      <c r="E18" s="236">
        <v>2272200</v>
      </c>
      <c r="F18" s="25">
        <f t="shared" si="0"/>
        <v>-43000</v>
      </c>
      <c r="G18" s="108">
        <f t="shared" si="1"/>
        <v>-1.892439045858639E-2</v>
      </c>
      <c r="H18" s="434">
        <f t="shared" si="2"/>
        <v>2229200000000000</v>
      </c>
      <c r="I18" s="434">
        <f t="shared" si="2"/>
        <v>2272200000000000</v>
      </c>
      <c r="J18" s="64">
        <f t="shared" si="4"/>
        <v>-43000000000000</v>
      </c>
    </row>
    <row r="19" spans="1:10" s="72" customFormat="1" ht="21.75" customHeight="1">
      <c r="A19" s="3780"/>
      <c r="B19" s="3786"/>
      <c r="C19" s="70" t="s">
        <v>201</v>
      </c>
      <c r="D19" s="237">
        <f>+'1-4목적(문예본부)'!F633</f>
        <v>1644200</v>
      </c>
      <c r="E19" s="237">
        <f>+'1-4목적(문예본부)'!G633</f>
        <v>1687200</v>
      </c>
      <c r="F19" s="71">
        <f t="shared" ref="F19:F54" si="7">D19-E19</f>
        <v>-43000</v>
      </c>
      <c r="G19" s="110">
        <f t="shared" si="1"/>
        <v>-2.5486012328117591E-2</v>
      </c>
      <c r="H19" s="434">
        <f t="shared" si="2"/>
        <v>1644200000000000</v>
      </c>
      <c r="I19" s="434">
        <f t="shared" si="2"/>
        <v>1687200000000000</v>
      </c>
      <c r="J19" s="64">
        <f t="shared" si="4"/>
        <v>-43000000000000</v>
      </c>
    </row>
    <row r="20" spans="1:10" s="72" customFormat="1" ht="21.75" customHeight="1">
      <c r="A20" s="3780"/>
      <c r="B20" s="3787"/>
      <c r="C20" s="73" t="s">
        <v>202</v>
      </c>
      <c r="D20" s="238">
        <f>+'1-4목적(문예본부)'!F711</f>
        <v>585000</v>
      </c>
      <c r="E20" s="238">
        <f>+'1-4목적(문예본부)'!G711</f>
        <v>585000</v>
      </c>
      <c r="F20" s="74">
        <f t="shared" si="7"/>
        <v>0</v>
      </c>
      <c r="G20" s="111">
        <f t="shared" si="1"/>
        <v>0</v>
      </c>
      <c r="H20" s="434">
        <f t="shared" si="2"/>
        <v>585000000000000</v>
      </c>
      <c r="I20" s="434">
        <f t="shared" si="2"/>
        <v>585000000000000</v>
      </c>
      <c r="J20" s="64">
        <f t="shared" si="4"/>
        <v>0</v>
      </c>
    </row>
    <row r="21" spans="1:10" s="68" customFormat="1" ht="21.75" customHeight="1">
      <c r="A21" s="3780"/>
      <c r="B21" s="3804" t="s">
        <v>204</v>
      </c>
      <c r="C21" s="3789"/>
      <c r="D21" s="116">
        <f>SUM(D22:D23)</f>
        <v>544307</v>
      </c>
      <c r="E21" s="116">
        <f>SUM(E22:E23)</f>
        <v>544307</v>
      </c>
      <c r="F21" s="25">
        <f t="shared" ref="F21:F23" si="8">D21-E21</f>
        <v>0</v>
      </c>
      <c r="G21" s="108">
        <f t="shared" ref="G21" si="9">(D21-E21)/E21</f>
        <v>0</v>
      </c>
      <c r="H21" s="434">
        <f t="shared" si="2"/>
        <v>544307000000000</v>
      </c>
      <c r="I21" s="434">
        <f t="shared" si="2"/>
        <v>544307000000000</v>
      </c>
      <c r="J21" s="64">
        <f t="shared" si="4"/>
        <v>0</v>
      </c>
    </row>
    <row r="22" spans="1:10" s="68" customFormat="1" ht="21.75" customHeight="1">
      <c r="A22" s="3780"/>
      <c r="B22" s="3786"/>
      <c r="C22" s="70" t="s">
        <v>13</v>
      </c>
      <c r="D22" s="119">
        <f>+'1-4목적(문예본부)'!F833</f>
        <v>482000</v>
      </c>
      <c r="E22" s="119">
        <v>482000</v>
      </c>
      <c r="F22" s="71">
        <f t="shared" ref="F22" si="10">D22-E22</f>
        <v>0</v>
      </c>
      <c r="G22" s="110">
        <f t="shared" ref="G22:G23" si="11">(D22-E22)/E22</f>
        <v>0</v>
      </c>
      <c r="H22" s="434">
        <f t="shared" si="2"/>
        <v>482000000000000</v>
      </c>
      <c r="I22" s="434">
        <f t="shared" si="2"/>
        <v>482000000000000</v>
      </c>
      <c r="J22" s="64">
        <f t="shared" si="4"/>
        <v>0</v>
      </c>
    </row>
    <row r="23" spans="1:10" s="68" customFormat="1" ht="21.75" customHeight="1">
      <c r="A23" s="3781"/>
      <c r="B23" s="3787"/>
      <c r="C23" s="1698" t="s">
        <v>202</v>
      </c>
      <c r="D23" s="1700">
        <f>+'1-4목적(문예본부)'!F872</f>
        <v>62307</v>
      </c>
      <c r="E23" s="1700">
        <v>62307</v>
      </c>
      <c r="F23" s="1699">
        <f t="shared" si="8"/>
        <v>0</v>
      </c>
      <c r="G23" s="110">
        <f t="shared" si="11"/>
        <v>0</v>
      </c>
      <c r="H23" s="434">
        <f t="shared" si="2"/>
        <v>62307000000000</v>
      </c>
      <c r="I23" s="434">
        <f t="shared" si="2"/>
        <v>62307000000000</v>
      </c>
      <c r="J23" s="64">
        <f t="shared" si="4"/>
        <v>0</v>
      </c>
    </row>
    <row r="24" spans="1:10" s="72" customFormat="1" ht="21.75" customHeight="1">
      <c r="A24" s="3779" t="s">
        <v>1046</v>
      </c>
      <c r="B24" s="3771" t="s">
        <v>1053</v>
      </c>
      <c r="C24" s="3772"/>
      <c r="D24" s="412">
        <f>+D25+D28</f>
        <v>3412930</v>
      </c>
      <c r="E24" s="412">
        <f>+E25+E28</f>
        <v>3257299.9999999995</v>
      </c>
      <c r="F24" s="413">
        <f t="shared" si="7"/>
        <v>155630.00000000047</v>
      </c>
      <c r="G24" s="414">
        <f t="shared" si="1"/>
        <v>4.7778835231633711E-2</v>
      </c>
      <c r="H24" s="434">
        <f t="shared" si="2"/>
        <v>3412930000000000</v>
      </c>
      <c r="I24" s="434">
        <f t="shared" si="2"/>
        <v>3257299999999999.5</v>
      </c>
      <c r="J24" s="64">
        <f t="shared" si="4"/>
        <v>155630000000000.5</v>
      </c>
    </row>
    <row r="25" spans="1:10" s="69" customFormat="1" ht="21.75" customHeight="1">
      <c r="A25" s="3780"/>
      <c r="B25" s="3796" t="s">
        <v>203</v>
      </c>
      <c r="C25" s="3797"/>
      <c r="D25" s="404">
        <f>SUM(D26:D27)</f>
        <v>3379930</v>
      </c>
      <c r="E25" s="405">
        <v>3224299.9999999995</v>
      </c>
      <c r="F25" s="406">
        <f>D25-E25</f>
        <v>155630.00000000047</v>
      </c>
      <c r="G25" s="1838">
        <f>(D25-E25)/E25</f>
        <v>4.8267841081785348E-2</v>
      </c>
      <c r="H25" s="434">
        <f t="shared" si="2"/>
        <v>3379930000000000</v>
      </c>
      <c r="I25" s="434">
        <f t="shared" si="2"/>
        <v>3224299999999999.5</v>
      </c>
      <c r="J25" s="64">
        <f t="shared" si="4"/>
        <v>155630000000000.5</v>
      </c>
    </row>
    <row r="26" spans="1:10" s="72" customFormat="1" ht="21.75" customHeight="1">
      <c r="A26" s="3780"/>
      <c r="B26" s="3802"/>
      <c r="C26" s="70" t="s">
        <v>201</v>
      </c>
      <c r="D26" s="119">
        <f>+'1-5목적(연구원)'!F7</f>
        <v>1215900</v>
      </c>
      <c r="E26" s="119">
        <v>1215900</v>
      </c>
      <c r="F26" s="71">
        <f>D26-E26</f>
        <v>0</v>
      </c>
      <c r="G26" s="1837">
        <f>(D26-E26)/E26</f>
        <v>0</v>
      </c>
      <c r="H26" s="434">
        <f t="shared" si="2"/>
        <v>1215900000000000</v>
      </c>
      <c r="I26" s="434">
        <f t="shared" si="2"/>
        <v>1215900000000000</v>
      </c>
      <c r="J26" s="64">
        <f t="shared" si="4"/>
        <v>0</v>
      </c>
    </row>
    <row r="27" spans="1:10" s="72" customFormat="1" ht="21.75" customHeight="1">
      <c r="A27" s="3780"/>
      <c r="B27" s="3803"/>
      <c r="C27" s="1698" t="s">
        <v>202</v>
      </c>
      <c r="D27" s="121">
        <f>+'1-5목적(연구원)'!F87</f>
        <v>2164030</v>
      </c>
      <c r="E27" s="121">
        <v>2008399.9999999995</v>
      </c>
      <c r="F27" s="1699">
        <f>D27-E27</f>
        <v>155630.00000000047</v>
      </c>
      <c r="G27" s="111">
        <f>(D27-E27)/E27</f>
        <v>7.7489543915554918E-2</v>
      </c>
      <c r="H27" s="434">
        <f t="shared" si="2"/>
        <v>2164030000000000</v>
      </c>
      <c r="I27" s="434">
        <f t="shared" si="2"/>
        <v>2008399999999999.5</v>
      </c>
      <c r="J27" s="64">
        <f t="shared" si="4"/>
        <v>155630000000000.5</v>
      </c>
    </row>
    <row r="28" spans="1:10" s="68" customFormat="1" ht="21.75" customHeight="1">
      <c r="A28" s="3780"/>
      <c r="B28" s="3788" t="s">
        <v>247</v>
      </c>
      <c r="C28" s="3789"/>
      <c r="D28" s="116">
        <f>+D29</f>
        <v>33000</v>
      </c>
      <c r="E28" s="116">
        <v>33000</v>
      </c>
      <c r="F28" s="25">
        <f t="shared" si="7"/>
        <v>0</v>
      </c>
      <c r="G28" s="108">
        <f t="shared" si="1"/>
        <v>0</v>
      </c>
      <c r="H28" s="434">
        <f t="shared" si="2"/>
        <v>33000000000000</v>
      </c>
      <c r="I28" s="434">
        <f t="shared" si="2"/>
        <v>33000000000000</v>
      </c>
      <c r="J28" s="64">
        <f t="shared" si="4"/>
        <v>0</v>
      </c>
    </row>
    <row r="29" spans="1:10" s="68" customFormat="1" ht="21.75" customHeight="1" thickBot="1">
      <c r="A29" s="3781"/>
      <c r="B29" s="1712"/>
      <c r="C29" s="1713" t="s">
        <v>201</v>
      </c>
      <c r="D29" s="1714">
        <f>+'1-5목적(연구원)'!F244</f>
        <v>33000</v>
      </c>
      <c r="E29" s="1714">
        <v>33000</v>
      </c>
      <c r="F29" s="1715">
        <f t="shared" si="7"/>
        <v>0</v>
      </c>
      <c r="G29" s="1716">
        <f t="shared" si="1"/>
        <v>0</v>
      </c>
      <c r="H29" s="434">
        <f t="shared" si="2"/>
        <v>33000000000000</v>
      </c>
      <c r="I29" s="434">
        <f t="shared" si="2"/>
        <v>33000000000000</v>
      </c>
      <c r="J29" s="64">
        <f t="shared" si="4"/>
        <v>0</v>
      </c>
    </row>
    <row r="30" spans="1:10" s="68" customFormat="1" ht="21.75" hidden="1" customHeight="1">
      <c r="A30" s="399"/>
      <c r="B30" s="397"/>
      <c r="C30" s="1708" t="s">
        <v>202</v>
      </c>
      <c r="D30" s="1709" t="e">
        <f>+#REF!</f>
        <v>#REF!</v>
      </c>
      <c r="E30" s="1710">
        <v>0</v>
      </c>
      <c r="F30" s="312" t="e">
        <f t="shared" si="7"/>
        <v>#REF!</v>
      </c>
      <c r="G30" s="1711"/>
      <c r="H30" s="434" t="e">
        <f t="shared" si="2"/>
        <v>#REF!</v>
      </c>
      <c r="I30" s="434">
        <f t="shared" si="2"/>
        <v>0</v>
      </c>
      <c r="J30" s="64" t="e">
        <f t="shared" si="4"/>
        <v>#REF!</v>
      </c>
    </row>
    <row r="31" spans="1:10" s="68" customFormat="1" ht="21" customHeight="1">
      <c r="A31" s="3782" t="s">
        <v>1047</v>
      </c>
      <c r="B31" s="3771" t="s">
        <v>1053</v>
      </c>
      <c r="C31" s="3772"/>
      <c r="D31" s="314">
        <f>+D32+D35</f>
        <v>3850200</v>
      </c>
      <c r="E31" s="314">
        <f>+E32+E35</f>
        <v>3825200</v>
      </c>
      <c r="F31" s="315">
        <f t="shared" si="7"/>
        <v>25000</v>
      </c>
      <c r="G31" s="316">
        <f t="shared" si="1"/>
        <v>6.5356059813865943E-3</v>
      </c>
      <c r="H31" s="434">
        <f t="shared" si="2"/>
        <v>3850200000000000</v>
      </c>
      <c r="I31" s="434">
        <f t="shared" si="2"/>
        <v>3825200000000000</v>
      </c>
      <c r="J31" s="64">
        <f t="shared" si="4"/>
        <v>25000000000000</v>
      </c>
    </row>
    <row r="32" spans="1:10" s="69" customFormat="1" ht="21" customHeight="1">
      <c r="A32" s="3780"/>
      <c r="B32" s="3792" t="s">
        <v>52</v>
      </c>
      <c r="C32" s="3785"/>
      <c r="D32" s="116">
        <f>SUM(D33:D34)</f>
        <v>3784200</v>
      </c>
      <c r="E32" s="116">
        <f>SUM(E33:E34)</f>
        <v>3759200</v>
      </c>
      <c r="F32" s="25">
        <f>D32-E32</f>
        <v>25000</v>
      </c>
      <c r="G32" s="108">
        <f>(D32-E32)/E32</f>
        <v>6.6503511385401148E-3</v>
      </c>
      <c r="H32" s="434">
        <f t="shared" si="2"/>
        <v>3784200000000000</v>
      </c>
      <c r="I32" s="434">
        <f t="shared" si="2"/>
        <v>3759200000000000</v>
      </c>
      <c r="J32" s="64">
        <f t="shared" si="4"/>
        <v>25000000000000</v>
      </c>
    </row>
    <row r="33" spans="1:10" s="68" customFormat="1" ht="21" customHeight="1">
      <c r="A33" s="3780"/>
      <c r="B33" s="3793"/>
      <c r="C33" s="76" t="s">
        <v>201</v>
      </c>
      <c r="D33" s="119">
        <f>+'1-6목적(도박)'!F7</f>
        <v>2588200</v>
      </c>
      <c r="E33" s="237">
        <v>2563200</v>
      </c>
      <c r="F33" s="71">
        <f>D33-E33</f>
        <v>25000</v>
      </c>
      <c r="G33" s="110">
        <f>(D33-E33)/E33</f>
        <v>9.7534332084893878E-3</v>
      </c>
      <c r="H33" s="434">
        <f t="shared" si="2"/>
        <v>2588200000000000</v>
      </c>
      <c r="I33" s="434">
        <f t="shared" si="2"/>
        <v>2563200000000000</v>
      </c>
      <c r="J33" s="64">
        <f t="shared" si="4"/>
        <v>25000000000000</v>
      </c>
    </row>
    <row r="34" spans="1:10" s="68" customFormat="1" ht="21" customHeight="1">
      <c r="A34" s="3780"/>
      <c r="B34" s="3794"/>
      <c r="C34" s="73" t="s">
        <v>202</v>
      </c>
      <c r="D34" s="120">
        <f>+'1-6목적(도박)'!F91</f>
        <v>1196000</v>
      </c>
      <c r="E34" s="238">
        <v>1196000</v>
      </c>
      <c r="F34" s="74">
        <f>D34-E34</f>
        <v>0</v>
      </c>
      <c r="G34" s="111">
        <f>(D34-E34)/E34</f>
        <v>0</v>
      </c>
      <c r="H34" s="434">
        <f t="shared" si="2"/>
        <v>1196000000000000</v>
      </c>
      <c r="I34" s="434">
        <f t="shared" si="2"/>
        <v>1196000000000000</v>
      </c>
      <c r="J34" s="64">
        <f t="shared" si="4"/>
        <v>0</v>
      </c>
    </row>
    <row r="35" spans="1:10" s="68" customFormat="1" ht="21" customHeight="1">
      <c r="A35" s="3780"/>
      <c r="B35" s="3788" t="s">
        <v>26</v>
      </c>
      <c r="C35" s="3789"/>
      <c r="D35" s="115">
        <f>SUM(D36:D37)</f>
        <v>66000</v>
      </c>
      <c r="E35" s="236">
        <v>66000</v>
      </c>
      <c r="F35" s="25">
        <f t="shared" si="7"/>
        <v>0</v>
      </c>
      <c r="G35" s="108">
        <f t="shared" si="1"/>
        <v>0</v>
      </c>
      <c r="H35" s="434">
        <f t="shared" si="2"/>
        <v>66000000000000</v>
      </c>
      <c r="I35" s="434">
        <f t="shared" si="2"/>
        <v>66000000000000</v>
      </c>
      <c r="J35" s="64">
        <f t="shared" si="4"/>
        <v>0</v>
      </c>
    </row>
    <row r="36" spans="1:10" s="68" customFormat="1" ht="21" customHeight="1">
      <c r="A36" s="3780"/>
      <c r="B36" s="3790"/>
      <c r="C36" s="70" t="s">
        <v>201</v>
      </c>
      <c r="D36" s="122">
        <f>+'1-6목적(도박)'!F349</f>
        <v>66000</v>
      </c>
      <c r="E36" s="122">
        <v>66000</v>
      </c>
      <c r="F36" s="71">
        <f t="shared" si="7"/>
        <v>0</v>
      </c>
      <c r="G36" s="110">
        <f t="shared" si="1"/>
        <v>0</v>
      </c>
      <c r="H36" s="434">
        <f t="shared" si="2"/>
        <v>66000000000000</v>
      </c>
      <c r="I36" s="434">
        <f t="shared" si="2"/>
        <v>66000000000000</v>
      </c>
      <c r="J36" s="64">
        <f t="shared" si="4"/>
        <v>0</v>
      </c>
    </row>
    <row r="37" spans="1:10" s="68" customFormat="1" ht="21" hidden="1" customHeight="1">
      <c r="A37" s="3781"/>
      <c r="B37" s="3791"/>
      <c r="C37" s="400" t="s">
        <v>202</v>
      </c>
      <c r="D37" s="120"/>
      <c r="E37" s="120"/>
      <c r="F37" s="74"/>
      <c r="G37" s="111" t="e">
        <f t="shared" si="1"/>
        <v>#DIV/0!</v>
      </c>
      <c r="H37" s="434">
        <f t="shared" si="2"/>
        <v>0</v>
      </c>
      <c r="I37" s="434">
        <f t="shared" si="2"/>
        <v>0</v>
      </c>
      <c r="J37" s="64">
        <f t="shared" si="4"/>
        <v>0</v>
      </c>
    </row>
    <row r="38" spans="1:10" s="69" customFormat="1" ht="21" customHeight="1">
      <c r="A38" s="3783" t="s">
        <v>1048</v>
      </c>
      <c r="B38" s="3771" t="s">
        <v>1053</v>
      </c>
      <c r="C38" s="3772"/>
      <c r="D38" s="410">
        <f>SUM(D39:D40)</f>
        <v>3056000</v>
      </c>
      <c r="E38" s="410">
        <f>SUM(E39:E40)</f>
        <v>3056000</v>
      </c>
      <c r="F38" s="411">
        <f t="shared" si="7"/>
        <v>0</v>
      </c>
      <c r="G38" s="109">
        <f t="shared" ref="G38:G54" si="12">(D38-E38)/E38</f>
        <v>0</v>
      </c>
      <c r="H38" s="434">
        <f t="shared" si="2"/>
        <v>3056000000000000</v>
      </c>
      <c r="I38" s="434">
        <f t="shared" si="2"/>
        <v>3056000000000000</v>
      </c>
      <c r="J38" s="64">
        <f t="shared" si="4"/>
        <v>0</v>
      </c>
    </row>
    <row r="39" spans="1:10" s="72" customFormat="1" ht="21" customHeight="1">
      <c r="A39" s="3783"/>
      <c r="B39" s="3793"/>
      <c r="C39" s="70" t="s">
        <v>201</v>
      </c>
      <c r="D39" s="119">
        <f>+'1-7목적(미술관)'!F7</f>
        <v>2059000</v>
      </c>
      <c r="E39" s="119">
        <v>2059000</v>
      </c>
      <c r="F39" s="71">
        <f t="shared" si="7"/>
        <v>0</v>
      </c>
      <c r="G39" s="110">
        <f t="shared" si="12"/>
        <v>0</v>
      </c>
      <c r="H39" s="434">
        <f t="shared" si="2"/>
        <v>2059000000000000</v>
      </c>
      <c r="I39" s="434">
        <f t="shared" si="2"/>
        <v>2059000000000000</v>
      </c>
      <c r="J39" s="64">
        <f t="shared" si="4"/>
        <v>0</v>
      </c>
    </row>
    <row r="40" spans="1:10" s="68" customFormat="1" ht="21" customHeight="1">
      <c r="A40" s="3783"/>
      <c r="B40" s="3800"/>
      <c r="C40" s="400" t="s">
        <v>202</v>
      </c>
      <c r="D40" s="120">
        <f>+'1-7목적(미술관)'!F109</f>
        <v>997000</v>
      </c>
      <c r="E40" s="120">
        <v>997000</v>
      </c>
      <c r="F40" s="74">
        <f t="shared" si="7"/>
        <v>0</v>
      </c>
      <c r="G40" s="111">
        <f t="shared" si="12"/>
        <v>0</v>
      </c>
      <c r="H40" s="434">
        <f t="shared" si="2"/>
        <v>997000000000000</v>
      </c>
      <c r="I40" s="434">
        <f t="shared" si="2"/>
        <v>997000000000000</v>
      </c>
      <c r="J40" s="64">
        <f t="shared" si="4"/>
        <v>0</v>
      </c>
    </row>
    <row r="41" spans="1:10" s="75" customFormat="1" ht="21" customHeight="1">
      <c r="A41" s="3783" t="s">
        <v>1049</v>
      </c>
      <c r="B41" s="3771" t="s">
        <v>1053</v>
      </c>
      <c r="C41" s="3772"/>
      <c r="D41" s="410">
        <f>SUM(D42:D43)</f>
        <v>3015418.0300000003</v>
      </c>
      <c r="E41" s="410">
        <f>SUM(E42:E43)</f>
        <v>2991600</v>
      </c>
      <c r="F41" s="411">
        <f t="shared" si="7"/>
        <v>23818.030000000261</v>
      </c>
      <c r="G41" s="109">
        <f t="shared" si="12"/>
        <v>7.9616359138923194E-3</v>
      </c>
      <c r="H41" s="434">
        <f t="shared" si="2"/>
        <v>3015418030000000.5</v>
      </c>
      <c r="I41" s="434">
        <f t="shared" si="2"/>
        <v>2991600000000000</v>
      </c>
      <c r="J41" s="64">
        <f t="shared" si="4"/>
        <v>23818030000000.5</v>
      </c>
    </row>
    <row r="42" spans="1:10" s="72" customFormat="1" ht="21" customHeight="1">
      <c r="A42" s="3783"/>
      <c r="B42" s="3793"/>
      <c r="C42" s="70" t="s">
        <v>201</v>
      </c>
      <c r="D42" s="237">
        <f>+'1-8목적(백남준)'!F7</f>
        <v>1915600</v>
      </c>
      <c r="E42" s="237">
        <v>1915600</v>
      </c>
      <c r="F42" s="71">
        <f t="shared" si="7"/>
        <v>0</v>
      </c>
      <c r="G42" s="110">
        <f t="shared" si="12"/>
        <v>0</v>
      </c>
      <c r="H42" s="434">
        <f t="shared" si="2"/>
        <v>1915600000000000</v>
      </c>
      <c r="I42" s="434">
        <f t="shared" si="2"/>
        <v>1915600000000000</v>
      </c>
      <c r="J42" s="64">
        <f t="shared" si="4"/>
        <v>0</v>
      </c>
    </row>
    <row r="43" spans="1:10" s="72" customFormat="1" ht="21" customHeight="1">
      <c r="A43" s="3783"/>
      <c r="B43" s="3800"/>
      <c r="C43" s="239" t="s">
        <v>202</v>
      </c>
      <c r="D43" s="240">
        <f>+'1-8목적(백남준)'!F87</f>
        <v>1099818.03</v>
      </c>
      <c r="E43" s="240">
        <v>1076000</v>
      </c>
      <c r="F43" s="74">
        <f t="shared" si="7"/>
        <v>23818.030000000028</v>
      </c>
      <c r="G43" s="111">
        <f t="shared" si="12"/>
        <v>2.2135715613382925E-2</v>
      </c>
      <c r="H43" s="434">
        <f t="shared" si="2"/>
        <v>1099818030000000</v>
      </c>
      <c r="I43" s="434">
        <f t="shared" si="2"/>
        <v>1076000000000000</v>
      </c>
      <c r="J43" s="64">
        <f t="shared" si="4"/>
        <v>23818030000000</v>
      </c>
    </row>
    <row r="44" spans="1:10" s="75" customFormat="1" ht="21" customHeight="1">
      <c r="A44" s="3783" t="s">
        <v>1050</v>
      </c>
      <c r="B44" s="3771" t="s">
        <v>1053</v>
      </c>
      <c r="C44" s="3772"/>
      <c r="D44" s="410">
        <f>SUM(D45:D46)</f>
        <v>2557950</v>
      </c>
      <c r="E44" s="410">
        <f>SUM(E45:E46)</f>
        <v>2509950</v>
      </c>
      <c r="F44" s="411">
        <f t="shared" si="7"/>
        <v>48000</v>
      </c>
      <c r="G44" s="109">
        <f t="shared" si="12"/>
        <v>1.9123886930018527E-2</v>
      </c>
      <c r="H44" s="434">
        <f t="shared" si="2"/>
        <v>2557950000000000</v>
      </c>
      <c r="I44" s="434">
        <f t="shared" si="2"/>
        <v>2509950000000000</v>
      </c>
      <c r="J44" s="64">
        <f t="shared" si="4"/>
        <v>48000000000000</v>
      </c>
    </row>
    <row r="45" spans="1:10" s="72" customFormat="1" ht="21" customHeight="1">
      <c r="A45" s="3783"/>
      <c r="B45" s="3793"/>
      <c r="C45" s="70" t="s">
        <v>201</v>
      </c>
      <c r="D45" s="123">
        <f>+'1-9목적(실학)'!F7</f>
        <v>1672450</v>
      </c>
      <c r="E45" s="310">
        <v>1629450</v>
      </c>
      <c r="F45" s="71">
        <f t="shared" si="7"/>
        <v>43000</v>
      </c>
      <c r="G45" s="110">
        <f t="shared" si="12"/>
        <v>2.6389272453895486E-2</v>
      </c>
      <c r="H45" s="434">
        <f t="shared" si="2"/>
        <v>1672450000000000</v>
      </c>
      <c r="I45" s="434">
        <f t="shared" si="2"/>
        <v>1629450000000000</v>
      </c>
      <c r="J45" s="64">
        <f t="shared" si="4"/>
        <v>43000000000000</v>
      </c>
    </row>
    <row r="46" spans="1:10" s="68" customFormat="1" ht="21" customHeight="1">
      <c r="A46" s="3783"/>
      <c r="B46" s="3800"/>
      <c r="C46" s="239" t="s">
        <v>202</v>
      </c>
      <c r="D46" s="124">
        <f>+'1-9목적(실학)'!F93</f>
        <v>885500</v>
      </c>
      <c r="E46" s="311">
        <v>880500</v>
      </c>
      <c r="F46" s="74">
        <f t="shared" si="7"/>
        <v>5000</v>
      </c>
      <c r="G46" s="111">
        <f t="shared" si="12"/>
        <v>5.6785917092561046E-3</v>
      </c>
      <c r="H46" s="434">
        <f t="shared" si="2"/>
        <v>885500000000000</v>
      </c>
      <c r="I46" s="434">
        <f t="shared" si="2"/>
        <v>880500000000000</v>
      </c>
      <c r="J46" s="64">
        <f t="shared" si="4"/>
        <v>5000000000000</v>
      </c>
    </row>
    <row r="47" spans="1:10" s="75" customFormat="1" ht="21" customHeight="1">
      <c r="A47" s="3783" t="s">
        <v>1051</v>
      </c>
      <c r="B47" s="3771" t="s">
        <v>1053</v>
      </c>
      <c r="C47" s="3772"/>
      <c r="D47" s="410">
        <f>SUM(D48:D49)</f>
        <v>3045200</v>
      </c>
      <c r="E47" s="410">
        <f>SUM(E48:E49)</f>
        <v>3009200</v>
      </c>
      <c r="F47" s="411">
        <f t="shared" si="7"/>
        <v>36000</v>
      </c>
      <c r="G47" s="109">
        <f t="shared" si="12"/>
        <v>1.1963312508307856E-2</v>
      </c>
      <c r="H47" s="434">
        <f t="shared" si="2"/>
        <v>3045200000000000</v>
      </c>
      <c r="I47" s="434">
        <f t="shared" si="2"/>
        <v>3009200000000000</v>
      </c>
      <c r="J47" s="64">
        <f t="shared" si="4"/>
        <v>36000000000000</v>
      </c>
    </row>
    <row r="48" spans="1:10" s="72" customFormat="1" ht="21" customHeight="1">
      <c r="A48" s="3783"/>
      <c r="B48" s="3793"/>
      <c r="C48" s="70" t="s">
        <v>201</v>
      </c>
      <c r="D48" s="119">
        <f>+'1-10목적(선사)'!F7</f>
        <v>1955200</v>
      </c>
      <c r="E48" s="237">
        <v>1955200</v>
      </c>
      <c r="F48" s="71">
        <f t="shared" si="7"/>
        <v>0</v>
      </c>
      <c r="G48" s="110">
        <f t="shared" si="12"/>
        <v>0</v>
      </c>
      <c r="H48" s="434">
        <f t="shared" si="2"/>
        <v>1955200000000000</v>
      </c>
      <c r="I48" s="434">
        <f t="shared" si="2"/>
        <v>1955200000000000</v>
      </c>
      <c r="J48" s="64">
        <f t="shared" si="4"/>
        <v>0</v>
      </c>
    </row>
    <row r="49" spans="1:10" s="72" customFormat="1" ht="21" customHeight="1">
      <c r="A49" s="3783"/>
      <c r="B49" s="3800"/>
      <c r="C49" s="239" t="s">
        <v>202</v>
      </c>
      <c r="D49" s="120">
        <f>+'1-10목적(선사)'!F118</f>
        <v>1090000</v>
      </c>
      <c r="E49" s="238">
        <v>1054000</v>
      </c>
      <c r="F49" s="74">
        <f t="shared" si="7"/>
        <v>36000</v>
      </c>
      <c r="G49" s="111">
        <f t="shared" si="12"/>
        <v>3.4155597722960153E-2</v>
      </c>
      <c r="H49" s="434">
        <f t="shared" si="2"/>
        <v>1090000000000000</v>
      </c>
      <c r="I49" s="434">
        <f t="shared" si="2"/>
        <v>1054000000000000</v>
      </c>
      <c r="J49" s="64">
        <f t="shared" si="4"/>
        <v>36000000000000</v>
      </c>
    </row>
    <row r="50" spans="1:10" s="69" customFormat="1" ht="21" customHeight="1">
      <c r="A50" s="3783" t="s">
        <v>1052</v>
      </c>
      <c r="B50" s="3771" t="s">
        <v>1053</v>
      </c>
      <c r="C50" s="3772"/>
      <c r="D50" s="410">
        <f>SUM(D51:D52)</f>
        <v>3402950</v>
      </c>
      <c r="E50" s="410">
        <f>SUM(E51:E52)</f>
        <v>3427950</v>
      </c>
      <c r="F50" s="411">
        <f t="shared" si="7"/>
        <v>-25000</v>
      </c>
      <c r="G50" s="109">
        <f t="shared" si="12"/>
        <v>-7.2929885208360681E-3</v>
      </c>
      <c r="H50" s="434">
        <f t="shared" si="2"/>
        <v>3402950000000000</v>
      </c>
      <c r="I50" s="434">
        <f t="shared" si="2"/>
        <v>3427950000000000</v>
      </c>
      <c r="J50" s="64">
        <f t="shared" si="4"/>
        <v>-25000000000000</v>
      </c>
    </row>
    <row r="51" spans="1:10" s="72" customFormat="1" ht="21" customHeight="1">
      <c r="A51" s="3783"/>
      <c r="B51" s="3793"/>
      <c r="C51" s="70" t="s">
        <v>201</v>
      </c>
      <c r="D51" s="119">
        <f>+'1-11목적(어박)'!F7</f>
        <v>2173450</v>
      </c>
      <c r="E51" s="237">
        <v>2198450</v>
      </c>
      <c r="F51" s="71">
        <f t="shared" si="7"/>
        <v>-25000</v>
      </c>
      <c r="G51" s="110">
        <f t="shared" si="12"/>
        <v>-1.1371648206691077E-2</v>
      </c>
      <c r="H51" s="434">
        <f t="shared" si="2"/>
        <v>2173450000000000</v>
      </c>
      <c r="I51" s="434">
        <f t="shared" si="2"/>
        <v>2198450000000000</v>
      </c>
      <c r="J51" s="64">
        <f t="shared" si="4"/>
        <v>-25000000000000</v>
      </c>
    </row>
    <row r="52" spans="1:10" s="68" customFormat="1" ht="21" customHeight="1">
      <c r="A52" s="3779"/>
      <c r="B52" s="3800"/>
      <c r="C52" s="239" t="s">
        <v>202</v>
      </c>
      <c r="D52" s="401">
        <f>+'1-11목적(어박)'!F84</f>
        <v>1229500</v>
      </c>
      <c r="E52" s="240">
        <v>1229500</v>
      </c>
      <c r="F52" s="402">
        <f t="shared" si="7"/>
        <v>0</v>
      </c>
      <c r="G52" s="403">
        <f t="shared" si="12"/>
        <v>0</v>
      </c>
      <c r="H52" s="434">
        <f t="shared" si="2"/>
        <v>1229500000000000</v>
      </c>
      <c r="I52" s="434">
        <f t="shared" si="2"/>
        <v>1229500000000000</v>
      </c>
      <c r="J52" s="64">
        <f t="shared" si="4"/>
        <v>0</v>
      </c>
    </row>
    <row r="53" spans="1:10" s="72" customFormat="1" ht="21.75" hidden="1" customHeight="1">
      <c r="A53" s="3801" t="s">
        <v>987</v>
      </c>
      <c r="B53" s="3776"/>
      <c r="C53" s="3776"/>
      <c r="D53" s="117">
        <v>0</v>
      </c>
      <c r="E53" s="117">
        <v>0</v>
      </c>
      <c r="F53" s="395">
        <f t="shared" ref="F53" si="13">D53-E53</f>
        <v>0</v>
      </c>
      <c r="G53" s="414" t="e">
        <f t="shared" ref="G53" si="14">(D53-E53)/E53</f>
        <v>#DIV/0!</v>
      </c>
      <c r="H53" s="434">
        <f t="shared" si="2"/>
        <v>0</v>
      </c>
      <c r="I53" s="434">
        <f t="shared" si="2"/>
        <v>0</v>
      </c>
      <c r="J53" s="64">
        <f t="shared" si="4"/>
        <v>0</v>
      </c>
    </row>
    <row r="54" spans="1:10" s="77" customFormat="1" ht="21" customHeight="1" thickBot="1">
      <c r="A54" s="3798" t="s">
        <v>205</v>
      </c>
      <c r="B54" s="3799"/>
      <c r="C54" s="3799"/>
      <c r="D54" s="407">
        <f>+'1-12예비비'!F6</f>
        <v>50000</v>
      </c>
      <c r="E54" s="407">
        <v>50000</v>
      </c>
      <c r="F54" s="408">
        <f t="shared" si="7"/>
        <v>0</v>
      </c>
      <c r="G54" s="409">
        <f t="shared" si="12"/>
        <v>0</v>
      </c>
      <c r="H54" s="434">
        <f t="shared" si="2"/>
        <v>50000000000000</v>
      </c>
      <c r="I54" s="434">
        <f t="shared" si="2"/>
        <v>50000000000000</v>
      </c>
      <c r="J54" s="64">
        <f t="shared" si="4"/>
        <v>0</v>
      </c>
    </row>
    <row r="55" spans="1:10" s="125" customFormat="1" ht="18.75">
      <c r="C55" s="126"/>
      <c r="D55" s="78"/>
      <c r="E55" s="78"/>
      <c r="F55" s="79"/>
      <c r="G55" s="80"/>
      <c r="H55" s="81"/>
      <c r="I55" s="416"/>
      <c r="J55" s="81"/>
    </row>
    <row r="56" spans="1:10" s="125" customFormat="1" ht="18.75">
      <c r="C56" s="126"/>
      <c r="D56" s="78"/>
      <c r="E56" s="78"/>
      <c r="F56" s="79"/>
      <c r="G56" s="80"/>
      <c r="H56" s="81"/>
      <c r="I56" s="416"/>
      <c r="J56" s="81"/>
    </row>
    <row r="57" spans="1:10" s="125" customFormat="1">
      <c r="D57" s="79"/>
      <c r="E57" s="82"/>
      <c r="F57" s="79"/>
      <c r="G57" s="80"/>
      <c r="H57" s="81"/>
      <c r="I57" s="416"/>
      <c r="J57" s="81"/>
    </row>
    <row r="58" spans="1:10" s="125" customFormat="1">
      <c r="D58" s="79"/>
      <c r="E58" s="79"/>
      <c r="F58" s="79"/>
      <c r="G58" s="80"/>
      <c r="H58" s="81"/>
      <c r="I58" s="416"/>
      <c r="J58" s="81"/>
    </row>
    <row r="59" spans="1:10" s="125" customFormat="1">
      <c r="D59" s="79"/>
      <c r="E59" s="79"/>
      <c r="F59" s="79"/>
      <c r="G59" s="80"/>
      <c r="H59" s="81"/>
      <c r="I59" s="416"/>
      <c r="J59" s="81"/>
    </row>
    <row r="60" spans="1:10" s="125" customFormat="1">
      <c r="D60" s="79"/>
      <c r="E60" s="79"/>
      <c r="F60" s="79"/>
      <c r="G60" s="80"/>
      <c r="H60" s="81"/>
      <c r="I60" s="416"/>
      <c r="J60" s="81"/>
    </row>
    <row r="61" spans="1:10" s="125" customFormat="1">
      <c r="D61" s="79"/>
      <c r="E61" s="79"/>
      <c r="F61" s="79"/>
      <c r="G61" s="80"/>
      <c r="H61" s="81"/>
      <c r="I61" s="416"/>
      <c r="J61" s="81"/>
    </row>
    <row r="62" spans="1:10" s="125" customFormat="1">
      <c r="D62" s="79"/>
      <c r="E62" s="79"/>
      <c r="F62" s="79"/>
      <c r="G62" s="80"/>
      <c r="H62" s="81"/>
      <c r="I62" s="416"/>
      <c r="J62" s="81"/>
    </row>
    <row r="63" spans="1:10" s="125" customFormat="1">
      <c r="D63" s="79"/>
      <c r="E63" s="79"/>
      <c r="F63" s="79"/>
      <c r="G63" s="80"/>
      <c r="H63" s="81"/>
      <c r="I63" s="416"/>
      <c r="J63" s="81"/>
    </row>
    <row r="64" spans="1:10" s="125" customFormat="1">
      <c r="D64" s="79"/>
      <c r="E64" s="79"/>
      <c r="F64" s="79"/>
      <c r="G64" s="80"/>
      <c r="H64" s="81"/>
      <c r="I64" s="416"/>
      <c r="J64" s="81"/>
    </row>
    <row r="65" spans="2:17" s="125" customFormat="1">
      <c r="D65" s="79"/>
      <c r="E65" s="79"/>
      <c r="F65" s="79"/>
      <c r="G65" s="80"/>
      <c r="H65" s="81"/>
      <c r="I65" s="416"/>
      <c r="J65" s="81"/>
    </row>
    <row r="66" spans="2:17" s="125" customFormat="1">
      <c r="D66" s="79"/>
      <c r="E66" s="79"/>
      <c r="F66" s="79"/>
      <c r="G66" s="80"/>
      <c r="H66" s="81"/>
      <c r="I66" s="416"/>
      <c r="J66" s="81"/>
    </row>
    <row r="73" spans="2:17" s="82" customFormat="1">
      <c r="B73" s="35"/>
      <c r="C73" s="35"/>
      <c r="G73" s="83"/>
      <c r="H73" s="84"/>
      <c r="I73" s="417"/>
      <c r="J73" s="84"/>
      <c r="K73" s="35"/>
      <c r="L73" s="35"/>
      <c r="M73" s="35"/>
      <c r="N73" s="35"/>
      <c r="O73" s="35"/>
      <c r="P73" s="35"/>
      <c r="Q73" s="35"/>
    </row>
    <row r="74" spans="2:17" s="82" customFormat="1">
      <c r="B74" s="35"/>
      <c r="C74" s="35"/>
      <c r="G74" s="83"/>
      <c r="H74" s="84"/>
      <c r="I74" s="417"/>
      <c r="J74" s="84"/>
      <c r="K74" s="35"/>
      <c r="L74" s="35"/>
      <c r="M74" s="35"/>
      <c r="N74" s="35"/>
      <c r="O74" s="35"/>
      <c r="P74" s="35"/>
      <c r="Q74" s="35"/>
    </row>
    <row r="75" spans="2:17" s="82" customFormat="1">
      <c r="B75" s="35"/>
      <c r="C75" s="35"/>
      <c r="G75" s="83"/>
      <c r="H75" s="84"/>
      <c r="I75" s="417"/>
      <c r="J75" s="84"/>
      <c r="K75" s="35"/>
      <c r="L75" s="35"/>
      <c r="M75" s="35"/>
      <c r="N75" s="35"/>
      <c r="O75" s="35"/>
      <c r="P75" s="35"/>
      <c r="Q75" s="35"/>
    </row>
    <row r="76" spans="2:17" s="82" customFormat="1">
      <c r="B76" s="35"/>
      <c r="C76" s="35"/>
      <c r="G76" s="83"/>
      <c r="H76" s="84"/>
      <c r="I76" s="417"/>
      <c r="J76" s="84"/>
      <c r="K76" s="35"/>
      <c r="L76" s="35"/>
      <c r="M76" s="35"/>
      <c r="N76" s="35"/>
      <c r="O76" s="35"/>
      <c r="P76" s="35"/>
      <c r="Q76" s="35"/>
    </row>
    <row r="77" spans="2:17" s="82" customFormat="1">
      <c r="B77" s="35"/>
      <c r="C77" s="35"/>
      <c r="G77" s="83"/>
      <c r="H77" s="84"/>
      <c r="I77" s="417"/>
      <c r="J77" s="84"/>
      <c r="K77" s="35"/>
      <c r="L77" s="35"/>
      <c r="M77" s="35"/>
      <c r="N77" s="35"/>
      <c r="O77" s="35"/>
      <c r="P77" s="35"/>
      <c r="Q77" s="35"/>
    </row>
    <row r="78" spans="2:17" s="82" customFormat="1">
      <c r="B78" s="35"/>
      <c r="C78" s="35"/>
      <c r="G78" s="83"/>
      <c r="H78" s="84"/>
      <c r="I78" s="417"/>
      <c r="J78" s="84"/>
      <c r="K78" s="35"/>
      <c r="L78" s="35"/>
      <c r="M78" s="35"/>
      <c r="N78" s="35"/>
      <c r="O78" s="35"/>
      <c r="P78" s="35"/>
      <c r="Q78" s="35"/>
    </row>
    <row r="79" spans="2:17" s="82" customFormat="1">
      <c r="B79" s="35"/>
      <c r="C79" s="35"/>
      <c r="G79" s="83"/>
      <c r="H79" s="84"/>
      <c r="I79" s="417"/>
      <c r="J79" s="84"/>
      <c r="K79" s="35"/>
      <c r="L79" s="35"/>
      <c r="M79" s="35"/>
      <c r="N79" s="35"/>
      <c r="O79" s="35"/>
      <c r="P79" s="35"/>
      <c r="Q79" s="35"/>
    </row>
    <row r="80" spans="2:17" s="82" customFormat="1">
      <c r="B80" s="35"/>
      <c r="C80" s="35"/>
      <c r="G80" s="83"/>
      <c r="H80" s="84"/>
      <c r="I80" s="417"/>
      <c r="J80" s="84"/>
      <c r="K80" s="35"/>
      <c r="L80" s="35"/>
      <c r="M80" s="35"/>
      <c r="N80" s="35"/>
      <c r="O80" s="35"/>
      <c r="P80" s="35"/>
      <c r="Q80" s="35"/>
    </row>
    <row r="81" spans="2:17" s="82" customFormat="1">
      <c r="B81" s="35"/>
      <c r="C81" s="35"/>
      <c r="G81" s="83"/>
      <c r="H81" s="84"/>
      <c r="I81" s="417"/>
      <c r="J81" s="84"/>
      <c r="K81" s="35"/>
      <c r="L81" s="35"/>
      <c r="M81" s="35"/>
      <c r="N81" s="35"/>
      <c r="O81" s="35"/>
      <c r="P81" s="35"/>
      <c r="Q81" s="35"/>
    </row>
    <row r="82" spans="2:17" s="82" customFormat="1">
      <c r="B82" s="35"/>
      <c r="C82" s="35"/>
      <c r="G82" s="83"/>
      <c r="H82" s="84"/>
      <c r="I82" s="417"/>
      <c r="J82" s="84"/>
      <c r="K82" s="35"/>
      <c r="L82" s="35"/>
      <c r="M82" s="35"/>
      <c r="N82" s="35"/>
      <c r="O82" s="35"/>
      <c r="P82" s="35"/>
      <c r="Q82" s="35"/>
    </row>
    <row r="83" spans="2:17" s="82" customFormat="1">
      <c r="B83" s="35"/>
      <c r="C83" s="35"/>
      <c r="G83" s="83"/>
      <c r="H83" s="84"/>
      <c r="I83" s="417"/>
      <c r="J83" s="84"/>
      <c r="K83" s="35"/>
      <c r="L83" s="35"/>
      <c r="M83" s="35"/>
      <c r="N83" s="35"/>
      <c r="O83" s="35"/>
      <c r="P83" s="35"/>
      <c r="Q83" s="35"/>
    </row>
    <row r="84" spans="2:17" s="82" customFormat="1">
      <c r="B84" s="35"/>
      <c r="C84" s="35"/>
      <c r="G84" s="83"/>
      <c r="H84" s="84"/>
      <c r="I84" s="417"/>
      <c r="J84" s="84"/>
      <c r="K84" s="35"/>
      <c r="L84" s="35"/>
      <c r="M84" s="35"/>
      <c r="N84" s="35"/>
      <c r="O84" s="35"/>
      <c r="P84" s="35"/>
      <c r="Q84" s="35"/>
    </row>
    <row r="85" spans="2:17" s="82" customFormat="1">
      <c r="B85" s="35"/>
      <c r="C85" s="35"/>
      <c r="G85" s="83"/>
      <c r="H85" s="84"/>
      <c r="I85" s="417"/>
      <c r="J85" s="84"/>
      <c r="K85" s="35"/>
      <c r="L85" s="35"/>
      <c r="M85" s="35"/>
      <c r="N85" s="35"/>
      <c r="O85" s="35"/>
      <c r="P85" s="35"/>
      <c r="Q85" s="35"/>
    </row>
    <row r="86" spans="2:17" s="82" customFormat="1">
      <c r="B86" s="35"/>
      <c r="C86" s="35"/>
      <c r="G86" s="83"/>
      <c r="H86" s="84"/>
      <c r="I86" s="417"/>
      <c r="J86" s="84"/>
      <c r="K86" s="35"/>
      <c r="L86" s="35"/>
      <c r="M86" s="35"/>
      <c r="N86" s="35"/>
      <c r="O86" s="35"/>
      <c r="P86" s="35"/>
      <c r="Q86" s="35"/>
    </row>
    <row r="87" spans="2:17" s="82" customFormat="1">
      <c r="B87" s="35"/>
      <c r="C87" s="35"/>
      <c r="G87" s="83"/>
      <c r="H87" s="84"/>
      <c r="I87" s="417"/>
      <c r="J87" s="84"/>
      <c r="K87" s="35"/>
      <c r="L87" s="35"/>
      <c r="M87" s="35"/>
      <c r="N87" s="35"/>
      <c r="O87" s="35"/>
      <c r="P87" s="35"/>
      <c r="Q87" s="35"/>
    </row>
    <row r="88" spans="2:17" s="82" customFormat="1">
      <c r="B88" s="35"/>
      <c r="C88" s="35"/>
      <c r="G88" s="83"/>
      <c r="H88" s="84"/>
      <c r="I88" s="417"/>
      <c r="J88" s="84"/>
      <c r="K88" s="35"/>
      <c r="L88" s="35"/>
      <c r="M88" s="35"/>
      <c r="N88" s="35"/>
      <c r="O88" s="35"/>
      <c r="P88" s="35"/>
      <c r="Q88" s="35"/>
    </row>
    <row r="89" spans="2:17" s="82" customFormat="1">
      <c r="B89" s="35"/>
      <c r="C89" s="35"/>
      <c r="G89" s="83"/>
      <c r="H89" s="84"/>
      <c r="I89" s="417"/>
      <c r="J89" s="84"/>
      <c r="K89" s="35"/>
      <c r="L89" s="35"/>
      <c r="M89" s="35"/>
      <c r="N89" s="35"/>
      <c r="O89" s="35"/>
      <c r="P89" s="35"/>
      <c r="Q89" s="35"/>
    </row>
    <row r="90" spans="2:17" s="82" customFormat="1">
      <c r="B90" s="35"/>
      <c r="C90" s="35"/>
      <c r="G90" s="83"/>
      <c r="H90" s="84"/>
      <c r="I90" s="417"/>
      <c r="J90" s="84"/>
      <c r="K90" s="35"/>
      <c r="L90" s="35"/>
      <c r="M90" s="35"/>
      <c r="N90" s="35"/>
      <c r="O90" s="35"/>
      <c r="P90" s="35"/>
      <c r="Q90" s="35"/>
    </row>
    <row r="91" spans="2:17" s="82" customFormat="1">
      <c r="B91" s="35"/>
      <c r="C91" s="35"/>
      <c r="G91" s="83"/>
      <c r="H91" s="84"/>
      <c r="I91" s="417"/>
      <c r="J91" s="84"/>
      <c r="K91" s="35"/>
      <c r="L91" s="35"/>
      <c r="M91" s="35"/>
      <c r="N91" s="35"/>
      <c r="O91" s="35"/>
      <c r="P91" s="35"/>
      <c r="Q91" s="35"/>
    </row>
    <row r="92" spans="2:17" s="82" customFormat="1">
      <c r="B92" s="35"/>
      <c r="C92" s="35"/>
      <c r="G92" s="83"/>
      <c r="H92" s="84"/>
      <c r="I92" s="417"/>
      <c r="J92" s="84"/>
      <c r="K92" s="35"/>
      <c r="L92" s="35"/>
      <c r="M92" s="35"/>
      <c r="N92" s="35"/>
      <c r="O92" s="35"/>
      <c r="P92" s="35"/>
      <c r="Q92" s="35"/>
    </row>
    <row r="93" spans="2:17" s="82" customFormat="1">
      <c r="B93" s="35"/>
      <c r="C93" s="35"/>
      <c r="G93" s="83"/>
      <c r="H93" s="84"/>
      <c r="I93" s="417"/>
      <c r="J93" s="84"/>
      <c r="K93" s="35"/>
      <c r="L93" s="35"/>
      <c r="M93" s="35"/>
      <c r="N93" s="35"/>
      <c r="O93" s="35"/>
      <c r="P93" s="35"/>
      <c r="Q93" s="35"/>
    </row>
    <row r="94" spans="2:17" s="82" customFormat="1">
      <c r="B94" s="35"/>
      <c r="C94" s="35"/>
      <c r="G94" s="83"/>
      <c r="H94" s="84"/>
      <c r="I94" s="417"/>
      <c r="J94" s="84"/>
      <c r="K94" s="35"/>
      <c r="L94" s="35"/>
      <c r="M94" s="35"/>
      <c r="N94" s="35"/>
      <c r="O94" s="35"/>
      <c r="P94" s="35"/>
      <c r="Q94" s="35"/>
    </row>
    <row r="95" spans="2:17" s="82" customFormat="1">
      <c r="B95" s="35"/>
      <c r="C95" s="35"/>
      <c r="G95" s="83"/>
      <c r="H95" s="84"/>
      <c r="I95" s="417"/>
      <c r="J95" s="84"/>
      <c r="K95" s="35"/>
      <c r="L95" s="35"/>
      <c r="M95" s="35"/>
      <c r="N95" s="35"/>
      <c r="O95" s="35"/>
      <c r="P95" s="35"/>
      <c r="Q95" s="35"/>
    </row>
    <row r="96" spans="2:17" s="82" customFormat="1">
      <c r="B96" s="35"/>
      <c r="C96" s="35"/>
      <c r="G96" s="83"/>
      <c r="H96" s="84"/>
      <c r="I96" s="417"/>
      <c r="J96" s="84"/>
      <c r="K96" s="35"/>
      <c r="L96" s="35"/>
      <c r="M96" s="35"/>
      <c r="N96" s="35"/>
      <c r="O96" s="35"/>
      <c r="P96" s="35"/>
      <c r="Q96" s="35"/>
    </row>
    <row r="97" spans="2:17" s="82" customFormat="1">
      <c r="B97" s="35"/>
      <c r="C97" s="35"/>
      <c r="G97" s="83"/>
      <c r="H97" s="84"/>
      <c r="I97" s="417"/>
      <c r="J97" s="84"/>
      <c r="K97" s="35"/>
      <c r="L97" s="35"/>
      <c r="M97" s="35"/>
      <c r="N97" s="35"/>
      <c r="O97" s="35"/>
      <c r="P97" s="35"/>
      <c r="Q97" s="35"/>
    </row>
    <row r="98" spans="2:17" s="82" customFormat="1">
      <c r="B98" s="35"/>
      <c r="C98" s="35"/>
      <c r="G98" s="83"/>
      <c r="H98" s="84"/>
      <c r="I98" s="417"/>
      <c r="J98" s="84"/>
      <c r="K98" s="35"/>
      <c r="L98" s="35"/>
      <c r="M98" s="35"/>
      <c r="N98" s="35"/>
      <c r="O98" s="35"/>
      <c r="P98" s="35"/>
      <c r="Q98" s="35"/>
    </row>
    <row r="99" spans="2:17" s="82" customFormat="1">
      <c r="B99" s="35"/>
      <c r="C99" s="35"/>
      <c r="G99" s="83"/>
      <c r="H99" s="84"/>
      <c r="I99" s="417"/>
      <c r="J99" s="84"/>
      <c r="K99" s="35"/>
      <c r="L99" s="35"/>
      <c r="M99" s="35"/>
      <c r="N99" s="35"/>
      <c r="O99" s="35"/>
      <c r="P99" s="35"/>
      <c r="Q99" s="35"/>
    </row>
    <row r="100" spans="2:17" s="82" customFormat="1">
      <c r="B100" s="35"/>
      <c r="C100" s="35"/>
      <c r="G100" s="83"/>
      <c r="H100" s="84"/>
      <c r="I100" s="417"/>
      <c r="J100" s="84"/>
      <c r="K100" s="35"/>
      <c r="L100" s="35"/>
      <c r="M100" s="35"/>
      <c r="N100" s="35"/>
      <c r="O100" s="35"/>
      <c r="P100" s="35"/>
      <c r="Q100" s="35"/>
    </row>
    <row r="101" spans="2:17" s="82" customFormat="1">
      <c r="B101" s="35"/>
      <c r="C101" s="35"/>
      <c r="G101" s="83"/>
      <c r="H101" s="84"/>
      <c r="I101" s="417"/>
      <c r="J101" s="84"/>
      <c r="K101" s="35"/>
      <c r="L101" s="35"/>
      <c r="M101" s="35"/>
      <c r="N101" s="35"/>
      <c r="O101" s="35"/>
      <c r="P101" s="35"/>
      <c r="Q101" s="35"/>
    </row>
    <row r="102" spans="2:17" s="82" customFormat="1">
      <c r="B102" s="35"/>
      <c r="C102" s="35"/>
      <c r="G102" s="83"/>
      <c r="H102" s="84"/>
      <c r="I102" s="417"/>
      <c r="J102" s="84"/>
      <c r="K102" s="35"/>
      <c r="L102" s="35"/>
      <c r="M102" s="35"/>
      <c r="N102" s="35"/>
      <c r="O102" s="35"/>
      <c r="P102" s="35"/>
      <c r="Q102" s="35"/>
    </row>
    <row r="103" spans="2:17" s="82" customFormat="1">
      <c r="B103" s="35"/>
      <c r="C103" s="35"/>
      <c r="G103" s="83"/>
      <c r="H103" s="84"/>
      <c r="I103" s="417"/>
      <c r="J103" s="84"/>
      <c r="K103" s="35"/>
      <c r="L103" s="35"/>
      <c r="M103" s="35"/>
      <c r="N103" s="35"/>
      <c r="O103" s="35"/>
      <c r="P103" s="35"/>
      <c r="Q103" s="35"/>
    </row>
    <row r="104" spans="2:17" s="82" customFormat="1">
      <c r="B104" s="35"/>
      <c r="C104" s="35"/>
      <c r="G104" s="83"/>
      <c r="H104" s="84"/>
      <c r="I104" s="417"/>
      <c r="J104" s="84"/>
      <c r="K104" s="35"/>
      <c r="L104" s="35"/>
      <c r="M104" s="35"/>
      <c r="N104" s="35"/>
      <c r="O104" s="35"/>
      <c r="P104" s="35"/>
      <c r="Q104" s="35"/>
    </row>
    <row r="105" spans="2:17" s="82" customFormat="1">
      <c r="B105" s="35"/>
      <c r="C105" s="35"/>
      <c r="G105" s="83"/>
      <c r="H105" s="84"/>
      <c r="I105" s="417"/>
      <c r="J105" s="84"/>
      <c r="K105" s="35"/>
      <c r="L105" s="35"/>
      <c r="M105" s="35"/>
      <c r="N105" s="35"/>
      <c r="O105" s="35"/>
      <c r="P105" s="35"/>
      <c r="Q105" s="35"/>
    </row>
    <row r="106" spans="2:17" s="82" customFormat="1">
      <c r="B106" s="35"/>
      <c r="C106" s="35"/>
      <c r="G106" s="83"/>
      <c r="H106" s="84"/>
      <c r="I106" s="417"/>
      <c r="J106" s="84"/>
      <c r="K106" s="35"/>
      <c r="L106" s="35"/>
      <c r="M106" s="35"/>
      <c r="N106" s="35"/>
      <c r="O106" s="35"/>
      <c r="P106" s="35"/>
      <c r="Q106" s="35"/>
    </row>
    <row r="107" spans="2:17" s="82" customFormat="1">
      <c r="B107" s="35"/>
      <c r="C107" s="35"/>
      <c r="G107" s="83"/>
      <c r="H107" s="84"/>
      <c r="I107" s="417"/>
      <c r="J107" s="84"/>
      <c r="K107" s="35"/>
      <c r="L107" s="35"/>
      <c r="M107" s="35"/>
      <c r="N107" s="35"/>
      <c r="O107" s="35"/>
      <c r="P107" s="35"/>
      <c r="Q107" s="35"/>
    </row>
    <row r="108" spans="2:17" s="82" customFormat="1">
      <c r="B108" s="35"/>
      <c r="C108" s="35"/>
      <c r="G108" s="83"/>
      <c r="H108" s="84"/>
      <c r="I108" s="417"/>
      <c r="J108" s="84"/>
      <c r="K108" s="35"/>
      <c r="L108" s="35"/>
      <c r="M108" s="35"/>
      <c r="N108" s="35"/>
      <c r="O108" s="35"/>
      <c r="P108" s="35"/>
      <c r="Q108" s="35"/>
    </row>
    <row r="109" spans="2:17" s="82" customFormat="1">
      <c r="B109" s="35"/>
      <c r="C109" s="35"/>
      <c r="G109" s="83"/>
      <c r="H109" s="84"/>
      <c r="I109" s="417"/>
      <c r="J109" s="84"/>
      <c r="K109" s="35"/>
      <c r="L109" s="35"/>
      <c r="M109" s="35"/>
      <c r="N109" s="35"/>
      <c r="O109" s="35"/>
      <c r="P109" s="35"/>
      <c r="Q109" s="35"/>
    </row>
    <row r="110" spans="2:17" s="82" customFormat="1">
      <c r="B110" s="35"/>
      <c r="C110" s="35"/>
      <c r="G110" s="83"/>
      <c r="H110" s="84"/>
      <c r="I110" s="417"/>
      <c r="J110" s="84"/>
      <c r="K110" s="35"/>
      <c r="L110" s="35"/>
      <c r="M110" s="35"/>
      <c r="N110" s="35"/>
      <c r="O110" s="35"/>
      <c r="P110" s="35"/>
      <c r="Q110" s="35"/>
    </row>
    <row r="111" spans="2:17" s="82" customFormat="1">
      <c r="B111" s="35"/>
      <c r="C111" s="35"/>
      <c r="G111" s="83"/>
      <c r="H111" s="84"/>
      <c r="I111" s="417"/>
      <c r="J111" s="84"/>
      <c r="K111" s="35"/>
      <c r="L111" s="35"/>
      <c r="M111" s="35"/>
      <c r="N111" s="35"/>
      <c r="O111" s="35"/>
      <c r="P111" s="35"/>
      <c r="Q111" s="35"/>
    </row>
    <row r="112" spans="2:17" s="82" customFormat="1">
      <c r="B112" s="35"/>
      <c r="C112" s="35"/>
      <c r="G112" s="83"/>
      <c r="H112" s="84"/>
      <c r="I112" s="417"/>
      <c r="J112" s="84"/>
      <c r="K112" s="35"/>
      <c r="L112" s="35"/>
      <c r="M112" s="35"/>
      <c r="N112" s="35"/>
      <c r="O112" s="35"/>
      <c r="P112" s="35"/>
      <c r="Q112" s="35"/>
    </row>
    <row r="113" spans="2:17" s="82" customFormat="1">
      <c r="B113" s="35"/>
      <c r="C113" s="35"/>
      <c r="G113" s="83"/>
      <c r="H113" s="84"/>
      <c r="I113" s="417"/>
      <c r="J113" s="84"/>
      <c r="K113" s="35"/>
      <c r="L113" s="35"/>
      <c r="M113" s="35"/>
      <c r="N113" s="35"/>
      <c r="O113" s="35"/>
      <c r="P113" s="35"/>
      <c r="Q113" s="35"/>
    </row>
    <row r="114" spans="2:17" s="82" customFormat="1">
      <c r="B114" s="35"/>
      <c r="C114" s="35"/>
      <c r="G114" s="83"/>
      <c r="H114" s="84"/>
      <c r="I114" s="417"/>
      <c r="J114" s="84"/>
      <c r="K114" s="35"/>
      <c r="L114" s="35"/>
      <c r="M114" s="35"/>
      <c r="N114" s="35"/>
      <c r="O114" s="35"/>
      <c r="P114" s="35"/>
      <c r="Q114" s="35"/>
    </row>
    <row r="115" spans="2:17" s="82" customFormat="1">
      <c r="B115" s="35"/>
      <c r="C115" s="35"/>
      <c r="G115" s="83"/>
      <c r="H115" s="84"/>
      <c r="I115" s="417"/>
      <c r="J115" s="84"/>
      <c r="K115" s="35"/>
      <c r="L115" s="35"/>
      <c r="M115" s="35"/>
      <c r="N115" s="35"/>
      <c r="O115" s="35"/>
      <c r="P115" s="35"/>
      <c r="Q115" s="35"/>
    </row>
    <row r="116" spans="2:17" s="82" customFormat="1">
      <c r="B116" s="35"/>
      <c r="C116" s="35"/>
      <c r="G116" s="83"/>
      <c r="H116" s="84"/>
      <c r="I116" s="417"/>
      <c r="J116" s="84"/>
      <c r="K116" s="35"/>
      <c r="L116" s="35"/>
      <c r="M116" s="35"/>
      <c r="N116" s="35"/>
      <c r="O116" s="35"/>
      <c r="P116" s="35"/>
      <c r="Q116" s="35"/>
    </row>
    <row r="117" spans="2:17" s="82" customFormat="1">
      <c r="B117" s="35"/>
      <c r="C117" s="35"/>
      <c r="G117" s="83"/>
      <c r="H117" s="84"/>
      <c r="I117" s="417"/>
      <c r="J117" s="84"/>
      <c r="K117" s="35"/>
      <c r="L117" s="35"/>
      <c r="M117" s="35"/>
      <c r="N117" s="35"/>
      <c r="O117" s="35"/>
      <c r="P117" s="35"/>
      <c r="Q117" s="35"/>
    </row>
    <row r="118" spans="2:17" s="82" customFormat="1">
      <c r="B118" s="35"/>
      <c r="C118" s="35"/>
      <c r="G118" s="83"/>
      <c r="H118" s="84"/>
      <c r="I118" s="417"/>
      <c r="J118" s="84"/>
      <c r="K118" s="35"/>
      <c r="L118" s="35"/>
      <c r="M118" s="35"/>
      <c r="N118" s="35"/>
      <c r="O118" s="35"/>
      <c r="P118" s="35"/>
      <c r="Q118" s="35"/>
    </row>
    <row r="119" spans="2:17" s="82" customFormat="1">
      <c r="B119" s="35"/>
      <c r="C119" s="35"/>
      <c r="G119" s="83"/>
      <c r="H119" s="84"/>
      <c r="I119" s="417"/>
      <c r="J119" s="84"/>
      <c r="K119" s="35"/>
      <c r="L119" s="35"/>
      <c r="M119" s="35"/>
      <c r="N119" s="35"/>
      <c r="O119" s="35"/>
      <c r="P119" s="35"/>
      <c r="Q119" s="35"/>
    </row>
    <row r="120" spans="2:17" s="82" customFormat="1">
      <c r="B120" s="35"/>
      <c r="C120" s="35"/>
      <c r="G120" s="83"/>
      <c r="H120" s="84"/>
      <c r="I120" s="417"/>
      <c r="J120" s="84"/>
      <c r="K120" s="35"/>
      <c r="L120" s="35"/>
      <c r="M120" s="35"/>
      <c r="N120" s="35"/>
      <c r="O120" s="35"/>
      <c r="P120" s="35"/>
      <c r="Q120" s="35"/>
    </row>
    <row r="121" spans="2:17" s="82" customFormat="1">
      <c r="B121" s="35"/>
      <c r="C121" s="35"/>
      <c r="G121" s="83"/>
      <c r="H121" s="84"/>
      <c r="I121" s="417"/>
      <c r="J121" s="84"/>
      <c r="K121" s="35"/>
      <c r="L121" s="35"/>
      <c r="M121" s="35"/>
      <c r="N121" s="35"/>
      <c r="O121" s="35"/>
      <c r="P121" s="35"/>
      <c r="Q121" s="35"/>
    </row>
    <row r="122" spans="2:17" s="82" customFormat="1">
      <c r="B122" s="35"/>
      <c r="C122" s="35"/>
      <c r="G122" s="83"/>
      <c r="H122" s="84"/>
      <c r="I122" s="417"/>
      <c r="J122" s="84"/>
      <c r="K122" s="35"/>
      <c r="L122" s="35"/>
      <c r="M122" s="35"/>
      <c r="N122" s="35"/>
      <c r="O122" s="35"/>
      <c r="P122" s="35"/>
      <c r="Q122" s="35"/>
    </row>
    <row r="123" spans="2:17" s="82" customFormat="1">
      <c r="B123" s="35"/>
      <c r="C123" s="35"/>
      <c r="G123" s="83"/>
      <c r="H123" s="84"/>
      <c r="I123" s="417"/>
      <c r="J123" s="84"/>
      <c r="K123" s="35"/>
      <c r="L123" s="35"/>
      <c r="M123" s="35"/>
      <c r="N123" s="35"/>
      <c r="O123" s="35"/>
      <c r="P123" s="35"/>
      <c r="Q123" s="35"/>
    </row>
    <row r="124" spans="2:17" s="82" customFormat="1">
      <c r="B124" s="35"/>
      <c r="C124" s="35"/>
      <c r="G124" s="83"/>
      <c r="H124" s="84"/>
      <c r="I124" s="417"/>
      <c r="J124" s="84"/>
      <c r="K124" s="35"/>
      <c r="L124" s="35"/>
      <c r="M124" s="35"/>
      <c r="N124" s="35"/>
      <c r="O124" s="35"/>
      <c r="P124" s="35"/>
      <c r="Q124" s="35"/>
    </row>
    <row r="125" spans="2:17" s="82" customFormat="1">
      <c r="B125" s="35"/>
      <c r="C125" s="35"/>
      <c r="G125" s="83"/>
      <c r="H125" s="84"/>
      <c r="I125" s="417"/>
      <c r="J125" s="84"/>
      <c r="K125" s="35"/>
      <c r="L125" s="35"/>
      <c r="M125" s="35"/>
      <c r="N125" s="35"/>
      <c r="O125" s="35"/>
      <c r="P125" s="35"/>
      <c r="Q125" s="35"/>
    </row>
    <row r="126" spans="2:17" s="82" customFormat="1">
      <c r="B126" s="35"/>
      <c r="C126" s="35"/>
      <c r="G126" s="83"/>
      <c r="H126" s="84"/>
      <c r="I126" s="417"/>
      <c r="J126" s="84"/>
      <c r="K126" s="35"/>
      <c r="L126" s="35"/>
      <c r="M126" s="35"/>
      <c r="N126" s="35"/>
      <c r="O126" s="35"/>
      <c r="P126" s="35"/>
      <c r="Q126" s="35"/>
    </row>
    <row r="127" spans="2:17" s="82" customFormat="1">
      <c r="B127" s="35"/>
      <c r="C127" s="35"/>
      <c r="G127" s="83"/>
      <c r="H127" s="84"/>
      <c r="I127" s="417"/>
      <c r="J127" s="84"/>
      <c r="K127" s="35"/>
      <c r="L127" s="35"/>
      <c r="M127" s="35"/>
      <c r="N127" s="35"/>
      <c r="O127" s="35"/>
      <c r="P127" s="35"/>
      <c r="Q127" s="35"/>
    </row>
    <row r="128" spans="2:17" s="82" customFormat="1">
      <c r="B128" s="35"/>
      <c r="C128" s="35"/>
      <c r="G128" s="83"/>
      <c r="H128" s="84"/>
      <c r="I128" s="417"/>
      <c r="J128" s="84"/>
      <c r="K128" s="35"/>
      <c r="L128" s="35"/>
      <c r="M128" s="35"/>
      <c r="N128" s="35"/>
      <c r="O128" s="35"/>
      <c r="P128" s="35"/>
      <c r="Q128" s="35"/>
    </row>
    <row r="129" spans="2:17" s="82" customFormat="1">
      <c r="B129" s="35"/>
      <c r="C129" s="35"/>
      <c r="G129" s="83"/>
      <c r="H129" s="84"/>
      <c r="I129" s="417"/>
      <c r="J129" s="84"/>
      <c r="K129" s="35"/>
      <c r="L129" s="35"/>
      <c r="M129" s="35"/>
      <c r="N129" s="35"/>
      <c r="O129" s="35"/>
      <c r="P129" s="35"/>
      <c r="Q129" s="35"/>
    </row>
    <row r="130" spans="2:17" s="82" customFormat="1">
      <c r="B130" s="35"/>
      <c r="C130" s="35"/>
      <c r="G130" s="83"/>
      <c r="H130" s="84"/>
      <c r="I130" s="417"/>
      <c r="J130" s="84"/>
      <c r="K130" s="35"/>
      <c r="L130" s="35"/>
      <c r="M130" s="35"/>
      <c r="N130" s="35"/>
      <c r="O130" s="35"/>
      <c r="P130" s="35"/>
      <c r="Q130" s="35"/>
    </row>
    <row r="131" spans="2:17" s="82" customFormat="1">
      <c r="B131" s="35"/>
      <c r="C131" s="35"/>
      <c r="G131" s="83"/>
      <c r="H131" s="84"/>
      <c r="I131" s="417"/>
      <c r="J131" s="84"/>
      <c r="K131" s="35"/>
      <c r="L131" s="35"/>
      <c r="M131" s="35"/>
      <c r="N131" s="35"/>
      <c r="O131" s="35"/>
      <c r="P131" s="35"/>
      <c r="Q131" s="35"/>
    </row>
    <row r="132" spans="2:17" s="82" customFormat="1">
      <c r="B132" s="35"/>
      <c r="C132" s="35"/>
      <c r="G132" s="83"/>
      <c r="H132" s="84"/>
      <c r="I132" s="417"/>
      <c r="J132" s="84"/>
      <c r="K132" s="35"/>
      <c r="L132" s="35"/>
      <c r="M132" s="35"/>
      <c r="N132" s="35"/>
      <c r="O132" s="35"/>
      <c r="P132" s="35"/>
      <c r="Q132" s="35"/>
    </row>
    <row r="133" spans="2:17" s="82" customFormat="1">
      <c r="B133" s="35"/>
      <c r="C133" s="35"/>
      <c r="G133" s="83"/>
      <c r="H133" s="84"/>
      <c r="I133" s="417"/>
      <c r="J133" s="84"/>
      <c r="K133" s="35"/>
      <c r="L133" s="35"/>
      <c r="M133" s="35"/>
      <c r="N133" s="35"/>
      <c r="O133" s="35"/>
      <c r="P133" s="35"/>
      <c r="Q133" s="35"/>
    </row>
    <row r="134" spans="2:17" s="82" customFormat="1">
      <c r="B134" s="35"/>
      <c r="C134" s="35"/>
      <c r="G134" s="83"/>
      <c r="H134" s="84"/>
      <c r="I134" s="417"/>
      <c r="J134" s="84"/>
      <c r="K134" s="35"/>
      <c r="L134" s="35"/>
      <c r="M134" s="35"/>
      <c r="N134" s="35"/>
      <c r="O134" s="35"/>
      <c r="P134" s="35"/>
      <c r="Q134" s="35"/>
    </row>
    <row r="135" spans="2:17" s="82" customFormat="1">
      <c r="B135" s="35"/>
      <c r="C135" s="35"/>
      <c r="G135" s="83"/>
      <c r="H135" s="84"/>
      <c r="I135" s="417"/>
      <c r="J135" s="84"/>
      <c r="K135" s="35"/>
      <c r="L135" s="35"/>
      <c r="M135" s="35"/>
      <c r="N135" s="35"/>
      <c r="O135" s="35"/>
      <c r="P135" s="35"/>
      <c r="Q135" s="35"/>
    </row>
    <row r="136" spans="2:17" s="82" customFormat="1">
      <c r="B136" s="35"/>
      <c r="C136" s="35"/>
      <c r="G136" s="83"/>
      <c r="H136" s="84"/>
      <c r="I136" s="417"/>
      <c r="J136" s="84"/>
      <c r="K136" s="35"/>
      <c r="L136" s="35"/>
      <c r="M136" s="35"/>
      <c r="N136" s="35"/>
      <c r="O136" s="35"/>
      <c r="P136" s="35"/>
      <c r="Q136" s="35"/>
    </row>
    <row r="137" spans="2:17" s="82" customFormat="1">
      <c r="B137" s="35"/>
      <c r="C137" s="35"/>
      <c r="G137" s="83"/>
      <c r="H137" s="84"/>
      <c r="I137" s="417"/>
      <c r="J137" s="84"/>
      <c r="K137" s="35"/>
      <c r="L137" s="35"/>
      <c r="M137" s="35"/>
      <c r="N137" s="35"/>
      <c r="O137" s="35"/>
      <c r="P137" s="35"/>
      <c r="Q137" s="35"/>
    </row>
    <row r="138" spans="2:17" s="82" customFormat="1">
      <c r="B138" s="35"/>
      <c r="C138" s="35"/>
      <c r="G138" s="83"/>
      <c r="H138" s="84"/>
      <c r="I138" s="417"/>
      <c r="J138" s="84"/>
      <c r="K138" s="35"/>
      <c r="L138" s="35"/>
      <c r="M138" s="35"/>
      <c r="N138" s="35"/>
      <c r="O138" s="35"/>
      <c r="P138" s="35"/>
      <c r="Q138" s="35"/>
    </row>
    <row r="139" spans="2:17" s="82" customFormat="1">
      <c r="B139" s="35"/>
      <c r="C139" s="35"/>
      <c r="G139" s="83"/>
      <c r="H139" s="84"/>
      <c r="I139" s="417"/>
      <c r="J139" s="84"/>
      <c r="K139" s="35"/>
      <c r="L139" s="35"/>
      <c r="M139" s="35"/>
      <c r="N139" s="35"/>
      <c r="O139" s="35"/>
      <c r="P139" s="35"/>
      <c r="Q139" s="35"/>
    </row>
    <row r="140" spans="2:17" s="82" customFormat="1">
      <c r="B140" s="35"/>
      <c r="C140" s="35"/>
      <c r="G140" s="83"/>
      <c r="H140" s="84"/>
      <c r="I140" s="417"/>
      <c r="J140" s="84"/>
      <c r="K140" s="35"/>
      <c r="L140" s="35"/>
      <c r="M140" s="35"/>
      <c r="N140" s="35"/>
      <c r="O140" s="35"/>
      <c r="P140" s="35"/>
      <c r="Q140" s="35"/>
    </row>
    <row r="141" spans="2:17" s="82" customFormat="1">
      <c r="B141" s="35"/>
      <c r="C141" s="35"/>
      <c r="G141" s="83"/>
      <c r="H141" s="84"/>
      <c r="I141" s="417"/>
      <c r="J141" s="84"/>
      <c r="K141" s="35"/>
      <c r="L141" s="35"/>
      <c r="M141" s="35"/>
      <c r="N141" s="35"/>
      <c r="O141" s="35"/>
      <c r="P141" s="35"/>
      <c r="Q141" s="35"/>
    </row>
    <row r="142" spans="2:17" s="82" customFormat="1">
      <c r="B142" s="35"/>
      <c r="C142" s="35"/>
      <c r="G142" s="83"/>
      <c r="H142" s="84"/>
      <c r="I142" s="417"/>
      <c r="J142" s="84"/>
      <c r="K142" s="35"/>
      <c r="L142" s="35"/>
      <c r="M142" s="35"/>
      <c r="N142" s="35"/>
      <c r="O142" s="35"/>
      <c r="P142" s="35"/>
      <c r="Q142" s="35"/>
    </row>
    <row r="143" spans="2:17" s="82" customFormat="1">
      <c r="B143" s="35"/>
      <c r="C143" s="35"/>
      <c r="G143" s="83"/>
      <c r="H143" s="84"/>
      <c r="I143" s="417"/>
      <c r="J143" s="84"/>
      <c r="K143" s="35"/>
      <c r="L143" s="35"/>
      <c r="M143" s="35"/>
      <c r="N143" s="35"/>
      <c r="O143" s="35"/>
      <c r="P143" s="35"/>
      <c r="Q143" s="35"/>
    </row>
    <row r="144" spans="2:17" s="82" customFormat="1">
      <c r="B144" s="35"/>
      <c r="C144" s="35"/>
      <c r="G144" s="83"/>
      <c r="H144" s="84"/>
      <c r="I144" s="417"/>
      <c r="J144" s="84"/>
      <c r="K144" s="35"/>
      <c r="L144" s="35"/>
      <c r="M144" s="35"/>
      <c r="N144" s="35"/>
      <c r="O144" s="35"/>
      <c r="P144" s="35"/>
      <c r="Q144" s="35"/>
    </row>
    <row r="145" spans="2:17" s="82" customFormat="1">
      <c r="B145" s="35"/>
      <c r="C145" s="35"/>
      <c r="G145" s="83"/>
      <c r="H145" s="84"/>
      <c r="I145" s="417"/>
      <c r="J145" s="84"/>
      <c r="K145" s="35"/>
      <c r="L145" s="35"/>
      <c r="M145" s="35"/>
      <c r="N145" s="35"/>
      <c r="O145" s="35"/>
      <c r="P145" s="35"/>
      <c r="Q145" s="35"/>
    </row>
    <row r="146" spans="2:17" s="82" customFormat="1">
      <c r="B146" s="35"/>
      <c r="C146" s="35"/>
      <c r="G146" s="83"/>
      <c r="H146" s="84"/>
      <c r="I146" s="417"/>
      <c r="J146" s="84"/>
      <c r="K146" s="35"/>
      <c r="L146" s="35"/>
      <c r="M146" s="35"/>
      <c r="N146" s="35"/>
      <c r="O146" s="35"/>
      <c r="P146" s="35"/>
      <c r="Q146" s="35"/>
    </row>
    <row r="147" spans="2:17" s="82" customFormat="1">
      <c r="B147" s="35"/>
      <c r="C147" s="35"/>
      <c r="G147" s="83"/>
      <c r="H147" s="84"/>
      <c r="I147" s="417"/>
      <c r="J147" s="84"/>
      <c r="K147" s="35"/>
      <c r="L147" s="35"/>
      <c r="M147" s="35"/>
      <c r="N147" s="35"/>
      <c r="O147" s="35"/>
      <c r="P147" s="35"/>
      <c r="Q147" s="35"/>
    </row>
    <row r="148" spans="2:17" s="82" customFormat="1">
      <c r="B148" s="35"/>
      <c r="C148" s="35"/>
      <c r="G148" s="83"/>
      <c r="H148" s="84"/>
      <c r="I148" s="417"/>
      <c r="J148" s="84"/>
      <c r="K148" s="35"/>
      <c r="L148" s="35"/>
      <c r="M148" s="35"/>
      <c r="N148" s="35"/>
      <c r="O148" s="35"/>
      <c r="P148" s="35"/>
      <c r="Q148" s="35"/>
    </row>
    <row r="149" spans="2:17" s="82" customFormat="1">
      <c r="B149" s="35"/>
      <c r="C149" s="35"/>
      <c r="G149" s="83"/>
      <c r="H149" s="84"/>
      <c r="I149" s="417"/>
      <c r="J149" s="84"/>
      <c r="K149" s="35"/>
      <c r="L149" s="35"/>
      <c r="M149" s="35"/>
      <c r="N149" s="35"/>
      <c r="O149" s="35"/>
      <c r="P149" s="35"/>
      <c r="Q149" s="35"/>
    </row>
    <row r="150" spans="2:17" s="82" customFormat="1">
      <c r="B150" s="35"/>
      <c r="C150" s="35"/>
      <c r="G150" s="83"/>
      <c r="H150" s="84"/>
      <c r="I150" s="417"/>
      <c r="J150" s="84"/>
      <c r="K150" s="35"/>
      <c r="L150" s="35"/>
      <c r="M150" s="35"/>
      <c r="N150" s="35"/>
      <c r="O150" s="35"/>
      <c r="P150" s="35"/>
      <c r="Q150" s="35"/>
    </row>
    <row r="151" spans="2:17" s="82" customFormat="1">
      <c r="B151" s="35"/>
      <c r="C151" s="35"/>
      <c r="G151" s="83"/>
      <c r="H151" s="84"/>
      <c r="I151" s="417"/>
      <c r="J151" s="84"/>
      <c r="K151" s="35"/>
      <c r="L151" s="35"/>
      <c r="M151" s="35"/>
      <c r="N151" s="35"/>
      <c r="O151" s="35"/>
      <c r="P151" s="35"/>
      <c r="Q151" s="35"/>
    </row>
    <row r="152" spans="2:17" s="82" customFormat="1">
      <c r="B152" s="35"/>
      <c r="C152" s="35"/>
      <c r="G152" s="83"/>
      <c r="H152" s="84"/>
      <c r="I152" s="417"/>
      <c r="J152" s="84"/>
      <c r="K152" s="35"/>
      <c r="L152" s="35"/>
      <c r="M152" s="35"/>
      <c r="N152" s="35"/>
      <c r="O152" s="35"/>
      <c r="P152" s="35"/>
      <c r="Q152" s="35"/>
    </row>
    <row r="153" spans="2:17" s="82" customFormat="1">
      <c r="B153" s="35"/>
      <c r="C153" s="35"/>
      <c r="G153" s="83"/>
      <c r="H153" s="84"/>
      <c r="I153" s="417"/>
      <c r="J153" s="84"/>
      <c r="K153" s="35"/>
      <c r="L153" s="35"/>
      <c r="M153" s="35"/>
      <c r="N153" s="35"/>
      <c r="O153" s="35"/>
      <c r="P153" s="35"/>
      <c r="Q153" s="35"/>
    </row>
    <row r="154" spans="2:17" s="82" customFormat="1">
      <c r="B154" s="35"/>
      <c r="C154" s="35"/>
      <c r="G154" s="83"/>
      <c r="H154" s="84"/>
      <c r="I154" s="417"/>
      <c r="J154" s="84"/>
      <c r="K154" s="35"/>
      <c r="L154" s="35"/>
      <c r="M154" s="35"/>
      <c r="N154" s="35"/>
      <c r="O154" s="35"/>
      <c r="P154" s="35"/>
      <c r="Q154" s="35"/>
    </row>
    <row r="155" spans="2:17" s="82" customFormat="1">
      <c r="B155" s="35"/>
      <c r="C155" s="35"/>
      <c r="G155" s="83"/>
      <c r="H155" s="84"/>
      <c r="I155" s="417"/>
      <c r="J155" s="84"/>
      <c r="K155" s="35"/>
      <c r="L155" s="35"/>
      <c r="M155" s="35"/>
      <c r="N155" s="35"/>
      <c r="O155" s="35"/>
      <c r="P155" s="35"/>
      <c r="Q155" s="35"/>
    </row>
    <row r="156" spans="2:17" s="82" customFormat="1">
      <c r="B156" s="35"/>
      <c r="C156" s="35"/>
      <c r="G156" s="83"/>
      <c r="H156" s="84"/>
      <c r="I156" s="417"/>
      <c r="J156" s="84"/>
      <c r="K156" s="35"/>
      <c r="L156" s="35"/>
      <c r="M156" s="35"/>
      <c r="N156" s="35"/>
      <c r="O156" s="35"/>
      <c r="P156" s="35"/>
      <c r="Q156" s="35"/>
    </row>
    <row r="157" spans="2:17" s="82" customFormat="1">
      <c r="B157" s="35"/>
      <c r="C157" s="35"/>
      <c r="G157" s="83"/>
      <c r="H157" s="84"/>
      <c r="I157" s="417"/>
      <c r="J157" s="84"/>
      <c r="K157" s="35"/>
      <c r="L157" s="35"/>
      <c r="M157" s="35"/>
      <c r="N157" s="35"/>
      <c r="O157" s="35"/>
      <c r="P157" s="35"/>
      <c r="Q157" s="35"/>
    </row>
    <row r="158" spans="2:17" s="82" customFormat="1">
      <c r="B158" s="35"/>
      <c r="C158" s="35"/>
      <c r="G158" s="83"/>
      <c r="H158" s="84"/>
      <c r="I158" s="417"/>
      <c r="J158" s="84"/>
      <c r="K158" s="35"/>
      <c r="L158" s="35"/>
      <c r="M158" s="35"/>
      <c r="N158" s="35"/>
      <c r="O158" s="35"/>
      <c r="P158" s="35"/>
      <c r="Q158" s="35"/>
    </row>
    <row r="159" spans="2:17" s="82" customFormat="1">
      <c r="B159" s="35"/>
      <c r="C159" s="35"/>
      <c r="G159" s="83"/>
      <c r="H159" s="84"/>
      <c r="I159" s="417"/>
      <c r="J159" s="84"/>
      <c r="K159" s="35"/>
      <c r="L159" s="35"/>
      <c r="M159" s="35"/>
      <c r="N159" s="35"/>
      <c r="O159" s="35"/>
      <c r="P159" s="35"/>
      <c r="Q159" s="35"/>
    </row>
    <row r="160" spans="2:17" s="82" customFormat="1">
      <c r="B160" s="35"/>
      <c r="C160" s="35"/>
      <c r="G160" s="83"/>
      <c r="H160" s="84"/>
      <c r="I160" s="417"/>
      <c r="J160" s="84"/>
      <c r="K160" s="35"/>
      <c r="L160" s="35"/>
      <c r="M160" s="35"/>
      <c r="N160" s="35"/>
      <c r="O160" s="35"/>
      <c r="P160" s="35"/>
      <c r="Q160" s="35"/>
    </row>
    <row r="161" spans="2:17" s="82" customFormat="1">
      <c r="B161" s="35"/>
      <c r="C161" s="35"/>
      <c r="G161" s="83"/>
      <c r="H161" s="84"/>
      <c r="I161" s="417"/>
      <c r="J161" s="84"/>
      <c r="K161" s="35"/>
      <c r="L161" s="35"/>
      <c r="M161" s="35"/>
      <c r="N161" s="35"/>
      <c r="O161" s="35"/>
      <c r="P161" s="35"/>
      <c r="Q161" s="35"/>
    </row>
    <row r="162" spans="2:17" s="82" customFormat="1">
      <c r="B162" s="35"/>
      <c r="C162" s="35"/>
      <c r="G162" s="83"/>
      <c r="H162" s="84"/>
      <c r="I162" s="417"/>
      <c r="J162" s="84"/>
      <c r="K162" s="35"/>
      <c r="L162" s="35"/>
      <c r="M162" s="35"/>
      <c r="N162" s="35"/>
      <c r="O162" s="35"/>
      <c r="P162" s="35"/>
      <c r="Q162" s="35"/>
    </row>
    <row r="163" spans="2:17" s="82" customFormat="1">
      <c r="B163" s="35"/>
      <c r="C163" s="35"/>
      <c r="G163" s="83"/>
      <c r="H163" s="84"/>
      <c r="I163" s="417"/>
      <c r="J163" s="84"/>
      <c r="K163" s="35"/>
      <c r="L163" s="35"/>
      <c r="M163" s="35"/>
      <c r="N163" s="35"/>
      <c r="O163" s="35"/>
      <c r="P163" s="35"/>
      <c r="Q163" s="35"/>
    </row>
    <row r="164" spans="2:17" s="82" customFormat="1">
      <c r="B164" s="35"/>
      <c r="C164" s="35"/>
      <c r="G164" s="83"/>
      <c r="H164" s="84"/>
      <c r="I164" s="417"/>
      <c r="J164" s="84"/>
      <c r="K164" s="35"/>
      <c r="L164" s="35"/>
      <c r="M164" s="35"/>
      <c r="N164" s="35"/>
      <c r="O164" s="35"/>
      <c r="P164" s="35"/>
      <c r="Q164" s="35"/>
    </row>
    <row r="165" spans="2:17" s="82" customFormat="1">
      <c r="B165" s="35"/>
      <c r="C165" s="35"/>
      <c r="G165" s="83"/>
      <c r="H165" s="84"/>
      <c r="I165" s="417"/>
      <c r="J165" s="84"/>
      <c r="K165" s="35"/>
      <c r="L165" s="35"/>
      <c r="M165" s="35"/>
      <c r="N165" s="35"/>
      <c r="O165" s="35"/>
      <c r="P165" s="35"/>
      <c r="Q165" s="35"/>
    </row>
    <row r="166" spans="2:17" s="82" customFormat="1">
      <c r="B166" s="35"/>
      <c r="C166" s="35"/>
      <c r="G166" s="83"/>
      <c r="H166" s="84"/>
      <c r="I166" s="417"/>
      <c r="J166" s="84"/>
      <c r="K166" s="35"/>
      <c r="L166" s="35"/>
      <c r="M166" s="35"/>
      <c r="N166" s="35"/>
      <c r="O166" s="35"/>
      <c r="P166" s="35"/>
      <c r="Q166" s="35"/>
    </row>
    <row r="167" spans="2:17" s="82" customFormat="1">
      <c r="B167" s="35"/>
      <c r="C167" s="35"/>
      <c r="G167" s="83"/>
      <c r="H167" s="84"/>
      <c r="I167" s="417"/>
      <c r="J167" s="84"/>
      <c r="K167" s="35"/>
      <c r="L167" s="35"/>
      <c r="M167" s="35"/>
      <c r="N167" s="35"/>
      <c r="O167" s="35"/>
      <c r="P167" s="35"/>
      <c r="Q167" s="35"/>
    </row>
    <row r="168" spans="2:17" s="82" customFormat="1">
      <c r="B168" s="35"/>
      <c r="C168" s="35"/>
      <c r="G168" s="83"/>
      <c r="H168" s="84"/>
      <c r="I168" s="417"/>
      <c r="J168" s="84"/>
      <c r="K168" s="35"/>
      <c r="L168" s="35"/>
      <c r="M168" s="35"/>
      <c r="N168" s="35"/>
      <c r="O168" s="35"/>
      <c r="P168" s="35"/>
      <c r="Q168" s="35"/>
    </row>
    <row r="169" spans="2:17" s="82" customFormat="1">
      <c r="B169" s="35"/>
      <c r="C169" s="35"/>
      <c r="G169" s="83"/>
      <c r="H169" s="84"/>
      <c r="I169" s="417"/>
      <c r="J169" s="84"/>
      <c r="K169" s="35"/>
      <c r="L169" s="35"/>
      <c r="M169" s="35"/>
      <c r="N169" s="35"/>
      <c r="O169" s="35"/>
      <c r="P169" s="35"/>
      <c r="Q169" s="35"/>
    </row>
    <row r="170" spans="2:17" s="82" customFormat="1">
      <c r="B170" s="35"/>
      <c r="C170" s="35"/>
      <c r="G170" s="83"/>
      <c r="H170" s="84"/>
      <c r="I170" s="417"/>
      <c r="J170" s="84"/>
      <c r="K170" s="35"/>
      <c r="L170" s="35"/>
      <c r="M170" s="35"/>
      <c r="N170" s="35"/>
      <c r="O170" s="35"/>
      <c r="P170" s="35"/>
      <c r="Q170" s="35"/>
    </row>
    <row r="171" spans="2:17" s="82" customFormat="1">
      <c r="B171" s="35"/>
      <c r="C171" s="35"/>
      <c r="G171" s="83"/>
      <c r="H171" s="84"/>
      <c r="I171" s="417"/>
      <c r="J171" s="84"/>
      <c r="K171" s="35"/>
      <c r="L171" s="35"/>
      <c r="M171" s="35"/>
      <c r="N171" s="35"/>
      <c r="O171" s="35"/>
      <c r="P171" s="35"/>
      <c r="Q171" s="35"/>
    </row>
    <row r="172" spans="2:17" s="82" customFormat="1">
      <c r="B172" s="35"/>
      <c r="C172" s="35"/>
      <c r="G172" s="83"/>
      <c r="H172" s="84"/>
      <c r="I172" s="417"/>
      <c r="J172" s="84"/>
      <c r="K172" s="35"/>
      <c r="L172" s="35"/>
      <c r="M172" s="35"/>
      <c r="N172" s="35"/>
      <c r="O172" s="35"/>
      <c r="P172" s="35"/>
      <c r="Q172" s="35"/>
    </row>
    <row r="173" spans="2:17" s="82" customFormat="1">
      <c r="B173" s="35"/>
      <c r="C173" s="35"/>
      <c r="G173" s="83"/>
      <c r="H173" s="84"/>
      <c r="I173" s="417"/>
      <c r="J173" s="84"/>
      <c r="K173" s="35"/>
      <c r="L173" s="35"/>
      <c r="M173" s="35"/>
      <c r="N173" s="35"/>
      <c r="O173" s="35"/>
      <c r="P173" s="35"/>
      <c r="Q173" s="35"/>
    </row>
    <row r="174" spans="2:17" s="82" customFormat="1">
      <c r="B174" s="35"/>
      <c r="C174" s="35"/>
      <c r="G174" s="83"/>
      <c r="H174" s="84"/>
      <c r="I174" s="417"/>
      <c r="J174" s="84"/>
      <c r="K174" s="35"/>
      <c r="L174" s="35"/>
      <c r="M174" s="35"/>
      <c r="N174" s="35"/>
      <c r="O174" s="35"/>
      <c r="P174" s="35"/>
      <c r="Q174" s="35"/>
    </row>
    <row r="175" spans="2:17" s="82" customFormat="1">
      <c r="B175" s="35"/>
      <c r="C175" s="35"/>
      <c r="G175" s="83"/>
      <c r="H175" s="84"/>
      <c r="I175" s="417"/>
      <c r="J175" s="84"/>
      <c r="K175" s="35"/>
      <c r="L175" s="35"/>
      <c r="M175" s="35"/>
      <c r="N175" s="35"/>
      <c r="O175" s="35"/>
      <c r="P175" s="35"/>
      <c r="Q175" s="35"/>
    </row>
    <row r="176" spans="2:17" s="82" customFormat="1">
      <c r="B176" s="35"/>
      <c r="C176" s="35"/>
      <c r="G176" s="83"/>
      <c r="H176" s="84"/>
      <c r="I176" s="417"/>
      <c r="J176" s="84"/>
      <c r="K176" s="35"/>
      <c r="L176" s="35"/>
      <c r="M176" s="35"/>
      <c r="N176" s="35"/>
      <c r="O176" s="35"/>
      <c r="P176" s="35"/>
      <c r="Q176" s="35"/>
    </row>
    <row r="177" spans="2:17" s="82" customFormat="1">
      <c r="B177" s="35"/>
      <c r="C177" s="35"/>
      <c r="G177" s="83"/>
      <c r="H177" s="84"/>
      <c r="I177" s="417"/>
      <c r="J177" s="84"/>
      <c r="K177" s="35"/>
      <c r="L177" s="35"/>
      <c r="M177" s="35"/>
      <c r="N177" s="35"/>
      <c r="O177" s="35"/>
      <c r="P177" s="35"/>
      <c r="Q177" s="35"/>
    </row>
    <row r="178" spans="2:17" s="82" customFormat="1">
      <c r="B178" s="35"/>
      <c r="C178" s="35"/>
      <c r="G178" s="83"/>
      <c r="H178" s="84"/>
      <c r="I178" s="417"/>
      <c r="J178" s="84"/>
      <c r="K178" s="35"/>
      <c r="L178" s="35"/>
      <c r="M178" s="35"/>
      <c r="N178" s="35"/>
      <c r="O178" s="35"/>
      <c r="P178" s="35"/>
      <c r="Q178" s="35"/>
    </row>
    <row r="179" spans="2:17" s="82" customFormat="1">
      <c r="B179" s="35"/>
      <c r="C179" s="35"/>
      <c r="G179" s="83"/>
      <c r="H179" s="84"/>
      <c r="I179" s="417"/>
      <c r="J179" s="84"/>
      <c r="K179" s="35"/>
      <c r="L179" s="35"/>
      <c r="M179" s="35"/>
      <c r="N179" s="35"/>
      <c r="O179" s="35"/>
      <c r="P179" s="35"/>
      <c r="Q179" s="35"/>
    </row>
    <row r="180" spans="2:17" s="82" customFormat="1">
      <c r="B180" s="35"/>
      <c r="C180" s="35"/>
      <c r="G180" s="83"/>
      <c r="H180" s="84"/>
      <c r="I180" s="417"/>
      <c r="J180" s="84"/>
      <c r="K180" s="35"/>
      <c r="L180" s="35"/>
      <c r="M180" s="35"/>
      <c r="N180" s="35"/>
      <c r="O180" s="35"/>
      <c r="P180" s="35"/>
      <c r="Q180" s="35"/>
    </row>
    <row r="181" spans="2:17" s="82" customFormat="1">
      <c r="B181" s="35"/>
      <c r="C181" s="35"/>
      <c r="G181" s="83"/>
      <c r="H181" s="84"/>
      <c r="I181" s="417"/>
      <c r="J181" s="84"/>
      <c r="K181" s="35"/>
      <c r="L181" s="35"/>
      <c r="M181" s="35"/>
      <c r="N181" s="35"/>
      <c r="O181" s="35"/>
      <c r="P181" s="35"/>
      <c r="Q181" s="35"/>
    </row>
    <row r="182" spans="2:17" s="82" customFormat="1">
      <c r="B182" s="35"/>
      <c r="C182" s="35"/>
      <c r="G182" s="83"/>
      <c r="H182" s="84"/>
      <c r="I182" s="417"/>
      <c r="J182" s="84"/>
      <c r="K182" s="35"/>
      <c r="L182" s="35"/>
      <c r="M182" s="35"/>
      <c r="N182" s="35"/>
      <c r="O182" s="35"/>
      <c r="P182" s="35"/>
      <c r="Q182" s="35"/>
    </row>
    <row r="183" spans="2:17" s="82" customFormat="1">
      <c r="B183" s="35"/>
      <c r="C183" s="35"/>
      <c r="G183" s="83"/>
      <c r="H183" s="84"/>
      <c r="I183" s="417"/>
      <c r="J183" s="84"/>
      <c r="K183" s="35"/>
      <c r="L183" s="35"/>
      <c r="M183" s="35"/>
      <c r="N183" s="35"/>
      <c r="O183" s="35"/>
      <c r="P183" s="35"/>
      <c r="Q183" s="35"/>
    </row>
    <row r="184" spans="2:17" s="82" customFormat="1">
      <c r="B184" s="35"/>
      <c r="C184" s="35"/>
      <c r="G184" s="83"/>
      <c r="H184" s="84"/>
      <c r="I184" s="417"/>
      <c r="J184" s="84"/>
      <c r="K184" s="35"/>
      <c r="L184" s="35"/>
      <c r="M184" s="35"/>
      <c r="N184" s="35"/>
      <c r="O184" s="35"/>
      <c r="P184" s="35"/>
      <c r="Q184" s="35"/>
    </row>
    <row r="185" spans="2:17" s="82" customFormat="1">
      <c r="B185" s="35"/>
      <c r="C185" s="35"/>
      <c r="G185" s="83"/>
      <c r="H185" s="84"/>
      <c r="I185" s="417"/>
      <c r="J185" s="84"/>
      <c r="K185" s="35"/>
      <c r="L185" s="35"/>
      <c r="M185" s="35"/>
      <c r="N185" s="35"/>
      <c r="O185" s="35"/>
      <c r="P185" s="35"/>
      <c r="Q185" s="35"/>
    </row>
    <row r="186" spans="2:17" s="82" customFormat="1">
      <c r="B186" s="35"/>
      <c r="C186" s="35"/>
      <c r="G186" s="83"/>
      <c r="H186" s="84"/>
      <c r="I186" s="417"/>
      <c r="J186" s="84"/>
      <c r="K186" s="35"/>
      <c r="L186" s="35"/>
      <c r="M186" s="35"/>
      <c r="N186" s="35"/>
      <c r="O186" s="35"/>
      <c r="P186" s="35"/>
      <c r="Q186" s="35"/>
    </row>
    <row r="187" spans="2:17" s="82" customFormat="1">
      <c r="B187" s="35"/>
      <c r="C187" s="35"/>
      <c r="G187" s="83"/>
      <c r="H187" s="84"/>
      <c r="I187" s="417"/>
      <c r="J187" s="84"/>
      <c r="K187" s="35"/>
      <c r="L187" s="35"/>
      <c r="M187" s="35"/>
      <c r="N187" s="35"/>
      <c r="O187" s="35"/>
      <c r="P187" s="35"/>
      <c r="Q187" s="35"/>
    </row>
    <row r="188" spans="2:17" s="82" customFormat="1">
      <c r="B188" s="35"/>
      <c r="C188" s="35"/>
      <c r="G188" s="83"/>
      <c r="H188" s="84"/>
      <c r="I188" s="417"/>
      <c r="J188" s="84"/>
      <c r="K188" s="35"/>
      <c r="L188" s="35"/>
      <c r="M188" s="35"/>
      <c r="N188" s="35"/>
      <c r="O188" s="35"/>
      <c r="P188" s="35"/>
      <c r="Q188" s="35"/>
    </row>
    <row r="189" spans="2:17" s="82" customFormat="1">
      <c r="B189" s="35"/>
      <c r="C189" s="35"/>
      <c r="G189" s="83"/>
      <c r="H189" s="84"/>
      <c r="I189" s="417"/>
      <c r="J189" s="84"/>
      <c r="K189" s="35"/>
      <c r="L189" s="35"/>
      <c r="M189" s="35"/>
      <c r="N189" s="35"/>
      <c r="O189" s="35"/>
      <c r="P189" s="35"/>
      <c r="Q189" s="35"/>
    </row>
    <row r="190" spans="2:17" s="82" customFormat="1">
      <c r="B190" s="35"/>
      <c r="C190" s="35"/>
      <c r="G190" s="83"/>
      <c r="H190" s="84"/>
      <c r="I190" s="417"/>
      <c r="J190" s="84"/>
      <c r="K190" s="35"/>
      <c r="L190" s="35"/>
      <c r="M190" s="35"/>
      <c r="N190" s="35"/>
      <c r="O190" s="35"/>
      <c r="P190" s="35"/>
      <c r="Q190" s="35"/>
    </row>
    <row r="191" spans="2:17" s="82" customFormat="1">
      <c r="B191" s="35"/>
      <c r="C191" s="35"/>
      <c r="G191" s="83"/>
      <c r="H191" s="84"/>
      <c r="I191" s="417"/>
      <c r="J191" s="84"/>
      <c r="K191" s="35"/>
      <c r="L191" s="35"/>
      <c r="M191" s="35"/>
      <c r="N191" s="35"/>
      <c r="O191" s="35"/>
      <c r="P191" s="35"/>
      <c r="Q191" s="35"/>
    </row>
    <row r="192" spans="2:17" s="82" customFormat="1">
      <c r="B192" s="35"/>
      <c r="C192" s="35"/>
      <c r="G192" s="83"/>
      <c r="H192" s="84"/>
      <c r="I192" s="417"/>
      <c r="J192" s="84"/>
      <c r="K192" s="35"/>
      <c r="L192" s="35"/>
      <c r="M192" s="35"/>
      <c r="N192" s="35"/>
      <c r="O192" s="35"/>
      <c r="P192" s="35"/>
      <c r="Q192" s="35"/>
    </row>
    <row r="193" spans="2:17" s="82" customFormat="1">
      <c r="B193" s="35"/>
      <c r="C193" s="35"/>
      <c r="G193" s="83"/>
      <c r="H193" s="84"/>
      <c r="I193" s="417"/>
      <c r="J193" s="84"/>
      <c r="K193" s="35"/>
      <c r="L193" s="35"/>
      <c r="M193" s="35"/>
      <c r="N193" s="35"/>
      <c r="O193" s="35"/>
      <c r="P193" s="35"/>
      <c r="Q193" s="35"/>
    </row>
    <row r="194" spans="2:17" s="82" customFormat="1">
      <c r="B194" s="35"/>
      <c r="C194" s="35"/>
      <c r="G194" s="83"/>
      <c r="H194" s="84"/>
      <c r="I194" s="417"/>
      <c r="J194" s="84"/>
      <c r="K194" s="35"/>
      <c r="L194" s="35"/>
      <c r="M194" s="35"/>
      <c r="N194" s="35"/>
      <c r="O194" s="35"/>
      <c r="P194" s="35"/>
      <c r="Q194" s="35"/>
    </row>
    <row r="195" spans="2:17" s="82" customFormat="1">
      <c r="B195" s="35"/>
      <c r="C195" s="35"/>
      <c r="G195" s="83"/>
      <c r="H195" s="84"/>
      <c r="I195" s="417"/>
      <c r="J195" s="84"/>
      <c r="K195" s="35"/>
      <c r="L195" s="35"/>
      <c r="M195" s="35"/>
      <c r="N195" s="35"/>
      <c r="O195" s="35"/>
      <c r="P195" s="35"/>
      <c r="Q195" s="35"/>
    </row>
    <row r="196" spans="2:17" s="82" customFormat="1">
      <c r="B196" s="35"/>
      <c r="C196" s="35"/>
      <c r="G196" s="83"/>
      <c r="H196" s="84"/>
      <c r="I196" s="417"/>
      <c r="J196" s="84"/>
      <c r="K196" s="35"/>
      <c r="L196" s="35"/>
      <c r="M196" s="35"/>
      <c r="N196" s="35"/>
      <c r="O196" s="35"/>
      <c r="P196" s="35"/>
      <c r="Q196" s="35"/>
    </row>
    <row r="197" spans="2:17" s="82" customFormat="1">
      <c r="B197" s="35"/>
      <c r="C197" s="35"/>
      <c r="G197" s="83"/>
      <c r="H197" s="84"/>
      <c r="I197" s="417"/>
      <c r="J197" s="84"/>
      <c r="K197" s="35"/>
      <c r="L197" s="35"/>
      <c r="M197" s="35"/>
      <c r="N197" s="35"/>
      <c r="O197" s="35"/>
      <c r="P197" s="35"/>
      <c r="Q197" s="35"/>
    </row>
    <row r="198" spans="2:17" s="82" customFormat="1">
      <c r="B198" s="35"/>
      <c r="C198" s="35"/>
      <c r="G198" s="83"/>
      <c r="H198" s="84"/>
      <c r="I198" s="417"/>
      <c r="J198" s="84"/>
      <c r="K198" s="35"/>
      <c r="L198" s="35"/>
      <c r="M198" s="35"/>
      <c r="N198" s="35"/>
      <c r="O198" s="35"/>
      <c r="P198" s="35"/>
      <c r="Q198" s="35"/>
    </row>
    <row r="199" spans="2:17" s="82" customFormat="1">
      <c r="B199" s="35"/>
      <c r="C199" s="35"/>
      <c r="G199" s="83"/>
      <c r="H199" s="84"/>
      <c r="I199" s="417"/>
      <c r="J199" s="84"/>
      <c r="K199" s="35"/>
      <c r="L199" s="35"/>
      <c r="M199" s="35"/>
      <c r="N199" s="35"/>
      <c r="O199" s="35"/>
      <c r="P199" s="35"/>
      <c r="Q199" s="35"/>
    </row>
    <row r="200" spans="2:17" s="82" customFormat="1">
      <c r="B200" s="35"/>
      <c r="C200" s="35"/>
      <c r="G200" s="83"/>
      <c r="H200" s="84"/>
      <c r="I200" s="417"/>
      <c r="J200" s="84"/>
      <c r="K200" s="35"/>
      <c r="L200" s="35"/>
      <c r="M200" s="35"/>
      <c r="N200" s="35"/>
      <c r="O200" s="35"/>
      <c r="P200" s="35"/>
      <c r="Q200" s="35"/>
    </row>
    <row r="201" spans="2:17" s="82" customFormat="1">
      <c r="B201" s="35"/>
      <c r="C201" s="35"/>
      <c r="G201" s="83"/>
      <c r="H201" s="84"/>
      <c r="I201" s="417"/>
      <c r="J201" s="84"/>
      <c r="K201" s="35"/>
      <c r="L201" s="35"/>
      <c r="M201" s="35"/>
      <c r="N201" s="35"/>
      <c r="O201" s="35"/>
      <c r="P201" s="35"/>
      <c r="Q201" s="35"/>
    </row>
    <row r="202" spans="2:17" s="82" customFormat="1">
      <c r="B202" s="35"/>
      <c r="C202" s="35"/>
      <c r="G202" s="83"/>
      <c r="H202" s="84"/>
      <c r="I202" s="417"/>
      <c r="J202" s="84"/>
      <c r="K202" s="35"/>
      <c r="L202" s="35"/>
      <c r="M202" s="35"/>
      <c r="N202" s="35"/>
      <c r="O202" s="35"/>
      <c r="P202" s="35"/>
      <c r="Q202" s="35"/>
    </row>
    <row r="203" spans="2:17" s="82" customFormat="1">
      <c r="B203" s="35"/>
      <c r="C203" s="35"/>
      <c r="G203" s="83"/>
      <c r="H203" s="84"/>
      <c r="I203" s="417"/>
      <c r="J203" s="84"/>
      <c r="K203" s="35"/>
      <c r="L203" s="35"/>
      <c r="M203" s="35"/>
      <c r="N203" s="35"/>
      <c r="O203" s="35"/>
      <c r="P203" s="35"/>
      <c r="Q203" s="35"/>
    </row>
    <row r="204" spans="2:17" s="82" customFormat="1">
      <c r="B204" s="35"/>
      <c r="C204" s="35"/>
      <c r="G204" s="83"/>
      <c r="H204" s="84"/>
      <c r="I204" s="417"/>
      <c r="J204" s="84"/>
      <c r="K204" s="35"/>
      <c r="L204" s="35"/>
      <c r="M204" s="35"/>
      <c r="N204" s="35"/>
      <c r="O204" s="35"/>
      <c r="P204" s="35"/>
      <c r="Q204" s="35"/>
    </row>
    <row r="205" spans="2:17" s="82" customFormat="1">
      <c r="B205" s="35"/>
      <c r="C205" s="35"/>
      <c r="G205" s="83"/>
      <c r="H205" s="84"/>
      <c r="I205" s="417"/>
      <c r="J205" s="84"/>
      <c r="K205" s="35"/>
      <c r="L205" s="35"/>
      <c r="M205" s="35"/>
      <c r="N205" s="35"/>
      <c r="O205" s="35"/>
      <c r="P205" s="35"/>
      <c r="Q205" s="35"/>
    </row>
    <row r="206" spans="2:17" s="82" customFormat="1">
      <c r="B206" s="35"/>
      <c r="C206" s="35"/>
      <c r="G206" s="83"/>
      <c r="H206" s="84"/>
      <c r="I206" s="417"/>
      <c r="J206" s="84"/>
      <c r="K206" s="35"/>
      <c r="L206" s="35"/>
      <c r="M206" s="35"/>
      <c r="N206" s="35"/>
      <c r="O206" s="35"/>
      <c r="P206" s="35"/>
      <c r="Q206" s="35"/>
    </row>
    <row r="207" spans="2:17" s="82" customFormat="1">
      <c r="B207" s="35"/>
      <c r="C207" s="35"/>
      <c r="G207" s="83"/>
      <c r="H207" s="84"/>
      <c r="I207" s="417"/>
      <c r="J207" s="84"/>
      <c r="K207" s="35"/>
      <c r="L207" s="35"/>
      <c r="M207" s="35"/>
      <c r="N207" s="35"/>
      <c r="O207" s="35"/>
      <c r="P207" s="35"/>
      <c r="Q207" s="35"/>
    </row>
    <row r="208" spans="2:17" s="82" customFormat="1">
      <c r="B208" s="35"/>
      <c r="C208" s="35"/>
      <c r="G208" s="83"/>
      <c r="H208" s="84"/>
      <c r="I208" s="417"/>
      <c r="J208" s="84"/>
      <c r="K208" s="35"/>
      <c r="L208" s="35"/>
      <c r="M208" s="35"/>
      <c r="N208" s="35"/>
      <c r="O208" s="35"/>
      <c r="P208" s="35"/>
      <c r="Q208" s="35"/>
    </row>
    <row r="209" spans="2:17" s="82" customFormat="1">
      <c r="B209" s="35"/>
      <c r="C209" s="35"/>
      <c r="G209" s="83"/>
      <c r="H209" s="84"/>
      <c r="I209" s="417"/>
      <c r="J209" s="84"/>
      <c r="K209" s="35"/>
      <c r="L209" s="35"/>
      <c r="M209" s="35"/>
      <c r="N209" s="35"/>
      <c r="O209" s="35"/>
      <c r="P209" s="35"/>
      <c r="Q209" s="35"/>
    </row>
    <row r="210" spans="2:17" s="82" customFormat="1">
      <c r="B210" s="35"/>
      <c r="C210" s="35"/>
      <c r="G210" s="83"/>
      <c r="H210" s="84"/>
      <c r="I210" s="417"/>
      <c r="J210" s="84"/>
      <c r="K210" s="35"/>
      <c r="L210" s="35"/>
      <c r="M210" s="35"/>
      <c r="N210" s="35"/>
      <c r="O210" s="35"/>
      <c r="P210" s="35"/>
      <c r="Q210" s="35"/>
    </row>
    <row r="211" spans="2:17" s="82" customFormat="1">
      <c r="B211" s="35"/>
      <c r="C211" s="35"/>
      <c r="G211" s="83"/>
      <c r="H211" s="84"/>
      <c r="I211" s="417"/>
      <c r="J211" s="84"/>
      <c r="K211" s="35"/>
      <c r="L211" s="35"/>
      <c r="M211" s="35"/>
      <c r="N211" s="35"/>
      <c r="O211" s="35"/>
      <c r="P211" s="35"/>
      <c r="Q211" s="35"/>
    </row>
    <row r="212" spans="2:17" s="82" customFormat="1">
      <c r="B212" s="35"/>
      <c r="C212" s="35"/>
      <c r="G212" s="83"/>
      <c r="H212" s="84"/>
      <c r="I212" s="417"/>
      <c r="J212" s="84"/>
      <c r="K212" s="35"/>
      <c r="L212" s="35"/>
      <c r="M212" s="35"/>
      <c r="N212" s="35"/>
      <c r="O212" s="35"/>
      <c r="P212" s="35"/>
      <c r="Q212" s="35"/>
    </row>
    <row r="213" spans="2:17" s="82" customFormat="1">
      <c r="B213" s="35"/>
      <c r="C213" s="35"/>
      <c r="G213" s="83"/>
      <c r="H213" s="84"/>
      <c r="I213" s="417"/>
      <c r="J213" s="84"/>
      <c r="K213" s="35"/>
      <c r="L213" s="35"/>
      <c r="M213" s="35"/>
      <c r="N213" s="35"/>
      <c r="O213" s="35"/>
      <c r="P213" s="35"/>
      <c r="Q213" s="35"/>
    </row>
    <row r="214" spans="2:17" s="82" customFormat="1">
      <c r="B214" s="35"/>
      <c r="C214" s="35"/>
      <c r="G214" s="83"/>
      <c r="H214" s="84"/>
      <c r="I214" s="417"/>
      <c r="J214" s="84"/>
      <c r="K214" s="35"/>
      <c r="L214" s="35"/>
      <c r="M214" s="35"/>
      <c r="N214" s="35"/>
      <c r="O214" s="35"/>
      <c r="P214" s="35"/>
      <c r="Q214" s="35"/>
    </row>
    <row r="215" spans="2:17" s="82" customFormat="1">
      <c r="B215" s="35"/>
      <c r="C215" s="35"/>
      <c r="G215" s="83"/>
      <c r="H215" s="84"/>
      <c r="I215" s="417"/>
      <c r="J215" s="84"/>
      <c r="K215" s="35"/>
      <c r="L215" s="35"/>
      <c r="M215" s="35"/>
      <c r="N215" s="35"/>
      <c r="O215" s="35"/>
      <c r="P215" s="35"/>
      <c r="Q215" s="35"/>
    </row>
    <row r="216" spans="2:17" s="82" customFormat="1">
      <c r="B216" s="35"/>
      <c r="C216" s="35"/>
      <c r="G216" s="83"/>
      <c r="H216" s="84"/>
      <c r="I216" s="417"/>
      <c r="J216" s="84"/>
      <c r="K216" s="35"/>
      <c r="L216" s="35"/>
      <c r="M216" s="35"/>
      <c r="N216" s="35"/>
      <c r="O216" s="35"/>
      <c r="P216" s="35"/>
      <c r="Q216" s="35"/>
    </row>
    <row r="217" spans="2:17" s="82" customFormat="1">
      <c r="B217" s="35"/>
      <c r="C217" s="35"/>
      <c r="G217" s="83"/>
      <c r="H217" s="84"/>
      <c r="I217" s="417"/>
      <c r="J217" s="84"/>
      <c r="K217" s="35"/>
      <c r="L217" s="35"/>
      <c r="M217" s="35"/>
      <c r="N217" s="35"/>
      <c r="O217" s="35"/>
      <c r="P217" s="35"/>
      <c r="Q217" s="35"/>
    </row>
    <row r="218" spans="2:17" s="82" customFormat="1">
      <c r="B218" s="35"/>
      <c r="C218" s="35"/>
      <c r="G218" s="83"/>
      <c r="H218" s="84"/>
      <c r="I218" s="417"/>
      <c r="J218" s="84"/>
      <c r="K218" s="35"/>
      <c r="L218" s="35"/>
      <c r="M218" s="35"/>
      <c r="N218" s="35"/>
      <c r="O218" s="35"/>
      <c r="P218" s="35"/>
      <c r="Q218" s="35"/>
    </row>
    <row r="219" spans="2:17" s="82" customFormat="1">
      <c r="B219" s="35"/>
      <c r="C219" s="35"/>
      <c r="G219" s="83"/>
      <c r="H219" s="84"/>
      <c r="I219" s="417"/>
      <c r="J219" s="84"/>
      <c r="K219" s="35"/>
      <c r="L219" s="35"/>
      <c r="M219" s="35"/>
      <c r="N219" s="35"/>
      <c r="O219" s="35"/>
      <c r="P219" s="35"/>
      <c r="Q219" s="35"/>
    </row>
    <row r="220" spans="2:17" s="82" customFormat="1">
      <c r="B220" s="35"/>
      <c r="C220" s="35"/>
      <c r="G220" s="83"/>
      <c r="H220" s="84"/>
      <c r="I220" s="417"/>
      <c r="J220" s="84"/>
      <c r="K220" s="35"/>
      <c r="L220" s="35"/>
      <c r="M220" s="35"/>
      <c r="N220" s="35"/>
      <c r="O220" s="35"/>
      <c r="P220" s="35"/>
      <c r="Q220" s="35"/>
    </row>
    <row r="221" spans="2:17" s="82" customFormat="1">
      <c r="B221" s="35"/>
      <c r="C221" s="35"/>
      <c r="G221" s="83"/>
      <c r="H221" s="84"/>
      <c r="I221" s="417"/>
      <c r="J221" s="84"/>
      <c r="K221" s="35"/>
      <c r="L221" s="35"/>
      <c r="M221" s="35"/>
      <c r="N221" s="35"/>
      <c r="O221" s="35"/>
      <c r="P221" s="35"/>
      <c r="Q221" s="35"/>
    </row>
    <row r="222" spans="2:17" s="82" customFormat="1">
      <c r="B222" s="35"/>
      <c r="C222" s="35"/>
      <c r="G222" s="83"/>
      <c r="H222" s="84"/>
      <c r="I222" s="417"/>
      <c r="J222" s="84"/>
      <c r="K222" s="35"/>
      <c r="L222" s="35"/>
      <c r="M222" s="35"/>
      <c r="N222" s="35"/>
      <c r="O222" s="35"/>
      <c r="P222" s="35"/>
      <c r="Q222" s="35"/>
    </row>
    <row r="223" spans="2:17" s="82" customFormat="1">
      <c r="B223" s="35"/>
      <c r="C223" s="35"/>
      <c r="G223" s="83"/>
      <c r="H223" s="84"/>
      <c r="I223" s="417"/>
      <c r="J223" s="84"/>
      <c r="K223" s="35"/>
      <c r="L223" s="35"/>
      <c r="M223" s="35"/>
      <c r="N223" s="35"/>
      <c r="O223" s="35"/>
      <c r="P223" s="35"/>
      <c r="Q223" s="35"/>
    </row>
    <row r="224" spans="2:17" s="82" customFormat="1">
      <c r="B224" s="35"/>
      <c r="C224" s="35"/>
      <c r="G224" s="83"/>
      <c r="H224" s="84"/>
      <c r="I224" s="417"/>
      <c r="J224" s="84"/>
      <c r="K224" s="35"/>
      <c r="L224" s="35"/>
      <c r="M224" s="35"/>
      <c r="N224" s="35"/>
      <c r="O224" s="35"/>
      <c r="P224" s="35"/>
      <c r="Q224" s="35"/>
    </row>
    <row r="225" spans="2:17" s="82" customFormat="1">
      <c r="B225" s="35"/>
      <c r="C225" s="35"/>
      <c r="G225" s="83"/>
      <c r="H225" s="84"/>
      <c r="I225" s="417"/>
      <c r="J225" s="84"/>
      <c r="K225" s="35"/>
      <c r="L225" s="35"/>
      <c r="M225" s="35"/>
      <c r="N225" s="35"/>
      <c r="O225" s="35"/>
      <c r="P225" s="35"/>
      <c r="Q225" s="35"/>
    </row>
    <row r="226" spans="2:17" s="82" customFormat="1">
      <c r="B226" s="35"/>
      <c r="C226" s="35"/>
      <c r="G226" s="83"/>
      <c r="H226" s="84"/>
      <c r="I226" s="417"/>
      <c r="J226" s="84"/>
      <c r="K226" s="35"/>
      <c r="L226" s="35"/>
      <c r="M226" s="35"/>
      <c r="N226" s="35"/>
      <c r="O226" s="35"/>
      <c r="P226" s="35"/>
      <c r="Q226" s="35"/>
    </row>
    <row r="227" spans="2:17" s="82" customFormat="1">
      <c r="B227" s="35"/>
      <c r="C227" s="35"/>
      <c r="G227" s="83"/>
      <c r="H227" s="84"/>
      <c r="I227" s="417"/>
      <c r="J227" s="84"/>
      <c r="K227" s="35"/>
      <c r="L227" s="35"/>
      <c r="M227" s="35"/>
      <c r="N227" s="35"/>
      <c r="O227" s="35"/>
      <c r="P227" s="35"/>
      <c r="Q227" s="35"/>
    </row>
    <row r="228" spans="2:17" s="82" customFormat="1">
      <c r="B228" s="35"/>
      <c r="C228" s="35"/>
      <c r="G228" s="83"/>
      <c r="H228" s="84"/>
      <c r="I228" s="417"/>
      <c r="J228" s="84"/>
      <c r="K228" s="35"/>
      <c r="L228" s="35"/>
      <c r="M228" s="35"/>
      <c r="N228" s="35"/>
      <c r="O228" s="35"/>
      <c r="P228" s="35"/>
      <c r="Q228" s="35"/>
    </row>
    <row r="229" spans="2:17" s="82" customFormat="1">
      <c r="B229" s="35"/>
      <c r="C229" s="35"/>
      <c r="G229" s="83"/>
      <c r="H229" s="84"/>
      <c r="I229" s="417"/>
      <c r="J229" s="84"/>
      <c r="K229" s="35"/>
      <c r="L229" s="35"/>
      <c r="M229" s="35"/>
      <c r="N229" s="35"/>
      <c r="O229" s="35"/>
      <c r="P229" s="35"/>
      <c r="Q229" s="35"/>
    </row>
    <row r="230" spans="2:17" s="82" customFormat="1">
      <c r="B230" s="35"/>
      <c r="C230" s="35"/>
      <c r="G230" s="83"/>
      <c r="H230" s="84"/>
      <c r="I230" s="417"/>
      <c r="J230" s="84"/>
      <c r="K230" s="35"/>
      <c r="L230" s="35"/>
      <c r="M230" s="35"/>
      <c r="N230" s="35"/>
      <c r="O230" s="35"/>
      <c r="P230" s="35"/>
      <c r="Q230" s="35"/>
    </row>
    <row r="231" spans="2:17" s="82" customFormat="1">
      <c r="B231" s="35"/>
      <c r="C231" s="35"/>
      <c r="G231" s="83"/>
      <c r="H231" s="84"/>
      <c r="I231" s="417"/>
      <c r="J231" s="84"/>
      <c r="K231" s="35"/>
      <c r="L231" s="35"/>
      <c r="M231" s="35"/>
      <c r="N231" s="35"/>
      <c r="O231" s="35"/>
      <c r="P231" s="35"/>
      <c r="Q231" s="35"/>
    </row>
    <row r="232" spans="2:17" s="82" customFormat="1">
      <c r="B232" s="35"/>
      <c r="C232" s="35"/>
      <c r="G232" s="83"/>
      <c r="H232" s="84"/>
      <c r="I232" s="417"/>
      <c r="J232" s="84"/>
      <c r="K232" s="35"/>
      <c r="L232" s="35"/>
      <c r="M232" s="35"/>
      <c r="N232" s="35"/>
      <c r="O232" s="35"/>
      <c r="P232" s="35"/>
      <c r="Q232" s="35"/>
    </row>
    <row r="233" spans="2:17" s="82" customFormat="1">
      <c r="B233" s="35"/>
      <c r="C233" s="35"/>
      <c r="G233" s="83"/>
      <c r="H233" s="84"/>
      <c r="I233" s="417"/>
      <c r="J233" s="84"/>
      <c r="K233" s="35"/>
      <c r="L233" s="35"/>
      <c r="M233" s="35"/>
      <c r="N233" s="35"/>
      <c r="O233" s="35"/>
      <c r="P233" s="35"/>
      <c r="Q233" s="35"/>
    </row>
    <row r="234" spans="2:17" s="82" customFormat="1">
      <c r="B234" s="35"/>
      <c r="C234" s="35"/>
      <c r="G234" s="83"/>
      <c r="H234" s="84"/>
      <c r="I234" s="417"/>
      <c r="J234" s="84"/>
      <c r="K234" s="35"/>
      <c r="L234" s="35"/>
      <c r="M234" s="35"/>
      <c r="N234" s="35"/>
      <c r="O234" s="35"/>
      <c r="P234" s="35"/>
      <c r="Q234" s="35"/>
    </row>
    <row r="235" spans="2:17" s="82" customFormat="1">
      <c r="B235" s="35"/>
      <c r="C235" s="35"/>
      <c r="G235" s="83"/>
      <c r="H235" s="84"/>
      <c r="I235" s="417"/>
      <c r="J235" s="84"/>
      <c r="K235" s="35"/>
      <c r="L235" s="35"/>
      <c r="M235" s="35"/>
      <c r="N235" s="35"/>
      <c r="O235" s="35"/>
      <c r="P235" s="35"/>
      <c r="Q235" s="35"/>
    </row>
    <row r="236" spans="2:17" s="82" customFormat="1">
      <c r="B236" s="35"/>
      <c r="C236" s="35"/>
      <c r="G236" s="83"/>
      <c r="H236" s="84"/>
      <c r="I236" s="417"/>
      <c r="J236" s="84"/>
      <c r="K236" s="35"/>
      <c r="L236" s="35"/>
      <c r="M236" s="35"/>
      <c r="N236" s="35"/>
      <c r="O236" s="35"/>
      <c r="P236" s="35"/>
      <c r="Q236" s="35"/>
    </row>
    <row r="237" spans="2:17" s="82" customFormat="1">
      <c r="B237" s="35"/>
      <c r="C237" s="35"/>
      <c r="G237" s="83"/>
      <c r="H237" s="84"/>
      <c r="I237" s="417"/>
      <c r="J237" s="84"/>
      <c r="K237" s="35"/>
      <c r="L237" s="35"/>
      <c r="M237" s="35"/>
      <c r="N237" s="35"/>
      <c r="O237" s="35"/>
      <c r="P237" s="35"/>
      <c r="Q237" s="35"/>
    </row>
    <row r="238" spans="2:17" s="82" customFormat="1">
      <c r="B238" s="35"/>
      <c r="C238" s="35"/>
      <c r="G238" s="83"/>
      <c r="H238" s="84"/>
      <c r="I238" s="417"/>
      <c r="J238" s="84"/>
      <c r="K238" s="35"/>
      <c r="L238" s="35"/>
      <c r="M238" s="35"/>
      <c r="N238" s="35"/>
      <c r="O238" s="35"/>
      <c r="P238" s="35"/>
      <c r="Q238" s="35"/>
    </row>
    <row r="239" spans="2:17" s="82" customFormat="1">
      <c r="B239" s="35"/>
      <c r="C239" s="35"/>
      <c r="G239" s="83"/>
      <c r="H239" s="84"/>
      <c r="I239" s="417"/>
      <c r="J239" s="84"/>
      <c r="K239" s="35"/>
      <c r="L239" s="35"/>
      <c r="M239" s="35"/>
      <c r="N239" s="35"/>
      <c r="O239" s="35"/>
      <c r="P239" s="35"/>
      <c r="Q239" s="35"/>
    </row>
    <row r="240" spans="2:17" s="82" customFormat="1">
      <c r="B240" s="35"/>
      <c r="C240" s="35"/>
      <c r="G240" s="83"/>
      <c r="H240" s="84"/>
      <c r="I240" s="417"/>
      <c r="J240" s="84"/>
      <c r="K240" s="35"/>
      <c r="L240" s="35"/>
      <c r="M240" s="35"/>
      <c r="N240" s="35"/>
      <c r="O240" s="35"/>
      <c r="P240" s="35"/>
      <c r="Q240" s="35"/>
    </row>
    <row r="241" spans="2:17" s="82" customFormat="1">
      <c r="B241" s="35"/>
      <c r="C241" s="35"/>
      <c r="G241" s="83"/>
      <c r="H241" s="84"/>
      <c r="I241" s="417"/>
      <c r="J241" s="84"/>
      <c r="K241" s="35"/>
      <c r="L241" s="35"/>
      <c r="M241" s="35"/>
      <c r="N241" s="35"/>
      <c r="O241" s="35"/>
      <c r="P241" s="35"/>
      <c r="Q241" s="35"/>
    </row>
    <row r="242" spans="2:17" s="82" customFormat="1">
      <c r="B242" s="35"/>
      <c r="C242" s="35"/>
      <c r="G242" s="83"/>
      <c r="H242" s="84"/>
      <c r="I242" s="417"/>
      <c r="J242" s="84"/>
      <c r="K242" s="35"/>
      <c r="L242" s="35"/>
      <c r="M242" s="35"/>
      <c r="N242" s="35"/>
      <c r="O242" s="35"/>
      <c r="P242" s="35"/>
      <c r="Q242" s="35"/>
    </row>
    <row r="243" spans="2:17" s="82" customFormat="1">
      <c r="B243" s="35"/>
      <c r="C243" s="35"/>
      <c r="G243" s="83"/>
      <c r="H243" s="84"/>
      <c r="I243" s="417"/>
      <c r="J243" s="84"/>
      <c r="K243" s="35"/>
      <c r="L243" s="35"/>
      <c r="M243" s="35"/>
      <c r="N243" s="35"/>
      <c r="O243" s="35"/>
      <c r="P243" s="35"/>
      <c r="Q243" s="35"/>
    </row>
    <row r="244" spans="2:17" s="82" customFormat="1">
      <c r="B244" s="35"/>
      <c r="C244" s="35"/>
      <c r="G244" s="83"/>
      <c r="H244" s="84"/>
      <c r="I244" s="417"/>
      <c r="J244" s="84"/>
      <c r="K244" s="35"/>
      <c r="L244" s="35"/>
      <c r="M244" s="35"/>
      <c r="N244" s="35"/>
      <c r="O244" s="35"/>
      <c r="P244" s="35"/>
      <c r="Q244" s="35"/>
    </row>
    <row r="245" spans="2:17" s="82" customFormat="1">
      <c r="B245" s="35"/>
      <c r="C245" s="35"/>
      <c r="G245" s="83"/>
      <c r="H245" s="84"/>
      <c r="I245" s="417"/>
      <c r="J245" s="84"/>
      <c r="K245" s="35"/>
      <c r="L245" s="35"/>
      <c r="M245" s="35"/>
      <c r="N245" s="35"/>
      <c r="O245" s="35"/>
      <c r="P245" s="35"/>
      <c r="Q245" s="35"/>
    </row>
    <row r="246" spans="2:17" s="82" customFormat="1">
      <c r="B246" s="35"/>
      <c r="C246" s="35"/>
      <c r="G246" s="83"/>
      <c r="H246" s="84"/>
      <c r="I246" s="417"/>
      <c r="J246" s="84"/>
      <c r="K246" s="35"/>
      <c r="L246" s="35"/>
      <c r="M246" s="35"/>
      <c r="N246" s="35"/>
      <c r="O246" s="35"/>
      <c r="P246" s="35"/>
      <c r="Q246" s="35"/>
    </row>
    <row r="247" spans="2:17" s="82" customFormat="1">
      <c r="B247" s="35"/>
      <c r="C247" s="35"/>
      <c r="G247" s="83"/>
      <c r="H247" s="84"/>
      <c r="I247" s="417"/>
      <c r="J247" s="84"/>
      <c r="K247" s="35"/>
      <c r="L247" s="35"/>
      <c r="M247" s="35"/>
      <c r="N247" s="35"/>
      <c r="O247" s="35"/>
      <c r="P247" s="35"/>
      <c r="Q247" s="35"/>
    </row>
    <row r="248" spans="2:17" s="82" customFormat="1">
      <c r="B248" s="35"/>
      <c r="C248" s="35"/>
      <c r="G248" s="83"/>
      <c r="H248" s="84"/>
      <c r="I248" s="417"/>
      <c r="J248" s="84"/>
      <c r="K248" s="35"/>
      <c r="L248" s="35"/>
      <c r="M248" s="35"/>
      <c r="N248" s="35"/>
      <c r="O248" s="35"/>
      <c r="P248" s="35"/>
      <c r="Q248" s="35"/>
    </row>
    <row r="249" spans="2:17" s="82" customFormat="1">
      <c r="B249" s="35"/>
      <c r="C249" s="35"/>
      <c r="G249" s="83"/>
      <c r="H249" s="84"/>
      <c r="I249" s="417"/>
      <c r="J249" s="84"/>
      <c r="K249" s="35"/>
      <c r="L249" s="35"/>
      <c r="M249" s="35"/>
      <c r="N249" s="35"/>
      <c r="O249" s="35"/>
      <c r="P249" s="35"/>
      <c r="Q249" s="35"/>
    </row>
    <row r="250" spans="2:17" s="82" customFormat="1">
      <c r="B250" s="35"/>
      <c r="C250" s="35"/>
      <c r="G250" s="83"/>
      <c r="H250" s="84"/>
      <c r="I250" s="417"/>
      <c r="J250" s="84"/>
      <c r="K250" s="35"/>
      <c r="L250" s="35"/>
      <c r="M250" s="35"/>
      <c r="N250" s="35"/>
      <c r="O250" s="35"/>
      <c r="P250" s="35"/>
      <c r="Q250" s="35"/>
    </row>
    <row r="251" spans="2:17" s="82" customFormat="1">
      <c r="B251" s="35"/>
      <c r="C251" s="35"/>
      <c r="G251" s="83"/>
      <c r="H251" s="84"/>
      <c r="I251" s="417"/>
      <c r="J251" s="84"/>
      <c r="K251" s="35"/>
      <c r="L251" s="35"/>
      <c r="M251" s="35"/>
      <c r="N251" s="35"/>
      <c r="O251" s="35"/>
      <c r="P251" s="35"/>
      <c r="Q251" s="35"/>
    </row>
    <row r="252" spans="2:17" s="82" customFormat="1">
      <c r="B252" s="35"/>
      <c r="C252" s="35"/>
      <c r="G252" s="83"/>
      <c r="H252" s="84"/>
      <c r="I252" s="417"/>
      <c r="J252" s="84"/>
      <c r="K252" s="35"/>
      <c r="L252" s="35"/>
      <c r="M252" s="35"/>
      <c r="N252" s="35"/>
      <c r="O252" s="35"/>
      <c r="P252" s="35"/>
      <c r="Q252" s="35"/>
    </row>
    <row r="253" spans="2:17" s="82" customFormat="1">
      <c r="B253" s="35"/>
      <c r="C253" s="35"/>
      <c r="G253" s="83"/>
      <c r="H253" s="84"/>
      <c r="I253" s="417"/>
      <c r="J253" s="84"/>
      <c r="K253" s="35"/>
      <c r="L253" s="35"/>
      <c r="M253" s="35"/>
      <c r="N253" s="35"/>
      <c r="O253" s="35"/>
      <c r="P253" s="35"/>
      <c r="Q253" s="35"/>
    </row>
    <row r="254" spans="2:17" s="82" customFormat="1">
      <c r="B254" s="35"/>
      <c r="C254" s="35"/>
      <c r="G254" s="83"/>
      <c r="H254" s="84"/>
      <c r="I254" s="417"/>
      <c r="J254" s="84"/>
      <c r="K254" s="35"/>
      <c r="L254" s="35"/>
      <c r="M254" s="35"/>
      <c r="N254" s="35"/>
      <c r="O254" s="35"/>
      <c r="P254" s="35"/>
      <c r="Q254" s="35"/>
    </row>
    <row r="255" spans="2:17" s="82" customFormat="1">
      <c r="B255" s="35"/>
      <c r="C255" s="35"/>
      <c r="G255" s="83"/>
      <c r="H255" s="84"/>
      <c r="I255" s="417"/>
      <c r="J255" s="84"/>
      <c r="K255" s="35"/>
      <c r="L255" s="35"/>
      <c r="M255" s="35"/>
      <c r="N255" s="35"/>
      <c r="O255" s="35"/>
      <c r="P255" s="35"/>
      <c r="Q255" s="35"/>
    </row>
    <row r="256" spans="2:17" s="82" customFormat="1">
      <c r="B256" s="35"/>
      <c r="C256" s="35"/>
      <c r="G256" s="83"/>
      <c r="H256" s="84"/>
      <c r="I256" s="417"/>
      <c r="J256" s="84"/>
      <c r="K256" s="35"/>
      <c r="L256" s="35"/>
      <c r="M256" s="35"/>
      <c r="N256" s="35"/>
      <c r="O256" s="35"/>
      <c r="P256" s="35"/>
      <c r="Q256" s="35"/>
    </row>
    <row r="257" spans="2:17" s="82" customFormat="1">
      <c r="B257" s="35"/>
      <c r="C257" s="35"/>
      <c r="G257" s="83"/>
      <c r="H257" s="84"/>
      <c r="I257" s="417"/>
      <c r="J257" s="84"/>
      <c r="K257" s="35"/>
      <c r="L257" s="35"/>
      <c r="M257" s="35"/>
      <c r="N257" s="35"/>
      <c r="O257" s="35"/>
      <c r="P257" s="35"/>
      <c r="Q257" s="35"/>
    </row>
    <row r="258" spans="2:17" s="82" customFormat="1">
      <c r="B258" s="35"/>
      <c r="C258" s="35"/>
      <c r="G258" s="83"/>
      <c r="H258" s="84"/>
      <c r="I258" s="417"/>
      <c r="J258" s="84"/>
      <c r="K258" s="35"/>
      <c r="L258" s="35"/>
      <c r="M258" s="35"/>
      <c r="N258" s="35"/>
      <c r="O258" s="35"/>
      <c r="P258" s="35"/>
      <c r="Q258" s="35"/>
    </row>
    <row r="259" spans="2:17" s="82" customFormat="1">
      <c r="B259" s="35"/>
      <c r="C259" s="35"/>
      <c r="G259" s="83"/>
      <c r="H259" s="84"/>
      <c r="I259" s="417"/>
      <c r="J259" s="84"/>
      <c r="K259" s="35"/>
      <c r="L259" s="35"/>
      <c r="M259" s="35"/>
      <c r="N259" s="35"/>
      <c r="O259" s="35"/>
      <c r="P259" s="35"/>
      <c r="Q259" s="35"/>
    </row>
    <row r="260" spans="2:17" s="82" customFormat="1">
      <c r="B260" s="35"/>
      <c r="C260" s="35"/>
      <c r="G260" s="83"/>
      <c r="H260" s="84"/>
      <c r="I260" s="417"/>
      <c r="J260" s="84"/>
      <c r="K260" s="35"/>
      <c r="L260" s="35"/>
      <c r="M260" s="35"/>
      <c r="N260" s="35"/>
      <c r="O260" s="35"/>
      <c r="P260" s="35"/>
      <c r="Q260" s="35"/>
    </row>
    <row r="261" spans="2:17" s="82" customFormat="1">
      <c r="B261" s="35"/>
      <c r="C261" s="35"/>
      <c r="G261" s="83"/>
      <c r="H261" s="84"/>
      <c r="I261" s="417"/>
      <c r="J261" s="84"/>
      <c r="K261" s="35"/>
      <c r="L261" s="35"/>
      <c r="M261" s="35"/>
      <c r="N261" s="35"/>
      <c r="O261" s="35"/>
      <c r="P261" s="35"/>
      <c r="Q261" s="35"/>
    </row>
    <row r="262" spans="2:17" s="82" customFormat="1">
      <c r="B262" s="35"/>
      <c r="C262" s="35"/>
      <c r="G262" s="83"/>
      <c r="H262" s="84"/>
      <c r="I262" s="417"/>
      <c r="J262" s="84"/>
      <c r="K262" s="35"/>
      <c r="L262" s="35"/>
      <c r="M262" s="35"/>
      <c r="N262" s="35"/>
      <c r="O262" s="35"/>
      <c r="P262" s="35"/>
      <c r="Q262" s="35"/>
    </row>
    <row r="263" spans="2:17" s="82" customFormat="1">
      <c r="B263" s="35"/>
      <c r="C263" s="35"/>
      <c r="G263" s="83"/>
      <c r="H263" s="84"/>
      <c r="I263" s="417"/>
      <c r="J263" s="84"/>
      <c r="K263" s="35"/>
      <c r="L263" s="35"/>
      <c r="M263" s="35"/>
      <c r="N263" s="35"/>
      <c r="O263" s="35"/>
      <c r="P263" s="35"/>
      <c r="Q263" s="35"/>
    </row>
    <row r="264" spans="2:17" s="82" customFormat="1">
      <c r="B264" s="35"/>
      <c r="C264" s="35"/>
      <c r="G264" s="83"/>
      <c r="H264" s="84"/>
      <c r="I264" s="417"/>
      <c r="J264" s="84"/>
      <c r="K264" s="35"/>
      <c r="L264" s="35"/>
      <c r="M264" s="35"/>
      <c r="N264" s="35"/>
      <c r="O264" s="35"/>
      <c r="P264" s="35"/>
      <c r="Q264" s="35"/>
    </row>
    <row r="265" spans="2:17" s="82" customFormat="1">
      <c r="B265" s="35"/>
      <c r="C265" s="35"/>
      <c r="G265" s="83"/>
      <c r="H265" s="84"/>
      <c r="I265" s="417"/>
      <c r="J265" s="84"/>
      <c r="K265" s="35"/>
      <c r="L265" s="35"/>
      <c r="M265" s="35"/>
      <c r="N265" s="35"/>
      <c r="O265" s="35"/>
      <c r="P265" s="35"/>
      <c r="Q265" s="35"/>
    </row>
    <row r="266" spans="2:17" s="82" customFormat="1">
      <c r="B266" s="35"/>
      <c r="C266" s="35"/>
      <c r="G266" s="83"/>
      <c r="H266" s="84"/>
      <c r="I266" s="417"/>
      <c r="J266" s="84"/>
      <c r="K266" s="35"/>
      <c r="L266" s="35"/>
      <c r="M266" s="35"/>
      <c r="N266" s="35"/>
      <c r="O266" s="35"/>
      <c r="P266" s="35"/>
      <c r="Q266" s="35"/>
    </row>
    <row r="267" spans="2:17" s="82" customFormat="1">
      <c r="B267" s="35"/>
      <c r="C267" s="35"/>
      <c r="G267" s="83"/>
      <c r="H267" s="84"/>
      <c r="I267" s="417"/>
      <c r="J267" s="84"/>
      <c r="K267" s="35"/>
      <c r="L267" s="35"/>
      <c r="M267" s="35"/>
      <c r="N267" s="35"/>
      <c r="O267" s="35"/>
      <c r="P267" s="35"/>
      <c r="Q267" s="35"/>
    </row>
    <row r="268" spans="2:17" s="82" customFormat="1">
      <c r="B268" s="35"/>
      <c r="C268" s="35"/>
      <c r="G268" s="83"/>
      <c r="H268" s="84"/>
      <c r="I268" s="417"/>
      <c r="J268" s="84"/>
      <c r="K268" s="35"/>
      <c r="L268" s="35"/>
      <c r="M268" s="35"/>
      <c r="N268" s="35"/>
      <c r="O268" s="35"/>
      <c r="P268" s="35"/>
      <c r="Q268" s="35"/>
    </row>
    <row r="269" spans="2:17" s="82" customFormat="1">
      <c r="B269" s="35"/>
      <c r="C269" s="35"/>
      <c r="G269" s="83"/>
      <c r="H269" s="84"/>
      <c r="I269" s="417"/>
      <c r="J269" s="84"/>
      <c r="K269" s="35"/>
      <c r="L269" s="35"/>
      <c r="M269" s="35"/>
      <c r="N269" s="35"/>
      <c r="O269" s="35"/>
      <c r="P269" s="35"/>
      <c r="Q269" s="35"/>
    </row>
    <row r="270" spans="2:17" s="82" customFormat="1">
      <c r="B270" s="35"/>
      <c r="C270" s="35"/>
      <c r="G270" s="83"/>
      <c r="H270" s="84"/>
      <c r="I270" s="417"/>
      <c r="J270" s="84"/>
      <c r="K270" s="35"/>
      <c r="L270" s="35"/>
      <c r="M270" s="35"/>
      <c r="N270" s="35"/>
      <c r="O270" s="35"/>
      <c r="P270" s="35"/>
      <c r="Q270" s="35"/>
    </row>
    <row r="271" spans="2:17" s="82" customFormat="1">
      <c r="B271" s="35"/>
      <c r="C271" s="35"/>
      <c r="G271" s="83"/>
      <c r="H271" s="84"/>
      <c r="I271" s="417"/>
      <c r="J271" s="84"/>
      <c r="K271" s="35"/>
      <c r="L271" s="35"/>
      <c r="M271" s="35"/>
      <c r="N271" s="35"/>
      <c r="O271" s="35"/>
      <c r="P271" s="35"/>
      <c r="Q271" s="35"/>
    </row>
    <row r="272" spans="2:17" s="82" customFormat="1">
      <c r="B272" s="35"/>
      <c r="C272" s="35"/>
      <c r="G272" s="83"/>
      <c r="H272" s="84"/>
      <c r="I272" s="417"/>
      <c r="J272" s="84"/>
      <c r="K272" s="35"/>
      <c r="L272" s="35"/>
      <c r="M272" s="35"/>
      <c r="N272" s="35"/>
      <c r="O272" s="35"/>
      <c r="P272" s="35"/>
      <c r="Q272" s="35"/>
    </row>
    <row r="273" spans="2:17" s="82" customFormat="1">
      <c r="B273" s="35"/>
      <c r="C273" s="35"/>
      <c r="G273" s="83"/>
      <c r="H273" s="84"/>
      <c r="I273" s="417"/>
      <c r="J273" s="84"/>
      <c r="K273" s="35"/>
      <c r="L273" s="35"/>
      <c r="M273" s="35"/>
      <c r="N273" s="35"/>
      <c r="O273" s="35"/>
      <c r="P273" s="35"/>
      <c r="Q273" s="35"/>
    </row>
    <row r="274" spans="2:17" s="82" customFormat="1">
      <c r="B274" s="35"/>
      <c r="C274" s="35"/>
      <c r="G274" s="83"/>
      <c r="H274" s="84"/>
      <c r="I274" s="417"/>
      <c r="J274" s="84"/>
      <c r="K274" s="35"/>
      <c r="L274" s="35"/>
      <c r="M274" s="35"/>
      <c r="N274" s="35"/>
      <c r="O274" s="35"/>
      <c r="P274" s="35"/>
      <c r="Q274" s="35"/>
    </row>
    <row r="275" spans="2:17" s="82" customFormat="1">
      <c r="B275" s="35"/>
      <c r="C275" s="35"/>
      <c r="G275" s="83"/>
      <c r="H275" s="84"/>
      <c r="I275" s="417"/>
      <c r="J275" s="84"/>
      <c r="K275" s="35"/>
      <c r="L275" s="35"/>
      <c r="M275" s="35"/>
      <c r="N275" s="35"/>
      <c r="O275" s="35"/>
      <c r="P275" s="35"/>
      <c r="Q275" s="35"/>
    </row>
    <row r="276" spans="2:17" s="82" customFormat="1">
      <c r="B276" s="35"/>
      <c r="C276" s="35"/>
      <c r="G276" s="83"/>
      <c r="H276" s="84"/>
      <c r="I276" s="417"/>
      <c r="J276" s="84"/>
      <c r="K276" s="35"/>
      <c r="L276" s="35"/>
      <c r="M276" s="35"/>
      <c r="N276" s="35"/>
      <c r="O276" s="35"/>
      <c r="P276" s="35"/>
      <c r="Q276" s="35"/>
    </row>
    <row r="277" spans="2:17" s="82" customFormat="1">
      <c r="B277" s="35"/>
      <c r="C277" s="35"/>
      <c r="G277" s="83"/>
      <c r="H277" s="84"/>
      <c r="I277" s="417"/>
      <c r="J277" s="84"/>
      <c r="K277" s="35"/>
      <c r="L277" s="35"/>
      <c r="M277" s="35"/>
      <c r="N277" s="35"/>
      <c r="O277" s="35"/>
      <c r="P277" s="35"/>
      <c r="Q277" s="35"/>
    </row>
    <row r="278" spans="2:17" s="82" customFormat="1">
      <c r="B278" s="35"/>
      <c r="C278" s="35"/>
      <c r="G278" s="83"/>
      <c r="H278" s="84"/>
      <c r="I278" s="417"/>
      <c r="J278" s="84"/>
      <c r="K278" s="35"/>
      <c r="L278" s="35"/>
      <c r="M278" s="35"/>
      <c r="N278" s="35"/>
      <c r="O278" s="35"/>
      <c r="P278" s="35"/>
      <c r="Q278" s="35"/>
    </row>
    <row r="279" spans="2:17" s="82" customFormat="1">
      <c r="B279" s="35"/>
      <c r="C279" s="35"/>
      <c r="G279" s="83"/>
      <c r="H279" s="84"/>
      <c r="I279" s="417"/>
      <c r="J279" s="84"/>
      <c r="K279" s="35"/>
      <c r="L279" s="35"/>
      <c r="M279" s="35"/>
      <c r="N279" s="35"/>
      <c r="O279" s="35"/>
      <c r="P279" s="35"/>
      <c r="Q279" s="35"/>
    </row>
    <row r="280" spans="2:17" s="82" customFormat="1">
      <c r="B280" s="35"/>
      <c r="C280" s="35"/>
      <c r="G280" s="83"/>
      <c r="H280" s="84"/>
      <c r="I280" s="417"/>
      <c r="J280" s="84"/>
      <c r="K280" s="35"/>
      <c r="L280" s="35"/>
      <c r="M280" s="35"/>
      <c r="N280" s="35"/>
      <c r="O280" s="35"/>
      <c r="P280" s="35"/>
      <c r="Q280" s="35"/>
    </row>
    <row r="281" spans="2:17" s="82" customFormat="1">
      <c r="B281" s="35"/>
      <c r="C281" s="35"/>
      <c r="G281" s="83"/>
      <c r="H281" s="84"/>
      <c r="I281" s="417"/>
      <c r="J281" s="84"/>
      <c r="K281" s="35"/>
      <c r="L281" s="35"/>
      <c r="M281" s="35"/>
      <c r="N281" s="35"/>
      <c r="O281" s="35"/>
      <c r="P281" s="35"/>
      <c r="Q281" s="35"/>
    </row>
    <row r="282" spans="2:17" s="82" customFormat="1">
      <c r="B282" s="35"/>
      <c r="C282" s="35"/>
      <c r="G282" s="83"/>
      <c r="H282" s="84"/>
      <c r="I282" s="417"/>
      <c r="J282" s="84"/>
      <c r="K282" s="35"/>
      <c r="L282" s="35"/>
      <c r="M282" s="35"/>
      <c r="N282" s="35"/>
      <c r="O282" s="35"/>
      <c r="P282" s="35"/>
      <c r="Q282" s="35"/>
    </row>
    <row r="283" spans="2:17" s="82" customFormat="1">
      <c r="B283" s="35"/>
      <c r="C283" s="35"/>
      <c r="G283" s="83"/>
      <c r="H283" s="84"/>
      <c r="I283" s="417"/>
      <c r="J283" s="84"/>
      <c r="K283" s="35"/>
      <c r="L283" s="35"/>
      <c r="M283" s="35"/>
      <c r="N283" s="35"/>
      <c r="O283" s="35"/>
      <c r="P283" s="35"/>
      <c r="Q283" s="35"/>
    </row>
    <row r="284" spans="2:17" s="82" customFormat="1">
      <c r="B284" s="35"/>
      <c r="C284" s="35"/>
      <c r="G284" s="83"/>
      <c r="H284" s="84"/>
      <c r="I284" s="417"/>
      <c r="J284" s="84"/>
      <c r="K284" s="35"/>
      <c r="L284" s="35"/>
      <c r="M284" s="35"/>
      <c r="N284" s="35"/>
      <c r="O284" s="35"/>
      <c r="P284" s="35"/>
      <c r="Q284" s="35"/>
    </row>
    <row r="285" spans="2:17" s="82" customFormat="1">
      <c r="B285" s="35"/>
      <c r="C285" s="35"/>
      <c r="G285" s="83"/>
      <c r="H285" s="84"/>
      <c r="I285" s="417"/>
      <c r="J285" s="84"/>
      <c r="K285" s="35"/>
      <c r="L285" s="35"/>
      <c r="M285" s="35"/>
      <c r="N285" s="35"/>
      <c r="O285" s="35"/>
      <c r="P285" s="35"/>
      <c r="Q285" s="35"/>
    </row>
    <row r="286" spans="2:17" s="82" customFormat="1">
      <c r="B286" s="35"/>
      <c r="C286" s="35"/>
      <c r="G286" s="83"/>
      <c r="H286" s="84"/>
      <c r="I286" s="417"/>
      <c r="J286" s="84"/>
      <c r="K286" s="35"/>
      <c r="L286" s="35"/>
      <c r="M286" s="35"/>
      <c r="N286" s="35"/>
      <c r="O286" s="35"/>
      <c r="P286" s="35"/>
      <c r="Q286" s="35"/>
    </row>
    <row r="287" spans="2:17" s="82" customFormat="1">
      <c r="B287" s="35"/>
      <c r="C287" s="35"/>
      <c r="G287" s="83"/>
      <c r="H287" s="84"/>
      <c r="I287" s="417"/>
      <c r="J287" s="84"/>
      <c r="K287" s="35"/>
      <c r="L287" s="35"/>
      <c r="M287" s="35"/>
      <c r="N287" s="35"/>
      <c r="O287" s="35"/>
      <c r="P287" s="35"/>
      <c r="Q287" s="35"/>
    </row>
    <row r="288" spans="2:17" s="82" customFormat="1">
      <c r="B288" s="35"/>
      <c r="C288" s="35"/>
      <c r="G288" s="83"/>
      <c r="H288" s="84"/>
      <c r="I288" s="417"/>
      <c r="J288" s="84"/>
      <c r="K288" s="35"/>
      <c r="L288" s="35"/>
      <c r="M288" s="35"/>
      <c r="N288" s="35"/>
      <c r="O288" s="35"/>
      <c r="P288" s="35"/>
      <c r="Q288" s="35"/>
    </row>
    <row r="289" spans="2:17" s="82" customFormat="1">
      <c r="B289" s="35"/>
      <c r="C289" s="35"/>
      <c r="G289" s="83"/>
      <c r="H289" s="84"/>
      <c r="I289" s="417"/>
      <c r="J289" s="84"/>
      <c r="K289" s="35"/>
      <c r="L289" s="35"/>
      <c r="M289" s="35"/>
      <c r="N289" s="35"/>
      <c r="O289" s="35"/>
      <c r="P289" s="35"/>
      <c r="Q289" s="35"/>
    </row>
    <row r="290" spans="2:17" s="82" customFormat="1">
      <c r="B290" s="35"/>
      <c r="C290" s="35"/>
      <c r="G290" s="83"/>
      <c r="H290" s="84"/>
      <c r="I290" s="417"/>
      <c r="J290" s="84"/>
      <c r="K290" s="35"/>
      <c r="L290" s="35"/>
      <c r="M290" s="35"/>
      <c r="N290" s="35"/>
      <c r="O290" s="35"/>
      <c r="P290" s="35"/>
      <c r="Q290" s="35"/>
    </row>
    <row r="291" spans="2:17" s="82" customFormat="1">
      <c r="B291" s="35"/>
      <c r="C291" s="35"/>
      <c r="G291" s="83"/>
      <c r="H291" s="84"/>
      <c r="I291" s="417"/>
      <c r="J291" s="84"/>
      <c r="K291" s="35"/>
      <c r="L291" s="35"/>
      <c r="M291" s="35"/>
      <c r="N291" s="35"/>
      <c r="O291" s="35"/>
      <c r="P291" s="35"/>
      <c r="Q291" s="35"/>
    </row>
    <row r="292" spans="2:17" s="82" customFormat="1">
      <c r="B292" s="35"/>
      <c r="C292" s="35"/>
      <c r="G292" s="83"/>
      <c r="H292" s="84"/>
      <c r="I292" s="417"/>
      <c r="J292" s="84"/>
      <c r="K292" s="35"/>
      <c r="L292" s="35"/>
      <c r="M292" s="35"/>
      <c r="N292" s="35"/>
      <c r="O292" s="35"/>
      <c r="P292" s="35"/>
      <c r="Q292" s="35"/>
    </row>
    <row r="293" spans="2:17" s="82" customFormat="1">
      <c r="B293" s="35"/>
      <c r="C293" s="35"/>
      <c r="G293" s="83"/>
      <c r="H293" s="84"/>
      <c r="I293" s="417"/>
      <c r="J293" s="84"/>
      <c r="K293" s="35"/>
      <c r="L293" s="35"/>
      <c r="M293" s="35"/>
      <c r="N293" s="35"/>
      <c r="O293" s="35"/>
      <c r="P293" s="35"/>
      <c r="Q293" s="35"/>
    </row>
    <row r="294" spans="2:17" s="82" customFormat="1">
      <c r="B294" s="35"/>
      <c r="C294" s="35"/>
      <c r="G294" s="83"/>
      <c r="H294" s="84"/>
      <c r="I294" s="417"/>
      <c r="J294" s="84"/>
      <c r="K294" s="35"/>
      <c r="L294" s="35"/>
      <c r="M294" s="35"/>
      <c r="N294" s="35"/>
      <c r="O294" s="35"/>
      <c r="P294" s="35"/>
      <c r="Q294" s="35"/>
    </row>
    <row r="295" spans="2:17" s="82" customFormat="1">
      <c r="B295" s="35"/>
      <c r="C295" s="35"/>
      <c r="G295" s="83"/>
      <c r="H295" s="84"/>
      <c r="I295" s="417"/>
      <c r="J295" s="84"/>
      <c r="K295" s="35"/>
      <c r="L295" s="35"/>
      <c r="M295" s="35"/>
      <c r="N295" s="35"/>
      <c r="O295" s="35"/>
      <c r="P295" s="35"/>
      <c r="Q295" s="35"/>
    </row>
    <row r="296" spans="2:17" s="82" customFormat="1">
      <c r="B296" s="35"/>
      <c r="C296" s="35"/>
      <c r="G296" s="83"/>
      <c r="H296" s="84"/>
      <c r="I296" s="417"/>
      <c r="J296" s="84"/>
      <c r="K296" s="35"/>
      <c r="L296" s="35"/>
      <c r="M296" s="35"/>
      <c r="N296" s="35"/>
      <c r="O296" s="35"/>
      <c r="P296" s="35"/>
      <c r="Q296" s="35"/>
    </row>
    <row r="297" spans="2:17" s="82" customFormat="1">
      <c r="B297" s="35"/>
      <c r="C297" s="35"/>
      <c r="G297" s="83"/>
      <c r="H297" s="84"/>
      <c r="I297" s="417"/>
      <c r="J297" s="84"/>
      <c r="K297" s="35"/>
      <c r="L297" s="35"/>
      <c r="M297" s="35"/>
      <c r="N297" s="35"/>
      <c r="O297" s="35"/>
      <c r="P297" s="35"/>
      <c r="Q297" s="35"/>
    </row>
    <row r="298" spans="2:17" s="82" customFormat="1">
      <c r="B298" s="35"/>
      <c r="C298" s="35"/>
      <c r="G298" s="83"/>
      <c r="H298" s="84"/>
      <c r="I298" s="417"/>
      <c r="J298" s="84"/>
      <c r="K298" s="35"/>
      <c r="L298" s="35"/>
      <c r="M298" s="35"/>
      <c r="N298" s="35"/>
      <c r="O298" s="35"/>
      <c r="P298" s="35"/>
      <c r="Q298" s="35"/>
    </row>
    <row r="299" spans="2:17" s="82" customFormat="1">
      <c r="B299" s="35"/>
      <c r="C299" s="35"/>
      <c r="G299" s="83"/>
      <c r="H299" s="84"/>
      <c r="I299" s="417"/>
      <c r="J299" s="84"/>
      <c r="K299" s="35"/>
      <c r="L299" s="35"/>
      <c r="M299" s="35"/>
      <c r="N299" s="35"/>
      <c r="O299" s="35"/>
      <c r="P299" s="35"/>
      <c r="Q299" s="35"/>
    </row>
    <row r="300" spans="2:17" s="82" customFormat="1">
      <c r="B300" s="35"/>
      <c r="C300" s="35"/>
      <c r="G300" s="83"/>
      <c r="H300" s="84"/>
      <c r="I300" s="417"/>
      <c r="J300" s="84"/>
      <c r="K300" s="35"/>
      <c r="L300" s="35"/>
      <c r="M300" s="35"/>
      <c r="N300" s="35"/>
      <c r="O300" s="35"/>
      <c r="P300" s="35"/>
      <c r="Q300" s="35"/>
    </row>
    <row r="301" spans="2:17" s="82" customFormat="1">
      <c r="B301" s="35"/>
      <c r="C301" s="35"/>
      <c r="G301" s="83"/>
      <c r="H301" s="84"/>
      <c r="I301" s="417"/>
      <c r="J301" s="84"/>
      <c r="K301" s="35"/>
      <c r="L301" s="35"/>
      <c r="M301" s="35"/>
      <c r="N301" s="35"/>
      <c r="O301" s="35"/>
      <c r="P301" s="35"/>
      <c r="Q301" s="35"/>
    </row>
    <row r="302" spans="2:17" s="82" customFormat="1">
      <c r="B302" s="35"/>
      <c r="C302" s="35"/>
      <c r="G302" s="83"/>
      <c r="H302" s="84"/>
      <c r="I302" s="417"/>
      <c r="J302" s="84"/>
      <c r="K302" s="35"/>
      <c r="L302" s="35"/>
      <c r="M302" s="35"/>
      <c r="N302" s="35"/>
      <c r="O302" s="35"/>
      <c r="P302" s="35"/>
      <c r="Q302" s="35"/>
    </row>
    <row r="303" spans="2:17" s="82" customFormat="1">
      <c r="B303" s="35"/>
      <c r="C303" s="35"/>
      <c r="G303" s="83"/>
      <c r="H303" s="84"/>
      <c r="I303" s="417"/>
      <c r="J303" s="84"/>
      <c r="K303" s="35"/>
      <c r="L303" s="35"/>
      <c r="M303" s="35"/>
      <c r="N303" s="35"/>
      <c r="O303" s="35"/>
      <c r="P303" s="35"/>
      <c r="Q303" s="35"/>
    </row>
    <row r="304" spans="2:17" s="82" customFormat="1">
      <c r="B304" s="35"/>
      <c r="C304" s="35"/>
      <c r="G304" s="83"/>
      <c r="H304" s="84"/>
      <c r="I304" s="417"/>
      <c r="J304" s="84"/>
      <c r="K304" s="35"/>
      <c r="L304" s="35"/>
      <c r="M304" s="35"/>
      <c r="N304" s="35"/>
      <c r="O304" s="35"/>
      <c r="P304" s="35"/>
      <c r="Q304" s="35"/>
    </row>
    <row r="305" spans="2:17" s="82" customFormat="1">
      <c r="B305" s="35"/>
      <c r="C305" s="35"/>
      <c r="G305" s="83"/>
      <c r="H305" s="84"/>
      <c r="I305" s="417"/>
      <c r="J305" s="84"/>
      <c r="K305" s="35"/>
      <c r="L305" s="35"/>
      <c r="M305" s="35"/>
      <c r="N305" s="35"/>
      <c r="O305" s="35"/>
      <c r="P305" s="35"/>
      <c r="Q305" s="35"/>
    </row>
    <row r="306" spans="2:17" s="82" customFormat="1">
      <c r="B306" s="35"/>
      <c r="C306" s="35"/>
      <c r="G306" s="83"/>
      <c r="H306" s="84"/>
      <c r="I306" s="417"/>
      <c r="J306" s="84"/>
      <c r="K306" s="35"/>
      <c r="L306" s="35"/>
      <c r="M306" s="35"/>
      <c r="N306" s="35"/>
      <c r="O306" s="35"/>
      <c r="P306" s="35"/>
      <c r="Q306" s="35"/>
    </row>
    <row r="307" spans="2:17" s="82" customFormat="1">
      <c r="B307" s="35"/>
      <c r="C307" s="35"/>
      <c r="G307" s="83"/>
      <c r="H307" s="84"/>
      <c r="I307" s="417"/>
      <c r="J307" s="84"/>
      <c r="K307" s="35"/>
      <c r="L307" s="35"/>
      <c r="M307" s="35"/>
      <c r="N307" s="35"/>
      <c r="O307" s="35"/>
      <c r="P307" s="35"/>
      <c r="Q307" s="35"/>
    </row>
    <row r="308" spans="2:17" s="82" customFormat="1">
      <c r="B308" s="35"/>
      <c r="C308" s="35"/>
      <c r="G308" s="83"/>
      <c r="H308" s="84"/>
      <c r="I308" s="417"/>
      <c r="J308" s="84"/>
      <c r="K308" s="35"/>
      <c r="L308" s="35"/>
      <c r="M308" s="35"/>
      <c r="N308" s="35"/>
      <c r="O308" s="35"/>
      <c r="P308" s="35"/>
      <c r="Q308" s="35"/>
    </row>
    <row r="309" spans="2:17" s="82" customFormat="1">
      <c r="B309" s="35"/>
      <c r="C309" s="35"/>
      <c r="G309" s="83"/>
      <c r="H309" s="84"/>
      <c r="I309" s="417"/>
      <c r="J309" s="84"/>
      <c r="K309" s="35"/>
      <c r="L309" s="35"/>
      <c r="M309" s="35"/>
      <c r="N309" s="35"/>
      <c r="O309" s="35"/>
      <c r="P309" s="35"/>
      <c r="Q309" s="35"/>
    </row>
    <row r="310" spans="2:17" s="82" customFormat="1">
      <c r="B310" s="35"/>
      <c r="C310" s="35"/>
      <c r="G310" s="83"/>
      <c r="H310" s="84"/>
      <c r="I310" s="417"/>
      <c r="J310" s="84"/>
      <c r="K310" s="35"/>
      <c r="L310" s="35"/>
      <c r="M310" s="35"/>
      <c r="N310" s="35"/>
      <c r="O310" s="35"/>
      <c r="P310" s="35"/>
      <c r="Q310" s="35"/>
    </row>
    <row r="311" spans="2:17" s="82" customFormat="1">
      <c r="B311" s="35"/>
      <c r="C311" s="35"/>
      <c r="G311" s="83"/>
      <c r="H311" s="84"/>
      <c r="I311" s="417"/>
      <c r="J311" s="84"/>
      <c r="K311" s="35"/>
      <c r="L311" s="35"/>
      <c r="M311" s="35"/>
      <c r="N311" s="35"/>
      <c r="O311" s="35"/>
      <c r="P311" s="35"/>
      <c r="Q311" s="35"/>
    </row>
    <row r="312" spans="2:17" s="82" customFormat="1">
      <c r="B312" s="35"/>
      <c r="C312" s="35"/>
      <c r="G312" s="83"/>
      <c r="H312" s="84"/>
      <c r="I312" s="417"/>
      <c r="J312" s="84"/>
      <c r="K312" s="35"/>
      <c r="L312" s="35"/>
      <c r="M312" s="35"/>
      <c r="N312" s="35"/>
      <c r="O312" s="35"/>
      <c r="P312" s="35"/>
      <c r="Q312" s="35"/>
    </row>
    <row r="313" spans="2:17" s="82" customFormat="1">
      <c r="B313" s="35"/>
      <c r="C313" s="35"/>
      <c r="G313" s="83"/>
      <c r="H313" s="84"/>
      <c r="I313" s="417"/>
      <c r="J313" s="84"/>
      <c r="K313" s="35"/>
      <c r="L313" s="35"/>
      <c r="M313" s="35"/>
      <c r="N313" s="35"/>
      <c r="O313" s="35"/>
      <c r="P313" s="35"/>
      <c r="Q313" s="35"/>
    </row>
    <row r="314" spans="2:17" s="82" customFormat="1">
      <c r="B314" s="35"/>
      <c r="C314" s="35"/>
      <c r="G314" s="83"/>
      <c r="H314" s="84"/>
      <c r="I314" s="417"/>
      <c r="J314" s="84"/>
      <c r="K314" s="35"/>
      <c r="L314" s="35"/>
      <c r="M314" s="35"/>
      <c r="N314" s="35"/>
      <c r="O314" s="35"/>
      <c r="P314" s="35"/>
      <c r="Q314" s="35"/>
    </row>
    <row r="315" spans="2:17" s="82" customFormat="1">
      <c r="B315" s="35"/>
      <c r="C315" s="35"/>
      <c r="G315" s="83"/>
      <c r="H315" s="84"/>
      <c r="I315" s="417"/>
      <c r="J315" s="84"/>
      <c r="K315" s="35"/>
      <c r="L315" s="35"/>
      <c r="M315" s="35"/>
      <c r="N315" s="35"/>
      <c r="O315" s="35"/>
      <c r="P315" s="35"/>
      <c r="Q315" s="35"/>
    </row>
    <row r="316" spans="2:17" s="82" customFormat="1">
      <c r="B316" s="35"/>
      <c r="C316" s="35"/>
      <c r="G316" s="83"/>
      <c r="H316" s="84"/>
      <c r="I316" s="417"/>
      <c r="J316" s="84"/>
      <c r="K316" s="35"/>
      <c r="L316" s="35"/>
      <c r="M316" s="35"/>
      <c r="N316" s="35"/>
      <c r="O316" s="35"/>
      <c r="P316" s="35"/>
      <c r="Q316" s="35"/>
    </row>
    <row r="317" spans="2:17" s="82" customFormat="1">
      <c r="B317" s="35"/>
      <c r="C317" s="35"/>
      <c r="G317" s="83"/>
      <c r="H317" s="84"/>
      <c r="I317" s="417"/>
      <c r="J317" s="84"/>
      <c r="K317" s="35"/>
      <c r="L317" s="35"/>
      <c r="M317" s="35"/>
      <c r="N317" s="35"/>
      <c r="O317" s="35"/>
      <c r="P317" s="35"/>
      <c r="Q317" s="35"/>
    </row>
    <row r="318" spans="2:17" s="82" customFormat="1">
      <c r="B318" s="35"/>
      <c r="C318" s="35"/>
      <c r="G318" s="83"/>
      <c r="H318" s="84"/>
      <c r="I318" s="417"/>
      <c r="J318" s="84"/>
      <c r="K318" s="35"/>
      <c r="L318" s="35"/>
      <c r="M318" s="35"/>
      <c r="N318" s="35"/>
      <c r="O318" s="35"/>
      <c r="P318" s="35"/>
      <c r="Q318" s="35"/>
    </row>
    <row r="319" spans="2:17" s="82" customFormat="1">
      <c r="B319" s="35"/>
      <c r="C319" s="35"/>
      <c r="G319" s="83"/>
      <c r="H319" s="84"/>
      <c r="I319" s="417"/>
      <c r="J319" s="84"/>
      <c r="K319" s="35"/>
      <c r="L319" s="35"/>
      <c r="M319" s="35"/>
      <c r="N319" s="35"/>
      <c r="O319" s="35"/>
      <c r="P319" s="35"/>
      <c r="Q319" s="35"/>
    </row>
    <row r="320" spans="2:17" s="82" customFormat="1">
      <c r="B320" s="35"/>
      <c r="C320" s="35"/>
      <c r="G320" s="83"/>
      <c r="H320" s="84"/>
      <c r="I320" s="417"/>
      <c r="J320" s="84"/>
      <c r="K320" s="35"/>
      <c r="L320" s="35"/>
      <c r="M320" s="35"/>
      <c r="N320" s="35"/>
      <c r="O320" s="35"/>
      <c r="P320" s="35"/>
      <c r="Q320" s="35"/>
    </row>
    <row r="321" spans="2:17" s="82" customFormat="1">
      <c r="B321" s="35"/>
      <c r="C321" s="35"/>
      <c r="G321" s="83"/>
      <c r="H321" s="84"/>
      <c r="I321" s="417"/>
      <c r="J321" s="84"/>
      <c r="K321" s="35"/>
      <c r="L321" s="35"/>
      <c r="M321" s="35"/>
      <c r="N321" s="35"/>
      <c r="O321" s="35"/>
      <c r="P321" s="35"/>
      <c r="Q321" s="35"/>
    </row>
    <row r="322" spans="2:17" s="82" customFormat="1">
      <c r="B322" s="35"/>
      <c r="C322" s="35"/>
      <c r="G322" s="83"/>
      <c r="H322" s="84"/>
      <c r="I322" s="417"/>
      <c r="J322" s="84"/>
      <c r="K322" s="35"/>
      <c r="L322" s="35"/>
      <c r="M322" s="35"/>
      <c r="N322" s="35"/>
      <c r="O322" s="35"/>
      <c r="P322" s="35"/>
      <c r="Q322" s="35"/>
    </row>
    <row r="323" spans="2:17" s="82" customFormat="1">
      <c r="B323" s="35"/>
      <c r="C323" s="35"/>
      <c r="G323" s="83"/>
      <c r="H323" s="84"/>
      <c r="I323" s="417"/>
      <c r="J323" s="84"/>
      <c r="K323" s="35"/>
      <c r="L323" s="35"/>
      <c r="M323" s="35"/>
      <c r="N323" s="35"/>
      <c r="O323" s="35"/>
      <c r="P323" s="35"/>
      <c r="Q323" s="35"/>
    </row>
    <row r="324" spans="2:17" s="82" customFormat="1">
      <c r="B324" s="35"/>
      <c r="C324" s="35"/>
      <c r="G324" s="83"/>
      <c r="H324" s="84"/>
      <c r="I324" s="417"/>
      <c r="J324" s="84"/>
      <c r="K324" s="35"/>
      <c r="L324" s="35"/>
      <c r="M324" s="35"/>
      <c r="N324" s="35"/>
      <c r="O324" s="35"/>
      <c r="P324" s="35"/>
      <c r="Q324" s="35"/>
    </row>
    <row r="325" spans="2:17" s="82" customFormat="1">
      <c r="B325" s="35"/>
      <c r="C325" s="35"/>
      <c r="G325" s="83"/>
      <c r="H325" s="84"/>
      <c r="I325" s="417"/>
      <c r="J325" s="84"/>
      <c r="K325" s="35"/>
      <c r="L325" s="35"/>
      <c r="M325" s="35"/>
      <c r="N325" s="35"/>
      <c r="O325" s="35"/>
      <c r="P325" s="35"/>
      <c r="Q325" s="35"/>
    </row>
    <row r="326" spans="2:17" s="82" customFormat="1">
      <c r="B326" s="35"/>
      <c r="C326" s="35"/>
      <c r="G326" s="83"/>
      <c r="H326" s="84"/>
      <c r="I326" s="417"/>
      <c r="J326" s="84"/>
      <c r="K326" s="35"/>
      <c r="L326" s="35"/>
      <c r="M326" s="35"/>
      <c r="N326" s="35"/>
      <c r="O326" s="35"/>
      <c r="P326" s="35"/>
      <c r="Q326" s="35"/>
    </row>
    <row r="327" spans="2:17" s="82" customFormat="1">
      <c r="B327" s="35"/>
      <c r="C327" s="35"/>
      <c r="G327" s="83"/>
      <c r="H327" s="84"/>
      <c r="I327" s="417"/>
      <c r="J327" s="84"/>
      <c r="K327" s="35"/>
      <c r="L327" s="35"/>
      <c r="M327" s="35"/>
      <c r="N327" s="35"/>
      <c r="O327" s="35"/>
      <c r="P327" s="35"/>
      <c r="Q327" s="35"/>
    </row>
    <row r="328" spans="2:17" s="82" customFormat="1">
      <c r="B328" s="35"/>
      <c r="C328" s="35"/>
      <c r="G328" s="83"/>
      <c r="H328" s="84"/>
      <c r="I328" s="417"/>
      <c r="J328" s="84"/>
      <c r="K328" s="35"/>
      <c r="L328" s="35"/>
      <c r="M328" s="35"/>
      <c r="N328" s="35"/>
      <c r="O328" s="35"/>
      <c r="P328" s="35"/>
      <c r="Q328" s="35"/>
    </row>
    <row r="329" spans="2:17" s="82" customFormat="1">
      <c r="B329" s="35"/>
      <c r="C329" s="35"/>
      <c r="G329" s="83"/>
      <c r="H329" s="84"/>
      <c r="I329" s="417"/>
      <c r="J329" s="84"/>
      <c r="K329" s="35"/>
      <c r="L329" s="35"/>
      <c r="M329" s="35"/>
      <c r="N329" s="35"/>
      <c r="O329" s="35"/>
      <c r="P329" s="35"/>
      <c r="Q329" s="35"/>
    </row>
    <row r="330" spans="2:17" s="82" customFormat="1">
      <c r="B330" s="35"/>
      <c r="C330" s="35"/>
      <c r="G330" s="83"/>
      <c r="H330" s="84"/>
      <c r="I330" s="417"/>
      <c r="J330" s="84"/>
      <c r="K330" s="35"/>
      <c r="L330" s="35"/>
      <c r="M330" s="35"/>
      <c r="N330" s="35"/>
      <c r="O330" s="35"/>
      <c r="P330" s="35"/>
      <c r="Q330" s="35"/>
    </row>
    <row r="331" spans="2:17" s="82" customFormat="1">
      <c r="B331" s="35"/>
      <c r="C331" s="35"/>
      <c r="G331" s="83"/>
      <c r="H331" s="84"/>
      <c r="I331" s="417"/>
      <c r="J331" s="84"/>
      <c r="K331" s="35"/>
      <c r="L331" s="35"/>
      <c r="M331" s="35"/>
      <c r="N331" s="35"/>
      <c r="O331" s="35"/>
      <c r="P331" s="35"/>
      <c r="Q331" s="35"/>
    </row>
    <row r="332" spans="2:17" s="82" customFormat="1">
      <c r="B332" s="35"/>
      <c r="C332" s="35"/>
      <c r="G332" s="83"/>
      <c r="H332" s="84"/>
      <c r="I332" s="417"/>
      <c r="J332" s="84"/>
      <c r="K332" s="35"/>
      <c r="L332" s="35"/>
      <c r="M332" s="35"/>
      <c r="N332" s="35"/>
      <c r="O332" s="35"/>
      <c r="P332" s="35"/>
      <c r="Q332" s="35"/>
    </row>
    <row r="333" spans="2:17" s="82" customFormat="1">
      <c r="B333" s="35"/>
      <c r="C333" s="35"/>
      <c r="G333" s="83"/>
      <c r="H333" s="84"/>
      <c r="I333" s="417"/>
      <c r="J333" s="84"/>
      <c r="K333" s="35"/>
      <c r="L333" s="35"/>
      <c r="M333" s="35"/>
      <c r="N333" s="35"/>
      <c r="O333" s="35"/>
      <c r="P333" s="35"/>
      <c r="Q333" s="35"/>
    </row>
    <row r="334" spans="2:17" s="82" customFormat="1">
      <c r="B334" s="35"/>
      <c r="C334" s="35"/>
      <c r="G334" s="83"/>
      <c r="H334" s="84"/>
      <c r="I334" s="417"/>
      <c r="J334" s="84"/>
      <c r="K334" s="35"/>
      <c r="L334" s="35"/>
      <c r="M334" s="35"/>
      <c r="N334" s="35"/>
      <c r="O334" s="35"/>
      <c r="P334" s="35"/>
      <c r="Q334" s="35"/>
    </row>
    <row r="335" spans="2:17" s="82" customFormat="1">
      <c r="B335" s="35"/>
      <c r="C335" s="35"/>
      <c r="G335" s="83"/>
      <c r="H335" s="84"/>
      <c r="I335" s="417"/>
      <c r="J335" s="84"/>
      <c r="K335" s="35"/>
      <c r="L335" s="35"/>
      <c r="M335" s="35"/>
      <c r="N335" s="35"/>
      <c r="O335" s="35"/>
      <c r="P335" s="35"/>
      <c r="Q335" s="35"/>
    </row>
    <row r="336" spans="2:17" s="82" customFormat="1">
      <c r="B336" s="35"/>
      <c r="C336" s="35"/>
      <c r="G336" s="83"/>
      <c r="H336" s="84"/>
      <c r="I336" s="417"/>
      <c r="J336" s="84"/>
      <c r="K336" s="35"/>
      <c r="L336" s="35"/>
      <c r="M336" s="35"/>
      <c r="N336" s="35"/>
      <c r="O336" s="35"/>
      <c r="P336" s="35"/>
      <c r="Q336" s="35"/>
    </row>
    <row r="337" spans="2:17" s="82" customFormat="1">
      <c r="B337" s="35"/>
      <c r="C337" s="35"/>
      <c r="G337" s="83"/>
      <c r="H337" s="84"/>
      <c r="I337" s="417"/>
      <c r="J337" s="84"/>
      <c r="K337" s="35"/>
      <c r="L337" s="35"/>
      <c r="M337" s="35"/>
      <c r="N337" s="35"/>
      <c r="O337" s="35"/>
      <c r="P337" s="35"/>
      <c r="Q337" s="35"/>
    </row>
    <row r="338" spans="2:17" s="82" customFormat="1">
      <c r="B338" s="35"/>
      <c r="C338" s="35"/>
      <c r="G338" s="83"/>
      <c r="H338" s="84"/>
      <c r="I338" s="417"/>
      <c r="J338" s="84"/>
      <c r="K338" s="35"/>
      <c r="L338" s="35"/>
      <c r="M338" s="35"/>
      <c r="N338" s="35"/>
      <c r="O338" s="35"/>
      <c r="P338" s="35"/>
      <c r="Q338" s="35"/>
    </row>
    <row r="339" spans="2:17" s="82" customFormat="1">
      <c r="B339" s="35"/>
      <c r="C339" s="35"/>
      <c r="G339" s="83"/>
      <c r="H339" s="84"/>
      <c r="I339" s="417"/>
      <c r="J339" s="84"/>
      <c r="K339" s="35"/>
      <c r="L339" s="35"/>
      <c r="M339" s="35"/>
      <c r="N339" s="35"/>
      <c r="O339" s="35"/>
      <c r="P339" s="35"/>
      <c r="Q339" s="35"/>
    </row>
    <row r="340" spans="2:17" s="82" customFormat="1">
      <c r="B340" s="35"/>
      <c r="C340" s="35"/>
      <c r="G340" s="83"/>
      <c r="H340" s="84"/>
      <c r="I340" s="417"/>
      <c r="J340" s="84"/>
      <c r="K340" s="35"/>
      <c r="L340" s="35"/>
      <c r="M340" s="35"/>
      <c r="N340" s="35"/>
      <c r="O340" s="35"/>
      <c r="P340" s="35"/>
      <c r="Q340" s="35"/>
    </row>
    <row r="341" spans="2:17" s="82" customFormat="1">
      <c r="B341" s="35"/>
      <c r="C341" s="35"/>
      <c r="G341" s="83"/>
      <c r="H341" s="84"/>
      <c r="I341" s="417"/>
      <c r="J341" s="84"/>
      <c r="K341" s="35"/>
      <c r="L341" s="35"/>
      <c r="M341" s="35"/>
      <c r="N341" s="35"/>
      <c r="O341" s="35"/>
      <c r="P341" s="35"/>
      <c r="Q341" s="35"/>
    </row>
    <row r="342" spans="2:17" s="82" customFormat="1">
      <c r="B342" s="35"/>
      <c r="C342" s="35"/>
      <c r="G342" s="83"/>
      <c r="H342" s="84"/>
      <c r="I342" s="417"/>
      <c r="J342" s="84"/>
      <c r="K342" s="35"/>
      <c r="L342" s="35"/>
      <c r="M342" s="35"/>
      <c r="N342" s="35"/>
      <c r="O342" s="35"/>
      <c r="P342" s="35"/>
      <c r="Q342" s="35"/>
    </row>
    <row r="343" spans="2:17" s="82" customFormat="1">
      <c r="B343" s="35"/>
      <c r="C343" s="35"/>
      <c r="G343" s="83"/>
      <c r="H343" s="84"/>
      <c r="I343" s="417"/>
      <c r="J343" s="84"/>
      <c r="K343" s="35"/>
      <c r="L343" s="35"/>
      <c r="M343" s="35"/>
      <c r="N343" s="35"/>
      <c r="O343" s="35"/>
      <c r="P343" s="35"/>
      <c r="Q343" s="35"/>
    </row>
    <row r="344" spans="2:17" s="82" customFormat="1">
      <c r="B344" s="35"/>
      <c r="C344" s="35"/>
      <c r="G344" s="83"/>
      <c r="H344" s="84"/>
      <c r="I344" s="417"/>
      <c r="J344" s="84"/>
      <c r="K344" s="35"/>
      <c r="L344" s="35"/>
      <c r="M344" s="35"/>
      <c r="N344" s="35"/>
      <c r="O344" s="35"/>
      <c r="P344" s="35"/>
      <c r="Q344" s="35"/>
    </row>
    <row r="345" spans="2:17" s="82" customFormat="1">
      <c r="B345" s="35"/>
      <c r="C345" s="35"/>
      <c r="G345" s="83"/>
      <c r="H345" s="84"/>
      <c r="I345" s="417"/>
      <c r="J345" s="84"/>
      <c r="K345" s="35"/>
      <c r="L345" s="35"/>
      <c r="M345" s="35"/>
      <c r="N345" s="35"/>
      <c r="O345" s="35"/>
      <c r="P345" s="35"/>
      <c r="Q345" s="35"/>
    </row>
    <row r="346" spans="2:17" s="82" customFormat="1">
      <c r="B346" s="35"/>
      <c r="C346" s="35"/>
      <c r="G346" s="83"/>
      <c r="H346" s="84"/>
      <c r="I346" s="417"/>
      <c r="J346" s="84"/>
      <c r="K346" s="35"/>
      <c r="L346" s="35"/>
      <c r="M346" s="35"/>
      <c r="N346" s="35"/>
      <c r="O346" s="35"/>
      <c r="P346" s="35"/>
      <c r="Q346" s="35"/>
    </row>
    <row r="347" spans="2:17" s="82" customFormat="1">
      <c r="B347" s="35"/>
      <c r="C347" s="35"/>
      <c r="G347" s="83"/>
      <c r="H347" s="84"/>
      <c r="I347" s="417"/>
      <c r="J347" s="84"/>
      <c r="K347" s="35"/>
      <c r="L347" s="35"/>
      <c r="M347" s="35"/>
      <c r="N347" s="35"/>
      <c r="O347" s="35"/>
      <c r="P347" s="35"/>
      <c r="Q347" s="35"/>
    </row>
    <row r="348" spans="2:17" s="82" customFormat="1">
      <c r="B348" s="35"/>
      <c r="C348" s="35"/>
      <c r="G348" s="83"/>
      <c r="H348" s="84"/>
      <c r="I348" s="417"/>
      <c r="J348" s="84"/>
      <c r="K348" s="35"/>
      <c r="L348" s="35"/>
      <c r="M348" s="35"/>
      <c r="N348" s="35"/>
      <c r="O348" s="35"/>
      <c r="P348" s="35"/>
      <c r="Q348" s="35"/>
    </row>
    <row r="349" spans="2:17" s="82" customFormat="1">
      <c r="B349" s="35"/>
      <c r="C349" s="35"/>
      <c r="G349" s="83"/>
      <c r="H349" s="84"/>
      <c r="I349" s="417"/>
      <c r="J349" s="84"/>
      <c r="K349" s="35"/>
      <c r="L349" s="35"/>
      <c r="M349" s="35"/>
      <c r="N349" s="35"/>
      <c r="O349" s="35"/>
      <c r="P349" s="35"/>
      <c r="Q349" s="35"/>
    </row>
    <row r="350" spans="2:17" s="82" customFormat="1">
      <c r="B350" s="35"/>
      <c r="C350" s="35"/>
      <c r="G350" s="83"/>
      <c r="H350" s="84"/>
      <c r="I350" s="417"/>
      <c r="J350" s="84"/>
      <c r="K350" s="35"/>
      <c r="L350" s="35"/>
      <c r="M350" s="35"/>
      <c r="N350" s="35"/>
      <c r="O350" s="35"/>
      <c r="P350" s="35"/>
      <c r="Q350" s="35"/>
    </row>
    <row r="351" spans="2:17" s="82" customFormat="1">
      <c r="B351" s="35"/>
      <c r="C351" s="35"/>
      <c r="G351" s="83"/>
      <c r="H351" s="84"/>
      <c r="I351" s="417"/>
      <c r="J351" s="84"/>
      <c r="K351" s="35"/>
      <c r="L351" s="35"/>
      <c r="M351" s="35"/>
      <c r="N351" s="35"/>
      <c r="O351" s="35"/>
      <c r="P351" s="35"/>
      <c r="Q351" s="35"/>
    </row>
    <row r="352" spans="2:17" s="82" customFormat="1">
      <c r="B352" s="35"/>
      <c r="C352" s="35"/>
      <c r="G352" s="83"/>
      <c r="H352" s="84"/>
      <c r="I352" s="417"/>
      <c r="J352" s="84"/>
      <c r="K352" s="35"/>
      <c r="L352" s="35"/>
      <c r="M352" s="35"/>
      <c r="N352" s="35"/>
      <c r="O352" s="35"/>
      <c r="P352" s="35"/>
      <c r="Q352" s="35"/>
    </row>
    <row r="353" spans="2:17" s="82" customFormat="1">
      <c r="B353" s="35"/>
      <c r="C353" s="35"/>
      <c r="G353" s="83"/>
      <c r="H353" s="84"/>
      <c r="I353" s="417"/>
      <c r="J353" s="84"/>
      <c r="K353" s="35"/>
      <c r="L353" s="35"/>
      <c r="M353" s="35"/>
      <c r="N353" s="35"/>
      <c r="O353" s="35"/>
      <c r="P353" s="35"/>
      <c r="Q353" s="35"/>
    </row>
    <row r="354" spans="2:17" s="82" customFormat="1">
      <c r="B354" s="35"/>
      <c r="C354" s="35"/>
      <c r="G354" s="83"/>
      <c r="H354" s="84"/>
      <c r="I354" s="417"/>
      <c r="J354" s="84"/>
      <c r="K354" s="35"/>
      <c r="L354" s="35"/>
      <c r="M354" s="35"/>
      <c r="N354" s="35"/>
      <c r="O354" s="35"/>
      <c r="P354" s="35"/>
      <c r="Q354" s="35"/>
    </row>
    <row r="355" spans="2:17" s="82" customFormat="1">
      <c r="B355" s="35"/>
      <c r="C355" s="35"/>
      <c r="G355" s="83"/>
      <c r="H355" s="84"/>
      <c r="I355" s="417"/>
      <c r="J355" s="84"/>
      <c r="K355" s="35"/>
      <c r="L355" s="35"/>
      <c r="M355" s="35"/>
      <c r="N355" s="35"/>
      <c r="O355" s="35"/>
      <c r="P355" s="35"/>
      <c r="Q355" s="35"/>
    </row>
    <row r="356" spans="2:17" s="82" customFormat="1">
      <c r="B356" s="35"/>
      <c r="C356" s="35"/>
      <c r="G356" s="83"/>
      <c r="H356" s="84"/>
      <c r="I356" s="417"/>
      <c r="J356" s="84"/>
      <c r="K356" s="35"/>
      <c r="L356" s="35"/>
      <c r="M356" s="35"/>
      <c r="N356" s="35"/>
      <c r="O356" s="35"/>
      <c r="P356" s="35"/>
      <c r="Q356" s="35"/>
    </row>
    <row r="357" spans="2:17" s="82" customFormat="1">
      <c r="B357" s="35"/>
      <c r="C357" s="35"/>
      <c r="G357" s="83"/>
      <c r="H357" s="84"/>
      <c r="I357" s="417"/>
      <c r="J357" s="84"/>
      <c r="K357" s="35"/>
      <c r="L357" s="35"/>
      <c r="M357" s="35"/>
      <c r="N357" s="35"/>
      <c r="O357" s="35"/>
      <c r="P357" s="35"/>
      <c r="Q357" s="35"/>
    </row>
    <row r="358" spans="2:17" s="82" customFormat="1">
      <c r="B358" s="35"/>
      <c r="C358" s="35"/>
      <c r="G358" s="83"/>
      <c r="H358" s="84"/>
      <c r="I358" s="417"/>
      <c r="J358" s="84"/>
      <c r="K358" s="35"/>
      <c r="L358" s="35"/>
      <c r="M358" s="35"/>
      <c r="N358" s="35"/>
      <c r="O358" s="35"/>
      <c r="P358" s="35"/>
      <c r="Q358" s="35"/>
    </row>
    <row r="359" spans="2:17" s="82" customFormat="1">
      <c r="B359" s="35"/>
      <c r="C359" s="35"/>
      <c r="G359" s="83"/>
      <c r="H359" s="84"/>
      <c r="I359" s="417"/>
      <c r="J359" s="84"/>
      <c r="K359" s="35"/>
      <c r="L359" s="35"/>
      <c r="M359" s="35"/>
      <c r="N359" s="35"/>
      <c r="O359" s="35"/>
      <c r="P359" s="35"/>
      <c r="Q359" s="35"/>
    </row>
    <row r="360" spans="2:17" s="82" customFormat="1">
      <c r="B360" s="35"/>
      <c r="C360" s="35"/>
      <c r="G360" s="83"/>
      <c r="H360" s="84"/>
      <c r="I360" s="417"/>
      <c r="J360" s="84"/>
      <c r="K360" s="35"/>
      <c r="L360" s="35"/>
      <c r="M360" s="35"/>
      <c r="N360" s="35"/>
      <c r="O360" s="35"/>
      <c r="P360" s="35"/>
      <c r="Q360" s="35"/>
    </row>
    <row r="361" spans="2:17" s="82" customFormat="1">
      <c r="B361" s="35"/>
      <c r="C361" s="35"/>
      <c r="G361" s="83"/>
      <c r="H361" s="84"/>
      <c r="I361" s="417"/>
      <c r="J361" s="84"/>
      <c r="K361" s="35"/>
      <c r="L361" s="35"/>
      <c r="M361" s="35"/>
      <c r="N361" s="35"/>
      <c r="O361" s="35"/>
      <c r="P361" s="35"/>
      <c r="Q361" s="35"/>
    </row>
    <row r="362" spans="2:17" s="82" customFormat="1">
      <c r="B362" s="35"/>
      <c r="C362" s="35"/>
      <c r="G362" s="83"/>
      <c r="H362" s="84"/>
      <c r="I362" s="417"/>
      <c r="J362" s="84"/>
      <c r="K362" s="35"/>
      <c r="L362" s="35"/>
      <c r="M362" s="35"/>
      <c r="N362" s="35"/>
      <c r="O362" s="35"/>
      <c r="P362" s="35"/>
      <c r="Q362" s="35"/>
    </row>
    <row r="363" spans="2:17" s="82" customFormat="1">
      <c r="B363" s="35"/>
      <c r="C363" s="35"/>
      <c r="G363" s="83"/>
      <c r="H363" s="84"/>
      <c r="I363" s="417"/>
      <c r="J363" s="84"/>
      <c r="K363" s="35"/>
      <c r="L363" s="35"/>
      <c r="M363" s="35"/>
      <c r="N363" s="35"/>
      <c r="O363" s="35"/>
      <c r="P363" s="35"/>
      <c r="Q363" s="35"/>
    </row>
    <row r="364" spans="2:17" s="82" customFormat="1">
      <c r="B364" s="35"/>
      <c r="C364" s="35"/>
      <c r="G364" s="83"/>
      <c r="H364" s="84"/>
      <c r="I364" s="417"/>
      <c r="J364" s="84"/>
      <c r="K364" s="35"/>
      <c r="L364" s="35"/>
      <c r="M364" s="35"/>
      <c r="N364" s="35"/>
      <c r="O364" s="35"/>
      <c r="P364" s="35"/>
      <c r="Q364" s="35"/>
    </row>
    <row r="365" spans="2:17" s="82" customFormat="1">
      <c r="B365" s="35"/>
      <c r="C365" s="35"/>
      <c r="G365" s="83"/>
      <c r="H365" s="84"/>
      <c r="I365" s="417"/>
      <c r="J365" s="84"/>
      <c r="K365" s="35"/>
      <c r="L365" s="35"/>
      <c r="M365" s="35"/>
      <c r="N365" s="35"/>
      <c r="O365" s="35"/>
      <c r="P365" s="35"/>
      <c r="Q365" s="35"/>
    </row>
    <row r="366" spans="2:17" s="82" customFormat="1">
      <c r="B366" s="35"/>
      <c r="C366" s="35"/>
      <c r="G366" s="83"/>
      <c r="H366" s="84"/>
      <c r="I366" s="417"/>
      <c r="J366" s="84"/>
      <c r="K366" s="35"/>
      <c r="L366" s="35"/>
      <c r="M366" s="35"/>
      <c r="N366" s="35"/>
      <c r="O366" s="35"/>
      <c r="P366" s="35"/>
      <c r="Q366" s="35"/>
    </row>
    <row r="367" spans="2:17" s="82" customFormat="1">
      <c r="B367" s="35"/>
      <c r="C367" s="35"/>
      <c r="G367" s="83"/>
      <c r="H367" s="84"/>
      <c r="I367" s="417"/>
      <c r="J367" s="84"/>
      <c r="K367" s="35"/>
      <c r="L367" s="35"/>
      <c r="M367" s="35"/>
      <c r="N367" s="35"/>
      <c r="O367" s="35"/>
      <c r="P367" s="35"/>
      <c r="Q367" s="35"/>
    </row>
    <row r="368" spans="2:17" s="82" customFormat="1">
      <c r="B368" s="35"/>
      <c r="C368" s="35"/>
      <c r="G368" s="83"/>
      <c r="H368" s="84"/>
      <c r="I368" s="417"/>
      <c r="J368" s="84"/>
      <c r="K368" s="35"/>
      <c r="L368" s="35"/>
      <c r="M368" s="35"/>
      <c r="N368" s="35"/>
      <c r="O368" s="35"/>
      <c r="P368" s="35"/>
      <c r="Q368" s="35"/>
    </row>
    <row r="369" spans="2:17" s="82" customFormat="1">
      <c r="B369" s="35"/>
      <c r="C369" s="35"/>
      <c r="G369" s="83"/>
      <c r="H369" s="84"/>
      <c r="I369" s="417"/>
      <c r="J369" s="84"/>
      <c r="K369" s="35"/>
      <c r="L369" s="35"/>
      <c r="M369" s="35"/>
      <c r="N369" s="35"/>
      <c r="O369" s="35"/>
      <c r="P369" s="35"/>
      <c r="Q369" s="35"/>
    </row>
    <row r="370" spans="2:17" s="82" customFormat="1">
      <c r="B370" s="35"/>
      <c r="C370" s="35"/>
      <c r="G370" s="83"/>
      <c r="H370" s="84"/>
      <c r="I370" s="417"/>
      <c r="J370" s="84"/>
      <c r="K370" s="35"/>
      <c r="L370" s="35"/>
      <c r="M370" s="35"/>
      <c r="N370" s="35"/>
      <c r="O370" s="35"/>
      <c r="P370" s="35"/>
      <c r="Q370" s="35"/>
    </row>
    <row r="371" spans="2:17" s="82" customFormat="1">
      <c r="B371" s="35"/>
      <c r="C371" s="35"/>
      <c r="G371" s="83"/>
      <c r="H371" s="84"/>
      <c r="I371" s="417"/>
      <c r="J371" s="84"/>
      <c r="K371" s="35"/>
      <c r="L371" s="35"/>
      <c r="M371" s="35"/>
      <c r="N371" s="35"/>
      <c r="O371" s="35"/>
      <c r="P371" s="35"/>
      <c r="Q371" s="35"/>
    </row>
    <row r="372" spans="2:17" s="82" customFormat="1">
      <c r="B372" s="35"/>
      <c r="C372" s="35"/>
      <c r="G372" s="83"/>
      <c r="H372" s="84"/>
      <c r="I372" s="417"/>
      <c r="J372" s="84"/>
      <c r="K372" s="35"/>
      <c r="L372" s="35"/>
      <c r="M372" s="35"/>
      <c r="N372" s="35"/>
      <c r="O372" s="35"/>
      <c r="P372" s="35"/>
      <c r="Q372" s="35"/>
    </row>
    <row r="373" spans="2:17" s="82" customFormat="1">
      <c r="B373" s="35"/>
      <c r="C373" s="35"/>
      <c r="G373" s="83"/>
      <c r="H373" s="84"/>
      <c r="I373" s="417"/>
      <c r="J373" s="84"/>
      <c r="K373" s="35"/>
      <c r="L373" s="35"/>
      <c r="M373" s="35"/>
      <c r="N373" s="35"/>
      <c r="O373" s="35"/>
      <c r="P373" s="35"/>
      <c r="Q373" s="35"/>
    </row>
    <row r="374" spans="2:17" s="82" customFormat="1">
      <c r="B374" s="35"/>
      <c r="C374" s="35"/>
      <c r="G374" s="83"/>
      <c r="H374" s="84"/>
      <c r="I374" s="417"/>
      <c r="J374" s="84"/>
      <c r="K374" s="35"/>
      <c r="L374" s="35"/>
      <c r="M374" s="35"/>
      <c r="N374" s="35"/>
      <c r="O374" s="35"/>
      <c r="P374" s="35"/>
      <c r="Q374" s="35"/>
    </row>
    <row r="375" spans="2:17" s="82" customFormat="1">
      <c r="B375" s="35"/>
      <c r="C375" s="35"/>
      <c r="G375" s="83"/>
      <c r="H375" s="84"/>
      <c r="I375" s="417"/>
      <c r="J375" s="84"/>
      <c r="K375" s="35"/>
      <c r="L375" s="35"/>
      <c r="M375" s="35"/>
      <c r="N375" s="35"/>
      <c r="O375" s="35"/>
      <c r="P375" s="35"/>
      <c r="Q375" s="35"/>
    </row>
    <row r="376" spans="2:17" s="82" customFormat="1">
      <c r="B376" s="35"/>
      <c r="C376" s="35"/>
      <c r="G376" s="83"/>
      <c r="H376" s="84"/>
      <c r="I376" s="417"/>
      <c r="J376" s="84"/>
      <c r="K376" s="35"/>
      <c r="L376" s="35"/>
      <c r="M376" s="35"/>
      <c r="N376" s="35"/>
      <c r="O376" s="35"/>
      <c r="P376" s="35"/>
      <c r="Q376" s="35"/>
    </row>
    <row r="377" spans="2:17" s="82" customFormat="1">
      <c r="B377" s="35"/>
      <c r="C377" s="35"/>
      <c r="G377" s="83"/>
      <c r="H377" s="84"/>
      <c r="I377" s="417"/>
      <c r="J377" s="84"/>
      <c r="K377" s="35"/>
      <c r="L377" s="35"/>
      <c r="M377" s="35"/>
      <c r="N377" s="35"/>
      <c r="O377" s="35"/>
      <c r="P377" s="35"/>
      <c r="Q377" s="35"/>
    </row>
    <row r="378" spans="2:17" s="82" customFormat="1">
      <c r="B378" s="35"/>
      <c r="C378" s="35"/>
      <c r="G378" s="83"/>
      <c r="H378" s="84"/>
      <c r="I378" s="417"/>
      <c r="J378" s="84"/>
      <c r="K378" s="35"/>
      <c r="L378" s="35"/>
      <c r="M378" s="35"/>
      <c r="N378" s="35"/>
      <c r="O378" s="35"/>
      <c r="P378" s="35"/>
      <c r="Q378" s="35"/>
    </row>
    <row r="379" spans="2:17" s="82" customFormat="1">
      <c r="B379" s="35"/>
      <c r="C379" s="35"/>
      <c r="G379" s="83"/>
      <c r="H379" s="84"/>
      <c r="I379" s="417"/>
      <c r="J379" s="84"/>
      <c r="K379" s="35"/>
      <c r="L379" s="35"/>
      <c r="M379" s="35"/>
      <c r="N379" s="35"/>
      <c r="O379" s="35"/>
      <c r="P379" s="35"/>
      <c r="Q379" s="35"/>
    </row>
    <row r="380" spans="2:17" s="82" customFormat="1">
      <c r="B380" s="35"/>
      <c r="C380" s="35"/>
      <c r="G380" s="83"/>
      <c r="H380" s="84"/>
      <c r="I380" s="417"/>
      <c r="J380" s="84"/>
      <c r="K380" s="35"/>
      <c r="L380" s="35"/>
      <c r="M380" s="35"/>
      <c r="N380" s="35"/>
      <c r="O380" s="35"/>
      <c r="P380" s="35"/>
      <c r="Q380" s="35"/>
    </row>
    <row r="381" spans="2:17" s="82" customFormat="1">
      <c r="B381" s="35"/>
      <c r="C381" s="35"/>
      <c r="G381" s="83"/>
      <c r="H381" s="84"/>
      <c r="I381" s="417"/>
      <c r="J381" s="84"/>
      <c r="K381" s="35"/>
      <c r="L381" s="35"/>
      <c r="M381" s="35"/>
      <c r="N381" s="35"/>
      <c r="O381" s="35"/>
      <c r="P381" s="35"/>
      <c r="Q381" s="35"/>
    </row>
    <row r="382" spans="2:17" s="82" customFormat="1">
      <c r="B382" s="35"/>
      <c r="C382" s="35"/>
      <c r="G382" s="83"/>
      <c r="H382" s="84"/>
      <c r="I382" s="417"/>
      <c r="J382" s="84"/>
      <c r="K382" s="35"/>
      <c r="L382" s="35"/>
      <c r="M382" s="35"/>
      <c r="N382" s="35"/>
      <c r="O382" s="35"/>
      <c r="P382" s="35"/>
      <c r="Q382" s="35"/>
    </row>
    <row r="383" spans="2:17" s="82" customFormat="1">
      <c r="B383" s="35"/>
      <c r="C383" s="35"/>
      <c r="G383" s="83"/>
      <c r="H383" s="84"/>
      <c r="I383" s="417"/>
      <c r="J383" s="84"/>
      <c r="K383" s="35"/>
      <c r="L383" s="35"/>
      <c r="M383" s="35"/>
      <c r="N383" s="35"/>
      <c r="O383" s="35"/>
      <c r="P383" s="35"/>
      <c r="Q383" s="35"/>
    </row>
    <row r="384" spans="2:17" s="82" customFormat="1">
      <c r="B384" s="35"/>
      <c r="C384" s="35"/>
      <c r="G384" s="83"/>
      <c r="H384" s="84"/>
      <c r="I384" s="417"/>
      <c r="J384" s="84"/>
      <c r="K384" s="35"/>
      <c r="L384" s="35"/>
      <c r="M384" s="35"/>
      <c r="N384" s="35"/>
      <c r="O384" s="35"/>
      <c r="P384" s="35"/>
      <c r="Q384" s="35"/>
    </row>
    <row r="385" spans="2:17" s="82" customFormat="1">
      <c r="B385" s="35"/>
      <c r="C385" s="35"/>
      <c r="G385" s="83"/>
      <c r="H385" s="84"/>
      <c r="I385" s="417"/>
      <c r="J385" s="84"/>
      <c r="K385" s="35"/>
      <c r="L385" s="35"/>
      <c r="M385" s="35"/>
      <c r="N385" s="35"/>
      <c r="O385" s="35"/>
      <c r="P385" s="35"/>
      <c r="Q385" s="35"/>
    </row>
    <row r="386" spans="2:17" s="82" customFormat="1">
      <c r="B386" s="35"/>
      <c r="C386" s="35"/>
      <c r="G386" s="83"/>
      <c r="H386" s="84"/>
      <c r="I386" s="417"/>
      <c r="J386" s="84"/>
      <c r="K386" s="35"/>
      <c r="L386" s="35"/>
      <c r="M386" s="35"/>
      <c r="N386" s="35"/>
      <c r="O386" s="35"/>
      <c r="P386" s="35"/>
      <c r="Q386" s="35"/>
    </row>
    <row r="387" spans="2:17" s="82" customFormat="1">
      <c r="B387" s="35"/>
      <c r="C387" s="35"/>
      <c r="G387" s="83"/>
      <c r="H387" s="84"/>
      <c r="I387" s="417"/>
      <c r="J387" s="84"/>
      <c r="K387" s="35"/>
      <c r="L387" s="35"/>
      <c r="M387" s="35"/>
      <c r="N387" s="35"/>
      <c r="O387" s="35"/>
      <c r="P387" s="35"/>
      <c r="Q387" s="35"/>
    </row>
    <row r="388" spans="2:17" s="82" customFormat="1">
      <c r="B388" s="35"/>
      <c r="C388" s="35"/>
      <c r="G388" s="83"/>
      <c r="H388" s="84"/>
      <c r="I388" s="417"/>
      <c r="J388" s="84"/>
      <c r="K388" s="35"/>
      <c r="L388" s="35"/>
      <c r="M388" s="35"/>
      <c r="N388" s="35"/>
      <c r="O388" s="35"/>
      <c r="P388" s="35"/>
      <c r="Q388" s="35"/>
    </row>
    <row r="389" spans="2:17" s="82" customFormat="1">
      <c r="B389" s="35"/>
      <c r="C389" s="35"/>
      <c r="G389" s="83"/>
      <c r="H389" s="84"/>
      <c r="I389" s="417"/>
      <c r="J389" s="84"/>
      <c r="K389" s="35"/>
      <c r="L389" s="35"/>
      <c r="M389" s="35"/>
      <c r="N389" s="35"/>
      <c r="O389" s="35"/>
      <c r="P389" s="35"/>
      <c r="Q389" s="35"/>
    </row>
    <row r="390" spans="2:17" s="82" customFormat="1">
      <c r="B390" s="35"/>
      <c r="C390" s="35"/>
      <c r="G390" s="83"/>
      <c r="H390" s="84"/>
      <c r="I390" s="417"/>
      <c r="J390" s="84"/>
      <c r="K390" s="35"/>
      <c r="L390" s="35"/>
      <c r="M390" s="35"/>
      <c r="N390" s="35"/>
      <c r="O390" s="35"/>
      <c r="P390" s="35"/>
      <c r="Q390" s="35"/>
    </row>
    <row r="391" spans="2:17" s="82" customFormat="1">
      <c r="B391" s="35"/>
      <c r="C391" s="35"/>
      <c r="G391" s="83"/>
      <c r="H391" s="84"/>
      <c r="I391" s="417"/>
      <c r="J391" s="84"/>
      <c r="K391" s="35"/>
      <c r="L391" s="35"/>
      <c r="M391" s="35"/>
      <c r="N391" s="35"/>
      <c r="O391" s="35"/>
      <c r="P391" s="35"/>
      <c r="Q391" s="35"/>
    </row>
    <row r="392" spans="2:17" s="82" customFormat="1">
      <c r="B392" s="35"/>
      <c r="C392" s="35"/>
      <c r="G392" s="83"/>
      <c r="H392" s="84"/>
      <c r="I392" s="417"/>
      <c r="J392" s="84"/>
      <c r="K392" s="35"/>
      <c r="L392" s="35"/>
      <c r="M392" s="35"/>
      <c r="N392" s="35"/>
      <c r="O392" s="35"/>
      <c r="P392" s="35"/>
      <c r="Q392" s="35"/>
    </row>
    <row r="393" spans="2:17" s="82" customFormat="1">
      <c r="B393" s="35"/>
      <c r="C393" s="35"/>
      <c r="G393" s="83"/>
      <c r="H393" s="84"/>
      <c r="I393" s="417"/>
      <c r="J393" s="84"/>
      <c r="K393" s="35"/>
      <c r="L393" s="35"/>
      <c r="M393" s="35"/>
      <c r="N393" s="35"/>
      <c r="O393" s="35"/>
      <c r="P393" s="35"/>
      <c r="Q393" s="35"/>
    </row>
    <row r="394" spans="2:17" s="82" customFormat="1">
      <c r="B394" s="35"/>
      <c r="C394" s="35"/>
      <c r="G394" s="83"/>
      <c r="H394" s="84"/>
      <c r="I394" s="417"/>
      <c r="J394" s="84"/>
      <c r="K394" s="35"/>
      <c r="L394" s="35"/>
      <c r="M394" s="35"/>
      <c r="N394" s="35"/>
      <c r="O394" s="35"/>
      <c r="P394" s="35"/>
      <c r="Q394" s="35"/>
    </row>
    <row r="395" spans="2:17" s="82" customFormat="1">
      <c r="B395" s="35"/>
      <c r="C395" s="35"/>
      <c r="G395" s="83"/>
      <c r="H395" s="84"/>
      <c r="I395" s="417"/>
      <c r="J395" s="84"/>
      <c r="K395" s="35"/>
      <c r="L395" s="35"/>
      <c r="M395" s="35"/>
      <c r="N395" s="35"/>
      <c r="O395" s="35"/>
      <c r="P395" s="35"/>
      <c r="Q395" s="35"/>
    </row>
    <row r="396" spans="2:17" s="82" customFormat="1">
      <c r="B396" s="35"/>
      <c r="C396" s="35"/>
      <c r="G396" s="83"/>
      <c r="H396" s="84"/>
      <c r="I396" s="417"/>
      <c r="J396" s="84"/>
      <c r="K396" s="35"/>
      <c r="L396" s="35"/>
      <c r="M396" s="35"/>
      <c r="N396" s="35"/>
      <c r="O396" s="35"/>
      <c r="P396" s="35"/>
      <c r="Q396" s="35"/>
    </row>
    <row r="397" spans="2:17" s="82" customFormat="1">
      <c r="B397" s="35"/>
      <c r="C397" s="35"/>
      <c r="G397" s="83"/>
      <c r="H397" s="84"/>
      <c r="I397" s="417"/>
      <c r="J397" s="84"/>
      <c r="K397" s="35"/>
      <c r="L397" s="35"/>
      <c r="M397" s="35"/>
      <c r="N397" s="35"/>
      <c r="O397" s="35"/>
      <c r="P397" s="35"/>
      <c r="Q397" s="35"/>
    </row>
    <row r="398" spans="2:17" s="82" customFormat="1">
      <c r="B398" s="35"/>
      <c r="C398" s="35"/>
      <c r="G398" s="83"/>
      <c r="H398" s="84"/>
      <c r="I398" s="417"/>
      <c r="J398" s="84"/>
      <c r="K398" s="35"/>
      <c r="L398" s="35"/>
      <c r="M398" s="35"/>
      <c r="N398" s="35"/>
      <c r="O398" s="35"/>
      <c r="P398" s="35"/>
      <c r="Q398" s="35"/>
    </row>
    <row r="399" spans="2:17" s="82" customFormat="1">
      <c r="B399" s="35"/>
      <c r="C399" s="35"/>
      <c r="G399" s="83"/>
      <c r="H399" s="84"/>
      <c r="I399" s="417"/>
      <c r="J399" s="84"/>
      <c r="K399" s="35"/>
      <c r="L399" s="35"/>
      <c r="M399" s="35"/>
      <c r="N399" s="35"/>
      <c r="O399" s="35"/>
      <c r="P399" s="35"/>
      <c r="Q399" s="35"/>
    </row>
    <row r="400" spans="2:17" s="82" customFormat="1">
      <c r="B400" s="35"/>
      <c r="C400" s="35"/>
      <c r="G400" s="83"/>
      <c r="H400" s="84"/>
      <c r="I400" s="417"/>
      <c r="J400" s="84"/>
      <c r="K400" s="35"/>
      <c r="L400" s="35"/>
      <c r="M400" s="35"/>
      <c r="N400" s="35"/>
      <c r="O400" s="35"/>
      <c r="P400" s="35"/>
      <c r="Q400" s="35"/>
    </row>
    <row r="401" spans="2:17" s="82" customFormat="1">
      <c r="B401" s="35"/>
      <c r="C401" s="35"/>
      <c r="G401" s="83"/>
      <c r="H401" s="84"/>
      <c r="I401" s="417"/>
      <c r="J401" s="84"/>
      <c r="K401" s="35"/>
      <c r="L401" s="35"/>
      <c r="M401" s="35"/>
      <c r="N401" s="35"/>
      <c r="O401" s="35"/>
      <c r="P401" s="35"/>
      <c r="Q401" s="35"/>
    </row>
    <row r="402" spans="2:17" s="82" customFormat="1">
      <c r="B402" s="35"/>
      <c r="C402" s="35"/>
      <c r="G402" s="83"/>
      <c r="H402" s="84"/>
      <c r="I402" s="417"/>
      <c r="J402" s="84"/>
      <c r="K402" s="35"/>
      <c r="L402" s="35"/>
      <c r="M402" s="35"/>
      <c r="N402" s="35"/>
      <c r="O402" s="35"/>
      <c r="P402" s="35"/>
      <c r="Q402" s="35"/>
    </row>
    <row r="403" spans="2:17" s="82" customFormat="1">
      <c r="B403" s="35"/>
      <c r="C403" s="35"/>
      <c r="G403" s="83"/>
      <c r="H403" s="84"/>
      <c r="I403" s="417"/>
      <c r="J403" s="84"/>
      <c r="K403" s="35"/>
      <c r="L403" s="35"/>
      <c r="M403" s="35"/>
      <c r="N403" s="35"/>
      <c r="O403" s="35"/>
      <c r="P403" s="35"/>
      <c r="Q403" s="35"/>
    </row>
    <row r="404" spans="2:17" s="82" customFormat="1">
      <c r="B404" s="35"/>
      <c r="C404" s="35"/>
      <c r="G404" s="83"/>
      <c r="H404" s="84"/>
      <c r="I404" s="417"/>
      <c r="J404" s="84"/>
      <c r="K404" s="35"/>
      <c r="L404" s="35"/>
      <c r="M404" s="35"/>
      <c r="N404" s="35"/>
      <c r="O404" s="35"/>
      <c r="P404" s="35"/>
      <c r="Q404" s="35"/>
    </row>
    <row r="405" spans="2:17" s="82" customFormat="1">
      <c r="B405" s="35"/>
      <c r="C405" s="35"/>
      <c r="G405" s="83"/>
      <c r="H405" s="84"/>
      <c r="I405" s="417"/>
      <c r="J405" s="84"/>
      <c r="K405" s="35"/>
      <c r="L405" s="35"/>
      <c r="M405" s="35"/>
      <c r="N405" s="35"/>
      <c r="O405" s="35"/>
      <c r="P405" s="35"/>
      <c r="Q405" s="35"/>
    </row>
    <row r="406" spans="2:17" s="82" customFormat="1">
      <c r="B406" s="35"/>
      <c r="C406" s="35"/>
      <c r="G406" s="83"/>
      <c r="H406" s="84"/>
      <c r="I406" s="417"/>
      <c r="J406" s="84"/>
      <c r="K406" s="35"/>
      <c r="L406" s="35"/>
      <c r="M406" s="35"/>
      <c r="N406" s="35"/>
      <c r="O406" s="35"/>
      <c r="P406" s="35"/>
      <c r="Q406" s="35"/>
    </row>
    <row r="407" spans="2:17" s="82" customFormat="1">
      <c r="B407" s="35"/>
      <c r="C407" s="35"/>
      <c r="G407" s="83"/>
      <c r="H407" s="84"/>
      <c r="I407" s="417"/>
      <c r="J407" s="84"/>
      <c r="K407" s="35"/>
      <c r="L407" s="35"/>
      <c r="M407" s="35"/>
      <c r="N407" s="35"/>
      <c r="O407" s="35"/>
      <c r="P407" s="35"/>
      <c r="Q407" s="35"/>
    </row>
    <row r="408" spans="2:17" s="82" customFormat="1">
      <c r="B408" s="35"/>
      <c r="C408" s="35"/>
      <c r="G408" s="83"/>
      <c r="H408" s="84"/>
      <c r="I408" s="417"/>
      <c r="J408" s="84"/>
      <c r="K408" s="35"/>
      <c r="L408" s="35"/>
      <c r="M408" s="35"/>
      <c r="N408" s="35"/>
      <c r="O408" s="35"/>
      <c r="P408" s="35"/>
      <c r="Q408" s="35"/>
    </row>
    <row r="409" spans="2:17" s="82" customFormat="1">
      <c r="B409" s="35"/>
      <c r="C409" s="35"/>
      <c r="G409" s="83"/>
      <c r="H409" s="84"/>
      <c r="I409" s="417"/>
      <c r="J409" s="84"/>
      <c r="K409" s="35"/>
      <c r="L409" s="35"/>
      <c r="M409" s="35"/>
      <c r="N409" s="35"/>
      <c r="O409" s="35"/>
      <c r="P409" s="35"/>
      <c r="Q409" s="35"/>
    </row>
    <row r="410" spans="2:17" s="82" customFormat="1">
      <c r="B410" s="35"/>
      <c r="C410" s="35"/>
      <c r="G410" s="83"/>
      <c r="H410" s="84"/>
      <c r="I410" s="417"/>
      <c r="J410" s="84"/>
      <c r="K410" s="35"/>
      <c r="L410" s="35"/>
      <c r="M410" s="35"/>
      <c r="N410" s="35"/>
      <c r="O410" s="35"/>
      <c r="P410" s="35"/>
      <c r="Q410" s="35"/>
    </row>
    <row r="411" spans="2:17" s="82" customFormat="1">
      <c r="B411" s="35"/>
      <c r="C411" s="35"/>
      <c r="G411" s="83"/>
      <c r="H411" s="84"/>
      <c r="I411" s="417"/>
      <c r="J411" s="84"/>
      <c r="K411" s="35"/>
      <c r="L411" s="35"/>
      <c r="M411" s="35"/>
      <c r="N411" s="35"/>
      <c r="O411" s="35"/>
      <c r="P411" s="35"/>
      <c r="Q411" s="35"/>
    </row>
    <row r="412" spans="2:17" s="82" customFormat="1">
      <c r="B412" s="35"/>
      <c r="C412" s="35"/>
      <c r="G412" s="83"/>
      <c r="H412" s="84"/>
      <c r="I412" s="417"/>
      <c r="J412" s="84"/>
      <c r="K412" s="35"/>
      <c r="L412" s="35"/>
      <c r="M412" s="35"/>
      <c r="N412" s="35"/>
      <c r="O412" s="35"/>
      <c r="P412" s="35"/>
      <c r="Q412" s="35"/>
    </row>
    <row r="413" spans="2:17" s="82" customFormat="1">
      <c r="B413" s="35"/>
      <c r="C413" s="35"/>
      <c r="G413" s="83"/>
      <c r="H413" s="84"/>
      <c r="I413" s="417"/>
      <c r="J413" s="84"/>
      <c r="K413" s="35"/>
      <c r="L413" s="35"/>
      <c r="M413" s="35"/>
      <c r="N413" s="35"/>
      <c r="O413" s="35"/>
      <c r="P413" s="35"/>
      <c r="Q413" s="35"/>
    </row>
    <row r="414" spans="2:17" s="82" customFormat="1">
      <c r="B414" s="35"/>
      <c r="C414" s="35"/>
      <c r="G414" s="83"/>
      <c r="H414" s="84"/>
      <c r="I414" s="417"/>
      <c r="J414" s="84"/>
      <c r="K414" s="35"/>
      <c r="L414" s="35"/>
      <c r="M414" s="35"/>
      <c r="N414" s="35"/>
      <c r="O414" s="35"/>
      <c r="P414" s="35"/>
      <c r="Q414" s="35"/>
    </row>
    <row r="415" spans="2:17" s="82" customFormat="1">
      <c r="B415" s="35"/>
      <c r="C415" s="35"/>
      <c r="G415" s="83"/>
      <c r="H415" s="84"/>
      <c r="I415" s="417"/>
      <c r="J415" s="84"/>
      <c r="K415" s="35"/>
      <c r="L415" s="35"/>
      <c r="M415" s="35"/>
      <c r="N415" s="35"/>
      <c r="O415" s="35"/>
      <c r="P415" s="35"/>
      <c r="Q415" s="35"/>
    </row>
    <row r="416" spans="2:17" s="82" customFormat="1">
      <c r="B416" s="35"/>
      <c r="C416" s="35"/>
      <c r="G416" s="83"/>
      <c r="H416" s="84"/>
      <c r="I416" s="417"/>
      <c r="J416" s="84"/>
      <c r="K416" s="35"/>
      <c r="L416" s="35"/>
      <c r="M416" s="35"/>
      <c r="N416" s="35"/>
      <c r="O416" s="35"/>
      <c r="P416" s="35"/>
      <c r="Q416" s="35"/>
    </row>
    <row r="417" spans="2:17" s="82" customFormat="1">
      <c r="B417" s="35"/>
      <c r="C417" s="35"/>
      <c r="G417" s="83"/>
      <c r="H417" s="84"/>
      <c r="I417" s="417"/>
      <c r="J417" s="84"/>
      <c r="K417" s="35"/>
      <c r="L417" s="35"/>
      <c r="M417" s="35"/>
      <c r="N417" s="35"/>
      <c r="O417" s="35"/>
      <c r="P417" s="35"/>
      <c r="Q417" s="35"/>
    </row>
    <row r="418" spans="2:17" s="82" customFormat="1">
      <c r="B418" s="35"/>
      <c r="C418" s="35"/>
      <c r="G418" s="83"/>
      <c r="H418" s="84"/>
      <c r="I418" s="417"/>
      <c r="J418" s="84"/>
      <c r="K418" s="35"/>
      <c r="L418" s="35"/>
      <c r="M418" s="35"/>
      <c r="N418" s="35"/>
      <c r="O418" s="35"/>
      <c r="P418" s="35"/>
      <c r="Q418" s="35"/>
    </row>
    <row r="419" spans="2:17" s="82" customFormat="1">
      <c r="B419" s="35"/>
      <c r="C419" s="35"/>
      <c r="G419" s="83"/>
      <c r="H419" s="84"/>
      <c r="I419" s="417"/>
      <c r="J419" s="84"/>
      <c r="K419" s="35"/>
      <c r="L419" s="35"/>
      <c r="M419" s="35"/>
      <c r="N419" s="35"/>
      <c r="O419" s="35"/>
      <c r="P419" s="35"/>
      <c r="Q419" s="35"/>
    </row>
    <row r="420" spans="2:17" s="82" customFormat="1">
      <c r="B420" s="35"/>
      <c r="C420" s="35"/>
      <c r="G420" s="83"/>
      <c r="H420" s="84"/>
      <c r="I420" s="417"/>
      <c r="J420" s="84"/>
      <c r="K420" s="35"/>
      <c r="L420" s="35"/>
      <c r="M420" s="35"/>
      <c r="N420" s="35"/>
      <c r="O420" s="35"/>
      <c r="P420" s="35"/>
      <c r="Q420" s="35"/>
    </row>
    <row r="421" spans="2:17" s="82" customFormat="1">
      <c r="B421" s="35"/>
      <c r="C421" s="35"/>
      <c r="G421" s="83"/>
      <c r="H421" s="84"/>
      <c r="I421" s="417"/>
      <c r="J421" s="84"/>
      <c r="K421" s="35"/>
      <c r="L421" s="35"/>
      <c r="M421" s="35"/>
      <c r="N421" s="35"/>
      <c r="O421" s="35"/>
      <c r="P421" s="35"/>
      <c r="Q421" s="35"/>
    </row>
    <row r="422" spans="2:17" s="82" customFormat="1">
      <c r="B422" s="35"/>
      <c r="C422" s="35"/>
      <c r="G422" s="83"/>
      <c r="H422" s="84"/>
      <c r="I422" s="417"/>
      <c r="J422" s="84"/>
      <c r="K422" s="35"/>
      <c r="L422" s="35"/>
      <c r="M422" s="35"/>
      <c r="N422" s="35"/>
      <c r="O422" s="35"/>
      <c r="P422" s="35"/>
      <c r="Q422" s="35"/>
    </row>
    <row r="423" spans="2:17" s="82" customFormat="1">
      <c r="B423" s="35"/>
      <c r="C423" s="35"/>
      <c r="G423" s="83"/>
      <c r="H423" s="84"/>
      <c r="I423" s="417"/>
      <c r="J423" s="84"/>
      <c r="K423" s="35"/>
      <c r="L423" s="35"/>
      <c r="M423" s="35"/>
      <c r="N423" s="35"/>
      <c r="O423" s="35"/>
      <c r="P423" s="35"/>
      <c r="Q423" s="35"/>
    </row>
    <row r="424" spans="2:17" s="82" customFormat="1">
      <c r="B424" s="35"/>
      <c r="C424" s="35"/>
      <c r="G424" s="83"/>
      <c r="H424" s="84"/>
      <c r="I424" s="417"/>
      <c r="J424" s="84"/>
      <c r="K424" s="35"/>
      <c r="L424" s="35"/>
      <c r="M424" s="35"/>
      <c r="N424" s="35"/>
      <c r="O424" s="35"/>
      <c r="P424" s="35"/>
      <c r="Q424" s="35"/>
    </row>
    <row r="425" spans="2:17" s="82" customFormat="1">
      <c r="B425" s="35"/>
      <c r="C425" s="35"/>
      <c r="G425" s="83"/>
      <c r="H425" s="84"/>
      <c r="I425" s="417"/>
      <c r="J425" s="84"/>
      <c r="K425" s="35"/>
      <c r="L425" s="35"/>
      <c r="M425" s="35"/>
      <c r="N425" s="35"/>
      <c r="O425" s="35"/>
      <c r="P425" s="35"/>
      <c r="Q425" s="35"/>
    </row>
    <row r="426" spans="2:17" s="82" customFormat="1">
      <c r="B426" s="35"/>
      <c r="C426" s="35"/>
      <c r="G426" s="83"/>
      <c r="H426" s="84"/>
      <c r="I426" s="417"/>
      <c r="J426" s="84"/>
      <c r="K426" s="35"/>
      <c r="L426" s="35"/>
      <c r="M426" s="35"/>
      <c r="N426" s="35"/>
      <c r="O426" s="35"/>
      <c r="P426" s="35"/>
      <c r="Q426" s="35"/>
    </row>
    <row r="427" spans="2:17" s="82" customFormat="1">
      <c r="B427" s="35"/>
      <c r="C427" s="35"/>
      <c r="G427" s="83"/>
      <c r="H427" s="84"/>
      <c r="I427" s="417"/>
      <c r="J427" s="84"/>
      <c r="K427" s="35"/>
      <c r="L427" s="35"/>
      <c r="M427" s="35"/>
      <c r="N427" s="35"/>
      <c r="O427" s="35"/>
      <c r="P427" s="35"/>
      <c r="Q427" s="35"/>
    </row>
    <row r="428" spans="2:17" s="82" customFormat="1">
      <c r="B428" s="35"/>
      <c r="C428" s="35"/>
      <c r="G428" s="83"/>
      <c r="H428" s="84"/>
      <c r="I428" s="417"/>
      <c r="J428" s="84"/>
      <c r="K428" s="35"/>
      <c r="L428" s="35"/>
      <c r="M428" s="35"/>
      <c r="N428" s="35"/>
      <c r="O428" s="35"/>
      <c r="P428" s="35"/>
      <c r="Q428" s="35"/>
    </row>
    <row r="429" spans="2:17" s="82" customFormat="1">
      <c r="B429" s="35"/>
      <c r="C429" s="35"/>
      <c r="G429" s="83"/>
      <c r="H429" s="84"/>
      <c r="I429" s="417"/>
      <c r="J429" s="84"/>
      <c r="K429" s="35"/>
      <c r="L429" s="35"/>
      <c r="M429" s="35"/>
      <c r="N429" s="35"/>
      <c r="O429" s="35"/>
      <c r="P429" s="35"/>
      <c r="Q429" s="35"/>
    </row>
    <row r="430" spans="2:17" s="82" customFormat="1">
      <c r="B430" s="35"/>
      <c r="C430" s="35"/>
      <c r="G430" s="83"/>
      <c r="H430" s="84"/>
      <c r="I430" s="417"/>
      <c r="J430" s="84"/>
      <c r="K430" s="35"/>
      <c r="L430" s="35"/>
      <c r="M430" s="35"/>
      <c r="N430" s="35"/>
      <c r="O430" s="35"/>
      <c r="P430" s="35"/>
      <c r="Q430" s="35"/>
    </row>
    <row r="431" spans="2:17" s="82" customFormat="1">
      <c r="B431" s="35"/>
      <c r="C431" s="35"/>
      <c r="G431" s="83"/>
      <c r="H431" s="84"/>
      <c r="I431" s="417"/>
      <c r="J431" s="84"/>
      <c r="K431" s="35"/>
      <c r="L431" s="35"/>
      <c r="M431" s="35"/>
      <c r="N431" s="35"/>
      <c r="O431" s="35"/>
      <c r="P431" s="35"/>
      <c r="Q431" s="35"/>
    </row>
    <row r="432" spans="2:17" s="82" customFormat="1">
      <c r="B432" s="35"/>
      <c r="C432" s="35"/>
      <c r="G432" s="83"/>
      <c r="H432" s="84"/>
      <c r="I432" s="417"/>
      <c r="J432" s="84"/>
      <c r="K432" s="35"/>
      <c r="L432" s="35"/>
      <c r="M432" s="35"/>
      <c r="N432" s="35"/>
      <c r="O432" s="35"/>
      <c r="P432" s="35"/>
      <c r="Q432" s="35"/>
    </row>
    <row r="433" spans="2:17" s="82" customFormat="1">
      <c r="B433" s="35"/>
      <c r="C433" s="35"/>
      <c r="G433" s="83"/>
      <c r="H433" s="84"/>
      <c r="I433" s="417"/>
      <c r="J433" s="84"/>
      <c r="K433" s="35"/>
      <c r="L433" s="35"/>
      <c r="M433" s="35"/>
      <c r="N433" s="35"/>
      <c r="O433" s="35"/>
      <c r="P433" s="35"/>
      <c r="Q433" s="35"/>
    </row>
    <row r="434" spans="2:17" s="82" customFormat="1">
      <c r="B434" s="35"/>
      <c r="C434" s="35"/>
      <c r="G434" s="83"/>
      <c r="H434" s="84"/>
      <c r="I434" s="417"/>
      <c r="J434" s="84"/>
      <c r="K434" s="35"/>
      <c r="L434" s="35"/>
      <c r="M434" s="35"/>
      <c r="N434" s="35"/>
      <c r="O434" s="35"/>
      <c r="P434" s="35"/>
      <c r="Q434" s="35"/>
    </row>
    <row r="435" spans="2:17" s="82" customFormat="1">
      <c r="B435" s="35"/>
      <c r="C435" s="35"/>
      <c r="G435" s="83"/>
      <c r="H435" s="84"/>
      <c r="I435" s="417"/>
      <c r="J435" s="84"/>
      <c r="K435" s="35"/>
      <c r="L435" s="35"/>
      <c r="M435" s="35"/>
      <c r="N435" s="35"/>
      <c r="O435" s="35"/>
      <c r="P435" s="35"/>
      <c r="Q435" s="35"/>
    </row>
    <row r="436" spans="2:17" s="82" customFormat="1">
      <c r="B436" s="35"/>
      <c r="C436" s="35"/>
      <c r="G436" s="83"/>
      <c r="H436" s="84"/>
      <c r="I436" s="417"/>
      <c r="J436" s="84"/>
      <c r="K436" s="35"/>
      <c r="L436" s="35"/>
      <c r="M436" s="35"/>
      <c r="N436" s="35"/>
      <c r="O436" s="35"/>
      <c r="P436" s="35"/>
      <c r="Q436" s="35"/>
    </row>
    <row r="437" spans="2:17" s="82" customFormat="1">
      <c r="B437" s="35"/>
      <c r="C437" s="35"/>
      <c r="G437" s="83"/>
      <c r="H437" s="84"/>
      <c r="I437" s="417"/>
      <c r="J437" s="84"/>
      <c r="K437" s="35"/>
      <c r="L437" s="35"/>
      <c r="M437" s="35"/>
      <c r="N437" s="35"/>
      <c r="O437" s="35"/>
      <c r="P437" s="35"/>
      <c r="Q437" s="35"/>
    </row>
    <row r="438" spans="2:17" s="82" customFormat="1">
      <c r="B438" s="35"/>
      <c r="C438" s="35"/>
      <c r="G438" s="83"/>
      <c r="H438" s="84"/>
      <c r="I438" s="417"/>
      <c r="J438" s="84"/>
      <c r="K438" s="35"/>
      <c r="L438" s="35"/>
      <c r="M438" s="35"/>
      <c r="N438" s="35"/>
      <c r="O438" s="35"/>
      <c r="P438" s="35"/>
      <c r="Q438" s="35"/>
    </row>
    <row r="439" spans="2:17" s="82" customFormat="1">
      <c r="B439" s="35"/>
      <c r="C439" s="35"/>
      <c r="G439" s="83"/>
      <c r="H439" s="84"/>
      <c r="I439" s="417"/>
      <c r="J439" s="84"/>
      <c r="K439" s="35"/>
      <c r="L439" s="35"/>
      <c r="M439" s="35"/>
      <c r="N439" s="35"/>
      <c r="O439" s="35"/>
      <c r="P439" s="35"/>
      <c r="Q439" s="35"/>
    </row>
    <row r="440" spans="2:17" s="82" customFormat="1">
      <c r="B440" s="35"/>
      <c r="C440" s="35"/>
      <c r="G440" s="83"/>
      <c r="H440" s="84"/>
      <c r="I440" s="417"/>
      <c r="J440" s="84"/>
      <c r="K440" s="35"/>
      <c r="L440" s="35"/>
      <c r="M440" s="35"/>
      <c r="N440" s="35"/>
      <c r="O440" s="35"/>
      <c r="P440" s="35"/>
      <c r="Q440" s="35"/>
    </row>
    <row r="441" spans="2:17" s="82" customFormat="1">
      <c r="B441" s="35"/>
      <c r="C441" s="35"/>
      <c r="G441" s="83"/>
      <c r="H441" s="84"/>
      <c r="I441" s="417"/>
      <c r="J441" s="84"/>
      <c r="K441" s="35"/>
      <c r="L441" s="35"/>
      <c r="M441" s="35"/>
      <c r="N441" s="35"/>
      <c r="O441" s="35"/>
      <c r="P441" s="35"/>
      <c r="Q441" s="35"/>
    </row>
    <row r="442" spans="2:17" s="82" customFormat="1">
      <c r="B442" s="35"/>
      <c r="C442" s="35"/>
      <c r="G442" s="83"/>
      <c r="H442" s="84"/>
      <c r="I442" s="417"/>
      <c r="J442" s="84"/>
      <c r="K442" s="35"/>
      <c r="L442" s="35"/>
      <c r="M442" s="35"/>
      <c r="N442" s="35"/>
      <c r="O442" s="35"/>
      <c r="P442" s="35"/>
      <c r="Q442" s="35"/>
    </row>
    <row r="443" spans="2:17" s="82" customFormat="1">
      <c r="B443" s="35"/>
      <c r="C443" s="35"/>
      <c r="G443" s="83"/>
      <c r="H443" s="84"/>
      <c r="I443" s="417"/>
      <c r="J443" s="84"/>
      <c r="K443" s="35"/>
      <c r="L443" s="35"/>
      <c r="M443" s="35"/>
      <c r="N443" s="35"/>
      <c r="O443" s="35"/>
      <c r="P443" s="35"/>
      <c r="Q443" s="35"/>
    </row>
    <row r="444" spans="2:17" s="82" customFormat="1">
      <c r="B444" s="35"/>
      <c r="C444" s="35"/>
      <c r="G444" s="83"/>
      <c r="H444" s="84"/>
      <c r="I444" s="417"/>
      <c r="J444" s="84"/>
      <c r="K444" s="35"/>
      <c r="L444" s="35"/>
      <c r="M444" s="35"/>
      <c r="N444" s="35"/>
      <c r="O444" s="35"/>
      <c r="P444" s="35"/>
      <c r="Q444" s="35"/>
    </row>
    <row r="445" spans="2:17" s="82" customFormat="1">
      <c r="B445" s="35"/>
      <c r="C445" s="35"/>
      <c r="G445" s="83"/>
      <c r="H445" s="84"/>
      <c r="I445" s="417"/>
      <c r="J445" s="84"/>
      <c r="K445" s="35"/>
      <c r="L445" s="35"/>
      <c r="M445" s="35"/>
      <c r="N445" s="35"/>
      <c r="O445" s="35"/>
      <c r="P445" s="35"/>
      <c r="Q445" s="35"/>
    </row>
    <row r="446" spans="2:17" s="82" customFormat="1">
      <c r="B446" s="35"/>
      <c r="C446" s="35"/>
      <c r="G446" s="83"/>
      <c r="H446" s="84"/>
      <c r="I446" s="417"/>
      <c r="J446" s="84"/>
      <c r="K446" s="35"/>
      <c r="L446" s="35"/>
      <c r="M446" s="35"/>
      <c r="N446" s="35"/>
      <c r="O446" s="35"/>
      <c r="P446" s="35"/>
      <c r="Q446" s="35"/>
    </row>
    <row r="447" spans="2:17" s="82" customFormat="1">
      <c r="B447" s="35"/>
      <c r="C447" s="35"/>
      <c r="G447" s="83"/>
      <c r="H447" s="84"/>
      <c r="I447" s="417"/>
      <c r="J447" s="84"/>
      <c r="K447" s="35"/>
      <c r="L447" s="35"/>
      <c r="M447" s="35"/>
      <c r="N447" s="35"/>
      <c r="O447" s="35"/>
      <c r="P447" s="35"/>
      <c r="Q447" s="35"/>
    </row>
    <row r="448" spans="2:17" s="82" customFormat="1">
      <c r="B448" s="35"/>
      <c r="C448" s="35"/>
      <c r="G448" s="83"/>
      <c r="H448" s="84"/>
      <c r="I448" s="417"/>
      <c r="J448" s="84"/>
      <c r="K448" s="35"/>
      <c r="L448" s="35"/>
      <c r="M448" s="35"/>
      <c r="N448" s="35"/>
      <c r="O448" s="35"/>
      <c r="P448" s="35"/>
      <c r="Q448" s="35"/>
    </row>
    <row r="449" spans="2:17" s="82" customFormat="1">
      <c r="B449" s="35"/>
      <c r="C449" s="35"/>
      <c r="G449" s="83"/>
      <c r="H449" s="84"/>
      <c r="I449" s="417"/>
      <c r="J449" s="84"/>
      <c r="K449" s="35"/>
      <c r="L449" s="35"/>
      <c r="M449" s="35"/>
      <c r="N449" s="35"/>
      <c r="O449" s="35"/>
      <c r="P449" s="35"/>
      <c r="Q449" s="35"/>
    </row>
    <row r="450" spans="2:17" s="82" customFormat="1">
      <c r="B450" s="35"/>
      <c r="C450" s="35"/>
      <c r="G450" s="83"/>
      <c r="H450" s="84"/>
      <c r="I450" s="417"/>
      <c r="J450" s="84"/>
      <c r="K450" s="35"/>
      <c r="L450" s="35"/>
      <c r="M450" s="35"/>
      <c r="N450" s="35"/>
      <c r="O450" s="35"/>
      <c r="P450" s="35"/>
      <c r="Q450" s="35"/>
    </row>
    <row r="451" spans="2:17" s="82" customFormat="1">
      <c r="B451" s="35"/>
      <c r="C451" s="35"/>
      <c r="G451" s="83"/>
      <c r="H451" s="84"/>
      <c r="I451" s="417"/>
      <c r="J451" s="84"/>
      <c r="K451" s="35"/>
      <c r="L451" s="35"/>
      <c r="M451" s="35"/>
      <c r="N451" s="35"/>
      <c r="O451" s="35"/>
      <c r="P451" s="35"/>
      <c r="Q451" s="35"/>
    </row>
    <row r="452" spans="2:17" s="82" customFormat="1">
      <c r="B452" s="35"/>
      <c r="C452" s="35"/>
      <c r="G452" s="83"/>
      <c r="H452" s="84"/>
      <c r="I452" s="417"/>
      <c r="J452" s="84"/>
      <c r="K452" s="35"/>
      <c r="L452" s="35"/>
      <c r="M452" s="35"/>
      <c r="N452" s="35"/>
      <c r="O452" s="35"/>
      <c r="P452" s="35"/>
      <c r="Q452" s="35"/>
    </row>
    <row r="453" spans="2:17" s="82" customFormat="1">
      <c r="B453" s="35"/>
      <c r="C453" s="35"/>
      <c r="G453" s="83"/>
      <c r="H453" s="84"/>
      <c r="I453" s="417"/>
      <c r="J453" s="84"/>
      <c r="K453" s="35"/>
      <c r="L453" s="35"/>
      <c r="M453" s="35"/>
      <c r="N453" s="35"/>
      <c r="O453" s="35"/>
      <c r="P453" s="35"/>
      <c r="Q453" s="35"/>
    </row>
    <row r="454" spans="2:17" s="82" customFormat="1">
      <c r="B454" s="35"/>
      <c r="C454" s="35"/>
      <c r="G454" s="83"/>
      <c r="H454" s="84"/>
      <c r="I454" s="417"/>
      <c r="J454" s="84"/>
      <c r="K454" s="35"/>
      <c r="L454" s="35"/>
      <c r="M454" s="35"/>
      <c r="N454" s="35"/>
      <c r="O454" s="35"/>
      <c r="P454" s="35"/>
      <c r="Q454" s="35"/>
    </row>
    <row r="455" spans="2:17" s="82" customFormat="1">
      <c r="B455" s="35"/>
      <c r="C455" s="35"/>
      <c r="G455" s="83"/>
      <c r="H455" s="84"/>
      <c r="I455" s="417"/>
      <c r="J455" s="84"/>
      <c r="K455" s="35"/>
      <c r="L455" s="35"/>
      <c r="M455" s="35"/>
      <c r="N455" s="35"/>
      <c r="O455" s="35"/>
      <c r="P455" s="35"/>
      <c r="Q455" s="35"/>
    </row>
    <row r="456" spans="2:17" s="82" customFormat="1">
      <c r="B456" s="35"/>
      <c r="C456" s="35"/>
      <c r="G456" s="83"/>
      <c r="H456" s="84"/>
      <c r="I456" s="417"/>
      <c r="J456" s="84"/>
      <c r="K456" s="35"/>
      <c r="L456" s="35"/>
      <c r="M456" s="35"/>
      <c r="N456" s="35"/>
      <c r="O456" s="35"/>
      <c r="P456" s="35"/>
      <c r="Q456" s="35"/>
    </row>
    <row r="457" spans="2:17" s="82" customFormat="1">
      <c r="B457" s="35"/>
      <c r="C457" s="35"/>
      <c r="G457" s="83"/>
      <c r="H457" s="84"/>
      <c r="I457" s="417"/>
      <c r="J457" s="84"/>
      <c r="K457" s="35"/>
      <c r="L457" s="35"/>
      <c r="M457" s="35"/>
      <c r="N457" s="35"/>
      <c r="O457" s="35"/>
      <c r="P457" s="35"/>
      <c r="Q457" s="35"/>
    </row>
    <row r="458" spans="2:17" s="82" customFormat="1">
      <c r="B458" s="35"/>
      <c r="C458" s="35"/>
      <c r="G458" s="83"/>
      <c r="H458" s="84"/>
      <c r="I458" s="417"/>
      <c r="J458" s="84"/>
      <c r="K458" s="35"/>
      <c r="L458" s="35"/>
      <c r="M458" s="35"/>
      <c r="N458" s="35"/>
      <c r="O458" s="35"/>
      <c r="P458" s="35"/>
      <c r="Q458" s="35"/>
    </row>
    <row r="459" spans="2:17" s="82" customFormat="1">
      <c r="B459" s="35"/>
      <c r="C459" s="35"/>
      <c r="G459" s="83"/>
      <c r="H459" s="84"/>
      <c r="I459" s="417"/>
      <c r="J459" s="84"/>
      <c r="K459" s="35"/>
      <c r="L459" s="35"/>
      <c r="M459" s="35"/>
      <c r="N459" s="35"/>
      <c r="O459" s="35"/>
      <c r="P459" s="35"/>
      <c r="Q459" s="35"/>
    </row>
    <row r="460" spans="2:17" s="82" customFormat="1">
      <c r="B460" s="35"/>
      <c r="C460" s="35"/>
      <c r="G460" s="83"/>
      <c r="H460" s="84"/>
      <c r="I460" s="417"/>
      <c r="J460" s="84"/>
      <c r="K460" s="35"/>
      <c r="L460" s="35"/>
      <c r="M460" s="35"/>
      <c r="N460" s="35"/>
      <c r="O460" s="35"/>
      <c r="P460" s="35"/>
      <c r="Q460" s="35"/>
    </row>
    <row r="461" spans="2:17" s="82" customFormat="1">
      <c r="B461" s="35"/>
      <c r="C461" s="35"/>
      <c r="G461" s="83"/>
      <c r="H461" s="84"/>
      <c r="I461" s="417"/>
      <c r="J461" s="84"/>
      <c r="K461" s="35"/>
      <c r="L461" s="35"/>
      <c r="M461" s="35"/>
      <c r="N461" s="35"/>
      <c r="O461" s="35"/>
      <c r="P461" s="35"/>
      <c r="Q461" s="35"/>
    </row>
    <row r="462" spans="2:17" s="82" customFormat="1">
      <c r="B462" s="35"/>
      <c r="C462" s="35"/>
      <c r="G462" s="83"/>
      <c r="H462" s="84"/>
      <c r="I462" s="417"/>
      <c r="J462" s="84"/>
      <c r="K462" s="35"/>
      <c r="L462" s="35"/>
      <c r="M462" s="35"/>
      <c r="N462" s="35"/>
      <c r="O462" s="35"/>
      <c r="P462" s="35"/>
      <c r="Q462" s="35"/>
    </row>
    <row r="463" spans="2:17" s="82" customFormat="1">
      <c r="B463" s="35"/>
      <c r="C463" s="35"/>
      <c r="G463" s="83"/>
      <c r="H463" s="84"/>
      <c r="I463" s="417"/>
      <c r="J463" s="84"/>
      <c r="K463" s="35"/>
      <c r="L463" s="35"/>
      <c r="M463" s="35"/>
      <c r="N463" s="35"/>
      <c r="O463" s="35"/>
      <c r="P463" s="35"/>
      <c r="Q463" s="35"/>
    </row>
    <row r="464" spans="2:17" s="82" customFormat="1">
      <c r="B464" s="35"/>
      <c r="C464" s="35"/>
      <c r="G464" s="83"/>
      <c r="H464" s="84"/>
      <c r="I464" s="417"/>
      <c r="J464" s="84"/>
      <c r="K464" s="35"/>
      <c r="L464" s="35"/>
      <c r="M464" s="35"/>
      <c r="N464" s="35"/>
      <c r="O464" s="35"/>
      <c r="P464" s="35"/>
      <c r="Q464" s="35"/>
    </row>
    <row r="465" spans="2:17" s="82" customFormat="1">
      <c r="B465" s="35"/>
      <c r="C465" s="35"/>
      <c r="G465" s="83"/>
      <c r="H465" s="84"/>
      <c r="I465" s="417"/>
      <c r="J465" s="84"/>
      <c r="K465" s="35"/>
      <c r="L465" s="35"/>
      <c r="M465" s="35"/>
      <c r="N465" s="35"/>
      <c r="O465" s="35"/>
      <c r="P465" s="35"/>
      <c r="Q465" s="35"/>
    </row>
    <row r="466" spans="2:17" s="82" customFormat="1">
      <c r="B466" s="35"/>
      <c r="C466" s="35"/>
      <c r="G466" s="83"/>
      <c r="H466" s="84"/>
      <c r="I466" s="417"/>
      <c r="J466" s="84"/>
      <c r="K466" s="35"/>
      <c r="L466" s="35"/>
      <c r="M466" s="35"/>
      <c r="N466" s="35"/>
      <c r="O466" s="35"/>
      <c r="P466" s="35"/>
      <c r="Q466" s="35"/>
    </row>
    <row r="467" spans="2:17" s="82" customFormat="1">
      <c r="B467" s="35"/>
      <c r="C467" s="35"/>
      <c r="G467" s="83"/>
      <c r="H467" s="84"/>
      <c r="I467" s="417"/>
      <c r="J467" s="84"/>
      <c r="K467" s="35"/>
      <c r="L467" s="35"/>
      <c r="M467" s="35"/>
      <c r="N467" s="35"/>
      <c r="O467" s="35"/>
      <c r="P467" s="35"/>
      <c r="Q467" s="35"/>
    </row>
    <row r="468" spans="2:17" s="82" customFormat="1">
      <c r="B468" s="35"/>
      <c r="C468" s="35"/>
      <c r="G468" s="83"/>
      <c r="H468" s="84"/>
      <c r="I468" s="417"/>
      <c r="J468" s="84"/>
      <c r="K468" s="35"/>
      <c r="L468" s="35"/>
      <c r="M468" s="35"/>
      <c r="N468" s="35"/>
      <c r="O468" s="35"/>
      <c r="P468" s="35"/>
      <c r="Q468" s="35"/>
    </row>
    <row r="469" spans="2:17" s="82" customFormat="1">
      <c r="B469" s="35"/>
      <c r="C469" s="35"/>
      <c r="G469" s="83"/>
      <c r="H469" s="84"/>
      <c r="I469" s="417"/>
      <c r="J469" s="84"/>
      <c r="K469" s="35"/>
      <c r="L469" s="35"/>
      <c r="M469" s="35"/>
      <c r="N469" s="35"/>
      <c r="O469" s="35"/>
      <c r="P469" s="35"/>
      <c r="Q469" s="35"/>
    </row>
    <row r="470" spans="2:17" s="82" customFormat="1">
      <c r="B470" s="35"/>
      <c r="C470" s="35"/>
      <c r="G470" s="83"/>
      <c r="H470" s="84"/>
      <c r="I470" s="417"/>
      <c r="J470" s="84"/>
      <c r="K470" s="35"/>
      <c r="L470" s="35"/>
      <c r="M470" s="35"/>
      <c r="N470" s="35"/>
      <c r="O470" s="35"/>
      <c r="P470" s="35"/>
      <c r="Q470" s="35"/>
    </row>
    <row r="471" spans="2:17" s="82" customFormat="1">
      <c r="B471" s="35"/>
      <c r="C471" s="35"/>
      <c r="G471" s="83"/>
      <c r="H471" s="84"/>
      <c r="I471" s="417"/>
      <c r="J471" s="84"/>
      <c r="K471" s="35"/>
      <c r="L471" s="35"/>
      <c r="M471" s="35"/>
      <c r="N471" s="35"/>
      <c r="O471" s="35"/>
      <c r="P471" s="35"/>
      <c r="Q471" s="35"/>
    </row>
    <row r="472" spans="2:17" s="82" customFormat="1">
      <c r="B472" s="35"/>
      <c r="C472" s="35"/>
      <c r="G472" s="83"/>
      <c r="H472" s="84"/>
      <c r="I472" s="417"/>
      <c r="J472" s="84"/>
      <c r="K472" s="35"/>
      <c r="L472" s="35"/>
      <c r="M472" s="35"/>
      <c r="N472" s="35"/>
      <c r="O472" s="35"/>
      <c r="P472" s="35"/>
      <c r="Q472" s="35"/>
    </row>
    <row r="473" spans="2:17" s="82" customFormat="1">
      <c r="B473" s="35"/>
      <c r="C473" s="35"/>
      <c r="G473" s="83"/>
      <c r="H473" s="84"/>
      <c r="I473" s="417"/>
      <c r="J473" s="84"/>
      <c r="K473" s="35"/>
      <c r="L473" s="35"/>
      <c r="M473" s="35"/>
      <c r="N473" s="35"/>
      <c r="O473" s="35"/>
      <c r="P473" s="35"/>
      <c r="Q473" s="35"/>
    </row>
    <row r="474" spans="2:17" s="82" customFormat="1">
      <c r="B474" s="35"/>
      <c r="C474" s="35"/>
      <c r="G474" s="83"/>
      <c r="H474" s="84"/>
      <c r="I474" s="417"/>
      <c r="J474" s="84"/>
      <c r="K474" s="35"/>
      <c r="L474" s="35"/>
      <c r="M474" s="35"/>
      <c r="N474" s="35"/>
      <c r="O474" s="35"/>
      <c r="P474" s="35"/>
      <c r="Q474" s="35"/>
    </row>
    <row r="475" spans="2:17" s="82" customFormat="1">
      <c r="B475" s="35"/>
      <c r="C475" s="35"/>
      <c r="G475" s="83"/>
      <c r="H475" s="84"/>
      <c r="I475" s="417"/>
      <c r="J475" s="84"/>
      <c r="K475" s="35"/>
      <c r="L475" s="35"/>
      <c r="M475" s="35"/>
      <c r="N475" s="35"/>
      <c r="O475" s="35"/>
      <c r="P475" s="35"/>
      <c r="Q475" s="35"/>
    </row>
    <row r="476" spans="2:17" s="82" customFormat="1">
      <c r="B476" s="35"/>
      <c r="C476" s="35"/>
      <c r="G476" s="83"/>
      <c r="H476" s="84"/>
      <c r="I476" s="417"/>
      <c r="J476" s="84"/>
      <c r="K476" s="35"/>
      <c r="L476" s="35"/>
      <c r="M476" s="35"/>
      <c r="N476" s="35"/>
      <c r="O476" s="35"/>
      <c r="P476" s="35"/>
      <c r="Q476" s="35"/>
    </row>
    <row r="477" spans="2:17" s="82" customFormat="1">
      <c r="B477" s="35"/>
      <c r="C477" s="35"/>
      <c r="G477" s="83"/>
      <c r="H477" s="84"/>
      <c r="I477" s="417"/>
      <c r="J477" s="84"/>
      <c r="K477" s="35"/>
      <c r="L477" s="35"/>
      <c r="M477" s="35"/>
      <c r="N477" s="35"/>
      <c r="O477" s="35"/>
      <c r="P477" s="35"/>
      <c r="Q477" s="35"/>
    </row>
    <row r="478" spans="2:17" s="82" customFormat="1">
      <c r="B478" s="35"/>
      <c r="C478" s="35"/>
      <c r="G478" s="83"/>
      <c r="H478" s="84"/>
      <c r="I478" s="417"/>
      <c r="J478" s="84"/>
      <c r="K478" s="35"/>
      <c r="L478" s="35"/>
      <c r="M478" s="35"/>
      <c r="N478" s="35"/>
      <c r="O478" s="35"/>
      <c r="P478" s="35"/>
      <c r="Q478" s="35"/>
    </row>
    <row r="479" spans="2:17" s="82" customFormat="1">
      <c r="B479" s="35"/>
      <c r="C479" s="35"/>
      <c r="G479" s="83"/>
      <c r="H479" s="84"/>
      <c r="I479" s="417"/>
      <c r="J479" s="84"/>
      <c r="K479" s="35"/>
      <c r="L479" s="35"/>
      <c r="M479" s="35"/>
      <c r="N479" s="35"/>
      <c r="O479" s="35"/>
      <c r="P479" s="35"/>
      <c r="Q479" s="35"/>
    </row>
    <row r="480" spans="2:17" s="82" customFormat="1">
      <c r="B480" s="35"/>
      <c r="C480" s="35"/>
      <c r="G480" s="83"/>
      <c r="H480" s="84"/>
      <c r="I480" s="417"/>
      <c r="J480" s="84"/>
      <c r="K480" s="35"/>
      <c r="L480" s="35"/>
      <c r="M480" s="35"/>
      <c r="N480" s="35"/>
      <c r="O480" s="35"/>
      <c r="P480" s="35"/>
      <c r="Q480" s="35"/>
    </row>
    <row r="481" spans="2:17" s="82" customFormat="1">
      <c r="B481" s="35"/>
      <c r="C481" s="35"/>
      <c r="G481" s="83"/>
      <c r="H481" s="84"/>
      <c r="I481" s="417"/>
      <c r="J481" s="84"/>
      <c r="K481" s="35"/>
      <c r="L481" s="35"/>
      <c r="M481" s="35"/>
      <c r="N481" s="35"/>
      <c r="O481" s="35"/>
      <c r="P481" s="35"/>
      <c r="Q481" s="35"/>
    </row>
    <row r="482" spans="2:17" s="82" customFormat="1">
      <c r="B482" s="35"/>
      <c r="C482" s="35"/>
      <c r="G482" s="83"/>
      <c r="H482" s="84"/>
      <c r="I482" s="417"/>
      <c r="J482" s="84"/>
      <c r="K482" s="35"/>
      <c r="L482" s="35"/>
      <c r="M482" s="35"/>
      <c r="N482" s="35"/>
      <c r="O482" s="35"/>
      <c r="P482" s="35"/>
      <c r="Q482" s="35"/>
    </row>
    <row r="483" spans="2:17" s="82" customFormat="1">
      <c r="B483" s="35"/>
      <c r="C483" s="35"/>
      <c r="G483" s="83"/>
      <c r="H483" s="84"/>
      <c r="I483" s="417"/>
      <c r="J483" s="84"/>
      <c r="K483" s="35"/>
      <c r="L483" s="35"/>
      <c r="M483" s="35"/>
      <c r="N483" s="35"/>
      <c r="O483" s="35"/>
      <c r="P483" s="35"/>
      <c r="Q483" s="35"/>
    </row>
    <row r="484" spans="2:17" s="82" customFormat="1">
      <c r="B484" s="35"/>
      <c r="C484" s="35"/>
      <c r="G484" s="83"/>
      <c r="H484" s="84"/>
      <c r="I484" s="417"/>
      <c r="J484" s="84"/>
      <c r="K484" s="35"/>
      <c r="L484" s="35"/>
      <c r="M484" s="35"/>
      <c r="N484" s="35"/>
      <c r="O484" s="35"/>
      <c r="P484" s="35"/>
      <c r="Q484" s="35"/>
    </row>
    <row r="485" spans="2:17" s="82" customFormat="1">
      <c r="B485" s="35"/>
      <c r="C485" s="35"/>
      <c r="G485" s="83"/>
      <c r="H485" s="84"/>
      <c r="I485" s="417"/>
      <c r="J485" s="84"/>
      <c r="K485" s="35"/>
      <c r="L485" s="35"/>
      <c r="M485" s="35"/>
      <c r="N485" s="35"/>
      <c r="O485" s="35"/>
      <c r="P485" s="35"/>
      <c r="Q485" s="35"/>
    </row>
    <row r="486" spans="2:17" s="82" customFormat="1">
      <c r="B486" s="35"/>
      <c r="C486" s="35"/>
      <c r="G486" s="83"/>
      <c r="H486" s="84"/>
      <c r="I486" s="417"/>
      <c r="J486" s="84"/>
      <c r="K486" s="35"/>
      <c r="L486" s="35"/>
      <c r="M486" s="35"/>
      <c r="N486" s="35"/>
      <c r="O486" s="35"/>
      <c r="P486" s="35"/>
      <c r="Q486" s="35"/>
    </row>
    <row r="487" spans="2:17" s="82" customFormat="1">
      <c r="B487" s="35"/>
      <c r="C487" s="35"/>
      <c r="G487" s="83"/>
      <c r="H487" s="84"/>
      <c r="I487" s="417"/>
      <c r="J487" s="84"/>
      <c r="K487" s="35"/>
      <c r="L487" s="35"/>
      <c r="M487" s="35"/>
      <c r="N487" s="35"/>
      <c r="O487" s="35"/>
      <c r="P487" s="35"/>
      <c r="Q487" s="35"/>
    </row>
    <row r="488" spans="2:17" s="82" customFormat="1">
      <c r="B488" s="35"/>
      <c r="C488" s="35"/>
      <c r="G488" s="83"/>
      <c r="H488" s="84"/>
      <c r="I488" s="417"/>
      <c r="J488" s="84"/>
      <c r="K488" s="35"/>
      <c r="L488" s="35"/>
      <c r="M488" s="35"/>
      <c r="N488" s="35"/>
      <c r="O488" s="35"/>
      <c r="P488" s="35"/>
      <c r="Q488" s="35"/>
    </row>
    <row r="489" spans="2:17" s="82" customFormat="1">
      <c r="B489" s="35"/>
      <c r="C489" s="35"/>
      <c r="G489" s="83"/>
      <c r="H489" s="84"/>
      <c r="I489" s="417"/>
      <c r="J489" s="84"/>
      <c r="K489" s="35"/>
      <c r="L489" s="35"/>
      <c r="M489" s="35"/>
      <c r="N489" s="35"/>
      <c r="O489" s="35"/>
      <c r="P489" s="35"/>
      <c r="Q489" s="35"/>
    </row>
    <row r="490" spans="2:17" s="82" customFormat="1">
      <c r="B490" s="35"/>
      <c r="C490" s="35"/>
      <c r="G490" s="83"/>
      <c r="H490" s="84"/>
      <c r="I490" s="417"/>
      <c r="J490" s="84"/>
      <c r="K490" s="35"/>
      <c r="L490" s="35"/>
      <c r="M490" s="35"/>
      <c r="N490" s="35"/>
      <c r="O490" s="35"/>
      <c r="P490" s="35"/>
      <c r="Q490" s="35"/>
    </row>
    <row r="491" spans="2:17" s="82" customFormat="1">
      <c r="B491" s="35"/>
      <c r="C491" s="35"/>
      <c r="G491" s="83"/>
      <c r="H491" s="84"/>
      <c r="I491" s="417"/>
      <c r="J491" s="84"/>
      <c r="K491" s="35"/>
      <c r="L491" s="35"/>
      <c r="M491" s="35"/>
      <c r="N491" s="35"/>
      <c r="O491" s="35"/>
      <c r="P491" s="35"/>
      <c r="Q491" s="35"/>
    </row>
    <row r="492" spans="2:17" s="82" customFormat="1">
      <c r="B492" s="35"/>
      <c r="C492" s="35"/>
      <c r="G492" s="83"/>
      <c r="H492" s="84"/>
      <c r="I492" s="417"/>
      <c r="J492" s="84"/>
      <c r="K492" s="35"/>
      <c r="L492" s="35"/>
      <c r="M492" s="35"/>
      <c r="N492" s="35"/>
      <c r="O492" s="35"/>
      <c r="P492" s="35"/>
      <c r="Q492" s="35"/>
    </row>
    <row r="493" spans="2:17" s="82" customFormat="1">
      <c r="B493" s="35"/>
      <c r="C493" s="35"/>
      <c r="G493" s="83"/>
      <c r="H493" s="84"/>
      <c r="I493" s="417"/>
      <c r="J493" s="84"/>
      <c r="K493" s="35"/>
      <c r="L493" s="35"/>
      <c r="M493" s="35"/>
      <c r="N493" s="35"/>
      <c r="O493" s="35"/>
      <c r="P493" s="35"/>
      <c r="Q493" s="35"/>
    </row>
    <row r="494" spans="2:17" s="82" customFormat="1">
      <c r="B494" s="35"/>
      <c r="C494" s="35"/>
      <c r="G494" s="83"/>
      <c r="H494" s="84"/>
      <c r="I494" s="417"/>
      <c r="J494" s="84"/>
      <c r="K494" s="35"/>
      <c r="L494" s="35"/>
      <c r="M494" s="35"/>
      <c r="N494" s="35"/>
      <c r="O494" s="35"/>
      <c r="P494" s="35"/>
      <c r="Q494" s="35"/>
    </row>
    <row r="495" spans="2:17" s="82" customFormat="1">
      <c r="B495" s="35"/>
      <c r="C495" s="35"/>
      <c r="G495" s="83"/>
      <c r="H495" s="84"/>
      <c r="I495" s="417"/>
      <c r="J495" s="84"/>
      <c r="K495" s="35"/>
      <c r="L495" s="35"/>
      <c r="M495" s="35"/>
      <c r="N495" s="35"/>
      <c r="O495" s="35"/>
      <c r="P495" s="35"/>
      <c r="Q495" s="35"/>
    </row>
    <row r="496" spans="2:17" s="82" customFormat="1">
      <c r="B496" s="35"/>
      <c r="C496" s="35"/>
      <c r="G496" s="83"/>
      <c r="H496" s="84"/>
      <c r="I496" s="417"/>
      <c r="J496" s="84"/>
      <c r="K496" s="35"/>
      <c r="L496" s="35"/>
      <c r="M496" s="35"/>
      <c r="N496" s="35"/>
      <c r="O496" s="35"/>
      <c r="P496" s="35"/>
      <c r="Q496" s="35"/>
    </row>
    <row r="497" spans="2:17" s="82" customFormat="1">
      <c r="B497" s="35"/>
      <c r="C497" s="35"/>
      <c r="G497" s="83"/>
      <c r="H497" s="84"/>
      <c r="I497" s="417"/>
      <c r="J497" s="84"/>
      <c r="K497" s="35"/>
      <c r="L497" s="35"/>
      <c r="M497" s="35"/>
      <c r="N497" s="35"/>
      <c r="O497" s="35"/>
      <c r="P497" s="35"/>
      <c r="Q497" s="35"/>
    </row>
    <row r="498" spans="2:17" s="82" customFormat="1">
      <c r="B498" s="35"/>
      <c r="C498" s="35"/>
      <c r="G498" s="83"/>
      <c r="H498" s="84"/>
      <c r="I498" s="417"/>
      <c r="J498" s="84"/>
      <c r="K498" s="35"/>
      <c r="L498" s="35"/>
      <c r="M498" s="35"/>
      <c r="N498" s="35"/>
      <c r="O498" s="35"/>
      <c r="P498" s="35"/>
      <c r="Q498" s="35"/>
    </row>
    <row r="499" spans="2:17" s="82" customFormat="1">
      <c r="B499" s="35"/>
      <c r="C499" s="35"/>
      <c r="G499" s="83"/>
      <c r="H499" s="84"/>
      <c r="I499" s="417"/>
      <c r="J499" s="84"/>
      <c r="K499" s="35"/>
      <c r="L499" s="35"/>
      <c r="M499" s="35"/>
      <c r="N499" s="35"/>
      <c r="O499" s="35"/>
      <c r="P499" s="35"/>
      <c r="Q499" s="35"/>
    </row>
    <row r="500" spans="2:17" s="82" customFormat="1">
      <c r="B500" s="35"/>
      <c r="C500" s="35"/>
      <c r="G500" s="83"/>
      <c r="H500" s="84"/>
      <c r="I500" s="417"/>
      <c r="J500" s="84"/>
      <c r="K500" s="35"/>
      <c r="L500" s="35"/>
      <c r="M500" s="35"/>
      <c r="N500" s="35"/>
      <c r="O500" s="35"/>
      <c r="P500" s="35"/>
      <c r="Q500" s="35"/>
    </row>
    <row r="501" spans="2:17" s="82" customFormat="1">
      <c r="B501" s="35"/>
      <c r="C501" s="35"/>
      <c r="G501" s="83"/>
      <c r="H501" s="84"/>
      <c r="I501" s="417"/>
      <c r="J501" s="84"/>
      <c r="K501" s="35"/>
      <c r="L501" s="35"/>
      <c r="M501" s="35"/>
      <c r="N501" s="35"/>
      <c r="O501" s="35"/>
      <c r="P501" s="35"/>
      <c r="Q501" s="35"/>
    </row>
    <row r="502" spans="2:17" s="82" customFormat="1">
      <c r="B502" s="35"/>
      <c r="C502" s="35"/>
      <c r="G502" s="83"/>
      <c r="H502" s="84"/>
      <c r="I502" s="417"/>
      <c r="J502" s="84"/>
      <c r="K502" s="35"/>
      <c r="L502" s="35"/>
      <c r="M502" s="35"/>
      <c r="N502" s="35"/>
      <c r="O502" s="35"/>
      <c r="P502" s="35"/>
      <c r="Q502" s="35"/>
    </row>
    <row r="503" spans="2:17" s="82" customFormat="1">
      <c r="B503" s="35"/>
      <c r="C503" s="35"/>
      <c r="G503" s="83"/>
      <c r="H503" s="84"/>
      <c r="I503" s="417"/>
      <c r="J503" s="84"/>
      <c r="K503" s="35"/>
      <c r="L503" s="35"/>
      <c r="M503" s="35"/>
      <c r="N503" s="35"/>
      <c r="O503" s="35"/>
      <c r="P503" s="35"/>
      <c r="Q503" s="35"/>
    </row>
    <row r="504" spans="2:17" s="82" customFormat="1">
      <c r="B504" s="35"/>
      <c r="C504" s="35"/>
      <c r="G504" s="83"/>
      <c r="H504" s="84"/>
      <c r="I504" s="417"/>
      <c r="J504" s="84"/>
      <c r="K504" s="35"/>
      <c r="L504" s="35"/>
      <c r="M504" s="35"/>
      <c r="N504" s="35"/>
      <c r="O504" s="35"/>
      <c r="P504" s="35"/>
      <c r="Q504" s="35"/>
    </row>
    <row r="505" spans="2:17" s="82" customFormat="1">
      <c r="B505" s="35"/>
      <c r="C505" s="35"/>
      <c r="G505" s="83"/>
      <c r="H505" s="84"/>
      <c r="I505" s="417"/>
      <c r="J505" s="84"/>
      <c r="K505" s="35"/>
      <c r="L505" s="35"/>
      <c r="M505" s="35"/>
      <c r="N505" s="35"/>
      <c r="O505" s="35"/>
      <c r="P505" s="35"/>
      <c r="Q505" s="35"/>
    </row>
    <row r="506" spans="2:17" s="82" customFormat="1">
      <c r="B506" s="35"/>
      <c r="C506" s="35"/>
      <c r="G506" s="83"/>
      <c r="H506" s="84"/>
      <c r="I506" s="417"/>
      <c r="J506" s="84"/>
      <c r="K506" s="35"/>
      <c r="L506" s="35"/>
      <c r="M506" s="35"/>
      <c r="N506" s="35"/>
      <c r="O506" s="35"/>
      <c r="P506" s="35"/>
      <c r="Q506" s="35"/>
    </row>
    <row r="507" spans="2:17" s="82" customFormat="1">
      <c r="B507" s="35"/>
      <c r="C507" s="35"/>
      <c r="G507" s="83"/>
      <c r="H507" s="84"/>
      <c r="I507" s="417"/>
      <c r="J507" s="84"/>
      <c r="K507" s="35"/>
      <c r="L507" s="35"/>
      <c r="M507" s="35"/>
      <c r="N507" s="35"/>
      <c r="O507" s="35"/>
      <c r="P507" s="35"/>
      <c r="Q507" s="35"/>
    </row>
    <row r="508" spans="2:17" s="82" customFormat="1">
      <c r="B508" s="35"/>
      <c r="C508" s="35"/>
      <c r="G508" s="83"/>
      <c r="H508" s="84"/>
      <c r="I508" s="417"/>
      <c r="J508" s="84"/>
      <c r="K508" s="35"/>
      <c r="L508" s="35"/>
      <c r="M508" s="35"/>
      <c r="N508" s="35"/>
      <c r="O508" s="35"/>
      <c r="P508" s="35"/>
      <c r="Q508" s="35"/>
    </row>
    <row r="509" spans="2:17" s="82" customFormat="1">
      <c r="B509" s="35"/>
      <c r="C509" s="35"/>
      <c r="G509" s="83"/>
      <c r="H509" s="84"/>
      <c r="I509" s="417"/>
      <c r="J509" s="84"/>
      <c r="K509" s="35"/>
      <c r="L509" s="35"/>
      <c r="M509" s="35"/>
      <c r="N509" s="35"/>
      <c r="O509" s="35"/>
      <c r="P509" s="35"/>
      <c r="Q509" s="35"/>
    </row>
    <row r="510" spans="2:17" s="82" customFormat="1">
      <c r="B510" s="35"/>
      <c r="C510" s="35"/>
      <c r="G510" s="83"/>
      <c r="H510" s="84"/>
      <c r="I510" s="417"/>
      <c r="J510" s="84"/>
      <c r="K510" s="35"/>
      <c r="L510" s="35"/>
      <c r="M510" s="35"/>
      <c r="N510" s="35"/>
      <c r="O510" s="35"/>
      <c r="P510" s="35"/>
      <c r="Q510" s="35"/>
    </row>
    <row r="511" spans="2:17" s="82" customFormat="1">
      <c r="B511" s="35"/>
      <c r="C511" s="35"/>
      <c r="G511" s="83"/>
      <c r="H511" s="84"/>
      <c r="I511" s="417"/>
      <c r="J511" s="84"/>
      <c r="K511" s="35"/>
      <c r="L511" s="35"/>
      <c r="M511" s="35"/>
      <c r="N511" s="35"/>
      <c r="O511" s="35"/>
      <c r="P511" s="35"/>
      <c r="Q511" s="35"/>
    </row>
    <row r="512" spans="2:17" s="82" customFormat="1">
      <c r="B512" s="35"/>
      <c r="C512" s="35"/>
      <c r="G512" s="83"/>
      <c r="H512" s="84"/>
      <c r="I512" s="417"/>
      <c r="J512" s="84"/>
      <c r="K512" s="35"/>
      <c r="L512" s="35"/>
      <c r="M512" s="35"/>
      <c r="N512" s="35"/>
      <c r="O512" s="35"/>
      <c r="P512" s="35"/>
      <c r="Q512" s="35"/>
    </row>
    <row r="513" spans="2:17" s="82" customFormat="1">
      <c r="B513" s="35"/>
      <c r="C513" s="35"/>
      <c r="G513" s="83"/>
      <c r="H513" s="84"/>
      <c r="I513" s="417"/>
      <c r="J513" s="84"/>
      <c r="K513" s="35"/>
      <c r="L513" s="35"/>
      <c r="M513" s="35"/>
      <c r="N513" s="35"/>
      <c r="O513" s="35"/>
      <c r="P513" s="35"/>
      <c r="Q513" s="35"/>
    </row>
    <row r="514" spans="2:17" s="82" customFormat="1">
      <c r="B514" s="35"/>
      <c r="C514" s="35"/>
      <c r="G514" s="83"/>
      <c r="H514" s="84"/>
      <c r="I514" s="417"/>
      <c r="J514" s="84"/>
      <c r="K514" s="35"/>
      <c r="L514" s="35"/>
      <c r="M514" s="35"/>
      <c r="N514" s="35"/>
      <c r="O514" s="35"/>
      <c r="P514" s="35"/>
      <c r="Q514" s="35"/>
    </row>
    <row r="515" spans="2:17" s="82" customFormat="1">
      <c r="B515" s="35"/>
      <c r="C515" s="35"/>
      <c r="G515" s="83"/>
      <c r="H515" s="84"/>
      <c r="I515" s="417"/>
      <c r="J515" s="84"/>
      <c r="K515" s="35"/>
      <c r="L515" s="35"/>
      <c r="M515" s="35"/>
      <c r="N515" s="35"/>
      <c r="O515" s="35"/>
      <c r="P515" s="35"/>
      <c r="Q515" s="35"/>
    </row>
    <row r="516" spans="2:17" s="82" customFormat="1">
      <c r="B516" s="35"/>
      <c r="C516" s="35"/>
      <c r="G516" s="83"/>
      <c r="H516" s="84"/>
      <c r="I516" s="417"/>
      <c r="J516" s="84"/>
      <c r="K516" s="35"/>
      <c r="L516" s="35"/>
      <c r="M516" s="35"/>
      <c r="N516" s="35"/>
      <c r="O516" s="35"/>
      <c r="P516" s="35"/>
      <c r="Q516" s="35"/>
    </row>
    <row r="517" spans="2:17" s="82" customFormat="1">
      <c r="B517" s="35"/>
      <c r="C517" s="35"/>
      <c r="G517" s="83"/>
      <c r="H517" s="84"/>
      <c r="I517" s="417"/>
      <c r="J517" s="84"/>
      <c r="K517" s="35"/>
      <c r="L517" s="35"/>
      <c r="M517" s="35"/>
      <c r="N517" s="35"/>
      <c r="O517" s="35"/>
      <c r="P517" s="35"/>
      <c r="Q517" s="35"/>
    </row>
    <row r="518" spans="2:17" s="82" customFormat="1">
      <c r="B518" s="35"/>
      <c r="C518" s="35"/>
      <c r="G518" s="83"/>
      <c r="H518" s="84"/>
      <c r="I518" s="417"/>
      <c r="J518" s="84"/>
      <c r="K518" s="35"/>
      <c r="L518" s="35"/>
      <c r="M518" s="35"/>
      <c r="N518" s="35"/>
      <c r="O518" s="35"/>
      <c r="P518" s="35"/>
      <c r="Q518" s="35"/>
    </row>
    <row r="519" spans="2:17" s="82" customFormat="1">
      <c r="B519" s="35"/>
      <c r="C519" s="35"/>
      <c r="G519" s="83"/>
      <c r="H519" s="84"/>
      <c r="I519" s="417"/>
      <c r="J519" s="84"/>
      <c r="K519" s="35"/>
      <c r="L519" s="35"/>
      <c r="M519" s="35"/>
      <c r="N519" s="35"/>
      <c r="O519" s="35"/>
      <c r="P519" s="35"/>
      <c r="Q519" s="35"/>
    </row>
    <row r="520" spans="2:17" s="82" customFormat="1">
      <c r="B520" s="35"/>
      <c r="C520" s="35"/>
      <c r="G520" s="83"/>
      <c r="H520" s="84"/>
      <c r="I520" s="417"/>
      <c r="J520" s="84"/>
      <c r="K520" s="35"/>
      <c r="L520" s="35"/>
      <c r="M520" s="35"/>
      <c r="N520" s="35"/>
      <c r="O520" s="35"/>
      <c r="P520" s="35"/>
      <c r="Q520" s="35"/>
    </row>
    <row r="521" spans="2:17" s="82" customFormat="1">
      <c r="B521" s="35"/>
      <c r="C521" s="35"/>
      <c r="G521" s="83"/>
      <c r="H521" s="84"/>
      <c r="I521" s="417"/>
      <c r="J521" s="84"/>
      <c r="K521" s="35"/>
      <c r="L521" s="35"/>
      <c r="M521" s="35"/>
      <c r="N521" s="35"/>
      <c r="O521" s="35"/>
      <c r="P521" s="35"/>
      <c r="Q521" s="35"/>
    </row>
    <row r="522" spans="2:17" s="82" customFormat="1">
      <c r="B522" s="35"/>
      <c r="C522" s="35"/>
      <c r="G522" s="83"/>
      <c r="H522" s="84"/>
      <c r="I522" s="417"/>
      <c r="J522" s="84"/>
      <c r="K522" s="35"/>
      <c r="L522" s="35"/>
      <c r="M522" s="35"/>
      <c r="N522" s="35"/>
      <c r="O522" s="35"/>
      <c r="P522" s="35"/>
      <c r="Q522" s="35"/>
    </row>
    <row r="523" spans="2:17" s="82" customFormat="1">
      <c r="B523" s="35"/>
      <c r="C523" s="35"/>
      <c r="G523" s="83"/>
      <c r="H523" s="84"/>
      <c r="I523" s="417"/>
      <c r="J523" s="84"/>
      <c r="K523" s="35"/>
      <c r="L523" s="35"/>
      <c r="M523" s="35"/>
      <c r="N523" s="35"/>
      <c r="O523" s="35"/>
      <c r="P523" s="35"/>
      <c r="Q523" s="35"/>
    </row>
    <row r="524" spans="2:17" s="82" customFormat="1">
      <c r="B524" s="35"/>
      <c r="C524" s="35"/>
      <c r="G524" s="83"/>
      <c r="H524" s="84"/>
      <c r="I524" s="417"/>
      <c r="J524" s="84"/>
      <c r="K524" s="35"/>
      <c r="L524" s="35"/>
      <c r="M524" s="35"/>
      <c r="N524" s="35"/>
      <c r="O524" s="35"/>
      <c r="P524" s="35"/>
      <c r="Q524" s="35"/>
    </row>
    <row r="525" spans="2:17" s="82" customFormat="1">
      <c r="B525" s="35"/>
      <c r="C525" s="35"/>
      <c r="G525" s="83"/>
      <c r="H525" s="84"/>
      <c r="I525" s="417"/>
      <c r="J525" s="84"/>
      <c r="K525" s="35"/>
      <c r="L525" s="35"/>
      <c r="M525" s="35"/>
      <c r="N525" s="35"/>
      <c r="O525" s="35"/>
      <c r="P525" s="35"/>
      <c r="Q525" s="35"/>
    </row>
    <row r="526" spans="2:17" s="82" customFormat="1">
      <c r="B526" s="35"/>
      <c r="C526" s="35"/>
      <c r="G526" s="83"/>
      <c r="H526" s="84"/>
      <c r="I526" s="417"/>
      <c r="J526" s="84"/>
      <c r="K526" s="35"/>
      <c r="L526" s="35"/>
      <c r="M526" s="35"/>
      <c r="N526" s="35"/>
      <c r="O526" s="35"/>
      <c r="P526" s="35"/>
      <c r="Q526" s="35"/>
    </row>
    <row r="527" spans="2:17" s="82" customFormat="1">
      <c r="B527" s="35"/>
      <c r="C527" s="35"/>
      <c r="G527" s="83"/>
      <c r="H527" s="84"/>
      <c r="I527" s="417"/>
      <c r="J527" s="84"/>
      <c r="K527" s="35"/>
      <c r="L527" s="35"/>
      <c r="M527" s="35"/>
      <c r="N527" s="35"/>
      <c r="O527" s="35"/>
      <c r="P527" s="35"/>
      <c r="Q527" s="35"/>
    </row>
    <row r="528" spans="2:17" s="82" customFormat="1">
      <c r="B528" s="35"/>
      <c r="C528" s="35"/>
      <c r="G528" s="83"/>
      <c r="H528" s="84"/>
      <c r="I528" s="417"/>
      <c r="J528" s="84"/>
      <c r="K528" s="35"/>
      <c r="L528" s="35"/>
      <c r="M528" s="35"/>
      <c r="N528" s="35"/>
      <c r="O528" s="35"/>
      <c r="P528" s="35"/>
      <c r="Q528" s="35"/>
    </row>
  </sheetData>
  <mergeCells count="52">
    <mergeCell ref="B26:B27"/>
    <mergeCell ref="B31:C31"/>
    <mergeCell ref="B16:C16"/>
    <mergeCell ref="B17:C17"/>
    <mergeCell ref="B21:C21"/>
    <mergeCell ref="B22:B23"/>
    <mergeCell ref="B41:C41"/>
    <mergeCell ref="B42:B43"/>
    <mergeCell ref="B38:C38"/>
    <mergeCell ref="B39:B40"/>
    <mergeCell ref="A41:A43"/>
    <mergeCell ref="A54:C54"/>
    <mergeCell ref="B44:C44"/>
    <mergeCell ref="B45:B46"/>
    <mergeCell ref="B47:C47"/>
    <mergeCell ref="B48:B49"/>
    <mergeCell ref="B50:C50"/>
    <mergeCell ref="B51:B52"/>
    <mergeCell ref="A53:C53"/>
    <mergeCell ref="A44:A46"/>
    <mergeCell ref="A47:A49"/>
    <mergeCell ref="A50:A52"/>
    <mergeCell ref="A13:A23"/>
    <mergeCell ref="A24:A29"/>
    <mergeCell ref="A31:A37"/>
    <mergeCell ref="A38:A40"/>
    <mergeCell ref="B18:C18"/>
    <mergeCell ref="B19:B20"/>
    <mergeCell ref="B13:C13"/>
    <mergeCell ref="B35:C35"/>
    <mergeCell ref="B36:B37"/>
    <mergeCell ref="B32:C32"/>
    <mergeCell ref="B33:B34"/>
    <mergeCell ref="B14:C14"/>
    <mergeCell ref="B15:C15"/>
    <mergeCell ref="B24:C24"/>
    <mergeCell ref="B28:C28"/>
    <mergeCell ref="B25:C25"/>
    <mergeCell ref="A1:G1"/>
    <mergeCell ref="A3:A4"/>
    <mergeCell ref="B3:C3"/>
    <mergeCell ref="B4:C4"/>
    <mergeCell ref="A7:A12"/>
    <mergeCell ref="B7:C7"/>
    <mergeCell ref="B8:C8"/>
    <mergeCell ref="B9:C9"/>
    <mergeCell ref="B12:C12"/>
    <mergeCell ref="B11:C11"/>
    <mergeCell ref="B5:C5"/>
    <mergeCell ref="B6:C6"/>
    <mergeCell ref="A5:A6"/>
    <mergeCell ref="B10:C10"/>
  </mergeCells>
  <phoneticPr fontId="15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69" firstPageNumber="5" fitToHeight="2" orientation="landscape" horizontalDpi="300" verticalDpi="300" r:id="rId1"/>
  <headerFooter alignWithMargins="0"/>
  <rowBreaks count="1" manualBreakCount="1">
    <brk id="29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160"/>
  <sheetViews>
    <sheetView view="pageBreakPreview" zoomScale="70" zoomScaleNormal="100" zoomScaleSheetLayoutView="70" workbookViewId="0">
      <selection activeCell="J30" sqref="J30"/>
    </sheetView>
  </sheetViews>
  <sheetFormatPr defaultRowHeight="14.25"/>
  <cols>
    <col min="1" max="4" width="6.77734375" style="18" customWidth="1"/>
    <col min="5" max="5" width="18.21875" style="18" customWidth="1"/>
    <col min="6" max="7" width="13.77734375" style="136" customWidth="1"/>
    <col min="8" max="8" width="13.77734375" style="137" customWidth="1"/>
    <col min="9" max="9" width="1.6640625" style="85" customWidth="1"/>
    <col min="10" max="10" width="2.88671875" style="18" customWidth="1"/>
    <col min="11" max="11" width="1.88671875" style="18" customWidth="1"/>
    <col min="12" max="12" width="8.6640625" style="18" customWidth="1"/>
    <col min="13" max="13" width="8.77734375" style="18" customWidth="1"/>
    <col min="14" max="14" width="10.77734375" style="18" customWidth="1"/>
    <col min="15" max="15" width="8" style="18" bestFit="1" customWidth="1"/>
    <col min="16" max="16" width="7.77734375" style="18" customWidth="1"/>
    <col min="17" max="17" width="8.109375" style="18" customWidth="1"/>
    <col min="18" max="18" width="15.33203125" style="18" customWidth="1"/>
    <col min="19" max="19" width="14.77734375" style="18" customWidth="1"/>
    <col min="20" max="23" width="6.77734375" style="18" customWidth="1"/>
    <col min="24" max="24" width="3" style="233" customWidth="1"/>
    <col min="25" max="25" width="14.77734375" style="18" customWidth="1"/>
    <col min="26" max="26" width="19.6640625" style="425" customWidth="1"/>
    <col min="27" max="27" width="16.44140625" style="433" bestFit="1" customWidth="1"/>
    <col min="28" max="28" width="21.33203125" style="4" customWidth="1"/>
    <col min="29" max="29" width="23.88671875" style="13" bestFit="1" customWidth="1"/>
    <col min="30" max="30" width="21.109375" style="4" bestFit="1" customWidth="1"/>
    <col min="31" max="31" width="14.88671875" style="4" bestFit="1" customWidth="1"/>
    <col min="32" max="32" width="13.88671875" style="4" bestFit="1" customWidth="1"/>
    <col min="33" max="33" width="9.6640625" style="4" bestFit="1" customWidth="1"/>
    <col min="34" max="16384" width="8.88671875" style="4"/>
  </cols>
  <sheetData>
    <row r="1" spans="1:30" ht="23.1" customHeight="1">
      <c r="A1" s="3805" t="s">
        <v>6109</v>
      </c>
      <c r="B1" s="3805"/>
      <c r="C1" s="3805"/>
      <c r="D1" s="3805"/>
      <c r="E1" s="3805"/>
      <c r="F1" s="3805"/>
      <c r="G1" s="3805"/>
      <c r="H1" s="3805"/>
      <c r="I1" s="3805"/>
      <c r="J1" s="3805"/>
      <c r="K1" s="3805"/>
      <c r="L1" s="3805"/>
      <c r="M1" s="3805"/>
      <c r="N1" s="3805"/>
      <c r="O1" s="3805"/>
      <c r="P1" s="3805"/>
      <c r="Q1" s="3805"/>
      <c r="R1" s="3805"/>
      <c r="S1" s="3805"/>
      <c r="T1" s="3805"/>
      <c r="U1" s="3805"/>
      <c r="V1" s="3805"/>
      <c r="W1" s="3805"/>
      <c r="X1" s="3805"/>
      <c r="Y1" s="3805"/>
      <c r="Z1" s="1545"/>
    </row>
    <row r="2" spans="1:30" ht="23.1" customHeight="1" thickBot="1">
      <c r="A2" s="886"/>
      <c r="B2" s="886"/>
      <c r="C2" s="886"/>
      <c r="D2" s="886" t="s">
        <v>378</v>
      </c>
      <c r="E2" s="890"/>
      <c r="F2" s="1390"/>
      <c r="G2" s="2118"/>
      <c r="H2" s="887" t="s">
        <v>194</v>
      </c>
      <c r="I2" s="2075"/>
      <c r="J2" s="886" t="s">
        <v>378</v>
      </c>
      <c r="K2" s="886"/>
      <c r="L2" s="1283" t="s">
        <v>378</v>
      </c>
      <c r="M2" s="886"/>
      <c r="N2" s="886"/>
      <c r="O2" s="476"/>
      <c r="P2" s="308"/>
      <c r="Q2" s="2080"/>
      <c r="R2" s="2075"/>
      <c r="S2" s="2075"/>
      <c r="T2" s="2075"/>
      <c r="U2" s="2075"/>
      <c r="V2" s="2075"/>
      <c r="W2" s="2075"/>
      <c r="X2" s="719"/>
      <c r="Y2" s="556" t="s">
        <v>194</v>
      </c>
      <c r="Z2" s="2075"/>
    </row>
    <row r="3" spans="1:30" ht="22.5" customHeight="1">
      <c r="A3" s="3806" t="s">
        <v>218</v>
      </c>
      <c r="B3" s="3807"/>
      <c r="C3" s="3807"/>
      <c r="D3" s="3807"/>
      <c r="E3" s="3808"/>
      <c r="F3" s="3809" t="s">
        <v>174</v>
      </c>
      <c r="G3" s="3811" t="s">
        <v>1077</v>
      </c>
      <c r="H3" s="3813" t="s">
        <v>11</v>
      </c>
      <c r="I3" s="481"/>
      <c r="J3" s="3815" t="s">
        <v>353</v>
      </c>
      <c r="K3" s="3816"/>
      <c r="L3" s="3816"/>
      <c r="M3" s="3816"/>
      <c r="N3" s="3816"/>
      <c r="O3" s="3816"/>
      <c r="P3" s="3816"/>
      <c r="Q3" s="3816"/>
      <c r="R3" s="3816"/>
      <c r="S3" s="3816"/>
      <c r="T3" s="3816"/>
      <c r="U3" s="3816"/>
      <c r="V3" s="3816"/>
      <c r="W3" s="3816"/>
      <c r="X3" s="3816"/>
      <c r="Y3" s="3817"/>
      <c r="Z3" s="891"/>
    </row>
    <row r="4" spans="1:30" ht="22.5" customHeight="1" thickBot="1">
      <c r="A4" s="892" t="s">
        <v>252</v>
      </c>
      <c r="B4" s="893" t="s">
        <v>234</v>
      </c>
      <c r="C4" s="894" t="s">
        <v>221</v>
      </c>
      <c r="D4" s="894" t="s">
        <v>235</v>
      </c>
      <c r="E4" s="894" t="s">
        <v>49</v>
      </c>
      <c r="F4" s="3810"/>
      <c r="G4" s="3812"/>
      <c r="H4" s="3814"/>
      <c r="I4" s="2966"/>
      <c r="J4" s="3818"/>
      <c r="K4" s="3819"/>
      <c r="L4" s="3819"/>
      <c r="M4" s="3819"/>
      <c r="N4" s="3819"/>
      <c r="O4" s="3819"/>
      <c r="P4" s="3819"/>
      <c r="Q4" s="3819"/>
      <c r="R4" s="3819"/>
      <c r="S4" s="3819"/>
      <c r="T4" s="3819"/>
      <c r="U4" s="3819"/>
      <c r="V4" s="3819"/>
      <c r="W4" s="3819"/>
      <c r="X4" s="3819"/>
      <c r="Y4" s="3820"/>
      <c r="Z4" s="2119"/>
    </row>
    <row r="5" spans="1:30" s="93" customFormat="1" ht="21.95" customHeight="1" thickBot="1">
      <c r="A5" s="3827" t="s">
        <v>1038</v>
      </c>
      <c r="B5" s="3828"/>
      <c r="C5" s="3828"/>
      <c r="D5" s="3828"/>
      <c r="E5" s="3829"/>
      <c r="F5" s="2120">
        <f>+F6</f>
        <v>2022034.5350000001</v>
      </c>
      <c r="G5" s="2120">
        <f>+G6</f>
        <v>2045852.5650000002</v>
      </c>
      <c r="H5" s="2121">
        <f>F5-G5</f>
        <v>-23818.030000000028</v>
      </c>
      <c r="I5" s="2966"/>
      <c r="J5" s="1599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1"/>
      <c r="Z5" s="668"/>
      <c r="AA5" s="3245"/>
    </row>
    <row r="6" spans="1:30" ht="21.95" customHeight="1" thickBot="1">
      <c r="A6" s="1595"/>
      <c r="B6" s="1596" t="s">
        <v>1038</v>
      </c>
      <c r="C6" s="1152"/>
      <c r="D6" s="1152"/>
      <c r="E6" s="1153"/>
      <c r="F6" s="1597">
        <f>+F7+F24+F53+F80+F126+F133</f>
        <v>2022034.5350000001</v>
      </c>
      <c r="G6" s="1597">
        <f>+G7+G24+G53+G80+G126+G133</f>
        <v>2045852.5650000002</v>
      </c>
      <c r="H6" s="1598">
        <f>F6-G6</f>
        <v>-23818.030000000028</v>
      </c>
      <c r="I6" s="2966"/>
      <c r="J6" s="1599"/>
      <c r="K6" s="1600"/>
      <c r="L6" s="1600"/>
      <c r="M6" s="1600"/>
      <c r="N6" s="1600"/>
      <c r="O6" s="1600"/>
      <c r="P6" s="1600"/>
      <c r="Q6" s="1600"/>
      <c r="R6" s="1600"/>
      <c r="S6" s="1600"/>
      <c r="T6" s="1600"/>
      <c r="U6" s="1600"/>
      <c r="V6" s="1600"/>
      <c r="W6" s="1600"/>
      <c r="X6" s="1600"/>
      <c r="Y6" s="1601"/>
      <c r="Z6" s="2122"/>
      <c r="AB6" s="22">
        <f>F6*1000000000</f>
        <v>2022034535000000.2</v>
      </c>
      <c r="AC6" s="449">
        <f>G6*1000000000</f>
        <v>2045852565000000.2</v>
      </c>
      <c r="AD6" s="452">
        <f>AB6-AC6</f>
        <v>-23818030000000</v>
      </c>
    </row>
    <row r="7" spans="1:30" s="425" customFormat="1" ht="21.95" customHeight="1">
      <c r="A7" s="562"/>
      <c r="B7" s="563"/>
      <c r="C7" s="3821" t="s">
        <v>1136</v>
      </c>
      <c r="D7" s="3821"/>
      <c r="E7" s="3822"/>
      <c r="F7" s="527">
        <f>SUM(F8)</f>
        <v>124350</v>
      </c>
      <c r="G7" s="528">
        <f>G8</f>
        <v>124350</v>
      </c>
      <c r="H7" s="529">
        <f>H8</f>
        <v>0</v>
      </c>
      <c r="I7" s="2963"/>
      <c r="J7" s="2025"/>
      <c r="K7" s="2959"/>
      <c r="L7" s="2959"/>
      <c r="M7" s="2959"/>
      <c r="N7" s="2959"/>
      <c r="O7" s="2959"/>
      <c r="P7" s="2959"/>
      <c r="Q7" s="621"/>
      <c r="R7" s="539"/>
      <c r="S7" s="545"/>
      <c r="T7" s="2026"/>
      <c r="U7" s="2026"/>
      <c r="V7" s="2026"/>
      <c r="W7" s="2026"/>
      <c r="X7" s="2028"/>
      <c r="Y7" s="586"/>
      <c r="Z7" s="555"/>
      <c r="AA7" s="433"/>
      <c r="AB7" s="449">
        <f t="shared" ref="AB7:AB88" si="0">F7*1000000000</f>
        <v>124350000000000</v>
      </c>
      <c r="AC7" s="449">
        <f t="shared" ref="AC7:AC88" si="1">G7*1000000000</f>
        <v>124350000000000</v>
      </c>
      <c r="AD7" s="452">
        <f t="shared" ref="AD7:AD88" si="2">AB7-AC7</f>
        <v>0</v>
      </c>
    </row>
    <row r="8" spans="1:30" s="425" customFormat="1" ht="21.95" customHeight="1">
      <c r="A8" s="562"/>
      <c r="B8" s="563"/>
      <c r="C8" s="473"/>
      <c r="D8" s="3823" t="s">
        <v>1137</v>
      </c>
      <c r="E8" s="3824"/>
      <c r="F8" s="530">
        <f>SUM(F9:F23)</f>
        <v>124350</v>
      </c>
      <c r="G8" s="530">
        <f>SUM(G9:G23)</f>
        <v>124350</v>
      </c>
      <c r="H8" s="531">
        <f>SUM(H9:H23)</f>
        <v>0</v>
      </c>
      <c r="I8" s="2963"/>
      <c r="J8" s="2025"/>
      <c r="K8" s="2959"/>
      <c r="L8" s="2959"/>
      <c r="M8" s="2959"/>
      <c r="N8" s="2959"/>
      <c r="O8" s="2959"/>
      <c r="P8" s="2959"/>
      <c r="Q8" s="2959"/>
      <c r="R8" s="539"/>
      <c r="S8" s="2026"/>
      <c r="T8" s="2026"/>
      <c r="U8" s="2026"/>
      <c r="V8" s="2026"/>
      <c r="W8" s="2026"/>
      <c r="X8" s="2028"/>
      <c r="Y8" s="586"/>
      <c r="Z8" s="622"/>
      <c r="AA8" s="433"/>
      <c r="AB8" s="449">
        <f t="shared" si="0"/>
        <v>124350000000000</v>
      </c>
      <c r="AC8" s="449">
        <f t="shared" si="1"/>
        <v>124350000000000</v>
      </c>
      <c r="AD8" s="452">
        <f t="shared" si="2"/>
        <v>0</v>
      </c>
    </row>
    <row r="9" spans="1:30" s="425" customFormat="1" ht="21.95" customHeight="1">
      <c r="A9" s="562"/>
      <c r="B9" s="563"/>
      <c r="C9" s="473"/>
      <c r="D9" s="2020"/>
      <c r="E9" s="1534" t="s">
        <v>229</v>
      </c>
      <c r="F9" s="2125">
        <f>Y9</f>
        <v>2350</v>
      </c>
      <c r="G9" s="2125">
        <v>2350</v>
      </c>
      <c r="H9" s="865"/>
      <c r="I9" s="3506"/>
      <c r="J9" s="681" t="s">
        <v>1138</v>
      </c>
      <c r="K9" s="3507"/>
      <c r="L9" s="3507"/>
      <c r="M9" s="3507"/>
      <c r="N9" s="3507"/>
      <c r="O9" s="3507"/>
      <c r="P9" s="3507"/>
      <c r="Q9" s="869">
        <v>10</v>
      </c>
      <c r="R9" s="2127" t="s">
        <v>232</v>
      </c>
      <c r="S9" s="684">
        <v>2350</v>
      </c>
      <c r="T9" s="684" t="s">
        <v>4</v>
      </c>
      <c r="U9" s="684"/>
      <c r="V9" s="684">
        <v>100</v>
      </c>
      <c r="W9" s="684" t="s">
        <v>254</v>
      </c>
      <c r="X9" s="686" t="s">
        <v>5</v>
      </c>
      <c r="Y9" s="871">
        <f>Z9/1000</f>
        <v>2350</v>
      </c>
      <c r="Z9" s="3178">
        <f>Q9*S9*V9</f>
        <v>2350000</v>
      </c>
      <c r="AA9" s="433"/>
      <c r="AB9" s="449"/>
      <c r="AC9" s="449"/>
      <c r="AD9" s="452"/>
    </row>
    <row r="10" spans="1:30" s="425" customFormat="1" ht="21.95" customHeight="1">
      <c r="A10" s="562"/>
      <c r="B10" s="563"/>
      <c r="C10" s="473"/>
      <c r="D10" s="2020"/>
      <c r="E10" s="1534" t="s">
        <v>905</v>
      </c>
      <c r="F10" s="2125">
        <f>Y10</f>
        <v>1500</v>
      </c>
      <c r="G10" s="2125">
        <v>0</v>
      </c>
      <c r="H10" s="2382">
        <f>F10-G10</f>
        <v>1500</v>
      </c>
      <c r="I10" s="3506"/>
      <c r="J10" s="681" t="s">
        <v>5136</v>
      </c>
      <c r="K10" s="3507"/>
      <c r="L10" s="3507"/>
      <c r="M10" s="3507"/>
      <c r="N10" s="3507"/>
      <c r="O10" s="3507"/>
      <c r="P10" s="3507"/>
      <c r="Q10" s="869">
        <v>1</v>
      </c>
      <c r="R10" s="2127" t="s">
        <v>232</v>
      </c>
      <c r="S10" s="684">
        <v>500000</v>
      </c>
      <c r="T10" s="684" t="s">
        <v>4</v>
      </c>
      <c r="U10" s="684"/>
      <c r="V10" s="684">
        <v>3</v>
      </c>
      <c r="W10" s="684" t="s">
        <v>51</v>
      </c>
      <c r="X10" s="686" t="s">
        <v>5</v>
      </c>
      <c r="Y10" s="871">
        <f>Z10/1000</f>
        <v>1500</v>
      </c>
      <c r="Z10" s="3178">
        <f>Q10*S10*V10</f>
        <v>1500000</v>
      </c>
      <c r="AA10" s="433"/>
      <c r="AB10" s="449"/>
      <c r="AC10" s="449"/>
      <c r="AD10" s="452"/>
    </row>
    <row r="11" spans="1:30" s="425" customFormat="1" ht="21.95" customHeight="1">
      <c r="A11" s="562"/>
      <c r="B11" s="563"/>
      <c r="C11" s="473"/>
      <c r="D11" s="2020"/>
      <c r="E11" s="677" t="s">
        <v>264</v>
      </c>
      <c r="F11" s="2125">
        <f t="shared" ref="F11" si="3">Y11</f>
        <v>2000</v>
      </c>
      <c r="G11" s="2125">
        <v>2000</v>
      </c>
      <c r="H11" s="1021"/>
      <c r="I11" s="3506"/>
      <c r="J11" s="681" t="s">
        <v>1139</v>
      </c>
      <c r="K11" s="3507"/>
      <c r="L11" s="3507"/>
      <c r="M11" s="3507"/>
      <c r="N11" s="3507"/>
      <c r="O11" s="3507"/>
      <c r="P11" s="3507"/>
      <c r="Q11" s="869"/>
      <c r="R11" s="2127"/>
      <c r="S11" s="3164">
        <v>500000</v>
      </c>
      <c r="T11" s="684" t="s">
        <v>4</v>
      </c>
      <c r="U11" s="684"/>
      <c r="V11" s="684">
        <v>4</v>
      </c>
      <c r="W11" s="684" t="s">
        <v>39</v>
      </c>
      <c r="X11" s="686" t="s">
        <v>5</v>
      </c>
      <c r="Y11" s="871">
        <f t="shared" ref="Y11:Y23" si="4">Z11/1000</f>
        <v>2000</v>
      </c>
      <c r="Z11" s="3178">
        <f>S11*V11</f>
        <v>2000000</v>
      </c>
      <c r="AA11" s="433"/>
      <c r="AB11" s="449"/>
      <c r="AC11" s="449"/>
      <c r="AD11" s="452"/>
    </row>
    <row r="12" spans="1:30" s="425" customFormat="1" ht="21.95" customHeight="1">
      <c r="A12" s="562"/>
      <c r="B12" s="563"/>
      <c r="C12" s="3107"/>
      <c r="D12" s="2020"/>
      <c r="E12" s="1534" t="s">
        <v>1133</v>
      </c>
      <c r="F12" s="2125">
        <f>Y12</f>
        <v>40000</v>
      </c>
      <c r="G12" s="2125">
        <v>40000</v>
      </c>
      <c r="H12" s="1021"/>
      <c r="I12" s="3506"/>
      <c r="J12" s="681" t="s">
        <v>1140</v>
      </c>
      <c r="K12" s="3507"/>
      <c r="L12" s="3507"/>
      <c r="M12" s="3507"/>
      <c r="N12" s="3507"/>
      <c r="O12" s="3507"/>
      <c r="P12" s="3507"/>
      <c r="Q12" s="869">
        <v>4</v>
      </c>
      <c r="R12" s="2127" t="s">
        <v>232</v>
      </c>
      <c r="S12" s="684">
        <v>2500000</v>
      </c>
      <c r="T12" s="684" t="s">
        <v>4</v>
      </c>
      <c r="U12" s="684"/>
      <c r="V12" s="684">
        <v>4</v>
      </c>
      <c r="W12" s="684" t="s">
        <v>10</v>
      </c>
      <c r="X12" s="686" t="s">
        <v>5</v>
      </c>
      <c r="Y12" s="871">
        <f t="shared" si="4"/>
        <v>40000</v>
      </c>
      <c r="Z12" s="3178">
        <f t="shared" ref="Z12:Z23" si="5">Q12*S12*V12</f>
        <v>40000000</v>
      </c>
      <c r="AA12" s="433"/>
      <c r="AB12" s="449"/>
      <c r="AC12" s="449"/>
      <c r="AD12" s="452"/>
    </row>
    <row r="13" spans="1:30" s="425" customFormat="1" ht="21.95" customHeight="1">
      <c r="A13" s="562"/>
      <c r="B13" s="563"/>
      <c r="C13" s="3107"/>
      <c r="D13" s="2020"/>
      <c r="E13" s="1534" t="s">
        <v>15</v>
      </c>
      <c r="F13" s="2125">
        <f>Y13</f>
        <v>21000</v>
      </c>
      <c r="G13" s="2125">
        <v>36000</v>
      </c>
      <c r="H13" s="1021">
        <f>F13-G13</f>
        <v>-15000</v>
      </c>
      <c r="I13" s="3506"/>
      <c r="J13" s="681" t="s">
        <v>224</v>
      </c>
      <c r="K13" s="3507"/>
      <c r="L13" s="3507"/>
      <c r="M13" s="3507"/>
      <c r="N13" s="3507"/>
      <c r="O13" s="3507"/>
      <c r="P13" s="3507"/>
      <c r="Q13" s="869"/>
      <c r="R13" s="2127"/>
      <c r="S13" s="684"/>
      <c r="T13" s="684"/>
      <c r="U13" s="684"/>
      <c r="V13" s="684"/>
      <c r="W13" s="684"/>
      <c r="X13" s="686"/>
      <c r="Y13" s="871">
        <f t="shared" si="4"/>
        <v>21000</v>
      </c>
      <c r="Z13" s="3178">
        <f>SUM(Z14:Z15)</f>
        <v>21000000</v>
      </c>
      <c r="AA13" s="433"/>
      <c r="AB13" s="449"/>
      <c r="AC13" s="449"/>
      <c r="AD13" s="452"/>
    </row>
    <row r="14" spans="1:30" s="425" customFormat="1" ht="21.95" customHeight="1">
      <c r="A14" s="562"/>
      <c r="B14" s="563"/>
      <c r="C14" s="3107"/>
      <c r="D14" s="2020"/>
      <c r="E14" s="1534"/>
      <c r="F14" s="677"/>
      <c r="G14" s="2125"/>
      <c r="H14" s="1021"/>
      <c r="I14" s="3506"/>
      <c r="J14" s="681" t="s">
        <v>5140</v>
      </c>
      <c r="K14" s="3507"/>
      <c r="L14" s="3507"/>
      <c r="M14" s="3507"/>
      <c r="N14" s="3507"/>
      <c r="O14" s="3507"/>
      <c r="P14" s="3507"/>
      <c r="Q14" s="869">
        <v>4</v>
      </c>
      <c r="R14" s="2127" t="s">
        <v>232</v>
      </c>
      <c r="S14" s="684">
        <v>1000000</v>
      </c>
      <c r="T14" s="684" t="s">
        <v>4</v>
      </c>
      <c r="U14" s="684"/>
      <c r="V14" s="684">
        <v>4</v>
      </c>
      <c r="W14" s="684" t="s">
        <v>10</v>
      </c>
      <c r="X14" s="686" t="s">
        <v>5</v>
      </c>
      <c r="Y14" s="871">
        <f t="shared" si="4"/>
        <v>16000</v>
      </c>
      <c r="Z14" s="3178">
        <f t="shared" si="5"/>
        <v>16000000</v>
      </c>
      <c r="AA14" s="433"/>
      <c r="AB14" s="449"/>
      <c r="AC14" s="449"/>
      <c r="AD14" s="452"/>
    </row>
    <row r="15" spans="1:30" s="425" customFormat="1" ht="21.95" customHeight="1">
      <c r="A15" s="562"/>
      <c r="B15" s="563"/>
      <c r="C15" s="3107"/>
      <c r="D15" s="2020"/>
      <c r="E15" s="1534"/>
      <c r="F15" s="1534"/>
      <c r="G15" s="2125"/>
      <c r="H15" s="1021"/>
      <c r="I15" s="3506"/>
      <c r="J15" s="681" t="s">
        <v>5141</v>
      </c>
      <c r="K15" s="3507"/>
      <c r="L15" s="3507"/>
      <c r="M15" s="3507"/>
      <c r="N15" s="3507"/>
      <c r="O15" s="3507"/>
      <c r="P15" s="3507"/>
      <c r="Q15" s="869">
        <v>5</v>
      </c>
      <c r="R15" s="2127" t="s">
        <v>232</v>
      </c>
      <c r="S15" s="684">
        <v>200000</v>
      </c>
      <c r="T15" s="684" t="s">
        <v>4</v>
      </c>
      <c r="U15" s="684"/>
      <c r="V15" s="684">
        <v>5</v>
      </c>
      <c r="W15" s="684" t="s">
        <v>10</v>
      </c>
      <c r="X15" s="686" t="s">
        <v>5</v>
      </c>
      <c r="Y15" s="871">
        <f t="shared" si="4"/>
        <v>5000</v>
      </c>
      <c r="Z15" s="3178">
        <f t="shared" si="5"/>
        <v>5000000</v>
      </c>
      <c r="AA15" s="433"/>
      <c r="AB15" s="449"/>
      <c r="AC15" s="449"/>
      <c r="AD15" s="452"/>
    </row>
    <row r="16" spans="1:30" s="425" customFormat="1" ht="21.95" customHeight="1">
      <c r="A16" s="562"/>
      <c r="B16" s="563"/>
      <c r="C16" s="3107"/>
      <c r="D16" s="2020"/>
      <c r="E16" s="1534" t="s">
        <v>17</v>
      </c>
      <c r="F16" s="2125">
        <f>Y16</f>
        <v>2000</v>
      </c>
      <c r="G16" s="2125">
        <v>2000</v>
      </c>
      <c r="H16" s="1021"/>
      <c r="I16" s="3506"/>
      <c r="J16" s="681" t="s">
        <v>4581</v>
      </c>
      <c r="K16" s="3507"/>
      <c r="L16" s="3507"/>
      <c r="M16" s="3507"/>
      <c r="N16" s="3507"/>
      <c r="O16" s="3507"/>
      <c r="P16" s="3507"/>
      <c r="Q16" s="869">
        <v>4</v>
      </c>
      <c r="R16" s="2127" t="s">
        <v>232</v>
      </c>
      <c r="S16" s="3164">
        <v>500000</v>
      </c>
      <c r="T16" s="684" t="s">
        <v>4</v>
      </c>
      <c r="U16" s="684"/>
      <c r="V16" s="684">
        <v>1</v>
      </c>
      <c r="W16" s="684" t="s">
        <v>226</v>
      </c>
      <c r="X16" s="686" t="s">
        <v>5</v>
      </c>
      <c r="Y16" s="871">
        <f t="shared" si="4"/>
        <v>2000</v>
      </c>
      <c r="Z16" s="3178">
        <f t="shared" si="5"/>
        <v>2000000</v>
      </c>
      <c r="AA16" s="433"/>
      <c r="AB16" s="449"/>
      <c r="AC16" s="449"/>
      <c r="AD16" s="452"/>
    </row>
    <row r="17" spans="1:30" s="425" customFormat="1" ht="21.95" customHeight="1">
      <c r="A17" s="562"/>
      <c r="B17" s="563"/>
      <c r="C17" s="473"/>
      <c r="D17" s="2020"/>
      <c r="E17" s="1534" t="s">
        <v>73</v>
      </c>
      <c r="F17" s="2125">
        <f>Y17</f>
        <v>500</v>
      </c>
      <c r="G17" s="2125">
        <v>9000</v>
      </c>
      <c r="H17" s="1021">
        <f>F17-G17</f>
        <v>-8500</v>
      </c>
      <c r="I17" s="3506"/>
      <c r="J17" s="681" t="s">
        <v>4582</v>
      </c>
      <c r="K17" s="3507"/>
      <c r="L17" s="3507"/>
      <c r="M17" s="3507"/>
      <c r="N17" s="3507"/>
      <c r="O17" s="3507"/>
      <c r="P17" s="3507"/>
      <c r="Q17" s="869">
        <v>5</v>
      </c>
      <c r="R17" s="2127" t="s">
        <v>232</v>
      </c>
      <c r="S17" s="684">
        <v>100000</v>
      </c>
      <c r="T17" s="684" t="s">
        <v>4</v>
      </c>
      <c r="U17" s="684"/>
      <c r="V17" s="684">
        <v>1</v>
      </c>
      <c r="W17" s="684" t="s">
        <v>226</v>
      </c>
      <c r="X17" s="686" t="s">
        <v>5</v>
      </c>
      <c r="Y17" s="871">
        <f t="shared" si="4"/>
        <v>500</v>
      </c>
      <c r="Z17" s="3178">
        <f t="shared" si="5"/>
        <v>500000</v>
      </c>
      <c r="AA17" s="433"/>
      <c r="AB17" s="449"/>
      <c r="AC17" s="449"/>
      <c r="AD17" s="452"/>
    </row>
    <row r="18" spans="1:30" s="425" customFormat="1" ht="21.95" customHeight="1">
      <c r="A18" s="562"/>
      <c r="B18" s="563"/>
      <c r="C18" s="3107"/>
      <c r="D18" s="2020"/>
      <c r="E18" s="1534" t="s">
        <v>14</v>
      </c>
      <c r="F18" s="2125">
        <f>Y18</f>
        <v>13000</v>
      </c>
      <c r="G18" s="2125">
        <v>13000</v>
      </c>
      <c r="H18" s="1021"/>
      <c r="I18" s="3506"/>
      <c r="J18" s="681" t="s">
        <v>1141</v>
      </c>
      <c r="K18" s="3507"/>
      <c r="L18" s="3507"/>
      <c r="M18" s="3507"/>
      <c r="N18" s="3507"/>
      <c r="O18" s="3507"/>
      <c r="P18" s="3507"/>
      <c r="Q18" s="869">
        <v>26</v>
      </c>
      <c r="R18" s="2127" t="s">
        <v>232</v>
      </c>
      <c r="S18" s="684">
        <v>10000</v>
      </c>
      <c r="T18" s="684" t="s">
        <v>4</v>
      </c>
      <c r="U18" s="684"/>
      <c r="V18" s="684">
        <v>50</v>
      </c>
      <c r="W18" s="684" t="s">
        <v>10</v>
      </c>
      <c r="X18" s="686" t="s">
        <v>5</v>
      </c>
      <c r="Y18" s="871">
        <f t="shared" si="4"/>
        <v>13000</v>
      </c>
      <c r="Z18" s="3178">
        <f t="shared" si="5"/>
        <v>13000000</v>
      </c>
      <c r="AA18" s="433"/>
      <c r="AB18" s="449"/>
      <c r="AC18" s="449"/>
      <c r="AD18" s="452"/>
    </row>
    <row r="19" spans="1:30" s="425" customFormat="1" ht="21.95" customHeight="1">
      <c r="A19" s="562"/>
      <c r="B19" s="563"/>
      <c r="C19" s="3107"/>
      <c r="D19" s="2020"/>
      <c r="E19" s="1534" t="s">
        <v>16</v>
      </c>
      <c r="F19" s="2125">
        <f>Y19</f>
        <v>42000</v>
      </c>
      <c r="G19" s="2125">
        <v>20000</v>
      </c>
      <c r="H19" s="2382">
        <f>F19-G19</f>
        <v>22000</v>
      </c>
      <c r="I19" s="3506"/>
      <c r="J19" s="681" t="s">
        <v>224</v>
      </c>
      <c r="K19" s="3507"/>
      <c r="L19" s="3507"/>
      <c r="M19" s="3507"/>
      <c r="N19" s="3507"/>
      <c r="O19" s="3507"/>
      <c r="P19" s="3507"/>
      <c r="Q19" s="869"/>
      <c r="R19" s="2127"/>
      <c r="S19" s="684"/>
      <c r="T19" s="684"/>
      <c r="U19" s="684"/>
      <c r="V19" s="684"/>
      <c r="W19" s="684"/>
      <c r="X19" s="686"/>
      <c r="Y19" s="871">
        <f t="shared" si="4"/>
        <v>42000</v>
      </c>
      <c r="Z19" s="3178">
        <f>SUM(Z20:Z23)</f>
        <v>42000000</v>
      </c>
      <c r="AA19" s="433"/>
      <c r="AB19" s="449"/>
      <c r="AC19" s="449"/>
      <c r="AD19" s="452"/>
    </row>
    <row r="20" spans="1:30" s="425" customFormat="1" ht="21.95" customHeight="1">
      <c r="A20" s="562"/>
      <c r="B20" s="563"/>
      <c r="C20" s="3107"/>
      <c r="D20" s="2020"/>
      <c r="E20" s="1534"/>
      <c r="F20" s="1534"/>
      <c r="G20" s="2125"/>
      <c r="H20" s="1021"/>
      <c r="I20" s="3506"/>
      <c r="J20" s="681" t="s">
        <v>5142</v>
      </c>
      <c r="K20" s="3507"/>
      <c r="L20" s="3507"/>
      <c r="M20" s="3507"/>
      <c r="N20" s="3507"/>
      <c r="O20" s="3507"/>
      <c r="P20" s="3507"/>
      <c r="Q20" s="869">
        <v>1</v>
      </c>
      <c r="R20" s="2127" t="s">
        <v>232</v>
      </c>
      <c r="S20" s="684">
        <v>22000000</v>
      </c>
      <c r="T20" s="684" t="s">
        <v>4</v>
      </c>
      <c r="U20" s="684"/>
      <c r="V20" s="684">
        <v>1</v>
      </c>
      <c r="W20" s="684" t="s">
        <v>51</v>
      </c>
      <c r="X20" s="686" t="s">
        <v>5</v>
      </c>
      <c r="Y20" s="871">
        <f t="shared" si="4"/>
        <v>22000</v>
      </c>
      <c r="Z20" s="3178">
        <f t="shared" si="5"/>
        <v>22000000</v>
      </c>
      <c r="AA20" s="433"/>
      <c r="AB20" s="449"/>
      <c r="AC20" s="449"/>
      <c r="AD20" s="452"/>
    </row>
    <row r="21" spans="1:30" s="425" customFormat="1" ht="21.95" customHeight="1">
      <c r="A21" s="562"/>
      <c r="B21" s="563"/>
      <c r="C21" s="473"/>
      <c r="D21" s="2020"/>
      <c r="E21" s="1534"/>
      <c r="F21" s="1534"/>
      <c r="G21" s="2125"/>
      <c r="H21" s="1021"/>
      <c r="I21" s="3506"/>
      <c r="J21" s="681" t="s">
        <v>5143</v>
      </c>
      <c r="K21" s="3507"/>
      <c r="L21" s="3507"/>
      <c r="M21" s="3507"/>
      <c r="N21" s="3507"/>
      <c r="O21" s="3507"/>
      <c r="P21" s="3507"/>
      <c r="Q21" s="869">
        <v>4</v>
      </c>
      <c r="R21" s="2127" t="s">
        <v>232</v>
      </c>
      <c r="S21" s="684">
        <v>10000</v>
      </c>
      <c r="T21" s="684" t="s">
        <v>4</v>
      </c>
      <c r="U21" s="684"/>
      <c r="V21" s="684">
        <v>400</v>
      </c>
      <c r="W21" s="684" t="s">
        <v>254</v>
      </c>
      <c r="X21" s="686" t="s">
        <v>5</v>
      </c>
      <c r="Y21" s="871">
        <f t="shared" si="4"/>
        <v>16000</v>
      </c>
      <c r="Z21" s="3178">
        <f t="shared" si="5"/>
        <v>16000000</v>
      </c>
      <c r="AA21" s="3245"/>
      <c r="AB21" s="449"/>
      <c r="AC21" s="449"/>
      <c r="AD21" s="452"/>
    </row>
    <row r="22" spans="1:30" s="425" customFormat="1" ht="21.95" customHeight="1">
      <c r="A22" s="562"/>
      <c r="B22" s="563"/>
      <c r="C22" s="473"/>
      <c r="D22" s="2020"/>
      <c r="E22" s="1534"/>
      <c r="F22" s="1534"/>
      <c r="G22" s="2125"/>
      <c r="H22" s="865"/>
      <c r="I22" s="3506"/>
      <c r="J22" s="681" t="s">
        <v>5138</v>
      </c>
      <c r="K22" s="3507"/>
      <c r="L22" s="3507"/>
      <c r="M22" s="3507"/>
      <c r="N22" s="3507"/>
      <c r="O22" s="3507"/>
      <c r="P22" s="3507"/>
      <c r="Q22" s="869">
        <v>4</v>
      </c>
      <c r="R22" s="2127" t="s">
        <v>232</v>
      </c>
      <c r="S22" s="684">
        <v>375000</v>
      </c>
      <c r="T22" s="684" t="s">
        <v>4</v>
      </c>
      <c r="U22" s="684"/>
      <c r="V22" s="684">
        <v>1</v>
      </c>
      <c r="W22" s="684" t="s">
        <v>51</v>
      </c>
      <c r="X22" s="686" t="s">
        <v>5</v>
      </c>
      <c r="Y22" s="871">
        <f t="shared" si="4"/>
        <v>1500</v>
      </c>
      <c r="Z22" s="3178">
        <f t="shared" si="5"/>
        <v>1500000</v>
      </c>
      <c r="AA22" s="3245"/>
      <c r="AB22" s="449"/>
      <c r="AC22" s="449"/>
      <c r="AD22" s="452"/>
    </row>
    <row r="23" spans="1:30" s="425" customFormat="1" ht="21.95" customHeight="1">
      <c r="A23" s="562"/>
      <c r="B23" s="563"/>
      <c r="C23" s="473"/>
      <c r="D23" s="2020"/>
      <c r="E23" s="1534"/>
      <c r="F23" s="1534"/>
      <c r="G23" s="2125"/>
      <c r="H23" s="1021"/>
      <c r="I23" s="3506"/>
      <c r="J23" s="681" t="s">
        <v>5139</v>
      </c>
      <c r="K23" s="3507"/>
      <c r="L23" s="3507"/>
      <c r="M23" s="3507"/>
      <c r="N23" s="3507"/>
      <c r="O23" s="3507"/>
      <c r="P23" s="3507"/>
      <c r="Q23" s="869">
        <v>1</v>
      </c>
      <c r="R23" s="2127" t="s">
        <v>232</v>
      </c>
      <c r="S23" s="684">
        <v>2500000</v>
      </c>
      <c r="T23" s="684" t="s">
        <v>4</v>
      </c>
      <c r="U23" s="684"/>
      <c r="V23" s="684">
        <v>1</v>
      </c>
      <c r="W23" s="684" t="s">
        <v>51</v>
      </c>
      <c r="X23" s="686" t="s">
        <v>5</v>
      </c>
      <c r="Y23" s="871">
        <f t="shared" si="4"/>
        <v>2500</v>
      </c>
      <c r="Z23" s="3178">
        <f t="shared" si="5"/>
        <v>2500000</v>
      </c>
      <c r="AA23" s="3245"/>
      <c r="AB23" s="449"/>
      <c r="AC23" s="449"/>
      <c r="AD23" s="452"/>
    </row>
    <row r="24" spans="1:30" s="398" customFormat="1" ht="21.95" customHeight="1">
      <c r="A24" s="540"/>
      <c r="B24" s="541"/>
      <c r="C24" s="3836" t="s">
        <v>927</v>
      </c>
      <c r="D24" s="3821"/>
      <c r="E24" s="3822"/>
      <c r="F24" s="2251">
        <f>F25+F41</f>
        <v>87000</v>
      </c>
      <c r="G24" s="525">
        <f>+G25+G41</f>
        <v>87000</v>
      </c>
      <c r="H24" s="2123">
        <f>F24-G24</f>
        <v>0</v>
      </c>
      <c r="I24" s="2963"/>
      <c r="J24" s="538"/>
      <c r="K24" s="2959"/>
      <c r="L24" s="2959"/>
      <c r="M24" s="2959"/>
      <c r="N24" s="2959"/>
      <c r="O24" s="2959"/>
      <c r="P24" s="2959"/>
      <c r="Q24" s="2959"/>
      <c r="R24" s="2959"/>
      <c r="S24" s="2959"/>
      <c r="T24" s="2959"/>
      <c r="U24" s="2959"/>
      <c r="V24" s="2959"/>
      <c r="W24" s="2959"/>
      <c r="X24" s="585"/>
      <c r="Y24" s="2124"/>
      <c r="Z24" s="595"/>
      <c r="AA24" s="423"/>
      <c r="AB24" s="449">
        <f t="shared" si="0"/>
        <v>87000000000000</v>
      </c>
      <c r="AC24" s="449">
        <f t="shared" si="1"/>
        <v>87000000000000</v>
      </c>
      <c r="AD24" s="452">
        <f t="shared" si="2"/>
        <v>0</v>
      </c>
    </row>
    <row r="25" spans="1:30" s="398" customFormat="1" ht="21.95" customHeight="1">
      <c r="A25" s="540"/>
      <c r="B25" s="541"/>
      <c r="C25" s="564"/>
      <c r="D25" s="3837" t="s">
        <v>289</v>
      </c>
      <c r="E25" s="3838"/>
      <c r="F25" s="2251">
        <f>SUM(F26:F40)</f>
        <v>50000</v>
      </c>
      <c r="G25" s="525">
        <f>SUM(G26:G40)</f>
        <v>50000</v>
      </c>
      <c r="H25" s="2123">
        <f>F25-G25</f>
        <v>0</v>
      </c>
      <c r="I25" s="2963"/>
      <c r="J25" s="1342"/>
      <c r="K25" s="2962"/>
      <c r="L25" s="2962"/>
      <c r="M25" s="2962"/>
      <c r="N25" s="2962"/>
      <c r="O25" s="2962"/>
      <c r="P25" s="2962"/>
      <c r="Q25" s="615"/>
      <c r="R25" s="615"/>
      <c r="S25" s="615"/>
      <c r="T25" s="618"/>
      <c r="U25" s="618"/>
      <c r="V25" s="618"/>
      <c r="W25" s="618"/>
      <c r="X25" s="619"/>
      <c r="Y25" s="517"/>
      <c r="Z25" s="546"/>
      <c r="AA25" s="423"/>
      <c r="AB25" s="449">
        <f t="shared" si="0"/>
        <v>50000000000000</v>
      </c>
      <c r="AC25" s="449">
        <f t="shared" si="1"/>
        <v>50000000000000</v>
      </c>
      <c r="AD25" s="452">
        <f t="shared" si="2"/>
        <v>0</v>
      </c>
    </row>
    <row r="26" spans="1:30" s="398" customFormat="1" ht="21.95" customHeight="1">
      <c r="A26" s="540"/>
      <c r="B26" s="541"/>
      <c r="C26" s="564"/>
      <c r="D26" s="588"/>
      <c r="E26" s="3617" t="s">
        <v>57</v>
      </c>
      <c r="F26" s="2125">
        <f>Y26</f>
        <v>4000</v>
      </c>
      <c r="G26" s="2126">
        <v>4000</v>
      </c>
      <c r="H26" s="1021"/>
      <c r="I26" s="3601"/>
      <c r="J26" s="681" t="s">
        <v>279</v>
      </c>
      <c r="K26" s="684"/>
      <c r="L26" s="3602"/>
      <c r="M26" s="3602"/>
      <c r="N26" s="3602"/>
      <c r="O26" s="3602"/>
      <c r="P26" s="3602"/>
      <c r="Q26" s="1038"/>
      <c r="R26" s="3605"/>
      <c r="S26" s="3164">
        <v>4000000</v>
      </c>
      <c r="T26" s="684" t="s">
        <v>0</v>
      </c>
      <c r="U26" s="684"/>
      <c r="V26" s="684">
        <v>1</v>
      </c>
      <c r="W26" s="684" t="s">
        <v>3</v>
      </c>
      <c r="X26" s="686" t="s">
        <v>1</v>
      </c>
      <c r="Y26" s="871">
        <f>Z26/1000</f>
        <v>4000</v>
      </c>
      <c r="Z26" s="732">
        <f>S26*V26</f>
        <v>4000000</v>
      </c>
      <c r="AA26" s="423"/>
      <c r="AB26" s="449">
        <f t="shared" si="0"/>
        <v>4000000000000</v>
      </c>
      <c r="AC26" s="449">
        <f t="shared" si="1"/>
        <v>4000000000000</v>
      </c>
      <c r="AD26" s="452">
        <f t="shared" si="2"/>
        <v>0</v>
      </c>
    </row>
    <row r="27" spans="1:30" s="398" customFormat="1" ht="21.95" customHeight="1">
      <c r="A27" s="540"/>
      <c r="B27" s="541"/>
      <c r="C27" s="564"/>
      <c r="D27" s="588"/>
      <c r="E27" s="1083" t="s">
        <v>95</v>
      </c>
      <c r="F27" s="2125">
        <f t="shared" ref="F27:F28" si="6">Y27</f>
        <v>12409</v>
      </c>
      <c r="G27" s="2126">
        <v>11409</v>
      </c>
      <c r="H27" s="1021">
        <f t="shared" ref="H27:H40" si="7">F27-G27</f>
        <v>1000</v>
      </c>
      <c r="I27" s="3601"/>
      <c r="J27" s="681" t="s">
        <v>2523</v>
      </c>
      <c r="K27" s="684"/>
      <c r="L27" s="3602"/>
      <c r="M27" s="3602"/>
      <c r="N27" s="869" t="s">
        <v>20</v>
      </c>
      <c r="O27" s="3602" t="s">
        <v>20</v>
      </c>
      <c r="P27" s="3602"/>
      <c r="Q27" s="1038">
        <v>10</v>
      </c>
      <c r="R27" s="3604" t="s">
        <v>36</v>
      </c>
      <c r="S27" s="3164">
        <v>1240900</v>
      </c>
      <c r="T27" s="684" t="s">
        <v>0</v>
      </c>
      <c r="U27" s="684"/>
      <c r="V27" s="684">
        <v>1</v>
      </c>
      <c r="W27" s="684" t="s">
        <v>3</v>
      </c>
      <c r="X27" s="686" t="s">
        <v>1</v>
      </c>
      <c r="Y27" s="871">
        <f t="shared" ref="Y27:Y37" si="8">Z27/1000</f>
        <v>12409</v>
      </c>
      <c r="Z27" s="732">
        <f>Q27*S27*V27</f>
        <v>12409000</v>
      </c>
      <c r="AA27" s="423"/>
      <c r="AB27" s="449">
        <f t="shared" si="0"/>
        <v>12409000000000</v>
      </c>
      <c r="AC27" s="449">
        <f t="shared" si="1"/>
        <v>11409000000000</v>
      </c>
      <c r="AD27" s="452">
        <f t="shared" si="2"/>
        <v>1000000000000</v>
      </c>
    </row>
    <row r="28" spans="1:30" s="398" customFormat="1" ht="21.95" customHeight="1">
      <c r="A28" s="540"/>
      <c r="B28" s="541"/>
      <c r="C28" s="564"/>
      <c r="D28" s="588"/>
      <c r="E28" s="677" t="s">
        <v>58</v>
      </c>
      <c r="F28" s="2125">
        <f t="shared" si="6"/>
        <v>14691</v>
      </c>
      <c r="G28" s="2126">
        <v>14691</v>
      </c>
      <c r="H28" s="1021"/>
      <c r="I28" s="3601"/>
      <c r="J28" s="681" t="s">
        <v>8</v>
      </c>
      <c r="K28" s="3602"/>
      <c r="L28" s="3602"/>
      <c r="M28" s="3602"/>
      <c r="N28" s="3602"/>
      <c r="O28" s="3602"/>
      <c r="P28" s="3602"/>
      <c r="Q28" s="3602"/>
      <c r="R28" s="2127"/>
      <c r="S28" s="3602"/>
      <c r="T28" s="3602"/>
      <c r="U28" s="3602"/>
      <c r="V28" s="3602"/>
      <c r="W28" s="3602"/>
      <c r="X28" s="686"/>
      <c r="Y28" s="871">
        <f t="shared" si="8"/>
        <v>14691</v>
      </c>
      <c r="Z28" s="732">
        <f>+Z29+Z30</f>
        <v>14691000</v>
      </c>
      <c r="AA28" s="423"/>
      <c r="AB28" s="449">
        <f t="shared" si="0"/>
        <v>14691000000000</v>
      </c>
      <c r="AC28" s="449">
        <f t="shared" si="1"/>
        <v>14691000000000</v>
      </c>
      <c r="AD28" s="452">
        <f t="shared" si="2"/>
        <v>0</v>
      </c>
    </row>
    <row r="29" spans="1:30" s="398" customFormat="1" ht="21.95" customHeight="1">
      <c r="A29" s="540"/>
      <c r="B29" s="541"/>
      <c r="C29" s="564"/>
      <c r="D29" s="588"/>
      <c r="E29" s="677"/>
      <c r="F29" s="2125"/>
      <c r="G29" s="2126"/>
      <c r="H29" s="1021"/>
      <c r="I29" s="3601"/>
      <c r="J29" s="681" t="s">
        <v>6131</v>
      </c>
      <c r="K29" s="3602"/>
      <c r="L29" s="3602"/>
      <c r="M29" s="3602"/>
      <c r="N29" s="3602"/>
      <c r="O29" s="3602"/>
      <c r="P29" s="3602"/>
      <c r="Q29" s="1038"/>
      <c r="R29" s="3604"/>
      <c r="S29" s="3164">
        <v>550000</v>
      </c>
      <c r="T29" s="684" t="s">
        <v>0</v>
      </c>
      <c r="U29" s="684"/>
      <c r="V29" s="684">
        <v>10</v>
      </c>
      <c r="W29" s="684" t="s">
        <v>3</v>
      </c>
      <c r="X29" s="686" t="s">
        <v>1</v>
      </c>
      <c r="Y29" s="871">
        <f t="shared" si="8"/>
        <v>5500</v>
      </c>
      <c r="Z29" s="732">
        <f>S29*V29</f>
        <v>5500000</v>
      </c>
      <c r="AA29" s="423"/>
      <c r="AB29" s="449">
        <f t="shared" si="0"/>
        <v>0</v>
      </c>
      <c r="AC29" s="449">
        <f t="shared" si="1"/>
        <v>0</v>
      </c>
      <c r="AD29" s="452">
        <f t="shared" si="2"/>
        <v>0</v>
      </c>
    </row>
    <row r="30" spans="1:30" s="398" customFormat="1" ht="21.95" customHeight="1">
      <c r="A30" s="540"/>
      <c r="B30" s="541"/>
      <c r="C30" s="564"/>
      <c r="D30" s="588"/>
      <c r="E30" s="677"/>
      <c r="F30" s="2125"/>
      <c r="G30" s="2126"/>
      <c r="H30" s="1021"/>
      <c r="I30" s="3601"/>
      <c r="J30" s="681" t="s">
        <v>4231</v>
      </c>
      <c r="K30" s="3602"/>
      <c r="L30" s="3602"/>
      <c r="M30" s="3602"/>
      <c r="N30" s="3602"/>
      <c r="O30" s="3602"/>
      <c r="P30" s="3602"/>
      <c r="Q30" s="1038">
        <v>2</v>
      </c>
      <c r="R30" s="3604" t="s">
        <v>36</v>
      </c>
      <c r="S30" s="3164">
        <v>919100</v>
      </c>
      <c r="T30" s="684" t="s">
        <v>0</v>
      </c>
      <c r="U30" s="684"/>
      <c r="V30" s="684">
        <v>5</v>
      </c>
      <c r="W30" s="684" t="s">
        <v>3</v>
      </c>
      <c r="X30" s="686" t="s">
        <v>1</v>
      </c>
      <c r="Y30" s="871">
        <f t="shared" si="8"/>
        <v>9191</v>
      </c>
      <c r="Z30" s="732">
        <f>Q30*S30*V30</f>
        <v>9191000</v>
      </c>
      <c r="AA30" s="423"/>
      <c r="AB30" s="449">
        <f t="shared" si="0"/>
        <v>0</v>
      </c>
      <c r="AC30" s="449">
        <f t="shared" si="1"/>
        <v>0</v>
      </c>
      <c r="AD30" s="452">
        <f t="shared" si="2"/>
        <v>0</v>
      </c>
    </row>
    <row r="31" spans="1:30" s="398" customFormat="1" ht="21.95" customHeight="1">
      <c r="A31" s="540"/>
      <c r="B31" s="541"/>
      <c r="C31" s="564"/>
      <c r="D31" s="588"/>
      <c r="E31" s="677" t="s">
        <v>238</v>
      </c>
      <c r="F31" s="2125">
        <f>Y31</f>
        <v>1000</v>
      </c>
      <c r="G31" s="2126">
        <v>2000</v>
      </c>
      <c r="H31" s="1021">
        <f t="shared" si="7"/>
        <v>-1000</v>
      </c>
      <c r="I31" s="3601"/>
      <c r="J31" s="681" t="s">
        <v>8</v>
      </c>
      <c r="K31" s="684"/>
      <c r="L31" s="3602"/>
      <c r="M31" s="3602"/>
      <c r="N31" s="3602"/>
      <c r="O31" s="3602"/>
      <c r="P31" s="3602"/>
      <c r="Q31" s="1038"/>
      <c r="R31" s="3605"/>
      <c r="S31" s="3164"/>
      <c r="T31" s="684"/>
      <c r="U31" s="684"/>
      <c r="V31" s="684"/>
      <c r="W31" s="684"/>
      <c r="X31" s="686"/>
      <c r="Y31" s="871">
        <f t="shared" si="8"/>
        <v>1000</v>
      </c>
      <c r="Z31" s="732">
        <f>+Z32+Z33</f>
        <v>1000000</v>
      </c>
      <c r="AA31" s="423"/>
      <c r="AB31" s="449">
        <f t="shared" si="0"/>
        <v>1000000000000</v>
      </c>
      <c r="AC31" s="449">
        <f t="shared" si="1"/>
        <v>2000000000000</v>
      </c>
      <c r="AD31" s="452">
        <f t="shared" si="2"/>
        <v>-1000000000000</v>
      </c>
    </row>
    <row r="32" spans="1:30" s="398" customFormat="1" ht="21.95" customHeight="1">
      <c r="A32" s="540"/>
      <c r="B32" s="541"/>
      <c r="C32" s="564"/>
      <c r="D32" s="548"/>
      <c r="E32" s="677"/>
      <c r="F32" s="2125"/>
      <c r="G32" s="2126"/>
      <c r="H32" s="1021"/>
      <c r="I32" s="3601"/>
      <c r="J32" s="681" t="s">
        <v>290</v>
      </c>
      <c r="K32" s="684"/>
      <c r="L32" s="3602"/>
      <c r="M32" s="3602"/>
      <c r="N32" s="869"/>
      <c r="O32" s="3602"/>
      <c r="P32" s="3602"/>
      <c r="Q32" s="1038"/>
      <c r="R32" s="3605"/>
      <c r="S32" s="3164">
        <v>1000000</v>
      </c>
      <c r="T32" s="684" t="s">
        <v>0</v>
      </c>
      <c r="U32" s="684"/>
      <c r="V32" s="684">
        <v>1</v>
      </c>
      <c r="W32" s="684" t="s">
        <v>3</v>
      </c>
      <c r="X32" s="686" t="s">
        <v>1</v>
      </c>
      <c r="Y32" s="871">
        <f t="shared" si="8"/>
        <v>1000</v>
      </c>
      <c r="Z32" s="732">
        <f>S32*V32</f>
        <v>1000000</v>
      </c>
      <c r="AA32" s="423"/>
      <c r="AB32" s="449">
        <f t="shared" si="0"/>
        <v>0</v>
      </c>
      <c r="AC32" s="449">
        <f t="shared" si="1"/>
        <v>0</v>
      </c>
      <c r="AD32" s="452">
        <f t="shared" si="2"/>
        <v>0</v>
      </c>
    </row>
    <row r="33" spans="1:340" s="398" customFormat="1" ht="21.95" customHeight="1">
      <c r="A33" s="540"/>
      <c r="B33" s="541"/>
      <c r="C33" s="564"/>
      <c r="D33" s="548"/>
      <c r="E33" s="677"/>
      <c r="F33" s="2125"/>
      <c r="G33" s="2126"/>
      <c r="H33" s="1021"/>
      <c r="I33" s="3601"/>
      <c r="J33" s="681" t="s">
        <v>291</v>
      </c>
      <c r="K33" s="684"/>
      <c r="L33" s="3602"/>
      <c r="M33" s="3602"/>
      <c r="N33" s="869"/>
      <c r="O33" s="3602"/>
      <c r="P33" s="3602"/>
      <c r="Q33" s="1038"/>
      <c r="R33" s="3605"/>
      <c r="S33" s="3164">
        <v>1000000</v>
      </c>
      <c r="T33" s="684" t="s">
        <v>0</v>
      </c>
      <c r="U33" s="684"/>
      <c r="V33" s="684">
        <v>0</v>
      </c>
      <c r="W33" s="684" t="s">
        <v>3</v>
      </c>
      <c r="X33" s="686" t="s">
        <v>1</v>
      </c>
      <c r="Y33" s="871">
        <f t="shared" si="8"/>
        <v>0</v>
      </c>
      <c r="Z33" s="732">
        <f>S33*V33</f>
        <v>0</v>
      </c>
      <c r="AA33" s="423"/>
      <c r="AB33" s="449">
        <f t="shared" si="0"/>
        <v>0</v>
      </c>
      <c r="AC33" s="449">
        <f t="shared" si="1"/>
        <v>0</v>
      </c>
      <c r="AD33" s="452">
        <f t="shared" si="2"/>
        <v>0</v>
      </c>
    </row>
    <row r="34" spans="1:340" s="3105" customFormat="1" ht="21.95" customHeight="1">
      <c r="A34" s="540"/>
      <c r="B34" s="3448"/>
      <c r="C34" s="564"/>
      <c r="D34" s="548"/>
      <c r="E34" s="677" t="s">
        <v>62</v>
      </c>
      <c r="F34" s="2125">
        <f>Y34</f>
        <v>4000</v>
      </c>
      <c r="G34" s="2126">
        <v>4000</v>
      </c>
      <c r="H34" s="1021"/>
      <c r="I34" s="3601"/>
      <c r="J34" s="681" t="s">
        <v>224</v>
      </c>
      <c r="K34" s="684"/>
      <c r="L34" s="3602"/>
      <c r="M34" s="3602"/>
      <c r="N34" s="869"/>
      <c r="O34" s="3602"/>
      <c r="P34" s="3602"/>
      <c r="Q34" s="1038"/>
      <c r="R34" s="3605"/>
      <c r="S34" s="3164"/>
      <c r="T34" s="684"/>
      <c r="U34" s="684"/>
      <c r="V34" s="684"/>
      <c r="W34" s="684"/>
      <c r="X34" s="686"/>
      <c r="Y34" s="871">
        <f t="shared" si="8"/>
        <v>4000</v>
      </c>
      <c r="Z34" s="732">
        <f>+Z35+Z36</f>
        <v>4000000</v>
      </c>
      <c r="AA34" s="423"/>
      <c r="AB34" s="449"/>
      <c r="AC34" s="449"/>
      <c r="AD34" s="452"/>
    </row>
    <row r="35" spans="1:340" s="3105" customFormat="1" ht="21.95" customHeight="1">
      <c r="A35" s="540"/>
      <c r="B35" s="3448"/>
      <c r="C35" s="564"/>
      <c r="D35" s="548"/>
      <c r="E35" s="2292"/>
      <c r="F35" s="2125"/>
      <c r="G35" s="2126"/>
      <c r="H35" s="1021"/>
      <c r="I35" s="3601"/>
      <c r="J35" s="681" t="s">
        <v>5580</v>
      </c>
      <c r="K35" s="684"/>
      <c r="L35" s="3602"/>
      <c r="M35" s="3602"/>
      <c r="N35" s="869"/>
      <c r="O35" s="3602"/>
      <c r="P35" s="3602"/>
      <c r="Q35" s="1038"/>
      <c r="R35" s="3605"/>
      <c r="S35" s="3164">
        <v>440000</v>
      </c>
      <c r="T35" s="684" t="s">
        <v>0</v>
      </c>
      <c r="U35" s="684"/>
      <c r="V35" s="684">
        <v>5</v>
      </c>
      <c r="W35" s="684" t="s">
        <v>3</v>
      </c>
      <c r="X35" s="686" t="s">
        <v>1</v>
      </c>
      <c r="Y35" s="871">
        <f t="shared" si="8"/>
        <v>2200</v>
      </c>
      <c r="Z35" s="732">
        <f>S35*V35</f>
        <v>2200000</v>
      </c>
      <c r="AA35" s="423"/>
      <c r="AB35" s="449"/>
      <c r="AC35" s="449"/>
      <c r="AD35" s="452"/>
    </row>
    <row r="36" spans="1:340" s="3105" customFormat="1" ht="21.95" customHeight="1">
      <c r="A36" s="540"/>
      <c r="B36" s="3448"/>
      <c r="C36" s="564"/>
      <c r="D36" s="548"/>
      <c r="E36" s="677"/>
      <c r="F36" s="2125"/>
      <c r="G36" s="2126"/>
      <c r="H36" s="1021"/>
      <c r="I36" s="3601"/>
      <c r="J36" s="681" t="s">
        <v>5581</v>
      </c>
      <c r="K36" s="684"/>
      <c r="L36" s="3602"/>
      <c r="M36" s="3602"/>
      <c r="N36" s="869"/>
      <c r="O36" s="3602"/>
      <c r="P36" s="3602"/>
      <c r="Q36" s="1038"/>
      <c r="R36" s="3605"/>
      <c r="S36" s="3164">
        <v>450000</v>
      </c>
      <c r="T36" s="684" t="s">
        <v>0</v>
      </c>
      <c r="U36" s="684"/>
      <c r="V36" s="684">
        <v>4</v>
      </c>
      <c r="W36" s="684" t="s">
        <v>24</v>
      </c>
      <c r="X36" s="686" t="s">
        <v>1</v>
      </c>
      <c r="Y36" s="871">
        <f t="shared" si="8"/>
        <v>1800</v>
      </c>
      <c r="Z36" s="732">
        <f>S36*V36</f>
        <v>1800000</v>
      </c>
      <c r="AA36" s="423"/>
      <c r="AB36" s="449"/>
      <c r="AC36" s="449"/>
      <c r="AD36" s="452"/>
    </row>
    <row r="37" spans="1:340" s="3105" customFormat="1" ht="21.95" customHeight="1">
      <c r="A37" s="540"/>
      <c r="B37" s="3448"/>
      <c r="C37" s="564"/>
      <c r="D37" s="548"/>
      <c r="E37" s="1083" t="s">
        <v>61</v>
      </c>
      <c r="F37" s="2125">
        <f t="shared" ref="F37:F40" si="9">Y37</f>
        <v>2200</v>
      </c>
      <c r="G37" s="2126">
        <v>2200</v>
      </c>
      <c r="H37" s="1021"/>
      <c r="I37" s="3601"/>
      <c r="J37" s="681" t="s">
        <v>5582</v>
      </c>
      <c r="K37" s="684"/>
      <c r="L37" s="3602"/>
      <c r="M37" s="3602"/>
      <c r="N37" s="869"/>
      <c r="O37" s="3602"/>
      <c r="P37" s="3602"/>
      <c r="Q37" s="1038">
        <v>8</v>
      </c>
      <c r="R37" s="3605" t="s">
        <v>28</v>
      </c>
      <c r="S37" s="3164">
        <v>25000</v>
      </c>
      <c r="T37" s="684" t="s">
        <v>0</v>
      </c>
      <c r="U37" s="684"/>
      <c r="V37" s="684">
        <v>11</v>
      </c>
      <c r="W37" s="684" t="s">
        <v>3</v>
      </c>
      <c r="X37" s="686" t="s">
        <v>1</v>
      </c>
      <c r="Y37" s="871">
        <f t="shared" si="8"/>
        <v>2200</v>
      </c>
      <c r="Z37" s="732">
        <f>Q37*S37*V37</f>
        <v>2200000</v>
      </c>
      <c r="AA37" s="423"/>
      <c r="AB37" s="449"/>
      <c r="AC37" s="449"/>
      <c r="AD37" s="452"/>
    </row>
    <row r="38" spans="1:340" s="398" customFormat="1" ht="21.95" customHeight="1">
      <c r="A38" s="540"/>
      <c r="B38" s="541"/>
      <c r="C38" s="564"/>
      <c r="D38" s="548"/>
      <c r="E38" s="1083" t="s">
        <v>5781</v>
      </c>
      <c r="F38" s="2125">
        <f t="shared" si="9"/>
        <v>8000</v>
      </c>
      <c r="G38" s="2126">
        <v>7000</v>
      </c>
      <c r="H38" s="1021">
        <f t="shared" si="7"/>
        <v>1000</v>
      </c>
      <c r="I38" s="3601"/>
      <c r="J38" s="681" t="s">
        <v>5583</v>
      </c>
      <c r="K38" s="684"/>
      <c r="L38" s="3602"/>
      <c r="M38" s="3602"/>
      <c r="N38" s="869"/>
      <c r="O38" s="3602"/>
      <c r="P38" s="3602"/>
      <c r="Q38" s="1038"/>
      <c r="R38" s="3605"/>
      <c r="S38" s="3164">
        <v>8000000</v>
      </c>
      <c r="T38" s="684" t="s">
        <v>4</v>
      </c>
      <c r="U38" s="684"/>
      <c r="V38" s="684">
        <v>1</v>
      </c>
      <c r="W38" s="684" t="s">
        <v>226</v>
      </c>
      <c r="X38" s="686" t="s">
        <v>5</v>
      </c>
      <c r="Y38" s="871">
        <f>Z38/1000</f>
        <v>8000</v>
      </c>
      <c r="Z38" s="732">
        <f>S38*V38</f>
        <v>8000000</v>
      </c>
      <c r="AA38" s="423"/>
      <c r="AB38" s="449">
        <f t="shared" si="0"/>
        <v>8000000000000</v>
      </c>
      <c r="AC38" s="449">
        <f t="shared" si="1"/>
        <v>7000000000000</v>
      </c>
      <c r="AD38" s="452">
        <f t="shared" si="2"/>
        <v>1000000000000</v>
      </c>
    </row>
    <row r="39" spans="1:340" s="3105" customFormat="1" ht="21.95" customHeight="1">
      <c r="A39" s="540"/>
      <c r="B39" s="3611"/>
      <c r="C39" s="564"/>
      <c r="D39" s="548"/>
      <c r="E39" s="1083" t="s">
        <v>5782</v>
      </c>
      <c r="F39" s="2125">
        <f t="shared" si="9"/>
        <v>2400</v>
      </c>
      <c r="G39" s="2126">
        <v>4000</v>
      </c>
      <c r="H39" s="1021">
        <f t="shared" si="7"/>
        <v>-1600</v>
      </c>
      <c r="I39" s="3601"/>
      <c r="J39" s="681" t="s">
        <v>5584</v>
      </c>
      <c r="K39" s="684"/>
      <c r="L39" s="3602"/>
      <c r="M39" s="3602"/>
      <c r="N39" s="869"/>
      <c r="O39" s="3602"/>
      <c r="P39" s="3602"/>
      <c r="Q39" s="1038"/>
      <c r="R39" s="3605"/>
      <c r="S39" s="3164">
        <v>1200000</v>
      </c>
      <c r="T39" s="684" t="s">
        <v>4</v>
      </c>
      <c r="U39" s="684"/>
      <c r="V39" s="684">
        <v>2</v>
      </c>
      <c r="W39" s="684" t="s">
        <v>230</v>
      </c>
      <c r="X39" s="686" t="s">
        <v>5</v>
      </c>
      <c r="Y39" s="871">
        <f>Z39/1000</f>
        <v>2400</v>
      </c>
      <c r="Z39" s="732">
        <f>S39*V39</f>
        <v>2400000</v>
      </c>
      <c r="AA39" s="423"/>
      <c r="AB39" s="449"/>
      <c r="AC39" s="449"/>
      <c r="AD39" s="452"/>
    </row>
    <row r="40" spans="1:340" s="3105" customFormat="1" ht="21.95" customHeight="1">
      <c r="A40" s="540"/>
      <c r="B40" s="3611"/>
      <c r="C40" s="564"/>
      <c r="D40" s="548"/>
      <c r="E40" s="3248" t="s">
        <v>5783</v>
      </c>
      <c r="F40" s="2125">
        <f t="shared" si="9"/>
        <v>1300</v>
      </c>
      <c r="G40" s="2126">
        <v>700</v>
      </c>
      <c r="H40" s="1021">
        <f t="shared" si="7"/>
        <v>600</v>
      </c>
      <c r="I40" s="3601"/>
      <c r="J40" s="681" t="s">
        <v>5585</v>
      </c>
      <c r="K40" s="684"/>
      <c r="L40" s="3602"/>
      <c r="M40" s="3602"/>
      <c r="N40" s="869"/>
      <c r="O40" s="3602"/>
      <c r="P40" s="3602"/>
      <c r="Q40" s="1038"/>
      <c r="R40" s="3605"/>
      <c r="S40" s="3164">
        <v>1300000</v>
      </c>
      <c r="T40" s="684" t="s">
        <v>4</v>
      </c>
      <c r="U40" s="684"/>
      <c r="V40" s="684">
        <v>1</v>
      </c>
      <c r="W40" s="684" t="s">
        <v>226</v>
      </c>
      <c r="X40" s="686" t="s">
        <v>5</v>
      </c>
      <c r="Y40" s="871">
        <f>Z40/1000</f>
        <v>1300</v>
      </c>
      <c r="Z40" s="732">
        <f>S40*V40</f>
        <v>1300000</v>
      </c>
      <c r="AA40" s="423"/>
      <c r="AB40" s="449"/>
      <c r="AC40" s="449"/>
      <c r="AD40" s="452"/>
    </row>
    <row r="41" spans="1:340" s="18" customFormat="1" ht="21.95" customHeight="1">
      <c r="A41" s="2128"/>
      <c r="B41" s="2129"/>
      <c r="C41" s="1910"/>
      <c r="D41" s="3825" t="s">
        <v>1135</v>
      </c>
      <c r="E41" s="3826"/>
      <c r="F41" s="2130">
        <f>SUM(F42:F52)</f>
        <v>37000</v>
      </c>
      <c r="G41" s="525">
        <f>SUM(G42:G52)</f>
        <v>37000</v>
      </c>
      <c r="H41" s="627">
        <f>+F41-G41</f>
        <v>0</v>
      </c>
      <c r="I41" s="2963"/>
      <c r="J41" s="538"/>
      <c r="K41" s="2959"/>
      <c r="L41" s="2959"/>
      <c r="M41" s="2959"/>
      <c r="N41" s="2959"/>
      <c r="O41" s="2959"/>
      <c r="P41" s="2959"/>
      <c r="Q41" s="2959"/>
      <c r="R41" s="539"/>
      <c r="S41" s="2959"/>
      <c r="T41" s="2959"/>
      <c r="U41" s="2959"/>
      <c r="V41" s="2959"/>
      <c r="W41" s="2959"/>
      <c r="X41" s="585"/>
      <c r="Y41" s="599"/>
      <c r="Z41" s="595"/>
      <c r="AA41" s="3246"/>
      <c r="AB41" s="449">
        <f t="shared" si="0"/>
        <v>37000000000000</v>
      </c>
      <c r="AC41" s="449">
        <f t="shared" si="1"/>
        <v>37000000000000</v>
      </c>
      <c r="AD41" s="452">
        <f t="shared" si="2"/>
        <v>0</v>
      </c>
    </row>
    <row r="42" spans="1:340" s="18" customFormat="1" ht="23.85" customHeight="1">
      <c r="A42" s="2128"/>
      <c r="B42" s="2129"/>
      <c r="C42" s="473"/>
      <c r="D42" s="2020"/>
      <c r="E42" s="532" t="s">
        <v>5763</v>
      </c>
      <c r="F42" s="1588">
        <f>Y42</f>
        <v>3000</v>
      </c>
      <c r="G42" s="526">
        <v>3000</v>
      </c>
      <c r="H42" s="534"/>
      <c r="I42" s="3607"/>
      <c r="J42" s="681" t="s">
        <v>1131</v>
      </c>
      <c r="K42" s="3602"/>
      <c r="L42" s="3602"/>
      <c r="M42" s="3602"/>
      <c r="N42" s="3602"/>
      <c r="O42" s="3602"/>
      <c r="P42" s="3602"/>
      <c r="Q42" s="684">
        <v>2</v>
      </c>
      <c r="R42" s="684" t="s">
        <v>232</v>
      </c>
      <c r="S42" s="684">
        <v>10000</v>
      </c>
      <c r="T42" s="684" t="s">
        <v>4</v>
      </c>
      <c r="U42" s="684"/>
      <c r="V42" s="684">
        <v>150</v>
      </c>
      <c r="W42" s="684" t="s">
        <v>254</v>
      </c>
      <c r="X42" s="686" t="s">
        <v>5</v>
      </c>
      <c r="Y42" s="871">
        <f t="shared" ref="Y42:Y52" si="10">Z42/1000</f>
        <v>3000</v>
      </c>
      <c r="Z42" s="732">
        <f>Q42*S42*V42</f>
        <v>3000000</v>
      </c>
      <c r="AA42" s="3246"/>
      <c r="AB42" s="449">
        <f t="shared" si="0"/>
        <v>3000000000000</v>
      </c>
      <c r="AC42" s="449">
        <f t="shared" si="1"/>
        <v>3000000000000</v>
      </c>
      <c r="AD42" s="452">
        <f t="shared" si="2"/>
        <v>0</v>
      </c>
    </row>
    <row r="43" spans="1:340" s="18" customFormat="1" ht="23.1" customHeight="1">
      <c r="A43" s="2128"/>
      <c r="B43" s="2129"/>
      <c r="C43" s="473"/>
      <c r="D43" s="2020"/>
      <c r="E43" s="532" t="s">
        <v>5764</v>
      </c>
      <c r="F43" s="593">
        <f t="shared" ref="F43:F52" si="11">Y43</f>
        <v>5000</v>
      </c>
      <c r="G43" s="526">
        <v>5000</v>
      </c>
      <c r="H43" s="534"/>
      <c r="I43" s="3607"/>
      <c r="J43" s="681" t="s">
        <v>1132</v>
      </c>
      <c r="K43" s="3602"/>
      <c r="L43" s="3602"/>
      <c r="M43" s="3602"/>
      <c r="N43" s="3602"/>
      <c r="O43" s="3602"/>
      <c r="P43" s="3602"/>
      <c r="Q43" s="684"/>
      <c r="R43" s="684"/>
      <c r="S43" s="684">
        <v>5000000</v>
      </c>
      <c r="T43" s="684" t="s">
        <v>4</v>
      </c>
      <c r="U43" s="684"/>
      <c r="V43" s="684">
        <v>1</v>
      </c>
      <c r="W43" s="684" t="s">
        <v>39</v>
      </c>
      <c r="X43" s="686" t="s">
        <v>5</v>
      </c>
      <c r="Y43" s="871">
        <f>Z43/1000</f>
        <v>5000</v>
      </c>
      <c r="Z43" s="732">
        <f>S43*V43</f>
        <v>5000000</v>
      </c>
      <c r="AA43" s="3246"/>
      <c r="AB43" s="449">
        <f t="shared" si="0"/>
        <v>5000000000000</v>
      </c>
      <c r="AC43" s="449">
        <f t="shared" si="1"/>
        <v>5000000000000</v>
      </c>
      <c r="AD43" s="452">
        <f t="shared" si="2"/>
        <v>0</v>
      </c>
      <c r="AE43" s="524"/>
      <c r="AF43" s="524"/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/>
      <c r="BA43" s="524"/>
      <c r="BB43" s="524"/>
      <c r="BC43" s="524"/>
      <c r="BD43" s="524"/>
      <c r="BE43" s="524"/>
      <c r="BF43" s="524"/>
      <c r="BG43" s="524"/>
      <c r="BH43" s="524"/>
      <c r="BI43" s="524"/>
      <c r="BJ43" s="524"/>
      <c r="BK43" s="524"/>
      <c r="BL43" s="524"/>
      <c r="BM43" s="524"/>
      <c r="BN43" s="524"/>
      <c r="BO43" s="524"/>
      <c r="BP43" s="524"/>
      <c r="BQ43" s="524"/>
      <c r="BR43" s="524"/>
      <c r="BS43" s="524"/>
      <c r="BT43" s="524"/>
      <c r="BU43" s="524"/>
      <c r="BV43" s="524"/>
      <c r="BW43" s="524"/>
      <c r="BX43" s="524"/>
      <c r="BY43" s="524"/>
      <c r="BZ43" s="524"/>
      <c r="CA43" s="524"/>
      <c r="CB43" s="524"/>
      <c r="CC43" s="524"/>
      <c r="CD43" s="524"/>
      <c r="CE43" s="524"/>
      <c r="CF43" s="524"/>
      <c r="CG43" s="524"/>
      <c r="CH43" s="524"/>
      <c r="CI43" s="524"/>
      <c r="CJ43" s="524"/>
      <c r="CK43" s="524"/>
      <c r="CL43" s="524"/>
      <c r="CM43" s="524"/>
      <c r="CN43" s="524"/>
      <c r="CO43" s="524"/>
      <c r="CP43" s="524"/>
      <c r="CQ43" s="524"/>
      <c r="CR43" s="524"/>
      <c r="CS43" s="524"/>
      <c r="CT43" s="524"/>
      <c r="CU43" s="524"/>
      <c r="CV43" s="524"/>
      <c r="CW43" s="524"/>
      <c r="CX43" s="524"/>
      <c r="CY43" s="524"/>
      <c r="CZ43" s="524"/>
      <c r="DA43" s="524"/>
      <c r="DB43" s="524"/>
      <c r="DC43" s="524"/>
      <c r="DD43" s="524"/>
      <c r="DE43" s="524"/>
      <c r="DF43" s="524"/>
      <c r="DG43" s="524"/>
      <c r="DH43" s="524"/>
      <c r="DI43" s="524"/>
      <c r="DJ43" s="524"/>
      <c r="DK43" s="524"/>
      <c r="DL43" s="524"/>
      <c r="DM43" s="524"/>
      <c r="DN43" s="524"/>
      <c r="DO43" s="524"/>
      <c r="DP43" s="524"/>
      <c r="DQ43" s="524"/>
      <c r="DR43" s="524"/>
      <c r="DS43" s="524"/>
      <c r="DT43" s="524"/>
      <c r="DU43" s="524"/>
      <c r="DV43" s="524"/>
      <c r="DW43" s="524"/>
      <c r="DX43" s="524"/>
      <c r="DY43" s="524"/>
      <c r="DZ43" s="524"/>
      <c r="EA43" s="524"/>
      <c r="EB43" s="524"/>
      <c r="EC43" s="524"/>
      <c r="ED43" s="524"/>
      <c r="EE43" s="524"/>
      <c r="EF43" s="524"/>
      <c r="EG43" s="524"/>
      <c r="EH43" s="524"/>
      <c r="EI43" s="524"/>
      <c r="EJ43" s="524"/>
      <c r="EK43" s="524"/>
      <c r="EL43" s="524"/>
      <c r="EM43" s="524"/>
      <c r="EN43" s="524"/>
      <c r="EO43" s="524"/>
      <c r="EP43" s="524"/>
      <c r="EQ43" s="524"/>
      <c r="ER43" s="524"/>
      <c r="ES43" s="524"/>
      <c r="ET43" s="524"/>
      <c r="EU43" s="524"/>
      <c r="EV43" s="524"/>
      <c r="EW43" s="524"/>
      <c r="EX43" s="524"/>
      <c r="EY43" s="524"/>
      <c r="EZ43" s="524"/>
      <c r="FA43" s="524"/>
      <c r="FB43" s="524"/>
      <c r="FC43" s="524"/>
      <c r="FD43" s="524"/>
      <c r="FE43" s="524"/>
      <c r="FF43" s="524"/>
      <c r="FG43" s="524"/>
      <c r="FH43" s="524"/>
      <c r="FI43" s="524"/>
      <c r="FJ43" s="524"/>
      <c r="FK43" s="524"/>
      <c r="FL43" s="524"/>
      <c r="FM43" s="524"/>
      <c r="FN43" s="524"/>
      <c r="FO43" s="524"/>
      <c r="FP43" s="524"/>
      <c r="FQ43" s="524"/>
      <c r="FR43" s="524"/>
      <c r="FS43" s="524"/>
      <c r="FT43" s="524"/>
      <c r="FU43" s="524"/>
      <c r="FV43" s="524"/>
      <c r="FW43" s="524"/>
      <c r="FX43" s="524"/>
      <c r="FY43" s="524"/>
      <c r="FZ43" s="524"/>
      <c r="GA43" s="524"/>
      <c r="GB43" s="524"/>
      <c r="GC43" s="524"/>
      <c r="GD43" s="524"/>
      <c r="GE43" s="524"/>
      <c r="GF43" s="524"/>
      <c r="GG43" s="524"/>
      <c r="GH43" s="524"/>
      <c r="GI43" s="524"/>
      <c r="GJ43" s="524"/>
      <c r="GK43" s="524"/>
      <c r="GL43" s="524"/>
      <c r="GM43" s="524"/>
      <c r="GN43" s="524"/>
      <c r="GO43" s="524"/>
      <c r="GP43" s="524"/>
      <c r="GQ43" s="524"/>
      <c r="GR43" s="524"/>
      <c r="GS43" s="524"/>
      <c r="GT43" s="524"/>
      <c r="GU43" s="524"/>
      <c r="GV43" s="524"/>
      <c r="GW43" s="524"/>
      <c r="GX43" s="524"/>
      <c r="GY43" s="524"/>
      <c r="GZ43" s="524"/>
      <c r="HA43" s="524"/>
      <c r="HB43" s="524"/>
      <c r="HC43" s="524"/>
      <c r="HD43" s="524"/>
      <c r="HE43" s="524"/>
      <c r="HF43" s="524"/>
      <c r="HG43" s="524"/>
      <c r="HH43" s="524"/>
      <c r="HI43" s="524"/>
      <c r="HJ43" s="524"/>
      <c r="HK43" s="524"/>
      <c r="HL43" s="524"/>
      <c r="HM43" s="524"/>
      <c r="HN43" s="524"/>
      <c r="HO43" s="524"/>
      <c r="HP43" s="524"/>
      <c r="HQ43" s="524"/>
      <c r="HR43" s="524"/>
      <c r="HS43" s="524"/>
      <c r="HT43" s="524"/>
      <c r="HU43" s="524"/>
      <c r="HV43" s="524"/>
      <c r="HW43" s="524"/>
      <c r="HX43" s="524"/>
      <c r="HY43" s="524"/>
      <c r="HZ43" s="524"/>
      <c r="IA43" s="524"/>
      <c r="IB43" s="524"/>
      <c r="IC43" s="524"/>
      <c r="ID43" s="524"/>
      <c r="IE43" s="524"/>
      <c r="IF43" s="524"/>
      <c r="IG43" s="524"/>
      <c r="IH43" s="524"/>
      <c r="II43" s="524"/>
      <c r="IJ43" s="524"/>
      <c r="IK43" s="524"/>
      <c r="IL43" s="524"/>
      <c r="IM43" s="524"/>
      <c r="IN43" s="524"/>
      <c r="IO43" s="524"/>
      <c r="IP43" s="524"/>
      <c r="IQ43" s="524"/>
      <c r="IR43" s="524"/>
      <c r="IS43" s="524"/>
      <c r="IT43" s="524"/>
      <c r="IU43" s="524"/>
      <c r="IV43" s="524"/>
      <c r="IW43" s="524"/>
      <c r="IX43" s="524"/>
      <c r="IY43" s="524"/>
      <c r="IZ43" s="524"/>
      <c r="JA43" s="524"/>
      <c r="JB43" s="524"/>
      <c r="JC43" s="524"/>
      <c r="JD43" s="524"/>
      <c r="JE43" s="524"/>
      <c r="JF43" s="524"/>
      <c r="JG43" s="524"/>
      <c r="JH43" s="524"/>
      <c r="JI43" s="524"/>
      <c r="JJ43" s="524"/>
      <c r="JK43" s="524"/>
      <c r="JL43" s="524"/>
      <c r="JM43" s="524"/>
      <c r="JN43" s="524"/>
      <c r="JO43" s="524"/>
      <c r="JP43" s="524"/>
      <c r="JQ43" s="524"/>
      <c r="JR43" s="524"/>
      <c r="JS43" s="524"/>
      <c r="JT43" s="524"/>
      <c r="JU43" s="524"/>
      <c r="JV43" s="524"/>
      <c r="JW43" s="524"/>
      <c r="JX43" s="524"/>
      <c r="JY43" s="524"/>
      <c r="JZ43" s="524"/>
      <c r="KA43" s="524"/>
      <c r="KB43" s="524"/>
      <c r="KC43" s="524"/>
      <c r="KD43" s="524"/>
      <c r="KE43" s="524"/>
      <c r="KF43" s="524"/>
      <c r="KG43" s="524"/>
      <c r="KH43" s="524"/>
      <c r="KI43" s="524"/>
      <c r="KJ43" s="524"/>
      <c r="KK43" s="524"/>
      <c r="KL43" s="524"/>
      <c r="KM43" s="524"/>
      <c r="KN43" s="524"/>
      <c r="KO43" s="524"/>
      <c r="KP43" s="524"/>
      <c r="KQ43" s="524"/>
      <c r="KR43" s="524"/>
      <c r="KS43" s="524"/>
      <c r="KT43" s="524"/>
      <c r="KU43" s="524"/>
      <c r="KV43" s="524"/>
      <c r="KW43" s="524"/>
      <c r="KX43" s="524"/>
      <c r="KY43" s="524"/>
      <c r="KZ43" s="524"/>
      <c r="LA43" s="524"/>
      <c r="LB43" s="524"/>
      <c r="LC43" s="524"/>
      <c r="LD43" s="524"/>
      <c r="LE43" s="524"/>
      <c r="LF43" s="524"/>
      <c r="LG43" s="524"/>
      <c r="LH43" s="524"/>
      <c r="LI43" s="524"/>
      <c r="LJ43" s="524"/>
      <c r="LK43" s="524"/>
      <c r="LL43" s="524"/>
      <c r="LM43" s="524"/>
      <c r="LN43" s="524"/>
      <c r="LO43" s="524"/>
      <c r="LP43" s="524"/>
      <c r="LQ43" s="524"/>
      <c r="LR43" s="524"/>
      <c r="LS43" s="524"/>
      <c r="LT43" s="524"/>
      <c r="LU43" s="524"/>
      <c r="LV43" s="524"/>
      <c r="LW43" s="524"/>
      <c r="LX43" s="524"/>
      <c r="LY43" s="524"/>
      <c r="LZ43" s="524"/>
      <c r="MA43" s="524"/>
      <c r="MB43" s="524"/>
    </row>
    <row r="44" spans="1:340" s="18" customFormat="1" ht="23.1" customHeight="1">
      <c r="A44" s="2128"/>
      <c r="B44" s="2129"/>
      <c r="C44" s="473"/>
      <c r="D44" s="2034"/>
      <c r="E44" s="677" t="s">
        <v>5765</v>
      </c>
      <c r="F44" s="3616">
        <f t="shared" si="11"/>
        <v>5000</v>
      </c>
      <c r="G44" s="2125">
        <v>5000</v>
      </c>
      <c r="H44" s="1021"/>
      <c r="I44" s="3601"/>
      <c r="J44" s="681" t="s">
        <v>5201</v>
      </c>
      <c r="K44" s="3602"/>
      <c r="L44" s="3602"/>
      <c r="M44" s="3602"/>
      <c r="N44" s="3602"/>
      <c r="O44" s="3602"/>
      <c r="P44" s="3602"/>
      <c r="Q44" s="684"/>
      <c r="R44" s="684"/>
      <c r="S44" s="684">
        <v>5000000</v>
      </c>
      <c r="T44" s="684" t="s">
        <v>4</v>
      </c>
      <c r="U44" s="684"/>
      <c r="V44" s="684">
        <v>1</v>
      </c>
      <c r="W44" s="684" t="s">
        <v>39</v>
      </c>
      <c r="X44" s="686" t="s">
        <v>5</v>
      </c>
      <c r="Y44" s="871">
        <f>Z44/1000</f>
        <v>5000</v>
      </c>
      <c r="Z44" s="732">
        <f>S44*V44</f>
        <v>5000000</v>
      </c>
      <c r="AA44" s="3246"/>
      <c r="AB44" s="449">
        <f t="shared" si="0"/>
        <v>5000000000000</v>
      </c>
      <c r="AC44" s="449">
        <f t="shared" si="1"/>
        <v>5000000000000</v>
      </c>
      <c r="AD44" s="452">
        <f t="shared" si="2"/>
        <v>0</v>
      </c>
      <c r="AE44" s="524"/>
      <c r="AF44" s="524"/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24"/>
      <c r="AV44" s="524"/>
      <c r="AW44" s="524"/>
      <c r="AX44" s="524"/>
      <c r="AY44" s="524"/>
      <c r="AZ44" s="524"/>
      <c r="BA44" s="524"/>
      <c r="BB44" s="524"/>
      <c r="BC44" s="524"/>
      <c r="BD44" s="524"/>
      <c r="BE44" s="524"/>
      <c r="BF44" s="524"/>
      <c r="BG44" s="524"/>
      <c r="BH44" s="524"/>
      <c r="BI44" s="524"/>
      <c r="BJ44" s="524"/>
      <c r="BK44" s="524"/>
      <c r="BL44" s="524"/>
      <c r="BM44" s="524"/>
      <c r="BN44" s="524"/>
      <c r="BO44" s="524"/>
      <c r="BP44" s="524"/>
      <c r="BQ44" s="524"/>
      <c r="BR44" s="524"/>
      <c r="BS44" s="524"/>
      <c r="BT44" s="524"/>
      <c r="BU44" s="524"/>
      <c r="BV44" s="524"/>
      <c r="BW44" s="524"/>
      <c r="BX44" s="524"/>
      <c r="BY44" s="524"/>
      <c r="BZ44" s="524"/>
      <c r="CA44" s="524"/>
      <c r="CB44" s="524"/>
      <c r="CC44" s="524"/>
      <c r="CD44" s="524"/>
      <c r="CE44" s="524"/>
      <c r="CF44" s="524"/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  <c r="CR44" s="524"/>
      <c r="CS44" s="524"/>
      <c r="CT44" s="524"/>
      <c r="CU44" s="524"/>
      <c r="CV44" s="524"/>
      <c r="CW44" s="524"/>
      <c r="CX44" s="524"/>
      <c r="CY44" s="524"/>
      <c r="CZ44" s="524"/>
      <c r="DA44" s="524"/>
      <c r="DB44" s="524"/>
      <c r="DC44" s="524"/>
      <c r="DD44" s="524"/>
      <c r="DE44" s="524"/>
      <c r="DF44" s="524"/>
      <c r="DG44" s="524"/>
      <c r="DH44" s="524"/>
      <c r="DI44" s="524"/>
      <c r="DJ44" s="524"/>
      <c r="DK44" s="524"/>
      <c r="DL44" s="524"/>
      <c r="DM44" s="524"/>
      <c r="DN44" s="524"/>
      <c r="DO44" s="524"/>
      <c r="DP44" s="524"/>
      <c r="DQ44" s="524"/>
      <c r="DR44" s="524"/>
      <c r="DS44" s="524"/>
      <c r="DT44" s="524"/>
      <c r="DU44" s="524"/>
      <c r="DV44" s="524"/>
      <c r="DW44" s="524"/>
      <c r="DX44" s="524"/>
      <c r="DY44" s="524"/>
      <c r="DZ44" s="524"/>
      <c r="EA44" s="524"/>
      <c r="EB44" s="524"/>
      <c r="EC44" s="524"/>
      <c r="ED44" s="524"/>
      <c r="EE44" s="524"/>
      <c r="EF44" s="524"/>
      <c r="EG44" s="524"/>
      <c r="EH44" s="524"/>
      <c r="EI44" s="524"/>
      <c r="EJ44" s="524"/>
      <c r="EK44" s="524"/>
      <c r="EL44" s="524"/>
      <c r="EM44" s="524"/>
      <c r="EN44" s="524"/>
      <c r="EO44" s="524"/>
      <c r="EP44" s="524"/>
      <c r="EQ44" s="524"/>
      <c r="ER44" s="524"/>
      <c r="ES44" s="524"/>
      <c r="ET44" s="524"/>
      <c r="EU44" s="524"/>
      <c r="EV44" s="524"/>
      <c r="EW44" s="524"/>
      <c r="EX44" s="524"/>
      <c r="EY44" s="524"/>
      <c r="EZ44" s="524"/>
      <c r="FA44" s="524"/>
      <c r="FB44" s="524"/>
      <c r="FC44" s="524"/>
      <c r="FD44" s="524"/>
      <c r="FE44" s="524"/>
      <c r="FF44" s="524"/>
      <c r="FG44" s="524"/>
      <c r="FH44" s="524"/>
      <c r="FI44" s="524"/>
      <c r="FJ44" s="524"/>
      <c r="FK44" s="524"/>
      <c r="FL44" s="524"/>
      <c r="FM44" s="524"/>
      <c r="FN44" s="524"/>
      <c r="FO44" s="524"/>
      <c r="FP44" s="524"/>
      <c r="FQ44" s="524"/>
      <c r="FR44" s="524"/>
      <c r="FS44" s="524"/>
      <c r="FT44" s="524"/>
      <c r="FU44" s="524"/>
      <c r="FV44" s="524"/>
      <c r="FW44" s="524"/>
      <c r="FX44" s="524"/>
      <c r="FY44" s="524"/>
      <c r="FZ44" s="524"/>
      <c r="GA44" s="524"/>
      <c r="GB44" s="524"/>
      <c r="GC44" s="524"/>
      <c r="GD44" s="524"/>
      <c r="GE44" s="524"/>
      <c r="GF44" s="524"/>
      <c r="GG44" s="524"/>
      <c r="GH44" s="524"/>
      <c r="GI44" s="524"/>
      <c r="GJ44" s="524"/>
      <c r="GK44" s="524"/>
      <c r="GL44" s="524"/>
      <c r="GM44" s="524"/>
      <c r="GN44" s="524"/>
      <c r="GO44" s="524"/>
      <c r="GP44" s="524"/>
      <c r="GQ44" s="524"/>
      <c r="GR44" s="524"/>
      <c r="GS44" s="524"/>
      <c r="GT44" s="524"/>
      <c r="GU44" s="524"/>
      <c r="GV44" s="524"/>
      <c r="GW44" s="524"/>
      <c r="GX44" s="524"/>
      <c r="GY44" s="524"/>
      <c r="GZ44" s="524"/>
      <c r="HA44" s="524"/>
      <c r="HB44" s="524"/>
      <c r="HC44" s="524"/>
      <c r="HD44" s="524"/>
      <c r="HE44" s="524"/>
      <c r="HF44" s="524"/>
      <c r="HG44" s="524"/>
      <c r="HH44" s="524"/>
      <c r="HI44" s="524"/>
      <c r="HJ44" s="524"/>
      <c r="HK44" s="524"/>
      <c r="HL44" s="524"/>
      <c r="HM44" s="524"/>
      <c r="HN44" s="524"/>
      <c r="HO44" s="524"/>
      <c r="HP44" s="524"/>
      <c r="HQ44" s="524"/>
      <c r="HR44" s="524"/>
      <c r="HS44" s="524"/>
      <c r="HT44" s="524"/>
      <c r="HU44" s="524"/>
      <c r="HV44" s="524"/>
      <c r="HW44" s="524"/>
      <c r="HX44" s="524"/>
      <c r="HY44" s="524"/>
      <c r="HZ44" s="524"/>
      <c r="IA44" s="524"/>
      <c r="IB44" s="524"/>
      <c r="IC44" s="524"/>
      <c r="ID44" s="524"/>
      <c r="IE44" s="524"/>
      <c r="IF44" s="524"/>
      <c r="IG44" s="524"/>
      <c r="IH44" s="524"/>
      <c r="II44" s="524"/>
      <c r="IJ44" s="524"/>
      <c r="IK44" s="524"/>
      <c r="IL44" s="524"/>
      <c r="IM44" s="524"/>
      <c r="IN44" s="524"/>
      <c r="IO44" s="524"/>
      <c r="IP44" s="524"/>
      <c r="IQ44" s="524"/>
      <c r="IR44" s="524"/>
      <c r="IS44" s="524"/>
      <c r="IT44" s="524"/>
      <c r="IU44" s="524"/>
      <c r="IV44" s="524"/>
      <c r="IW44" s="524"/>
      <c r="IX44" s="524"/>
      <c r="IY44" s="524"/>
      <c r="IZ44" s="524"/>
      <c r="JA44" s="524"/>
      <c r="JB44" s="524"/>
      <c r="JC44" s="524"/>
      <c r="JD44" s="524"/>
      <c r="JE44" s="524"/>
      <c r="JF44" s="524"/>
      <c r="JG44" s="524"/>
      <c r="JH44" s="524"/>
      <c r="JI44" s="524"/>
      <c r="JJ44" s="524"/>
      <c r="JK44" s="524"/>
      <c r="JL44" s="524"/>
      <c r="JM44" s="524"/>
      <c r="JN44" s="524"/>
      <c r="JO44" s="524"/>
      <c r="JP44" s="524"/>
      <c r="JQ44" s="524"/>
      <c r="JR44" s="524"/>
      <c r="JS44" s="524"/>
      <c r="JT44" s="524"/>
      <c r="JU44" s="524"/>
      <c r="JV44" s="524"/>
      <c r="JW44" s="524"/>
      <c r="JX44" s="524"/>
      <c r="JY44" s="524"/>
      <c r="JZ44" s="524"/>
      <c r="KA44" s="524"/>
      <c r="KB44" s="524"/>
      <c r="KC44" s="524"/>
      <c r="KD44" s="524"/>
      <c r="KE44" s="524"/>
      <c r="KF44" s="524"/>
      <c r="KG44" s="524"/>
      <c r="KH44" s="524"/>
      <c r="KI44" s="524"/>
      <c r="KJ44" s="524"/>
      <c r="KK44" s="524"/>
      <c r="KL44" s="524"/>
      <c r="KM44" s="524"/>
      <c r="KN44" s="524"/>
      <c r="KO44" s="524"/>
      <c r="KP44" s="524"/>
      <c r="KQ44" s="524"/>
      <c r="KR44" s="524"/>
      <c r="KS44" s="524"/>
      <c r="KT44" s="524"/>
      <c r="KU44" s="524"/>
      <c r="KV44" s="524"/>
      <c r="KW44" s="524"/>
      <c r="KX44" s="524"/>
      <c r="KY44" s="524"/>
      <c r="KZ44" s="524"/>
      <c r="LA44" s="524"/>
      <c r="LB44" s="524"/>
      <c r="LC44" s="524"/>
      <c r="LD44" s="524"/>
      <c r="LE44" s="524"/>
      <c r="LF44" s="524"/>
      <c r="LG44" s="524"/>
      <c r="LH44" s="524"/>
      <c r="LI44" s="524"/>
      <c r="LJ44" s="524"/>
      <c r="LK44" s="524"/>
      <c r="LL44" s="524"/>
      <c r="LM44" s="524"/>
      <c r="LN44" s="524"/>
      <c r="LO44" s="524"/>
      <c r="LP44" s="524"/>
      <c r="LQ44" s="524"/>
      <c r="LR44" s="524"/>
      <c r="LS44" s="524"/>
      <c r="LT44" s="524"/>
      <c r="LU44" s="524"/>
      <c r="LV44" s="524"/>
      <c r="LW44" s="524"/>
      <c r="LX44" s="524"/>
      <c r="LY44" s="524"/>
      <c r="LZ44" s="524"/>
      <c r="MA44" s="524"/>
      <c r="MB44" s="524"/>
    </row>
    <row r="45" spans="1:340" s="18" customFormat="1" ht="21" customHeight="1">
      <c r="A45" s="2128"/>
      <c r="B45" s="2129"/>
      <c r="C45" s="3107"/>
      <c r="D45" s="2034"/>
      <c r="E45" s="677" t="s">
        <v>5766</v>
      </c>
      <c r="F45" s="3616">
        <f t="shared" si="11"/>
        <v>8600</v>
      </c>
      <c r="G45" s="2125">
        <v>8600</v>
      </c>
      <c r="H45" s="1021"/>
      <c r="I45" s="3601"/>
      <c r="J45" s="681" t="s">
        <v>5772</v>
      </c>
      <c r="K45" s="3602"/>
      <c r="L45" s="3602"/>
      <c r="M45" s="3602"/>
      <c r="N45" s="3602"/>
      <c r="O45" s="3602"/>
      <c r="P45" s="3602"/>
      <c r="Q45" s="684"/>
      <c r="R45" s="684"/>
      <c r="S45" s="684">
        <v>8600000</v>
      </c>
      <c r="T45" s="684" t="s">
        <v>4</v>
      </c>
      <c r="U45" s="684"/>
      <c r="V45" s="684">
        <v>1</v>
      </c>
      <c r="W45" s="684" t="s">
        <v>39</v>
      </c>
      <c r="X45" s="686" t="s">
        <v>5</v>
      </c>
      <c r="Y45" s="871">
        <f>Z45/1000</f>
        <v>8600</v>
      </c>
      <c r="Z45" s="732">
        <f>S45*V45</f>
        <v>8600000</v>
      </c>
      <c r="AA45" s="3246"/>
      <c r="AB45" s="449"/>
      <c r="AC45" s="449"/>
      <c r="AD45" s="452"/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/>
      <c r="AP45" s="524"/>
      <c r="AQ45" s="524"/>
      <c r="AR45" s="524"/>
      <c r="AS45" s="524"/>
      <c r="AT45" s="524"/>
      <c r="AU45" s="524"/>
      <c r="AV45" s="524"/>
      <c r="AW45" s="524"/>
      <c r="AX45" s="524"/>
      <c r="AY45" s="524"/>
      <c r="AZ45" s="524"/>
      <c r="BA45" s="524"/>
      <c r="BB45" s="524"/>
      <c r="BC45" s="524"/>
      <c r="BD45" s="524"/>
      <c r="BE45" s="524"/>
      <c r="BF45" s="524"/>
      <c r="BG45" s="524"/>
      <c r="BH45" s="524"/>
      <c r="BI45" s="524"/>
      <c r="BJ45" s="524"/>
      <c r="BK45" s="524"/>
      <c r="BL45" s="524"/>
      <c r="BM45" s="524"/>
      <c r="BN45" s="524"/>
      <c r="BO45" s="524"/>
      <c r="BP45" s="524"/>
      <c r="BQ45" s="524"/>
      <c r="BR45" s="524"/>
      <c r="BS45" s="524"/>
      <c r="BT45" s="524"/>
      <c r="BU45" s="524"/>
      <c r="BV45" s="524"/>
      <c r="BW45" s="524"/>
      <c r="BX45" s="524"/>
      <c r="BY45" s="524"/>
      <c r="BZ45" s="524"/>
      <c r="CA45" s="524"/>
      <c r="CB45" s="524"/>
      <c r="CC45" s="524"/>
      <c r="CD45" s="524"/>
      <c r="CE45" s="524"/>
      <c r="CF45" s="524"/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  <c r="CR45" s="524"/>
      <c r="CS45" s="524"/>
      <c r="CT45" s="524"/>
      <c r="CU45" s="524"/>
      <c r="CV45" s="524"/>
      <c r="CW45" s="524"/>
      <c r="CX45" s="524"/>
      <c r="CY45" s="524"/>
      <c r="CZ45" s="524"/>
      <c r="DA45" s="524"/>
      <c r="DB45" s="524"/>
      <c r="DC45" s="524"/>
      <c r="DD45" s="524"/>
      <c r="DE45" s="524"/>
      <c r="DF45" s="524"/>
      <c r="DG45" s="524"/>
      <c r="DH45" s="524"/>
      <c r="DI45" s="524"/>
      <c r="DJ45" s="524"/>
      <c r="DK45" s="524"/>
      <c r="DL45" s="524"/>
      <c r="DM45" s="524"/>
      <c r="DN45" s="524"/>
      <c r="DO45" s="524"/>
      <c r="DP45" s="524"/>
      <c r="DQ45" s="524"/>
      <c r="DR45" s="524"/>
      <c r="DS45" s="524"/>
      <c r="DT45" s="524"/>
      <c r="DU45" s="524"/>
      <c r="DV45" s="524"/>
      <c r="DW45" s="524"/>
      <c r="DX45" s="524"/>
      <c r="DY45" s="524"/>
      <c r="DZ45" s="524"/>
      <c r="EA45" s="524"/>
      <c r="EB45" s="524"/>
      <c r="EC45" s="524"/>
      <c r="ED45" s="524"/>
      <c r="EE45" s="524"/>
      <c r="EF45" s="524"/>
      <c r="EG45" s="524"/>
      <c r="EH45" s="524"/>
      <c r="EI45" s="524"/>
      <c r="EJ45" s="524"/>
      <c r="EK45" s="524"/>
      <c r="EL45" s="524"/>
      <c r="EM45" s="524"/>
      <c r="EN45" s="524"/>
      <c r="EO45" s="524"/>
      <c r="EP45" s="524"/>
      <c r="EQ45" s="524"/>
      <c r="ER45" s="524"/>
      <c r="ES45" s="524"/>
      <c r="ET45" s="524"/>
      <c r="EU45" s="524"/>
      <c r="EV45" s="524"/>
      <c r="EW45" s="524"/>
      <c r="EX45" s="524"/>
      <c r="EY45" s="524"/>
      <c r="EZ45" s="524"/>
      <c r="FA45" s="524"/>
      <c r="FB45" s="524"/>
      <c r="FC45" s="524"/>
      <c r="FD45" s="524"/>
      <c r="FE45" s="524"/>
      <c r="FF45" s="524"/>
      <c r="FG45" s="524"/>
      <c r="FH45" s="524"/>
      <c r="FI45" s="524"/>
      <c r="FJ45" s="524"/>
      <c r="FK45" s="524"/>
      <c r="FL45" s="524"/>
      <c r="FM45" s="524"/>
      <c r="FN45" s="524"/>
      <c r="FO45" s="524"/>
      <c r="FP45" s="524"/>
      <c r="FQ45" s="524"/>
      <c r="FR45" s="524"/>
      <c r="FS45" s="524"/>
      <c r="FT45" s="524"/>
      <c r="FU45" s="524"/>
      <c r="FV45" s="524"/>
      <c r="FW45" s="524"/>
      <c r="FX45" s="524"/>
      <c r="FY45" s="524"/>
      <c r="FZ45" s="524"/>
      <c r="GA45" s="524"/>
      <c r="GB45" s="524"/>
      <c r="GC45" s="524"/>
      <c r="GD45" s="524"/>
      <c r="GE45" s="524"/>
      <c r="GF45" s="524"/>
      <c r="GG45" s="524"/>
      <c r="GH45" s="524"/>
      <c r="GI45" s="524"/>
      <c r="GJ45" s="524"/>
      <c r="GK45" s="524"/>
      <c r="GL45" s="524"/>
      <c r="GM45" s="524"/>
      <c r="GN45" s="524"/>
      <c r="GO45" s="524"/>
      <c r="GP45" s="524"/>
      <c r="GQ45" s="524"/>
      <c r="GR45" s="524"/>
      <c r="GS45" s="524"/>
      <c r="GT45" s="524"/>
      <c r="GU45" s="524"/>
      <c r="GV45" s="524"/>
      <c r="GW45" s="524"/>
      <c r="GX45" s="524"/>
      <c r="GY45" s="524"/>
      <c r="GZ45" s="524"/>
      <c r="HA45" s="524"/>
      <c r="HB45" s="524"/>
      <c r="HC45" s="524"/>
      <c r="HD45" s="524"/>
      <c r="HE45" s="524"/>
      <c r="HF45" s="524"/>
      <c r="HG45" s="524"/>
      <c r="HH45" s="524"/>
      <c r="HI45" s="524"/>
      <c r="HJ45" s="524"/>
      <c r="HK45" s="524"/>
      <c r="HL45" s="524"/>
      <c r="HM45" s="524"/>
      <c r="HN45" s="524"/>
      <c r="HO45" s="524"/>
      <c r="HP45" s="524"/>
      <c r="HQ45" s="524"/>
      <c r="HR45" s="524"/>
      <c r="HS45" s="524"/>
      <c r="HT45" s="524"/>
      <c r="HU45" s="524"/>
      <c r="HV45" s="524"/>
      <c r="HW45" s="524"/>
      <c r="HX45" s="524"/>
      <c r="HY45" s="524"/>
      <c r="HZ45" s="524"/>
      <c r="IA45" s="524"/>
      <c r="IB45" s="524"/>
      <c r="IC45" s="524"/>
      <c r="ID45" s="524"/>
      <c r="IE45" s="524"/>
      <c r="IF45" s="524"/>
      <c r="IG45" s="524"/>
      <c r="IH45" s="524"/>
      <c r="II45" s="524"/>
      <c r="IJ45" s="524"/>
      <c r="IK45" s="524"/>
      <c r="IL45" s="524"/>
      <c r="IM45" s="524"/>
      <c r="IN45" s="524"/>
      <c r="IO45" s="524"/>
      <c r="IP45" s="524"/>
      <c r="IQ45" s="524"/>
      <c r="IR45" s="524"/>
      <c r="IS45" s="524"/>
      <c r="IT45" s="524"/>
      <c r="IU45" s="524"/>
      <c r="IV45" s="524"/>
      <c r="IW45" s="524"/>
      <c r="IX45" s="524"/>
      <c r="IY45" s="524"/>
      <c r="IZ45" s="524"/>
      <c r="JA45" s="524"/>
      <c r="JB45" s="524"/>
      <c r="JC45" s="524"/>
      <c r="JD45" s="524"/>
      <c r="JE45" s="524"/>
      <c r="JF45" s="524"/>
      <c r="JG45" s="524"/>
      <c r="JH45" s="524"/>
      <c r="JI45" s="524"/>
      <c r="JJ45" s="524"/>
      <c r="JK45" s="524"/>
      <c r="JL45" s="524"/>
      <c r="JM45" s="524"/>
      <c r="JN45" s="524"/>
      <c r="JO45" s="524"/>
      <c r="JP45" s="524"/>
      <c r="JQ45" s="524"/>
      <c r="JR45" s="524"/>
      <c r="JS45" s="524"/>
      <c r="JT45" s="524"/>
      <c r="JU45" s="524"/>
      <c r="JV45" s="524"/>
      <c r="JW45" s="524"/>
      <c r="JX45" s="524"/>
      <c r="JY45" s="524"/>
      <c r="JZ45" s="524"/>
      <c r="KA45" s="524"/>
      <c r="KB45" s="524"/>
      <c r="KC45" s="524"/>
      <c r="KD45" s="524"/>
      <c r="KE45" s="524"/>
      <c r="KF45" s="524"/>
      <c r="KG45" s="524"/>
      <c r="KH45" s="524"/>
      <c r="KI45" s="524"/>
      <c r="KJ45" s="524"/>
      <c r="KK45" s="524"/>
      <c r="KL45" s="524"/>
      <c r="KM45" s="524"/>
      <c r="KN45" s="524"/>
      <c r="KO45" s="524"/>
      <c r="KP45" s="524"/>
      <c r="KQ45" s="524"/>
      <c r="KR45" s="524"/>
      <c r="KS45" s="524"/>
      <c r="KT45" s="524"/>
      <c r="KU45" s="524"/>
      <c r="KV45" s="524"/>
      <c r="KW45" s="524"/>
      <c r="KX45" s="524"/>
      <c r="KY45" s="524"/>
      <c r="KZ45" s="524"/>
      <c r="LA45" s="524"/>
      <c r="LB45" s="524"/>
      <c r="LC45" s="524"/>
      <c r="LD45" s="524"/>
      <c r="LE45" s="524"/>
      <c r="LF45" s="524"/>
      <c r="LG45" s="524"/>
      <c r="LH45" s="524"/>
      <c r="LI45" s="524"/>
      <c r="LJ45" s="524"/>
      <c r="LK45" s="524"/>
      <c r="LL45" s="524"/>
      <c r="LM45" s="524"/>
      <c r="LN45" s="524"/>
      <c r="LO45" s="524"/>
      <c r="LP45" s="524"/>
      <c r="LQ45" s="524"/>
      <c r="LR45" s="524"/>
      <c r="LS45" s="524"/>
      <c r="LT45" s="524"/>
      <c r="LU45" s="524"/>
      <c r="LV45" s="524"/>
      <c r="LW45" s="524"/>
      <c r="LX45" s="524"/>
      <c r="LY45" s="524"/>
      <c r="LZ45" s="524"/>
      <c r="MA45" s="524"/>
      <c r="MB45" s="524"/>
    </row>
    <row r="46" spans="1:340" s="18" customFormat="1" ht="21" customHeight="1">
      <c r="A46" s="2128"/>
      <c r="B46" s="2129"/>
      <c r="C46" s="3107"/>
      <c r="D46" s="2034"/>
      <c r="E46" s="677" t="s">
        <v>5767</v>
      </c>
      <c r="F46" s="3616">
        <f t="shared" si="11"/>
        <v>4900</v>
      </c>
      <c r="G46" s="2125">
        <v>6400</v>
      </c>
      <c r="H46" s="1021">
        <f>F46-G46</f>
        <v>-1500</v>
      </c>
      <c r="I46" s="3601"/>
      <c r="J46" s="681" t="s">
        <v>1134</v>
      </c>
      <c r="K46" s="3602"/>
      <c r="L46" s="3602"/>
      <c r="M46" s="3602"/>
      <c r="N46" s="3602"/>
      <c r="O46" s="3602"/>
      <c r="P46" s="3602"/>
      <c r="Q46" s="684">
        <v>10</v>
      </c>
      <c r="R46" s="684" t="s">
        <v>36</v>
      </c>
      <c r="S46" s="684">
        <v>490000</v>
      </c>
      <c r="T46" s="684" t="s">
        <v>4</v>
      </c>
      <c r="U46" s="684"/>
      <c r="V46" s="684">
        <v>1</v>
      </c>
      <c r="W46" s="684" t="s">
        <v>39</v>
      </c>
      <c r="X46" s="686" t="s">
        <v>5</v>
      </c>
      <c r="Y46" s="871">
        <f t="shared" ref="Y46" si="12">Z46/1000</f>
        <v>4900</v>
      </c>
      <c r="Z46" s="732">
        <f>Q46*S46*V46</f>
        <v>4900000</v>
      </c>
      <c r="AA46" s="3246"/>
      <c r="AB46" s="449"/>
      <c r="AC46" s="449"/>
      <c r="AD46" s="452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524"/>
      <c r="BJ46" s="524"/>
      <c r="BK46" s="524"/>
      <c r="BL46" s="524"/>
      <c r="BM46" s="524"/>
      <c r="BN46" s="524"/>
      <c r="BO46" s="524"/>
      <c r="BP46" s="524"/>
      <c r="BQ46" s="524"/>
      <c r="BR46" s="524"/>
      <c r="BS46" s="524"/>
      <c r="BT46" s="524"/>
      <c r="BU46" s="524"/>
      <c r="BV46" s="524"/>
      <c r="BW46" s="524"/>
      <c r="BX46" s="524"/>
      <c r="BY46" s="524"/>
      <c r="BZ46" s="524"/>
      <c r="CA46" s="524"/>
      <c r="CB46" s="524"/>
      <c r="CC46" s="524"/>
      <c r="CD46" s="524"/>
      <c r="CE46" s="524"/>
      <c r="CF46" s="524"/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  <c r="CR46" s="524"/>
      <c r="CS46" s="524"/>
      <c r="CT46" s="524"/>
      <c r="CU46" s="524"/>
      <c r="CV46" s="524"/>
      <c r="CW46" s="524"/>
      <c r="CX46" s="524"/>
      <c r="CY46" s="524"/>
      <c r="CZ46" s="524"/>
      <c r="DA46" s="524"/>
      <c r="DB46" s="524"/>
      <c r="DC46" s="524"/>
      <c r="DD46" s="524"/>
      <c r="DE46" s="524"/>
      <c r="DF46" s="524"/>
      <c r="DG46" s="524"/>
      <c r="DH46" s="524"/>
      <c r="DI46" s="524"/>
      <c r="DJ46" s="524"/>
      <c r="DK46" s="524"/>
      <c r="DL46" s="524"/>
      <c r="DM46" s="524"/>
      <c r="DN46" s="524"/>
      <c r="DO46" s="524"/>
      <c r="DP46" s="524"/>
      <c r="DQ46" s="524"/>
      <c r="DR46" s="524"/>
      <c r="DS46" s="524"/>
      <c r="DT46" s="524"/>
      <c r="DU46" s="524"/>
      <c r="DV46" s="524"/>
      <c r="DW46" s="524"/>
      <c r="DX46" s="524"/>
      <c r="DY46" s="524"/>
      <c r="DZ46" s="524"/>
      <c r="EA46" s="524"/>
      <c r="EB46" s="524"/>
      <c r="EC46" s="524"/>
      <c r="ED46" s="524"/>
      <c r="EE46" s="524"/>
      <c r="EF46" s="524"/>
      <c r="EG46" s="524"/>
      <c r="EH46" s="524"/>
      <c r="EI46" s="524"/>
      <c r="EJ46" s="524"/>
      <c r="EK46" s="524"/>
      <c r="EL46" s="524"/>
      <c r="EM46" s="524"/>
      <c r="EN46" s="524"/>
      <c r="EO46" s="524"/>
      <c r="EP46" s="524"/>
      <c r="EQ46" s="524"/>
      <c r="ER46" s="524"/>
      <c r="ES46" s="524"/>
      <c r="ET46" s="524"/>
      <c r="EU46" s="524"/>
      <c r="EV46" s="524"/>
      <c r="EW46" s="524"/>
      <c r="EX46" s="524"/>
      <c r="EY46" s="524"/>
      <c r="EZ46" s="524"/>
      <c r="FA46" s="524"/>
      <c r="FB46" s="524"/>
      <c r="FC46" s="524"/>
      <c r="FD46" s="524"/>
      <c r="FE46" s="524"/>
      <c r="FF46" s="524"/>
      <c r="FG46" s="524"/>
      <c r="FH46" s="524"/>
      <c r="FI46" s="524"/>
      <c r="FJ46" s="524"/>
      <c r="FK46" s="524"/>
      <c r="FL46" s="524"/>
      <c r="FM46" s="524"/>
      <c r="FN46" s="524"/>
      <c r="FO46" s="524"/>
      <c r="FP46" s="524"/>
      <c r="FQ46" s="524"/>
      <c r="FR46" s="524"/>
      <c r="FS46" s="524"/>
      <c r="FT46" s="524"/>
      <c r="FU46" s="524"/>
      <c r="FV46" s="524"/>
      <c r="FW46" s="524"/>
      <c r="FX46" s="524"/>
      <c r="FY46" s="524"/>
      <c r="FZ46" s="524"/>
      <c r="GA46" s="524"/>
      <c r="GB46" s="524"/>
      <c r="GC46" s="524"/>
      <c r="GD46" s="524"/>
      <c r="GE46" s="524"/>
      <c r="GF46" s="524"/>
      <c r="GG46" s="524"/>
      <c r="GH46" s="524"/>
      <c r="GI46" s="524"/>
      <c r="GJ46" s="524"/>
      <c r="GK46" s="524"/>
      <c r="GL46" s="524"/>
      <c r="GM46" s="524"/>
      <c r="GN46" s="524"/>
      <c r="GO46" s="524"/>
      <c r="GP46" s="524"/>
      <c r="GQ46" s="524"/>
      <c r="GR46" s="524"/>
      <c r="GS46" s="524"/>
      <c r="GT46" s="524"/>
      <c r="GU46" s="524"/>
      <c r="GV46" s="524"/>
      <c r="GW46" s="524"/>
      <c r="GX46" s="524"/>
      <c r="GY46" s="524"/>
      <c r="GZ46" s="524"/>
      <c r="HA46" s="524"/>
      <c r="HB46" s="524"/>
      <c r="HC46" s="524"/>
      <c r="HD46" s="524"/>
      <c r="HE46" s="524"/>
      <c r="HF46" s="524"/>
      <c r="HG46" s="524"/>
      <c r="HH46" s="524"/>
      <c r="HI46" s="524"/>
      <c r="HJ46" s="524"/>
      <c r="HK46" s="524"/>
      <c r="HL46" s="524"/>
      <c r="HM46" s="524"/>
      <c r="HN46" s="524"/>
      <c r="HO46" s="524"/>
      <c r="HP46" s="524"/>
      <c r="HQ46" s="524"/>
      <c r="HR46" s="524"/>
      <c r="HS46" s="524"/>
      <c r="HT46" s="524"/>
      <c r="HU46" s="524"/>
      <c r="HV46" s="524"/>
      <c r="HW46" s="524"/>
      <c r="HX46" s="524"/>
      <c r="HY46" s="524"/>
      <c r="HZ46" s="524"/>
      <c r="IA46" s="524"/>
      <c r="IB46" s="524"/>
      <c r="IC46" s="524"/>
      <c r="ID46" s="524"/>
      <c r="IE46" s="524"/>
      <c r="IF46" s="524"/>
      <c r="IG46" s="524"/>
      <c r="IH46" s="524"/>
      <c r="II46" s="524"/>
      <c r="IJ46" s="524"/>
      <c r="IK46" s="524"/>
      <c r="IL46" s="524"/>
      <c r="IM46" s="524"/>
      <c r="IN46" s="524"/>
      <c r="IO46" s="524"/>
      <c r="IP46" s="524"/>
      <c r="IQ46" s="524"/>
      <c r="IR46" s="524"/>
      <c r="IS46" s="524"/>
      <c r="IT46" s="524"/>
      <c r="IU46" s="524"/>
      <c r="IV46" s="524"/>
      <c r="IW46" s="524"/>
      <c r="IX46" s="524"/>
      <c r="IY46" s="524"/>
      <c r="IZ46" s="524"/>
      <c r="JA46" s="524"/>
      <c r="JB46" s="524"/>
      <c r="JC46" s="524"/>
      <c r="JD46" s="524"/>
      <c r="JE46" s="524"/>
      <c r="JF46" s="524"/>
      <c r="JG46" s="524"/>
      <c r="JH46" s="524"/>
      <c r="JI46" s="524"/>
      <c r="JJ46" s="524"/>
      <c r="JK46" s="524"/>
      <c r="JL46" s="524"/>
      <c r="JM46" s="524"/>
      <c r="JN46" s="524"/>
      <c r="JO46" s="524"/>
      <c r="JP46" s="524"/>
      <c r="JQ46" s="524"/>
      <c r="JR46" s="524"/>
      <c r="JS46" s="524"/>
      <c r="JT46" s="524"/>
      <c r="JU46" s="524"/>
      <c r="JV46" s="524"/>
      <c r="JW46" s="524"/>
      <c r="JX46" s="524"/>
      <c r="JY46" s="524"/>
      <c r="JZ46" s="524"/>
      <c r="KA46" s="524"/>
      <c r="KB46" s="524"/>
      <c r="KC46" s="524"/>
      <c r="KD46" s="524"/>
      <c r="KE46" s="524"/>
      <c r="KF46" s="524"/>
      <c r="KG46" s="524"/>
      <c r="KH46" s="524"/>
      <c r="KI46" s="524"/>
      <c r="KJ46" s="524"/>
      <c r="KK46" s="524"/>
      <c r="KL46" s="524"/>
      <c r="KM46" s="524"/>
      <c r="KN46" s="524"/>
      <c r="KO46" s="524"/>
      <c r="KP46" s="524"/>
      <c r="KQ46" s="524"/>
      <c r="KR46" s="524"/>
      <c r="KS46" s="524"/>
      <c r="KT46" s="524"/>
      <c r="KU46" s="524"/>
      <c r="KV46" s="524"/>
      <c r="KW46" s="524"/>
      <c r="KX46" s="524"/>
      <c r="KY46" s="524"/>
      <c r="KZ46" s="524"/>
      <c r="LA46" s="524"/>
      <c r="LB46" s="524"/>
      <c r="LC46" s="524"/>
      <c r="LD46" s="524"/>
      <c r="LE46" s="524"/>
      <c r="LF46" s="524"/>
      <c r="LG46" s="524"/>
      <c r="LH46" s="524"/>
      <c r="LI46" s="524"/>
      <c r="LJ46" s="524"/>
      <c r="LK46" s="524"/>
      <c r="LL46" s="524"/>
      <c r="LM46" s="524"/>
      <c r="LN46" s="524"/>
      <c r="LO46" s="524"/>
      <c r="LP46" s="524"/>
      <c r="LQ46" s="524"/>
      <c r="LR46" s="524"/>
      <c r="LS46" s="524"/>
      <c r="LT46" s="524"/>
      <c r="LU46" s="524"/>
      <c r="LV46" s="524"/>
      <c r="LW46" s="524"/>
      <c r="LX46" s="524"/>
      <c r="LY46" s="524"/>
      <c r="LZ46" s="524"/>
      <c r="MA46" s="524"/>
      <c r="MB46" s="524"/>
    </row>
    <row r="47" spans="1:340" s="18" customFormat="1" ht="21" customHeight="1">
      <c r="A47" s="2128"/>
      <c r="B47" s="2129"/>
      <c r="C47" s="3107"/>
      <c r="D47" s="2034"/>
      <c r="E47" s="677" t="s">
        <v>5768</v>
      </c>
      <c r="F47" s="3616">
        <f t="shared" si="11"/>
        <v>1400</v>
      </c>
      <c r="G47" s="2125">
        <v>1400</v>
      </c>
      <c r="H47" s="1021"/>
      <c r="I47" s="3601"/>
      <c r="J47" s="681" t="s">
        <v>5202</v>
      </c>
      <c r="K47" s="3602"/>
      <c r="L47" s="3602"/>
      <c r="M47" s="3602"/>
      <c r="N47" s="3602"/>
      <c r="O47" s="3602"/>
      <c r="P47" s="3602"/>
      <c r="Q47" s="684">
        <v>7</v>
      </c>
      <c r="R47" s="684" t="s">
        <v>36</v>
      </c>
      <c r="S47" s="684">
        <v>200000</v>
      </c>
      <c r="T47" s="684" t="s">
        <v>4</v>
      </c>
      <c r="U47" s="684"/>
      <c r="V47" s="684">
        <v>1</v>
      </c>
      <c r="W47" s="684" t="s">
        <v>39</v>
      </c>
      <c r="X47" s="686" t="s">
        <v>5</v>
      </c>
      <c r="Y47" s="871">
        <f>Z47/1000</f>
        <v>1400</v>
      </c>
      <c r="Z47" s="732">
        <f>Q47*S47*V47</f>
        <v>1400000</v>
      </c>
      <c r="AA47" s="3246"/>
      <c r="AB47" s="449"/>
      <c r="AC47" s="449"/>
      <c r="AD47" s="452"/>
      <c r="AE47" s="524"/>
      <c r="AF47" s="524"/>
      <c r="AG47" s="524"/>
      <c r="AH47" s="524"/>
      <c r="AI47" s="524"/>
      <c r="AJ47" s="524"/>
      <c r="AK47" s="524"/>
      <c r="AL47" s="524"/>
      <c r="AM47" s="524"/>
      <c r="AN47" s="524"/>
      <c r="AO47" s="524"/>
      <c r="AP47" s="524"/>
      <c r="AQ47" s="524"/>
      <c r="AR47" s="524"/>
      <c r="AS47" s="524"/>
      <c r="AT47" s="524"/>
      <c r="AU47" s="524"/>
      <c r="AV47" s="524"/>
      <c r="AW47" s="524"/>
      <c r="AX47" s="524"/>
      <c r="AY47" s="524"/>
      <c r="AZ47" s="524"/>
      <c r="BA47" s="524"/>
      <c r="BB47" s="524"/>
      <c r="BC47" s="524"/>
      <c r="BD47" s="524"/>
      <c r="BE47" s="524"/>
      <c r="BF47" s="524"/>
      <c r="BG47" s="524"/>
      <c r="BH47" s="524"/>
      <c r="BI47" s="524"/>
      <c r="BJ47" s="524"/>
      <c r="BK47" s="524"/>
      <c r="BL47" s="524"/>
      <c r="BM47" s="524"/>
      <c r="BN47" s="524"/>
      <c r="BO47" s="524"/>
      <c r="BP47" s="524"/>
      <c r="BQ47" s="524"/>
      <c r="BR47" s="524"/>
      <c r="BS47" s="524"/>
      <c r="BT47" s="524"/>
      <c r="BU47" s="524"/>
      <c r="BV47" s="524"/>
      <c r="BW47" s="524"/>
      <c r="BX47" s="524"/>
      <c r="BY47" s="524"/>
      <c r="BZ47" s="524"/>
      <c r="CA47" s="524"/>
      <c r="CB47" s="524"/>
      <c r="CC47" s="524"/>
      <c r="CD47" s="524"/>
      <c r="CE47" s="524"/>
      <c r="CF47" s="524"/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  <c r="CR47" s="524"/>
      <c r="CS47" s="524"/>
      <c r="CT47" s="524"/>
      <c r="CU47" s="524"/>
      <c r="CV47" s="524"/>
      <c r="CW47" s="524"/>
      <c r="CX47" s="524"/>
      <c r="CY47" s="524"/>
      <c r="CZ47" s="524"/>
      <c r="DA47" s="524"/>
      <c r="DB47" s="524"/>
      <c r="DC47" s="524"/>
      <c r="DD47" s="524"/>
      <c r="DE47" s="524"/>
      <c r="DF47" s="524"/>
      <c r="DG47" s="524"/>
      <c r="DH47" s="524"/>
      <c r="DI47" s="524"/>
      <c r="DJ47" s="524"/>
      <c r="DK47" s="524"/>
      <c r="DL47" s="524"/>
      <c r="DM47" s="524"/>
      <c r="DN47" s="524"/>
      <c r="DO47" s="524"/>
      <c r="DP47" s="524"/>
      <c r="DQ47" s="524"/>
      <c r="DR47" s="524"/>
      <c r="DS47" s="524"/>
      <c r="DT47" s="524"/>
      <c r="DU47" s="524"/>
      <c r="DV47" s="524"/>
      <c r="DW47" s="524"/>
      <c r="DX47" s="524"/>
      <c r="DY47" s="524"/>
      <c r="DZ47" s="524"/>
      <c r="EA47" s="524"/>
      <c r="EB47" s="524"/>
      <c r="EC47" s="524"/>
      <c r="ED47" s="524"/>
      <c r="EE47" s="524"/>
      <c r="EF47" s="524"/>
      <c r="EG47" s="524"/>
      <c r="EH47" s="524"/>
      <c r="EI47" s="524"/>
      <c r="EJ47" s="524"/>
      <c r="EK47" s="524"/>
      <c r="EL47" s="524"/>
      <c r="EM47" s="524"/>
      <c r="EN47" s="524"/>
      <c r="EO47" s="524"/>
      <c r="EP47" s="524"/>
      <c r="EQ47" s="524"/>
      <c r="ER47" s="524"/>
      <c r="ES47" s="524"/>
      <c r="ET47" s="524"/>
      <c r="EU47" s="524"/>
      <c r="EV47" s="524"/>
      <c r="EW47" s="524"/>
      <c r="EX47" s="524"/>
      <c r="EY47" s="524"/>
      <c r="EZ47" s="524"/>
      <c r="FA47" s="524"/>
      <c r="FB47" s="524"/>
      <c r="FC47" s="524"/>
      <c r="FD47" s="524"/>
      <c r="FE47" s="524"/>
      <c r="FF47" s="524"/>
      <c r="FG47" s="524"/>
      <c r="FH47" s="524"/>
      <c r="FI47" s="524"/>
      <c r="FJ47" s="524"/>
      <c r="FK47" s="524"/>
      <c r="FL47" s="524"/>
      <c r="FM47" s="524"/>
      <c r="FN47" s="524"/>
      <c r="FO47" s="524"/>
      <c r="FP47" s="524"/>
      <c r="FQ47" s="524"/>
      <c r="FR47" s="524"/>
      <c r="FS47" s="524"/>
      <c r="FT47" s="524"/>
      <c r="FU47" s="524"/>
      <c r="FV47" s="524"/>
      <c r="FW47" s="524"/>
      <c r="FX47" s="524"/>
      <c r="FY47" s="524"/>
      <c r="FZ47" s="524"/>
      <c r="GA47" s="524"/>
      <c r="GB47" s="524"/>
      <c r="GC47" s="524"/>
      <c r="GD47" s="524"/>
      <c r="GE47" s="524"/>
      <c r="GF47" s="524"/>
      <c r="GG47" s="524"/>
      <c r="GH47" s="524"/>
      <c r="GI47" s="524"/>
      <c r="GJ47" s="524"/>
      <c r="GK47" s="524"/>
      <c r="GL47" s="524"/>
      <c r="GM47" s="524"/>
      <c r="GN47" s="524"/>
      <c r="GO47" s="524"/>
      <c r="GP47" s="524"/>
      <c r="GQ47" s="524"/>
      <c r="GR47" s="524"/>
      <c r="GS47" s="524"/>
      <c r="GT47" s="524"/>
      <c r="GU47" s="524"/>
      <c r="GV47" s="524"/>
      <c r="GW47" s="524"/>
      <c r="GX47" s="524"/>
      <c r="GY47" s="524"/>
      <c r="GZ47" s="524"/>
      <c r="HA47" s="524"/>
      <c r="HB47" s="524"/>
      <c r="HC47" s="524"/>
      <c r="HD47" s="524"/>
      <c r="HE47" s="524"/>
      <c r="HF47" s="524"/>
      <c r="HG47" s="524"/>
      <c r="HH47" s="524"/>
      <c r="HI47" s="524"/>
      <c r="HJ47" s="524"/>
      <c r="HK47" s="524"/>
      <c r="HL47" s="524"/>
      <c r="HM47" s="524"/>
      <c r="HN47" s="524"/>
      <c r="HO47" s="524"/>
      <c r="HP47" s="524"/>
      <c r="HQ47" s="524"/>
      <c r="HR47" s="524"/>
      <c r="HS47" s="524"/>
      <c r="HT47" s="524"/>
      <c r="HU47" s="524"/>
      <c r="HV47" s="524"/>
      <c r="HW47" s="524"/>
      <c r="HX47" s="524"/>
      <c r="HY47" s="524"/>
      <c r="HZ47" s="524"/>
      <c r="IA47" s="524"/>
      <c r="IB47" s="524"/>
      <c r="IC47" s="524"/>
      <c r="ID47" s="524"/>
      <c r="IE47" s="524"/>
      <c r="IF47" s="524"/>
      <c r="IG47" s="524"/>
      <c r="IH47" s="524"/>
      <c r="II47" s="524"/>
      <c r="IJ47" s="524"/>
      <c r="IK47" s="524"/>
      <c r="IL47" s="524"/>
      <c r="IM47" s="524"/>
      <c r="IN47" s="524"/>
      <c r="IO47" s="524"/>
      <c r="IP47" s="524"/>
      <c r="IQ47" s="524"/>
      <c r="IR47" s="524"/>
      <c r="IS47" s="524"/>
      <c r="IT47" s="524"/>
      <c r="IU47" s="524"/>
      <c r="IV47" s="524"/>
      <c r="IW47" s="524"/>
      <c r="IX47" s="524"/>
      <c r="IY47" s="524"/>
      <c r="IZ47" s="524"/>
      <c r="JA47" s="524"/>
      <c r="JB47" s="524"/>
      <c r="JC47" s="524"/>
      <c r="JD47" s="524"/>
      <c r="JE47" s="524"/>
      <c r="JF47" s="524"/>
      <c r="JG47" s="524"/>
      <c r="JH47" s="524"/>
      <c r="JI47" s="524"/>
      <c r="JJ47" s="524"/>
      <c r="JK47" s="524"/>
      <c r="JL47" s="524"/>
      <c r="JM47" s="524"/>
      <c r="JN47" s="524"/>
      <c r="JO47" s="524"/>
      <c r="JP47" s="524"/>
      <c r="JQ47" s="524"/>
      <c r="JR47" s="524"/>
      <c r="JS47" s="524"/>
      <c r="JT47" s="524"/>
      <c r="JU47" s="524"/>
      <c r="JV47" s="524"/>
      <c r="JW47" s="524"/>
      <c r="JX47" s="524"/>
      <c r="JY47" s="524"/>
      <c r="JZ47" s="524"/>
      <c r="KA47" s="524"/>
      <c r="KB47" s="524"/>
      <c r="KC47" s="524"/>
      <c r="KD47" s="524"/>
      <c r="KE47" s="524"/>
      <c r="KF47" s="524"/>
      <c r="KG47" s="524"/>
      <c r="KH47" s="524"/>
      <c r="KI47" s="524"/>
      <c r="KJ47" s="524"/>
      <c r="KK47" s="524"/>
      <c r="KL47" s="524"/>
      <c r="KM47" s="524"/>
      <c r="KN47" s="524"/>
      <c r="KO47" s="524"/>
      <c r="KP47" s="524"/>
      <c r="KQ47" s="524"/>
      <c r="KR47" s="524"/>
      <c r="KS47" s="524"/>
      <c r="KT47" s="524"/>
      <c r="KU47" s="524"/>
      <c r="KV47" s="524"/>
      <c r="KW47" s="524"/>
      <c r="KX47" s="524"/>
      <c r="KY47" s="524"/>
      <c r="KZ47" s="524"/>
      <c r="LA47" s="524"/>
      <c r="LB47" s="524"/>
      <c r="LC47" s="524"/>
      <c r="LD47" s="524"/>
      <c r="LE47" s="524"/>
      <c r="LF47" s="524"/>
      <c r="LG47" s="524"/>
      <c r="LH47" s="524"/>
      <c r="LI47" s="524"/>
      <c r="LJ47" s="524"/>
      <c r="LK47" s="524"/>
      <c r="LL47" s="524"/>
      <c r="LM47" s="524"/>
      <c r="LN47" s="524"/>
      <c r="LO47" s="524"/>
      <c r="LP47" s="524"/>
      <c r="LQ47" s="524"/>
      <c r="LR47" s="524"/>
      <c r="LS47" s="524"/>
      <c r="LT47" s="524"/>
      <c r="LU47" s="524"/>
      <c r="LV47" s="524"/>
      <c r="LW47" s="524"/>
      <c r="LX47" s="524"/>
      <c r="LY47" s="524"/>
      <c r="LZ47" s="524"/>
      <c r="MA47" s="524"/>
      <c r="MB47" s="524"/>
    </row>
    <row r="48" spans="1:340" s="18" customFormat="1" ht="21" customHeight="1">
      <c r="A48" s="2128"/>
      <c r="B48" s="2129"/>
      <c r="C48" s="3107"/>
      <c r="D48" s="2034"/>
      <c r="E48" s="677" t="s">
        <v>5769</v>
      </c>
      <c r="F48" s="3616">
        <f t="shared" si="11"/>
        <v>600</v>
      </c>
      <c r="G48" s="2125">
        <v>600</v>
      </c>
      <c r="H48" s="1021"/>
      <c r="I48" s="3601"/>
      <c r="J48" s="681" t="s">
        <v>5773</v>
      </c>
      <c r="K48" s="3697"/>
      <c r="L48" s="3697"/>
      <c r="M48" s="3697"/>
      <c r="N48" s="3697"/>
      <c r="O48" s="3697"/>
      <c r="P48" s="3697"/>
      <c r="Q48" s="684">
        <v>3</v>
      </c>
      <c r="R48" s="684" t="s">
        <v>36</v>
      </c>
      <c r="S48" s="684">
        <v>200000</v>
      </c>
      <c r="T48" s="684" t="s">
        <v>4</v>
      </c>
      <c r="U48" s="684"/>
      <c r="V48" s="684">
        <v>1</v>
      </c>
      <c r="W48" s="684" t="s">
        <v>39</v>
      </c>
      <c r="X48" s="686" t="s">
        <v>5</v>
      </c>
      <c r="Y48" s="871">
        <f>Z48/1000</f>
        <v>600</v>
      </c>
      <c r="Z48" s="732">
        <f>Q48*S48*V48</f>
        <v>600000</v>
      </c>
      <c r="AA48" s="3246"/>
      <c r="AB48" s="449"/>
      <c r="AC48" s="449"/>
      <c r="AD48" s="452"/>
      <c r="AE48" s="524"/>
      <c r="AF48" s="524"/>
      <c r="AG48" s="524"/>
      <c r="AH48" s="524"/>
      <c r="AI48" s="524"/>
      <c r="AJ48" s="524"/>
      <c r="AK48" s="524"/>
      <c r="AL48" s="524"/>
      <c r="AM48" s="524"/>
      <c r="AN48" s="524"/>
      <c r="AO48" s="524"/>
      <c r="AP48" s="524"/>
      <c r="AQ48" s="524"/>
      <c r="AR48" s="524"/>
      <c r="AS48" s="524"/>
      <c r="AT48" s="524"/>
      <c r="AU48" s="524"/>
      <c r="AV48" s="524"/>
      <c r="AW48" s="524"/>
      <c r="AX48" s="524"/>
      <c r="AY48" s="524"/>
      <c r="AZ48" s="524"/>
      <c r="BA48" s="524"/>
      <c r="BB48" s="524"/>
      <c r="BC48" s="524"/>
      <c r="BD48" s="524"/>
      <c r="BE48" s="524"/>
      <c r="BF48" s="524"/>
      <c r="BG48" s="524"/>
      <c r="BH48" s="524"/>
      <c r="BI48" s="524"/>
      <c r="BJ48" s="524"/>
      <c r="BK48" s="524"/>
      <c r="BL48" s="524"/>
      <c r="BM48" s="524"/>
      <c r="BN48" s="524"/>
      <c r="BO48" s="524"/>
      <c r="BP48" s="524"/>
      <c r="BQ48" s="524"/>
      <c r="BR48" s="524"/>
      <c r="BS48" s="524"/>
      <c r="BT48" s="524"/>
      <c r="BU48" s="524"/>
      <c r="BV48" s="524"/>
      <c r="BW48" s="524"/>
      <c r="BX48" s="524"/>
      <c r="BY48" s="524"/>
      <c r="BZ48" s="524"/>
      <c r="CA48" s="524"/>
      <c r="CB48" s="524"/>
      <c r="CC48" s="524"/>
      <c r="CD48" s="524"/>
      <c r="CE48" s="524"/>
      <c r="CF48" s="524"/>
      <c r="CG48" s="524"/>
      <c r="CH48" s="524"/>
      <c r="CI48" s="524"/>
      <c r="CJ48" s="524"/>
      <c r="CK48" s="524"/>
      <c r="CL48" s="524"/>
      <c r="CM48" s="524"/>
      <c r="CN48" s="524"/>
      <c r="CO48" s="524"/>
      <c r="CP48" s="524"/>
      <c r="CQ48" s="524"/>
      <c r="CR48" s="524"/>
      <c r="CS48" s="524"/>
      <c r="CT48" s="524"/>
      <c r="CU48" s="524"/>
      <c r="CV48" s="524"/>
      <c r="CW48" s="524"/>
      <c r="CX48" s="524"/>
      <c r="CY48" s="524"/>
      <c r="CZ48" s="524"/>
      <c r="DA48" s="524"/>
      <c r="DB48" s="524"/>
      <c r="DC48" s="524"/>
      <c r="DD48" s="524"/>
      <c r="DE48" s="524"/>
      <c r="DF48" s="524"/>
      <c r="DG48" s="524"/>
      <c r="DH48" s="524"/>
      <c r="DI48" s="524"/>
      <c r="DJ48" s="524"/>
      <c r="DK48" s="524"/>
      <c r="DL48" s="524"/>
      <c r="DM48" s="524"/>
      <c r="DN48" s="524"/>
      <c r="DO48" s="524"/>
      <c r="DP48" s="524"/>
      <c r="DQ48" s="524"/>
      <c r="DR48" s="524"/>
      <c r="DS48" s="524"/>
      <c r="DT48" s="524"/>
      <c r="DU48" s="524"/>
      <c r="DV48" s="524"/>
      <c r="DW48" s="524"/>
      <c r="DX48" s="524"/>
      <c r="DY48" s="524"/>
      <c r="DZ48" s="524"/>
      <c r="EA48" s="524"/>
      <c r="EB48" s="524"/>
      <c r="EC48" s="524"/>
      <c r="ED48" s="524"/>
      <c r="EE48" s="524"/>
      <c r="EF48" s="524"/>
      <c r="EG48" s="524"/>
      <c r="EH48" s="524"/>
      <c r="EI48" s="524"/>
      <c r="EJ48" s="524"/>
      <c r="EK48" s="524"/>
      <c r="EL48" s="524"/>
      <c r="EM48" s="524"/>
      <c r="EN48" s="524"/>
      <c r="EO48" s="524"/>
      <c r="EP48" s="524"/>
      <c r="EQ48" s="524"/>
      <c r="ER48" s="524"/>
      <c r="ES48" s="524"/>
      <c r="ET48" s="524"/>
      <c r="EU48" s="524"/>
      <c r="EV48" s="524"/>
      <c r="EW48" s="524"/>
      <c r="EX48" s="524"/>
      <c r="EY48" s="524"/>
      <c r="EZ48" s="524"/>
      <c r="FA48" s="524"/>
      <c r="FB48" s="524"/>
      <c r="FC48" s="524"/>
      <c r="FD48" s="524"/>
      <c r="FE48" s="524"/>
      <c r="FF48" s="524"/>
      <c r="FG48" s="524"/>
      <c r="FH48" s="524"/>
      <c r="FI48" s="524"/>
      <c r="FJ48" s="524"/>
      <c r="FK48" s="524"/>
      <c r="FL48" s="524"/>
      <c r="FM48" s="524"/>
      <c r="FN48" s="524"/>
      <c r="FO48" s="524"/>
      <c r="FP48" s="524"/>
      <c r="FQ48" s="524"/>
      <c r="FR48" s="524"/>
      <c r="FS48" s="524"/>
      <c r="FT48" s="524"/>
      <c r="FU48" s="524"/>
      <c r="FV48" s="524"/>
      <c r="FW48" s="524"/>
      <c r="FX48" s="524"/>
      <c r="FY48" s="524"/>
      <c r="FZ48" s="524"/>
      <c r="GA48" s="524"/>
      <c r="GB48" s="524"/>
      <c r="GC48" s="524"/>
      <c r="GD48" s="524"/>
      <c r="GE48" s="524"/>
      <c r="GF48" s="524"/>
      <c r="GG48" s="524"/>
      <c r="GH48" s="524"/>
      <c r="GI48" s="524"/>
      <c r="GJ48" s="524"/>
      <c r="GK48" s="524"/>
      <c r="GL48" s="524"/>
      <c r="GM48" s="524"/>
      <c r="GN48" s="524"/>
      <c r="GO48" s="524"/>
      <c r="GP48" s="524"/>
      <c r="GQ48" s="524"/>
      <c r="GR48" s="524"/>
      <c r="GS48" s="524"/>
      <c r="GT48" s="524"/>
      <c r="GU48" s="524"/>
      <c r="GV48" s="524"/>
      <c r="GW48" s="524"/>
      <c r="GX48" s="524"/>
      <c r="GY48" s="524"/>
      <c r="GZ48" s="524"/>
      <c r="HA48" s="524"/>
      <c r="HB48" s="524"/>
      <c r="HC48" s="524"/>
      <c r="HD48" s="524"/>
      <c r="HE48" s="524"/>
      <c r="HF48" s="524"/>
      <c r="HG48" s="524"/>
      <c r="HH48" s="524"/>
      <c r="HI48" s="524"/>
      <c r="HJ48" s="524"/>
      <c r="HK48" s="524"/>
      <c r="HL48" s="524"/>
      <c r="HM48" s="524"/>
      <c r="HN48" s="524"/>
      <c r="HO48" s="524"/>
      <c r="HP48" s="524"/>
      <c r="HQ48" s="524"/>
      <c r="HR48" s="524"/>
      <c r="HS48" s="524"/>
      <c r="HT48" s="524"/>
      <c r="HU48" s="524"/>
      <c r="HV48" s="524"/>
      <c r="HW48" s="524"/>
      <c r="HX48" s="524"/>
      <c r="HY48" s="524"/>
      <c r="HZ48" s="524"/>
      <c r="IA48" s="524"/>
      <c r="IB48" s="524"/>
      <c r="IC48" s="524"/>
      <c r="ID48" s="524"/>
      <c r="IE48" s="524"/>
      <c r="IF48" s="524"/>
      <c r="IG48" s="524"/>
      <c r="IH48" s="524"/>
      <c r="II48" s="524"/>
      <c r="IJ48" s="524"/>
      <c r="IK48" s="524"/>
      <c r="IL48" s="524"/>
      <c r="IM48" s="524"/>
      <c r="IN48" s="524"/>
      <c r="IO48" s="524"/>
      <c r="IP48" s="524"/>
      <c r="IQ48" s="524"/>
      <c r="IR48" s="524"/>
      <c r="IS48" s="524"/>
      <c r="IT48" s="524"/>
      <c r="IU48" s="524"/>
      <c r="IV48" s="524"/>
      <c r="IW48" s="524"/>
      <c r="IX48" s="524"/>
      <c r="IY48" s="524"/>
      <c r="IZ48" s="524"/>
      <c r="JA48" s="524"/>
      <c r="JB48" s="524"/>
      <c r="JC48" s="524"/>
      <c r="JD48" s="524"/>
      <c r="JE48" s="524"/>
      <c r="JF48" s="524"/>
      <c r="JG48" s="524"/>
      <c r="JH48" s="524"/>
      <c r="JI48" s="524"/>
      <c r="JJ48" s="524"/>
      <c r="JK48" s="524"/>
      <c r="JL48" s="524"/>
      <c r="JM48" s="524"/>
      <c r="JN48" s="524"/>
      <c r="JO48" s="524"/>
      <c r="JP48" s="524"/>
      <c r="JQ48" s="524"/>
      <c r="JR48" s="524"/>
      <c r="JS48" s="524"/>
      <c r="JT48" s="524"/>
      <c r="JU48" s="524"/>
      <c r="JV48" s="524"/>
      <c r="JW48" s="524"/>
      <c r="JX48" s="524"/>
      <c r="JY48" s="524"/>
      <c r="JZ48" s="524"/>
      <c r="KA48" s="524"/>
      <c r="KB48" s="524"/>
      <c r="KC48" s="524"/>
      <c r="KD48" s="524"/>
      <c r="KE48" s="524"/>
      <c r="KF48" s="524"/>
      <c r="KG48" s="524"/>
      <c r="KH48" s="524"/>
      <c r="KI48" s="524"/>
      <c r="KJ48" s="524"/>
      <c r="KK48" s="524"/>
      <c r="KL48" s="524"/>
      <c r="KM48" s="524"/>
      <c r="KN48" s="524"/>
      <c r="KO48" s="524"/>
      <c r="KP48" s="524"/>
      <c r="KQ48" s="524"/>
      <c r="KR48" s="524"/>
      <c r="KS48" s="524"/>
      <c r="KT48" s="524"/>
      <c r="KU48" s="524"/>
      <c r="KV48" s="524"/>
      <c r="KW48" s="524"/>
      <c r="KX48" s="524"/>
      <c r="KY48" s="524"/>
      <c r="KZ48" s="524"/>
      <c r="LA48" s="524"/>
      <c r="LB48" s="524"/>
      <c r="LC48" s="524"/>
      <c r="LD48" s="524"/>
      <c r="LE48" s="524"/>
      <c r="LF48" s="524"/>
      <c r="LG48" s="524"/>
      <c r="LH48" s="524"/>
      <c r="LI48" s="524"/>
      <c r="LJ48" s="524"/>
      <c r="LK48" s="524"/>
      <c r="LL48" s="524"/>
      <c r="LM48" s="524"/>
      <c r="LN48" s="524"/>
      <c r="LO48" s="524"/>
      <c r="LP48" s="524"/>
      <c r="LQ48" s="524"/>
      <c r="LR48" s="524"/>
      <c r="LS48" s="524"/>
      <c r="LT48" s="524"/>
      <c r="LU48" s="524"/>
      <c r="LV48" s="524"/>
      <c r="LW48" s="524"/>
      <c r="LX48" s="524"/>
      <c r="LY48" s="524"/>
      <c r="LZ48" s="524"/>
      <c r="MA48" s="524"/>
      <c r="MB48" s="524"/>
    </row>
    <row r="49" spans="1:340" s="18" customFormat="1" ht="21" customHeight="1">
      <c r="A49" s="2128"/>
      <c r="B49" s="2129"/>
      <c r="C49" s="3107"/>
      <c r="D49" s="2034"/>
      <c r="E49" s="2023" t="s">
        <v>5770</v>
      </c>
      <c r="F49" s="593">
        <f t="shared" si="11"/>
        <v>5500</v>
      </c>
      <c r="G49" s="526">
        <v>4000</v>
      </c>
      <c r="H49" s="1021">
        <f>F49-G49</f>
        <v>1500</v>
      </c>
      <c r="I49" s="3607"/>
      <c r="J49" s="681" t="s">
        <v>8</v>
      </c>
      <c r="K49" s="3602"/>
      <c r="L49" s="3602"/>
      <c r="M49" s="3602"/>
      <c r="N49" s="3602"/>
      <c r="O49" s="3602"/>
      <c r="P49" s="3602"/>
      <c r="Q49" s="684"/>
      <c r="R49" s="2127"/>
      <c r="S49" s="684"/>
      <c r="T49" s="684"/>
      <c r="U49" s="684"/>
      <c r="V49" s="684"/>
      <c r="W49" s="684"/>
      <c r="X49" s="686"/>
      <c r="Y49" s="871">
        <f t="shared" ref="Y49:Y51" si="13">Z49/1000</f>
        <v>5500</v>
      </c>
      <c r="Z49" s="732">
        <f>SUM(Z50:Z51)</f>
        <v>5500000</v>
      </c>
      <c r="AA49" s="3246"/>
      <c r="AB49" s="449"/>
      <c r="AC49" s="449"/>
      <c r="AD49" s="452"/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/>
      <c r="AP49" s="524"/>
      <c r="AQ49" s="524"/>
      <c r="AR49" s="524"/>
      <c r="AS49" s="524"/>
      <c r="AT49" s="524"/>
      <c r="AU49" s="524"/>
      <c r="AV49" s="524"/>
      <c r="AW49" s="524"/>
      <c r="AX49" s="524"/>
      <c r="AY49" s="524"/>
      <c r="AZ49" s="524"/>
      <c r="BA49" s="524"/>
      <c r="BB49" s="524"/>
      <c r="BC49" s="524"/>
      <c r="BD49" s="524"/>
      <c r="BE49" s="524"/>
      <c r="BF49" s="524"/>
      <c r="BG49" s="524"/>
      <c r="BH49" s="524"/>
      <c r="BI49" s="524"/>
      <c r="BJ49" s="524"/>
      <c r="BK49" s="524"/>
      <c r="BL49" s="524"/>
      <c r="BM49" s="524"/>
      <c r="BN49" s="524"/>
      <c r="BO49" s="524"/>
      <c r="BP49" s="524"/>
      <c r="BQ49" s="524"/>
      <c r="BR49" s="524"/>
      <c r="BS49" s="524"/>
      <c r="BT49" s="524"/>
      <c r="BU49" s="524"/>
      <c r="BV49" s="524"/>
      <c r="BW49" s="524"/>
      <c r="BX49" s="524"/>
      <c r="BY49" s="524"/>
      <c r="BZ49" s="524"/>
      <c r="CA49" s="524"/>
      <c r="CB49" s="524"/>
      <c r="CC49" s="524"/>
      <c r="CD49" s="524"/>
      <c r="CE49" s="524"/>
      <c r="CF49" s="524"/>
      <c r="CG49" s="524"/>
      <c r="CH49" s="524"/>
      <c r="CI49" s="524"/>
      <c r="CJ49" s="524"/>
      <c r="CK49" s="524"/>
      <c r="CL49" s="524"/>
      <c r="CM49" s="524"/>
      <c r="CN49" s="524"/>
      <c r="CO49" s="524"/>
      <c r="CP49" s="524"/>
      <c r="CQ49" s="524"/>
      <c r="CR49" s="524"/>
      <c r="CS49" s="524"/>
      <c r="CT49" s="524"/>
      <c r="CU49" s="524"/>
      <c r="CV49" s="524"/>
      <c r="CW49" s="524"/>
      <c r="CX49" s="524"/>
      <c r="CY49" s="524"/>
      <c r="CZ49" s="524"/>
      <c r="DA49" s="524"/>
      <c r="DB49" s="524"/>
      <c r="DC49" s="524"/>
      <c r="DD49" s="524"/>
      <c r="DE49" s="524"/>
      <c r="DF49" s="524"/>
      <c r="DG49" s="524"/>
      <c r="DH49" s="524"/>
      <c r="DI49" s="524"/>
      <c r="DJ49" s="524"/>
      <c r="DK49" s="524"/>
      <c r="DL49" s="524"/>
      <c r="DM49" s="524"/>
      <c r="DN49" s="524"/>
      <c r="DO49" s="524"/>
      <c r="DP49" s="524"/>
      <c r="DQ49" s="524"/>
      <c r="DR49" s="524"/>
      <c r="DS49" s="524"/>
      <c r="DT49" s="524"/>
      <c r="DU49" s="524"/>
      <c r="DV49" s="524"/>
      <c r="DW49" s="524"/>
      <c r="DX49" s="524"/>
      <c r="DY49" s="524"/>
      <c r="DZ49" s="524"/>
      <c r="EA49" s="524"/>
      <c r="EB49" s="524"/>
      <c r="EC49" s="524"/>
      <c r="ED49" s="524"/>
      <c r="EE49" s="524"/>
      <c r="EF49" s="524"/>
      <c r="EG49" s="524"/>
      <c r="EH49" s="524"/>
      <c r="EI49" s="524"/>
      <c r="EJ49" s="524"/>
      <c r="EK49" s="524"/>
      <c r="EL49" s="524"/>
      <c r="EM49" s="524"/>
      <c r="EN49" s="524"/>
      <c r="EO49" s="524"/>
      <c r="EP49" s="524"/>
      <c r="EQ49" s="524"/>
      <c r="ER49" s="524"/>
      <c r="ES49" s="524"/>
      <c r="ET49" s="524"/>
      <c r="EU49" s="524"/>
      <c r="EV49" s="524"/>
      <c r="EW49" s="524"/>
      <c r="EX49" s="524"/>
      <c r="EY49" s="524"/>
      <c r="EZ49" s="524"/>
      <c r="FA49" s="524"/>
      <c r="FB49" s="524"/>
      <c r="FC49" s="524"/>
      <c r="FD49" s="524"/>
      <c r="FE49" s="524"/>
      <c r="FF49" s="524"/>
      <c r="FG49" s="524"/>
      <c r="FH49" s="524"/>
      <c r="FI49" s="524"/>
      <c r="FJ49" s="524"/>
      <c r="FK49" s="524"/>
      <c r="FL49" s="524"/>
      <c r="FM49" s="524"/>
      <c r="FN49" s="524"/>
      <c r="FO49" s="524"/>
      <c r="FP49" s="524"/>
      <c r="FQ49" s="524"/>
      <c r="FR49" s="524"/>
      <c r="FS49" s="524"/>
      <c r="FT49" s="524"/>
      <c r="FU49" s="524"/>
      <c r="FV49" s="524"/>
      <c r="FW49" s="524"/>
      <c r="FX49" s="524"/>
      <c r="FY49" s="524"/>
      <c r="FZ49" s="524"/>
      <c r="GA49" s="524"/>
      <c r="GB49" s="524"/>
      <c r="GC49" s="524"/>
      <c r="GD49" s="524"/>
      <c r="GE49" s="524"/>
      <c r="GF49" s="524"/>
      <c r="GG49" s="524"/>
      <c r="GH49" s="524"/>
      <c r="GI49" s="524"/>
      <c r="GJ49" s="524"/>
      <c r="GK49" s="524"/>
      <c r="GL49" s="524"/>
      <c r="GM49" s="524"/>
      <c r="GN49" s="524"/>
      <c r="GO49" s="524"/>
      <c r="GP49" s="524"/>
      <c r="GQ49" s="524"/>
      <c r="GR49" s="524"/>
      <c r="GS49" s="524"/>
      <c r="GT49" s="524"/>
      <c r="GU49" s="524"/>
      <c r="GV49" s="524"/>
      <c r="GW49" s="524"/>
      <c r="GX49" s="524"/>
      <c r="GY49" s="524"/>
      <c r="GZ49" s="524"/>
      <c r="HA49" s="524"/>
      <c r="HB49" s="524"/>
      <c r="HC49" s="524"/>
      <c r="HD49" s="524"/>
      <c r="HE49" s="524"/>
      <c r="HF49" s="524"/>
      <c r="HG49" s="524"/>
      <c r="HH49" s="524"/>
      <c r="HI49" s="524"/>
      <c r="HJ49" s="524"/>
      <c r="HK49" s="524"/>
      <c r="HL49" s="524"/>
      <c r="HM49" s="524"/>
      <c r="HN49" s="524"/>
      <c r="HO49" s="524"/>
      <c r="HP49" s="524"/>
      <c r="HQ49" s="524"/>
      <c r="HR49" s="524"/>
      <c r="HS49" s="524"/>
      <c r="HT49" s="524"/>
      <c r="HU49" s="524"/>
      <c r="HV49" s="524"/>
      <c r="HW49" s="524"/>
      <c r="HX49" s="524"/>
      <c r="HY49" s="524"/>
      <c r="HZ49" s="524"/>
      <c r="IA49" s="524"/>
      <c r="IB49" s="524"/>
      <c r="IC49" s="524"/>
      <c r="ID49" s="524"/>
      <c r="IE49" s="524"/>
      <c r="IF49" s="524"/>
      <c r="IG49" s="524"/>
      <c r="IH49" s="524"/>
      <c r="II49" s="524"/>
      <c r="IJ49" s="524"/>
      <c r="IK49" s="524"/>
      <c r="IL49" s="524"/>
      <c r="IM49" s="524"/>
      <c r="IN49" s="524"/>
      <c r="IO49" s="524"/>
      <c r="IP49" s="524"/>
      <c r="IQ49" s="524"/>
      <c r="IR49" s="524"/>
      <c r="IS49" s="524"/>
      <c r="IT49" s="524"/>
      <c r="IU49" s="524"/>
      <c r="IV49" s="524"/>
      <c r="IW49" s="524"/>
      <c r="IX49" s="524"/>
      <c r="IY49" s="524"/>
      <c r="IZ49" s="524"/>
      <c r="JA49" s="524"/>
      <c r="JB49" s="524"/>
      <c r="JC49" s="524"/>
      <c r="JD49" s="524"/>
      <c r="JE49" s="524"/>
      <c r="JF49" s="524"/>
      <c r="JG49" s="524"/>
      <c r="JH49" s="524"/>
      <c r="JI49" s="524"/>
      <c r="JJ49" s="524"/>
      <c r="JK49" s="524"/>
      <c r="JL49" s="524"/>
      <c r="JM49" s="524"/>
      <c r="JN49" s="524"/>
      <c r="JO49" s="524"/>
      <c r="JP49" s="524"/>
      <c r="JQ49" s="524"/>
      <c r="JR49" s="524"/>
      <c r="JS49" s="524"/>
      <c r="JT49" s="524"/>
      <c r="JU49" s="524"/>
      <c r="JV49" s="524"/>
      <c r="JW49" s="524"/>
      <c r="JX49" s="524"/>
      <c r="JY49" s="524"/>
      <c r="JZ49" s="524"/>
      <c r="KA49" s="524"/>
      <c r="KB49" s="524"/>
      <c r="KC49" s="524"/>
      <c r="KD49" s="524"/>
      <c r="KE49" s="524"/>
      <c r="KF49" s="524"/>
      <c r="KG49" s="524"/>
      <c r="KH49" s="524"/>
      <c r="KI49" s="524"/>
      <c r="KJ49" s="524"/>
      <c r="KK49" s="524"/>
      <c r="KL49" s="524"/>
      <c r="KM49" s="524"/>
      <c r="KN49" s="524"/>
      <c r="KO49" s="524"/>
      <c r="KP49" s="524"/>
      <c r="KQ49" s="524"/>
      <c r="KR49" s="524"/>
      <c r="KS49" s="524"/>
      <c r="KT49" s="524"/>
      <c r="KU49" s="524"/>
      <c r="KV49" s="524"/>
      <c r="KW49" s="524"/>
      <c r="KX49" s="524"/>
      <c r="KY49" s="524"/>
      <c r="KZ49" s="524"/>
      <c r="LA49" s="524"/>
      <c r="LB49" s="524"/>
      <c r="LC49" s="524"/>
      <c r="LD49" s="524"/>
      <c r="LE49" s="524"/>
      <c r="LF49" s="524"/>
      <c r="LG49" s="524"/>
      <c r="LH49" s="524"/>
      <c r="LI49" s="524"/>
      <c r="LJ49" s="524"/>
      <c r="LK49" s="524"/>
      <c r="LL49" s="524"/>
      <c r="LM49" s="524"/>
      <c r="LN49" s="524"/>
      <c r="LO49" s="524"/>
      <c r="LP49" s="524"/>
      <c r="LQ49" s="524"/>
      <c r="LR49" s="524"/>
      <c r="LS49" s="524"/>
      <c r="LT49" s="524"/>
      <c r="LU49" s="524"/>
      <c r="LV49" s="524"/>
      <c r="LW49" s="524"/>
      <c r="LX49" s="524"/>
      <c r="LY49" s="524"/>
      <c r="LZ49" s="524"/>
      <c r="MA49" s="524"/>
      <c r="MB49" s="524"/>
    </row>
    <row r="50" spans="1:340" s="18" customFormat="1" ht="21" customHeight="1">
      <c r="A50" s="2128"/>
      <c r="B50" s="2129"/>
      <c r="C50" s="3107"/>
      <c r="D50" s="2034"/>
      <c r="E50" s="2023"/>
      <c r="F50" s="593"/>
      <c r="G50" s="526"/>
      <c r="H50" s="1021"/>
      <c r="I50" s="3607"/>
      <c r="J50" s="681" t="s">
        <v>5779</v>
      </c>
      <c r="K50" s="3602"/>
      <c r="L50" s="3602"/>
      <c r="M50" s="3602"/>
      <c r="N50" s="3602"/>
      <c r="O50" s="3602"/>
      <c r="P50" s="3602"/>
      <c r="Q50" s="684">
        <v>2</v>
      </c>
      <c r="R50" s="2127" t="s">
        <v>232</v>
      </c>
      <c r="S50" s="684">
        <v>750000</v>
      </c>
      <c r="T50" s="684" t="s">
        <v>4</v>
      </c>
      <c r="U50" s="684"/>
      <c r="V50" s="684">
        <v>1</v>
      </c>
      <c r="W50" s="684" t="s">
        <v>226</v>
      </c>
      <c r="X50" s="686" t="s">
        <v>5</v>
      </c>
      <c r="Y50" s="871">
        <f t="shared" si="13"/>
        <v>1500</v>
      </c>
      <c r="Z50" s="732">
        <f t="shared" ref="Z50:Z51" si="14">Q50*S50*V50</f>
        <v>1500000</v>
      </c>
      <c r="AA50" s="3246"/>
      <c r="AB50" s="449"/>
      <c r="AC50" s="449"/>
      <c r="AD50" s="452"/>
      <c r="AE50" s="524"/>
      <c r="AF50" s="524"/>
      <c r="AG50" s="524"/>
      <c r="AH50" s="524"/>
      <c r="AI50" s="524"/>
      <c r="AJ50" s="524"/>
      <c r="AK50" s="524"/>
      <c r="AL50" s="524"/>
      <c r="AM50" s="524"/>
      <c r="AN50" s="524"/>
      <c r="AO50" s="524"/>
      <c r="AP50" s="524"/>
      <c r="AQ50" s="524"/>
      <c r="AR50" s="524"/>
      <c r="AS50" s="524"/>
      <c r="AT50" s="524"/>
      <c r="AU50" s="524"/>
      <c r="AV50" s="524"/>
      <c r="AW50" s="524"/>
      <c r="AX50" s="524"/>
      <c r="AY50" s="524"/>
      <c r="AZ50" s="524"/>
      <c r="BA50" s="524"/>
      <c r="BB50" s="524"/>
      <c r="BC50" s="524"/>
      <c r="BD50" s="524"/>
      <c r="BE50" s="524"/>
      <c r="BF50" s="524"/>
      <c r="BG50" s="524"/>
      <c r="BH50" s="524"/>
      <c r="BI50" s="524"/>
      <c r="BJ50" s="524"/>
      <c r="BK50" s="524"/>
      <c r="BL50" s="524"/>
      <c r="BM50" s="524"/>
      <c r="BN50" s="524"/>
      <c r="BO50" s="524"/>
      <c r="BP50" s="524"/>
      <c r="BQ50" s="524"/>
      <c r="BR50" s="524"/>
      <c r="BS50" s="524"/>
      <c r="BT50" s="524"/>
      <c r="BU50" s="524"/>
      <c r="BV50" s="524"/>
      <c r="BW50" s="524"/>
      <c r="BX50" s="524"/>
      <c r="BY50" s="524"/>
      <c r="BZ50" s="524"/>
      <c r="CA50" s="524"/>
      <c r="CB50" s="524"/>
      <c r="CC50" s="524"/>
      <c r="CD50" s="524"/>
      <c r="CE50" s="524"/>
      <c r="CF50" s="524"/>
      <c r="CG50" s="524"/>
      <c r="CH50" s="524"/>
      <c r="CI50" s="524"/>
      <c r="CJ50" s="524"/>
      <c r="CK50" s="524"/>
      <c r="CL50" s="524"/>
      <c r="CM50" s="524"/>
      <c r="CN50" s="524"/>
      <c r="CO50" s="524"/>
      <c r="CP50" s="524"/>
      <c r="CQ50" s="524"/>
      <c r="CR50" s="524"/>
      <c r="CS50" s="524"/>
      <c r="CT50" s="524"/>
      <c r="CU50" s="524"/>
      <c r="CV50" s="524"/>
      <c r="CW50" s="524"/>
      <c r="CX50" s="524"/>
      <c r="CY50" s="524"/>
      <c r="CZ50" s="524"/>
      <c r="DA50" s="524"/>
      <c r="DB50" s="524"/>
      <c r="DC50" s="524"/>
      <c r="DD50" s="524"/>
      <c r="DE50" s="524"/>
      <c r="DF50" s="524"/>
      <c r="DG50" s="524"/>
      <c r="DH50" s="524"/>
      <c r="DI50" s="524"/>
      <c r="DJ50" s="524"/>
      <c r="DK50" s="524"/>
      <c r="DL50" s="524"/>
      <c r="DM50" s="524"/>
      <c r="DN50" s="524"/>
      <c r="DO50" s="524"/>
      <c r="DP50" s="524"/>
      <c r="DQ50" s="524"/>
      <c r="DR50" s="524"/>
      <c r="DS50" s="524"/>
      <c r="DT50" s="524"/>
      <c r="DU50" s="524"/>
      <c r="DV50" s="524"/>
      <c r="DW50" s="524"/>
      <c r="DX50" s="524"/>
      <c r="DY50" s="524"/>
      <c r="DZ50" s="524"/>
      <c r="EA50" s="524"/>
      <c r="EB50" s="524"/>
      <c r="EC50" s="524"/>
      <c r="ED50" s="524"/>
      <c r="EE50" s="524"/>
      <c r="EF50" s="524"/>
      <c r="EG50" s="524"/>
      <c r="EH50" s="524"/>
      <c r="EI50" s="524"/>
      <c r="EJ50" s="524"/>
      <c r="EK50" s="524"/>
      <c r="EL50" s="524"/>
      <c r="EM50" s="524"/>
      <c r="EN50" s="524"/>
      <c r="EO50" s="524"/>
      <c r="EP50" s="524"/>
      <c r="EQ50" s="524"/>
      <c r="ER50" s="524"/>
      <c r="ES50" s="524"/>
      <c r="ET50" s="524"/>
      <c r="EU50" s="524"/>
      <c r="EV50" s="524"/>
      <c r="EW50" s="524"/>
      <c r="EX50" s="524"/>
      <c r="EY50" s="524"/>
      <c r="EZ50" s="524"/>
      <c r="FA50" s="524"/>
      <c r="FB50" s="524"/>
      <c r="FC50" s="524"/>
      <c r="FD50" s="524"/>
      <c r="FE50" s="524"/>
      <c r="FF50" s="524"/>
      <c r="FG50" s="524"/>
      <c r="FH50" s="524"/>
      <c r="FI50" s="524"/>
      <c r="FJ50" s="524"/>
      <c r="FK50" s="524"/>
      <c r="FL50" s="524"/>
      <c r="FM50" s="524"/>
      <c r="FN50" s="524"/>
      <c r="FO50" s="524"/>
      <c r="FP50" s="524"/>
      <c r="FQ50" s="524"/>
      <c r="FR50" s="524"/>
      <c r="FS50" s="524"/>
      <c r="FT50" s="524"/>
      <c r="FU50" s="524"/>
      <c r="FV50" s="524"/>
      <c r="FW50" s="524"/>
      <c r="FX50" s="524"/>
      <c r="FY50" s="524"/>
      <c r="FZ50" s="524"/>
      <c r="GA50" s="524"/>
      <c r="GB50" s="524"/>
      <c r="GC50" s="524"/>
      <c r="GD50" s="524"/>
      <c r="GE50" s="524"/>
      <c r="GF50" s="524"/>
      <c r="GG50" s="524"/>
      <c r="GH50" s="524"/>
      <c r="GI50" s="524"/>
      <c r="GJ50" s="524"/>
      <c r="GK50" s="524"/>
      <c r="GL50" s="524"/>
      <c r="GM50" s="524"/>
      <c r="GN50" s="524"/>
      <c r="GO50" s="524"/>
      <c r="GP50" s="524"/>
      <c r="GQ50" s="524"/>
      <c r="GR50" s="524"/>
      <c r="GS50" s="524"/>
      <c r="GT50" s="524"/>
      <c r="GU50" s="524"/>
      <c r="GV50" s="524"/>
      <c r="GW50" s="524"/>
      <c r="GX50" s="524"/>
      <c r="GY50" s="524"/>
      <c r="GZ50" s="524"/>
      <c r="HA50" s="524"/>
      <c r="HB50" s="524"/>
      <c r="HC50" s="524"/>
      <c r="HD50" s="524"/>
      <c r="HE50" s="524"/>
      <c r="HF50" s="524"/>
      <c r="HG50" s="524"/>
      <c r="HH50" s="524"/>
      <c r="HI50" s="524"/>
      <c r="HJ50" s="524"/>
      <c r="HK50" s="524"/>
      <c r="HL50" s="524"/>
      <c r="HM50" s="524"/>
      <c r="HN50" s="524"/>
      <c r="HO50" s="524"/>
      <c r="HP50" s="524"/>
      <c r="HQ50" s="524"/>
      <c r="HR50" s="524"/>
      <c r="HS50" s="524"/>
      <c r="HT50" s="524"/>
      <c r="HU50" s="524"/>
      <c r="HV50" s="524"/>
      <c r="HW50" s="524"/>
      <c r="HX50" s="524"/>
      <c r="HY50" s="524"/>
      <c r="HZ50" s="524"/>
      <c r="IA50" s="524"/>
      <c r="IB50" s="524"/>
      <c r="IC50" s="524"/>
      <c r="ID50" s="524"/>
      <c r="IE50" s="524"/>
      <c r="IF50" s="524"/>
      <c r="IG50" s="524"/>
      <c r="IH50" s="524"/>
      <c r="II50" s="524"/>
      <c r="IJ50" s="524"/>
      <c r="IK50" s="524"/>
      <c r="IL50" s="524"/>
      <c r="IM50" s="524"/>
      <c r="IN50" s="524"/>
      <c r="IO50" s="524"/>
      <c r="IP50" s="524"/>
      <c r="IQ50" s="524"/>
      <c r="IR50" s="524"/>
      <c r="IS50" s="524"/>
      <c r="IT50" s="524"/>
      <c r="IU50" s="524"/>
      <c r="IV50" s="524"/>
      <c r="IW50" s="524"/>
      <c r="IX50" s="524"/>
      <c r="IY50" s="524"/>
      <c r="IZ50" s="524"/>
      <c r="JA50" s="524"/>
      <c r="JB50" s="524"/>
      <c r="JC50" s="524"/>
      <c r="JD50" s="524"/>
      <c r="JE50" s="524"/>
      <c r="JF50" s="524"/>
      <c r="JG50" s="524"/>
      <c r="JH50" s="524"/>
      <c r="JI50" s="524"/>
      <c r="JJ50" s="524"/>
      <c r="JK50" s="524"/>
      <c r="JL50" s="524"/>
      <c r="JM50" s="524"/>
      <c r="JN50" s="524"/>
      <c r="JO50" s="524"/>
      <c r="JP50" s="524"/>
      <c r="JQ50" s="524"/>
      <c r="JR50" s="524"/>
      <c r="JS50" s="524"/>
      <c r="JT50" s="524"/>
      <c r="JU50" s="524"/>
      <c r="JV50" s="524"/>
      <c r="JW50" s="524"/>
      <c r="JX50" s="524"/>
      <c r="JY50" s="524"/>
      <c r="JZ50" s="524"/>
      <c r="KA50" s="524"/>
      <c r="KB50" s="524"/>
      <c r="KC50" s="524"/>
      <c r="KD50" s="524"/>
      <c r="KE50" s="524"/>
      <c r="KF50" s="524"/>
      <c r="KG50" s="524"/>
      <c r="KH50" s="524"/>
      <c r="KI50" s="524"/>
      <c r="KJ50" s="524"/>
      <c r="KK50" s="524"/>
      <c r="KL50" s="524"/>
      <c r="KM50" s="524"/>
      <c r="KN50" s="524"/>
      <c r="KO50" s="524"/>
      <c r="KP50" s="524"/>
      <c r="KQ50" s="524"/>
      <c r="KR50" s="524"/>
      <c r="KS50" s="524"/>
      <c r="KT50" s="524"/>
      <c r="KU50" s="524"/>
      <c r="KV50" s="524"/>
      <c r="KW50" s="524"/>
      <c r="KX50" s="524"/>
      <c r="KY50" s="524"/>
      <c r="KZ50" s="524"/>
      <c r="LA50" s="524"/>
      <c r="LB50" s="524"/>
      <c r="LC50" s="524"/>
      <c r="LD50" s="524"/>
      <c r="LE50" s="524"/>
      <c r="LF50" s="524"/>
      <c r="LG50" s="524"/>
      <c r="LH50" s="524"/>
      <c r="LI50" s="524"/>
      <c r="LJ50" s="524"/>
      <c r="LK50" s="524"/>
      <c r="LL50" s="524"/>
      <c r="LM50" s="524"/>
      <c r="LN50" s="524"/>
      <c r="LO50" s="524"/>
      <c r="LP50" s="524"/>
      <c r="LQ50" s="524"/>
      <c r="LR50" s="524"/>
      <c r="LS50" s="524"/>
      <c r="LT50" s="524"/>
      <c r="LU50" s="524"/>
      <c r="LV50" s="524"/>
      <c r="LW50" s="524"/>
      <c r="LX50" s="524"/>
      <c r="LY50" s="524"/>
      <c r="LZ50" s="524"/>
      <c r="MA50" s="524"/>
      <c r="MB50" s="524"/>
    </row>
    <row r="51" spans="1:340" s="18" customFormat="1" ht="21" customHeight="1">
      <c r="A51" s="2128"/>
      <c r="B51" s="2129"/>
      <c r="C51" s="3107"/>
      <c r="D51" s="2034"/>
      <c r="E51" s="2023"/>
      <c r="F51" s="593"/>
      <c r="G51" s="526"/>
      <c r="H51" s="1021"/>
      <c r="I51" s="3607"/>
      <c r="J51" s="681" t="s">
        <v>5780</v>
      </c>
      <c r="K51" s="3602"/>
      <c r="L51" s="3602"/>
      <c r="M51" s="3602"/>
      <c r="N51" s="3602"/>
      <c r="O51" s="3602"/>
      <c r="P51" s="3602"/>
      <c r="Q51" s="684">
        <v>1</v>
      </c>
      <c r="R51" s="2127" t="s">
        <v>232</v>
      </c>
      <c r="S51" s="684">
        <v>4000000</v>
      </c>
      <c r="T51" s="684" t="s">
        <v>4</v>
      </c>
      <c r="U51" s="684"/>
      <c r="V51" s="684">
        <v>1</v>
      </c>
      <c r="W51" s="684" t="s">
        <v>226</v>
      </c>
      <c r="X51" s="686" t="s">
        <v>5</v>
      </c>
      <c r="Y51" s="871">
        <f t="shared" si="13"/>
        <v>4000</v>
      </c>
      <c r="Z51" s="732">
        <f t="shared" si="14"/>
        <v>4000000</v>
      </c>
      <c r="AA51" s="3246"/>
      <c r="AB51" s="449"/>
      <c r="AC51" s="449"/>
      <c r="AD51" s="452"/>
      <c r="AE51" s="524"/>
      <c r="AF51" s="524"/>
      <c r="AG51" s="524"/>
      <c r="AH51" s="524"/>
      <c r="AI51" s="524"/>
      <c r="AJ51" s="524"/>
      <c r="AK51" s="524"/>
      <c r="AL51" s="524"/>
      <c r="AM51" s="524"/>
      <c r="AN51" s="524"/>
      <c r="AO51" s="524"/>
      <c r="AP51" s="524"/>
      <c r="AQ51" s="524"/>
      <c r="AR51" s="524"/>
      <c r="AS51" s="524"/>
      <c r="AT51" s="524"/>
      <c r="AU51" s="524"/>
      <c r="AV51" s="524"/>
      <c r="AW51" s="524"/>
      <c r="AX51" s="524"/>
      <c r="AY51" s="524"/>
      <c r="AZ51" s="524"/>
      <c r="BA51" s="524"/>
      <c r="BB51" s="524"/>
      <c r="BC51" s="524"/>
      <c r="BD51" s="524"/>
      <c r="BE51" s="524"/>
      <c r="BF51" s="524"/>
      <c r="BG51" s="524"/>
      <c r="BH51" s="524"/>
      <c r="BI51" s="524"/>
      <c r="BJ51" s="524"/>
      <c r="BK51" s="524"/>
      <c r="BL51" s="524"/>
      <c r="BM51" s="524"/>
      <c r="BN51" s="524"/>
      <c r="BO51" s="524"/>
      <c r="BP51" s="524"/>
      <c r="BQ51" s="524"/>
      <c r="BR51" s="524"/>
      <c r="BS51" s="524"/>
      <c r="BT51" s="524"/>
      <c r="BU51" s="524"/>
      <c r="BV51" s="524"/>
      <c r="BW51" s="524"/>
      <c r="BX51" s="524"/>
      <c r="BY51" s="524"/>
      <c r="BZ51" s="524"/>
      <c r="CA51" s="524"/>
      <c r="CB51" s="524"/>
      <c r="CC51" s="524"/>
      <c r="CD51" s="524"/>
      <c r="CE51" s="524"/>
      <c r="CF51" s="524"/>
      <c r="CG51" s="524"/>
      <c r="CH51" s="524"/>
      <c r="CI51" s="524"/>
      <c r="CJ51" s="524"/>
      <c r="CK51" s="524"/>
      <c r="CL51" s="524"/>
      <c r="CM51" s="524"/>
      <c r="CN51" s="524"/>
      <c r="CO51" s="524"/>
      <c r="CP51" s="524"/>
      <c r="CQ51" s="524"/>
      <c r="CR51" s="524"/>
      <c r="CS51" s="524"/>
      <c r="CT51" s="524"/>
      <c r="CU51" s="524"/>
      <c r="CV51" s="524"/>
      <c r="CW51" s="524"/>
      <c r="CX51" s="524"/>
      <c r="CY51" s="524"/>
      <c r="CZ51" s="524"/>
      <c r="DA51" s="524"/>
      <c r="DB51" s="524"/>
      <c r="DC51" s="524"/>
      <c r="DD51" s="524"/>
      <c r="DE51" s="524"/>
      <c r="DF51" s="524"/>
      <c r="DG51" s="524"/>
      <c r="DH51" s="524"/>
      <c r="DI51" s="524"/>
      <c r="DJ51" s="524"/>
      <c r="DK51" s="524"/>
      <c r="DL51" s="524"/>
      <c r="DM51" s="524"/>
      <c r="DN51" s="524"/>
      <c r="DO51" s="524"/>
      <c r="DP51" s="524"/>
      <c r="DQ51" s="524"/>
      <c r="DR51" s="524"/>
      <c r="DS51" s="524"/>
      <c r="DT51" s="524"/>
      <c r="DU51" s="524"/>
      <c r="DV51" s="524"/>
      <c r="DW51" s="524"/>
      <c r="DX51" s="524"/>
      <c r="DY51" s="524"/>
      <c r="DZ51" s="524"/>
      <c r="EA51" s="524"/>
      <c r="EB51" s="524"/>
      <c r="EC51" s="524"/>
      <c r="ED51" s="524"/>
      <c r="EE51" s="524"/>
      <c r="EF51" s="524"/>
      <c r="EG51" s="524"/>
      <c r="EH51" s="524"/>
      <c r="EI51" s="524"/>
      <c r="EJ51" s="524"/>
      <c r="EK51" s="524"/>
      <c r="EL51" s="524"/>
      <c r="EM51" s="524"/>
      <c r="EN51" s="524"/>
      <c r="EO51" s="524"/>
      <c r="EP51" s="524"/>
      <c r="EQ51" s="524"/>
      <c r="ER51" s="524"/>
      <c r="ES51" s="524"/>
      <c r="ET51" s="524"/>
      <c r="EU51" s="524"/>
      <c r="EV51" s="524"/>
      <c r="EW51" s="524"/>
      <c r="EX51" s="524"/>
      <c r="EY51" s="524"/>
      <c r="EZ51" s="524"/>
      <c r="FA51" s="524"/>
      <c r="FB51" s="524"/>
      <c r="FC51" s="524"/>
      <c r="FD51" s="524"/>
      <c r="FE51" s="524"/>
      <c r="FF51" s="524"/>
      <c r="FG51" s="524"/>
      <c r="FH51" s="524"/>
      <c r="FI51" s="524"/>
      <c r="FJ51" s="524"/>
      <c r="FK51" s="524"/>
      <c r="FL51" s="524"/>
      <c r="FM51" s="524"/>
      <c r="FN51" s="524"/>
      <c r="FO51" s="524"/>
      <c r="FP51" s="524"/>
      <c r="FQ51" s="524"/>
      <c r="FR51" s="524"/>
      <c r="FS51" s="524"/>
      <c r="FT51" s="524"/>
      <c r="FU51" s="524"/>
      <c r="FV51" s="524"/>
      <c r="FW51" s="524"/>
      <c r="FX51" s="524"/>
      <c r="FY51" s="524"/>
      <c r="FZ51" s="524"/>
      <c r="GA51" s="524"/>
      <c r="GB51" s="524"/>
      <c r="GC51" s="524"/>
      <c r="GD51" s="524"/>
      <c r="GE51" s="524"/>
      <c r="GF51" s="524"/>
      <c r="GG51" s="524"/>
      <c r="GH51" s="524"/>
      <c r="GI51" s="524"/>
      <c r="GJ51" s="524"/>
      <c r="GK51" s="524"/>
      <c r="GL51" s="524"/>
      <c r="GM51" s="524"/>
      <c r="GN51" s="524"/>
      <c r="GO51" s="524"/>
      <c r="GP51" s="524"/>
      <c r="GQ51" s="524"/>
      <c r="GR51" s="524"/>
      <c r="GS51" s="524"/>
      <c r="GT51" s="524"/>
      <c r="GU51" s="524"/>
      <c r="GV51" s="524"/>
      <c r="GW51" s="524"/>
      <c r="GX51" s="524"/>
      <c r="GY51" s="524"/>
      <c r="GZ51" s="524"/>
      <c r="HA51" s="524"/>
      <c r="HB51" s="524"/>
      <c r="HC51" s="524"/>
      <c r="HD51" s="524"/>
      <c r="HE51" s="524"/>
      <c r="HF51" s="524"/>
      <c r="HG51" s="524"/>
      <c r="HH51" s="524"/>
      <c r="HI51" s="524"/>
      <c r="HJ51" s="524"/>
      <c r="HK51" s="524"/>
      <c r="HL51" s="524"/>
      <c r="HM51" s="524"/>
      <c r="HN51" s="524"/>
      <c r="HO51" s="524"/>
      <c r="HP51" s="524"/>
      <c r="HQ51" s="524"/>
      <c r="HR51" s="524"/>
      <c r="HS51" s="524"/>
      <c r="HT51" s="524"/>
      <c r="HU51" s="524"/>
      <c r="HV51" s="524"/>
      <c r="HW51" s="524"/>
      <c r="HX51" s="524"/>
      <c r="HY51" s="524"/>
      <c r="HZ51" s="524"/>
      <c r="IA51" s="524"/>
      <c r="IB51" s="524"/>
      <c r="IC51" s="524"/>
      <c r="ID51" s="524"/>
      <c r="IE51" s="524"/>
      <c r="IF51" s="524"/>
      <c r="IG51" s="524"/>
      <c r="IH51" s="524"/>
      <c r="II51" s="524"/>
      <c r="IJ51" s="524"/>
      <c r="IK51" s="524"/>
      <c r="IL51" s="524"/>
      <c r="IM51" s="524"/>
      <c r="IN51" s="524"/>
      <c r="IO51" s="524"/>
      <c r="IP51" s="524"/>
      <c r="IQ51" s="524"/>
      <c r="IR51" s="524"/>
      <c r="IS51" s="524"/>
      <c r="IT51" s="524"/>
      <c r="IU51" s="524"/>
      <c r="IV51" s="524"/>
      <c r="IW51" s="524"/>
      <c r="IX51" s="524"/>
      <c r="IY51" s="524"/>
      <c r="IZ51" s="524"/>
      <c r="JA51" s="524"/>
      <c r="JB51" s="524"/>
      <c r="JC51" s="524"/>
      <c r="JD51" s="524"/>
      <c r="JE51" s="524"/>
      <c r="JF51" s="524"/>
      <c r="JG51" s="524"/>
      <c r="JH51" s="524"/>
      <c r="JI51" s="524"/>
      <c r="JJ51" s="524"/>
      <c r="JK51" s="524"/>
      <c r="JL51" s="524"/>
      <c r="JM51" s="524"/>
      <c r="JN51" s="524"/>
      <c r="JO51" s="524"/>
      <c r="JP51" s="524"/>
      <c r="JQ51" s="524"/>
      <c r="JR51" s="524"/>
      <c r="JS51" s="524"/>
      <c r="JT51" s="524"/>
      <c r="JU51" s="524"/>
      <c r="JV51" s="524"/>
      <c r="JW51" s="524"/>
      <c r="JX51" s="524"/>
      <c r="JY51" s="524"/>
      <c r="JZ51" s="524"/>
      <c r="KA51" s="524"/>
      <c r="KB51" s="524"/>
      <c r="KC51" s="524"/>
      <c r="KD51" s="524"/>
      <c r="KE51" s="524"/>
      <c r="KF51" s="524"/>
      <c r="KG51" s="524"/>
      <c r="KH51" s="524"/>
      <c r="KI51" s="524"/>
      <c r="KJ51" s="524"/>
      <c r="KK51" s="524"/>
      <c r="KL51" s="524"/>
      <c r="KM51" s="524"/>
      <c r="KN51" s="524"/>
      <c r="KO51" s="524"/>
      <c r="KP51" s="524"/>
      <c r="KQ51" s="524"/>
      <c r="KR51" s="524"/>
      <c r="KS51" s="524"/>
      <c r="KT51" s="524"/>
      <c r="KU51" s="524"/>
      <c r="KV51" s="524"/>
      <c r="KW51" s="524"/>
      <c r="KX51" s="524"/>
      <c r="KY51" s="524"/>
      <c r="KZ51" s="524"/>
      <c r="LA51" s="524"/>
      <c r="LB51" s="524"/>
      <c r="LC51" s="524"/>
      <c r="LD51" s="524"/>
      <c r="LE51" s="524"/>
      <c r="LF51" s="524"/>
      <c r="LG51" s="524"/>
      <c r="LH51" s="524"/>
      <c r="LI51" s="524"/>
      <c r="LJ51" s="524"/>
      <c r="LK51" s="524"/>
      <c r="LL51" s="524"/>
      <c r="LM51" s="524"/>
      <c r="LN51" s="524"/>
      <c r="LO51" s="524"/>
      <c r="LP51" s="524"/>
      <c r="LQ51" s="524"/>
      <c r="LR51" s="524"/>
      <c r="LS51" s="524"/>
      <c r="LT51" s="524"/>
      <c r="LU51" s="524"/>
      <c r="LV51" s="524"/>
      <c r="LW51" s="524"/>
      <c r="LX51" s="524"/>
      <c r="LY51" s="524"/>
      <c r="LZ51" s="524"/>
      <c r="MA51" s="524"/>
      <c r="MB51" s="524"/>
    </row>
    <row r="52" spans="1:340" s="18" customFormat="1" ht="21" customHeight="1">
      <c r="A52" s="2128"/>
      <c r="B52" s="2129"/>
      <c r="C52" s="473"/>
      <c r="D52" s="2020"/>
      <c r="E52" s="2023" t="s">
        <v>5771</v>
      </c>
      <c r="F52" s="1587">
        <f t="shared" si="11"/>
        <v>3000</v>
      </c>
      <c r="G52" s="526">
        <v>3000</v>
      </c>
      <c r="H52" s="534"/>
      <c r="I52" s="3607"/>
      <c r="J52" s="681" t="s">
        <v>428</v>
      </c>
      <c r="K52" s="3602"/>
      <c r="L52" s="3602"/>
      <c r="M52" s="3602"/>
      <c r="N52" s="3602"/>
      <c r="O52" s="3602"/>
      <c r="P52" s="3602"/>
      <c r="Q52" s="684">
        <v>20</v>
      </c>
      <c r="R52" s="2127" t="s">
        <v>36</v>
      </c>
      <c r="S52" s="684">
        <v>15000</v>
      </c>
      <c r="T52" s="684" t="s">
        <v>4</v>
      </c>
      <c r="U52" s="684"/>
      <c r="V52" s="684">
        <v>10</v>
      </c>
      <c r="W52" s="684" t="s">
        <v>39</v>
      </c>
      <c r="X52" s="686" t="s">
        <v>5</v>
      </c>
      <c r="Y52" s="871">
        <f t="shared" si="10"/>
        <v>3000</v>
      </c>
      <c r="Z52" s="732">
        <f>Q52*S52*V52</f>
        <v>3000000</v>
      </c>
      <c r="AA52" s="3246"/>
      <c r="AB52" s="449">
        <f t="shared" si="0"/>
        <v>3000000000000</v>
      </c>
      <c r="AC52" s="449">
        <f t="shared" si="1"/>
        <v>3000000000000</v>
      </c>
      <c r="AD52" s="452">
        <f t="shared" si="2"/>
        <v>0</v>
      </c>
      <c r="AE52" s="524"/>
      <c r="AF52" s="524"/>
      <c r="AG52" s="524"/>
      <c r="AH52" s="524"/>
      <c r="AI52" s="524"/>
      <c r="AJ52" s="524"/>
      <c r="AK52" s="524"/>
      <c r="AL52" s="524"/>
      <c r="AM52" s="524"/>
      <c r="AN52" s="524"/>
      <c r="AO52" s="524"/>
      <c r="AP52" s="524"/>
      <c r="AQ52" s="524"/>
      <c r="AR52" s="524"/>
      <c r="AS52" s="524"/>
      <c r="AT52" s="524"/>
      <c r="AU52" s="524"/>
      <c r="AV52" s="524"/>
      <c r="AW52" s="524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524"/>
      <c r="BJ52" s="524"/>
      <c r="BK52" s="524"/>
      <c r="BL52" s="524"/>
      <c r="BM52" s="524"/>
      <c r="BN52" s="524"/>
      <c r="BO52" s="524"/>
      <c r="BP52" s="524"/>
      <c r="BQ52" s="524"/>
      <c r="BR52" s="524"/>
      <c r="BS52" s="524"/>
      <c r="BT52" s="524"/>
      <c r="BU52" s="524"/>
      <c r="BV52" s="524"/>
      <c r="BW52" s="524"/>
      <c r="BX52" s="524"/>
      <c r="BY52" s="524"/>
      <c r="BZ52" s="524"/>
      <c r="CA52" s="524"/>
      <c r="CB52" s="524"/>
      <c r="CC52" s="524"/>
      <c r="CD52" s="524"/>
      <c r="CE52" s="524"/>
      <c r="CF52" s="524"/>
      <c r="CG52" s="524"/>
      <c r="CH52" s="524"/>
      <c r="CI52" s="524"/>
      <c r="CJ52" s="524"/>
      <c r="CK52" s="524"/>
      <c r="CL52" s="524"/>
      <c r="CM52" s="524"/>
      <c r="CN52" s="524"/>
      <c r="CO52" s="524"/>
      <c r="CP52" s="524"/>
      <c r="CQ52" s="524"/>
      <c r="CR52" s="524"/>
      <c r="CS52" s="524"/>
      <c r="CT52" s="524"/>
      <c r="CU52" s="524"/>
      <c r="CV52" s="524"/>
      <c r="CW52" s="524"/>
      <c r="CX52" s="524"/>
      <c r="CY52" s="524"/>
      <c r="CZ52" s="524"/>
      <c r="DA52" s="524"/>
      <c r="DB52" s="524"/>
      <c r="DC52" s="524"/>
      <c r="DD52" s="524"/>
      <c r="DE52" s="524"/>
      <c r="DF52" s="524"/>
      <c r="DG52" s="524"/>
      <c r="DH52" s="524"/>
      <c r="DI52" s="524"/>
      <c r="DJ52" s="524"/>
      <c r="DK52" s="524"/>
      <c r="DL52" s="524"/>
      <c r="DM52" s="524"/>
      <c r="DN52" s="524"/>
      <c r="DO52" s="524"/>
      <c r="DP52" s="524"/>
      <c r="DQ52" s="524"/>
      <c r="DR52" s="524"/>
      <c r="DS52" s="524"/>
      <c r="DT52" s="524"/>
      <c r="DU52" s="524"/>
      <c r="DV52" s="524"/>
      <c r="DW52" s="524"/>
      <c r="DX52" s="524"/>
      <c r="DY52" s="524"/>
      <c r="DZ52" s="524"/>
      <c r="EA52" s="524"/>
      <c r="EB52" s="524"/>
      <c r="EC52" s="524"/>
      <c r="ED52" s="524"/>
      <c r="EE52" s="524"/>
      <c r="EF52" s="524"/>
      <c r="EG52" s="524"/>
      <c r="EH52" s="524"/>
      <c r="EI52" s="524"/>
      <c r="EJ52" s="524"/>
      <c r="EK52" s="524"/>
      <c r="EL52" s="524"/>
      <c r="EM52" s="524"/>
      <c r="EN52" s="524"/>
      <c r="EO52" s="524"/>
      <c r="EP52" s="524"/>
      <c r="EQ52" s="524"/>
      <c r="ER52" s="524"/>
      <c r="ES52" s="524"/>
      <c r="ET52" s="524"/>
      <c r="EU52" s="524"/>
      <c r="EV52" s="524"/>
      <c r="EW52" s="524"/>
      <c r="EX52" s="524"/>
      <c r="EY52" s="524"/>
      <c r="EZ52" s="524"/>
      <c r="FA52" s="524"/>
      <c r="FB52" s="524"/>
      <c r="FC52" s="524"/>
      <c r="FD52" s="524"/>
      <c r="FE52" s="524"/>
      <c r="FF52" s="524"/>
      <c r="FG52" s="524"/>
      <c r="FH52" s="524"/>
      <c r="FI52" s="524"/>
      <c r="FJ52" s="524"/>
      <c r="FK52" s="524"/>
      <c r="FL52" s="524"/>
      <c r="FM52" s="524"/>
      <c r="FN52" s="524"/>
      <c r="FO52" s="524"/>
      <c r="FP52" s="524"/>
      <c r="FQ52" s="524"/>
      <c r="FR52" s="524"/>
      <c r="FS52" s="524"/>
      <c r="FT52" s="524"/>
      <c r="FU52" s="524"/>
      <c r="FV52" s="524"/>
      <c r="FW52" s="524"/>
      <c r="FX52" s="524"/>
      <c r="FY52" s="524"/>
      <c r="FZ52" s="524"/>
      <c r="GA52" s="524"/>
      <c r="GB52" s="524"/>
      <c r="GC52" s="524"/>
      <c r="GD52" s="524"/>
      <c r="GE52" s="524"/>
      <c r="GF52" s="524"/>
      <c r="GG52" s="524"/>
      <c r="GH52" s="524"/>
      <c r="GI52" s="524"/>
      <c r="GJ52" s="524"/>
      <c r="GK52" s="524"/>
      <c r="GL52" s="524"/>
      <c r="GM52" s="524"/>
      <c r="GN52" s="524"/>
      <c r="GO52" s="524"/>
      <c r="GP52" s="524"/>
      <c r="GQ52" s="524"/>
      <c r="GR52" s="524"/>
      <c r="GS52" s="524"/>
      <c r="GT52" s="524"/>
      <c r="GU52" s="524"/>
      <c r="GV52" s="524"/>
      <c r="GW52" s="524"/>
      <c r="GX52" s="524"/>
      <c r="GY52" s="524"/>
      <c r="GZ52" s="524"/>
      <c r="HA52" s="524"/>
      <c r="HB52" s="524"/>
      <c r="HC52" s="524"/>
      <c r="HD52" s="524"/>
      <c r="HE52" s="524"/>
      <c r="HF52" s="524"/>
      <c r="HG52" s="524"/>
      <c r="HH52" s="524"/>
      <c r="HI52" s="524"/>
      <c r="HJ52" s="524"/>
      <c r="HK52" s="524"/>
      <c r="HL52" s="524"/>
      <c r="HM52" s="524"/>
      <c r="HN52" s="524"/>
      <c r="HO52" s="524"/>
      <c r="HP52" s="524"/>
      <c r="HQ52" s="524"/>
      <c r="HR52" s="524"/>
      <c r="HS52" s="524"/>
      <c r="HT52" s="524"/>
      <c r="HU52" s="524"/>
      <c r="HV52" s="524"/>
      <c r="HW52" s="524"/>
      <c r="HX52" s="524"/>
      <c r="HY52" s="524"/>
      <c r="HZ52" s="524"/>
      <c r="IA52" s="524"/>
      <c r="IB52" s="524"/>
      <c r="IC52" s="524"/>
      <c r="ID52" s="524"/>
      <c r="IE52" s="524"/>
      <c r="IF52" s="524"/>
      <c r="IG52" s="524"/>
      <c r="IH52" s="524"/>
      <c r="II52" s="524"/>
      <c r="IJ52" s="524"/>
      <c r="IK52" s="524"/>
      <c r="IL52" s="524"/>
      <c r="IM52" s="524"/>
      <c r="IN52" s="524"/>
      <c r="IO52" s="524"/>
      <c r="IP52" s="524"/>
      <c r="IQ52" s="524"/>
      <c r="IR52" s="524"/>
      <c r="IS52" s="524"/>
      <c r="IT52" s="524"/>
      <c r="IU52" s="524"/>
      <c r="IV52" s="524"/>
      <c r="IW52" s="524"/>
      <c r="IX52" s="524"/>
      <c r="IY52" s="524"/>
      <c r="IZ52" s="524"/>
      <c r="JA52" s="524"/>
      <c r="JB52" s="524"/>
      <c r="JC52" s="524"/>
      <c r="JD52" s="524"/>
      <c r="JE52" s="524"/>
      <c r="JF52" s="524"/>
      <c r="JG52" s="524"/>
      <c r="JH52" s="524"/>
      <c r="JI52" s="524"/>
      <c r="JJ52" s="524"/>
      <c r="JK52" s="524"/>
      <c r="JL52" s="524"/>
      <c r="JM52" s="524"/>
      <c r="JN52" s="524"/>
      <c r="JO52" s="524"/>
      <c r="JP52" s="524"/>
      <c r="JQ52" s="524"/>
      <c r="JR52" s="524"/>
      <c r="JS52" s="524"/>
      <c r="JT52" s="524"/>
      <c r="JU52" s="524"/>
      <c r="JV52" s="524"/>
      <c r="JW52" s="524"/>
      <c r="JX52" s="524"/>
      <c r="JY52" s="524"/>
      <c r="JZ52" s="524"/>
      <c r="KA52" s="524"/>
      <c r="KB52" s="524"/>
      <c r="KC52" s="524"/>
      <c r="KD52" s="524"/>
      <c r="KE52" s="524"/>
      <c r="KF52" s="524"/>
      <c r="KG52" s="524"/>
      <c r="KH52" s="524"/>
      <c r="KI52" s="524"/>
      <c r="KJ52" s="524"/>
      <c r="KK52" s="524"/>
      <c r="KL52" s="524"/>
      <c r="KM52" s="524"/>
      <c r="KN52" s="524"/>
      <c r="KO52" s="524"/>
      <c r="KP52" s="524"/>
      <c r="KQ52" s="524"/>
      <c r="KR52" s="524"/>
      <c r="KS52" s="524"/>
      <c r="KT52" s="524"/>
      <c r="KU52" s="524"/>
      <c r="KV52" s="524"/>
      <c r="KW52" s="524"/>
      <c r="KX52" s="524"/>
      <c r="KY52" s="524"/>
      <c r="KZ52" s="524"/>
      <c r="LA52" s="524"/>
      <c r="LB52" s="524"/>
      <c r="LC52" s="524"/>
      <c r="LD52" s="524"/>
      <c r="LE52" s="524"/>
      <c r="LF52" s="524"/>
      <c r="LG52" s="524"/>
      <c r="LH52" s="524"/>
      <c r="LI52" s="524"/>
      <c r="LJ52" s="524"/>
      <c r="LK52" s="524"/>
      <c r="LL52" s="524"/>
      <c r="LM52" s="524"/>
      <c r="LN52" s="524"/>
      <c r="LO52" s="524"/>
      <c r="LP52" s="524"/>
      <c r="LQ52" s="524"/>
      <c r="LR52" s="524"/>
      <c r="LS52" s="524"/>
      <c r="LT52" s="524"/>
      <c r="LU52" s="524"/>
      <c r="LV52" s="524"/>
      <c r="LW52" s="524"/>
      <c r="LX52" s="524"/>
      <c r="LY52" s="524"/>
      <c r="LZ52" s="524"/>
      <c r="MA52" s="524"/>
      <c r="MB52" s="524"/>
    </row>
    <row r="53" spans="1:340" ht="21" customHeight="1">
      <c r="A53" s="636"/>
      <c r="B53" s="467"/>
      <c r="C53" s="1251" t="s">
        <v>1187</v>
      </c>
      <c r="D53" s="2104"/>
      <c r="E53" s="1252"/>
      <c r="F53" s="1253">
        <f>+F54+F61</f>
        <v>505684.53500000003</v>
      </c>
      <c r="G53" s="1253">
        <f>+G54+G61</f>
        <v>505684.53500000003</v>
      </c>
      <c r="H53" s="1320">
        <f>+F53-G53</f>
        <v>0</v>
      </c>
      <c r="I53" s="481"/>
      <c r="J53" s="2025"/>
      <c r="K53" s="2959"/>
      <c r="L53" s="2959"/>
      <c r="M53" s="2959"/>
      <c r="N53" s="2959"/>
      <c r="O53" s="2959"/>
      <c r="P53" s="2965"/>
      <c r="Q53" s="2965"/>
      <c r="R53" s="2026"/>
      <c r="S53" s="2026"/>
      <c r="T53" s="2026"/>
      <c r="U53" s="2965"/>
      <c r="V53" s="2026"/>
      <c r="W53" s="2026"/>
      <c r="X53" s="2028"/>
      <c r="Y53" s="517"/>
      <c r="Z53" s="667"/>
      <c r="AA53" s="433">
        <f t="shared" ref="AA53:AA55" si="15">F53*1000000</f>
        <v>505684535000.00006</v>
      </c>
      <c r="AB53" s="449">
        <f t="shared" si="0"/>
        <v>505684535000000.06</v>
      </c>
      <c r="AC53" s="449">
        <f t="shared" si="1"/>
        <v>505684535000000.06</v>
      </c>
      <c r="AD53" s="452">
        <f t="shared" si="2"/>
        <v>0</v>
      </c>
    </row>
    <row r="54" spans="1:340" s="425" customFormat="1" ht="21" customHeight="1">
      <c r="A54" s="636"/>
      <c r="B54" s="2080"/>
      <c r="C54" s="624"/>
      <c r="D54" s="3825" t="s">
        <v>1188</v>
      </c>
      <c r="E54" s="3826"/>
      <c r="F54" s="578">
        <f>SUM(F55:F60)</f>
        <v>205684.535</v>
      </c>
      <c r="G54" s="578">
        <f>SUM(G55:G60)</f>
        <v>205684.535</v>
      </c>
      <c r="H54" s="627">
        <f>+F54-G54</f>
        <v>0</v>
      </c>
      <c r="I54" s="481"/>
      <c r="J54" s="2960"/>
      <c r="K54" s="2962"/>
      <c r="L54" s="2962"/>
      <c r="M54" s="2962"/>
      <c r="N54" s="2962"/>
      <c r="O54" s="2962"/>
      <c r="P54" s="2065"/>
      <c r="Q54" s="2065"/>
      <c r="R54" s="618"/>
      <c r="S54" s="618"/>
      <c r="T54" s="618"/>
      <c r="U54" s="2065"/>
      <c r="V54" s="618"/>
      <c r="W54" s="618"/>
      <c r="X54" s="619"/>
      <c r="Y54" s="478"/>
      <c r="Z54" s="658"/>
      <c r="AA54" s="433">
        <f t="shared" si="15"/>
        <v>205684535000</v>
      </c>
      <c r="AB54" s="449">
        <f t="shared" si="0"/>
        <v>205684535000000</v>
      </c>
      <c r="AC54" s="449">
        <f t="shared" si="1"/>
        <v>205684535000000</v>
      </c>
      <c r="AD54" s="452">
        <f t="shared" si="2"/>
        <v>0</v>
      </c>
    </row>
    <row r="55" spans="1:340" s="425" customFormat="1" ht="21" customHeight="1">
      <c r="A55" s="636"/>
      <c r="B55" s="2080"/>
      <c r="C55" s="624"/>
      <c r="D55" s="588"/>
      <c r="E55" s="2132" t="s">
        <v>261</v>
      </c>
      <c r="F55" s="989">
        <f>Y55</f>
        <v>83946.535000000003</v>
      </c>
      <c r="G55" s="989">
        <f>83946.535+20000</f>
        <v>103946.535</v>
      </c>
      <c r="H55" s="1021">
        <f>F55-G55</f>
        <v>-20000</v>
      </c>
      <c r="I55" s="734"/>
      <c r="J55" s="681" t="s">
        <v>4164</v>
      </c>
      <c r="K55" s="3602"/>
      <c r="L55" s="3602"/>
      <c r="M55" s="3602"/>
      <c r="N55" s="3606"/>
      <c r="O55" s="3606"/>
      <c r="P55" s="3606"/>
      <c r="Q55" s="684"/>
      <c r="R55" s="3605"/>
      <c r="S55" s="684">
        <v>83946535</v>
      </c>
      <c r="T55" s="684" t="s">
        <v>0</v>
      </c>
      <c r="U55" s="684"/>
      <c r="V55" s="684">
        <v>1</v>
      </c>
      <c r="W55" s="684" t="s">
        <v>226</v>
      </c>
      <c r="X55" s="686" t="s">
        <v>5</v>
      </c>
      <c r="Y55" s="871">
        <f t="shared" ref="Y55:Y56" si="16">Z55/1000</f>
        <v>83946.535000000003</v>
      </c>
      <c r="Z55" s="2232">
        <f>S55*V55</f>
        <v>83946535</v>
      </c>
      <c r="AA55" s="433">
        <f t="shared" si="15"/>
        <v>83946535000</v>
      </c>
      <c r="AB55" s="449">
        <f t="shared" si="0"/>
        <v>83946535000000</v>
      </c>
      <c r="AC55" s="449">
        <f t="shared" si="1"/>
        <v>103946535000000</v>
      </c>
      <c r="AD55" s="452">
        <f t="shared" si="2"/>
        <v>-20000000000000</v>
      </c>
    </row>
    <row r="56" spans="1:340" s="425" customFormat="1" ht="21" customHeight="1">
      <c r="A56" s="636"/>
      <c r="B56" s="2968"/>
      <c r="C56" s="624"/>
      <c r="D56" s="588"/>
      <c r="E56" s="1083" t="s">
        <v>16</v>
      </c>
      <c r="F56" s="989">
        <f>+Y56</f>
        <v>103558</v>
      </c>
      <c r="G56" s="864">
        <v>83558</v>
      </c>
      <c r="H56" s="1021">
        <f>F56-G56</f>
        <v>20000</v>
      </c>
      <c r="I56" s="734"/>
      <c r="J56" s="681" t="s">
        <v>5775</v>
      </c>
      <c r="K56" s="3602"/>
      <c r="L56" s="3602"/>
      <c r="M56" s="3602"/>
      <c r="N56" s="3602"/>
      <c r="O56" s="3602"/>
      <c r="P56" s="3606"/>
      <c r="Q56" s="3606"/>
      <c r="R56" s="684"/>
      <c r="S56" s="684">
        <v>25889500</v>
      </c>
      <c r="T56" s="684" t="s">
        <v>4</v>
      </c>
      <c r="U56" s="3606"/>
      <c r="V56" s="684">
        <v>4</v>
      </c>
      <c r="W56" s="684" t="s">
        <v>226</v>
      </c>
      <c r="X56" s="686" t="s">
        <v>5</v>
      </c>
      <c r="Y56" s="871">
        <f t="shared" si="16"/>
        <v>103558</v>
      </c>
      <c r="Z56" s="688">
        <f>S56*V56</f>
        <v>103558000</v>
      </c>
      <c r="AA56" s="433">
        <f>F56*1000000</f>
        <v>103558000000</v>
      </c>
      <c r="AB56" s="449">
        <f t="shared" si="0"/>
        <v>103558000000000</v>
      </c>
      <c r="AC56" s="449">
        <f t="shared" si="1"/>
        <v>83558000000000</v>
      </c>
      <c r="AD56" s="452">
        <f t="shared" si="2"/>
        <v>20000000000000</v>
      </c>
    </row>
    <row r="57" spans="1:340" s="425" customFormat="1" ht="21" customHeight="1">
      <c r="A57" s="636"/>
      <c r="B57" s="3612"/>
      <c r="C57" s="624"/>
      <c r="D57" s="588"/>
      <c r="E57" s="1083" t="s">
        <v>940</v>
      </c>
      <c r="F57" s="989">
        <f t="shared" ref="F57:F60" si="17">Y57</f>
        <v>11000</v>
      </c>
      <c r="G57" s="864">
        <v>11000</v>
      </c>
      <c r="H57" s="1021"/>
      <c r="I57" s="734"/>
      <c r="J57" s="681" t="s">
        <v>5776</v>
      </c>
      <c r="K57" s="3602"/>
      <c r="L57" s="3602"/>
      <c r="M57" s="3602"/>
      <c r="N57" s="3602"/>
      <c r="O57" s="3602"/>
      <c r="P57" s="3606"/>
      <c r="Q57" s="3606"/>
      <c r="R57" s="684"/>
      <c r="S57" s="684">
        <v>11000000</v>
      </c>
      <c r="T57" s="684" t="s">
        <v>0</v>
      </c>
      <c r="U57" s="3606"/>
      <c r="V57" s="684">
        <v>1</v>
      </c>
      <c r="W57" s="684" t="s">
        <v>6</v>
      </c>
      <c r="X57" s="2600" t="s">
        <v>1</v>
      </c>
      <c r="Y57" s="871">
        <f t="shared" ref="Y57:Y60" si="18">Z57/1000</f>
        <v>11000</v>
      </c>
      <c r="Z57" s="688">
        <f t="shared" ref="Z57:Z58" si="19">S57*V57</f>
        <v>11000000</v>
      </c>
      <c r="AA57" s="433"/>
      <c r="AB57" s="449"/>
      <c r="AC57" s="449"/>
      <c r="AD57" s="452"/>
    </row>
    <row r="58" spans="1:340" s="425" customFormat="1" ht="21" customHeight="1">
      <c r="A58" s="636"/>
      <c r="B58" s="3612"/>
      <c r="C58" s="624"/>
      <c r="D58" s="588"/>
      <c r="E58" s="1083" t="s">
        <v>229</v>
      </c>
      <c r="F58" s="989">
        <f t="shared" si="17"/>
        <v>3650</v>
      </c>
      <c r="G58" s="864">
        <v>3650</v>
      </c>
      <c r="H58" s="1021"/>
      <c r="I58" s="734"/>
      <c r="J58" s="681" t="s">
        <v>2144</v>
      </c>
      <c r="K58" s="3602"/>
      <c r="L58" s="3602"/>
      <c r="M58" s="3602"/>
      <c r="N58" s="3602"/>
      <c r="O58" s="3602"/>
      <c r="P58" s="3606"/>
      <c r="Q58" s="3606"/>
      <c r="R58" s="684"/>
      <c r="S58" s="684">
        <v>3650000</v>
      </c>
      <c r="T58" s="684" t="s">
        <v>0</v>
      </c>
      <c r="U58" s="3606"/>
      <c r="V58" s="684">
        <v>1</v>
      </c>
      <c r="W58" s="684" t="s">
        <v>6</v>
      </c>
      <c r="X58" s="2600" t="s">
        <v>1</v>
      </c>
      <c r="Y58" s="871">
        <f t="shared" si="18"/>
        <v>3650</v>
      </c>
      <c r="Z58" s="688">
        <f t="shared" si="19"/>
        <v>3650000</v>
      </c>
      <c r="AA58" s="433"/>
      <c r="AB58" s="449"/>
      <c r="AC58" s="449"/>
      <c r="AD58" s="452"/>
    </row>
    <row r="59" spans="1:340" s="425" customFormat="1" ht="21" customHeight="1">
      <c r="A59" s="636"/>
      <c r="B59" s="3612"/>
      <c r="C59" s="624"/>
      <c r="D59" s="588"/>
      <c r="E59" s="1083" t="s">
        <v>15</v>
      </c>
      <c r="F59" s="989">
        <f t="shared" si="17"/>
        <v>3030</v>
      </c>
      <c r="G59" s="864">
        <v>3030</v>
      </c>
      <c r="H59" s="1021"/>
      <c r="I59" s="734"/>
      <c r="J59" s="681" t="s">
        <v>5777</v>
      </c>
      <c r="K59" s="3602"/>
      <c r="L59" s="3602"/>
      <c r="M59" s="3602"/>
      <c r="N59" s="3602"/>
      <c r="O59" s="3602"/>
      <c r="P59" s="3606"/>
      <c r="Q59" s="3606">
        <v>10</v>
      </c>
      <c r="R59" s="684" t="s">
        <v>36</v>
      </c>
      <c r="S59" s="684">
        <v>303000</v>
      </c>
      <c r="T59" s="684" t="s">
        <v>0</v>
      </c>
      <c r="U59" s="3606"/>
      <c r="V59" s="684">
        <v>1</v>
      </c>
      <c r="W59" s="684" t="s">
        <v>6</v>
      </c>
      <c r="X59" s="2600" t="s">
        <v>1</v>
      </c>
      <c r="Y59" s="871">
        <f t="shared" si="18"/>
        <v>3030</v>
      </c>
      <c r="Z59" s="688">
        <f>Q59*S59*V59</f>
        <v>3030000</v>
      </c>
      <c r="AA59" s="433"/>
      <c r="AB59" s="449"/>
      <c r="AC59" s="449"/>
      <c r="AD59" s="452"/>
    </row>
    <row r="60" spans="1:340" s="425" customFormat="1" ht="21" customHeight="1">
      <c r="A60" s="636"/>
      <c r="B60" s="3612"/>
      <c r="C60" s="624"/>
      <c r="D60" s="588"/>
      <c r="E60" s="3248" t="s">
        <v>73</v>
      </c>
      <c r="F60" s="989">
        <f t="shared" si="17"/>
        <v>500</v>
      </c>
      <c r="G60" s="864">
        <v>500</v>
      </c>
      <c r="H60" s="1021"/>
      <c r="I60" s="734"/>
      <c r="J60" s="681" t="s">
        <v>5778</v>
      </c>
      <c r="K60" s="3602"/>
      <c r="L60" s="3602"/>
      <c r="M60" s="3602"/>
      <c r="N60" s="3602"/>
      <c r="O60" s="3602"/>
      <c r="P60" s="3606"/>
      <c r="Q60" s="3606">
        <v>25</v>
      </c>
      <c r="R60" s="684" t="s">
        <v>36</v>
      </c>
      <c r="S60" s="684">
        <v>20000</v>
      </c>
      <c r="T60" s="684" t="s">
        <v>0</v>
      </c>
      <c r="U60" s="3606"/>
      <c r="V60" s="684">
        <v>1</v>
      </c>
      <c r="W60" s="684" t="s">
        <v>6</v>
      </c>
      <c r="X60" s="2600" t="s">
        <v>1</v>
      </c>
      <c r="Y60" s="871">
        <f t="shared" si="18"/>
        <v>500</v>
      </c>
      <c r="Z60" s="688">
        <f>Q60*S60*V60</f>
        <v>500000</v>
      </c>
      <c r="AA60" s="433"/>
      <c r="AB60" s="449"/>
      <c r="AC60" s="449"/>
      <c r="AD60" s="452"/>
    </row>
    <row r="61" spans="1:340" ht="21" customHeight="1">
      <c r="A61" s="636"/>
      <c r="B61" s="2080"/>
      <c r="C61" s="624"/>
      <c r="D61" s="3825" t="s">
        <v>411</v>
      </c>
      <c r="E61" s="3839"/>
      <c r="F61" s="1568">
        <f>SUM(F62:F79)</f>
        <v>300000</v>
      </c>
      <c r="G61" s="1568">
        <f>SUM(G62:G79)</f>
        <v>300000</v>
      </c>
      <c r="H61" s="1320">
        <f>+F61-G61</f>
        <v>0</v>
      </c>
      <c r="I61" s="3366"/>
      <c r="J61" s="604"/>
      <c r="K61" s="605"/>
      <c r="L61" s="605"/>
      <c r="M61" s="605"/>
      <c r="N61" s="605"/>
      <c r="O61" s="605"/>
      <c r="P61" s="2074"/>
      <c r="Q61" s="2074"/>
      <c r="R61" s="609"/>
      <c r="S61" s="609"/>
      <c r="T61" s="609"/>
      <c r="U61" s="2074"/>
      <c r="V61" s="609"/>
      <c r="W61" s="609"/>
      <c r="X61" s="610"/>
      <c r="Y61" s="490"/>
      <c r="Z61" s="518"/>
      <c r="AA61" s="433">
        <f t="shared" ref="AA61:AA79" si="20">F61*1000000</f>
        <v>300000000000</v>
      </c>
      <c r="AB61" s="449"/>
      <c r="AC61" s="449"/>
      <c r="AD61" s="452"/>
    </row>
    <row r="62" spans="1:340" s="425" customFormat="1" ht="21" customHeight="1">
      <c r="A62" s="636"/>
      <c r="B62" s="2080"/>
      <c r="C62" s="624"/>
      <c r="D62" s="588"/>
      <c r="E62" s="602" t="s">
        <v>4210</v>
      </c>
      <c r="F62" s="1588">
        <f>+Y62</f>
        <v>4190</v>
      </c>
      <c r="G62" s="1588">
        <v>4190</v>
      </c>
      <c r="H62" s="2138"/>
      <c r="I62" s="3366"/>
      <c r="J62" s="604" t="s">
        <v>4998</v>
      </c>
      <c r="K62" s="605"/>
      <c r="L62" s="605"/>
      <c r="M62" s="605"/>
      <c r="N62" s="2074"/>
      <c r="O62" s="2074"/>
      <c r="P62" s="2074"/>
      <c r="Q62" s="609"/>
      <c r="R62" s="607"/>
      <c r="S62" s="609">
        <v>2095000</v>
      </c>
      <c r="T62" s="609" t="s">
        <v>368</v>
      </c>
      <c r="U62" s="609"/>
      <c r="V62" s="609">
        <v>2</v>
      </c>
      <c r="W62" s="609" t="s">
        <v>4202</v>
      </c>
      <c r="X62" s="610" t="s">
        <v>370</v>
      </c>
      <c r="Y62" s="490">
        <f>Z62/1000</f>
        <v>4190</v>
      </c>
      <c r="Z62" s="3367">
        <f>S62*V62</f>
        <v>4190000</v>
      </c>
      <c r="AA62" s="433">
        <f t="shared" si="20"/>
        <v>4190000000</v>
      </c>
      <c r="AB62" s="449"/>
      <c r="AC62" s="449"/>
      <c r="AD62" s="452"/>
    </row>
    <row r="63" spans="1:340" s="491" customFormat="1" ht="21" customHeight="1">
      <c r="A63" s="636"/>
      <c r="B63" s="2968"/>
      <c r="C63" s="624"/>
      <c r="D63" s="588"/>
      <c r="E63" s="2023" t="s">
        <v>4211</v>
      </c>
      <c r="F63" s="593">
        <f>+Y63</f>
        <v>500</v>
      </c>
      <c r="G63" s="593">
        <v>500</v>
      </c>
      <c r="H63" s="643"/>
      <c r="I63" s="634"/>
      <c r="J63" s="3370" t="s">
        <v>4998</v>
      </c>
      <c r="K63" s="3253"/>
      <c r="L63" s="3253"/>
      <c r="M63" s="3253"/>
      <c r="N63" s="2075"/>
      <c r="O63" s="2075"/>
      <c r="P63" s="2075"/>
      <c r="Q63" s="3255"/>
      <c r="R63" s="3249"/>
      <c r="S63" s="3371">
        <v>500000</v>
      </c>
      <c r="T63" s="3371" t="s">
        <v>368</v>
      </c>
      <c r="U63" s="3371"/>
      <c r="V63" s="3371">
        <v>1</v>
      </c>
      <c r="W63" s="3371" t="s">
        <v>4202</v>
      </c>
      <c r="X63" s="2030" t="s">
        <v>370</v>
      </c>
      <c r="Y63" s="3110">
        <f>Z63/1000</f>
        <v>500</v>
      </c>
      <c r="Z63" s="3367">
        <f>S63*V63</f>
        <v>500000</v>
      </c>
      <c r="AA63" s="433">
        <f t="shared" si="20"/>
        <v>500000000</v>
      </c>
      <c r="AB63" s="449"/>
      <c r="AC63" s="449"/>
      <c r="AD63" s="452"/>
    </row>
    <row r="64" spans="1:340" s="491" customFormat="1" ht="21" customHeight="1">
      <c r="A64" s="636"/>
      <c r="B64" s="2968"/>
      <c r="C64" s="624"/>
      <c r="D64" s="588"/>
      <c r="E64" s="3350" t="s">
        <v>4212</v>
      </c>
      <c r="F64" s="593">
        <f>+Y64</f>
        <v>17850</v>
      </c>
      <c r="G64" s="593">
        <v>17850</v>
      </c>
      <c r="H64" s="643"/>
      <c r="I64" s="634"/>
      <c r="J64" s="3254" t="s">
        <v>8</v>
      </c>
      <c r="K64" s="3253"/>
      <c r="L64" s="3253"/>
      <c r="M64" s="3253"/>
      <c r="N64" s="2075"/>
      <c r="O64" s="2075"/>
      <c r="P64" s="2075"/>
      <c r="Q64" s="3255"/>
      <c r="R64" s="3249"/>
      <c r="S64" s="3255"/>
      <c r="T64" s="3255"/>
      <c r="U64" s="3255"/>
      <c r="V64" s="3255"/>
      <c r="W64" s="3255"/>
      <c r="X64" s="2030"/>
      <c r="Y64" s="3110">
        <f>SUM(Y65:Y66)</f>
        <v>17850</v>
      </c>
      <c r="Z64" s="3367">
        <f>+Z65+Z66</f>
        <v>17850000</v>
      </c>
      <c r="AA64" s="433">
        <f t="shared" si="20"/>
        <v>17850000000</v>
      </c>
      <c r="AB64" s="449"/>
      <c r="AC64" s="449"/>
      <c r="AD64" s="452"/>
    </row>
    <row r="65" spans="1:30" s="491" customFormat="1" ht="21" customHeight="1">
      <c r="A65" s="636"/>
      <c r="B65" s="2968"/>
      <c r="C65" s="624"/>
      <c r="D65" s="588"/>
      <c r="E65" s="3350"/>
      <c r="F65" s="593"/>
      <c r="G65" s="593"/>
      <c r="H65" s="643"/>
      <c r="I65" s="634"/>
      <c r="J65" s="3254" t="s">
        <v>4200</v>
      </c>
      <c r="K65" s="3253"/>
      <c r="L65" s="3253"/>
      <c r="M65" s="3253"/>
      <c r="N65" s="2075"/>
      <c r="O65" s="2075"/>
      <c r="P65" s="2075"/>
      <c r="Q65" s="3255"/>
      <c r="R65" s="3249"/>
      <c r="S65" s="3255">
        <v>3712500</v>
      </c>
      <c r="T65" s="3255" t="s">
        <v>4201</v>
      </c>
      <c r="U65" s="3255"/>
      <c r="V65" s="3255">
        <v>4</v>
      </c>
      <c r="W65" s="3255" t="s">
        <v>4202</v>
      </c>
      <c r="X65" s="2030" t="s">
        <v>4203</v>
      </c>
      <c r="Y65" s="3110">
        <f>Z65/1000</f>
        <v>14850</v>
      </c>
      <c r="Z65" s="3367">
        <f>S65*V65</f>
        <v>14850000</v>
      </c>
      <c r="AA65" s="433">
        <f t="shared" si="20"/>
        <v>0</v>
      </c>
      <c r="AB65" s="449"/>
      <c r="AC65" s="449"/>
      <c r="AD65" s="452"/>
    </row>
    <row r="66" spans="1:30" s="491" customFormat="1" ht="21" customHeight="1">
      <c r="A66" s="636"/>
      <c r="B66" s="2968"/>
      <c r="C66" s="624"/>
      <c r="D66" s="588"/>
      <c r="E66" s="3350"/>
      <c r="F66" s="593"/>
      <c r="G66" s="593"/>
      <c r="H66" s="643"/>
      <c r="I66" s="634"/>
      <c r="J66" s="3254" t="s">
        <v>4204</v>
      </c>
      <c r="K66" s="3253"/>
      <c r="L66" s="3253"/>
      <c r="M66" s="3253"/>
      <c r="N66" s="2075"/>
      <c r="O66" s="2075"/>
      <c r="P66" s="2075"/>
      <c r="Q66" s="3255"/>
      <c r="R66" s="3249"/>
      <c r="S66" s="3255">
        <v>3000000</v>
      </c>
      <c r="T66" s="3255" t="s">
        <v>4201</v>
      </c>
      <c r="U66" s="3255"/>
      <c r="V66" s="3255">
        <v>1</v>
      </c>
      <c r="W66" s="3255" t="s">
        <v>4202</v>
      </c>
      <c r="X66" s="2030" t="s">
        <v>4203</v>
      </c>
      <c r="Y66" s="3110">
        <f>Z66/1000</f>
        <v>3000</v>
      </c>
      <c r="Z66" s="3367">
        <f>S66*V66</f>
        <v>3000000</v>
      </c>
      <c r="AA66" s="433">
        <f t="shared" si="20"/>
        <v>0</v>
      </c>
      <c r="AB66" s="449"/>
      <c r="AC66" s="449"/>
      <c r="AD66" s="452"/>
    </row>
    <row r="67" spans="1:30" s="491" customFormat="1" ht="21" customHeight="1">
      <c r="A67" s="636"/>
      <c r="B67" s="3128"/>
      <c r="C67" s="624"/>
      <c r="D67" s="588"/>
      <c r="E67" s="3350" t="s">
        <v>4213</v>
      </c>
      <c r="F67" s="593">
        <f>+Y67</f>
        <v>42910</v>
      </c>
      <c r="G67" s="593">
        <v>42910</v>
      </c>
      <c r="H67" s="643"/>
      <c r="I67" s="634"/>
      <c r="J67" s="3254" t="s">
        <v>8</v>
      </c>
      <c r="K67" s="3253"/>
      <c r="L67" s="3253"/>
      <c r="M67" s="3253"/>
      <c r="N67" s="2075"/>
      <c r="O67" s="2075"/>
      <c r="P67" s="2075"/>
      <c r="Q67" s="3255"/>
      <c r="R67" s="3249"/>
      <c r="S67" s="3255"/>
      <c r="T67" s="3255"/>
      <c r="U67" s="3255"/>
      <c r="V67" s="3255"/>
      <c r="W67" s="3255"/>
      <c r="X67" s="2030"/>
      <c r="Y67" s="3110">
        <f>SUM(Y68:Y69)</f>
        <v>42910</v>
      </c>
      <c r="Z67" s="3367">
        <f>Z68+Z69</f>
        <v>42910000</v>
      </c>
      <c r="AA67" s="433">
        <f t="shared" si="20"/>
        <v>42910000000</v>
      </c>
      <c r="AB67" s="449"/>
      <c r="AC67" s="449"/>
      <c r="AD67" s="452"/>
    </row>
    <row r="68" spans="1:30" s="491" customFormat="1" ht="21" customHeight="1">
      <c r="A68" s="636"/>
      <c r="B68" s="2968"/>
      <c r="C68" s="624"/>
      <c r="D68" s="588"/>
      <c r="E68" s="3350"/>
      <c r="F68" s="593"/>
      <c r="G68" s="593"/>
      <c r="H68" s="643"/>
      <c r="I68" s="634"/>
      <c r="J68" s="3254" t="s">
        <v>4200</v>
      </c>
      <c r="K68" s="3253"/>
      <c r="L68" s="3253"/>
      <c r="M68" s="3253"/>
      <c r="N68" s="2075"/>
      <c r="O68" s="2075"/>
      <c r="P68" s="2075"/>
      <c r="Q68" s="3255"/>
      <c r="R68" s="3249"/>
      <c r="S68" s="3255">
        <v>3782000</v>
      </c>
      <c r="T68" s="3255" t="s">
        <v>4201</v>
      </c>
      <c r="U68" s="3255"/>
      <c r="V68" s="3255">
        <v>5</v>
      </c>
      <c r="W68" s="3255" t="s">
        <v>4202</v>
      </c>
      <c r="X68" s="2030" t="s">
        <v>4203</v>
      </c>
      <c r="Y68" s="3110">
        <f>Z68/1000</f>
        <v>18910</v>
      </c>
      <c r="Z68" s="3367">
        <f>S68*V68</f>
        <v>18910000</v>
      </c>
      <c r="AA68" s="433">
        <f t="shared" si="20"/>
        <v>0</v>
      </c>
      <c r="AB68" s="449"/>
      <c r="AC68" s="449"/>
      <c r="AD68" s="452"/>
    </row>
    <row r="69" spans="1:30" s="491" customFormat="1" ht="21" customHeight="1">
      <c r="A69" s="636"/>
      <c r="B69" s="2968"/>
      <c r="C69" s="624"/>
      <c r="D69" s="588"/>
      <c r="E69" s="3350"/>
      <c r="F69" s="593"/>
      <c r="G69" s="593"/>
      <c r="H69" s="643"/>
      <c r="I69" s="634"/>
      <c r="J69" s="3254" t="s">
        <v>4204</v>
      </c>
      <c r="K69" s="3253"/>
      <c r="L69" s="3253"/>
      <c r="M69" s="3253"/>
      <c r="N69" s="2075"/>
      <c r="O69" s="2075"/>
      <c r="P69" s="2075"/>
      <c r="Q69" s="3255"/>
      <c r="R69" s="3249"/>
      <c r="S69" s="3255">
        <v>12000000</v>
      </c>
      <c r="T69" s="3255" t="s">
        <v>4201</v>
      </c>
      <c r="U69" s="3255"/>
      <c r="V69" s="3255">
        <v>2</v>
      </c>
      <c r="W69" s="3255" t="s">
        <v>4202</v>
      </c>
      <c r="X69" s="2030" t="s">
        <v>4203</v>
      </c>
      <c r="Y69" s="3110">
        <f>Z69/1000</f>
        <v>24000</v>
      </c>
      <c r="Z69" s="3367">
        <f>S69*V69</f>
        <v>24000000</v>
      </c>
      <c r="AA69" s="433">
        <f t="shared" si="20"/>
        <v>0</v>
      </c>
      <c r="AB69" s="449"/>
      <c r="AC69" s="449"/>
      <c r="AD69" s="452"/>
    </row>
    <row r="70" spans="1:30" s="491" customFormat="1" ht="21" customHeight="1">
      <c r="A70" s="636"/>
      <c r="B70" s="2968"/>
      <c r="C70" s="624"/>
      <c r="D70" s="588"/>
      <c r="E70" s="3350" t="s">
        <v>4214</v>
      </c>
      <c r="F70" s="593">
        <f>+Y70</f>
        <v>27600</v>
      </c>
      <c r="G70" s="593">
        <v>27600</v>
      </c>
      <c r="H70" s="643"/>
      <c r="I70" s="634"/>
      <c r="J70" s="3370" t="s">
        <v>4998</v>
      </c>
      <c r="K70" s="3119"/>
      <c r="L70" s="3119"/>
      <c r="M70" s="3253"/>
      <c r="N70" s="2075"/>
      <c r="O70" s="2075"/>
      <c r="P70" s="2075"/>
      <c r="Q70" s="3255"/>
      <c r="R70" s="3249"/>
      <c r="S70" s="3371">
        <v>5520000</v>
      </c>
      <c r="T70" s="3371" t="s">
        <v>368</v>
      </c>
      <c r="U70" s="3371"/>
      <c r="V70" s="3371">
        <v>5</v>
      </c>
      <c r="W70" s="3371" t="s">
        <v>4202</v>
      </c>
      <c r="X70" s="2030" t="s">
        <v>370</v>
      </c>
      <c r="Y70" s="3110">
        <f>Z70/1000</f>
        <v>27600</v>
      </c>
      <c r="Z70" s="3367">
        <f>S70*V70</f>
        <v>27600000</v>
      </c>
      <c r="AA70" s="433">
        <f t="shared" si="20"/>
        <v>27600000000</v>
      </c>
      <c r="AB70" s="449"/>
      <c r="AC70" s="449"/>
      <c r="AD70" s="452"/>
    </row>
    <row r="71" spans="1:30" s="491" customFormat="1" ht="21" customHeight="1">
      <c r="A71" s="636"/>
      <c r="B71" s="467"/>
      <c r="C71" s="564"/>
      <c r="D71" s="2034"/>
      <c r="E71" s="3350" t="s">
        <v>4215</v>
      </c>
      <c r="F71" s="593">
        <f>+Y71</f>
        <v>4750</v>
      </c>
      <c r="G71" s="593">
        <v>4750</v>
      </c>
      <c r="H71" s="643"/>
      <c r="I71" s="634"/>
      <c r="J71" s="3370" t="s">
        <v>4998</v>
      </c>
      <c r="K71" s="3253"/>
      <c r="L71" s="3253"/>
      <c r="M71" s="3253"/>
      <c r="N71" s="2075"/>
      <c r="O71" s="2075"/>
      <c r="P71" s="2075"/>
      <c r="Q71" s="3255"/>
      <c r="R71" s="3249"/>
      <c r="S71" s="3371">
        <v>950000</v>
      </c>
      <c r="T71" s="3371" t="s">
        <v>368</v>
      </c>
      <c r="U71" s="3371"/>
      <c r="V71" s="3371">
        <v>5</v>
      </c>
      <c r="W71" s="3371" t="s">
        <v>4202</v>
      </c>
      <c r="X71" s="2030" t="s">
        <v>370</v>
      </c>
      <c r="Y71" s="3110">
        <f>Z71/1000</f>
        <v>4750</v>
      </c>
      <c r="Z71" s="3367">
        <f>S71*V71</f>
        <v>4750000</v>
      </c>
      <c r="AA71" s="433">
        <f t="shared" si="20"/>
        <v>4750000000</v>
      </c>
      <c r="AB71" s="449"/>
      <c r="AC71" s="449"/>
      <c r="AD71" s="452"/>
    </row>
    <row r="72" spans="1:30" s="491" customFormat="1" ht="21" customHeight="1">
      <c r="A72" s="636"/>
      <c r="B72" s="2968"/>
      <c r="C72" s="624"/>
      <c r="D72" s="588"/>
      <c r="E72" s="3350" t="s">
        <v>4216</v>
      </c>
      <c r="F72" s="593">
        <f>+Y72</f>
        <v>36540</v>
      </c>
      <c r="G72" s="593">
        <v>36540</v>
      </c>
      <c r="H72" s="643"/>
      <c r="I72" s="634"/>
      <c r="J72" s="3254" t="s">
        <v>4205</v>
      </c>
      <c r="K72" s="3253"/>
      <c r="L72" s="3253"/>
      <c r="M72" s="3253"/>
      <c r="N72" s="2075"/>
      <c r="O72" s="2075"/>
      <c r="P72" s="2075"/>
      <c r="Q72" s="3255"/>
      <c r="R72" s="3249"/>
      <c r="S72" s="3255"/>
      <c r="T72" s="3255"/>
      <c r="U72" s="3255"/>
      <c r="V72" s="3255"/>
      <c r="W72" s="3255"/>
      <c r="X72" s="2030"/>
      <c r="Y72" s="3110">
        <f>SUM(Y73:Y76)</f>
        <v>36540</v>
      </c>
      <c r="Z72" s="3367">
        <f>+Z73+Z74+Z75+Z76</f>
        <v>36540000</v>
      </c>
      <c r="AA72" s="433">
        <f t="shared" si="20"/>
        <v>36540000000</v>
      </c>
      <c r="AB72" s="449"/>
      <c r="AC72" s="449"/>
      <c r="AD72" s="452"/>
    </row>
    <row r="73" spans="1:30" s="491" customFormat="1" ht="21" customHeight="1">
      <c r="A73" s="636"/>
      <c r="B73" s="3128"/>
      <c r="C73" s="624"/>
      <c r="D73" s="588"/>
      <c r="E73" s="3350"/>
      <c r="F73" s="593"/>
      <c r="G73" s="593"/>
      <c r="H73" s="643"/>
      <c r="I73" s="634"/>
      <c r="J73" s="3254" t="s">
        <v>4206</v>
      </c>
      <c r="K73" s="3253"/>
      <c r="L73" s="3253"/>
      <c r="M73" s="3253"/>
      <c r="N73" s="2075"/>
      <c r="O73" s="2075"/>
      <c r="P73" s="2075"/>
      <c r="Q73" s="3255"/>
      <c r="R73" s="3249"/>
      <c r="S73" s="3255">
        <v>13000000</v>
      </c>
      <c r="T73" s="3255" t="s">
        <v>4201</v>
      </c>
      <c r="U73" s="3255"/>
      <c r="V73" s="3255">
        <v>1</v>
      </c>
      <c r="W73" s="3255" t="s">
        <v>4202</v>
      </c>
      <c r="X73" s="2030" t="s">
        <v>4203</v>
      </c>
      <c r="Y73" s="3110">
        <f t="shared" ref="Y73:Y78" si="21">Z73/1000</f>
        <v>13000</v>
      </c>
      <c r="Z73" s="3367">
        <f>S73*V73</f>
        <v>13000000</v>
      </c>
      <c r="AA73" s="433">
        <f t="shared" si="20"/>
        <v>0</v>
      </c>
      <c r="AB73" s="449"/>
      <c r="AC73" s="449"/>
      <c r="AD73" s="452"/>
    </row>
    <row r="74" spans="1:30" s="491" customFormat="1" ht="21" customHeight="1">
      <c r="A74" s="636"/>
      <c r="B74" s="2968"/>
      <c r="C74" s="624"/>
      <c r="D74" s="588"/>
      <c r="E74" s="3350"/>
      <c r="F74" s="593"/>
      <c r="G74" s="593"/>
      <c r="H74" s="643"/>
      <c r="I74" s="634"/>
      <c r="J74" s="3254" t="s">
        <v>4207</v>
      </c>
      <c r="K74" s="3253"/>
      <c r="L74" s="3253"/>
      <c r="M74" s="3253"/>
      <c r="N74" s="2075"/>
      <c r="O74" s="2075"/>
      <c r="P74" s="2075"/>
      <c r="Q74" s="3255"/>
      <c r="R74" s="3249"/>
      <c r="S74" s="3255">
        <v>2590000</v>
      </c>
      <c r="T74" s="3255" t="s">
        <v>4201</v>
      </c>
      <c r="U74" s="3255"/>
      <c r="V74" s="3255">
        <v>6</v>
      </c>
      <c r="W74" s="3255" t="s">
        <v>4202</v>
      </c>
      <c r="X74" s="2030" t="s">
        <v>4203</v>
      </c>
      <c r="Y74" s="3110">
        <f t="shared" si="21"/>
        <v>15540</v>
      </c>
      <c r="Z74" s="3367">
        <f t="shared" ref="Z74:Z76" si="22">S74*V74</f>
        <v>15540000</v>
      </c>
      <c r="AA74" s="433">
        <f t="shared" si="20"/>
        <v>0</v>
      </c>
      <c r="AB74" s="449"/>
      <c r="AC74" s="449"/>
      <c r="AD74" s="452"/>
    </row>
    <row r="75" spans="1:30" s="491" customFormat="1" ht="21" customHeight="1">
      <c r="A75" s="636"/>
      <c r="B75" s="3128"/>
      <c r="C75" s="624"/>
      <c r="D75" s="588"/>
      <c r="E75" s="3350"/>
      <c r="F75" s="593"/>
      <c r="G75" s="593"/>
      <c r="H75" s="643"/>
      <c r="I75" s="634"/>
      <c r="J75" s="3254" t="s">
        <v>4208</v>
      </c>
      <c r="K75" s="3253"/>
      <c r="L75" s="3253"/>
      <c r="M75" s="3253"/>
      <c r="N75" s="2075"/>
      <c r="O75" s="2075"/>
      <c r="P75" s="2075"/>
      <c r="Q75" s="3255"/>
      <c r="R75" s="3249"/>
      <c r="S75" s="3255">
        <v>5000000</v>
      </c>
      <c r="T75" s="3255" t="s">
        <v>4201</v>
      </c>
      <c r="U75" s="3255"/>
      <c r="V75" s="3255">
        <v>1</v>
      </c>
      <c r="W75" s="3255" t="s">
        <v>4202</v>
      </c>
      <c r="X75" s="2030" t="s">
        <v>4203</v>
      </c>
      <c r="Y75" s="3110">
        <f t="shared" si="21"/>
        <v>5000</v>
      </c>
      <c r="Z75" s="3367">
        <f t="shared" si="22"/>
        <v>5000000</v>
      </c>
      <c r="AA75" s="433">
        <f t="shared" si="20"/>
        <v>0</v>
      </c>
      <c r="AB75" s="449"/>
      <c r="AC75" s="449"/>
      <c r="AD75" s="452"/>
    </row>
    <row r="76" spans="1:30" s="491" customFormat="1" ht="21" customHeight="1">
      <c r="A76" s="636"/>
      <c r="B76" s="3128"/>
      <c r="C76" s="624"/>
      <c r="D76" s="588"/>
      <c r="E76" s="3350"/>
      <c r="F76" s="593"/>
      <c r="G76" s="593"/>
      <c r="H76" s="643"/>
      <c r="I76" s="634"/>
      <c r="J76" s="3254" t="s">
        <v>4209</v>
      </c>
      <c r="K76" s="3253"/>
      <c r="L76" s="3253"/>
      <c r="M76" s="3253"/>
      <c r="N76" s="2075"/>
      <c r="O76" s="2075"/>
      <c r="P76" s="2075"/>
      <c r="Q76" s="3255"/>
      <c r="R76" s="3249"/>
      <c r="S76" s="3255">
        <v>3000000</v>
      </c>
      <c r="T76" s="3255" t="s">
        <v>4201</v>
      </c>
      <c r="U76" s="3255"/>
      <c r="V76" s="3255">
        <v>1</v>
      </c>
      <c r="W76" s="3255" t="s">
        <v>4202</v>
      </c>
      <c r="X76" s="2030" t="s">
        <v>4203</v>
      </c>
      <c r="Y76" s="3110">
        <f t="shared" si="21"/>
        <v>3000</v>
      </c>
      <c r="Z76" s="3367">
        <f t="shared" si="22"/>
        <v>3000000</v>
      </c>
      <c r="AA76" s="433">
        <f t="shared" si="20"/>
        <v>0</v>
      </c>
      <c r="AB76" s="449"/>
      <c r="AC76" s="449"/>
      <c r="AD76" s="452"/>
    </row>
    <row r="77" spans="1:30" s="491" customFormat="1" ht="21" customHeight="1">
      <c r="A77" s="636"/>
      <c r="B77" s="3612"/>
      <c r="C77" s="624"/>
      <c r="D77" s="588"/>
      <c r="E77" s="3350" t="s">
        <v>5784</v>
      </c>
      <c r="F77" s="593">
        <f>+Y77</f>
        <v>12000</v>
      </c>
      <c r="G77" s="593">
        <v>0</v>
      </c>
      <c r="H77" s="643">
        <f>F77-G77</f>
        <v>12000</v>
      </c>
      <c r="I77" s="634"/>
      <c r="J77" s="3609" t="s">
        <v>5785</v>
      </c>
      <c r="K77" s="3608"/>
      <c r="L77" s="3608"/>
      <c r="M77" s="3608"/>
      <c r="N77" s="2075"/>
      <c r="O77" s="2075"/>
      <c r="P77" s="2075"/>
      <c r="Q77" s="3610"/>
      <c r="R77" s="3603"/>
      <c r="S77" s="3610">
        <v>12000000</v>
      </c>
      <c r="T77" s="3610" t="s">
        <v>5760</v>
      </c>
      <c r="U77" s="3610"/>
      <c r="V77" s="3610">
        <v>1</v>
      </c>
      <c r="W77" s="3610" t="s">
        <v>5762</v>
      </c>
      <c r="X77" s="2030" t="s">
        <v>5761</v>
      </c>
      <c r="Y77" s="3110">
        <f t="shared" si="21"/>
        <v>12000</v>
      </c>
      <c r="Z77" s="1898">
        <f>S77*V77</f>
        <v>12000000</v>
      </c>
      <c r="AA77" s="433"/>
      <c r="AB77" s="449"/>
      <c r="AC77" s="449"/>
      <c r="AD77" s="452"/>
    </row>
    <row r="78" spans="1:30" s="491" customFormat="1" ht="21" customHeight="1">
      <c r="A78" s="636"/>
      <c r="B78" s="2968"/>
      <c r="C78" s="624"/>
      <c r="D78" s="588"/>
      <c r="E78" s="3350" t="s">
        <v>4217</v>
      </c>
      <c r="F78" s="593">
        <f>+Y78</f>
        <v>660</v>
      </c>
      <c r="G78" s="593">
        <v>660</v>
      </c>
      <c r="H78" s="643"/>
      <c r="I78" s="634"/>
      <c r="J78" s="3609" t="s">
        <v>5786</v>
      </c>
      <c r="K78" s="3253"/>
      <c r="L78" s="3253"/>
      <c r="M78" s="3253"/>
      <c r="N78" s="2075"/>
      <c r="O78" s="2075"/>
      <c r="P78" s="2075"/>
      <c r="Q78" s="3255"/>
      <c r="R78" s="3249"/>
      <c r="S78" s="3371">
        <v>220000</v>
      </c>
      <c r="T78" s="3371" t="s">
        <v>368</v>
      </c>
      <c r="U78" s="3371"/>
      <c r="V78" s="3371">
        <v>3</v>
      </c>
      <c r="W78" s="2075" t="s">
        <v>4202</v>
      </c>
      <c r="X78" s="2030" t="s">
        <v>370</v>
      </c>
      <c r="Y78" s="3110">
        <f t="shared" si="21"/>
        <v>660</v>
      </c>
      <c r="Z78" s="3367">
        <f>S78*V78</f>
        <v>660000</v>
      </c>
      <c r="AA78" s="433">
        <f t="shared" si="20"/>
        <v>660000000</v>
      </c>
      <c r="AB78" s="449"/>
      <c r="AC78" s="449"/>
      <c r="AD78" s="452"/>
    </row>
    <row r="79" spans="1:30" s="491" customFormat="1" ht="21" customHeight="1">
      <c r="A79" s="636"/>
      <c r="B79" s="2968"/>
      <c r="C79" s="624"/>
      <c r="D79" s="588"/>
      <c r="E79" s="3350" t="s">
        <v>4218</v>
      </c>
      <c r="F79" s="593">
        <f>+Y79</f>
        <v>153000</v>
      </c>
      <c r="G79" s="593">
        <v>165000</v>
      </c>
      <c r="H79" s="643">
        <f>F79-G79</f>
        <v>-12000</v>
      </c>
      <c r="I79" s="634"/>
      <c r="J79" s="3370" t="s">
        <v>4999</v>
      </c>
      <c r="K79" s="3253"/>
      <c r="L79" s="3253"/>
      <c r="M79" s="3253"/>
      <c r="N79" s="2075"/>
      <c r="O79" s="2075"/>
      <c r="P79" s="2075"/>
      <c r="Q79" s="3255"/>
      <c r="R79" s="3249"/>
      <c r="S79" s="3361">
        <v>76500000</v>
      </c>
      <c r="T79" s="3361" t="s">
        <v>0</v>
      </c>
      <c r="U79" s="3361"/>
      <c r="V79" s="3361">
        <v>2</v>
      </c>
      <c r="W79" s="3361" t="s">
        <v>369</v>
      </c>
      <c r="X79" s="3368" t="s">
        <v>1</v>
      </c>
      <c r="Y79" s="3364">
        <f t="shared" ref="Y79" si="23">Z79/1000</f>
        <v>153000</v>
      </c>
      <c r="Z79" s="3369">
        <f t="shared" ref="Z79" si="24">S79*V79</f>
        <v>153000000</v>
      </c>
      <c r="AA79" s="433">
        <f t="shared" si="20"/>
        <v>153000000000</v>
      </c>
      <c r="AB79" s="449"/>
      <c r="AC79" s="449"/>
      <c r="AD79" s="452"/>
    </row>
    <row r="80" spans="1:30" ht="21" customHeight="1">
      <c r="A80" s="636"/>
      <c r="B80" s="467"/>
      <c r="C80" s="1251" t="s">
        <v>371</v>
      </c>
      <c r="D80" s="2104"/>
      <c r="E80" s="1252"/>
      <c r="F80" s="1253">
        <f>F81+F96</f>
        <v>155000</v>
      </c>
      <c r="G80" s="1253">
        <f>G81+G96</f>
        <v>155000</v>
      </c>
      <c r="H80" s="531">
        <f>+F80-G80</f>
        <v>0</v>
      </c>
      <c r="I80" s="634"/>
      <c r="J80" s="2025"/>
      <c r="K80" s="2959"/>
      <c r="L80" s="2959"/>
      <c r="M80" s="2959"/>
      <c r="N80" s="2959"/>
      <c r="O80" s="2959"/>
      <c r="P80" s="2965"/>
      <c r="Q80" s="2965"/>
      <c r="R80" s="2026"/>
      <c r="S80" s="2026"/>
      <c r="T80" s="2026"/>
      <c r="U80" s="2965"/>
      <c r="V80" s="2026"/>
      <c r="W80" s="2026"/>
      <c r="X80" s="2028"/>
      <c r="Y80" s="517"/>
      <c r="Z80" s="667"/>
      <c r="AB80" s="449">
        <f t="shared" si="0"/>
        <v>155000000000000</v>
      </c>
      <c r="AC80" s="449">
        <f t="shared" si="1"/>
        <v>155000000000000</v>
      </c>
      <c r="AD80" s="452">
        <f t="shared" si="2"/>
        <v>0</v>
      </c>
    </row>
    <row r="81" spans="1:340" ht="21" customHeight="1">
      <c r="A81" s="636"/>
      <c r="B81" s="467"/>
      <c r="C81" s="1319"/>
      <c r="D81" s="3124" t="s">
        <v>412</v>
      </c>
      <c r="E81" s="3112"/>
      <c r="F81" s="584">
        <f>SUM(F82:F95)</f>
        <v>55000</v>
      </c>
      <c r="G81" s="584">
        <f>SUM(G82:G95)</f>
        <v>55000</v>
      </c>
      <c r="H81" s="529">
        <f>F81-G81</f>
        <v>0</v>
      </c>
      <c r="I81" s="3125"/>
      <c r="J81" s="2025"/>
      <c r="K81" s="3111"/>
      <c r="L81" s="3111"/>
      <c r="M81" s="3111"/>
      <c r="N81" s="3111"/>
      <c r="O81" s="3111"/>
      <c r="P81" s="3115"/>
      <c r="Q81" s="3115"/>
      <c r="R81" s="2026"/>
      <c r="S81" s="2026"/>
      <c r="T81" s="2026"/>
      <c r="U81" s="3115"/>
      <c r="V81" s="2026"/>
      <c r="W81" s="2026"/>
      <c r="X81" s="2028"/>
      <c r="Y81" s="517"/>
      <c r="Z81" s="667"/>
      <c r="AB81" s="449">
        <f t="shared" si="0"/>
        <v>55000000000000</v>
      </c>
      <c r="AC81" s="449">
        <f t="shared" si="1"/>
        <v>55000000000000</v>
      </c>
      <c r="AD81" s="452">
        <f t="shared" si="2"/>
        <v>0</v>
      </c>
    </row>
    <row r="82" spans="1:340" ht="21" customHeight="1">
      <c r="A82" s="636"/>
      <c r="B82" s="2080"/>
      <c r="C82" s="624"/>
      <c r="D82" s="2034"/>
      <c r="E82" s="2023" t="s">
        <v>4091</v>
      </c>
      <c r="F82" s="593">
        <f>+Y82</f>
        <v>2000</v>
      </c>
      <c r="G82" s="593">
        <v>2000</v>
      </c>
      <c r="H82" s="643"/>
      <c r="I82" s="634"/>
      <c r="J82" s="3254" t="s">
        <v>8</v>
      </c>
      <c r="K82" s="3253"/>
      <c r="L82" s="3253"/>
      <c r="M82" s="3253"/>
      <c r="N82" s="2075"/>
      <c r="O82" s="2075"/>
      <c r="P82" s="2075"/>
      <c r="Q82" s="3255"/>
      <c r="R82" s="3249"/>
      <c r="S82" s="3255"/>
      <c r="T82" s="3255"/>
      <c r="U82" s="2075"/>
      <c r="V82" s="3255"/>
      <c r="W82" s="3255"/>
      <c r="X82" s="2030"/>
      <c r="Y82" s="3110">
        <f>SUM(Y83:Y84)</f>
        <v>2000</v>
      </c>
      <c r="Z82" s="658">
        <f>SUM(Z83:Z84)</f>
        <v>2000000</v>
      </c>
      <c r="AA82" s="3245"/>
      <c r="AB82" s="449">
        <f t="shared" si="0"/>
        <v>2000000000000</v>
      </c>
      <c r="AC82" s="449">
        <f t="shared" si="1"/>
        <v>2000000000000</v>
      </c>
      <c r="AD82" s="452">
        <f t="shared" si="2"/>
        <v>0</v>
      </c>
    </row>
    <row r="83" spans="1:340" ht="21" customHeight="1">
      <c r="A83" s="636"/>
      <c r="B83" s="2080"/>
      <c r="C83" s="624"/>
      <c r="D83" s="2034"/>
      <c r="E83" s="2023"/>
      <c r="F83" s="593"/>
      <c r="G83" s="593"/>
      <c r="H83" s="643"/>
      <c r="I83" s="634"/>
      <c r="J83" s="3254" t="s">
        <v>372</v>
      </c>
      <c r="K83" s="3253"/>
      <c r="L83" s="3253"/>
      <c r="M83" s="3253"/>
      <c r="N83" s="2075"/>
      <c r="O83" s="2075"/>
      <c r="P83" s="2075"/>
      <c r="Q83" s="3109">
        <v>10</v>
      </c>
      <c r="R83" s="3107" t="s">
        <v>33</v>
      </c>
      <c r="S83" s="3255">
        <v>10000</v>
      </c>
      <c r="T83" s="3255" t="s">
        <v>0</v>
      </c>
      <c r="U83" s="2075"/>
      <c r="V83" s="3107">
        <v>10</v>
      </c>
      <c r="W83" s="3255" t="s">
        <v>3</v>
      </c>
      <c r="X83" s="2030" t="s">
        <v>1</v>
      </c>
      <c r="Y83" s="3110">
        <f t="shared" ref="Y83:Y84" si="25">+Z83/1000</f>
        <v>1000</v>
      </c>
      <c r="Z83" s="658">
        <f t="shared" ref="Z83:Z84" si="26">+Q83*S83*V83</f>
        <v>1000000</v>
      </c>
      <c r="AA83" s="3245"/>
      <c r="AB83" s="449">
        <f t="shared" si="0"/>
        <v>0</v>
      </c>
      <c r="AC83" s="449">
        <f t="shared" si="1"/>
        <v>0</v>
      </c>
      <c r="AD83" s="452">
        <f t="shared" si="2"/>
        <v>0</v>
      </c>
    </row>
    <row r="84" spans="1:340" ht="23.1" customHeight="1">
      <c r="A84" s="636"/>
      <c r="B84" s="2080"/>
      <c r="C84" s="624"/>
      <c r="D84" s="2034"/>
      <c r="E84" s="2023"/>
      <c r="F84" s="593"/>
      <c r="G84" s="593"/>
      <c r="H84" s="643"/>
      <c r="I84" s="634"/>
      <c r="J84" s="3254" t="s">
        <v>4092</v>
      </c>
      <c r="K84" s="3253"/>
      <c r="L84" s="3253"/>
      <c r="M84" s="3253"/>
      <c r="N84" s="2075"/>
      <c r="O84" s="2075"/>
      <c r="P84" s="2075"/>
      <c r="Q84" s="3109">
        <v>50</v>
      </c>
      <c r="R84" s="3107" t="s">
        <v>33</v>
      </c>
      <c r="S84" s="3255">
        <v>5000</v>
      </c>
      <c r="T84" s="3255" t="s">
        <v>0</v>
      </c>
      <c r="U84" s="2075" t="s">
        <v>4093</v>
      </c>
      <c r="V84" s="3255">
        <v>4</v>
      </c>
      <c r="W84" s="3255" t="s">
        <v>3</v>
      </c>
      <c r="X84" s="2030" t="s">
        <v>1</v>
      </c>
      <c r="Y84" s="3110">
        <f t="shared" si="25"/>
        <v>1000</v>
      </c>
      <c r="Z84" s="658">
        <f t="shared" si="26"/>
        <v>1000000</v>
      </c>
      <c r="AA84" s="3245"/>
      <c r="AB84" s="449">
        <f t="shared" si="0"/>
        <v>0</v>
      </c>
      <c r="AC84" s="449">
        <f t="shared" si="1"/>
        <v>0</v>
      </c>
      <c r="AD84" s="452">
        <f t="shared" si="2"/>
        <v>0</v>
      </c>
    </row>
    <row r="85" spans="1:340" ht="22.5" customHeight="1">
      <c r="A85" s="636"/>
      <c r="B85" s="2080"/>
      <c r="C85" s="624"/>
      <c r="D85" s="2034"/>
      <c r="E85" s="2023" t="s">
        <v>58</v>
      </c>
      <c r="F85" s="593">
        <f>+Y85</f>
        <v>1600</v>
      </c>
      <c r="G85" s="593">
        <v>1600</v>
      </c>
      <c r="H85" s="643"/>
      <c r="I85" s="634"/>
      <c r="J85" s="3254" t="s">
        <v>8</v>
      </c>
      <c r="K85" s="3253"/>
      <c r="L85" s="3253"/>
      <c r="M85" s="3253"/>
      <c r="N85" s="3253"/>
      <c r="O85" s="3253"/>
      <c r="P85" s="2075"/>
      <c r="Q85" s="3255"/>
      <c r="R85" s="3249"/>
      <c r="S85" s="3255"/>
      <c r="T85" s="3255"/>
      <c r="U85" s="2075"/>
      <c r="V85" s="3255"/>
      <c r="W85" s="3255"/>
      <c r="X85" s="2030"/>
      <c r="Y85" s="3110">
        <f>SUM(Y86:Y87)</f>
        <v>1600</v>
      </c>
      <c r="Z85" s="3349">
        <f>SUM(Z86:Z87)</f>
        <v>1600000</v>
      </c>
      <c r="AA85" s="3245"/>
      <c r="AB85" s="449">
        <f t="shared" si="0"/>
        <v>1600000000000</v>
      </c>
      <c r="AC85" s="449">
        <f t="shared" si="1"/>
        <v>1600000000000</v>
      </c>
      <c r="AD85" s="452">
        <f t="shared" si="2"/>
        <v>0</v>
      </c>
    </row>
    <row r="86" spans="1:340" ht="22.5" customHeight="1">
      <c r="A86" s="636"/>
      <c r="B86" s="2080"/>
      <c r="C86" s="624"/>
      <c r="D86" s="2034"/>
      <c r="E86" s="2023"/>
      <c r="F86" s="593"/>
      <c r="G86" s="593"/>
      <c r="H86" s="643"/>
      <c r="I86" s="634"/>
      <c r="J86" s="3254" t="s">
        <v>4094</v>
      </c>
      <c r="K86" s="3253"/>
      <c r="L86" s="3253"/>
      <c r="M86" s="3253"/>
      <c r="N86" s="3253"/>
      <c r="O86" s="3253"/>
      <c r="P86" s="2075"/>
      <c r="Q86" s="3255">
        <v>1</v>
      </c>
      <c r="R86" s="3249" t="s">
        <v>142</v>
      </c>
      <c r="S86" s="3255">
        <v>500000</v>
      </c>
      <c r="T86" s="3255" t="s">
        <v>0</v>
      </c>
      <c r="U86" s="2075"/>
      <c r="V86" s="3255">
        <v>2</v>
      </c>
      <c r="W86" s="3255" t="s">
        <v>3</v>
      </c>
      <c r="X86" s="2030" t="s">
        <v>1</v>
      </c>
      <c r="Y86" s="3110">
        <f>+Z86/1000</f>
        <v>1000</v>
      </c>
      <c r="Z86" s="658">
        <f>+Q86*S86*V86</f>
        <v>1000000</v>
      </c>
      <c r="AA86" s="3245"/>
      <c r="AB86" s="449">
        <f t="shared" si="0"/>
        <v>0</v>
      </c>
      <c r="AC86" s="449">
        <f t="shared" si="1"/>
        <v>0</v>
      </c>
      <c r="AD86" s="452">
        <f t="shared" si="2"/>
        <v>0</v>
      </c>
    </row>
    <row r="87" spans="1:340" ht="22.5" customHeight="1">
      <c r="A87" s="636"/>
      <c r="B87" s="2080"/>
      <c r="C87" s="624"/>
      <c r="D87" s="2034"/>
      <c r="E87" s="2023"/>
      <c r="F87" s="593"/>
      <c r="G87" s="593"/>
      <c r="H87" s="643"/>
      <c r="I87" s="634"/>
      <c r="J87" s="3254" t="s">
        <v>4095</v>
      </c>
      <c r="K87" s="3253"/>
      <c r="L87" s="3253"/>
      <c r="M87" s="3253"/>
      <c r="N87" s="2075"/>
      <c r="O87" s="2075"/>
      <c r="P87" s="2075"/>
      <c r="Q87" s="3109">
        <v>12</v>
      </c>
      <c r="R87" s="3107" t="s">
        <v>33</v>
      </c>
      <c r="S87" s="3108">
        <v>50000</v>
      </c>
      <c r="T87" s="3107" t="s">
        <v>0</v>
      </c>
      <c r="U87" s="3107"/>
      <c r="V87" s="3107">
        <v>1</v>
      </c>
      <c r="W87" s="3255" t="s">
        <v>3</v>
      </c>
      <c r="X87" s="542" t="s">
        <v>1</v>
      </c>
      <c r="Y87" s="3110">
        <f>+Z87/1000</f>
        <v>600</v>
      </c>
      <c r="Z87" s="658">
        <f>+Q87*S87*V87</f>
        <v>600000</v>
      </c>
      <c r="AA87" s="3245"/>
      <c r="AB87" s="449">
        <f t="shared" si="0"/>
        <v>0</v>
      </c>
      <c r="AC87" s="449">
        <f t="shared" si="1"/>
        <v>0</v>
      </c>
      <c r="AD87" s="452">
        <f t="shared" si="2"/>
        <v>0</v>
      </c>
    </row>
    <row r="88" spans="1:340" ht="20.100000000000001" customHeight="1">
      <c r="A88" s="636"/>
      <c r="B88" s="2080"/>
      <c r="C88" s="624"/>
      <c r="D88" s="2034"/>
      <c r="E88" s="2023" t="s">
        <v>4096</v>
      </c>
      <c r="F88" s="593">
        <f>+Y88</f>
        <v>49000</v>
      </c>
      <c r="G88" s="593">
        <v>49000</v>
      </c>
      <c r="H88" s="643"/>
      <c r="I88" s="634"/>
      <c r="J88" s="3370" t="s">
        <v>5000</v>
      </c>
      <c r="K88" s="3253"/>
      <c r="L88" s="3253"/>
      <c r="M88" s="3253"/>
      <c r="N88" s="2075"/>
      <c r="O88" s="2075"/>
      <c r="P88" s="2075"/>
      <c r="Q88" s="3255"/>
      <c r="R88" s="3249"/>
      <c r="S88" s="3108">
        <v>49000000</v>
      </c>
      <c r="T88" s="3107" t="s">
        <v>0</v>
      </c>
      <c r="U88" s="3107"/>
      <c r="V88" s="3107">
        <v>1</v>
      </c>
      <c r="W88" s="3371" t="s">
        <v>226</v>
      </c>
      <c r="X88" s="542" t="s">
        <v>1</v>
      </c>
      <c r="Y88" s="3110">
        <f>+Z88/1000</f>
        <v>49000</v>
      </c>
      <c r="Z88" s="658">
        <f>S88*V88</f>
        <v>49000000</v>
      </c>
      <c r="AA88" s="3245"/>
      <c r="AB88" s="449">
        <f t="shared" si="0"/>
        <v>49000000000000</v>
      </c>
      <c r="AC88" s="449">
        <f t="shared" si="1"/>
        <v>49000000000000</v>
      </c>
      <c r="AD88" s="452">
        <f t="shared" si="2"/>
        <v>0</v>
      </c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  <c r="IX88" s="93"/>
      <c r="IY88" s="93"/>
      <c r="IZ88" s="93"/>
      <c r="JA88" s="93"/>
      <c r="JB88" s="93"/>
      <c r="JC88" s="93"/>
      <c r="JD88" s="93"/>
      <c r="JE88" s="93"/>
      <c r="JF88" s="93"/>
      <c r="JG88" s="93"/>
      <c r="JH88" s="93"/>
      <c r="JI88" s="93"/>
      <c r="JJ88" s="93"/>
      <c r="JK88" s="93"/>
      <c r="JL88" s="93"/>
      <c r="JM88" s="93"/>
      <c r="JN88" s="93"/>
      <c r="JO88" s="93"/>
      <c r="JP88" s="93"/>
      <c r="JQ88" s="93"/>
      <c r="JR88" s="93"/>
      <c r="JS88" s="93"/>
      <c r="JT88" s="93"/>
      <c r="JU88" s="93"/>
      <c r="JV88" s="93"/>
      <c r="JW88" s="93"/>
      <c r="JX88" s="93"/>
      <c r="JY88" s="93"/>
      <c r="JZ88" s="93"/>
      <c r="KA88" s="93"/>
      <c r="KB88" s="93"/>
      <c r="KC88" s="93"/>
      <c r="KD88" s="93"/>
      <c r="KE88" s="93"/>
      <c r="KF88" s="93"/>
      <c r="KG88" s="93"/>
      <c r="KH88" s="93"/>
      <c r="KI88" s="93"/>
      <c r="KJ88" s="93"/>
      <c r="KK88" s="93"/>
      <c r="KL88" s="93"/>
      <c r="KM88" s="93"/>
      <c r="KN88" s="93"/>
      <c r="KO88" s="93"/>
      <c r="KP88" s="93"/>
      <c r="KQ88" s="93"/>
      <c r="KR88" s="93"/>
      <c r="KS88" s="93"/>
      <c r="KT88" s="93"/>
      <c r="KU88" s="93"/>
      <c r="KV88" s="93"/>
      <c r="KW88" s="93"/>
      <c r="KX88" s="93"/>
      <c r="KY88" s="93"/>
      <c r="KZ88" s="93"/>
      <c r="LA88" s="93"/>
      <c r="LB88" s="93"/>
      <c r="LC88" s="93"/>
      <c r="LD88" s="93"/>
      <c r="LE88" s="93"/>
      <c r="LF88" s="93"/>
      <c r="LG88" s="93"/>
      <c r="LH88" s="93"/>
      <c r="LI88" s="93"/>
      <c r="LJ88" s="93"/>
      <c r="LK88" s="93"/>
      <c r="LL88" s="93"/>
      <c r="LM88" s="93"/>
      <c r="LN88" s="93"/>
      <c r="LO88" s="93"/>
      <c r="LP88" s="93"/>
      <c r="LQ88" s="93"/>
      <c r="LR88" s="93"/>
      <c r="LS88" s="93"/>
      <c r="LT88" s="93"/>
      <c r="LU88" s="93"/>
      <c r="LV88" s="93"/>
      <c r="LW88" s="93"/>
      <c r="LX88" s="93"/>
      <c r="LY88" s="93"/>
      <c r="LZ88" s="93"/>
      <c r="MA88" s="93"/>
      <c r="MB88" s="93"/>
    </row>
    <row r="89" spans="1:340" ht="20.100000000000001" customHeight="1">
      <c r="A89" s="636"/>
      <c r="B89" s="2080"/>
      <c r="C89" s="624"/>
      <c r="D89" s="2034"/>
      <c r="E89" s="3350" t="s">
        <v>62</v>
      </c>
      <c r="F89" s="593">
        <f>G89+H89</f>
        <v>1253</v>
      </c>
      <c r="G89" s="593">
        <v>1253</v>
      </c>
      <c r="H89" s="643"/>
      <c r="I89" s="634"/>
      <c r="J89" s="3254" t="s">
        <v>8</v>
      </c>
      <c r="K89" s="3253"/>
      <c r="L89" s="3253"/>
      <c r="M89" s="3253"/>
      <c r="N89" s="2075"/>
      <c r="O89" s="2075"/>
      <c r="P89" s="2075"/>
      <c r="Q89" s="3109"/>
      <c r="R89" s="3107"/>
      <c r="S89" s="3255"/>
      <c r="T89" s="3255"/>
      <c r="U89" s="2075"/>
      <c r="V89" s="3255"/>
      <c r="W89" s="3255"/>
      <c r="X89" s="2030"/>
      <c r="Y89" s="3110">
        <f>SUM(Y90:Y92)</f>
        <v>1253</v>
      </c>
      <c r="Z89" s="3351">
        <f>SUM(Z90:Z92)</f>
        <v>1253000</v>
      </c>
      <c r="AA89" s="3245"/>
      <c r="AB89" s="449">
        <f t="shared" ref="AB89:AB137" si="27">F89*1000000000</f>
        <v>1253000000000</v>
      </c>
      <c r="AC89" s="449">
        <f t="shared" ref="AC89:AC137" si="28">G89*1000000000</f>
        <v>1253000000000</v>
      </c>
      <c r="AD89" s="452">
        <f t="shared" ref="AD89:AD137" si="29">AB89-AC89</f>
        <v>0</v>
      </c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  <c r="IX89" s="93"/>
      <c r="IY89" s="93"/>
      <c r="IZ89" s="93"/>
      <c r="JA89" s="93"/>
      <c r="JB89" s="93"/>
      <c r="JC89" s="93"/>
      <c r="JD89" s="93"/>
      <c r="JE89" s="93"/>
      <c r="JF89" s="93"/>
      <c r="JG89" s="93"/>
      <c r="JH89" s="93"/>
      <c r="JI89" s="93"/>
      <c r="JJ89" s="93"/>
      <c r="JK89" s="93"/>
      <c r="JL89" s="93"/>
      <c r="JM89" s="93"/>
      <c r="JN89" s="93"/>
      <c r="JO89" s="93"/>
      <c r="JP89" s="93"/>
      <c r="JQ89" s="93"/>
      <c r="JR89" s="93"/>
      <c r="JS89" s="93"/>
      <c r="JT89" s="93"/>
      <c r="JU89" s="93"/>
      <c r="JV89" s="93"/>
      <c r="JW89" s="93"/>
      <c r="JX89" s="93"/>
      <c r="JY89" s="93"/>
      <c r="JZ89" s="93"/>
      <c r="KA89" s="93"/>
      <c r="KB89" s="93"/>
      <c r="KC89" s="93"/>
      <c r="KD89" s="93"/>
      <c r="KE89" s="93"/>
      <c r="KF89" s="93"/>
      <c r="KG89" s="93"/>
      <c r="KH89" s="93"/>
      <c r="KI89" s="93"/>
      <c r="KJ89" s="93"/>
      <c r="KK89" s="93"/>
      <c r="KL89" s="93"/>
      <c r="KM89" s="93"/>
      <c r="KN89" s="93"/>
      <c r="KO89" s="93"/>
      <c r="KP89" s="93"/>
      <c r="KQ89" s="93"/>
      <c r="KR89" s="93"/>
      <c r="KS89" s="93"/>
      <c r="KT89" s="93"/>
      <c r="KU89" s="93"/>
      <c r="KV89" s="93"/>
      <c r="KW89" s="93"/>
      <c r="KX89" s="93"/>
      <c r="KY89" s="93"/>
      <c r="KZ89" s="93"/>
      <c r="LA89" s="93"/>
      <c r="LB89" s="93"/>
      <c r="LC89" s="93"/>
      <c r="LD89" s="93"/>
      <c r="LE89" s="93"/>
      <c r="LF89" s="93"/>
      <c r="LG89" s="93"/>
      <c r="LH89" s="93"/>
      <c r="LI89" s="93"/>
      <c r="LJ89" s="93"/>
      <c r="LK89" s="93"/>
      <c r="LL89" s="93"/>
      <c r="LM89" s="93"/>
      <c r="LN89" s="93"/>
      <c r="LO89" s="93"/>
      <c r="LP89" s="93"/>
      <c r="LQ89" s="93"/>
      <c r="LR89" s="93"/>
      <c r="LS89" s="93"/>
      <c r="LT89" s="93"/>
      <c r="LU89" s="93"/>
      <c r="LV89" s="93"/>
      <c r="LW89" s="93"/>
      <c r="LX89" s="93"/>
      <c r="LY89" s="93"/>
      <c r="LZ89" s="93"/>
      <c r="MA89" s="93"/>
      <c r="MB89" s="93"/>
    </row>
    <row r="90" spans="1:340" ht="20.100000000000001" customHeight="1">
      <c r="A90" s="636"/>
      <c r="B90" s="2080"/>
      <c r="C90" s="624"/>
      <c r="D90" s="2034"/>
      <c r="E90" s="3350"/>
      <c r="F90" s="593"/>
      <c r="G90" s="593"/>
      <c r="H90" s="643"/>
      <c r="I90" s="634"/>
      <c r="J90" s="3254" t="s">
        <v>4097</v>
      </c>
      <c r="K90" s="3253"/>
      <c r="L90" s="3253"/>
      <c r="M90" s="3253"/>
      <c r="N90" s="2075"/>
      <c r="O90" s="2075"/>
      <c r="P90" s="2075"/>
      <c r="Q90" s="3255">
        <v>40</v>
      </c>
      <c r="R90" s="3249" t="s">
        <v>75</v>
      </c>
      <c r="S90" s="3255">
        <v>15000</v>
      </c>
      <c r="T90" s="3107" t="s">
        <v>0</v>
      </c>
      <c r="U90" s="2075"/>
      <c r="V90" s="3255">
        <v>1</v>
      </c>
      <c r="W90" s="3255" t="s">
        <v>3</v>
      </c>
      <c r="X90" s="542" t="s">
        <v>1</v>
      </c>
      <c r="Y90" s="3110">
        <f>Z90/1000</f>
        <v>600</v>
      </c>
      <c r="Z90" s="3351">
        <f>Q90*S90*V90</f>
        <v>600000</v>
      </c>
      <c r="AA90" s="3245"/>
      <c r="AB90" s="449">
        <f t="shared" si="27"/>
        <v>0</v>
      </c>
      <c r="AC90" s="449">
        <f t="shared" si="28"/>
        <v>0</v>
      </c>
      <c r="AD90" s="452">
        <f t="shared" si="29"/>
        <v>0</v>
      </c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  <c r="IX90" s="93"/>
      <c r="IY90" s="93"/>
      <c r="IZ90" s="93"/>
      <c r="JA90" s="93"/>
      <c r="JB90" s="93"/>
      <c r="JC90" s="93"/>
      <c r="JD90" s="93"/>
      <c r="JE90" s="93"/>
      <c r="JF90" s="93"/>
      <c r="JG90" s="93"/>
      <c r="JH90" s="93"/>
      <c r="JI90" s="93"/>
      <c r="JJ90" s="93"/>
      <c r="JK90" s="93"/>
      <c r="JL90" s="93"/>
      <c r="JM90" s="93"/>
      <c r="JN90" s="93"/>
      <c r="JO90" s="93"/>
      <c r="JP90" s="93"/>
      <c r="JQ90" s="93"/>
      <c r="JR90" s="93"/>
      <c r="JS90" s="93"/>
      <c r="JT90" s="93"/>
      <c r="JU90" s="93"/>
      <c r="JV90" s="93"/>
      <c r="JW90" s="93"/>
      <c r="JX90" s="93"/>
      <c r="JY90" s="93"/>
      <c r="JZ90" s="93"/>
      <c r="KA90" s="93"/>
      <c r="KB90" s="93"/>
      <c r="KC90" s="93"/>
      <c r="KD90" s="93"/>
      <c r="KE90" s="93"/>
      <c r="KF90" s="93"/>
      <c r="KG90" s="93"/>
      <c r="KH90" s="93"/>
      <c r="KI90" s="93"/>
      <c r="KJ90" s="93"/>
      <c r="KK90" s="93"/>
      <c r="KL90" s="93"/>
      <c r="KM90" s="93"/>
      <c r="KN90" s="93"/>
      <c r="KO90" s="93"/>
      <c r="KP90" s="93"/>
      <c r="KQ90" s="93"/>
      <c r="KR90" s="93"/>
      <c r="KS90" s="93"/>
      <c r="KT90" s="93"/>
      <c r="KU90" s="93"/>
      <c r="KV90" s="93"/>
      <c r="KW90" s="93"/>
      <c r="KX90" s="93"/>
      <c r="KY90" s="93"/>
      <c r="KZ90" s="93"/>
      <c r="LA90" s="93"/>
      <c r="LB90" s="93"/>
      <c r="LC90" s="93"/>
      <c r="LD90" s="93"/>
      <c r="LE90" s="93"/>
      <c r="LF90" s="93"/>
      <c r="LG90" s="93"/>
      <c r="LH90" s="93"/>
      <c r="LI90" s="93"/>
      <c r="LJ90" s="93"/>
      <c r="LK90" s="93"/>
      <c r="LL90" s="93"/>
      <c r="LM90" s="93"/>
      <c r="LN90" s="93"/>
      <c r="LO90" s="93"/>
      <c r="LP90" s="93"/>
      <c r="LQ90" s="93"/>
      <c r="LR90" s="93"/>
      <c r="LS90" s="93"/>
      <c r="LT90" s="93"/>
      <c r="LU90" s="93"/>
      <c r="LV90" s="93"/>
      <c r="LW90" s="93"/>
      <c r="LX90" s="93"/>
      <c r="LY90" s="93"/>
      <c r="LZ90" s="93"/>
      <c r="MA90" s="93"/>
      <c r="MB90" s="93"/>
    </row>
    <row r="91" spans="1:340" ht="20.100000000000001" customHeight="1">
      <c r="A91" s="636"/>
      <c r="B91" s="2080"/>
      <c r="C91" s="624"/>
      <c r="D91" s="2034"/>
      <c r="E91" s="3350"/>
      <c r="F91" s="593"/>
      <c r="G91" s="593"/>
      <c r="H91" s="643"/>
      <c r="I91" s="634"/>
      <c r="J91" s="3254" t="s">
        <v>4098</v>
      </c>
      <c r="K91" s="3253"/>
      <c r="L91" s="3253"/>
      <c r="M91" s="3253"/>
      <c r="N91" s="2075"/>
      <c r="O91" s="2075"/>
      <c r="P91" s="2075"/>
      <c r="Q91" s="3109">
        <v>4</v>
      </c>
      <c r="R91" s="3249" t="s">
        <v>4099</v>
      </c>
      <c r="S91" s="3255">
        <v>100000</v>
      </c>
      <c r="T91" s="3107" t="s">
        <v>0</v>
      </c>
      <c r="U91" s="2075"/>
      <c r="V91" s="3255">
        <v>1</v>
      </c>
      <c r="W91" s="3255" t="s">
        <v>3</v>
      </c>
      <c r="X91" s="542" t="s">
        <v>1</v>
      </c>
      <c r="Y91" s="3110">
        <f t="shared" ref="Y91:Y92" si="30">Z91/1000</f>
        <v>400</v>
      </c>
      <c r="Z91" s="3351">
        <f>Q91*S91*V91</f>
        <v>400000</v>
      </c>
      <c r="AA91" s="3245"/>
      <c r="AB91" s="449">
        <f t="shared" si="27"/>
        <v>0</v>
      </c>
      <c r="AC91" s="449">
        <f t="shared" si="28"/>
        <v>0</v>
      </c>
      <c r="AD91" s="452">
        <f t="shared" si="29"/>
        <v>0</v>
      </c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  <c r="IX91" s="93"/>
      <c r="IY91" s="93"/>
      <c r="IZ91" s="93"/>
      <c r="JA91" s="93"/>
      <c r="JB91" s="93"/>
      <c r="JC91" s="93"/>
      <c r="JD91" s="93"/>
      <c r="JE91" s="93"/>
      <c r="JF91" s="93"/>
      <c r="JG91" s="93"/>
      <c r="JH91" s="93"/>
      <c r="JI91" s="93"/>
      <c r="JJ91" s="93"/>
      <c r="JK91" s="93"/>
      <c r="JL91" s="93"/>
      <c r="JM91" s="93"/>
      <c r="JN91" s="93"/>
      <c r="JO91" s="93"/>
      <c r="JP91" s="93"/>
      <c r="JQ91" s="93"/>
      <c r="JR91" s="93"/>
      <c r="JS91" s="93"/>
      <c r="JT91" s="93"/>
      <c r="JU91" s="93"/>
      <c r="JV91" s="93"/>
      <c r="JW91" s="93"/>
      <c r="JX91" s="93"/>
      <c r="JY91" s="93"/>
      <c r="JZ91" s="93"/>
      <c r="KA91" s="93"/>
      <c r="KB91" s="93"/>
      <c r="KC91" s="93"/>
      <c r="KD91" s="93"/>
      <c r="KE91" s="93"/>
      <c r="KF91" s="93"/>
      <c r="KG91" s="93"/>
      <c r="KH91" s="93"/>
      <c r="KI91" s="93"/>
      <c r="KJ91" s="93"/>
      <c r="KK91" s="93"/>
      <c r="KL91" s="93"/>
      <c r="KM91" s="93"/>
      <c r="KN91" s="93"/>
      <c r="KO91" s="93"/>
      <c r="KP91" s="93"/>
      <c r="KQ91" s="93"/>
      <c r="KR91" s="93"/>
      <c r="KS91" s="93"/>
      <c r="KT91" s="93"/>
      <c r="KU91" s="93"/>
      <c r="KV91" s="93"/>
      <c r="KW91" s="93"/>
      <c r="KX91" s="93"/>
      <c r="KY91" s="93"/>
      <c r="KZ91" s="93"/>
      <c r="LA91" s="93"/>
      <c r="LB91" s="93"/>
      <c r="LC91" s="93"/>
      <c r="LD91" s="93"/>
      <c r="LE91" s="93"/>
      <c r="LF91" s="93"/>
      <c r="LG91" s="93"/>
      <c r="LH91" s="93"/>
      <c r="LI91" s="93"/>
      <c r="LJ91" s="93"/>
      <c r="LK91" s="93"/>
      <c r="LL91" s="93"/>
      <c r="LM91" s="93"/>
      <c r="LN91" s="93"/>
      <c r="LO91" s="93"/>
      <c r="LP91" s="93"/>
      <c r="LQ91" s="93"/>
      <c r="LR91" s="93"/>
      <c r="LS91" s="93"/>
      <c r="LT91" s="93"/>
      <c r="LU91" s="93"/>
      <c r="LV91" s="93"/>
      <c r="LW91" s="93"/>
      <c r="LX91" s="93"/>
      <c r="LY91" s="93"/>
      <c r="LZ91" s="93"/>
      <c r="MA91" s="93"/>
      <c r="MB91" s="93"/>
    </row>
    <row r="92" spans="1:340" ht="20.100000000000001" customHeight="1">
      <c r="A92" s="636"/>
      <c r="B92" s="2080"/>
      <c r="C92" s="624"/>
      <c r="D92" s="2034"/>
      <c r="E92" s="3350"/>
      <c r="F92" s="593"/>
      <c r="G92" s="593"/>
      <c r="H92" s="643"/>
      <c r="I92" s="634"/>
      <c r="J92" s="3254" t="s">
        <v>4100</v>
      </c>
      <c r="K92" s="3253"/>
      <c r="L92" s="3253"/>
      <c r="M92" s="3253"/>
      <c r="N92" s="2075"/>
      <c r="O92" s="2075"/>
      <c r="P92" s="2075"/>
      <c r="Q92" s="3107">
        <v>1</v>
      </c>
      <c r="R92" s="3249" t="s">
        <v>4101</v>
      </c>
      <c r="S92" s="3255">
        <v>253000</v>
      </c>
      <c r="T92" s="3107" t="s">
        <v>0</v>
      </c>
      <c r="U92" s="2075"/>
      <c r="V92" s="3255">
        <v>1</v>
      </c>
      <c r="W92" s="3255" t="s">
        <v>3</v>
      </c>
      <c r="X92" s="542" t="s">
        <v>1</v>
      </c>
      <c r="Y92" s="3110">
        <f t="shared" si="30"/>
        <v>253</v>
      </c>
      <c r="Z92" s="3351">
        <f>Q92*S92*V92</f>
        <v>253000</v>
      </c>
      <c r="AA92" s="3245"/>
      <c r="AB92" s="449">
        <f t="shared" si="27"/>
        <v>0</v>
      </c>
      <c r="AC92" s="449">
        <f t="shared" si="28"/>
        <v>0</v>
      </c>
      <c r="AD92" s="452">
        <f t="shared" si="29"/>
        <v>0</v>
      </c>
    </row>
    <row r="93" spans="1:340" ht="20.100000000000001" customHeight="1">
      <c r="A93" s="636"/>
      <c r="B93" s="2080"/>
      <c r="C93" s="624"/>
      <c r="D93" s="2034"/>
      <c r="E93" s="3350" t="s">
        <v>61</v>
      </c>
      <c r="F93" s="593">
        <f>G93+H93</f>
        <v>1147</v>
      </c>
      <c r="G93" s="593">
        <v>1147</v>
      </c>
      <c r="H93" s="643"/>
      <c r="I93" s="634"/>
      <c r="J93" s="3254" t="s">
        <v>4102</v>
      </c>
      <c r="K93" s="3253"/>
      <c r="L93" s="3253"/>
      <c r="M93" s="3253"/>
      <c r="N93" s="2075"/>
      <c r="O93" s="2075"/>
      <c r="P93" s="2075"/>
      <c r="Q93" s="3255"/>
      <c r="R93" s="3249"/>
      <c r="S93" s="3255"/>
      <c r="T93" s="3255"/>
      <c r="U93" s="2075"/>
      <c r="V93" s="3255"/>
      <c r="W93" s="3255"/>
      <c r="X93" s="2030"/>
      <c r="Y93" s="3110">
        <f>SUM(Y94:Y95)</f>
        <v>1147</v>
      </c>
      <c r="Z93" s="3351">
        <f>Z94+Z95</f>
        <v>1147000</v>
      </c>
      <c r="AA93" s="3245"/>
      <c r="AB93" s="449">
        <f t="shared" si="27"/>
        <v>1147000000000</v>
      </c>
      <c r="AC93" s="449">
        <f t="shared" si="28"/>
        <v>1147000000000</v>
      </c>
      <c r="AD93" s="452">
        <f t="shared" si="29"/>
        <v>0</v>
      </c>
    </row>
    <row r="94" spans="1:340" s="425" customFormat="1" ht="20.100000000000001" customHeight="1">
      <c r="A94" s="636"/>
      <c r="B94" s="3118"/>
      <c r="C94" s="624"/>
      <c r="D94" s="2034"/>
      <c r="E94" s="3350"/>
      <c r="F94" s="593"/>
      <c r="G94" s="593"/>
      <c r="H94" s="643"/>
      <c r="I94" s="634"/>
      <c r="J94" s="3254" t="s">
        <v>4103</v>
      </c>
      <c r="K94" s="3253"/>
      <c r="L94" s="3253"/>
      <c r="M94" s="3253"/>
      <c r="N94" s="3253"/>
      <c r="O94" s="3253"/>
      <c r="P94" s="2075"/>
      <c r="Q94" s="3109">
        <v>5</v>
      </c>
      <c r="R94" s="3249" t="s">
        <v>4104</v>
      </c>
      <c r="S94" s="3255">
        <v>20000</v>
      </c>
      <c r="T94" s="3107" t="s">
        <v>0</v>
      </c>
      <c r="U94" s="2075"/>
      <c r="V94" s="3255">
        <v>10</v>
      </c>
      <c r="W94" s="3255" t="s">
        <v>3</v>
      </c>
      <c r="X94" s="542" t="s">
        <v>1</v>
      </c>
      <c r="Y94" s="3110">
        <f>Z94/1000</f>
        <v>1000</v>
      </c>
      <c r="Z94" s="3351">
        <f>Q94*S94*V94</f>
        <v>1000000</v>
      </c>
      <c r="AA94" s="3245"/>
      <c r="AB94" s="449"/>
      <c r="AC94" s="449"/>
      <c r="AD94" s="452"/>
    </row>
    <row r="95" spans="1:340" ht="20.100000000000001" customHeight="1">
      <c r="A95" s="636"/>
      <c r="B95" s="2080"/>
      <c r="C95" s="624"/>
      <c r="D95" s="2034"/>
      <c r="E95" s="3352"/>
      <c r="F95" s="3353"/>
      <c r="G95" s="3353"/>
      <c r="H95" s="3354"/>
      <c r="I95" s="3355"/>
      <c r="J95" s="3356" t="s">
        <v>373</v>
      </c>
      <c r="K95" s="3357"/>
      <c r="L95" s="3357"/>
      <c r="M95" s="3357"/>
      <c r="N95" s="3357"/>
      <c r="O95" s="3357"/>
      <c r="P95" s="3358"/>
      <c r="Q95" s="3359">
        <v>7</v>
      </c>
      <c r="R95" s="3360" t="s">
        <v>4104</v>
      </c>
      <c r="S95" s="3361">
        <v>10500</v>
      </c>
      <c r="T95" s="3362" t="s">
        <v>0</v>
      </c>
      <c r="U95" s="3358"/>
      <c r="V95" s="3361">
        <v>2</v>
      </c>
      <c r="W95" s="3361" t="s">
        <v>3</v>
      </c>
      <c r="X95" s="3363" t="s">
        <v>1</v>
      </c>
      <c r="Y95" s="3364">
        <f>Z95/1000</f>
        <v>147</v>
      </c>
      <c r="Z95" s="3365">
        <f>Q95*S95*V95</f>
        <v>147000</v>
      </c>
      <c r="AA95" s="3245"/>
      <c r="AB95" s="449">
        <f t="shared" si="27"/>
        <v>0</v>
      </c>
      <c r="AC95" s="449">
        <f t="shared" si="28"/>
        <v>0</v>
      </c>
      <c r="AD95" s="452">
        <f t="shared" si="29"/>
        <v>0</v>
      </c>
    </row>
    <row r="96" spans="1:340" ht="20.100000000000001" customHeight="1">
      <c r="A96" s="636"/>
      <c r="B96" s="2080"/>
      <c r="C96" s="624"/>
      <c r="D96" s="3840" t="s">
        <v>2489</v>
      </c>
      <c r="E96" s="3841"/>
      <c r="F96" s="578">
        <f>SUM(F97:F125)</f>
        <v>100000</v>
      </c>
      <c r="G96" s="578">
        <f>SUM(G97:G125)</f>
        <v>100000</v>
      </c>
      <c r="H96" s="2011">
        <f>F96-G96</f>
        <v>0</v>
      </c>
      <c r="I96" s="634"/>
      <c r="J96" s="2960"/>
      <c r="K96" s="2962"/>
      <c r="L96" s="2962"/>
      <c r="M96" s="2962"/>
      <c r="N96" s="2962"/>
      <c r="O96" s="2962"/>
      <c r="P96" s="2065"/>
      <c r="Q96" s="2065"/>
      <c r="R96" s="618"/>
      <c r="S96" s="618"/>
      <c r="T96" s="618"/>
      <c r="U96" s="2065"/>
      <c r="V96" s="618"/>
      <c r="W96" s="618"/>
      <c r="X96" s="619"/>
      <c r="Y96" s="478"/>
      <c r="Z96" s="658"/>
      <c r="AB96" s="449">
        <f t="shared" si="27"/>
        <v>100000000000000</v>
      </c>
      <c r="AC96" s="449">
        <f t="shared" si="28"/>
        <v>100000000000000</v>
      </c>
      <c r="AD96" s="452">
        <f t="shared" si="29"/>
        <v>0</v>
      </c>
    </row>
    <row r="97" spans="1:30" ht="20.100000000000001" customHeight="1">
      <c r="A97" s="636"/>
      <c r="B97" s="467"/>
      <c r="C97" s="564"/>
      <c r="D97" s="2135"/>
      <c r="E97" s="2023" t="s">
        <v>278</v>
      </c>
      <c r="F97" s="593">
        <f>Y97</f>
        <v>0</v>
      </c>
      <c r="G97" s="593">
        <v>10500</v>
      </c>
      <c r="H97" s="643">
        <f>F97-G97</f>
        <v>-10500</v>
      </c>
      <c r="I97" s="634"/>
      <c r="J97" s="472" t="s">
        <v>224</v>
      </c>
      <c r="K97" s="473"/>
      <c r="L97" s="2964"/>
      <c r="M97" s="2964"/>
      <c r="N97" s="2964"/>
      <c r="O97" s="2964"/>
      <c r="P97" s="2075"/>
      <c r="Q97" s="2075"/>
      <c r="R97" s="2967"/>
      <c r="S97" s="2967"/>
      <c r="T97" s="2967"/>
      <c r="U97" s="2075"/>
      <c r="V97" s="2967"/>
      <c r="W97" s="2967"/>
      <c r="X97" s="2030"/>
      <c r="Y97" s="483">
        <f>Z97/1000</f>
        <v>0</v>
      </c>
      <c r="Z97" s="658">
        <f>SUM(Z98:Z99)</f>
        <v>0</v>
      </c>
      <c r="AB97" s="449">
        <f t="shared" si="27"/>
        <v>0</v>
      </c>
      <c r="AC97" s="449">
        <f t="shared" si="28"/>
        <v>10500000000000</v>
      </c>
      <c r="AD97" s="452">
        <f t="shared" si="29"/>
        <v>-10500000000000</v>
      </c>
    </row>
    <row r="98" spans="1:30" ht="20.100000000000001" customHeight="1">
      <c r="A98" s="636"/>
      <c r="B98" s="467"/>
      <c r="C98" s="564"/>
      <c r="D98" s="2034"/>
      <c r="E98" s="2023"/>
      <c r="F98" s="593"/>
      <c r="G98" s="593"/>
      <c r="H98" s="643"/>
      <c r="I98" s="634"/>
      <c r="J98" s="2966" t="s">
        <v>415</v>
      </c>
      <c r="K98" s="2964"/>
      <c r="L98" s="2964"/>
      <c r="M98" s="2964"/>
      <c r="N98" s="2964"/>
      <c r="O98" s="2964"/>
      <c r="P98" s="2075"/>
      <c r="Q98" s="475">
        <v>1</v>
      </c>
      <c r="R98" s="2961" t="s">
        <v>267</v>
      </c>
      <c r="S98" s="2967">
        <v>2100000</v>
      </c>
      <c r="T98" s="473" t="s">
        <v>37</v>
      </c>
      <c r="U98" s="2075"/>
      <c r="V98" s="2967">
        <v>0</v>
      </c>
      <c r="W98" s="2967" t="s">
        <v>230</v>
      </c>
      <c r="X98" s="542" t="s">
        <v>38</v>
      </c>
      <c r="Y98" s="483">
        <f>Z98/1000</f>
        <v>0</v>
      </c>
      <c r="Z98" s="658">
        <f>V98*S98*Q98</f>
        <v>0</v>
      </c>
      <c r="AB98" s="449">
        <f t="shared" si="27"/>
        <v>0</v>
      </c>
      <c r="AC98" s="449">
        <f t="shared" si="28"/>
        <v>0</v>
      </c>
      <c r="AD98" s="452">
        <f t="shared" si="29"/>
        <v>0</v>
      </c>
    </row>
    <row r="99" spans="1:30" ht="20.100000000000001" customHeight="1">
      <c r="A99" s="636"/>
      <c r="B99" s="467"/>
      <c r="C99" s="564"/>
      <c r="D99" s="2034"/>
      <c r="E99" s="2023"/>
      <c r="F99" s="593"/>
      <c r="G99" s="593"/>
      <c r="H99" s="643"/>
      <c r="I99" s="634"/>
      <c r="J99" s="2966" t="s">
        <v>416</v>
      </c>
      <c r="K99" s="2964"/>
      <c r="L99" s="2964"/>
      <c r="M99" s="2964"/>
      <c r="N99" s="2964"/>
      <c r="O99" s="2964"/>
      <c r="P99" s="2075"/>
      <c r="Q99" s="475">
        <v>4</v>
      </c>
      <c r="R99" s="2961" t="s">
        <v>267</v>
      </c>
      <c r="S99" s="2967">
        <v>2100000</v>
      </c>
      <c r="T99" s="473" t="s">
        <v>37</v>
      </c>
      <c r="U99" s="2075"/>
      <c r="V99" s="2967">
        <v>0</v>
      </c>
      <c r="W99" s="2967" t="s">
        <v>230</v>
      </c>
      <c r="X99" s="542" t="s">
        <v>38</v>
      </c>
      <c r="Y99" s="483">
        <f>Z99/1000</f>
        <v>0</v>
      </c>
      <c r="Z99" s="658">
        <f>V99*S99*Q99</f>
        <v>0</v>
      </c>
      <c r="AB99" s="449">
        <f t="shared" si="27"/>
        <v>0</v>
      </c>
      <c r="AC99" s="449">
        <f t="shared" si="28"/>
        <v>0</v>
      </c>
      <c r="AD99" s="452">
        <f t="shared" si="29"/>
        <v>0</v>
      </c>
    </row>
    <row r="100" spans="1:30" ht="20.100000000000001" customHeight="1">
      <c r="A100" s="636"/>
      <c r="B100" s="467"/>
      <c r="C100" s="564"/>
      <c r="D100" s="2135"/>
      <c r="E100" s="2023" t="s">
        <v>420</v>
      </c>
      <c r="F100" s="593">
        <f>Y100</f>
        <v>0</v>
      </c>
      <c r="G100" s="593">
        <v>4000</v>
      </c>
      <c r="H100" s="643">
        <f>F100-G100</f>
        <v>-4000</v>
      </c>
      <c r="I100" s="634"/>
      <c r="J100" s="2966" t="s">
        <v>224</v>
      </c>
      <c r="K100" s="2964"/>
      <c r="L100" s="2964"/>
      <c r="M100" s="2964"/>
      <c r="N100" s="2075"/>
      <c r="O100" s="2075"/>
      <c r="P100" s="2075"/>
      <c r="Q100" s="2967"/>
      <c r="R100" s="2961"/>
      <c r="S100" s="2967"/>
      <c r="T100" s="2967"/>
      <c r="U100" s="2967"/>
      <c r="V100" s="2967"/>
      <c r="W100" s="2967"/>
      <c r="X100" s="2030"/>
      <c r="Y100" s="896">
        <f>Z100/1000</f>
        <v>0</v>
      </c>
      <c r="Z100" s="658">
        <f>SUM(Z101:Z102)</f>
        <v>0</v>
      </c>
      <c r="AB100" s="449">
        <f t="shared" si="27"/>
        <v>0</v>
      </c>
      <c r="AC100" s="449">
        <f t="shared" si="28"/>
        <v>4000000000000</v>
      </c>
      <c r="AD100" s="452">
        <f t="shared" si="29"/>
        <v>-4000000000000</v>
      </c>
    </row>
    <row r="101" spans="1:30" ht="20.100000000000001" customHeight="1">
      <c r="A101" s="636"/>
      <c r="B101" s="467"/>
      <c r="C101" s="564"/>
      <c r="D101" s="2034"/>
      <c r="E101" s="2023"/>
      <c r="F101" s="593"/>
      <c r="G101" s="593"/>
      <c r="H101" s="643"/>
      <c r="I101" s="634"/>
      <c r="J101" s="2966" t="s">
        <v>421</v>
      </c>
      <c r="K101" s="2964"/>
      <c r="L101" s="2964"/>
      <c r="M101" s="2964"/>
      <c r="N101" s="2075"/>
      <c r="O101" s="2075"/>
      <c r="P101" s="2075"/>
      <c r="Q101" s="2967"/>
      <c r="R101" s="2961"/>
      <c r="S101" s="2967">
        <v>1000000</v>
      </c>
      <c r="T101" s="2967" t="s">
        <v>37</v>
      </c>
      <c r="U101" s="2075"/>
      <c r="V101" s="2967">
        <v>0</v>
      </c>
      <c r="W101" s="2967" t="s">
        <v>39</v>
      </c>
      <c r="X101" s="2030" t="s">
        <v>38</v>
      </c>
      <c r="Y101" s="483">
        <f>+Z101/1000</f>
        <v>0</v>
      </c>
      <c r="Z101" s="658">
        <f>V101*S101</f>
        <v>0</v>
      </c>
      <c r="AB101" s="449">
        <f t="shared" si="27"/>
        <v>0</v>
      </c>
      <c r="AC101" s="449">
        <f t="shared" si="28"/>
        <v>0</v>
      </c>
      <c r="AD101" s="452">
        <f t="shared" si="29"/>
        <v>0</v>
      </c>
    </row>
    <row r="102" spans="1:30" ht="20.100000000000001" customHeight="1">
      <c r="A102" s="636"/>
      <c r="B102" s="467"/>
      <c r="C102" s="564"/>
      <c r="D102" s="2034"/>
      <c r="E102" s="2023"/>
      <c r="F102" s="593"/>
      <c r="G102" s="593"/>
      <c r="H102" s="643"/>
      <c r="I102" s="634"/>
      <c r="J102" s="2966" t="s">
        <v>422</v>
      </c>
      <c r="K102" s="2964"/>
      <c r="L102" s="2964"/>
      <c r="M102" s="2964"/>
      <c r="N102" s="2075"/>
      <c r="O102" s="2075"/>
      <c r="P102" s="2075"/>
      <c r="Q102" s="2967"/>
      <c r="R102" s="2961"/>
      <c r="S102" s="2967">
        <v>1000000</v>
      </c>
      <c r="T102" s="2967" t="s">
        <v>37</v>
      </c>
      <c r="U102" s="2075"/>
      <c r="V102" s="2967">
        <v>0</v>
      </c>
      <c r="W102" s="2967" t="s">
        <v>39</v>
      </c>
      <c r="X102" s="2030" t="s">
        <v>38</v>
      </c>
      <c r="Y102" s="483">
        <f>Z102/1000</f>
        <v>0</v>
      </c>
      <c r="Z102" s="658">
        <f>V102*S102</f>
        <v>0</v>
      </c>
      <c r="AB102" s="449">
        <f t="shared" si="27"/>
        <v>0</v>
      </c>
      <c r="AC102" s="449">
        <f t="shared" si="28"/>
        <v>0</v>
      </c>
      <c r="AD102" s="452">
        <f t="shared" si="29"/>
        <v>0</v>
      </c>
    </row>
    <row r="103" spans="1:30" ht="20.100000000000001" customHeight="1">
      <c r="A103" s="636"/>
      <c r="B103" s="467"/>
      <c r="C103" s="564"/>
      <c r="D103" s="2135"/>
      <c r="E103" s="2023" t="s">
        <v>229</v>
      </c>
      <c r="F103" s="593">
        <f>Y103</f>
        <v>0</v>
      </c>
      <c r="G103" s="593">
        <v>9500</v>
      </c>
      <c r="H103" s="643">
        <f>F103-G103</f>
        <v>-9500</v>
      </c>
      <c r="I103" s="634"/>
      <c r="J103" s="472" t="s">
        <v>224</v>
      </c>
      <c r="K103" s="473"/>
      <c r="L103" s="2964"/>
      <c r="M103" s="2964"/>
      <c r="N103" s="2964"/>
      <c r="O103" s="2964"/>
      <c r="P103" s="2075"/>
      <c r="Q103" s="475"/>
      <c r="R103" s="473"/>
      <c r="S103" s="2967"/>
      <c r="T103" s="473"/>
      <c r="U103" s="2075"/>
      <c r="V103" s="2967"/>
      <c r="W103" s="2967"/>
      <c r="X103" s="542"/>
      <c r="Y103" s="483">
        <f t="shared" ref="Y103:Y108" si="31">Z103/1000</f>
        <v>0</v>
      </c>
      <c r="Z103" s="658">
        <f>SUM(Z104:Z106)</f>
        <v>0</v>
      </c>
      <c r="AB103" s="449">
        <f t="shared" si="27"/>
        <v>0</v>
      </c>
      <c r="AC103" s="449">
        <f t="shared" si="28"/>
        <v>9500000000000</v>
      </c>
      <c r="AD103" s="452">
        <f t="shared" si="29"/>
        <v>-9500000000000</v>
      </c>
    </row>
    <row r="104" spans="1:30" ht="20.100000000000001" customHeight="1">
      <c r="A104" s="636"/>
      <c r="B104" s="467"/>
      <c r="C104" s="564"/>
      <c r="D104" s="2034"/>
      <c r="E104" s="2023"/>
      <c r="F104" s="593"/>
      <c r="G104" s="593"/>
      <c r="H104" s="643"/>
      <c r="I104" s="634"/>
      <c r="J104" s="2966" t="s">
        <v>417</v>
      </c>
      <c r="K104" s="2964"/>
      <c r="L104" s="2964"/>
      <c r="M104" s="2964"/>
      <c r="N104" s="2964"/>
      <c r="O104" s="2964"/>
      <c r="P104" s="2075"/>
      <c r="Q104" s="475">
        <v>500</v>
      </c>
      <c r="R104" s="473" t="s">
        <v>266</v>
      </c>
      <c r="S104" s="2967">
        <v>15000</v>
      </c>
      <c r="T104" s="473" t="s">
        <v>37</v>
      </c>
      <c r="U104" s="2075"/>
      <c r="V104" s="2967">
        <v>0</v>
      </c>
      <c r="W104" s="2967" t="s">
        <v>39</v>
      </c>
      <c r="X104" s="542" t="s">
        <v>38</v>
      </c>
      <c r="Y104" s="483">
        <f t="shared" si="31"/>
        <v>0</v>
      </c>
      <c r="Z104" s="483">
        <f>V104*S104*Q104</f>
        <v>0</v>
      </c>
      <c r="AB104" s="449">
        <f t="shared" si="27"/>
        <v>0</v>
      </c>
      <c r="AC104" s="449">
        <f t="shared" si="28"/>
        <v>0</v>
      </c>
      <c r="AD104" s="452">
        <f t="shared" si="29"/>
        <v>0</v>
      </c>
    </row>
    <row r="105" spans="1:30" ht="20.100000000000001" customHeight="1">
      <c r="A105" s="636"/>
      <c r="B105" s="467"/>
      <c r="C105" s="564"/>
      <c r="D105" s="2034"/>
      <c r="E105" s="2023"/>
      <c r="F105" s="593"/>
      <c r="G105" s="593"/>
      <c r="H105" s="643"/>
      <c r="I105" s="634"/>
      <c r="J105" s="2966" t="s">
        <v>418</v>
      </c>
      <c r="K105" s="2964"/>
      <c r="L105" s="2964"/>
      <c r="M105" s="2964"/>
      <c r="N105" s="2964"/>
      <c r="O105" s="2964"/>
      <c r="P105" s="2075"/>
      <c r="Q105" s="475">
        <v>1000</v>
      </c>
      <c r="R105" s="473" t="s">
        <v>266</v>
      </c>
      <c r="S105" s="2967">
        <v>1000</v>
      </c>
      <c r="T105" s="473" t="s">
        <v>37</v>
      </c>
      <c r="U105" s="2075"/>
      <c r="V105" s="2967">
        <v>0</v>
      </c>
      <c r="W105" s="2967" t="s">
        <v>39</v>
      </c>
      <c r="X105" s="542" t="s">
        <v>38</v>
      </c>
      <c r="Y105" s="483">
        <f t="shared" si="31"/>
        <v>0</v>
      </c>
      <c r="Z105" s="483">
        <f>V105*S105*Q105</f>
        <v>0</v>
      </c>
      <c r="AB105" s="449">
        <f t="shared" si="27"/>
        <v>0</v>
      </c>
      <c r="AC105" s="449">
        <f t="shared" si="28"/>
        <v>0</v>
      </c>
      <c r="AD105" s="452">
        <f t="shared" si="29"/>
        <v>0</v>
      </c>
    </row>
    <row r="106" spans="1:30" ht="20.100000000000001" customHeight="1">
      <c r="A106" s="636"/>
      <c r="B106" s="467"/>
      <c r="C106" s="564"/>
      <c r="D106" s="2034"/>
      <c r="E106" s="2023"/>
      <c r="F106" s="593"/>
      <c r="G106" s="593"/>
      <c r="H106" s="643"/>
      <c r="I106" s="634"/>
      <c r="J106" s="2966" t="s">
        <v>419</v>
      </c>
      <c r="K106" s="2964"/>
      <c r="L106" s="2964"/>
      <c r="M106" s="2964"/>
      <c r="N106" s="2964"/>
      <c r="O106" s="2964"/>
      <c r="P106" s="2075"/>
      <c r="Q106" s="475">
        <v>1000</v>
      </c>
      <c r="R106" s="473" t="s">
        <v>266</v>
      </c>
      <c r="S106" s="2967">
        <v>1000</v>
      </c>
      <c r="T106" s="473" t="s">
        <v>37</v>
      </c>
      <c r="U106" s="2075"/>
      <c r="V106" s="2967">
        <v>0</v>
      </c>
      <c r="W106" s="2967" t="s">
        <v>39</v>
      </c>
      <c r="X106" s="542" t="s">
        <v>38</v>
      </c>
      <c r="Y106" s="483">
        <f t="shared" si="31"/>
        <v>0</v>
      </c>
      <c r="Z106" s="658">
        <f>V106*S106*Q106</f>
        <v>0</v>
      </c>
      <c r="AB106" s="449">
        <f t="shared" si="27"/>
        <v>0</v>
      </c>
      <c r="AC106" s="449">
        <f t="shared" si="28"/>
        <v>0</v>
      </c>
      <c r="AD106" s="452">
        <f t="shared" si="29"/>
        <v>0</v>
      </c>
    </row>
    <row r="107" spans="1:30" ht="20.100000000000001" customHeight="1">
      <c r="A107" s="636"/>
      <c r="B107" s="467"/>
      <c r="C107" s="564"/>
      <c r="D107" s="2135"/>
      <c r="E107" s="2023" t="s">
        <v>445</v>
      </c>
      <c r="F107" s="593">
        <f>Y107</f>
        <v>3000</v>
      </c>
      <c r="G107" s="593">
        <v>3000</v>
      </c>
      <c r="H107" s="643">
        <f t="shared" ref="H107:H110" si="32">F107-G107</f>
        <v>0</v>
      </c>
      <c r="I107" s="634"/>
      <c r="J107" s="2966" t="s">
        <v>423</v>
      </c>
      <c r="K107" s="2964"/>
      <c r="L107" s="473"/>
      <c r="M107" s="473"/>
      <c r="N107" s="474"/>
      <c r="O107" s="473"/>
      <c r="P107" s="473"/>
      <c r="Q107" s="475"/>
      <c r="R107" s="473"/>
      <c r="S107" s="474">
        <v>3000000</v>
      </c>
      <c r="T107" s="473" t="s">
        <v>37</v>
      </c>
      <c r="U107" s="473"/>
      <c r="V107" s="2967">
        <v>1</v>
      </c>
      <c r="W107" s="2967" t="s">
        <v>39</v>
      </c>
      <c r="X107" s="2030" t="s">
        <v>38</v>
      </c>
      <c r="Y107" s="483">
        <f t="shared" si="31"/>
        <v>3000</v>
      </c>
      <c r="Z107" s="489">
        <f>S107*V107</f>
        <v>3000000</v>
      </c>
      <c r="AB107" s="449">
        <f t="shared" si="27"/>
        <v>3000000000000</v>
      </c>
      <c r="AC107" s="449">
        <f t="shared" si="28"/>
        <v>3000000000000</v>
      </c>
      <c r="AD107" s="452">
        <f t="shared" si="29"/>
        <v>0</v>
      </c>
    </row>
    <row r="108" spans="1:30" ht="20.100000000000001" customHeight="1">
      <c r="A108" s="636"/>
      <c r="B108" s="467"/>
      <c r="C108" s="564"/>
      <c r="D108" s="2135"/>
      <c r="E108" s="2023" t="s">
        <v>264</v>
      </c>
      <c r="F108" s="593">
        <f>Y108</f>
        <v>1200</v>
      </c>
      <c r="G108" s="593">
        <v>1200</v>
      </c>
      <c r="H108" s="643">
        <f t="shared" si="32"/>
        <v>0</v>
      </c>
      <c r="I108" s="634"/>
      <c r="J108" s="472" t="s">
        <v>426</v>
      </c>
      <c r="K108" s="473"/>
      <c r="L108" s="473"/>
      <c r="M108" s="473"/>
      <c r="N108" s="474"/>
      <c r="O108" s="473"/>
      <c r="P108" s="473"/>
      <c r="Q108" s="475"/>
      <c r="R108" s="473"/>
      <c r="S108" s="474">
        <v>400000</v>
      </c>
      <c r="T108" s="473" t="s">
        <v>37</v>
      </c>
      <c r="U108" s="473"/>
      <c r="V108" s="2967">
        <v>3</v>
      </c>
      <c r="W108" s="2967" t="s">
        <v>39</v>
      </c>
      <c r="X108" s="542" t="s">
        <v>38</v>
      </c>
      <c r="Y108" s="483">
        <f t="shared" si="31"/>
        <v>1200</v>
      </c>
      <c r="Z108" s="658">
        <f>V108*S108</f>
        <v>1200000</v>
      </c>
      <c r="AB108" s="449">
        <f t="shared" si="27"/>
        <v>1200000000000</v>
      </c>
      <c r="AC108" s="449">
        <f t="shared" si="28"/>
        <v>1200000000000</v>
      </c>
      <c r="AD108" s="452">
        <f t="shared" si="29"/>
        <v>0</v>
      </c>
    </row>
    <row r="109" spans="1:30" ht="20.100000000000001" customHeight="1">
      <c r="A109" s="636"/>
      <c r="B109" s="467"/>
      <c r="C109" s="564"/>
      <c r="D109" s="2135"/>
      <c r="E109" s="2023" t="s">
        <v>225</v>
      </c>
      <c r="F109" s="593">
        <f>Y109</f>
        <v>500</v>
      </c>
      <c r="G109" s="593">
        <v>500</v>
      </c>
      <c r="H109" s="643">
        <f t="shared" si="32"/>
        <v>0</v>
      </c>
      <c r="I109" s="634"/>
      <c r="J109" s="2966" t="s">
        <v>427</v>
      </c>
      <c r="K109" s="2964"/>
      <c r="L109" s="2964"/>
      <c r="M109" s="2964"/>
      <c r="N109" s="2075"/>
      <c r="O109" s="2075"/>
      <c r="P109" s="2075"/>
      <c r="Q109" s="2967"/>
      <c r="R109" s="2961"/>
      <c r="S109" s="2967">
        <v>500000</v>
      </c>
      <c r="T109" s="2967" t="s">
        <v>37</v>
      </c>
      <c r="U109" s="2075"/>
      <c r="V109" s="2967">
        <v>1</v>
      </c>
      <c r="W109" s="2967" t="s">
        <v>233</v>
      </c>
      <c r="X109" s="2030" t="s">
        <v>38</v>
      </c>
      <c r="Y109" s="483">
        <f>+Z109/1000</f>
        <v>500</v>
      </c>
      <c r="Z109" s="658">
        <f>SUM(S109*V109)</f>
        <v>500000</v>
      </c>
      <c r="AB109" s="449">
        <f t="shared" si="27"/>
        <v>500000000000</v>
      </c>
      <c r="AC109" s="449">
        <f t="shared" si="28"/>
        <v>500000000000</v>
      </c>
      <c r="AD109" s="452">
        <f t="shared" si="29"/>
        <v>0</v>
      </c>
    </row>
    <row r="110" spans="1:30" ht="20.100000000000001" customHeight="1">
      <c r="A110" s="636"/>
      <c r="B110" s="467"/>
      <c r="C110" s="564"/>
      <c r="D110" s="1254"/>
      <c r="E110" s="2023" t="s">
        <v>380</v>
      </c>
      <c r="F110" s="593">
        <f>Y110</f>
        <v>20800</v>
      </c>
      <c r="G110" s="593">
        <v>20800</v>
      </c>
      <c r="H110" s="643">
        <f t="shared" si="32"/>
        <v>0</v>
      </c>
      <c r="I110" s="634"/>
      <c r="J110" s="3511" t="s">
        <v>8</v>
      </c>
      <c r="K110" s="3510"/>
      <c r="L110" s="3510"/>
      <c r="M110" s="3510"/>
      <c r="N110" s="2075"/>
      <c r="O110" s="2075"/>
      <c r="P110" s="2075"/>
      <c r="Q110" s="3512"/>
      <c r="R110" s="3508"/>
      <c r="S110" s="3508" t="s">
        <v>20</v>
      </c>
      <c r="T110" s="3512" t="s">
        <v>20</v>
      </c>
      <c r="U110" s="3512" t="s">
        <v>20</v>
      </c>
      <c r="V110" s="3512" t="s">
        <v>20</v>
      </c>
      <c r="W110" s="3512" t="s">
        <v>20</v>
      </c>
      <c r="X110" s="2030" t="s">
        <v>20</v>
      </c>
      <c r="Y110" s="3110">
        <f>SUM(Y111:Y114)</f>
        <v>20800</v>
      </c>
      <c r="Z110" s="3400">
        <f>SUM(Z111:Z113)</f>
        <v>4800000</v>
      </c>
      <c r="AB110" s="449">
        <f t="shared" si="27"/>
        <v>20800000000000</v>
      </c>
      <c r="AC110" s="449">
        <f t="shared" si="28"/>
        <v>20800000000000</v>
      </c>
      <c r="AD110" s="452">
        <f t="shared" si="29"/>
        <v>0</v>
      </c>
    </row>
    <row r="111" spans="1:30" ht="20.100000000000001" customHeight="1">
      <c r="A111" s="636"/>
      <c r="B111" s="467"/>
      <c r="C111" s="564"/>
      <c r="D111" s="2034"/>
      <c r="E111" s="2023"/>
      <c r="F111" s="593"/>
      <c r="G111" s="593"/>
      <c r="H111" s="643"/>
      <c r="I111" s="634"/>
      <c r="J111" s="3511" t="s">
        <v>5387</v>
      </c>
      <c r="K111" s="3510"/>
      <c r="L111" s="3510"/>
      <c r="M111" s="3510"/>
      <c r="N111" s="2075"/>
      <c r="O111" s="2075"/>
      <c r="P111" s="2075"/>
      <c r="Q111" s="3512">
        <v>10</v>
      </c>
      <c r="R111" s="3508" t="s">
        <v>5388</v>
      </c>
      <c r="S111" s="3512">
        <v>50000</v>
      </c>
      <c r="T111" s="3512" t="s">
        <v>0</v>
      </c>
      <c r="U111" s="3512"/>
      <c r="V111" s="3512">
        <v>1</v>
      </c>
      <c r="W111" s="3512" t="s">
        <v>5385</v>
      </c>
      <c r="X111" s="1256" t="s">
        <v>1</v>
      </c>
      <c r="Y111" s="3110">
        <f t="shared" ref="Y111:Y114" si="33">Z111/1000</f>
        <v>500</v>
      </c>
      <c r="Z111" s="3384">
        <f t="shared" ref="Z111:Z114" si="34">V111*S111*Q111</f>
        <v>500000</v>
      </c>
      <c r="AB111" s="449">
        <f t="shared" si="27"/>
        <v>0</v>
      </c>
      <c r="AC111" s="449">
        <f t="shared" si="28"/>
        <v>0</v>
      </c>
      <c r="AD111" s="452">
        <f t="shared" si="29"/>
        <v>0</v>
      </c>
    </row>
    <row r="112" spans="1:30" ht="20.100000000000001" customHeight="1">
      <c r="A112" s="636"/>
      <c r="B112" s="467"/>
      <c r="C112" s="564"/>
      <c r="D112" s="2034"/>
      <c r="E112" s="2023"/>
      <c r="F112" s="593"/>
      <c r="G112" s="593"/>
      <c r="H112" s="643"/>
      <c r="I112" s="634"/>
      <c r="J112" s="3511" t="s">
        <v>5389</v>
      </c>
      <c r="K112" s="3510"/>
      <c r="L112" s="3510"/>
      <c r="M112" s="3510"/>
      <c r="N112" s="2075"/>
      <c r="O112" s="2075"/>
      <c r="P112" s="2075"/>
      <c r="Q112" s="3512">
        <v>10</v>
      </c>
      <c r="R112" s="3508" t="s">
        <v>5388</v>
      </c>
      <c r="S112" s="3512">
        <v>30000</v>
      </c>
      <c r="T112" s="3512" t="s">
        <v>0</v>
      </c>
      <c r="U112" s="3512"/>
      <c r="V112" s="3512">
        <v>1</v>
      </c>
      <c r="W112" s="3512" t="s">
        <v>5385</v>
      </c>
      <c r="X112" s="1256" t="s">
        <v>1</v>
      </c>
      <c r="Y112" s="3110">
        <f t="shared" si="33"/>
        <v>300</v>
      </c>
      <c r="Z112" s="3384">
        <f t="shared" si="34"/>
        <v>300000</v>
      </c>
      <c r="AB112" s="449">
        <f t="shared" si="27"/>
        <v>0</v>
      </c>
      <c r="AC112" s="449">
        <f t="shared" si="28"/>
        <v>0</v>
      </c>
      <c r="AD112" s="452">
        <f t="shared" si="29"/>
        <v>0</v>
      </c>
    </row>
    <row r="113" spans="1:30" s="425" customFormat="1" ht="20.100000000000001" customHeight="1">
      <c r="A113" s="636"/>
      <c r="B113" s="467"/>
      <c r="C113" s="564"/>
      <c r="D113" s="2034"/>
      <c r="E113" s="2023"/>
      <c r="F113" s="593"/>
      <c r="G113" s="593"/>
      <c r="H113" s="643"/>
      <c r="I113" s="634"/>
      <c r="J113" s="3511" t="s">
        <v>5390</v>
      </c>
      <c r="K113" s="3510"/>
      <c r="L113" s="3510"/>
      <c r="M113" s="3510"/>
      <c r="N113" s="2075"/>
      <c r="O113" s="2075"/>
      <c r="P113" s="2075"/>
      <c r="Q113" s="3512">
        <v>4</v>
      </c>
      <c r="R113" s="3508" t="s">
        <v>5386</v>
      </c>
      <c r="S113" s="3512">
        <v>1000000</v>
      </c>
      <c r="T113" s="3512" t="s">
        <v>0</v>
      </c>
      <c r="U113" s="3512"/>
      <c r="V113" s="3512">
        <v>1</v>
      </c>
      <c r="W113" s="3512" t="s">
        <v>5385</v>
      </c>
      <c r="X113" s="1256" t="s">
        <v>1</v>
      </c>
      <c r="Y113" s="3110">
        <f t="shared" si="33"/>
        <v>4000</v>
      </c>
      <c r="Z113" s="3384">
        <f t="shared" si="34"/>
        <v>4000000</v>
      </c>
      <c r="AA113" s="433"/>
      <c r="AB113" s="449"/>
      <c r="AC113" s="449"/>
      <c r="AD113" s="452"/>
    </row>
    <row r="114" spans="1:30" ht="20.100000000000001" customHeight="1">
      <c r="A114" s="636"/>
      <c r="B114" s="467"/>
      <c r="C114" s="564"/>
      <c r="D114" s="2034"/>
      <c r="E114" s="2023"/>
      <c r="F114" s="593"/>
      <c r="G114" s="593"/>
      <c r="H114" s="643"/>
      <c r="I114" s="634"/>
      <c r="J114" s="3511" t="s">
        <v>5391</v>
      </c>
      <c r="K114" s="3510"/>
      <c r="L114" s="3510"/>
      <c r="M114" s="3510"/>
      <c r="N114" s="2075"/>
      <c r="O114" s="2075"/>
      <c r="P114" s="2075"/>
      <c r="Q114" s="3512">
        <v>4</v>
      </c>
      <c r="R114" s="3508" t="s">
        <v>5386</v>
      </c>
      <c r="S114" s="3512">
        <v>4000000</v>
      </c>
      <c r="T114" s="3512" t="s">
        <v>0</v>
      </c>
      <c r="U114" s="3512"/>
      <c r="V114" s="3512">
        <v>1</v>
      </c>
      <c r="W114" s="3512" t="s">
        <v>5385</v>
      </c>
      <c r="X114" s="1256" t="s">
        <v>1</v>
      </c>
      <c r="Y114" s="3110">
        <f t="shared" si="33"/>
        <v>16000</v>
      </c>
      <c r="Z114" s="3384">
        <f t="shared" si="34"/>
        <v>16000000</v>
      </c>
      <c r="AB114" s="449">
        <f t="shared" si="27"/>
        <v>0</v>
      </c>
      <c r="AC114" s="449">
        <f t="shared" si="28"/>
        <v>0</v>
      </c>
      <c r="AD114" s="452">
        <f t="shared" si="29"/>
        <v>0</v>
      </c>
    </row>
    <row r="115" spans="1:30" ht="20.100000000000001" customHeight="1">
      <c r="A115" s="636"/>
      <c r="B115" s="467"/>
      <c r="C115" s="564"/>
      <c r="D115" s="1254"/>
      <c r="E115" s="677" t="s">
        <v>431</v>
      </c>
      <c r="F115" s="593">
        <f>+Y115</f>
        <v>68100</v>
      </c>
      <c r="G115" s="593">
        <v>38900</v>
      </c>
      <c r="H115" s="643">
        <f>F115-G115</f>
        <v>29200</v>
      </c>
      <c r="I115" s="634"/>
      <c r="J115" s="3609" t="s">
        <v>5774</v>
      </c>
      <c r="K115" s="3510"/>
      <c r="L115" s="3510"/>
      <c r="M115" s="3510"/>
      <c r="N115" s="2075"/>
      <c r="O115" s="2075"/>
      <c r="P115" s="2075"/>
      <c r="Q115" s="3512"/>
      <c r="R115" s="3508"/>
      <c r="S115" s="3610">
        <v>68100000</v>
      </c>
      <c r="T115" s="3610" t="s">
        <v>4</v>
      </c>
      <c r="U115" s="2075"/>
      <c r="V115" s="3610">
        <v>1</v>
      </c>
      <c r="W115" s="3610" t="s">
        <v>233</v>
      </c>
      <c r="X115" s="2030" t="s">
        <v>5</v>
      </c>
      <c r="Y115" s="3110">
        <f>+Z115/1000</f>
        <v>68100</v>
      </c>
      <c r="Z115" s="658">
        <f>SUM(S115*V115)</f>
        <v>68100000</v>
      </c>
      <c r="AB115" s="449">
        <f t="shared" si="27"/>
        <v>68100000000000</v>
      </c>
      <c r="AC115" s="449">
        <f t="shared" si="28"/>
        <v>38900000000000</v>
      </c>
      <c r="AD115" s="452">
        <f t="shared" si="29"/>
        <v>29200000000000</v>
      </c>
    </row>
    <row r="116" spans="1:30" s="17" customFormat="1" ht="20.100000000000001" customHeight="1">
      <c r="A116" s="636"/>
      <c r="B116" s="467"/>
      <c r="C116" s="564"/>
      <c r="D116" s="2135"/>
      <c r="E116" s="2023" t="s">
        <v>262</v>
      </c>
      <c r="F116" s="593">
        <f>Y116</f>
        <v>0</v>
      </c>
      <c r="G116" s="593">
        <v>5200</v>
      </c>
      <c r="H116" s="643">
        <f>F116-G116</f>
        <v>-5200</v>
      </c>
      <c r="I116" s="634"/>
      <c r="J116" s="2966" t="s">
        <v>224</v>
      </c>
      <c r="K116" s="2964"/>
      <c r="L116" s="2964"/>
      <c r="M116" s="2964"/>
      <c r="N116" s="2075"/>
      <c r="O116" s="2075"/>
      <c r="P116" s="2075"/>
      <c r="Q116" s="2967"/>
      <c r="R116" s="2961"/>
      <c r="S116" s="2967"/>
      <c r="T116" s="2967"/>
      <c r="U116" s="2967"/>
      <c r="V116" s="2967"/>
      <c r="W116" s="2967"/>
      <c r="X116" s="1256"/>
      <c r="Y116" s="483">
        <f>SUM(Y117:Y118)</f>
        <v>0</v>
      </c>
      <c r="Z116" s="555">
        <f>Y116*1000</f>
        <v>0</v>
      </c>
      <c r="AA116" s="449"/>
      <c r="AB116" s="449">
        <f t="shared" si="27"/>
        <v>0</v>
      </c>
      <c r="AC116" s="449">
        <f t="shared" si="28"/>
        <v>5200000000000</v>
      </c>
      <c r="AD116" s="452">
        <f t="shared" si="29"/>
        <v>-5200000000000</v>
      </c>
    </row>
    <row r="117" spans="1:30" ht="20.100000000000001" customHeight="1">
      <c r="A117" s="636"/>
      <c r="B117" s="467"/>
      <c r="C117" s="564"/>
      <c r="D117" s="2135"/>
      <c r="E117" s="2023"/>
      <c r="F117" s="593"/>
      <c r="G117" s="593"/>
      <c r="H117" s="643"/>
      <c r="I117" s="634"/>
      <c r="J117" s="2966" t="s">
        <v>1582</v>
      </c>
      <c r="K117" s="2964"/>
      <c r="L117" s="2964"/>
      <c r="M117" s="2964"/>
      <c r="N117" s="2075"/>
      <c r="O117" s="2075"/>
      <c r="P117" s="2075"/>
      <c r="Q117" s="2967">
        <v>4</v>
      </c>
      <c r="R117" s="2961" t="s">
        <v>525</v>
      </c>
      <c r="S117" s="2967">
        <v>800000</v>
      </c>
      <c r="T117" s="2967" t="s">
        <v>0</v>
      </c>
      <c r="U117" s="2967"/>
      <c r="V117" s="2967">
        <v>0</v>
      </c>
      <c r="W117" s="2967" t="s">
        <v>226</v>
      </c>
      <c r="X117" s="1256" t="s">
        <v>1</v>
      </c>
      <c r="Y117" s="483">
        <f>+Q117*S117*V117/1000</f>
        <v>0</v>
      </c>
      <c r="Z117" s="555">
        <f>Y117*1000</f>
        <v>0</v>
      </c>
      <c r="AB117" s="449">
        <f t="shared" si="27"/>
        <v>0</v>
      </c>
      <c r="AC117" s="449">
        <f t="shared" si="28"/>
        <v>0</v>
      </c>
      <c r="AD117" s="452">
        <f t="shared" si="29"/>
        <v>0</v>
      </c>
    </row>
    <row r="118" spans="1:30" ht="20.100000000000001" customHeight="1">
      <c r="A118" s="636"/>
      <c r="B118" s="467"/>
      <c r="C118" s="564"/>
      <c r="D118" s="2135"/>
      <c r="E118" s="2023"/>
      <c r="F118" s="593"/>
      <c r="G118" s="593"/>
      <c r="H118" s="643"/>
      <c r="I118" s="634"/>
      <c r="J118" s="2966" t="s">
        <v>1583</v>
      </c>
      <c r="K118" s="2964"/>
      <c r="L118" s="2964"/>
      <c r="M118" s="2964"/>
      <c r="N118" s="2075"/>
      <c r="O118" s="2075"/>
      <c r="P118" s="2075"/>
      <c r="Q118" s="2967">
        <v>1</v>
      </c>
      <c r="R118" s="2961" t="s">
        <v>525</v>
      </c>
      <c r="S118" s="2967">
        <v>500000</v>
      </c>
      <c r="T118" s="2967" t="s">
        <v>0</v>
      </c>
      <c r="U118" s="2967"/>
      <c r="V118" s="2967">
        <v>0</v>
      </c>
      <c r="W118" s="2967" t="s">
        <v>226</v>
      </c>
      <c r="X118" s="1256" t="s">
        <v>1</v>
      </c>
      <c r="Y118" s="483">
        <f>+Q118*S118*V118/1000</f>
        <v>0</v>
      </c>
      <c r="Z118" s="555">
        <f>Y118*1000</f>
        <v>0</v>
      </c>
      <c r="AB118" s="449">
        <f t="shared" si="27"/>
        <v>0</v>
      </c>
      <c r="AC118" s="449">
        <f t="shared" si="28"/>
        <v>0</v>
      </c>
      <c r="AD118" s="452">
        <f t="shared" si="29"/>
        <v>0</v>
      </c>
    </row>
    <row r="119" spans="1:30" ht="20.100000000000001" customHeight="1">
      <c r="A119" s="636"/>
      <c r="B119" s="467"/>
      <c r="C119" s="564"/>
      <c r="D119" s="2135"/>
      <c r="E119" s="2023" t="s">
        <v>17</v>
      </c>
      <c r="F119" s="593">
        <f>Y119</f>
        <v>400</v>
      </c>
      <c r="G119" s="593">
        <v>400</v>
      </c>
      <c r="H119" s="643">
        <f t="shared" ref="H119:H120" si="35">F119-G119</f>
        <v>0</v>
      </c>
      <c r="I119" s="634"/>
      <c r="J119" s="2966" t="s">
        <v>374</v>
      </c>
      <c r="K119" s="2964"/>
      <c r="L119" s="2964"/>
      <c r="M119" s="2964"/>
      <c r="N119" s="2075"/>
      <c r="O119" s="2075"/>
      <c r="P119" s="2075"/>
      <c r="Q119" s="2967"/>
      <c r="R119" s="2961"/>
      <c r="S119" s="2967">
        <v>400000</v>
      </c>
      <c r="T119" s="2967" t="s">
        <v>37</v>
      </c>
      <c r="U119" s="2075"/>
      <c r="V119" s="2967">
        <v>1</v>
      </c>
      <c r="W119" s="2967" t="s">
        <v>233</v>
      </c>
      <c r="X119" s="2030" t="s">
        <v>38</v>
      </c>
      <c r="Y119" s="483">
        <f>+Z119/1000</f>
        <v>400</v>
      </c>
      <c r="Z119" s="658">
        <f>SUM(S119*V119)</f>
        <v>400000</v>
      </c>
      <c r="AB119" s="449">
        <f t="shared" si="27"/>
        <v>400000000000</v>
      </c>
      <c r="AC119" s="449">
        <f t="shared" si="28"/>
        <v>400000000000</v>
      </c>
      <c r="AD119" s="452">
        <f t="shared" si="29"/>
        <v>0</v>
      </c>
    </row>
    <row r="120" spans="1:30" ht="20.100000000000001" customHeight="1">
      <c r="A120" s="636"/>
      <c r="B120" s="467"/>
      <c r="C120" s="564"/>
      <c r="D120" s="2135"/>
      <c r="E120" s="2023" t="s">
        <v>451</v>
      </c>
      <c r="F120" s="593">
        <f>Y120</f>
        <v>4000</v>
      </c>
      <c r="G120" s="593">
        <v>4000</v>
      </c>
      <c r="H120" s="643">
        <f t="shared" si="35"/>
        <v>0</v>
      </c>
      <c r="I120" s="634"/>
      <c r="J120" s="472" t="s">
        <v>224</v>
      </c>
      <c r="K120" s="473"/>
      <c r="L120" s="473"/>
      <c r="M120" s="473"/>
      <c r="N120" s="474"/>
      <c r="O120" s="473"/>
      <c r="P120" s="473"/>
      <c r="Q120" s="475"/>
      <c r="R120" s="2961"/>
      <c r="S120" s="474"/>
      <c r="T120" s="473"/>
      <c r="U120" s="473"/>
      <c r="V120" s="2967"/>
      <c r="W120" s="2967"/>
      <c r="X120" s="542"/>
      <c r="Y120" s="483">
        <f>SUM(Y121:Y122)</f>
        <v>4000</v>
      </c>
      <c r="Z120" s="658">
        <f>Y120*1000</f>
        <v>4000000</v>
      </c>
      <c r="AB120" s="449">
        <f t="shared" si="27"/>
        <v>4000000000000</v>
      </c>
      <c r="AC120" s="449">
        <f t="shared" si="28"/>
        <v>4000000000000</v>
      </c>
      <c r="AD120" s="452">
        <f t="shared" si="29"/>
        <v>0</v>
      </c>
    </row>
    <row r="121" spans="1:30" ht="20.100000000000001" customHeight="1">
      <c r="A121" s="636"/>
      <c r="B121" s="467"/>
      <c r="C121" s="564"/>
      <c r="D121" s="2135"/>
      <c r="E121" s="2023"/>
      <c r="F121" s="593"/>
      <c r="G121" s="593"/>
      <c r="H121" s="643"/>
      <c r="I121" s="634"/>
      <c r="J121" s="472" t="s">
        <v>1584</v>
      </c>
      <c r="K121" s="473"/>
      <c r="L121" s="473"/>
      <c r="M121" s="473"/>
      <c r="N121" s="474"/>
      <c r="O121" s="473"/>
      <c r="P121" s="473"/>
      <c r="Q121" s="475">
        <v>100</v>
      </c>
      <c r="R121" s="2961" t="s">
        <v>267</v>
      </c>
      <c r="S121" s="474">
        <v>20000</v>
      </c>
      <c r="T121" s="473" t="s">
        <v>37</v>
      </c>
      <c r="U121" s="473"/>
      <c r="V121" s="2967">
        <v>1</v>
      </c>
      <c r="W121" s="2967" t="s">
        <v>39</v>
      </c>
      <c r="X121" s="542" t="s">
        <v>38</v>
      </c>
      <c r="Y121" s="483">
        <f>Z121/1000</f>
        <v>2000</v>
      </c>
      <c r="Z121" s="658">
        <f>V121*S121*Q121</f>
        <v>2000000</v>
      </c>
      <c r="AB121" s="449">
        <f t="shared" si="27"/>
        <v>0</v>
      </c>
      <c r="AC121" s="449">
        <f t="shared" si="28"/>
        <v>0</v>
      </c>
      <c r="AD121" s="452">
        <f t="shared" si="29"/>
        <v>0</v>
      </c>
    </row>
    <row r="122" spans="1:30" ht="20.100000000000001" customHeight="1">
      <c r="A122" s="636"/>
      <c r="B122" s="467"/>
      <c r="C122" s="564"/>
      <c r="D122" s="2135"/>
      <c r="E122" s="2023"/>
      <c r="F122" s="593"/>
      <c r="G122" s="593"/>
      <c r="H122" s="643"/>
      <c r="I122" s="634"/>
      <c r="J122" s="472" t="s">
        <v>1585</v>
      </c>
      <c r="K122" s="473"/>
      <c r="L122" s="473"/>
      <c r="M122" s="473"/>
      <c r="N122" s="474"/>
      <c r="O122" s="473"/>
      <c r="P122" s="473"/>
      <c r="Q122" s="475"/>
      <c r="R122" s="2961"/>
      <c r="S122" s="474">
        <v>500000</v>
      </c>
      <c r="T122" s="473" t="s">
        <v>37</v>
      </c>
      <c r="U122" s="473"/>
      <c r="V122" s="2967">
        <v>4</v>
      </c>
      <c r="W122" s="2967" t="s">
        <v>39</v>
      </c>
      <c r="X122" s="542" t="s">
        <v>38</v>
      </c>
      <c r="Y122" s="483">
        <f>S122*V122/1000</f>
        <v>2000</v>
      </c>
      <c r="Z122" s="658">
        <f>Y122*1000</f>
        <v>2000000</v>
      </c>
      <c r="AB122" s="449">
        <f t="shared" si="27"/>
        <v>0</v>
      </c>
      <c r="AC122" s="449">
        <f t="shared" si="28"/>
        <v>0</v>
      </c>
      <c r="AD122" s="452">
        <f t="shared" si="29"/>
        <v>0</v>
      </c>
    </row>
    <row r="123" spans="1:30" ht="20.100000000000001" customHeight="1">
      <c r="A123" s="636"/>
      <c r="B123" s="467"/>
      <c r="C123" s="564"/>
      <c r="D123" s="2135"/>
      <c r="E123" s="2023" t="s">
        <v>384</v>
      </c>
      <c r="F123" s="593">
        <f>Y123</f>
        <v>2000</v>
      </c>
      <c r="G123" s="593">
        <v>2000</v>
      </c>
      <c r="H123" s="643">
        <f>F123-G123</f>
        <v>0</v>
      </c>
      <c r="I123" s="634"/>
      <c r="J123" s="472" t="s">
        <v>224</v>
      </c>
      <c r="K123" s="2964"/>
      <c r="L123" s="473"/>
      <c r="M123" s="473"/>
      <c r="N123" s="474"/>
      <c r="O123" s="473"/>
      <c r="P123" s="473"/>
      <c r="Q123" s="475"/>
      <c r="R123" s="2961"/>
      <c r="S123" s="474"/>
      <c r="T123" s="473"/>
      <c r="U123" s="473"/>
      <c r="V123" s="2967"/>
      <c r="W123" s="2967"/>
      <c r="X123" s="542"/>
      <c r="Y123" s="483">
        <f>Z123/1000</f>
        <v>2000</v>
      </c>
      <c r="Z123" s="489">
        <f>SUM(Z124:Z125)</f>
        <v>2000000</v>
      </c>
      <c r="AB123" s="449">
        <f t="shared" si="27"/>
        <v>2000000000000</v>
      </c>
      <c r="AC123" s="449">
        <f t="shared" si="28"/>
        <v>2000000000000</v>
      </c>
      <c r="AD123" s="452">
        <f t="shared" si="29"/>
        <v>0</v>
      </c>
    </row>
    <row r="124" spans="1:30" ht="20.100000000000001" customHeight="1">
      <c r="A124" s="636"/>
      <c r="B124" s="467"/>
      <c r="C124" s="564"/>
      <c r="D124" s="2034"/>
      <c r="E124" s="2023"/>
      <c r="F124" s="593"/>
      <c r="G124" s="593"/>
      <c r="H124" s="643"/>
      <c r="I124" s="634"/>
      <c r="J124" s="472" t="s">
        <v>424</v>
      </c>
      <c r="K124" s="2964"/>
      <c r="L124" s="473"/>
      <c r="M124" s="473"/>
      <c r="N124" s="474"/>
      <c r="O124" s="473"/>
      <c r="P124" s="473"/>
      <c r="Q124" s="475">
        <v>5</v>
      </c>
      <c r="R124" s="2961" t="s">
        <v>267</v>
      </c>
      <c r="S124" s="474">
        <v>20000</v>
      </c>
      <c r="T124" s="473" t="s">
        <v>37</v>
      </c>
      <c r="U124" s="473"/>
      <c r="V124" s="2967">
        <v>10</v>
      </c>
      <c r="W124" s="2967" t="s">
        <v>39</v>
      </c>
      <c r="X124" s="542" t="s">
        <v>38</v>
      </c>
      <c r="Y124" s="483">
        <f>Z124/1000</f>
        <v>1000</v>
      </c>
      <c r="Z124" s="2137">
        <f>V124*S124*Q124</f>
        <v>1000000</v>
      </c>
      <c r="AB124" s="449">
        <f t="shared" si="27"/>
        <v>0</v>
      </c>
      <c r="AC124" s="449">
        <f t="shared" si="28"/>
        <v>0</v>
      </c>
      <c r="AD124" s="452">
        <f t="shared" si="29"/>
        <v>0</v>
      </c>
    </row>
    <row r="125" spans="1:30" ht="20.100000000000001" customHeight="1">
      <c r="A125" s="636"/>
      <c r="B125" s="467"/>
      <c r="C125" s="564"/>
      <c r="D125" s="2034"/>
      <c r="E125" s="2023"/>
      <c r="F125" s="593"/>
      <c r="G125" s="593"/>
      <c r="H125" s="643"/>
      <c r="I125" s="634"/>
      <c r="J125" s="2966" t="s">
        <v>425</v>
      </c>
      <c r="K125" s="2964"/>
      <c r="L125" s="2964"/>
      <c r="M125" s="2964"/>
      <c r="N125" s="2075"/>
      <c r="O125" s="2075"/>
      <c r="P125" s="2075"/>
      <c r="Q125" s="2967"/>
      <c r="R125" s="2961"/>
      <c r="S125" s="2967">
        <v>1000000</v>
      </c>
      <c r="T125" s="2967" t="s">
        <v>37</v>
      </c>
      <c r="U125" s="2075"/>
      <c r="V125" s="2967">
        <v>1</v>
      </c>
      <c r="W125" s="2967" t="s">
        <v>39</v>
      </c>
      <c r="X125" s="2030" t="s">
        <v>38</v>
      </c>
      <c r="Y125" s="483">
        <f>Z125/1000</f>
        <v>1000</v>
      </c>
      <c r="Z125" s="1139">
        <f>V125*S125</f>
        <v>1000000</v>
      </c>
      <c r="AB125" s="449">
        <f t="shared" si="27"/>
        <v>0</v>
      </c>
      <c r="AC125" s="449">
        <f t="shared" si="28"/>
        <v>0</v>
      </c>
      <c r="AD125" s="452">
        <f t="shared" si="29"/>
        <v>0</v>
      </c>
    </row>
    <row r="126" spans="1:30" ht="20.100000000000001" customHeight="1">
      <c r="A126" s="636"/>
      <c r="B126" s="467"/>
      <c r="C126" s="1251" t="s">
        <v>429</v>
      </c>
      <c r="D126" s="2104"/>
      <c r="E126" s="1252"/>
      <c r="F126" s="1253">
        <f>+F127</f>
        <v>1040000</v>
      </c>
      <c r="G126" s="1253">
        <f>+G127</f>
        <v>1040000</v>
      </c>
      <c r="H126" s="1320">
        <f>+F126-G126</f>
        <v>0</v>
      </c>
      <c r="I126" s="634"/>
      <c r="J126" s="2025"/>
      <c r="K126" s="2959"/>
      <c r="L126" s="2959"/>
      <c r="M126" s="2959"/>
      <c r="N126" s="2959"/>
      <c r="O126" s="2959"/>
      <c r="P126" s="2965"/>
      <c r="Q126" s="2965"/>
      <c r="R126" s="2026"/>
      <c r="S126" s="2026"/>
      <c r="T126" s="2026"/>
      <c r="U126" s="2965"/>
      <c r="V126" s="2026"/>
      <c r="W126" s="2026"/>
      <c r="X126" s="2028"/>
      <c r="Y126" s="517"/>
      <c r="Z126" s="667"/>
      <c r="AB126" s="449">
        <f t="shared" si="27"/>
        <v>1040000000000000</v>
      </c>
      <c r="AC126" s="449">
        <f t="shared" si="28"/>
        <v>1040000000000000</v>
      </c>
      <c r="AD126" s="452">
        <f t="shared" si="29"/>
        <v>0</v>
      </c>
    </row>
    <row r="127" spans="1:30" ht="20.100000000000001" customHeight="1">
      <c r="A127" s="636"/>
      <c r="B127" s="467"/>
      <c r="C127" s="624"/>
      <c r="D127" s="3834" t="s">
        <v>430</v>
      </c>
      <c r="E127" s="3835"/>
      <c r="F127" s="584">
        <f>SUM(F128:F132)</f>
        <v>1040000</v>
      </c>
      <c r="G127" s="584">
        <f>SUM(G128:G132)</f>
        <v>1040000</v>
      </c>
      <c r="H127" s="627">
        <f>+F127-G127</f>
        <v>0</v>
      </c>
      <c r="I127" s="634"/>
      <c r="J127" s="2025"/>
      <c r="K127" s="2959"/>
      <c r="L127" s="2959"/>
      <c r="M127" s="2959"/>
      <c r="N127" s="2959"/>
      <c r="O127" s="2959"/>
      <c r="P127" s="2965"/>
      <c r="Q127" s="2965"/>
      <c r="R127" s="2026"/>
      <c r="S127" s="2026"/>
      <c r="T127" s="2026"/>
      <c r="U127" s="2965"/>
      <c r="V127" s="2026"/>
      <c r="W127" s="2026"/>
      <c r="X127" s="2028"/>
      <c r="Y127" s="517"/>
      <c r="Z127" s="667"/>
      <c r="AB127" s="449">
        <f t="shared" si="27"/>
        <v>1040000000000000</v>
      </c>
      <c r="AC127" s="449">
        <f t="shared" si="28"/>
        <v>1040000000000000</v>
      </c>
      <c r="AD127" s="452">
        <f t="shared" si="29"/>
        <v>0</v>
      </c>
    </row>
    <row r="128" spans="1:30" ht="20.100000000000001" customHeight="1">
      <c r="A128" s="636"/>
      <c r="B128" s="2035"/>
      <c r="C128" s="624"/>
      <c r="D128" s="2034"/>
      <c r="E128" s="2132" t="s">
        <v>431</v>
      </c>
      <c r="F128" s="593">
        <f>+Y128</f>
        <v>1040000</v>
      </c>
      <c r="G128" s="593">
        <v>1040000</v>
      </c>
      <c r="H128" s="643"/>
      <c r="I128" s="634"/>
      <c r="J128" s="2966" t="s">
        <v>224</v>
      </c>
      <c r="K128" s="2964"/>
      <c r="L128" s="2964"/>
      <c r="M128" s="2964"/>
      <c r="N128" s="2075"/>
      <c r="O128" s="2075"/>
      <c r="P128" s="2075"/>
      <c r="Q128" s="2967"/>
      <c r="R128" s="2961"/>
      <c r="S128" s="2961" t="s">
        <v>20</v>
      </c>
      <c r="T128" s="2967" t="s">
        <v>20</v>
      </c>
      <c r="U128" s="2967" t="s">
        <v>20</v>
      </c>
      <c r="V128" s="2967" t="s">
        <v>20</v>
      </c>
      <c r="W128" s="2967" t="s">
        <v>20</v>
      </c>
      <c r="X128" s="2030" t="s">
        <v>20</v>
      </c>
      <c r="Y128" s="483">
        <f t="shared" ref="Y128:Y132" si="36">Z128/1000</f>
        <v>1040000</v>
      </c>
      <c r="Z128" s="555">
        <f>SUM(Z129:Z132)</f>
        <v>1040000000</v>
      </c>
      <c r="AB128" s="449">
        <f t="shared" si="27"/>
        <v>1040000000000000</v>
      </c>
      <c r="AC128" s="449">
        <f t="shared" si="28"/>
        <v>1040000000000000</v>
      </c>
      <c r="AD128" s="452">
        <f t="shared" si="29"/>
        <v>0</v>
      </c>
    </row>
    <row r="129" spans="1:32" ht="20.100000000000001" customHeight="1">
      <c r="A129" s="636"/>
      <c r="B129" s="2035"/>
      <c r="C129" s="624"/>
      <c r="D129" s="2034"/>
      <c r="E129" s="2023"/>
      <c r="F129" s="593"/>
      <c r="G129" s="593"/>
      <c r="H129" s="643"/>
      <c r="I129" s="634"/>
      <c r="J129" s="2966" t="s">
        <v>432</v>
      </c>
      <c r="K129" s="2964"/>
      <c r="L129" s="2964"/>
      <c r="M129" s="2964"/>
      <c r="N129" s="2075"/>
      <c r="O129" s="2075"/>
      <c r="P129" s="2075"/>
      <c r="Q129" s="2967"/>
      <c r="R129" s="2961"/>
      <c r="S129" s="2967">
        <v>50000000</v>
      </c>
      <c r="T129" s="2967" t="s">
        <v>0</v>
      </c>
      <c r="U129" s="2967"/>
      <c r="V129" s="2967">
        <v>1</v>
      </c>
      <c r="W129" s="2967" t="s">
        <v>226</v>
      </c>
      <c r="X129" s="1256" t="s">
        <v>1</v>
      </c>
      <c r="Y129" s="483">
        <f t="shared" si="36"/>
        <v>50000</v>
      </c>
      <c r="Z129" s="555">
        <f t="shared" ref="Z129:Z132" si="37">S129*V129</f>
        <v>50000000</v>
      </c>
      <c r="AB129" s="449">
        <f t="shared" si="27"/>
        <v>0</v>
      </c>
      <c r="AC129" s="449">
        <f t="shared" si="28"/>
        <v>0</v>
      </c>
      <c r="AD129" s="452">
        <f t="shared" si="29"/>
        <v>0</v>
      </c>
    </row>
    <row r="130" spans="1:32" ht="20.100000000000001" customHeight="1">
      <c r="A130" s="636"/>
      <c r="B130" s="2035"/>
      <c r="C130" s="624"/>
      <c r="D130" s="2034"/>
      <c r="E130" s="2023"/>
      <c r="F130" s="593"/>
      <c r="G130" s="593"/>
      <c r="H130" s="643"/>
      <c r="I130" s="634"/>
      <c r="J130" s="2966" t="s">
        <v>1008</v>
      </c>
      <c r="K130" s="2964"/>
      <c r="L130" s="2964"/>
      <c r="M130" s="2964"/>
      <c r="N130" s="2075"/>
      <c r="O130" s="2075"/>
      <c r="P130" s="2075"/>
      <c r="Q130" s="2967"/>
      <c r="R130" s="2961"/>
      <c r="S130" s="2967">
        <v>763000000</v>
      </c>
      <c r="T130" s="2967" t="s">
        <v>0</v>
      </c>
      <c r="U130" s="2967"/>
      <c r="V130" s="2967">
        <v>1</v>
      </c>
      <c r="W130" s="2967" t="s">
        <v>226</v>
      </c>
      <c r="X130" s="1256" t="s">
        <v>1</v>
      </c>
      <c r="Y130" s="483">
        <f t="shared" si="36"/>
        <v>763000</v>
      </c>
      <c r="Z130" s="555">
        <f t="shared" si="37"/>
        <v>763000000</v>
      </c>
      <c r="AB130" s="449">
        <f t="shared" si="27"/>
        <v>0</v>
      </c>
      <c r="AC130" s="449">
        <f t="shared" si="28"/>
        <v>0</v>
      </c>
      <c r="AD130" s="452">
        <f t="shared" si="29"/>
        <v>0</v>
      </c>
    </row>
    <row r="131" spans="1:32" ht="22.5" customHeight="1">
      <c r="A131" s="636"/>
      <c r="B131" s="2035"/>
      <c r="C131" s="624"/>
      <c r="D131" s="2034"/>
      <c r="E131" s="2023"/>
      <c r="F131" s="593"/>
      <c r="G131" s="593"/>
      <c r="H131" s="643"/>
      <c r="I131" s="634"/>
      <c r="J131" s="2966" t="s">
        <v>1007</v>
      </c>
      <c r="K131" s="2964"/>
      <c r="L131" s="2964"/>
      <c r="M131" s="2964"/>
      <c r="N131" s="2075"/>
      <c r="O131" s="2075"/>
      <c r="P131" s="2075"/>
      <c r="Q131" s="2967"/>
      <c r="R131" s="2961"/>
      <c r="S131" s="2967">
        <v>115000000</v>
      </c>
      <c r="T131" s="2967" t="s">
        <v>0</v>
      </c>
      <c r="U131" s="2967"/>
      <c r="V131" s="2967">
        <v>1</v>
      </c>
      <c r="W131" s="2967" t="s">
        <v>226</v>
      </c>
      <c r="X131" s="1256" t="s">
        <v>1</v>
      </c>
      <c r="Y131" s="483">
        <f t="shared" si="36"/>
        <v>115000</v>
      </c>
      <c r="Z131" s="555">
        <f t="shared" si="37"/>
        <v>115000000</v>
      </c>
      <c r="AB131" s="449">
        <f t="shared" si="27"/>
        <v>0</v>
      </c>
      <c r="AC131" s="449">
        <f t="shared" si="28"/>
        <v>0</v>
      </c>
      <c r="AD131" s="452">
        <f t="shared" si="29"/>
        <v>0</v>
      </c>
    </row>
    <row r="132" spans="1:32" ht="22.5" customHeight="1">
      <c r="A132" s="636"/>
      <c r="B132" s="2035"/>
      <c r="C132" s="624"/>
      <c r="D132" s="2034"/>
      <c r="E132" s="2023"/>
      <c r="F132" s="593"/>
      <c r="G132" s="593"/>
      <c r="H132" s="643"/>
      <c r="I132" s="634"/>
      <c r="J132" s="3020" t="s">
        <v>433</v>
      </c>
      <c r="K132" s="3019"/>
      <c r="L132" s="3019"/>
      <c r="M132" s="3019"/>
      <c r="N132" s="2075"/>
      <c r="O132" s="2075"/>
      <c r="P132" s="2075"/>
      <c r="Q132" s="3021"/>
      <c r="R132" s="3018"/>
      <c r="S132" s="3021">
        <v>112000000</v>
      </c>
      <c r="T132" s="3021" t="s">
        <v>0</v>
      </c>
      <c r="U132" s="3021"/>
      <c r="V132" s="3021">
        <v>1</v>
      </c>
      <c r="W132" s="3021" t="s">
        <v>226</v>
      </c>
      <c r="X132" s="1256" t="s">
        <v>1</v>
      </c>
      <c r="Y132" s="483">
        <f t="shared" si="36"/>
        <v>112000</v>
      </c>
      <c r="Z132" s="555">
        <f t="shared" si="37"/>
        <v>112000000</v>
      </c>
      <c r="AB132" s="449">
        <f t="shared" si="27"/>
        <v>0</v>
      </c>
      <c r="AC132" s="449">
        <f t="shared" si="28"/>
        <v>0</v>
      </c>
      <c r="AD132" s="452">
        <f t="shared" si="29"/>
        <v>0</v>
      </c>
    </row>
    <row r="133" spans="1:32" s="250" customFormat="1" ht="22.5" customHeight="1">
      <c r="A133" s="628"/>
      <c r="B133" s="2221"/>
      <c r="C133" s="3830" t="s">
        <v>1093</v>
      </c>
      <c r="D133" s="3830"/>
      <c r="E133" s="3831"/>
      <c r="F133" s="1988">
        <f>F134</f>
        <v>110000</v>
      </c>
      <c r="G133" s="1988">
        <f>G134</f>
        <v>133818.03</v>
      </c>
      <c r="H133" s="984">
        <f>H134</f>
        <v>-23818.03</v>
      </c>
      <c r="I133" s="3016"/>
      <c r="J133" s="1535"/>
      <c r="K133" s="3017"/>
      <c r="L133" s="3038"/>
      <c r="M133" s="3017"/>
      <c r="N133" s="3017"/>
      <c r="O133" s="3017"/>
      <c r="P133" s="3017"/>
      <c r="Q133" s="1009"/>
      <c r="R133" s="1990"/>
      <c r="S133" s="1010"/>
      <c r="T133" s="1084"/>
      <c r="U133" s="1084"/>
      <c r="V133" s="1084"/>
      <c r="W133" s="1084"/>
      <c r="X133" s="1538"/>
      <c r="Y133" s="965"/>
      <c r="Z133" s="732"/>
      <c r="AA133" s="222"/>
      <c r="AB133" s="449">
        <f t="shared" si="27"/>
        <v>110000000000000</v>
      </c>
      <c r="AC133" s="449">
        <f t="shared" si="28"/>
        <v>133818030000000</v>
      </c>
      <c r="AD133" s="452">
        <f t="shared" si="29"/>
        <v>-23818030000000</v>
      </c>
    </row>
    <row r="134" spans="1:32" s="1925" customFormat="1" ht="22.5" customHeight="1">
      <c r="A134" s="628"/>
      <c r="B134" s="2221"/>
      <c r="C134" s="968"/>
      <c r="D134" s="3832" t="s">
        <v>1181</v>
      </c>
      <c r="E134" s="3833"/>
      <c r="F134" s="1988">
        <f>SUM(F135:F160)</f>
        <v>110000</v>
      </c>
      <c r="G134" s="1988">
        <f>SUM(G135:G160)</f>
        <v>133818.03</v>
      </c>
      <c r="H134" s="984">
        <f>F134-G134</f>
        <v>-23818.03</v>
      </c>
      <c r="I134" s="3016"/>
      <c r="J134" s="1989"/>
      <c r="K134" s="3017"/>
      <c r="L134" s="3017"/>
      <c r="M134" s="3017"/>
      <c r="N134" s="3017"/>
      <c r="O134" s="3017"/>
      <c r="P134" s="3017"/>
      <c r="Q134" s="3017"/>
      <c r="R134" s="1990"/>
      <c r="S134" s="3017"/>
      <c r="T134" s="3017"/>
      <c r="U134" s="3017"/>
      <c r="V134" s="3017"/>
      <c r="W134" s="3017"/>
      <c r="X134" s="1422"/>
      <c r="Y134" s="1991"/>
      <c r="Z134" s="1987"/>
      <c r="AA134" s="423"/>
      <c r="AB134" s="449">
        <f t="shared" si="27"/>
        <v>110000000000000</v>
      </c>
      <c r="AC134" s="449">
        <f t="shared" si="28"/>
        <v>133818030000000</v>
      </c>
      <c r="AD134" s="452">
        <f t="shared" si="29"/>
        <v>-23818030000000</v>
      </c>
    </row>
    <row r="135" spans="1:32" s="1925" customFormat="1" ht="22.5" customHeight="1">
      <c r="A135" s="2302"/>
      <c r="B135" s="3022"/>
      <c r="C135" s="542"/>
      <c r="D135" s="624"/>
      <c r="E135" s="2023" t="s">
        <v>4983</v>
      </c>
      <c r="F135" s="593">
        <f>Y135</f>
        <v>35600</v>
      </c>
      <c r="G135" s="1918">
        <v>35600</v>
      </c>
      <c r="H135" s="534"/>
      <c r="I135" s="3253"/>
      <c r="J135" s="3254" t="s">
        <v>4947</v>
      </c>
      <c r="K135" s="3253"/>
      <c r="L135" s="3253"/>
      <c r="M135" s="3253"/>
      <c r="N135" s="3253"/>
      <c r="O135" s="3253"/>
      <c r="P135" s="3253"/>
      <c r="Q135" s="3253"/>
      <c r="R135" s="552"/>
      <c r="S135" s="3253"/>
      <c r="T135" s="3253"/>
      <c r="U135" s="3253"/>
      <c r="V135" s="3253"/>
      <c r="W135" s="3253"/>
      <c r="X135" s="2030"/>
      <c r="Y135" s="3339">
        <f t="shared" ref="Y135:Y141" si="38">(Z135)/1000</f>
        <v>35600</v>
      </c>
      <c r="Z135" s="555">
        <f>SUM(Z136:Z140)</f>
        <v>35600000</v>
      </c>
      <c r="AA135" s="423"/>
      <c r="AB135" s="449">
        <f t="shared" si="27"/>
        <v>35600000000000</v>
      </c>
      <c r="AC135" s="449">
        <f t="shared" si="28"/>
        <v>35600000000000</v>
      </c>
      <c r="AD135" s="452">
        <f t="shared" si="29"/>
        <v>0</v>
      </c>
    </row>
    <row r="136" spans="1:32" s="1925" customFormat="1" ht="22.5" customHeight="1">
      <c r="A136" s="2302"/>
      <c r="B136" s="3022"/>
      <c r="C136" s="542"/>
      <c r="D136" s="624"/>
      <c r="E136" s="2023"/>
      <c r="F136" s="526"/>
      <c r="G136" s="1918"/>
      <c r="H136" s="534"/>
      <c r="I136" s="3253"/>
      <c r="J136" s="3254" t="s">
        <v>4948</v>
      </c>
      <c r="K136" s="3253"/>
      <c r="L136" s="3253"/>
      <c r="M136" s="3253"/>
      <c r="N136" s="3253"/>
      <c r="O136" s="3253"/>
      <c r="P136" s="3253"/>
      <c r="Q136" s="556">
        <v>1</v>
      </c>
      <c r="R136" s="3249" t="s">
        <v>4949</v>
      </c>
      <c r="S136" s="3108">
        <v>2600000</v>
      </c>
      <c r="T136" s="3255" t="s">
        <v>4950</v>
      </c>
      <c r="U136" s="3255"/>
      <c r="V136" s="3255">
        <v>10</v>
      </c>
      <c r="W136" s="3255" t="s">
        <v>4951</v>
      </c>
      <c r="X136" s="2030" t="s">
        <v>4952</v>
      </c>
      <c r="Y136" s="3339">
        <f t="shared" si="38"/>
        <v>26000</v>
      </c>
      <c r="Z136" s="555">
        <f>Q136*S136*V136</f>
        <v>26000000</v>
      </c>
      <c r="AA136" s="423"/>
      <c r="AB136" s="449">
        <f t="shared" si="27"/>
        <v>0</v>
      </c>
      <c r="AC136" s="449">
        <f t="shared" si="28"/>
        <v>0</v>
      </c>
      <c r="AD136" s="452">
        <f t="shared" si="29"/>
        <v>0</v>
      </c>
    </row>
    <row r="137" spans="1:32" s="1925" customFormat="1" ht="22.5" customHeight="1">
      <c r="A137" s="2302"/>
      <c r="B137" s="3022"/>
      <c r="C137" s="542"/>
      <c r="D137" s="624"/>
      <c r="E137" s="2023"/>
      <c r="F137" s="526"/>
      <c r="G137" s="1918"/>
      <c r="H137" s="534"/>
      <c r="I137" s="3253"/>
      <c r="J137" s="3254" t="s">
        <v>4953</v>
      </c>
      <c r="K137" s="3253"/>
      <c r="L137" s="3253"/>
      <c r="M137" s="3253"/>
      <c r="N137" s="3253"/>
      <c r="O137" s="3253"/>
      <c r="P137" s="3253"/>
      <c r="Q137" s="556">
        <v>1</v>
      </c>
      <c r="R137" s="3249" t="s">
        <v>4949</v>
      </c>
      <c r="S137" s="3108">
        <v>250000</v>
      </c>
      <c r="T137" s="3255" t="s">
        <v>4950</v>
      </c>
      <c r="U137" s="3255"/>
      <c r="V137" s="3255">
        <v>12</v>
      </c>
      <c r="W137" s="3255" t="s">
        <v>4951</v>
      </c>
      <c r="X137" s="2030" t="s">
        <v>4952</v>
      </c>
      <c r="Y137" s="3339">
        <f t="shared" si="38"/>
        <v>3000</v>
      </c>
      <c r="Z137" s="555">
        <f t="shared" ref="Z137:Z138" si="39">Q137*S137*V137</f>
        <v>3000000</v>
      </c>
      <c r="AA137" s="423"/>
      <c r="AB137" s="449">
        <f t="shared" si="27"/>
        <v>0</v>
      </c>
      <c r="AC137" s="449">
        <f t="shared" si="28"/>
        <v>0</v>
      </c>
      <c r="AD137" s="452">
        <f t="shared" si="29"/>
        <v>0</v>
      </c>
    </row>
    <row r="138" spans="1:32" s="1925" customFormat="1" ht="22.5" customHeight="1">
      <c r="A138" s="2302"/>
      <c r="B138" s="3022"/>
      <c r="C138" s="542"/>
      <c r="D138" s="624"/>
      <c r="E138" s="2023"/>
      <c r="F138" s="526"/>
      <c r="G138" s="1918"/>
      <c r="H138" s="534"/>
      <c r="I138" s="3253"/>
      <c r="J138" s="3254" t="s">
        <v>4954</v>
      </c>
      <c r="K138" s="3253"/>
      <c r="L138" s="3253"/>
      <c r="M138" s="3253"/>
      <c r="N138" s="3253"/>
      <c r="O138" s="3253"/>
      <c r="P138" s="3253"/>
      <c r="Q138" s="556">
        <v>1</v>
      </c>
      <c r="R138" s="3249" t="s">
        <v>4949</v>
      </c>
      <c r="S138" s="3108">
        <v>2455000</v>
      </c>
      <c r="T138" s="3255" t="s">
        <v>4950</v>
      </c>
      <c r="U138" s="3255"/>
      <c r="V138" s="3255">
        <v>1</v>
      </c>
      <c r="W138" s="3255" t="s">
        <v>4951</v>
      </c>
      <c r="X138" s="2030" t="s">
        <v>4952</v>
      </c>
      <c r="Y138" s="3339">
        <f t="shared" si="38"/>
        <v>2455</v>
      </c>
      <c r="Z138" s="555">
        <f t="shared" si="39"/>
        <v>2455000</v>
      </c>
      <c r="AA138" s="423"/>
      <c r="AB138" s="449">
        <f t="shared" ref="AB138:AB159" si="40">F138*1000000000</f>
        <v>0</v>
      </c>
      <c r="AC138" s="449">
        <f t="shared" ref="AC138:AC159" si="41">G138*1000000000</f>
        <v>0</v>
      </c>
      <c r="AD138" s="452">
        <f t="shared" ref="AD138:AD159" si="42">AB138-AC138</f>
        <v>0</v>
      </c>
    </row>
    <row r="139" spans="1:32" s="191" customFormat="1" ht="22.5" customHeight="1">
      <c r="A139" s="2302"/>
      <c r="B139" s="3022"/>
      <c r="C139" s="542"/>
      <c r="D139" s="624"/>
      <c r="E139" s="2023"/>
      <c r="F139" s="526"/>
      <c r="G139" s="1918"/>
      <c r="H139" s="534"/>
      <c r="I139" s="3253"/>
      <c r="J139" s="3254" t="s">
        <v>4955</v>
      </c>
      <c r="K139" s="3253"/>
      <c r="L139" s="3253"/>
      <c r="M139" s="3253"/>
      <c r="N139" s="3253"/>
      <c r="O139" s="556"/>
      <c r="P139" s="3249"/>
      <c r="Q139" s="556">
        <v>1</v>
      </c>
      <c r="R139" s="3249" t="s">
        <v>4949</v>
      </c>
      <c r="S139" s="3108">
        <v>29000000</v>
      </c>
      <c r="T139" s="3255" t="s">
        <v>4950</v>
      </c>
      <c r="U139" s="3255"/>
      <c r="V139" s="3255">
        <v>10</v>
      </c>
      <c r="W139" s="3255" t="s">
        <v>4956</v>
      </c>
      <c r="X139" s="2030" t="s">
        <v>4952</v>
      </c>
      <c r="Y139" s="3339">
        <f t="shared" si="38"/>
        <v>2900</v>
      </c>
      <c r="Z139" s="555">
        <f>Q139*S139*V139%</f>
        <v>2900000</v>
      </c>
      <c r="AA139" s="434"/>
      <c r="AB139" s="449">
        <f t="shared" si="40"/>
        <v>0</v>
      </c>
      <c r="AC139" s="449">
        <f t="shared" si="41"/>
        <v>0</v>
      </c>
      <c r="AD139" s="452">
        <f t="shared" si="42"/>
        <v>0</v>
      </c>
    </row>
    <row r="140" spans="1:32" s="191" customFormat="1" ht="22.5" customHeight="1">
      <c r="A140" s="2302"/>
      <c r="B140" s="2129"/>
      <c r="C140" s="564"/>
      <c r="D140" s="2020"/>
      <c r="E140" s="2023"/>
      <c r="F140" s="526"/>
      <c r="G140" s="526"/>
      <c r="H140" s="534"/>
      <c r="I140" s="3253"/>
      <c r="J140" s="3254" t="s">
        <v>4957</v>
      </c>
      <c r="K140" s="3253"/>
      <c r="L140" s="3253"/>
      <c r="M140" s="3253"/>
      <c r="N140" s="3253"/>
      <c r="O140" s="3253"/>
      <c r="P140" s="3253"/>
      <c r="Q140" s="556">
        <v>1</v>
      </c>
      <c r="R140" s="3180" t="s">
        <v>4949</v>
      </c>
      <c r="S140" s="3255">
        <v>83000</v>
      </c>
      <c r="T140" s="3255" t="s">
        <v>4950</v>
      </c>
      <c r="U140" s="3255"/>
      <c r="V140" s="3255">
        <v>15</v>
      </c>
      <c r="W140" s="3255" t="s">
        <v>4958</v>
      </c>
      <c r="X140" s="2030" t="s">
        <v>4959</v>
      </c>
      <c r="Y140" s="3339">
        <f t="shared" ref="Y140:Y156" si="43">Z140/1000</f>
        <v>1245</v>
      </c>
      <c r="Z140" s="555">
        <f>Q140*S140*V140</f>
        <v>1245000</v>
      </c>
      <c r="AA140" s="434"/>
      <c r="AB140" s="449">
        <f t="shared" si="40"/>
        <v>0</v>
      </c>
      <c r="AC140" s="449">
        <f t="shared" si="41"/>
        <v>0</v>
      </c>
      <c r="AD140" s="452">
        <f t="shared" si="42"/>
        <v>0</v>
      </c>
      <c r="AF140" s="191">
        <v>26000002</v>
      </c>
    </row>
    <row r="141" spans="1:32" s="191" customFormat="1" ht="22.5" customHeight="1">
      <c r="A141" s="2302"/>
      <c r="B141" s="2129"/>
      <c r="C141" s="564"/>
      <c r="D141" s="2020"/>
      <c r="E141" s="2023" t="s">
        <v>4984</v>
      </c>
      <c r="F141" s="593">
        <f>Y141</f>
        <v>1000</v>
      </c>
      <c r="G141" s="526">
        <v>1000</v>
      </c>
      <c r="H141" s="534"/>
      <c r="I141" s="3253"/>
      <c r="J141" s="3254" t="s">
        <v>4960</v>
      </c>
      <c r="K141" s="3253"/>
      <c r="L141" s="3253"/>
      <c r="M141" s="3253"/>
      <c r="N141" s="3253"/>
      <c r="O141" s="3253"/>
      <c r="P141" s="3253"/>
      <c r="Q141" s="556">
        <v>25</v>
      </c>
      <c r="R141" s="3180" t="s">
        <v>4961</v>
      </c>
      <c r="S141" s="3255">
        <v>20000</v>
      </c>
      <c r="T141" s="3255" t="s">
        <v>4950</v>
      </c>
      <c r="U141" s="3255"/>
      <c r="V141" s="3255">
        <v>2</v>
      </c>
      <c r="W141" s="3255" t="s">
        <v>4962</v>
      </c>
      <c r="X141" s="2030" t="str">
        <f>X140</f>
        <v>=</v>
      </c>
      <c r="Y141" s="3339">
        <f t="shared" si="38"/>
        <v>1000</v>
      </c>
      <c r="Z141" s="555">
        <f>Q141*S141*V141</f>
        <v>1000000</v>
      </c>
      <c r="AA141" s="434"/>
      <c r="AB141" s="449">
        <f t="shared" si="40"/>
        <v>1000000000000</v>
      </c>
      <c r="AC141" s="449">
        <f t="shared" si="41"/>
        <v>1000000000000</v>
      </c>
      <c r="AD141" s="452">
        <f t="shared" si="42"/>
        <v>0</v>
      </c>
      <c r="AF141" s="191">
        <f>AF140/12</f>
        <v>2166666.8333333335</v>
      </c>
    </row>
    <row r="142" spans="1:32" s="191" customFormat="1" ht="22.5" customHeight="1">
      <c r="A142" s="2302"/>
      <c r="B142" s="2129"/>
      <c r="C142" s="564"/>
      <c r="D142" s="2020"/>
      <c r="E142" s="2023" t="s">
        <v>4985</v>
      </c>
      <c r="F142" s="593">
        <f>Y142</f>
        <v>1000</v>
      </c>
      <c r="G142" s="526">
        <v>1000</v>
      </c>
      <c r="H142" s="534"/>
      <c r="I142" s="3253"/>
      <c r="J142" s="3254" t="s">
        <v>4963</v>
      </c>
      <c r="K142" s="3253"/>
      <c r="L142" s="3253"/>
      <c r="M142" s="3253"/>
      <c r="N142" s="3253"/>
      <c r="O142" s="3253"/>
      <c r="P142" s="3253"/>
      <c r="Q142" s="556">
        <v>2</v>
      </c>
      <c r="R142" s="3180" t="s">
        <v>4949</v>
      </c>
      <c r="S142" s="3108">
        <v>50000</v>
      </c>
      <c r="T142" s="3255" t="s">
        <v>4950</v>
      </c>
      <c r="U142" s="3255"/>
      <c r="V142" s="3255">
        <v>10</v>
      </c>
      <c r="W142" s="3255" t="s">
        <v>4962</v>
      </c>
      <c r="X142" s="2030" t="s">
        <v>4952</v>
      </c>
      <c r="Y142" s="3339">
        <f t="shared" si="43"/>
        <v>1000</v>
      </c>
      <c r="Z142" s="555">
        <f>Q142*S142*V142</f>
        <v>1000000</v>
      </c>
      <c r="AA142" s="434"/>
      <c r="AB142" s="449">
        <f t="shared" si="40"/>
        <v>1000000000000</v>
      </c>
      <c r="AC142" s="449">
        <f t="shared" si="41"/>
        <v>1000000000000</v>
      </c>
      <c r="AD142" s="452">
        <f t="shared" si="42"/>
        <v>0</v>
      </c>
    </row>
    <row r="143" spans="1:32" s="191" customFormat="1" ht="22.5" customHeight="1">
      <c r="A143" s="2302"/>
      <c r="B143" s="2129"/>
      <c r="C143" s="564"/>
      <c r="D143" s="2020"/>
      <c r="E143" s="2023" t="s">
        <v>4986</v>
      </c>
      <c r="F143" s="593">
        <f>Y143</f>
        <v>19000</v>
      </c>
      <c r="G143" s="526">
        <v>19000</v>
      </c>
      <c r="H143" s="534"/>
      <c r="I143" s="3253"/>
      <c r="J143" s="3254" t="s">
        <v>4947</v>
      </c>
      <c r="K143" s="3253"/>
      <c r="L143" s="3253"/>
      <c r="M143" s="3253"/>
      <c r="N143" s="3253"/>
      <c r="O143" s="3253"/>
      <c r="P143" s="3253"/>
      <c r="Q143" s="3109"/>
      <c r="R143" s="552"/>
      <c r="S143" s="3108"/>
      <c r="T143" s="3255"/>
      <c r="U143" s="3255"/>
      <c r="V143" s="3255"/>
      <c r="W143" s="3255"/>
      <c r="X143" s="2030"/>
      <c r="Y143" s="3339">
        <f>Y144+Y145</f>
        <v>19000</v>
      </c>
      <c r="Z143" s="555">
        <f>S143*V143</f>
        <v>0</v>
      </c>
      <c r="AA143" s="434"/>
      <c r="AB143" s="449">
        <f t="shared" si="40"/>
        <v>19000000000000</v>
      </c>
      <c r="AC143" s="449">
        <f t="shared" si="41"/>
        <v>19000000000000</v>
      </c>
      <c r="AD143" s="452">
        <f t="shared" si="42"/>
        <v>0</v>
      </c>
    </row>
    <row r="144" spans="1:32" s="191" customFormat="1" ht="22.5" customHeight="1">
      <c r="A144" s="2302"/>
      <c r="B144" s="2129"/>
      <c r="C144" s="564"/>
      <c r="D144" s="2020"/>
      <c r="E144" s="2023"/>
      <c r="F144" s="526"/>
      <c r="G144" s="526"/>
      <c r="H144" s="534"/>
      <c r="I144" s="3253"/>
      <c r="J144" s="3702" t="s">
        <v>6129</v>
      </c>
      <c r="K144" s="3253"/>
      <c r="L144" s="3253"/>
      <c r="M144" s="3253"/>
      <c r="N144" s="3253"/>
      <c r="O144" s="3253"/>
      <c r="P144" s="3253"/>
      <c r="Q144" s="3109"/>
      <c r="R144" s="552"/>
      <c r="S144" s="3108">
        <v>10000000</v>
      </c>
      <c r="T144" s="3255" t="s">
        <v>4950</v>
      </c>
      <c r="U144" s="3255"/>
      <c r="V144" s="3255">
        <v>1</v>
      </c>
      <c r="W144" s="3255" t="s">
        <v>4964</v>
      </c>
      <c r="X144" s="2030" t="s">
        <v>4952</v>
      </c>
      <c r="Y144" s="3339">
        <f t="shared" ref="Y144:Y145" si="44">S144*V144/1000</f>
        <v>10000</v>
      </c>
      <c r="Z144" s="555">
        <f>S144*V144</f>
        <v>10000000</v>
      </c>
      <c r="AA144" s="434"/>
      <c r="AB144" s="449">
        <f t="shared" si="40"/>
        <v>0</v>
      </c>
      <c r="AC144" s="449">
        <f t="shared" si="41"/>
        <v>0</v>
      </c>
      <c r="AD144" s="452">
        <f t="shared" si="42"/>
        <v>0</v>
      </c>
    </row>
    <row r="145" spans="1:30" s="191" customFormat="1" ht="22.5" customHeight="1">
      <c r="A145" s="2302"/>
      <c r="B145" s="2129"/>
      <c r="C145" s="564"/>
      <c r="D145" s="2020"/>
      <c r="E145" s="2023"/>
      <c r="F145" s="526"/>
      <c r="G145" s="526"/>
      <c r="H145" s="534"/>
      <c r="I145" s="3253"/>
      <c r="J145" s="3702" t="s">
        <v>6130</v>
      </c>
      <c r="K145" s="3253"/>
      <c r="L145" s="3253"/>
      <c r="M145" s="3253"/>
      <c r="N145" s="3253"/>
      <c r="O145" s="3253"/>
      <c r="P145" s="3253"/>
      <c r="Q145" s="3109"/>
      <c r="R145" s="552"/>
      <c r="S145" s="3108">
        <v>1000000</v>
      </c>
      <c r="T145" s="3255" t="s">
        <v>4950</v>
      </c>
      <c r="U145" s="3255"/>
      <c r="V145" s="3255">
        <v>9</v>
      </c>
      <c r="W145" s="3255" t="s">
        <v>4965</v>
      </c>
      <c r="X145" s="2030" t="s">
        <v>4952</v>
      </c>
      <c r="Y145" s="3339">
        <f t="shared" si="44"/>
        <v>9000</v>
      </c>
      <c r="Z145" s="555">
        <f>S145*V145</f>
        <v>9000000</v>
      </c>
      <c r="AA145" s="434"/>
      <c r="AB145" s="449">
        <f t="shared" si="40"/>
        <v>0</v>
      </c>
      <c r="AC145" s="449">
        <f t="shared" si="41"/>
        <v>0</v>
      </c>
      <c r="AD145" s="452">
        <f t="shared" si="42"/>
        <v>0</v>
      </c>
    </row>
    <row r="146" spans="1:30" s="191" customFormat="1" ht="22.5" customHeight="1">
      <c r="A146" s="2302"/>
      <c r="B146" s="2129"/>
      <c r="C146" s="564"/>
      <c r="D146" s="2020"/>
      <c r="E146" s="2023" t="s">
        <v>4987</v>
      </c>
      <c r="F146" s="593">
        <f>Y146</f>
        <v>1000</v>
      </c>
      <c r="G146" s="526">
        <v>1000</v>
      </c>
      <c r="H146" s="534"/>
      <c r="I146" s="3253"/>
      <c r="J146" s="3254" t="s">
        <v>4966</v>
      </c>
      <c r="K146" s="3253"/>
      <c r="L146" s="3253"/>
      <c r="M146" s="3253"/>
      <c r="N146" s="3253"/>
      <c r="O146" s="3253"/>
      <c r="P146" s="3253"/>
      <c r="Q146" s="3109"/>
      <c r="R146" s="552"/>
      <c r="S146" s="3108">
        <v>100000</v>
      </c>
      <c r="T146" s="3255" t="s">
        <v>4950</v>
      </c>
      <c r="U146" s="3255"/>
      <c r="V146" s="3255">
        <v>10</v>
      </c>
      <c r="W146" s="3255" t="s">
        <v>4965</v>
      </c>
      <c r="X146" s="2030" t="s">
        <v>4952</v>
      </c>
      <c r="Y146" s="3339">
        <f>Z146/1000</f>
        <v>1000</v>
      </c>
      <c r="Z146" s="555">
        <f>S146*V146</f>
        <v>1000000</v>
      </c>
      <c r="AA146" s="434"/>
      <c r="AB146" s="449">
        <f t="shared" si="40"/>
        <v>1000000000000</v>
      </c>
      <c r="AC146" s="449">
        <f t="shared" si="41"/>
        <v>1000000000000</v>
      </c>
      <c r="AD146" s="452">
        <f t="shared" si="42"/>
        <v>0</v>
      </c>
    </row>
    <row r="147" spans="1:30" s="191" customFormat="1" ht="22.5" customHeight="1">
      <c r="A147" s="2302"/>
      <c r="B147" s="2129"/>
      <c r="C147" s="564"/>
      <c r="D147" s="2020"/>
      <c r="E147" s="2023" t="s">
        <v>4988</v>
      </c>
      <c r="F147" s="593">
        <f>Y147</f>
        <v>1800</v>
      </c>
      <c r="G147" s="526">
        <v>1800</v>
      </c>
      <c r="H147" s="534"/>
      <c r="I147" s="3253"/>
      <c r="J147" s="3254" t="s">
        <v>4967</v>
      </c>
      <c r="K147" s="3253"/>
      <c r="L147" s="3253"/>
      <c r="M147" s="3253"/>
      <c r="N147" s="3253"/>
      <c r="O147" s="3253"/>
      <c r="P147" s="3253"/>
      <c r="Q147" s="556">
        <v>2</v>
      </c>
      <c r="R147" s="3180" t="s">
        <v>4949</v>
      </c>
      <c r="S147" s="3108">
        <v>30000</v>
      </c>
      <c r="T147" s="3255" t="s">
        <v>4950</v>
      </c>
      <c r="U147" s="3255"/>
      <c r="V147" s="3255">
        <v>30</v>
      </c>
      <c r="W147" s="3255" t="s">
        <v>4962</v>
      </c>
      <c r="X147" s="2030" t="s">
        <v>4952</v>
      </c>
      <c r="Y147" s="3339">
        <f t="shared" si="43"/>
        <v>1800</v>
      </c>
      <c r="Z147" s="555">
        <f>Q147*S147*V147</f>
        <v>1800000</v>
      </c>
      <c r="AA147" s="434"/>
      <c r="AB147" s="449">
        <f t="shared" si="40"/>
        <v>1800000000000</v>
      </c>
      <c r="AC147" s="449">
        <f t="shared" si="41"/>
        <v>1800000000000</v>
      </c>
      <c r="AD147" s="452">
        <f t="shared" si="42"/>
        <v>0</v>
      </c>
    </row>
    <row r="148" spans="1:30" s="191" customFormat="1" ht="22.5" customHeight="1">
      <c r="A148" s="2302"/>
      <c r="B148" s="2129"/>
      <c r="C148" s="564"/>
      <c r="D148" s="2020"/>
      <c r="E148" s="2023" t="s">
        <v>4989</v>
      </c>
      <c r="F148" s="593">
        <f>Y148</f>
        <v>11400</v>
      </c>
      <c r="G148" s="526">
        <v>11400</v>
      </c>
      <c r="H148" s="534"/>
      <c r="I148" s="3253"/>
      <c r="J148" s="3254" t="s">
        <v>4947</v>
      </c>
      <c r="K148" s="3253"/>
      <c r="L148" s="3253"/>
      <c r="M148" s="3253"/>
      <c r="N148" s="3253"/>
      <c r="O148" s="3253"/>
      <c r="P148" s="3253"/>
      <c r="Q148" s="556"/>
      <c r="R148" s="3249"/>
      <c r="S148" s="3108"/>
      <c r="T148" s="3255"/>
      <c r="U148" s="3255"/>
      <c r="V148" s="3255"/>
      <c r="W148" s="3255"/>
      <c r="X148" s="2030"/>
      <c r="Y148" s="3339">
        <f t="shared" si="43"/>
        <v>11400</v>
      </c>
      <c r="Z148" s="555">
        <f>SUM(Z149:Z151)</f>
        <v>11400000</v>
      </c>
      <c r="AA148" s="434"/>
      <c r="AB148" s="449">
        <f t="shared" si="40"/>
        <v>11400000000000</v>
      </c>
      <c r="AC148" s="449">
        <f t="shared" si="41"/>
        <v>11400000000000</v>
      </c>
      <c r="AD148" s="452">
        <f t="shared" si="42"/>
        <v>0</v>
      </c>
    </row>
    <row r="149" spans="1:30" s="191" customFormat="1" ht="22.5" customHeight="1">
      <c r="A149" s="2302"/>
      <c r="B149" s="2129"/>
      <c r="C149" s="564"/>
      <c r="D149" s="2020"/>
      <c r="E149" s="2023"/>
      <c r="F149" s="526"/>
      <c r="G149" s="526"/>
      <c r="H149" s="534"/>
      <c r="I149" s="3253"/>
      <c r="J149" s="3254" t="s">
        <v>4968</v>
      </c>
      <c r="K149" s="3253"/>
      <c r="L149" s="3253"/>
      <c r="M149" s="3253"/>
      <c r="N149" s="3253"/>
      <c r="O149" s="3253"/>
      <c r="P149" s="3253"/>
      <c r="Q149" s="556"/>
      <c r="R149" s="3249"/>
      <c r="S149" s="3108">
        <v>300000</v>
      </c>
      <c r="T149" s="3255" t="s">
        <v>0</v>
      </c>
      <c r="U149" s="3255"/>
      <c r="V149" s="3255">
        <v>12</v>
      </c>
      <c r="W149" s="3255" t="s">
        <v>3</v>
      </c>
      <c r="X149" s="2030" t="s">
        <v>1</v>
      </c>
      <c r="Y149" s="3339">
        <f t="shared" si="43"/>
        <v>3600</v>
      </c>
      <c r="Z149" s="555">
        <f>S149*V149</f>
        <v>3600000</v>
      </c>
      <c r="AA149" s="434"/>
      <c r="AB149" s="449">
        <f t="shared" si="40"/>
        <v>0</v>
      </c>
      <c r="AC149" s="449">
        <f t="shared" si="41"/>
        <v>0</v>
      </c>
      <c r="AD149" s="452">
        <f t="shared" si="42"/>
        <v>0</v>
      </c>
    </row>
    <row r="150" spans="1:30" s="191" customFormat="1" ht="22.5" customHeight="1">
      <c r="A150" s="2302"/>
      <c r="B150" s="2129"/>
      <c r="C150" s="564"/>
      <c r="D150" s="2020"/>
      <c r="E150" s="2023"/>
      <c r="F150" s="526"/>
      <c r="G150" s="526"/>
      <c r="H150" s="534"/>
      <c r="I150" s="3253"/>
      <c r="J150" s="3254" t="s">
        <v>4969</v>
      </c>
      <c r="K150" s="3253"/>
      <c r="L150" s="3253"/>
      <c r="M150" s="3253"/>
      <c r="N150" s="3253"/>
      <c r="O150" s="3253"/>
      <c r="P150" s="3253"/>
      <c r="Q150" s="556"/>
      <c r="R150" s="3249"/>
      <c r="S150" s="3108">
        <v>3000000</v>
      </c>
      <c r="T150" s="3255" t="s">
        <v>4950</v>
      </c>
      <c r="U150" s="3255"/>
      <c r="V150" s="3255">
        <v>1</v>
      </c>
      <c r="W150" s="3255" t="s">
        <v>4964</v>
      </c>
      <c r="X150" s="2030" t="s">
        <v>4952</v>
      </c>
      <c r="Y150" s="3339">
        <f t="shared" si="43"/>
        <v>3000</v>
      </c>
      <c r="Z150" s="555">
        <f>S150*V150</f>
        <v>3000000</v>
      </c>
      <c r="AA150" s="434"/>
      <c r="AB150" s="449">
        <f t="shared" si="40"/>
        <v>0</v>
      </c>
      <c r="AC150" s="449">
        <f t="shared" si="41"/>
        <v>0</v>
      </c>
      <c r="AD150" s="452">
        <f t="shared" si="42"/>
        <v>0</v>
      </c>
    </row>
    <row r="151" spans="1:30" s="191" customFormat="1" ht="22.5" customHeight="1">
      <c r="A151" s="2302"/>
      <c r="B151" s="2129"/>
      <c r="C151" s="564"/>
      <c r="D151" s="2020"/>
      <c r="E151" s="2023"/>
      <c r="F151" s="526"/>
      <c r="G151" s="526"/>
      <c r="H151" s="534"/>
      <c r="I151" s="3253"/>
      <c r="J151" s="3254" t="s">
        <v>4970</v>
      </c>
      <c r="K151" s="3253"/>
      <c r="L151" s="3253"/>
      <c r="M151" s="3253"/>
      <c r="N151" s="3253"/>
      <c r="O151" s="3253"/>
      <c r="P151" s="3253"/>
      <c r="Q151" s="556"/>
      <c r="R151" s="3249"/>
      <c r="S151" s="3108">
        <v>400000</v>
      </c>
      <c r="T151" s="3255" t="s">
        <v>4950</v>
      </c>
      <c r="U151" s="3255"/>
      <c r="V151" s="3255">
        <v>12</v>
      </c>
      <c r="W151" s="3255" t="s">
        <v>4962</v>
      </c>
      <c r="X151" s="2030" t="s">
        <v>4952</v>
      </c>
      <c r="Y151" s="3339">
        <f t="shared" si="43"/>
        <v>4800</v>
      </c>
      <c r="Z151" s="555">
        <f>S151*V151</f>
        <v>4800000</v>
      </c>
      <c r="AA151" s="434"/>
      <c r="AB151" s="449">
        <f t="shared" si="40"/>
        <v>0</v>
      </c>
      <c r="AC151" s="449">
        <f t="shared" si="41"/>
        <v>0</v>
      </c>
      <c r="AD151" s="452">
        <f t="shared" si="42"/>
        <v>0</v>
      </c>
    </row>
    <row r="152" spans="1:30" s="191" customFormat="1" ht="22.5" customHeight="1">
      <c r="A152" s="2302"/>
      <c r="B152" s="2129"/>
      <c r="C152" s="564"/>
      <c r="D152" s="2020"/>
      <c r="E152" s="2023" t="s">
        <v>4990</v>
      </c>
      <c r="F152" s="593">
        <f t="shared" ref="F152:F158" si="45">Y152</f>
        <v>5500</v>
      </c>
      <c r="G152" s="526">
        <v>5500</v>
      </c>
      <c r="H152" s="534"/>
      <c r="I152" s="3253"/>
      <c r="J152" s="3254" t="s">
        <v>4971</v>
      </c>
      <c r="K152" s="3253"/>
      <c r="L152" s="3253"/>
      <c r="M152" s="3253"/>
      <c r="N152" s="3253"/>
      <c r="O152" s="3253"/>
      <c r="P152" s="3253"/>
      <c r="Q152" s="3109" t="s">
        <v>4972</v>
      </c>
      <c r="R152" s="552" t="s">
        <v>4972</v>
      </c>
      <c r="S152" s="3108">
        <v>5500000</v>
      </c>
      <c r="T152" s="3255" t="s">
        <v>4950</v>
      </c>
      <c r="U152" s="3255"/>
      <c r="V152" s="3255">
        <v>1</v>
      </c>
      <c r="W152" s="3255" t="s">
        <v>4964</v>
      </c>
      <c r="X152" s="2030" t="str">
        <f>X151</f>
        <v>=</v>
      </c>
      <c r="Y152" s="3339">
        <v>5500</v>
      </c>
      <c r="Z152" s="555"/>
      <c r="AA152" s="434"/>
      <c r="AB152" s="449">
        <f t="shared" si="40"/>
        <v>5500000000000</v>
      </c>
      <c r="AC152" s="449">
        <f t="shared" si="41"/>
        <v>5500000000000</v>
      </c>
      <c r="AD152" s="452">
        <f t="shared" si="42"/>
        <v>0</v>
      </c>
    </row>
    <row r="153" spans="1:30" s="191" customFormat="1" ht="22.5" customHeight="1">
      <c r="A153" s="2302"/>
      <c r="B153" s="2129"/>
      <c r="C153" s="564"/>
      <c r="D153" s="2020"/>
      <c r="E153" s="2023" t="s">
        <v>4991</v>
      </c>
      <c r="F153" s="593">
        <f t="shared" si="45"/>
        <v>3000</v>
      </c>
      <c r="G153" s="526">
        <v>3000</v>
      </c>
      <c r="H153" s="534"/>
      <c r="I153" s="3253"/>
      <c r="J153" s="3254" t="s">
        <v>4973</v>
      </c>
      <c r="K153" s="3253"/>
      <c r="L153" s="3253"/>
      <c r="M153" s="3253"/>
      <c r="N153" s="3253"/>
      <c r="O153" s="3253"/>
      <c r="P153" s="3253"/>
      <c r="Q153" s="3109"/>
      <c r="R153" s="552"/>
      <c r="S153" s="3108">
        <v>300000</v>
      </c>
      <c r="T153" s="3255" t="s">
        <v>4950</v>
      </c>
      <c r="U153" s="3255"/>
      <c r="V153" s="3255">
        <v>10</v>
      </c>
      <c r="W153" s="3255" t="s">
        <v>4965</v>
      </c>
      <c r="X153" s="2030" t="s">
        <v>4952</v>
      </c>
      <c r="Y153" s="3339">
        <f>Z153/1000</f>
        <v>3000</v>
      </c>
      <c r="Z153" s="555">
        <f>S153*V153</f>
        <v>3000000</v>
      </c>
      <c r="AA153" s="434"/>
      <c r="AB153" s="449">
        <f t="shared" si="40"/>
        <v>3000000000000</v>
      </c>
      <c r="AC153" s="449">
        <f t="shared" si="41"/>
        <v>3000000000000</v>
      </c>
      <c r="AD153" s="452">
        <f t="shared" si="42"/>
        <v>0</v>
      </c>
    </row>
    <row r="154" spans="1:30" s="191" customFormat="1" ht="22.5" customHeight="1">
      <c r="A154" s="2302"/>
      <c r="B154" s="2129"/>
      <c r="C154" s="564"/>
      <c r="D154" s="2020"/>
      <c r="E154" s="2023" t="s">
        <v>4992</v>
      </c>
      <c r="F154" s="593">
        <f t="shared" si="45"/>
        <v>0</v>
      </c>
      <c r="G154" s="526">
        <v>23818.03</v>
      </c>
      <c r="H154" s="534">
        <f>F154-G154</f>
        <v>-23818.03</v>
      </c>
      <c r="I154" s="3253"/>
      <c r="J154" s="3254" t="s">
        <v>4974</v>
      </c>
      <c r="K154" s="3253"/>
      <c r="L154" s="3253"/>
      <c r="M154" s="3253"/>
      <c r="N154" s="3253"/>
      <c r="O154" s="3253"/>
      <c r="P154" s="3253"/>
      <c r="Q154" s="3109"/>
      <c r="R154" s="552"/>
      <c r="S154" s="3108">
        <v>23818030</v>
      </c>
      <c r="T154" s="3255" t="s">
        <v>4950</v>
      </c>
      <c r="U154" s="3255"/>
      <c r="V154" s="3255">
        <v>0</v>
      </c>
      <c r="W154" s="3255" t="s">
        <v>4964</v>
      </c>
      <c r="X154" s="2030" t="s">
        <v>4952</v>
      </c>
      <c r="Y154" s="3339">
        <f>Z154/1000</f>
        <v>0</v>
      </c>
      <c r="Z154" s="555">
        <f>S154*V154</f>
        <v>0</v>
      </c>
      <c r="AA154" s="434"/>
      <c r="AB154" s="449">
        <f t="shared" si="40"/>
        <v>0</v>
      </c>
      <c r="AC154" s="449">
        <f t="shared" si="41"/>
        <v>23818030000000</v>
      </c>
      <c r="AD154" s="452">
        <f t="shared" si="42"/>
        <v>-23818030000000</v>
      </c>
    </row>
    <row r="155" spans="1:30" s="191" customFormat="1" ht="22.5" customHeight="1">
      <c r="A155" s="2302"/>
      <c r="B155" s="2129"/>
      <c r="C155" s="564"/>
      <c r="D155" s="2020"/>
      <c r="E155" s="2023" t="s">
        <v>4993</v>
      </c>
      <c r="F155" s="593">
        <f t="shared" si="45"/>
        <v>3200</v>
      </c>
      <c r="G155" s="526">
        <v>3200</v>
      </c>
      <c r="H155" s="534"/>
      <c r="I155" s="3253"/>
      <c r="J155" s="3254" t="s">
        <v>4975</v>
      </c>
      <c r="K155" s="3253"/>
      <c r="L155" s="3253"/>
      <c r="M155" s="3253"/>
      <c r="N155" s="3253"/>
      <c r="O155" s="3253"/>
      <c r="P155" s="3253"/>
      <c r="Q155" s="3109"/>
      <c r="R155" s="552"/>
      <c r="S155" s="3108">
        <v>4000</v>
      </c>
      <c r="T155" s="3255" t="s">
        <v>4950</v>
      </c>
      <c r="U155" s="3255"/>
      <c r="V155" s="3255">
        <v>800</v>
      </c>
      <c r="W155" s="3255" t="s">
        <v>4976</v>
      </c>
      <c r="X155" s="2030" t="s">
        <v>4952</v>
      </c>
      <c r="Y155" s="3339">
        <f>Z155/1000</f>
        <v>3200</v>
      </c>
      <c r="Z155" s="555">
        <f>S155*V155</f>
        <v>3200000</v>
      </c>
      <c r="AA155" s="434"/>
      <c r="AB155" s="449">
        <f t="shared" si="40"/>
        <v>3200000000000</v>
      </c>
      <c r="AC155" s="449">
        <f t="shared" si="41"/>
        <v>3200000000000</v>
      </c>
      <c r="AD155" s="452">
        <f t="shared" si="42"/>
        <v>0</v>
      </c>
    </row>
    <row r="156" spans="1:30" s="191" customFormat="1" ht="22.5" customHeight="1">
      <c r="A156" s="2302"/>
      <c r="B156" s="2129"/>
      <c r="C156" s="564"/>
      <c r="D156" s="2020"/>
      <c r="E156" s="2023" t="s">
        <v>4994</v>
      </c>
      <c r="F156" s="593">
        <f t="shared" si="45"/>
        <v>3000</v>
      </c>
      <c r="G156" s="526">
        <v>3000</v>
      </c>
      <c r="H156" s="534"/>
      <c r="I156" s="3253"/>
      <c r="J156" s="3254" t="s">
        <v>4977</v>
      </c>
      <c r="K156" s="3253"/>
      <c r="L156" s="3253"/>
      <c r="M156" s="3253"/>
      <c r="N156" s="3253"/>
      <c r="O156" s="3253"/>
      <c r="P156" s="3253"/>
      <c r="Q156" s="3109"/>
      <c r="R156" s="552"/>
      <c r="S156" s="3108">
        <v>500000</v>
      </c>
      <c r="T156" s="3255" t="s">
        <v>4950</v>
      </c>
      <c r="U156" s="3255"/>
      <c r="V156" s="3255">
        <v>6</v>
      </c>
      <c r="W156" s="3255" t="s">
        <v>4962</v>
      </c>
      <c r="X156" s="2030" t="s">
        <v>4952</v>
      </c>
      <c r="Y156" s="3339">
        <f t="shared" si="43"/>
        <v>3000</v>
      </c>
      <c r="Z156" s="555">
        <f t="shared" ref="Z156" si="46">S156*V156</f>
        <v>3000000</v>
      </c>
      <c r="AA156" s="434"/>
      <c r="AB156" s="449">
        <f t="shared" si="40"/>
        <v>3000000000000</v>
      </c>
      <c r="AC156" s="449">
        <f t="shared" si="41"/>
        <v>3000000000000</v>
      </c>
      <c r="AD156" s="452">
        <f t="shared" si="42"/>
        <v>0</v>
      </c>
    </row>
    <row r="157" spans="1:30" s="191" customFormat="1" ht="22.5" customHeight="1">
      <c r="A157" s="2302"/>
      <c r="B157" s="2129"/>
      <c r="C157" s="564"/>
      <c r="D157" s="2020"/>
      <c r="E157" s="2023" t="s">
        <v>4995</v>
      </c>
      <c r="F157" s="593">
        <f t="shared" si="45"/>
        <v>2000</v>
      </c>
      <c r="G157" s="526">
        <v>2000</v>
      </c>
      <c r="H157" s="534"/>
      <c r="I157" s="3253"/>
      <c r="J157" s="3254" t="s">
        <v>4978</v>
      </c>
      <c r="K157" s="3253"/>
      <c r="L157" s="3253"/>
      <c r="M157" s="3253"/>
      <c r="N157" s="3253"/>
      <c r="O157" s="3253"/>
      <c r="P157" s="3253"/>
      <c r="Q157" s="556">
        <v>5</v>
      </c>
      <c r="R157" s="3249" t="s">
        <v>4949</v>
      </c>
      <c r="S157" s="3108">
        <v>20000</v>
      </c>
      <c r="T157" s="3255" t="s">
        <v>4950</v>
      </c>
      <c r="U157" s="3255"/>
      <c r="V157" s="3255">
        <v>20</v>
      </c>
      <c r="W157" s="3255" t="s">
        <v>4979</v>
      </c>
      <c r="X157" s="2030" t="s">
        <v>4952</v>
      </c>
      <c r="Y157" s="3339">
        <f t="shared" ref="Y157" si="47">(Z157)/1000</f>
        <v>2000</v>
      </c>
      <c r="Z157" s="555">
        <f>Q157*S157*V157</f>
        <v>2000000</v>
      </c>
      <c r="AA157" s="434"/>
      <c r="AB157" s="449">
        <f t="shared" si="40"/>
        <v>2000000000000</v>
      </c>
      <c r="AC157" s="449">
        <f t="shared" si="41"/>
        <v>2000000000000</v>
      </c>
      <c r="AD157" s="452">
        <f t="shared" si="42"/>
        <v>0</v>
      </c>
    </row>
    <row r="158" spans="1:30" s="191" customFormat="1" ht="22.5" customHeight="1">
      <c r="A158" s="2302"/>
      <c r="B158" s="2129"/>
      <c r="C158" s="564"/>
      <c r="D158" s="2020"/>
      <c r="E158" s="2023" t="s">
        <v>4996</v>
      </c>
      <c r="F158" s="593">
        <f t="shared" si="45"/>
        <v>22500</v>
      </c>
      <c r="G158" s="526">
        <v>22500</v>
      </c>
      <c r="H158" s="534"/>
      <c r="I158" s="3253"/>
      <c r="J158" s="3254" t="s">
        <v>4947</v>
      </c>
      <c r="K158" s="3253"/>
      <c r="L158" s="3253"/>
      <c r="M158" s="3253"/>
      <c r="N158" s="3253"/>
      <c r="O158" s="3253"/>
      <c r="P158" s="3253"/>
      <c r="Q158" s="3109" t="s">
        <v>4972</v>
      </c>
      <c r="R158" s="552" t="s">
        <v>4972</v>
      </c>
      <c r="S158" s="3108"/>
      <c r="T158" s="3255"/>
      <c r="U158" s="3255"/>
      <c r="V158" s="3255"/>
      <c r="W158" s="3255"/>
      <c r="X158" s="2030"/>
      <c r="Y158" s="3339">
        <f>Z158/1000</f>
        <v>22500</v>
      </c>
      <c r="Z158" s="555">
        <f>SUM(Z159:Z160)</f>
        <v>22500000</v>
      </c>
      <c r="AA158" s="434"/>
      <c r="AB158" s="449">
        <f t="shared" si="40"/>
        <v>22500000000000</v>
      </c>
      <c r="AC158" s="449">
        <f t="shared" si="41"/>
        <v>22500000000000</v>
      </c>
      <c r="AD158" s="452">
        <f t="shared" si="42"/>
        <v>0</v>
      </c>
    </row>
    <row r="159" spans="1:30" s="188" customFormat="1" ht="22.5" customHeight="1">
      <c r="A159" s="2302"/>
      <c r="B159" s="2129"/>
      <c r="C159" s="564"/>
      <c r="D159" s="2020"/>
      <c r="E159" s="2023"/>
      <c r="F159" s="526"/>
      <c r="G159" s="526"/>
      <c r="H159" s="534"/>
      <c r="I159" s="3253"/>
      <c r="J159" s="3254" t="s">
        <v>4980</v>
      </c>
      <c r="K159" s="3253"/>
      <c r="L159" s="3253"/>
      <c r="M159" s="3253"/>
      <c r="N159" s="3253"/>
      <c r="O159" s="3253"/>
      <c r="P159" s="3253"/>
      <c r="Q159" s="556"/>
      <c r="R159" s="3249"/>
      <c r="S159" s="3108">
        <v>100000</v>
      </c>
      <c r="T159" s="3255" t="s">
        <v>4950</v>
      </c>
      <c r="U159" s="3255"/>
      <c r="V159" s="3255">
        <v>200</v>
      </c>
      <c r="W159" s="3255" t="s">
        <v>4981</v>
      </c>
      <c r="X159" s="2030" t="s">
        <v>4952</v>
      </c>
      <c r="Y159" s="3339">
        <f>Z159/1000</f>
        <v>20000</v>
      </c>
      <c r="Z159" s="555">
        <f t="shared" ref="Z159:Z160" si="48">S159*V159</f>
        <v>20000000</v>
      </c>
      <c r="AA159" s="202"/>
      <c r="AB159" s="449">
        <f t="shared" si="40"/>
        <v>0</v>
      </c>
      <c r="AC159" s="449">
        <f t="shared" si="41"/>
        <v>0</v>
      </c>
      <c r="AD159" s="452">
        <f t="shared" si="42"/>
        <v>0</v>
      </c>
    </row>
    <row r="160" spans="1:30" ht="22.5" customHeight="1" thickBot="1">
      <c r="A160" s="3300"/>
      <c r="B160" s="3301"/>
      <c r="C160" s="3301"/>
      <c r="D160" s="3301"/>
      <c r="E160" s="3340"/>
      <c r="F160" s="469"/>
      <c r="G160" s="469"/>
      <c r="H160" s="643"/>
      <c r="I160" s="2075"/>
      <c r="J160" s="3341" t="s">
        <v>4982</v>
      </c>
      <c r="K160" s="3342"/>
      <c r="L160" s="3342"/>
      <c r="M160" s="3342"/>
      <c r="N160" s="3342"/>
      <c r="O160" s="3342"/>
      <c r="P160" s="3342"/>
      <c r="Q160" s="3343"/>
      <c r="R160" s="3344"/>
      <c r="S160" s="3345">
        <v>5000</v>
      </c>
      <c r="T160" s="3346" t="s">
        <v>4950</v>
      </c>
      <c r="U160" s="3346"/>
      <c r="V160" s="3346">
        <v>500</v>
      </c>
      <c r="W160" s="3346" t="s">
        <v>4981</v>
      </c>
      <c r="X160" s="3347" t="s">
        <v>4952</v>
      </c>
      <c r="Y160" s="3348">
        <f>Z160/1000</f>
        <v>2500</v>
      </c>
      <c r="Z160" s="1882">
        <f t="shared" si="48"/>
        <v>2500000</v>
      </c>
    </row>
  </sheetData>
  <autoFilter ref="A4:MB132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8">
    <mergeCell ref="D134:E134"/>
    <mergeCell ref="D127:E127"/>
    <mergeCell ref="C24:E24"/>
    <mergeCell ref="D25:E25"/>
    <mergeCell ref="D61:E61"/>
    <mergeCell ref="D96:E96"/>
    <mergeCell ref="D41:E41"/>
    <mergeCell ref="C7:E7"/>
    <mergeCell ref="D8:E8"/>
    <mergeCell ref="D54:E54"/>
    <mergeCell ref="A5:E5"/>
    <mergeCell ref="C133:E133"/>
    <mergeCell ref="A1:Y1"/>
    <mergeCell ref="A3:E3"/>
    <mergeCell ref="F3:F4"/>
    <mergeCell ref="G3:G4"/>
    <mergeCell ref="H3:H4"/>
    <mergeCell ref="J3:Y4"/>
  </mergeCells>
  <phoneticPr fontId="15" type="noConversion"/>
  <printOptions horizontalCentered="1"/>
  <pageMargins left="0.59055118110236227" right="0.59055118110236227" top="0.59055118110236227" bottom="0.59055118110236227" header="0.23622047244094491" footer="0.31496062992125984"/>
  <pageSetup paperSize="9" scale="52" firstPageNumber="28" fitToHeight="100" orientation="landscape" useFirstPageNumber="1" r:id="rId1"/>
  <headerFooter scaleWithDoc="0" alignWithMargins="0"/>
  <rowBreaks count="2" manualBreakCount="2">
    <brk id="52" max="24" man="1"/>
    <brk id="132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43"/>
  <sheetViews>
    <sheetView view="pageBreakPreview" zoomScale="70" zoomScaleNormal="100" zoomScaleSheetLayoutView="70" zoomScalePageLayoutView="77" workbookViewId="0">
      <pane ySplit="4" topLeftCell="A5" activePane="bottomLeft" state="frozen"/>
      <selection activeCell="F663" sqref="F663:G663"/>
      <selection pane="bottomLeft" activeCell="N14" sqref="N14"/>
    </sheetView>
  </sheetViews>
  <sheetFormatPr defaultRowHeight="18.75"/>
  <cols>
    <col min="1" max="4" width="6.77734375" style="249" customWidth="1"/>
    <col min="5" max="5" width="16" style="249" customWidth="1"/>
    <col min="6" max="7" width="14" style="259" customWidth="1"/>
    <col min="8" max="8" width="14" style="260" customWidth="1"/>
    <col min="9" max="9" width="1.5546875" style="261" customWidth="1"/>
    <col min="10" max="10" width="2.88671875" style="247" customWidth="1"/>
    <col min="11" max="11" width="1.88671875" style="249" customWidth="1"/>
    <col min="12" max="13" width="8.77734375" style="249" customWidth="1"/>
    <col min="14" max="14" width="10.77734375" style="249" customWidth="1"/>
    <col min="15" max="15" width="10" style="262" customWidth="1"/>
    <col min="16" max="16" width="12.21875" style="262" customWidth="1"/>
    <col min="17" max="17" width="7.77734375" style="249" customWidth="1"/>
    <col min="18" max="18" width="6.77734375" style="249" customWidth="1"/>
    <col min="19" max="19" width="18" style="249" customWidth="1"/>
    <col min="20" max="21" width="6.88671875" style="249" customWidth="1"/>
    <col min="22" max="22" width="8.33203125" style="249" bestFit="1" customWidth="1"/>
    <col min="23" max="23" width="6.77734375" style="249" customWidth="1"/>
    <col min="24" max="24" width="3" style="263" customWidth="1"/>
    <col min="25" max="25" width="14.77734375" style="264" customWidth="1"/>
    <col min="26" max="26" width="17.44140625" style="265" customWidth="1"/>
    <col min="27" max="27" width="24.109375" style="265" bestFit="1" customWidth="1"/>
    <col min="28" max="28" width="23" style="222" bestFit="1" customWidth="1"/>
    <col min="29" max="29" width="12.6640625" style="222" bestFit="1" customWidth="1"/>
    <col min="30" max="30" width="15" style="246" bestFit="1" customWidth="1"/>
    <col min="31" max="16384" width="8.88671875" style="246"/>
  </cols>
  <sheetData>
    <row r="1" spans="1:29" s="252" customFormat="1" ht="26.25" customHeight="1">
      <c r="A1" s="3847" t="s">
        <v>6110</v>
      </c>
      <c r="B1" s="3847"/>
      <c r="C1" s="3847"/>
      <c r="D1" s="3847"/>
      <c r="E1" s="3847"/>
      <c r="F1" s="3847"/>
      <c r="G1" s="3847"/>
      <c r="H1" s="3847"/>
      <c r="I1" s="3847"/>
      <c r="J1" s="3847"/>
      <c r="K1" s="3847"/>
      <c r="L1" s="3847"/>
      <c r="M1" s="3847"/>
      <c r="N1" s="3847"/>
      <c r="O1" s="3847"/>
      <c r="P1" s="3847"/>
      <c r="Q1" s="3847"/>
      <c r="R1" s="3847"/>
      <c r="S1" s="3847"/>
      <c r="T1" s="3847"/>
      <c r="U1" s="3847"/>
      <c r="V1" s="3847"/>
      <c r="W1" s="3847"/>
      <c r="X1" s="3847"/>
      <c r="Y1" s="3847"/>
      <c r="Z1" s="2139"/>
      <c r="AA1" s="255"/>
      <c r="AB1" s="251"/>
      <c r="AC1" s="251"/>
    </row>
    <row r="2" spans="1:29" s="252" customFormat="1" ht="19.5" thickBot="1">
      <c r="A2" s="2140"/>
      <c r="B2" s="2140"/>
      <c r="C2" s="944"/>
      <c r="D2" s="944"/>
      <c r="E2" s="915"/>
      <c r="F2" s="2141"/>
      <c r="G2" s="2141"/>
      <c r="H2" s="2142" t="s">
        <v>153</v>
      </c>
      <c r="I2" s="2143"/>
      <c r="J2" s="944" t="s">
        <v>20</v>
      </c>
      <c r="K2" s="944"/>
      <c r="L2" s="2144"/>
      <c r="M2" s="944"/>
      <c r="N2" s="944"/>
      <c r="O2" s="2145"/>
      <c r="P2" s="915"/>
      <c r="Q2" s="2146"/>
      <c r="R2" s="2140"/>
      <c r="S2" s="2140"/>
      <c r="T2" s="2140"/>
      <c r="U2" s="2140"/>
      <c r="V2" s="2140"/>
      <c r="W2" s="2140"/>
      <c r="X2" s="2147"/>
      <c r="Y2" s="869" t="s">
        <v>153</v>
      </c>
      <c r="Z2" s="1270"/>
      <c r="AA2" s="255"/>
      <c r="AB2" s="251"/>
      <c r="AC2" s="251"/>
    </row>
    <row r="3" spans="1:29" s="252" customFormat="1" ht="21.6" customHeight="1">
      <c r="A3" s="3848" t="s">
        <v>154</v>
      </c>
      <c r="B3" s="3849"/>
      <c r="C3" s="3849"/>
      <c r="D3" s="3849"/>
      <c r="E3" s="3850"/>
      <c r="F3" s="3851" t="s">
        <v>174</v>
      </c>
      <c r="G3" s="3811" t="s">
        <v>1077</v>
      </c>
      <c r="H3" s="3853" t="s">
        <v>155</v>
      </c>
      <c r="I3" s="855"/>
      <c r="J3" s="3855" t="s">
        <v>814</v>
      </c>
      <c r="K3" s="3856"/>
      <c r="L3" s="3856"/>
      <c r="M3" s="3856"/>
      <c r="N3" s="3856"/>
      <c r="O3" s="3856"/>
      <c r="P3" s="3856"/>
      <c r="Q3" s="3856"/>
      <c r="R3" s="3856"/>
      <c r="S3" s="3856"/>
      <c r="T3" s="3856"/>
      <c r="U3" s="3856"/>
      <c r="V3" s="3856"/>
      <c r="W3" s="3856"/>
      <c r="X3" s="3856"/>
      <c r="Y3" s="3857"/>
      <c r="Z3" s="2148"/>
      <c r="AA3" s="255"/>
      <c r="AB3" s="251"/>
      <c r="AC3" s="251"/>
    </row>
    <row r="4" spans="1:29" s="252" customFormat="1" ht="21.6" customHeight="1" thickBot="1">
      <c r="A4" s="2149" t="s">
        <v>815</v>
      </c>
      <c r="B4" s="2150" t="s">
        <v>1385</v>
      </c>
      <c r="C4" s="2151" t="s">
        <v>1386</v>
      </c>
      <c r="D4" s="2151" t="s">
        <v>1387</v>
      </c>
      <c r="E4" s="2151" t="s">
        <v>156</v>
      </c>
      <c r="F4" s="3852"/>
      <c r="G4" s="3812"/>
      <c r="H4" s="3854"/>
      <c r="I4" s="855"/>
      <c r="J4" s="3858"/>
      <c r="K4" s="3859"/>
      <c r="L4" s="3859"/>
      <c r="M4" s="3859"/>
      <c r="N4" s="3859"/>
      <c r="O4" s="3859"/>
      <c r="P4" s="3859"/>
      <c r="Q4" s="3859"/>
      <c r="R4" s="3859"/>
      <c r="S4" s="3859"/>
      <c r="T4" s="3859"/>
      <c r="U4" s="3859"/>
      <c r="V4" s="3859"/>
      <c r="W4" s="3859"/>
      <c r="X4" s="3859"/>
      <c r="Y4" s="3860"/>
      <c r="Z4" s="2152"/>
      <c r="AA4" s="255"/>
      <c r="AB4" s="251"/>
      <c r="AC4" s="251"/>
    </row>
    <row r="5" spans="1:29" s="252" customFormat="1" ht="21.95" customHeight="1" thickBot="1">
      <c r="A5" s="3842" t="s">
        <v>816</v>
      </c>
      <c r="B5" s="3843"/>
      <c r="C5" s="3843"/>
      <c r="D5" s="3843"/>
      <c r="E5" s="3844"/>
      <c r="F5" s="2153">
        <f>+F6+'1-3목적(경영본부사업)'!F6</f>
        <v>10969600</v>
      </c>
      <c r="G5" s="2153">
        <f>+G6+'1-3목적(경영본부사업)'!G6</f>
        <v>10969600</v>
      </c>
      <c r="H5" s="2154">
        <f>F5-G5</f>
        <v>0</v>
      </c>
      <c r="I5" s="855"/>
      <c r="J5" s="2155"/>
      <c r="K5" s="2156"/>
      <c r="L5" s="2156"/>
      <c r="M5" s="2157"/>
      <c r="N5" s="2158"/>
      <c r="O5" s="2156"/>
      <c r="P5" s="2156"/>
      <c r="Q5" s="2159"/>
      <c r="R5" s="2156"/>
      <c r="S5" s="2156"/>
      <c r="T5" s="2156"/>
      <c r="U5" s="2156"/>
      <c r="V5" s="2156"/>
      <c r="W5" s="2156"/>
      <c r="X5" s="2160"/>
      <c r="Y5" s="2161"/>
      <c r="Z5" s="2162"/>
      <c r="AA5" s="255"/>
      <c r="AB5" s="251"/>
      <c r="AC5" s="251"/>
    </row>
    <row r="6" spans="1:29" s="252" customFormat="1" ht="21.95" customHeight="1">
      <c r="A6" s="2163"/>
      <c r="B6" s="3502" t="s">
        <v>817</v>
      </c>
      <c r="C6" s="2164"/>
      <c r="D6" s="3495"/>
      <c r="E6" s="3503"/>
      <c r="F6" s="3497">
        <f>+F7</f>
        <v>7860600</v>
      </c>
      <c r="G6" s="3497">
        <f>+G7</f>
        <v>7860600</v>
      </c>
      <c r="H6" s="3498">
        <f>F6-G6</f>
        <v>0</v>
      </c>
      <c r="I6" s="2186"/>
      <c r="J6" s="1018"/>
      <c r="K6" s="978"/>
      <c r="L6" s="978"/>
      <c r="M6" s="3504"/>
      <c r="N6" s="3505"/>
      <c r="O6" s="978"/>
      <c r="P6" s="978"/>
      <c r="Q6" s="2043"/>
      <c r="R6" s="978"/>
      <c r="S6" s="978"/>
      <c r="T6" s="978"/>
      <c r="U6" s="978"/>
      <c r="V6" s="978"/>
      <c r="W6" s="978"/>
      <c r="X6" s="1025"/>
      <c r="Y6" s="981"/>
      <c r="Z6" s="982"/>
      <c r="AA6" s="255"/>
      <c r="AB6" s="251"/>
      <c r="AC6" s="251"/>
    </row>
    <row r="7" spans="1:29" s="254" customFormat="1" ht="21.95" customHeight="1">
      <c r="A7" s="2166"/>
      <c r="B7" s="3494"/>
      <c r="C7" s="3495" t="s">
        <v>817</v>
      </c>
      <c r="D7" s="3495"/>
      <c r="E7" s="3496" t="s">
        <v>20</v>
      </c>
      <c r="F7" s="3497">
        <f>+F8+F22+F138</f>
        <v>7860600</v>
      </c>
      <c r="G7" s="3497">
        <f>+G8+G22+G138</f>
        <v>7860600</v>
      </c>
      <c r="H7" s="3498">
        <f>F7-G7</f>
        <v>0</v>
      </c>
      <c r="I7" s="855"/>
      <c r="J7" s="3499"/>
      <c r="K7" s="1461"/>
      <c r="L7" s="1461"/>
      <c r="M7" s="1461"/>
      <c r="N7" s="1462"/>
      <c r="O7" s="1461"/>
      <c r="P7" s="1461"/>
      <c r="Q7" s="3500"/>
      <c r="R7" s="1461"/>
      <c r="S7" s="1461"/>
      <c r="T7" s="1461"/>
      <c r="U7" s="1461"/>
      <c r="V7" s="1461"/>
      <c r="W7" s="1461"/>
      <c r="X7" s="1463"/>
      <c r="Y7" s="1506"/>
      <c r="Z7" s="3501"/>
      <c r="AA7" s="255"/>
      <c r="AB7" s="253"/>
      <c r="AC7" s="253"/>
    </row>
    <row r="8" spans="1:29" s="252" customFormat="1" ht="21.95" customHeight="1">
      <c r="A8" s="2167"/>
      <c r="B8" s="850"/>
      <c r="C8" s="968"/>
      <c r="D8" s="1383" t="s">
        <v>81</v>
      </c>
      <c r="E8" s="2168"/>
      <c r="F8" s="2169">
        <f>SUM(F9:F21)</f>
        <v>5303600</v>
      </c>
      <c r="G8" s="2169">
        <f>SUM(G9:G21)</f>
        <v>5303600</v>
      </c>
      <c r="H8" s="990">
        <f>F8-G8</f>
        <v>0</v>
      </c>
      <c r="I8" s="855"/>
      <c r="J8" s="1018"/>
      <c r="K8" s="978"/>
      <c r="L8" s="978"/>
      <c r="M8" s="978"/>
      <c r="N8" s="979"/>
      <c r="O8" s="978"/>
      <c r="P8" s="978"/>
      <c r="Q8" s="1019"/>
      <c r="R8" s="978"/>
      <c r="S8" s="978"/>
      <c r="T8" s="978"/>
      <c r="U8" s="978"/>
      <c r="V8" s="978"/>
      <c r="W8" s="978"/>
      <c r="X8" s="1025"/>
      <c r="Y8" s="981"/>
      <c r="Z8" s="982"/>
      <c r="AA8" s="255"/>
      <c r="AB8" s="251"/>
      <c r="AC8" s="251"/>
    </row>
    <row r="9" spans="1:29" s="252" customFormat="1" ht="21.95" customHeight="1">
      <c r="A9" s="2167"/>
      <c r="B9" s="850"/>
      <c r="C9" s="968"/>
      <c r="D9" s="851"/>
      <c r="E9" s="852" t="s">
        <v>818</v>
      </c>
      <c r="F9" s="853">
        <f>Y9</f>
        <v>4300500</v>
      </c>
      <c r="G9" s="853">
        <v>4300500</v>
      </c>
      <c r="H9" s="854"/>
      <c r="I9" s="855"/>
      <c r="J9" s="856" t="s">
        <v>768</v>
      </c>
      <c r="K9" s="857"/>
      <c r="L9" s="2170"/>
      <c r="M9" s="857"/>
      <c r="N9" s="858"/>
      <c r="O9" s="858"/>
      <c r="P9" s="857"/>
      <c r="Q9" s="859"/>
      <c r="R9" s="857"/>
      <c r="S9" s="857"/>
      <c r="T9" s="857"/>
      <c r="U9" s="857"/>
      <c r="V9" s="857"/>
      <c r="W9" s="857"/>
      <c r="X9" s="860"/>
      <c r="Y9" s="861">
        <f>+INT(Z9/1000)</f>
        <v>4300500</v>
      </c>
      <c r="Z9" s="862">
        <f>+Z10+Z12+Z14+Z16</f>
        <v>4300500000</v>
      </c>
      <c r="AA9" s="255"/>
      <c r="AB9" s="251"/>
      <c r="AC9" s="251"/>
    </row>
    <row r="10" spans="1:29" s="252" customFormat="1" ht="21.95" customHeight="1">
      <c r="A10" s="849"/>
      <c r="B10" s="850"/>
      <c r="C10" s="851"/>
      <c r="D10" s="851"/>
      <c r="E10" s="851"/>
      <c r="F10" s="864"/>
      <c r="G10" s="864"/>
      <c r="H10" s="865"/>
      <c r="I10" s="855"/>
      <c r="J10" s="866"/>
      <c r="K10" s="867"/>
      <c r="L10" s="867" t="s">
        <v>819</v>
      </c>
      <c r="M10" s="870"/>
      <c r="N10" s="868"/>
      <c r="O10" s="868"/>
      <c r="P10" s="867"/>
      <c r="Q10" s="869" t="s">
        <v>20</v>
      </c>
      <c r="R10" s="867" t="s">
        <v>20</v>
      </c>
      <c r="S10" s="952"/>
      <c r="T10" s="867"/>
      <c r="U10" s="867"/>
      <c r="V10" s="867"/>
      <c r="W10" s="867"/>
      <c r="X10" s="870"/>
      <c r="Y10" s="871">
        <f t="shared" ref="Y10:Y19" si="0">+Z10/1000</f>
        <v>3649800</v>
      </c>
      <c r="Z10" s="872">
        <f>SUM(Z11:Z11)</f>
        <v>3649800000</v>
      </c>
      <c r="AA10" s="255"/>
      <c r="AB10" s="251"/>
      <c r="AC10" s="251"/>
    </row>
    <row r="11" spans="1:29" s="252" customFormat="1" ht="21.95" customHeight="1">
      <c r="A11" s="849"/>
      <c r="B11" s="850"/>
      <c r="C11" s="851"/>
      <c r="D11" s="851"/>
      <c r="E11" s="851"/>
      <c r="F11" s="864"/>
      <c r="G11" s="864"/>
      <c r="H11" s="865"/>
      <c r="I11" s="855"/>
      <c r="J11" s="866"/>
      <c r="K11" s="867"/>
      <c r="L11" s="2082" t="s">
        <v>1791</v>
      </c>
      <c r="M11" s="682"/>
      <c r="N11" s="2171"/>
      <c r="O11" s="867"/>
      <c r="P11" s="867"/>
      <c r="Q11" s="869">
        <v>77</v>
      </c>
      <c r="R11" s="867" t="s">
        <v>25</v>
      </c>
      <c r="S11" s="868">
        <v>3950000</v>
      </c>
      <c r="T11" s="867" t="s">
        <v>0</v>
      </c>
      <c r="U11" s="867"/>
      <c r="V11" s="867">
        <v>12</v>
      </c>
      <c r="W11" s="867" t="s">
        <v>2</v>
      </c>
      <c r="X11" s="870" t="s">
        <v>1</v>
      </c>
      <c r="Y11" s="871">
        <f t="shared" si="0"/>
        <v>3649800</v>
      </c>
      <c r="Z11" s="871">
        <f>ROUNDUP(S11*Q11*V11,-3)</f>
        <v>3649800000</v>
      </c>
      <c r="AA11" s="255"/>
      <c r="AB11" s="251"/>
      <c r="AC11" s="251"/>
    </row>
    <row r="12" spans="1:29" s="252" customFormat="1" ht="21.95" customHeight="1">
      <c r="A12" s="849"/>
      <c r="B12" s="850"/>
      <c r="C12" s="851"/>
      <c r="D12" s="851"/>
      <c r="E12" s="851"/>
      <c r="F12" s="864"/>
      <c r="G12" s="864"/>
      <c r="H12" s="865"/>
      <c r="I12" s="855"/>
      <c r="J12" s="866"/>
      <c r="K12" s="867"/>
      <c r="L12" s="867" t="s">
        <v>820</v>
      </c>
      <c r="M12" s="870"/>
      <c r="N12" s="2171"/>
      <c r="O12" s="2143"/>
      <c r="P12" s="2143"/>
      <c r="Q12" s="2172"/>
      <c r="R12" s="2173"/>
      <c r="S12" s="2143"/>
      <c r="T12" s="2173"/>
      <c r="U12" s="2143"/>
      <c r="V12" s="2143"/>
      <c r="W12" s="2143"/>
      <c r="X12" s="870"/>
      <c r="Y12" s="871">
        <f t="shared" si="0"/>
        <v>466200</v>
      </c>
      <c r="Z12" s="871">
        <f>SUM(Z13:Z13)</f>
        <v>466200000</v>
      </c>
      <c r="AA12" s="255"/>
      <c r="AB12" s="251"/>
      <c r="AC12" s="251"/>
    </row>
    <row r="13" spans="1:29" s="252" customFormat="1" ht="21.95" customHeight="1">
      <c r="A13" s="849"/>
      <c r="B13" s="850"/>
      <c r="C13" s="851"/>
      <c r="D13" s="851"/>
      <c r="E13" s="851"/>
      <c r="F13" s="864"/>
      <c r="G13" s="864"/>
      <c r="H13" s="865"/>
      <c r="I13" s="855"/>
      <c r="J13" s="866"/>
      <c r="K13" s="867"/>
      <c r="L13" s="2082" t="s">
        <v>1791</v>
      </c>
      <c r="M13" s="682"/>
      <c r="N13" s="2171"/>
      <c r="O13" s="867"/>
      <c r="P13" s="867"/>
      <c r="Q13" s="869">
        <v>77</v>
      </c>
      <c r="R13" s="867" t="s">
        <v>25</v>
      </c>
      <c r="S13" s="868">
        <v>504545.45454545453</v>
      </c>
      <c r="T13" s="867" t="s">
        <v>0</v>
      </c>
      <c r="U13" s="867"/>
      <c r="V13" s="867">
        <v>12</v>
      </c>
      <c r="W13" s="867" t="s">
        <v>2</v>
      </c>
      <c r="X13" s="870" t="s">
        <v>1</v>
      </c>
      <c r="Y13" s="871">
        <f t="shared" si="0"/>
        <v>466200</v>
      </c>
      <c r="Z13" s="871">
        <f>ROUNDUP(S13*Q13*V13,-3)</f>
        <v>466200000</v>
      </c>
      <c r="AA13" s="255"/>
      <c r="AB13" s="251"/>
      <c r="AC13" s="251"/>
    </row>
    <row r="14" spans="1:29" s="252" customFormat="1" ht="21.95" customHeight="1">
      <c r="A14" s="849"/>
      <c r="B14" s="850"/>
      <c r="C14" s="851"/>
      <c r="D14" s="851"/>
      <c r="E14" s="851"/>
      <c r="F14" s="864"/>
      <c r="G14" s="864"/>
      <c r="H14" s="865"/>
      <c r="I14" s="855"/>
      <c r="J14" s="866"/>
      <c r="K14" s="867"/>
      <c r="L14" s="867" t="s">
        <v>821</v>
      </c>
      <c r="M14" s="682"/>
      <c r="N14" s="2171"/>
      <c r="O14" s="867"/>
      <c r="P14" s="867"/>
      <c r="Q14" s="869"/>
      <c r="R14" s="867"/>
      <c r="S14" s="868"/>
      <c r="T14" s="867"/>
      <c r="U14" s="867"/>
      <c r="V14" s="867"/>
      <c r="W14" s="867"/>
      <c r="X14" s="870"/>
      <c r="Y14" s="871">
        <f>+Y15</f>
        <v>36000</v>
      </c>
      <c r="Z14" s="871">
        <f>+Z15</f>
        <v>36000000</v>
      </c>
      <c r="AA14" s="255"/>
      <c r="AB14" s="251"/>
      <c r="AC14" s="251"/>
    </row>
    <row r="15" spans="1:29" s="252" customFormat="1" ht="21.95" customHeight="1">
      <c r="A15" s="849"/>
      <c r="B15" s="850"/>
      <c r="C15" s="851"/>
      <c r="D15" s="851"/>
      <c r="E15" s="851"/>
      <c r="F15" s="864"/>
      <c r="G15" s="864"/>
      <c r="H15" s="865"/>
      <c r="I15" s="855"/>
      <c r="J15" s="866"/>
      <c r="K15" s="867"/>
      <c r="L15" s="2082" t="s">
        <v>1791</v>
      </c>
      <c r="M15" s="682"/>
      <c r="N15" s="2171"/>
      <c r="O15" s="867"/>
      <c r="P15" s="867"/>
      <c r="Q15" s="869">
        <v>10</v>
      </c>
      <c r="R15" s="867" t="s">
        <v>25</v>
      </c>
      <c r="S15" s="868">
        <v>300000</v>
      </c>
      <c r="T15" s="867" t="s">
        <v>0</v>
      </c>
      <c r="U15" s="867"/>
      <c r="V15" s="867">
        <v>12</v>
      </c>
      <c r="W15" s="867" t="s">
        <v>2</v>
      </c>
      <c r="X15" s="870" t="s">
        <v>1</v>
      </c>
      <c r="Y15" s="871">
        <f t="shared" ref="Y15" si="1">+Z15/1000</f>
        <v>36000</v>
      </c>
      <c r="Z15" s="871">
        <f>ROUNDUP(S15*Q15*V15,-3)</f>
        <v>36000000</v>
      </c>
      <c r="AA15" s="255"/>
      <c r="AB15" s="251"/>
      <c r="AC15" s="251"/>
    </row>
    <row r="16" spans="1:29" s="252" customFormat="1" ht="21.95" customHeight="1">
      <c r="A16" s="849"/>
      <c r="B16" s="850"/>
      <c r="C16" s="851"/>
      <c r="D16" s="851"/>
      <c r="E16" s="851"/>
      <c r="F16" s="864"/>
      <c r="G16" s="864"/>
      <c r="H16" s="865"/>
      <c r="I16" s="855"/>
      <c r="J16" s="866"/>
      <c r="K16" s="867"/>
      <c r="L16" s="867" t="s">
        <v>822</v>
      </c>
      <c r="M16" s="870"/>
      <c r="N16" s="868"/>
      <c r="O16" s="868"/>
      <c r="P16" s="867"/>
      <c r="Q16" s="869" t="s">
        <v>20</v>
      </c>
      <c r="R16" s="867" t="s">
        <v>20</v>
      </c>
      <c r="S16" s="952"/>
      <c r="T16" s="867"/>
      <c r="U16" s="867"/>
      <c r="V16" s="867"/>
      <c r="W16" s="867"/>
      <c r="X16" s="870"/>
      <c r="Y16" s="871">
        <f t="shared" si="0"/>
        <v>148500</v>
      </c>
      <c r="Z16" s="872">
        <f>+Z17</f>
        <v>148500000</v>
      </c>
      <c r="AA16" s="255"/>
      <c r="AB16" s="251"/>
      <c r="AC16" s="251"/>
    </row>
    <row r="17" spans="1:29" s="252" customFormat="1" ht="21.95" customHeight="1">
      <c r="A17" s="849"/>
      <c r="B17" s="850"/>
      <c r="C17" s="851"/>
      <c r="D17" s="851"/>
      <c r="E17" s="851"/>
      <c r="F17" s="864"/>
      <c r="G17" s="864"/>
      <c r="H17" s="865"/>
      <c r="I17" s="855"/>
      <c r="J17" s="866"/>
      <c r="K17" s="867"/>
      <c r="L17" s="2082" t="s">
        <v>1791</v>
      </c>
      <c r="M17" s="682"/>
      <c r="N17" s="2171"/>
      <c r="O17" s="867"/>
      <c r="P17" s="867"/>
      <c r="Q17" s="869">
        <v>77</v>
      </c>
      <c r="R17" s="867" t="s">
        <v>25</v>
      </c>
      <c r="S17" s="868">
        <v>1928571.4285714286</v>
      </c>
      <c r="T17" s="867" t="s">
        <v>0</v>
      </c>
      <c r="U17" s="867"/>
      <c r="V17" s="867">
        <v>1</v>
      </c>
      <c r="W17" s="867" t="s">
        <v>764</v>
      </c>
      <c r="X17" s="870" t="s">
        <v>1</v>
      </c>
      <c r="Y17" s="871">
        <f t="shared" si="0"/>
        <v>148500</v>
      </c>
      <c r="Z17" s="871">
        <f>ROUNDUP(S17*Q17*V17,-3)</f>
        <v>148500000</v>
      </c>
      <c r="AA17" s="255"/>
      <c r="AB17" s="251"/>
      <c r="AC17" s="251"/>
    </row>
    <row r="18" spans="1:29" s="252" customFormat="1" ht="21.95" customHeight="1">
      <c r="A18" s="849"/>
      <c r="B18" s="850"/>
      <c r="C18" s="851"/>
      <c r="D18" s="851"/>
      <c r="E18" s="1003" t="s">
        <v>158</v>
      </c>
      <c r="F18" s="2174">
        <f>+Z18</f>
        <v>514500</v>
      </c>
      <c r="G18" s="2174">
        <v>514500</v>
      </c>
      <c r="H18" s="984"/>
      <c r="I18" s="855"/>
      <c r="J18" s="1009" t="s">
        <v>1567</v>
      </c>
      <c r="K18" s="1009"/>
      <c r="L18" s="1009"/>
      <c r="M18" s="1009"/>
      <c r="N18" s="1010"/>
      <c r="O18" s="1010"/>
      <c r="P18" s="1009"/>
      <c r="Q18" s="2175"/>
      <c r="R18" s="1009"/>
      <c r="S18" s="1010">
        <f>+(Z11+Z13)</f>
        <v>4116000000</v>
      </c>
      <c r="T18" s="1009" t="s">
        <v>159</v>
      </c>
      <c r="U18" s="1103">
        <v>12</v>
      </c>
      <c r="V18" s="1009" t="s">
        <v>160</v>
      </c>
      <c r="W18" s="2176">
        <v>1.5</v>
      </c>
      <c r="X18" s="1422" t="s">
        <v>1</v>
      </c>
      <c r="Y18" s="965">
        <f>Z18</f>
        <v>514500</v>
      </c>
      <c r="Z18" s="1011">
        <f>(+S18/U18*W18)/1000</f>
        <v>514500</v>
      </c>
      <c r="AA18" s="255"/>
      <c r="AB18" s="251"/>
      <c r="AC18" s="251"/>
    </row>
    <row r="19" spans="1:29" s="252" customFormat="1" ht="21.95" customHeight="1">
      <c r="A19" s="849"/>
      <c r="B19" s="850"/>
      <c r="C19" s="851"/>
      <c r="D19" s="851"/>
      <c r="E19" s="851" t="s">
        <v>1027</v>
      </c>
      <c r="F19" s="864">
        <f>Y19</f>
        <v>488600</v>
      </c>
      <c r="G19" s="864">
        <v>488600</v>
      </c>
      <c r="H19" s="865"/>
      <c r="I19" s="855"/>
      <c r="J19" s="866" t="s">
        <v>768</v>
      </c>
      <c r="K19" s="867"/>
      <c r="L19" s="867"/>
      <c r="M19" s="867"/>
      <c r="N19" s="868"/>
      <c r="O19" s="868"/>
      <c r="P19" s="867"/>
      <c r="Q19" s="869"/>
      <c r="R19" s="867"/>
      <c r="S19" s="867"/>
      <c r="T19" s="867"/>
      <c r="U19" s="867"/>
      <c r="V19" s="867"/>
      <c r="W19" s="867"/>
      <c r="X19" s="870"/>
      <c r="Y19" s="871">
        <f t="shared" si="0"/>
        <v>488600</v>
      </c>
      <c r="Z19" s="872">
        <f>+Z20+Z21</f>
        <v>488600000</v>
      </c>
      <c r="AA19" s="255"/>
      <c r="AB19" s="251"/>
      <c r="AC19" s="251"/>
    </row>
    <row r="20" spans="1:29" s="252" customFormat="1" ht="21.95" customHeight="1">
      <c r="A20" s="849"/>
      <c r="B20" s="850"/>
      <c r="C20" s="851"/>
      <c r="D20" s="851"/>
      <c r="E20" s="851" t="s">
        <v>20</v>
      </c>
      <c r="F20" s="864" t="s">
        <v>20</v>
      </c>
      <c r="G20" s="864" t="s">
        <v>20</v>
      </c>
      <c r="H20" s="865"/>
      <c r="I20" s="855"/>
      <c r="J20" s="943" t="s">
        <v>835</v>
      </c>
      <c r="K20" s="867"/>
      <c r="L20" s="867"/>
      <c r="M20" s="867"/>
      <c r="N20" s="868"/>
      <c r="O20" s="867"/>
      <c r="P20" s="867"/>
      <c r="Q20" s="869"/>
      <c r="R20" s="867"/>
      <c r="S20" s="868">
        <f>+Z11+Z13</f>
        <v>4116000000</v>
      </c>
      <c r="T20" s="867" t="s">
        <v>0</v>
      </c>
      <c r="U20" s="867"/>
      <c r="V20" s="2177">
        <v>0.1</v>
      </c>
      <c r="W20" s="867"/>
      <c r="X20" s="870" t="s">
        <v>1</v>
      </c>
      <c r="Y20" s="871">
        <f>+Z20/1000</f>
        <v>411600</v>
      </c>
      <c r="Z20" s="872">
        <f>S20*V20</f>
        <v>411600000</v>
      </c>
      <c r="AA20" s="255"/>
      <c r="AB20" s="251"/>
      <c r="AC20" s="251"/>
    </row>
    <row r="21" spans="1:29" s="252" customFormat="1" ht="21.95" customHeight="1">
      <c r="A21" s="849"/>
      <c r="B21" s="850"/>
      <c r="C21" s="851"/>
      <c r="D21" s="851"/>
      <c r="E21" s="851"/>
      <c r="F21" s="864"/>
      <c r="G21" s="864"/>
      <c r="H21" s="865"/>
      <c r="I21" s="855"/>
      <c r="J21" s="1202" t="s">
        <v>367</v>
      </c>
      <c r="K21" s="978"/>
      <c r="L21" s="978"/>
      <c r="M21" s="978"/>
      <c r="N21" s="979"/>
      <c r="O21" s="979"/>
      <c r="P21" s="978"/>
      <c r="Q21" s="1019"/>
      <c r="R21" s="978"/>
      <c r="S21" s="979">
        <v>1000000</v>
      </c>
      <c r="T21" s="978" t="s">
        <v>823</v>
      </c>
      <c r="U21" s="978"/>
      <c r="V21" s="2178">
        <v>77</v>
      </c>
      <c r="W21" s="978" t="s">
        <v>824</v>
      </c>
      <c r="X21" s="1025" t="s">
        <v>1</v>
      </c>
      <c r="Y21" s="981">
        <f>+Z21/1000</f>
        <v>77000</v>
      </c>
      <c r="Z21" s="982">
        <f>V21*S21</f>
        <v>77000000</v>
      </c>
      <c r="AA21" s="255"/>
      <c r="AB21" s="251"/>
      <c r="AC21" s="251"/>
    </row>
    <row r="22" spans="1:29" s="252" customFormat="1" ht="21.95" customHeight="1">
      <c r="A22" s="849"/>
      <c r="B22" s="850"/>
      <c r="C22" s="851"/>
      <c r="D22" s="1992" t="s">
        <v>161</v>
      </c>
      <c r="E22" s="2179"/>
      <c r="F22" s="2174">
        <f>SUM(F23:F137)</f>
        <v>2524000</v>
      </c>
      <c r="G22" s="2174">
        <f>SUM(G23:G137)</f>
        <v>2524000</v>
      </c>
      <c r="H22" s="984">
        <f>+F22-G22</f>
        <v>0</v>
      </c>
      <c r="I22" s="855"/>
      <c r="J22" s="1209"/>
      <c r="K22" s="1009"/>
      <c r="L22" s="1009"/>
      <c r="M22" s="1009"/>
      <c r="N22" s="1010"/>
      <c r="O22" s="1010"/>
      <c r="P22" s="1009"/>
      <c r="Q22" s="2175"/>
      <c r="R22" s="1009"/>
      <c r="S22" s="1009"/>
      <c r="T22" s="1009"/>
      <c r="U22" s="1009"/>
      <c r="V22" s="1009"/>
      <c r="W22" s="1009"/>
      <c r="X22" s="1422"/>
      <c r="Y22" s="965" t="s">
        <v>20</v>
      </c>
      <c r="Z22" s="2180" t="s">
        <v>20</v>
      </c>
      <c r="AA22" s="255"/>
      <c r="AB22" s="251"/>
      <c r="AC22" s="251"/>
    </row>
    <row r="23" spans="1:29" s="691" customFormat="1" ht="21.95" customHeight="1">
      <c r="A23" s="916"/>
      <c r="B23" s="674"/>
      <c r="C23" s="675"/>
      <c r="D23" s="675"/>
      <c r="E23" s="1034" t="s">
        <v>396</v>
      </c>
      <c r="F23" s="1921">
        <f>Y23</f>
        <v>22000</v>
      </c>
      <c r="G23" s="1921">
        <v>22000</v>
      </c>
      <c r="H23" s="854"/>
      <c r="I23" s="855"/>
      <c r="J23" s="856" t="s">
        <v>768</v>
      </c>
      <c r="K23" s="857"/>
      <c r="L23" s="857"/>
      <c r="M23" s="857"/>
      <c r="N23" s="858"/>
      <c r="O23" s="858"/>
      <c r="P23" s="857"/>
      <c r="Q23" s="859"/>
      <c r="R23" s="857"/>
      <c r="S23" s="857"/>
      <c r="T23" s="857"/>
      <c r="U23" s="857"/>
      <c r="V23" s="857"/>
      <c r="W23" s="857"/>
      <c r="X23" s="860"/>
      <c r="Y23" s="861">
        <f t="shared" ref="Y23:Y84" si="2">+Z23/1000</f>
        <v>22000</v>
      </c>
      <c r="Z23" s="862">
        <f>SUM(Z24:Z27)</f>
        <v>22000000</v>
      </c>
      <c r="AA23" s="255"/>
      <c r="AB23" s="863"/>
      <c r="AC23" s="863"/>
    </row>
    <row r="24" spans="1:29" s="252" customFormat="1" ht="21.95" customHeight="1">
      <c r="A24" s="916"/>
      <c r="B24" s="674"/>
      <c r="C24" s="675"/>
      <c r="D24" s="675"/>
      <c r="E24" s="675"/>
      <c r="F24" s="989"/>
      <c r="G24" s="989"/>
      <c r="H24" s="865"/>
      <c r="I24" s="855"/>
      <c r="J24" s="681" t="s">
        <v>1586</v>
      </c>
      <c r="K24" s="684"/>
      <c r="L24" s="684"/>
      <c r="M24" s="684"/>
      <c r="N24" s="868"/>
      <c r="O24" s="684"/>
      <c r="P24" s="736"/>
      <c r="Q24" s="2181">
        <v>5</v>
      </c>
      <c r="R24" s="917" t="s">
        <v>162</v>
      </c>
      <c r="S24" s="730">
        <v>100000</v>
      </c>
      <c r="T24" s="709" t="s">
        <v>0</v>
      </c>
      <c r="U24" s="709"/>
      <c r="V24" s="730">
        <v>12</v>
      </c>
      <c r="W24" s="709" t="s">
        <v>825</v>
      </c>
      <c r="X24" s="731" t="s">
        <v>826</v>
      </c>
      <c r="Y24" s="2182">
        <f t="shared" si="2"/>
        <v>6000</v>
      </c>
      <c r="Z24" s="1724">
        <f>Q24*S24*V24</f>
        <v>6000000</v>
      </c>
      <c r="AA24" s="255"/>
      <c r="AB24" s="251"/>
      <c r="AC24" s="251"/>
    </row>
    <row r="25" spans="1:29" s="252" customFormat="1" ht="21.95" customHeight="1">
      <c r="A25" s="849"/>
      <c r="B25" s="850"/>
      <c r="C25" s="851"/>
      <c r="D25" s="851"/>
      <c r="E25" s="851"/>
      <c r="F25" s="864"/>
      <c r="G25" s="864"/>
      <c r="H25" s="865"/>
      <c r="I25" s="855"/>
      <c r="J25" s="1016" t="s">
        <v>1587</v>
      </c>
      <c r="K25" s="867"/>
      <c r="L25" s="867"/>
      <c r="M25" s="867"/>
      <c r="N25" s="868"/>
      <c r="O25" s="868"/>
      <c r="P25" s="867"/>
      <c r="Q25" s="869">
        <v>1</v>
      </c>
      <c r="R25" s="867" t="s">
        <v>31</v>
      </c>
      <c r="S25" s="867">
        <v>500000</v>
      </c>
      <c r="T25" s="867" t="s">
        <v>0</v>
      </c>
      <c r="U25" s="867"/>
      <c r="V25" s="2183">
        <v>10</v>
      </c>
      <c r="W25" s="867" t="s">
        <v>28</v>
      </c>
      <c r="X25" s="870" t="s">
        <v>1</v>
      </c>
      <c r="Y25" s="871">
        <f t="shared" si="2"/>
        <v>5000</v>
      </c>
      <c r="Z25" s="872">
        <f>S25*V25*Q25</f>
        <v>5000000</v>
      </c>
      <c r="AA25" s="255"/>
      <c r="AB25" s="251"/>
      <c r="AC25" s="251"/>
    </row>
    <row r="26" spans="1:29" s="252" customFormat="1" ht="21.95" customHeight="1">
      <c r="A26" s="849"/>
      <c r="B26" s="850"/>
      <c r="C26" s="851"/>
      <c r="D26" s="851"/>
      <c r="E26" s="851"/>
      <c r="F26" s="864"/>
      <c r="G26" s="864"/>
      <c r="H26" s="865"/>
      <c r="I26" s="855"/>
      <c r="J26" s="866" t="s">
        <v>1588</v>
      </c>
      <c r="K26" s="867"/>
      <c r="L26" s="867"/>
      <c r="M26" s="867"/>
      <c r="N26" s="868"/>
      <c r="O26" s="867"/>
      <c r="P26" s="867"/>
      <c r="Q26" s="869"/>
      <c r="R26" s="867"/>
      <c r="S26" s="868">
        <v>100000</v>
      </c>
      <c r="T26" s="867" t="s">
        <v>0</v>
      </c>
      <c r="U26" s="867"/>
      <c r="V26" s="2183">
        <v>100</v>
      </c>
      <c r="W26" s="867" t="s">
        <v>28</v>
      </c>
      <c r="X26" s="870" t="s">
        <v>1</v>
      </c>
      <c r="Y26" s="871">
        <f t="shared" si="2"/>
        <v>10000</v>
      </c>
      <c r="Z26" s="872">
        <f>S26*V26</f>
        <v>10000000</v>
      </c>
      <c r="AA26" s="255"/>
      <c r="AB26" s="251"/>
      <c r="AC26" s="251"/>
    </row>
    <row r="27" spans="1:29" s="252" customFormat="1" ht="21.95" customHeight="1">
      <c r="A27" s="849"/>
      <c r="B27" s="850"/>
      <c r="C27" s="851"/>
      <c r="D27" s="851"/>
      <c r="E27" s="851"/>
      <c r="F27" s="864"/>
      <c r="G27" s="864"/>
      <c r="H27" s="865"/>
      <c r="I27" s="855"/>
      <c r="J27" s="1016" t="s">
        <v>1589</v>
      </c>
      <c r="K27" s="867"/>
      <c r="L27" s="867"/>
      <c r="M27" s="867"/>
      <c r="N27" s="868"/>
      <c r="O27" s="868"/>
      <c r="P27" s="867"/>
      <c r="Q27" s="869"/>
      <c r="R27" s="867"/>
      <c r="S27" s="868">
        <v>1000000</v>
      </c>
      <c r="T27" s="867" t="s">
        <v>0</v>
      </c>
      <c r="U27" s="867"/>
      <c r="V27" s="2184">
        <v>1</v>
      </c>
      <c r="W27" s="867" t="s">
        <v>765</v>
      </c>
      <c r="X27" s="870" t="s">
        <v>1</v>
      </c>
      <c r="Y27" s="871">
        <f t="shared" si="2"/>
        <v>1000</v>
      </c>
      <c r="Z27" s="872">
        <f>V27*S27</f>
        <v>1000000</v>
      </c>
      <c r="AA27" s="255"/>
      <c r="AB27" s="251"/>
      <c r="AC27" s="251"/>
    </row>
    <row r="28" spans="1:29" s="252" customFormat="1" ht="21.95" customHeight="1">
      <c r="A28" s="849"/>
      <c r="B28" s="850"/>
      <c r="C28" s="851"/>
      <c r="D28" s="851"/>
      <c r="E28" s="852" t="s">
        <v>54</v>
      </c>
      <c r="F28" s="853">
        <f>Y28</f>
        <v>16850</v>
      </c>
      <c r="G28" s="853">
        <v>16850</v>
      </c>
      <c r="H28" s="854"/>
      <c r="I28" s="855"/>
      <c r="J28" s="856" t="s">
        <v>768</v>
      </c>
      <c r="K28" s="857"/>
      <c r="L28" s="857"/>
      <c r="M28" s="857"/>
      <c r="N28" s="858"/>
      <c r="O28" s="858"/>
      <c r="P28" s="857"/>
      <c r="Q28" s="859"/>
      <c r="R28" s="857"/>
      <c r="S28" s="857"/>
      <c r="T28" s="857"/>
      <c r="U28" s="857"/>
      <c r="V28" s="857"/>
      <c r="W28" s="857"/>
      <c r="X28" s="860"/>
      <c r="Y28" s="861">
        <f t="shared" si="2"/>
        <v>16850</v>
      </c>
      <c r="Z28" s="862">
        <f>SUM(Z29:Z30)</f>
        <v>16850000</v>
      </c>
      <c r="AA28" s="255"/>
      <c r="AB28" s="251"/>
      <c r="AC28" s="251"/>
    </row>
    <row r="29" spans="1:29" s="252" customFormat="1" ht="21.95" customHeight="1">
      <c r="A29" s="849"/>
      <c r="B29" s="850"/>
      <c r="C29" s="851"/>
      <c r="D29" s="851"/>
      <c r="E29" s="851"/>
      <c r="F29" s="864"/>
      <c r="G29" s="864"/>
      <c r="H29" s="865"/>
      <c r="I29" s="855"/>
      <c r="J29" s="866" t="s">
        <v>1590</v>
      </c>
      <c r="K29" s="867"/>
      <c r="L29" s="867"/>
      <c r="M29" s="867"/>
      <c r="N29" s="868"/>
      <c r="O29" s="867"/>
      <c r="P29" s="867"/>
      <c r="Q29" s="869">
        <v>77</v>
      </c>
      <c r="R29" s="867" t="s">
        <v>25</v>
      </c>
      <c r="S29" s="868">
        <v>100000</v>
      </c>
      <c r="T29" s="867" t="s">
        <v>0</v>
      </c>
      <c r="U29" s="867"/>
      <c r="V29" s="867">
        <v>1</v>
      </c>
      <c r="W29" s="867" t="s">
        <v>3</v>
      </c>
      <c r="X29" s="870" t="s">
        <v>1</v>
      </c>
      <c r="Y29" s="871">
        <f t="shared" si="2"/>
        <v>7700</v>
      </c>
      <c r="Z29" s="872">
        <f>S29*Q29*V29</f>
        <v>7700000</v>
      </c>
      <c r="AA29" s="255"/>
      <c r="AB29" s="251"/>
      <c r="AC29" s="251"/>
    </row>
    <row r="30" spans="1:29" s="252" customFormat="1" ht="21.95" customHeight="1">
      <c r="A30" s="849"/>
      <c r="B30" s="850"/>
      <c r="C30" s="851"/>
      <c r="D30" s="851"/>
      <c r="E30" s="971"/>
      <c r="F30" s="2169"/>
      <c r="G30" s="2169"/>
      <c r="H30" s="990"/>
      <c r="I30" s="855"/>
      <c r="J30" s="1018" t="s">
        <v>1591</v>
      </c>
      <c r="K30" s="978"/>
      <c r="L30" s="978"/>
      <c r="M30" s="978"/>
      <c r="N30" s="979"/>
      <c r="O30" s="978"/>
      <c r="P30" s="978"/>
      <c r="Q30" s="1019">
        <v>183</v>
      </c>
      <c r="R30" s="978" t="s">
        <v>766</v>
      </c>
      <c r="S30" s="979">
        <v>50000</v>
      </c>
      <c r="T30" s="978" t="s">
        <v>0</v>
      </c>
      <c r="U30" s="978"/>
      <c r="V30" s="978">
        <v>1</v>
      </c>
      <c r="W30" s="978" t="s">
        <v>765</v>
      </c>
      <c r="X30" s="1025" t="s">
        <v>1</v>
      </c>
      <c r="Y30" s="981">
        <f t="shared" si="2"/>
        <v>9150</v>
      </c>
      <c r="Z30" s="982">
        <f>Q30*S30*V30</f>
        <v>9150000</v>
      </c>
      <c r="AA30" s="255"/>
      <c r="AB30" s="251"/>
      <c r="AC30" s="251"/>
    </row>
    <row r="31" spans="1:29" s="252" customFormat="1" ht="21.95" customHeight="1">
      <c r="A31" s="849"/>
      <c r="B31" s="850"/>
      <c r="C31" s="851"/>
      <c r="D31" s="851"/>
      <c r="E31" s="851" t="s">
        <v>57</v>
      </c>
      <c r="F31" s="864">
        <f>Y31</f>
        <v>50400</v>
      </c>
      <c r="G31" s="864">
        <v>40000</v>
      </c>
      <c r="H31" s="865">
        <f>F31-G31</f>
        <v>10400</v>
      </c>
      <c r="I31" s="855"/>
      <c r="J31" s="3618" t="s">
        <v>224</v>
      </c>
      <c r="K31" s="3163"/>
      <c r="L31" s="3163"/>
      <c r="M31" s="3163"/>
      <c r="N31" s="3164"/>
      <c r="O31" s="3164"/>
      <c r="P31" s="3163"/>
      <c r="Q31" s="869"/>
      <c r="R31" s="3163"/>
      <c r="S31" s="3163"/>
      <c r="T31" s="3163"/>
      <c r="U31" s="3163"/>
      <c r="V31" s="3163"/>
      <c r="W31" s="3163"/>
      <c r="X31" s="3165"/>
      <c r="Y31" s="871">
        <f t="shared" si="2"/>
        <v>50400</v>
      </c>
      <c r="Z31" s="872">
        <f>SUM(Z32:Z34)</f>
        <v>50400000</v>
      </c>
      <c r="AA31" s="255"/>
      <c r="AB31" s="251"/>
      <c r="AC31" s="251"/>
    </row>
    <row r="32" spans="1:29" s="252" customFormat="1" ht="21.95" customHeight="1">
      <c r="A32" s="849"/>
      <c r="B32" s="850"/>
      <c r="C32" s="851"/>
      <c r="D32" s="851"/>
      <c r="E32" s="851" t="s">
        <v>20</v>
      </c>
      <c r="F32" s="864"/>
      <c r="G32" s="864"/>
      <c r="H32" s="865"/>
      <c r="I32" s="855"/>
      <c r="J32" s="3618" t="s">
        <v>1592</v>
      </c>
      <c r="K32" s="3163"/>
      <c r="L32" s="3163"/>
      <c r="M32" s="3163"/>
      <c r="N32" s="3164"/>
      <c r="O32" s="3163"/>
      <c r="P32" s="3163"/>
      <c r="Q32" s="869">
        <v>100</v>
      </c>
      <c r="R32" s="3163" t="s">
        <v>72</v>
      </c>
      <c r="S32" s="3164">
        <v>20000</v>
      </c>
      <c r="T32" s="3163" t="s">
        <v>0</v>
      </c>
      <c r="U32" s="3163"/>
      <c r="V32" s="3163">
        <v>4</v>
      </c>
      <c r="W32" s="3163" t="s">
        <v>3</v>
      </c>
      <c r="X32" s="3165" t="s">
        <v>1</v>
      </c>
      <c r="Y32" s="871">
        <f t="shared" si="2"/>
        <v>8000</v>
      </c>
      <c r="Z32" s="872">
        <f>ROUNDUP(S32*Q32*V32,-3)</f>
        <v>8000000</v>
      </c>
      <c r="AA32" s="255"/>
      <c r="AB32" s="251"/>
      <c r="AC32" s="251"/>
    </row>
    <row r="33" spans="1:29" s="252" customFormat="1" ht="21.95" customHeight="1">
      <c r="A33" s="849"/>
      <c r="B33" s="850"/>
      <c r="C33" s="851"/>
      <c r="D33" s="851"/>
      <c r="E33" s="851"/>
      <c r="F33" s="864"/>
      <c r="G33" s="864"/>
      <c r="H33" s="865"/>
      <c r="I33" s="855"/>
      <c r="J33" s="3618" t="s">
        <v>1593</v>
      </c>
      <c r="K33" s="3163"/>
      <c r="L33" s="3163"/>
      <c r="M33" s="3163"/>
      <c r="N33" s="3164"/>
      <c r="O33" s="3163"/>
      <c r="P33" s="3163"/>
      <c r="Q33" s="869">
        <v>200</v>
      </c>
      <c r="R33" s="3163" t="s">
        <v>72</v>
      </c>
      <c r="S33" s="3164">
        <v>40000</v>
      </c>
      <c r="T33" s="3163" t="s">
        <v>0</v>
      </c>
      <c r="U33" s="3163"/>
      <c r="V33" s="3163">
        <v>4</v>
      </c>
      <c r="W33" s="3163" t="s">
        <v>3</v>
      </c>
      <c r="X33" s="3165" t="s">
        <v>1</v>
      </c>
      <c r="Y33" s="871">
        <f t="shared" si="2"/>
        <v>32000</v>
      </c>
      <c r="Z33" s="872">
        <f>S33*Q33*V33</f>
        <v>32000000</v>
      </c>
      <c r="AA33" s="255"/>
      <c r="AB33" s="251"/>
      <c r="AC33" s="251"/>
    </row>
    <row r="34" spans="1:29" s="252" customFormat="1" ht="21.95" customHeight="1">
      <c r="A34" s="849"/>
      <c r="B34" s="850"/>
      <c r="C34" s="851"/>
      <c r="D34" s="851"/>
      <c r="E34" s="851"/>
      <c r="F34" s="864"/>
      <c r="G34" s="864"/>
      <c r="H34" s="865"/>
      <c r="I34" s="855"/>
      <c r="J34" s="3618" t="s">
        <v>1594</v>
      </c>
      <c r="K34" s="3163"/>
      <c r="L34" s="3163"/>
      <c r="M34" s="3163"/>
      <c r="N34" s="3164"/>
      <c r="O34" s="3163"/>
      <c r="P34" s="3163"/>
      <c r="Q34" s="869">
        <v>130</v>
      </c>
      <c r="R34" s="3163" t="s">
        <v>72</v>
      </c>
      <c r="S34" s="3164">
        <v>20000</v>
      </c>
      <c r="T34" s="3163" t="s">
        <v>0</v>
      </c>
      <c r="U34" s="3163"/>
      <c r="V34" s="3163">
        <v>4</v>
      </c>
      <c r="W34" s="3163" t="s">
        <v>3</v>
      </c>
      <c r="X34" s="3165" t="s">
        <v>1</v>
      </c>
      <c r="Y34" s="871">
        <f t="shared" si="2"/>
        <v>10400</v>
      </c>
      <c r="Z34" s="872">
        <f>S34*Q34*V34</f>
        <v>10400000</v>
      </c>
      <c r="AA34" s="255"/>
      <c r="AB34" s="251"/>
      <c r="AC34" s="251"/>
    </row>
    <row r="35" spans="1:29" s="257" customFormat="1" ht="21.95" customHeight="1">
      <c r="A35" s="849"/>
      <c r="B35" s="850"/>
      <c r="C35" s="851"/>
      <c r="D35" s="851"/>
      <c r="E35" s="852" t="s">
        <v>27</v>
      </c>
      <c r="F35" s="853">
        <f>Y35</f>
        <v>7300</v>
      </c>
      <c r="G35" s="853">
        <v>7300</v>
      </c>
      <c r="H35" s="854"/>
      <c r="I35" s="855"/>
      <c r="J35" s="856" t="s">
        <v>768</v>
      </c>
      <c r="K35" s="857"/>
      <c r="L35" s="857"/>
      <c r="M35" s="857"/>
      <c r="N35" s="858"/>
      <c r="O35" s="857"/>
      <c r="P35" s="857"/>
      <c r="Q35" s="859"/>
      <c r="R35" s="857"/>
      <c r="S35" s="858"/>
      <c r="T35" s="857"/>
      <c r="U35" s="857"/>
      <c r="V35" s="857"/>
      <c r="W35" s="857"/>
      <c r="X35" s="860"/>
      <c r="Y35" s="861">
        <f t="shared" si="2"/>
        <v>7300</v>
      </c>
      <c r="Z35" s="862">
        <f>SUM(Z36:Z37)</f>
        <v>7300000</v>
      </c>
      <c r="AA35" s="255"/>
      <c r="AB35" s="251"/>
      <c r="AC35" s="256"/>
    </row>
    <row r="36" spans="1:29" s="252" customFormat="1" ht="21.95" customHeight="1">
      <c r="A36" s="849"/>
      <c r="B36" s="850"/>
      <c r="C36" s="851"/>
      <c r="D36" s="851"/>
      <c r="E36" s="851"/>
      <c r="F36" s="864"/>
      <c r="G36" s="864"/>
      <c r="H36" s="865"/>
      <c r="I36" s="855"/>
      <c r="J36" s="866" t="s">
        <v>722</v>
      </c>
      <c r="K36" s="867"/>
      <c r="L36" s="867"/>
      <c r="M36" s="867"/>
      <c r="N36" s="868"/>
      <c r="O36" s="867"/>
      <c r="P36" s="867"/>
      <c r="Q36" s="869"/>
      <c r="R36" s="867"/>
      <c r="S36" s="868">
        <v>30000</v>
      </c>
      <c r="T36" s="867" t="s">
        <v>0</v>
      </c>
      <c r="U36" s="867"/>
      <c r="V36" s="867">
        <v>10</v>
      </c>
      <c r="W36" s="867" t="s">
        <v>827</v>
      </c>
      <c r="X36" s="870" t="s">
        <v>1</v>
      </c>
      <c r="Y36" s="871">
        <f t="shared" si="2"/>
        <v>300</v>
      </c>
      <c r="Z36" s="872">
        <f>S36*V36</f>
        <v>300000</v>
      </c>
      <c r="AA36" s="255"/>
      <c r="AB36" s="251"/>
      <c r="AC36" s="251"/>
    </row>
    <row r="37" spans="1:29" s="252" customFormat="1" ht="21.95" customHeight="1">
      <c r="A37" s="849"/>
      <c r="B37" s="850"/>
      <c r="C37" s="851"/>
      <c r="D37" s="851"/>
      <c r="E37" s="971"/>
      <c r="F37" s="2169"/>
      <c r="G37" s="2169"/>
      <c r="H37" s="990"/>
      <c r="I37" s="855"/>
      <c r="J37" s="1018" t="s">
        <v>495</v>
      </c>
      <c r="K37" s="978"/>
      <c r="L37" s="978"/>
      <c r="M37" s="978"/>
      <c r="N37" s="979"/>
      <c r="O37" s="978"/>
      <c r="P37" s="978"/>
      <c r="Q37" s="1019"/>
      <c r="R37" s="978"/>
      <c r="S37" s="979">
        <v>7000000</v>
      </c>
      <c r="T37" s="978" t="s">
        <v>0</v>
      </c>
      <c r="U37" s="978"/>
      <c r="V37" s="2178">
        <v>1</v>
      </c>
      <c r="W37" s="978" t="s">
        <v>828</v>
      </c>
      <c r="X37" s="1025" t="s">
        <v>1</v>
      </c>
      <c r="Y37" s="981">
        <f t="shared" si="2"/>
        <v>7000</v>
      </c>
      <c r="Z37" s="982">
        <v>7000000</v>
      </c>
      <c r="AA37" s="255"/>
      <c r="AB37" s="251"/>
      <c r="AC37" s="251"/>
    </row>
    <row r="38" spans="1:29" s="691" customFormat="1" ht="21.95" customHeight="1">
      <c r="A38" s="849"/>
      <c r="B38" s="850"/>
      <c r="C38" s="851"/>
      <c r="D38" s="851"/>
      <c r="E38" s="852" t="s">
        <v>163</v>
      </c>
      <c r="F38" s="853">
        <f>Y38</f>
        <v>26400</v>
      </c>
      <c r="G38" s="853">
        <v>26400</v>
      </c>
      <c r="H38" s="854"/>
      <c r="I38" s="855"/>
      <c r="J38" s="856" t="s">
        <v>768</v>
      </c>
      <c r="K38" s="857"/>
      <c r="L38" s="857"/>
      <c r="M38" s="857"/>
      <c r="N38" s="858"/>
      <c r="O38" s="857"/>
      <c r="P38" s="857"/>
      <c r="Q38" s="859"/>
      <c r="R38" s="857"/>
      <c r="S38" s="858"/>
      <c r="T38" s="857"/>
      <c r="U38" s="857"/>
      <c r="V38" s="857"/>
      <c r="W38" s="857"/>
      <c r="X38" s="860"/>
      <c r="Y38" s="861">
        <f t="shared" si="2"/>
        <v>26400</v>
      </c>
      <c r="Z38" s="862">
        <f>SUM(Z39:Z43)</f>
        <v>26400000</v>
      </c>
      <c r="AA38" s="255"/>
      <c r="AB38" s="863"/>
      <c r="AC38" s="863"/>
    </row>
    <row r="39" spans="1:29" s="252" customFormat="1" ht="21.95" customHeight="1">
      <c r="A39" s="849"/>
      <c r="B39" s="850"/>
      <c r="C39" s="851"/>
      <c r="D39" s="851"/>
      <c r="E39" s="851" t="s">
        <v>20</v>
      </c>
      <c r="F39" s="864"/>
      <c r="G39" s="864"/>
      <c r="H39" s="865"/>
      <c r="I39" s="855"/>
      <c r="J39" s="866" t="s">
        <v>1595</v>
      </c>
      <c r="K39" s="867"/>
      <c r="L39" s="867"/>
      <c r="M39" s="867"/>
      <c r="N39" s="868"/>
      <c r="O39" s="867"/>
      <c r="P39" s="867"/>
      <c r="Q39" s="869">
        <v>1</v>
      </c>
      <c r="R39" s="867" t="s">
        <v>164</v>
      </c>
      <c r="S39" s="868">
        <v>100000</v>
      </c>
      <c r="T39" s="867" t="s">
        <v>0</v>
      </c>
      <c r="U39" s="867"/>
      <c r="V39" s="867">
        <v>12</v>
      </c>
      <c r="W39" s="867" t="s">
        <v>2</v>
      </c>
      <c r="X39" s="870" t="s">
        <v>1</v>
      </c>
      <c r="Y39" s="871">
        <f t="shared" si="2"/>
        <v>1200</v>
      </c>
      <c r="Z39" s="872">
        <f>S39*Q39*V39</f>
        <v>1200000</v>
      </c>
      <c r="AA39" s="255"/>
      <c r="AB39" s="251"/>
      <c r="AC39" s="251"/>
    </row>
    <row r="40" spans="1:29" s="257" customFormat="1" ht="21.95" customHeight="1">
      <c r="A40" s="849"/>
      <c r="B40" s="850"/>
      <c r="C40" s="851"/>
      <c r="D40" s="851"/>
      <c r="E40" s="851"/>
      <c r="F40" s="864"/>
      <c r="G40" s="864"/>
      <c r="H40" s="865"/>
      <c r="I40" s="855"/>
      <c r="J40" s="866" t="s">
        <v>1596</v>
      </c>
      <c r="K40" s="867"/>
      <c r="L40" s="867"/>
      <c r="M40" s="867"/>
      <c r="N40" s="868"/>
      <c r="O40" s="867"/>
      <c r="P40" s="867"/>
      <c r="Q40" s="869">
        <v>1</v>
      </c>
      <c r="R40" s="867" t="s">
        <v>164</v>
      </c>
      <c r="S40" s="868">
        <v>200000</v>
      </c>
      <c r="T40" s="867" t="s">
        <v>0</v>
      </c>
      <c r="U40" s="867"/>
      <c r="V40" s="867">
        <v>12</v>
      </c>
      <c r="W40" s="867" t="s">
        <v>2</v>
      </c>
      <c r="X40" s="870" t="s">
        <v>1</v>
      </c>
      <c r="Y40" s="871">
        <f t="shared" si="2"/>
        <v>2400</v>
      </c>
      <c r="Z40" s="872">
        <f>S40*Q40*V40</f>
        <v>2400000</v>
      </c>
      <c r="AA40" s="255"/>
      <c r="AB40" s="251"/>
      <c r="AC40" s="256"/>
    </row>
    <row r="41" spans="1:29" s="257" customFormat="1" ht="21.95" customHeight="1">
      <c r="A41" s="849"/>
      <c r="B41" s="850"/>
      <c r="C41" s="851"/>
      <c r="D41" s="851"/>
      <c r="E41" s="851"/>
      <c r="F41" s="864"/>
      <c r="G41" s="864"/>
      <c r="H41" s="865"/>
      <c r="I41" s="855"/>
      <c r="J41" s="866" t="s">
        <v>1597</v>
      </c>
      <c r="K41" s="867"/>
      <c r="L41" s="867"/>
      <c r="M41" s="867"/>
      <c r="N41" s="868"/>
      <c r="O41" s="867"/>
      <c r="P41" s="867"/>
      <c r="Q41" s="869">
        <v>2</v>
      </c>
      <c r="R41" s="867" t="s">
        <v>164</v>
      </c>
      <c r="S41" s="868">
        <v>100000</v>
      </c>
      <c r="T41" s="867" t="s">
        <v>0</v>
      </c>
      <c r="U41" s="867"/>
      <c r="V41" s="867">
        <v>12</v>
      </c>
      <c r="W41" s="867" t="s">
        <v>2</v>
      </c>
      <c r="X41" s="870" t="s">
        <v>1</v>
      </c>
      <c r="Y41" s="871">
        <f>+Z41/1000</f>
        <v>2400</v>
      </c>
      <c r="Z41" s="872">
        <f>S41*Q41*V41</f>
        <v>2400000</v>
      </c>
      <c r="AA41" s="255"/>
      <c r="AB41" s="251"/>
      <c r="AC41" s="256"/>
    </row>
    <row r="42" spans="1:29" s="257" customFormat="1" ht="21.95" customHeight="1">
      <c r="A42" s="849"/>
      <c r="B42" s="850"/>
      <c r="C42" s="851"/>
      <c r="D42" s="851"/>
      <c r="E42" s="851"/>
      <c r="F42" s="864"/>
      <c r="G42" s="864"/>
      <c r="H42" s="865"/>
      <c r="I42" s="855"/>
      <c r="J42" s="866" t="s">
        <v>1598</v>
      </c>
      <c r="K42" s="867"/>
      <c r="L42" s="867"/>
      <c r="M42" s="867"/>
      <c r="N42" s="868"/>
      <c r="O42" s="867"/>
      <c r="P42" s="867"/>
      <c r="Q42" s="869">
        <v>1</v>
      </c>
      <c r="R42" s="867" t="s">
        <v>164</v>
      </c>
      <c r="S42" s="868">
        <v>100000</v>
      </c>
      <c r="T42" s="867" t="s">
        <v>0</v>
      </c>
      <c r="U42" s="867"/>
      <c r="V42" s="867">
        <v>12</v>
      </c>
      <c r="W42" s="867" t="s">
        <v>2</v>
      </c>
      <c r="X42" s="870" t="s">
        <v>1</v>
      </c>
      <c r="Y42" s="871">
        <f>+Z42/1000</f>
        <v>1200</v>
      </c>
      <c r="Z42" s="872">
        <f>S42*Q42*V42</f>
        <v>1200000</v>
      </c>
      <c r="AA42" s="255"/>
      <c r="AB42" s="251"/>
      <c r="AC42" s="256"/>
    </row>
    <row r="43" spans="1:29" s="257" customFormat="1" ht="21.95" customHeight="1">
      <c r="A43" s="849"/>
      <c r="B43" s="850"/>
      <c r="C43" s="851"/>
      <c r="D43" s="851"/>
      <c r="E43" s="971"/>
      <c r="F43" s="2169"/>
      <c r="G43" s="2169"/>
      <c r="H43" s="990"/>
      <c r="I43" s="855"/>
      <c r="J43" s="1018" t="s">
        <v>1599</v>
      </c>
      <c r="K43" s="978"/>
      <c r="L43" s="978"/>
      <c r="M43" s="978"/>
      <c r="N43" s="979"/>
      <c r="O43" s="978"/>
      <c r="P43" s="978"/>
      <c r="Q43" s="1019">
        <v>8</v>
      </c>
      <c r="R43" s="978" t="s">
        <v>42</v>
      </c>
      <c r="S43" s="979">
        <v>200000</v>
      </c>
      <c r="T43" s="978" t="s">
        <v>0</v>
      </c>
      <c r="U43" s="978"/>
      <c r="V43" s="978">
        <v>12</v>
      </c>
      <c r="W43" s="978" t="s">
        <v>2</v>
      </c>
      <c r="X43" s="1025" t="s">
        <v>1</v>
      </c>
      <c r="Y43" s="981">
        <f t="shared" si="2"/>
        <v>19200</v>
      </c>
      <c r="Z43" s="872">
        <f>S43*Q43*V43</f>
        <v>19200000</v>
      </c>
      <c r="AA43" s="255"/>
      <c r="AB43" s="251"/>
      <c r="AC43" s="256"/>
    </row>
    <row r="44" spans="1:29" s="252" customFormat="1" ht="24.95" customHeight="1">
      <c r="A44" s="849"/>
      <c r="B44" s="850"/>
      <c r="C44" s="851"/>
      <c r="D44" s="851"/>
      <c r="E44" s="852" t="s">
        <v>165</v>
      </c>
      <c r="F44" s="853">
        <f>Y44</f>
        <v>210181</v>
      </c>
      <c r="G44" s="853">
        <v>210181</v>
      </c>
      <c r="H44" s="854"/>
      <c r="I44" s="855"/>
      <c r="J44" s="856" t="s">
        <v>8</v>
      </c>
      <c r="K44" s="857"/>
      <c r="L44" s="857"/>
      <c r="M44" s="857"/>
      <c r="N44" s="3533"/>
      <c r="O44" s="3533"/>
      <c r="P44" s="857"/>
      <c r="Q44" s="859"/>
      <c r="R44" s="857"/>
      <c r="S44" s="857"/>
      <c r="T44" s="857"/>
      <c r="U44" s="857"/>
      <c r="V44" s="857"/>
      <c r="W44" s="857"/>
      <c r="X44" s="860"/>
      <c r="Y44" s="3534">
        <f>SUM(Y45:Y54)</f>
        <v>210181</v>
      </c>
      <c r="Z44" s="862">
        <f>SUM(Z45:Z54)</f>
        <v>210181000</v>
      </c>
      <c r="AA44" s="255"/>
      <c r="AB44" s="251"/>
      <c r="AC44" s="251"/>
    </row>
    <row r="45" spans="1:29" s="252" customFormat="1" ht="24.95" customHeight="1">
      <c r="A45" s="849"/>
      <c r="B45" s="850"/>
      <c r="C45" s="851"/>
      <c r="D45" s="851"/>
      <c r="E45" s="851"/>
      <c r="F45" s="864"/>
      <c r="G45" s="864"/>
      <c r="H45" s="865"/>
      <c r="I45" s="855"/>
      <c r="J45" s="866" t="s">
        <v>5649</v>
      </c>
      <c r="K45" s="3163"/>
      <c r="L45" s="3163"/>
      <c r="M45" s="3163"/>
      <c r="N45" s="3535"/>
      <c r="O45" s="3163"/>
      <c r="P45" s="3163"/>
      <c r="Q45" s="869"/>
      <c r="R45" s="3163"/>
      <c r="S45" s="3535">
        <v>100000</v>
      </c>
      <c r="T45" s="3163" t="s">
        <v>0</v>
      </c>
      <c r="U45" s="3163"/>
      <c r="V45" s="3163">
        <v>1</v>
      </c>
      <c r="W45" s="3163" t="s">
        <v>3</v>
      </c>
      <c r="X45" s="3165" t="s">
        <v>1</v>
      </c>
      <c r="Y45" s="3536">
        <f>Z45/1000</f>
        <v>100</v>
      </c>
      <c r="Z45" s="872">
        <f>S45*V45</f>
        <v>100000</v>
      </c>
      <c r="AA45" s="255"/>
      <c r="AB45" s="251"/>
      <c r="AC45" s="251"/>
    </row>
    <row r="46" spans="1:29" s="252" customFormat="1" ht="24.95" customHeight="1">
      <c r="A46" s="849"/>
      <c r="B46" s="850"/>
      <c r="C46" s="851"/>
      <c r="D46" s="851"/>
      <c r="E46" s="851"/>
      <c r="F46" s="864"/>
      <c r="G46" s="864"/>
      <c r="H46" s="865"/>
      <c r="I46" s="855"/>
      <c r="J46" s="866" t="s">
        <v>5650</v>
      </c>
      <c r="K46" s="3163"/>
      <c r="L46" s="3163"/>
      <c r="M46" s="3163"/>
      <c r="N46" s="3535"/>
      <c r="O46" s="3163"/>
      <c r="P46" s="3163"/>
      <c r="Q46" s="869"/>
      <c r="R46" s="3163"/>
      <c r="S46" s="3535">
        <v>17500000</v>
      </c>
      <c r="T46" s="3163" t="s">
        <v>0</v>
      </c>
      <c r="U46" s="3163"/>
      <c r="V46" s="3163">
        <v>4</v>
      </c>
      <c r="W46" s="3163" t="s">
        <v>3</v>
      </c>
      <c r="X46" s="3165" t="s">
        <v>1</v>
      </c>
      <c r="Y46" s="3536">
        <f t="shared" ref="Y46:Y54" si="3">Z46/1000</f>
        <v>70000</v>
      </c>
      <c r="Z46" s="872">
        <f t="shared" ref="Z46:Z54" si="4">S46*V46</f>
        <v>70000000</v>
      </c>
      <c r="AA46" s="255"/>
      <c r="AB46" s="251"/>
      <c r="AC46" s="251"/>
    </row>
    <row r="47" spans="1:29" s="252" customFormat="1" ht="24.95" customHeight="1">
      <c r="A47" s="849"/>
      <c r="B47" s="850"/>
      <c r="C47" s="851"/>
      <c r="D47" s="851"/>
      <c r="E47" s="851"/>
      <c r="F47" s="864"/>
      <c r="G47" s="864"/>
      <c r="H47" s="865"/>
      <c r="I47" s="855"/>
      <c r="J47" s="866" t="s">
        <v>5651</v>
      </c>
      <c r="K47" s="3163"/>
      <c r="L47" s="3163"/>
      <c r="M47" s="3163"/>
      <c r="N47" s="3535"/>
      <c r="O47" s="3163"/>
      <c r="P47" s="3163"/>
      <c r="Q47" s="869"/>
      <c r="R47" s="3163"/>
      <c r="S47" s="3535">
        <v>1000000</v>
      </c>
      <c r="T47" s="3163" t="s">
        <v>0</v>
      </c>
      <c r="U47" s="3163"/>
      <c r="V47" s="3163">
        <v>2</v>
      </c>
      <c r="W47" s="3163" t="s">
        <v>3</v>
      </c>
      <c r="X47" s="3165" t="s">
        <v>1</v>
      </c>
      <c r="Y47" s="3536">
        <f t="shared" si="3"/>
        <v>2000</v>
      </c>
      <c r="Z47" s="872">
        <f t="shared" si="4"/>
        <v>2000000</v>
      </c>
      <c r="AA47" s="255"/>
      <c r="AB47" s="251"/>
      <c r="AC47" s="251"/>
    </row>
    <row r="48" spans="1:29" s="252" customFormat="1" ht="24.95" customHeight="1">
      <c r="A48" s="849"/>
      <c r="B48" s="850"/>
      <c r="C48" s="851"/>
      <c r="D48" s="851"/>
      <c r="E48" s="851"/>
      <c r="F48" s="864"/>
      <c r="G48" s="864"/>
      <c r="H48" s="865"/>
      <c r="I48" s="855"/>
      <c r="J48" s="866" t="s">
        <v>5652</v>
      </c>
      <c r="K48" s="3163"/>
      <c r="L48" s="3163"/>
      <c r="M48" s="3163"/>
      <c r="N48" s="3535"/>
      <c r="O48" s="3163"/>
      <c r="P48" s="3163"/>
      <c r="Q48" s="869"/>
      <c r="R48" s="3163"/>
      <c r="S48" s="3535">
        <v>6000000</v>
      </c>
      <c r="T48" s="3163" t="s">
        <v>0</v>
      </c>
      <c r="U48" s="3163"/>
      <c r="V48" s="3163">
        <v>1</v>
      </c>
      <c r="W48" s="3163" t="s">
        <v>3</v>
      </c>
      <c r="X48" s="3165" t="s">
        <v>1</v>
      </c>
      <c r="Y48" s="3536">
        <f t="shared" si="3"/>
        <v>6000</v>
      </c>
      <c r="Z48" s="872">
        <f t="shared" si="4"/>
        <v>6000000</v>
      </c>
      <c r="AA48" s="255"/>
      <c r="AB48" s="251"/>
      <c r="AC48" s="251"/>
    </row>
    <row r="49" spans="1:29" s="252" customFormat="1" ht="24.95" customHeight="1">
      <c r="A49" s="849"/>
      <c r="B49" s="850"/>
      <c r="C49" s="851"/>
      <c r="D49" s="851"/>
      <c r="E49" s="851"/>
      <c r="F49" s="864"/>
      <c r="G49" s="864"/>
      <c r="H49" s="865"/>
      <c r="I49" s="855"/>
      <c r="J49" s="866" t="s">
        <v>5653</v>
      </c>
      <c r="K49" s="3163"/>
      <c r="L49" s="3163"/>
      <c r="M49" s="3163"/>
      <c r="N49" s="3535"/>
      <c r="O49" s="3163"/>
      <c r="P49" s="3163"/>
      <c r="Q49" s="869"/>
      <c r="R49" s="3163"/>
      <c r="S49" s="3535">
        <v>52081000</v>
      </c>
      <c r="T49" s="3163" t="s">
        <v>0</v>
      </c>
      <c r="U49" s="3163"/>
      <c r="V49" s="3163">
        <v>1</v>
      </c>
      <c r="W49" s="3163" t="s">
        <v>3</v>
      </c>
      <c r="X49" s="3165" t="s">
        <v>1</v>
      </c>
      <c r="Y49" s="3536">
        <f t="shared" si="3"/>
        <v>52081</v>
      </c>
      <c r="Z49" s="872">
        <f t="shared" si="4"/>
        <v>52081000</v>
      </c>
      <c r="AA49" s="255"/>
      <c r="AB49" s="251"/>
      <c r="AC49" s="251"/>
    </row>
    <row r="50" spans="1:29" s="252" customFormat="1" ht="24.95" customHeight="1">
      <c r="A50" s="849"/>
      <c r="B50" s="850"/>
      <c r="C50" s="851"/>
      <c r="D50" s="851"/>
      <c r="E50" s="851"/>
      <c r="F50" s="864"/>
      <c r="G50" s="864"/>
      <c r="H50" s="865"/>
      <c r="I50" s="855"/>
      <c r="J50" s="866" t="s">
        <v>5654</v>
      </c>
      <c r="K50" s="3163"/>
      <c r="L50" s="3163"/>
      <c r="M50" s="3163"/>
      <c r="N50" s="3535"/>
      <c r="O50" s="3163"/>
      <c r="P50" s="3163"/>
      <c r="Q50" s="869"/>
      <c r="R50" s="3163"/>
      <c r="S50" s="3535">
        <v>28000000</v>
      </c>
      <c r="T50" s="3163" t="s">
        <v>0</v>
      </c>
      <c r="U50" s="3163"/>
      <c r="V50" s="3163">
        <v>1</v>
      </c>
      <c r="W50" s="3163" t="s">
        <v>3</v>
      </c>
      <c r="X50" s="3165" t="s">
        <v>1</v>
      </c>
      <c r="Y50" s="3536">
        <f t="shared" si="3"/>
        <v>28000</v>
      </c>
      <c r="Z50" s="872">
        <f t="shared" si="4"/>
        <v>28000000</v>
      </c>
      <c r="AA50" s="255"/>
      <c r="AB50" s="251"/>
      <c r="AC50" s="251"/>
    </row>
    <row r="51" spans="1:29" s="252" customFormat="1" ht="24.95" customHeight="1">
      <c r="A51" s="849"/>
      <c r="B51" s="850"/>
      <c r="C51" s="851"/>
      <c r="D51" s="851"/>
      <c r="E51" s="851"/>
      <c r="F51" s="864"/>
      <c r="G51" s="864"/>
      <c r="H51" s="865"/>
      <c r="I51" s="855"/>
      <c r="J51" s="866" t="s">
        <v>5655</v>
      </c>
      <c r="K51" s="3163"/>
      <c r="L51" s="3163"/>
      <c r="M51" s="3163"/>
      <c r="N51" s="3535"/>
      <c r="O51" s="3163"/>
      <c r="P51" s="3163"/>
      <c r="Q51" s="869"/>
      <c r="R51" s="3163"/>
      <c r="S51" s="3535">
        <v>7000000</v>
      </c>
      <c r="T51" s="3163" t="s">
        <v>0</v>
      </c>
      <c r="U51" s="3163"/>
      <c r="V51" s="3163">
        <v>1</v>
      </c>
      <c r="W51" s="3163" t="s">
        <v>3</v>
      </c>
      <c r="X51" s="3165" t="s">
        <v>1</v>
      </c>
      <c r="Y51" s="3536">
        <f t="shared" si="3"/>
        <v>7000</v>
      </c>
      <c r="Z51" s="872">
        <f t="shared" si="4"/>
        <v>7000000</v>
      </c>
      <c r="AA51" s="255"/>
      <c r="AB51" s="251"/>
      <c r="AC51" s="251"/>
    </row>
    <row r="52" spans="1:29" s="252" customFormat="1" ht="24.95" customHeight="1">
      <c r="A52" s="849"/>
      <c r="B52" s="850"/>
      <c r="C52" s="851"/>
      <c r="D52" s="851"/>
      <c r="E52" s="851"/>
      <c r="F52" s="864"/>
      <c r="G52" s="864"/>
      <c r="H52" s="865"/>
      <c r="I52" s="855"/>
      <c r="J52" s="866" t="s">
        <v>5656</v>
      </c>
      <c r="K52" s="3163"/>
      <c r="L52" s="3163"/>
      <c r="M52" s="3163"/>
      <c r="N52" s="3535"/>
      <c r="O52" s="3163"/>
      <c r="P52" s="3163"/>
      <c r="Q52" s="869"/>
      <c r="R52" s="3163"/>
      <c r="S52" s="3535">
        <v>2000000</v>
      </c>
      <c r="T52" s="3163" t="s">
        <v>0</v>
      </c>
      <c r="U52" s="3163"/>
      <c r="V52" s="3163">
        <v>12</v>
      </c>
      <c r="W52" s="3163" t="s">
        <v>3</v>
      </c>
      <c r="X52" s="3165" t="s">
        <v>1</v>
      </c>
      <c r="Y52" s="3536">
        <f t="shared" si="3"/>
        <v>24000</v>
      </c>
      <c r="Z52" s="872">
        <f t="shared" si="4"/>
        <v>24000000</v>
      </c>
      <c r="AA52" s="255"/>
      <c r="AB52" s="251"/>
      <c r="AC52" s="251"/>
    </row>
    <row r="53" spans="1:29" s="252" customFormat="1" ht="24.95" customHeight="1">
      <c r="A53" s="849"/>
      <c r="B53" s="850"/>
      <c r="C53" s="851"/>
      <c r="D53" s="851"/>
      <c r="E53" s="851"/>
      <c r="F53" s="864"/>
      <c r="G53" s="864"/>
      <c r="H53" s="865"/>
      <c r="I53" s="855"/>
      <c r="J53" s="866" t="s">
        <v>5657</v>
      </c>
      <c r="K53" s="3163"/>
      <c r="L53" s="3163"/>
      <c r="M53" s="3163"/>
      <c r="N53" s="3535"/>
      <c r="O53" s="3163"/>
      <c r="P53" s="3163"/>
      <c r="Q53" s="869"/>
      <c r="R53" s="3163"/>
      <c r="S53" s="3535">
        <v>20000000</v>
      </c>
      <c r="T53" s="3163" t="s">
        <v>0</v>
      </c>
      <c r="U53" s="3163"/>
      <c r="V53" s="3163">
        <v>1</v>
      </c>
      <c r="W53" s="3163" t="s">
        <v>3</v>
      </c>
      <c r="X53" s="3165" t="s">
        <v>1</v>
      </c>
      <c r="Y53" s="3536">
        <f t="shared" si="3"/>
        <v>20000</v>
      </c>
      <c r="Z53" s="872">
        <f t="shared" si="4"/>
        <v>20000000</v>
      </c>
      <c r="AA53" s="255"/>
      <c r="AB53" s="251"/>
      <c r="AC53" s="251"/>
    </row>
    <row r="54" spans="1:29" s="252" customFormat="1" ht="24.95" customHeight="1">
      <c r="A54" s="849"/>
      <c r="B54" s="850"/>
      <c r="C54" s="851"/>
      <c r="D54" s="851"/>
      <c r="E54" s="971"/>
      <c r="F54" s="2169"/>
      <c r="G54" s="2169"/>
      <c r="H54" s="990"/>
      <c r="I54" s="855"/>
      <c r="J54" s="1018" t="s">
        <v>5658</v>
      </c>
      <c r="K54" s="978"/>
      <c r="L54" s="978"/>
      <c r="M54" s="978"/>
      <c r="N54" s="3537"/>
      <c r="O54" s="978"/>
      <c r="P54" s="978"/>
      <c r="Q54" s="1019"/>
      <c r="R54" s="978"/>
      <c r="S54" s="3537">
        <v>1000000</v>
      </c>
      <c r="T54" s="978" t="s">
        <v>0</v>
      </c>
      <c r="U54" s="978"/>
      <c r="V54" s="978">
        <v>1</v>
      </c>
      <c r="W54" s="978" t="s">
        <v>3</v>
      </c>
      <c r="X54" s="1025" t="s">
        <v>1</v>
      </c>
      <c r="Y54" s="3538">
        <f t="shared" si="3"/>
        <v>1000</v>
      </c>
      <c r="Z54" s="982">
        <f t="shared" si="4"/>
        <v>1000000</v>
      </c>
      <c r="AA54" s="255"/>
      <c r="AB54" s="251"/>
      <c r="AC54" s="251"/>
    </row>
    <row r="55" spans="1:29" s="252" customFormat="1" ht="24.95" customHeight="1">
      <c r="A55" s="849"/>
      <c r="B55" s="850"/>
      <c r="C55" s="851"/>
      <c r="D55" s="851"/>
      <c r="E55" s="851" t="s">
        <v>80</v>
      </c>
      <c r="F55" s="864">
        <f>Y55</f>
        <v>62100</v>
      </c>
      <c r="G55" s="864">
        <v>50100</v>
      </c>
      <c r="H55" s="865">
        <f>F55-G55</f>
        <v>12000</v>
      </c>
      <c r="I55" s="855"/>
      <c r="J55" s="3618" t="s">
        <v>224</v>
      </c>
      <c r="K55" s="3163"/>
      <c r="L55" s="3163"/>
      <c r="M55" s="3163"/>
      <c r="N55" s="3164"/>
      <c r="O55" s="3164"/>
      <c r="P55" s="3163"/>
      <c r="Q55" s="869"/>
      <c r="R55" s="3163"/>
      <c r="S55" s="3163"/>
      <c r="T55" s="3163"/>
      <c r="U55" s="3163"/>
      <c r="V55" s="3163"/>
      <c r="W55" s="3163"/>
      <c r="X55" s="3165"/>
      <c r="Y55" s="871">
        <f t="shared" ref="Y55:Y65" si="5">+Z55/1000</f>
        <v>62100</v>
      </c>
      <c r="Z55" s="872">
        <f>SUM(Z56:Z65)</f>
        <v>62100000</v>
      </c>
      <c r="AA55" s="255"/>
      <c r="AB55" s="251"/>
      <c r="AC55" s="251"/>
    </row>
    <row r="56" spans="1:29" s="252" customFormat="1" ht="24.95" customHeight="1">
      <c r="A56" s="849"/>
      <c r="B56" s="850"/>
      <c r="C56" s="851"/>
      <c r="D56" s="851"/>
      <c r="E56" s="851"/>
      <c r="F56" s="864"/>
      <c r="G56" s="864"/>
      <c r="H56" s="865"/>
      <c r="I56" s="855"/>
      <c r="J56" s="3618" t="s">
        <v>5824</v>
      </c>
      <c r="K56" s="3163"/>
      <c r="L56" s="3163"/>
      <c r="M56" s="3163"/>
      <c r="N56" s="3164"/>
      <c r="O56" s="3163"/>
      <c r="P56" s="3163"/>
      <c r="Q56" s="869">
        <v>1</v>
      </c>
      <c r="R56" s="3163" t="s">
        <v>31</v>
      </c>
      <c r="S56" s="3164">
        <v>500000</v>
      </c>
      <c r="T56" s="3163" t="s">
        <v>0</v>
      </c>
      <c r="U56" s="3163"/>
      <c r="V56" s="3163">
        <v>12</v>
      </c>
      <c r="W56" s="3163" t="s">
        <v>2</v>
      </c>
      <c r="X56" s="3165" t="s">
        <v>1</v>
      </c>
      <c r="Y56" s="871">
        <f t="shared" si="5"/>
        <v>6000</v>
      </c>
      <c r="Z56" s="872">
        <f>S56*Q56*V56</f>
        <v>6000000</v>
      </c>
      <c r="AA56" s="255"/>
      <c r="AB56" s="251"/>
      <c r="AC56" s="251"/>
    </row>
    <row r="57" spans="1:29" s="252" customFormat="1" ht="24.95" customHeight="1">
      <c r="A57" s="849"/>
      <c r="B57" s="850"/>
      <c r="C57" s="851"/>
      <c r="D57" s="851"/>
      <c r="E57" s="851"/>
      <c r="F57" s="864"/>
      <c r="G57" s="864"/>
      <c r="H57" s="865"/>
      <c r="I57" s="855"/>
      <c r="J57" s="3618" t="s">
        <v>5825</v>
      </c>
      <c r="K57" s="3163"/>
      <c r="L57" s="3163"/>
      <c r="M57" s="3163"/>
      <c r="N57" s="3164"/>
      <c r="O57" s="3163"/>
      <c r="P57" s="3163"/>
      <c r="Q57" s="869"/>
      <c r="R57" s="3163"/>
      <c r="S57" s="3164">
        <v>25000</v>
      </c>
      <c r="T57" s="3163" t="s">
        <v>0</v>
      </c>
      <c r="U57" s="3163"/>
      <c r="V57" s="3163">
        <v>14</v>
      </c>
      <c r="W57" s="3163" t="s">
        <v>3</v>
      </c>
      <c r="X57" s="3165" t="s">
        <v>1</v>
      </c>
      <c r="Y57" s="871">
        <f t="shared" si="5"/>
        <v>350</v>
      </c>
      <c r="Z57" s="872">
        <f>S57*V57</f>
        <v>350000</v>
      </c>
      <c r="AA57" s="255"/>
      <c r="AB57" s="251"/>
      <c r="AC57" s="251"/>
    </row>
    <row r="58" spans="1:29" s="252" customFormat="1" ht="24.95" customHeight="1">
      <c r="A58" s="849"/>
      <c r="B58" s="850"/>
      <c r="C58" s="851"/>
      <c r="D58" s="851"/>
      <c r="E58" s="851"/>
      <c r="F58" s="864"/>
      <c r="G58" s="864"/>
      <c r="H58" s="865"/>
      <c r="I58" s="855"/>
      <c r="J58" s="3618" t="s">
        <v>5826</v>
      </c>
      <c r="K58" s="3163"/>
      <c r="L58" s="3163"/>
      <c r="M58" s="3163"/>
      <c r="N58" s="3164"/>
      <c r="O58" s="3164"/>
      <c r="P58" s="3163"/>
      <c r="Q58" s="3163"/>
      <c r="R58" s="3163"/>
      <c r="S58" s="3163">
        <v>450000</v>
      </c>
      <c r="T58" s="3163" t="s">
        <v>0</v>
      </c>
      <c r="U58" s="3163"/>
      <c r="V58" s="3163">
        <v>2</v>
      </c>
      <c r="W58" s="3163" t="s">
        <v>3</v>
      </c>
      <c r="X58" s="3165" t="s">
        <v>1</v>
      </c>
      <c r="Y58" s="871">
        <f t="shared" si="5"/>
        <v>900</v>
      </c>
      <c r="Z58" s="872">
        <f>S58*V58</f>
        <v>900000</v>
      </c>
      <c r="AA58" s="255"/>
      <c r="AB58" s="251"/>
      <c r="AC58" s="251"/>
    </row>
    <row r="59" spans="1:29" s="252" customFormat="1" ht="24.95" customHeight="1">
      <c r="A59" s="849"/>
      <c r="B59" s="850"/>
      <c r="C59" s="851"/>
      <c r="D59" s="851"/>
      <c r="E59" s="851"/>
      <c r="F59" s="864"/>
      <c r="G59" s="864"/>
      <c r="H59" s="865"/>
      <c r="I59" s="855"/>
      <c r="J59" s="3845" t="s">
        <v>5827</v>
      </c>
      <c r="K59" s="3846"/>
      <c r="L59" s="3846"/>
      <c r="M59" s="3846"/>
      <c r="N59" s="1017"/>
      <c r="O59" s="3163"/>
      <c r="P59" s="3163"/>
      <c r="Q59" s="3163">
        <v>50</v>
      </c>
      <c r="R59" s="3163" t="s">
        <v>34</v>
      </c>
      <c r="S59" s="3164">
        <v>5000</v>
      </c>
      <c r="T59" s="3163" t="s">
        <v>0</v>
      </c>
      <c r="U59" s="3163"/>
      <c r="V59" s="3163">
        <v>12</v>
      </c>
      <c r="W59" s="3163" t="s">
        <v>2</v>
      </c>
      <c r="X59" s="3165" t="s">
        <v>1</v>
      </c>
      <c r="Y59" s="871">
        <f t="shared" si="5"/>
        <v>3000</v>
      </c>
      <c r="Z59" s="872">
        <f>S59*V59*Q59</f>
        <v>3000000</v>
      </c>
      <c r="AA59" s="255"/>
      <c r="AB59" s="251"/>
      <c r="AC59" s="251"/>
    </row>
    <row r="60" spans="1:29" s="252" customFormat="1" ht="24.95" customHeight="1">
      <c r="A60" s="849"/>
      <c r="B60" s="850"/>
      <c r="C60" s="851"/>
      <c r="D60" s="851"/>
      <c r="E60" s="851"/>
      <c r="F60" s="864"/>
      <c r="G60" s="864"/>
      <c r="H60" s="865"/>
      <c r="I60" s="855"/>
      <c r="J60" s="3845" t="s">
        <v>5828</v>
      </c>
      <c r="K60" s="3846"/>
      <c r="L60" s="3846"/>
      <c r="M60" s="3846"/>
      <c r="N60" s="1017"/>
      <c r="O60" s="3163"/>
      <c r="P60" s="3163"/>
      <c r="Q60" s="3163">
        <v>5</v>
      </c>
      <c r="R60" s="3163" t="s">
        <v>32</v>
      </c>
      <c r="S60" s="3164">
        <v>250000</v>
      </c>
      <c r="T60" s="3163" t="s">
        <v>0</v>
      </c>
      <c r="U60" s="3163"/>
      <c r="V60" s="3163">
        <v>7</v>
      </c>
      <c r="W60" s="3163" t="s">
        <v>3</v>
      </c>
      <c r="X60" s="3165" t="s">
        <v>1</v>
      </c>
      <c r="Y60" s="871">
        <f t="shared" si="5"/>
        <v>8750</v>
      </c>
      <c r="Z60" s="872">
        <f>S60*V60*Q60</f>
        <v>8750000</v>
      </c>
      <c r="AA60" s="255"/>
      <c r="AB60" s="251"/>
      <c r="AC60" s="251"/>
    </row>
    <row r="61" spans="1:29" s="252" customFormat="1" ht="24.95" customHeight="1">
      <c r="A61" s="849"/>
      <c r="B61" s="850"/>
      <c r="C61" s="851"/>
      <c r="D61" s="851"/>
      <c r="E61" s="851"/>
      <c r="F61" s="864"/>
      <c r="G61" s="864"/>
      <c r="H61" s="865"/>
      <c r="I61" s="855"/>
      <c r="J61" s="3845" t="s">
        <v>5829</v>
      </c>
      <c r="K61" s="3846"/>
      <c r="L61" s="3846"/>
      <c r="M61" s="3846"/>
      <c r="N61" s="1017"/>
      <c r="O61" s="3163"/>
      <c r="P61" s="3163"/>
      <c r="Q61" s="3163">
        <v>6</v>
      </c>
      <c r="R61" s="3163" t="s">
        <v>32</v>
      </c>
      <c r="S61" s="3164">
        <v>200000</v>
      </c>
      <c r="T61" s="3163" t="s">
        <v>0</v>
      </c>
      <c r="U61" s="3163"/>
      <c r="V61" s="3163">
        <v>7</v>
      </c>
      <c r="W61" s="3163" t="s">
        <v>3</v>
      </c>
      <c r="X61" s="3165" t="s">
        <v>1</v>
      </c>
      <c r="Y61" s="871">
        <f t="shared" si="5"/>
        <v>8400</v>
      </c>
      <c r="Z61" s="872">
        <f>S61*V61*Q61</f>
        <v>8400000</v>
      </c>
      <c r="AA61" s="255"/>
      <c r="AB61" s="251"/>
      <c r="AC61" s="251"/>
    </row>
    <row r="62" spans="1:29" s="252" customFormat="1" ht="24.95" customHeight="1">
      <c r="A62" s="849"/>
      <c r="B62" s="850"/>
      <c r="C62" s="851"/>
      <c r="D62" s="851"/>
      <c r="E62" s="851"/>
      <c r="F62" s="864"/>
      <c r="G62" s="864"/>
      <c r="H62" s="865"/>
      <c r="I62" s="855"/>
      <c r="J62" s="3618" t="s">
        <v>5830</v>
      </c>
      <c r="K62" s="3163"/>
      <c r="L62" s="3163"/>
      <c r="M62" s="3163"/>
      <c r="N62" s="3164"/>
      <c r="O62" s="3163"/>
      <c r="P62" s="3163"/>
      <c r="Q62" s="869">
        <v>4</v>
      </c>
      <c r="R62" s="3163" t="s">
        <v>32</v>
      </c>
      <c r="S62" s="3164">
        <v>200000</v>
      </c>
      <c r="T62" s="3163" t="s">
        <v>0</v>
      </c>
      <c r="U62" s="3163"/>
      <c r="V62" s="3163">
        <v>7</v>
      </c>
      <c r="W62" s="3163" t="s">
        <v>3</v>
      </c>
      <c r="X62" s="3165" t="s">
        <v>1</v>
      </c>
      <c r="Y62" s="871">
        <f t="shared" si="5"/>
        <v>5600</v>
      </c>
      <c r="Z62" s="872">
        <f>S62*V62*Q62</f>
        <v>5600000</v>
      </c>
      <c r="AA62" s="255"/>
      <c r="AB62" s="251"/>
      <c r="AC62" s="251"/>
    </row>
    <row r="63" spans="1:29" s="252" customFormat="1" ht="24.95" customHeight="1">
      <c r="A63" s="849"/>
      <c r="B63" s="850"/>
      <c r="C63" s="851"/>
      <c r="D63" s="851"/>
      <c r="E63" s="851"/>
      <c r="F63" s="864"/>
      <c r="G63" s="864"/>
      <c r="H63" s="865"/>
      <c r="I63" s="855"/>
      <c r="J63" s="3845" t="s">
        <v>5831</v>
      </c>
      <c r="K63" s="3846"/>
      <c r="L63" s="3846"/>
      <c r="M63" s="3846"/>
      <c r="N63" s="1017"/>
      <c r="O63" s="3163"/>
      <c r="P63" s="3163"/>
      <c r="Q63" s="3163">
        <v>7</v>
      </c>
      <c r="R63" s="3163" t="s">
        <v>32</v>
      </c>
      <c r="S63" s="3164">
        <v>100000</v>
      </c>
      <c r="T63" s="3163" t="s">
        <v>0</v>
      </c>
      <c r="U63" s="3163"/>
      <c r="V63" s="3163">
        <v>8</v>
      </c>
      <c r="W63" s="3163" t="s">
        <v>3</v>
      </c>
      <c r="X63" s="3165" t="s">
        <v>1</v>
      </c>
      <c r="Y63" s="871">
        <f t="shared" si="5"/>
        <v>5600</v>
      </c>
      <c r="Z63" s="872">
        <f>S63*V63*Q63</f>
        <v>5600000</v>
      </c>
      <c r="AA63" s="255"/>
      <c r="AB63" s="251"/>
      <c r="AC63" s="251"/>
    </row>
    <row r="64" spans="1:29" s="252" customFormat="1" ht="24.95" customHeight="1">
      <c r="A64" s="849"/>
      <c r="B64" s="850"/>
      <c r="C64" s="851"/>
      <c r="D64" s="851"/>
      <c r="E64" s="851"/>
      <c r="F64" s="864"/>
      <c r="G64" s="864"/>
      <c r="H64" s="865"/>
      <c r="I64" s="855"/>
      <c r="J64" s="3618" t="s">
        <v>5832</v>
      </c>
      <c r="K64" s="3163"/>
      <c r="L64" s="3163"/>
      <c r="M64" s="3163"/>
      <c r="N64" s="3164"/>
      <c r="O64" s="3164"/>
      <c r="P64" s="3163"/>
      <c r="Q64" s="869"/>
      <c r="R64" s="3163"/>
      <c r="S64" s="3163">
        <v>1000000</v>
      </c>
      <c r="T64" s="3163" t="s">
        <v>0</v>
      </c>
      <c r="U64" s="3163"/>
      <c r="V64" s="3163">
        <v>11.5</v>
      </c>
      <c r="W64" s="3163" t="s">
        <v>2</v>
      </c>
      <c r="X64" s="3165" t="s">
        <v>1</v>
      </c>
      <c r="Y64" s="871">
        <f t="shared" si="5"/>
        <v>11500</v>
      </c>
      <c r="Z64" s="1405">
        <f>S64*V64</f>
        <v>11500000</v>
      </c>
      <c r="AA64" s="255"/>
      <c r="AB64" s="251"/>
      <c r="AC64" s="251"/>
    </row>
    <row r="65" spans="1:30" s="252" customFormat="1" ht="24.95" customHeight="1">
      <c r="A65" s="849"/>
      <c r="B65" s="850"/>
      <c r="C65" s="851"/>
      <c r="D65" s="851"/>
      <c r="E65" s="851"/>
      <c r="F65" s="864"/>
      <c r="G65" s="864"/>
      <c r="H65" s="865"/>
      <c r="I65" s="855"/>
      <c r="J65" s="3618" t="s">
        <v>5833</v>
      </c>
      <c r="K65" s="3163"/>
      <c r="L65" s="3163"/>
      <c r="M65" s="3163"/>
      <c r="N65" s="3164"/>
      <c r="O65" s="3164"/>
      <c r="P65" s="3163"/>
      <c r="Q65" s="869"/>
      <c r="R65" s="3163"/>
      <c r="S65" s="3163">
        <v>6000000</v>
      </c>
      <c r="T65" s="3163" t="s">
        <v>0</v>
      </c>
      <c r="U65" s="3163"/>
      <c r="V65" s="3163">
        <v>2</v>
      </c>
      <c r="W65" s="3163" t="s">
        <v>787</v>
      </c>
      <c r="X65" s="3165" t="s">
        <v>1</v>
      </c>
      <c r="Y65" s="871">
        <f t="shared" si="5"/>
        <v>12000</v>
      </c>
      <c r="Z65" s="1405">
        <f>S65*V65</f>
        <v>12000000</v>
      </c>
      <c r="AA65" s="255"/>
      <c r="AB65" s="251"/>
      <c r="AC65" s="251"/>
    </row>
    <row r="66" spans="1:30" s="252" customFormat="1" ht="24.95" customHeight="1">
      <c r="A66" s="849"/>
      <c r="B66" s="850"/>
      <c r="C66" s="851"/>
      <c r="D66" s="851"/>
      <c r="E66" s="852" t="s">
        <v>166</v>
      </c>
      <c r="F66" s="853">
        <f>Y66</f>
        <v>299419</v>
      </c>
      <c r="G66" s="853">
        <v>299419</v>
      </c>
      <c r="H66" s="854"/>
      <c r="I66" s="855"/>
      <c r="J66" s="856" t="s">
        <v>8</v>
      </c>
      <c r="K66" s="857"/>
      <c r="L66" s="857"/>
      <c r="M66" s="857"/>
      <c r="N66" s="3539"/>
      <c r="O66" s="3539"/>
      <c r="P66" s="857"/>
      <c r="Q66" s="859"/>
      <c r="R66" s="857"/>
      <c r="S66" s="857"/>
      <c r="T66" s="857"/>
      <c r="U66" s="857"/>
      <c r="V66" s="857"/>
      <c r="W66" s="857"/>
      <c r="X66" s="860"/>
      <c r="Y66" s="3540">
        <f>Z66/1000</f>
        <v>299419</v>
      </c>
      <c r="Z66" s="862">
        <f>SUM(Z67:Z69)</f>
        <v>299419000</v>
      </c>
      <c r="AA66" s="255"/>
      <c r="AB66" s="251"/>
      <c r="AC66" s="251"/>
    </row>
    <row r="67" spans="1:30" s="252" customFormat="1" ht="24.95" customHeight="1">
      <c r="A67" s="849"/>
      <c r="B67" s="850"/>
      <c r="C67" s="851"/>
      <c r="D67" s="851"/>
      <c r="E67" s="851"/>
      <c r="F67" s="864"/>
      <c r="G67" s="864"/>
      <c r="H67" s="865"/>
      <c r="I67" s="855"/>
      <c r="J67" s="866" t="s">
        <v>5659</v>
      </c>
      <c r="K67" s="3163"/>
      <c r="L67" s="3163"/>
      <c r="M67" s="3163"/>
      <c r="N67" s="3541"/>
      <c r="O67" s="3163"/>
      <c r="P67" s="3163"/>
      <c r="Q67" s="869"/>
      <c r="R67" s="3163"/>
      <c r="S67" s="3541">
        <v>16751583.333333334</v>
      </c>
      <c r="T67" s="3163" t="s">
        <v>0</v>
      </c>
      <c r="U67" s="3163"/>
      <c r="V67" s="3163">
        <v>12</v>
      </c>
      <c r="W67" s="3163" t="s">
        <v>2</v>
      </c>
      <c r="X67" s="3165" t="s">
        <v>1</v>
      </c>
      <c r="Y67" s="3542">
        <f t="shared" ref="Y67:Y69" si="6">Z67/1000</f>
        <v>201019</v>
      </c>
      <c r="Z67" s="872">
        <f>S67*V67</f>
        <v>201019000</v>
      </c>
      <c r="AA67" s="255"/>
      <c r="AB67" s="251"/>
      <c r="AC67" s="251"/>
    </row>
    <row r="68" spans="1:30" s="252" customFormat="1" ht="24.95" customHeight="1">
      <c r="A68" s="849"/>
      <c r="B68" s="850"/>
      <c r="C68" s="851"/>
      <c r="D68" s="851"/>
      <c r="E68" s="851"/>
      <c r="F68" s="864"/>
      <c r="G68" s="864"/>
      <c r="H68" s="865"/>
      <c r="I68" s="855"/>
      <c r="J68" s="866" t="s">
        <v>5660</v>
      </c>
      <c r="K68" s="3163"/>
      <c r="L68" s="3163"/>
      <c r="M68" s="3163"/>
      <c r="N68" s="3541"/>
      <c r="O68" s="3541"/>
      <c r="P68" s="3163"/>
      <c r="Q68" s="869"/>
      <c r="R68" s="3163"/>
      <c r="S68" s="3541">
        <v>6000000</v>
      </c>
      <c r="T68" s="3163" t="s">
        <v>0</v>
      </c>
      <c r="U68" s="3163"/>
      <c r="V68" s="3163">
        <v>12</v>
      </c>
      <c r="W68" s="3163" t="s">
        <v>2</v>
      </c>
      <c r="X68" s="3165" t="s">
        <v>1</v>
      </c>
      <c r="Y68" s="3542">
        <f t="shared" si="6"/>
        <v>72000</v>
      </c>
      <c r="Z68" s="872">
        <f t="shared" ref="Z68:Z69" si="7">S68*V68</f>
        <v>72000000</v>
      </c>
      <c r="AA68" s="255"/>
      <c r="AB68" s="251"/>
      <c r="AC68" s="251"/>
    </row>
    <row r="69" spans="1:30" s="252" customFormat="1" ht="24.95" customHeight="1">
      <c r="A69" s="849"/>
      <c r="B69" s="850"/>
      <c r="C69" s="851"/>
      <c r="D69" s="851"/>
      <c r="E69" s="971"/>
      <c r="F69" s="2169"/>
      <c r="G69" s="2169"/>
      <c r="H69" s="990"/>
      <c r="I69" s="855"/>
      <c r="J69" s="1018" t="s">
        <v>5661</v>
      </c>
      <c r="K69" s="978"/>
      <c r="L69" s="978"/>
      <c r="M69" s="978"/>
      <c r="N69" s="3543"/>
      <c r="O69" s="3543"/>
      <c r="P69" s="978"/>
      <c r="Q69" s="1019"/>
      <c r="R69" s="978"/>
      <c r="S69" s="3543">
        <v>2200000</v>
      </c>
      <c r="T69" s="978" t="s">
        <v>0</v>
      </c>
      <c r="U69" s="978"/>
      <c r="V69" s="978">
        <v>12</v>
      </c>
      <c r="W69" s="978" t="s">
        <v>2</v>
      </c>
      <c r="X69" s="1025" t="s">
        <v>1</v>
      </c>
      <c r="Y69" s="3544">
        <f t="shared" si="6"/>
        <v>26400</v>
      </c>
      <c r="Z69" s="982">
        <f t="shared" si="7"/>
        <v>26400000</v>
      </c>
      <c r="AA69" s="255"/>
      <c r="AB69" s="251"/>
      <c r="AC69" s="251"/>
    </row>
    <row r="70" spans="1:30" s="691" customFormat="1" ht="24.95" customHeight="1">
      <c r="A70" s="849"/>
      <c r="B70" s="850"/>
      <c r="C70" s="851"/>
      <c r="D70" s="851"/>
      <c r="E70" s="851" t="s">
        <v>831</v>
      </c>
      <c r="F70" s="864">
        <f>Y70</f>
        <v>115225</v>
      </c>
      <c r="G70" s="864">
        <v>115225</v>
      </c>
      <c r="H70" s="865"/>
      <c r="I70" s="855"/>
      <c r="J70" s="866" t="s">
        <v>768</v>
      </c>
      <c r="K70" s="3163"/>
      <c r="L70" s="3163"/>
      <c r="M70" s="3163"/>
      <c r="N70" s="3164"/>
      <c r="O70" s="3164"/>
      <c r="P70" s="3163"/>
      <c r="Q70" s="869"/>
      <c r="R70" s="3163"/>
      <c r="S70" s="3163"/>
      <c r="T70" s="3163"/>
      <c r="U70" s="3163"/>
      <c r="V70" s="3163"/>
      <c r="W70" s="3163"/>
      <c r="X70" s="3165"/>
      <c r="Y70" s="871">
        <f t="shared" si="2"/>
        <v>115225</v>
      </c>
      <c r="Z70" s="872">
        <f>SUM(Z71:Z76)</f>
        <v>115225000</v>
      </c>
      <c r="AA70" s="255"/>
      <c r="AB70" s="863"/>
      <c r="AC70" s="863"/>
    </row>
    <row r="71" spans="1:30" s="252" customFormat="1" ht="24.95" customHeight="1">
      <c r="A71" s="849"/>
      <c r="B71" s="850"/>
      <c r="C71" s="851"/>
      <c r="D71" s="851"/>
      <c r="E71" s="851"/>
      <c r="F71" s="864"/>
      <c r="G71" s="864"/>
      <c r="H71" s="865"/>
      <c r="I71" s="855"/>
      <c r="J71" s="866" t="s">
        <v>1600</v>
      </c>
      <c r="K71" s="867"/>
      <c r="L71" s="867"/>
      <c r="M71" s="867"/>
      <c r="N71" s="868"/>
      <c r="O71" s="868"/>
      <c r="P71" s="867"/>
      <c r="Q71" s="869"/>
      <c r="R71" s="867"/>
      <c r="S71" s="868">
        <v>1468750</v>
      </c>
      <c r="T71" s="867" t="s">
        <v>0</v>
      </c>
      <c r="U71" s="867"/>
      <c r="V71" s="867">
        <v>12</v>
      </c>
      <c r="W71" s="867" t="s">
        <v>2</v>
      </c>
      <c r="X71" s="870" t="s">
        <v>1</v>
      </c>
      <c r="Y71" s="871">
        <f t="shared" si="2"/>
        <v>17625</v>
      </c>
      <c r="Z71" s="872">
        <f>S71*V71</f>
        <v>17625000</v>
      </c>
      <c r="AA71" s="255"/>
      <c r="AB71" s="251"/>
      <c r="AC71" s="251"/>
    </row>
    <row r="72" spans="1:30" s="252" customFormat="1" ht="24.95" customHeight="1">
      <c r="A72" s="849"/>
      <c r="B72" s="850"/>
      <c r="C72" s="851"/>
      <c r="D72" s="851"/>
      <c r="E72" s="851" t="s">
        <v>832</v>
      </c>
      <c r="F72" s="864"/>
      <c r="G72" s="864"/>
      <c r="H72" s="865"/>
      <c r="I72" s="855"/>
      <c r="J72" s="866" t="s">
        <v>1601</v>
      </c>
      <c r="K72" s="867"/>
      <c r="L72" s="867"/>
      <c r="M72" s="867"/>
      <c r="N72" s="868"/>
      <c r="O72" s="868"/>
      <c r="P72" s="867"/>
      <c r="Q72" s="869"/>
      <c r="R72" s="867"/>
      <c r="S72" s="868">
        <v>3275000</v>
      </c>
      <c r="T72" s="867" t="s">
        <v>0</v>
      </c>
      <c r="U72" s="867"/>
      <c r="V72" s="867">
        <v>12</v>
      </c>
      <c r="W72" s="867" t="s">
        <v>2</v>
      </c>
      <c r="X72" s="870" t="s">
        <v>1</v>
      </c>
      <c r="Y72" s="871">
        <f t="shared" si="2"/>
        <v>39300</v>
      </c>
      <c r="Z72" s="872">
        <f>S72*V72</f>
        <v>39300000</v>
      </c>
      <c r="AA72" s="255"/>
      <c r="AB72" s="251"/>
      <c r="AC72" s="251"/>
    </row>
    <row r="73" spans="1:30" s="252" customFormat="1" ht="24.95" customHeight="1">
      <c r="A73" s="849"/>
      <c r="B73" s="850"/>
      <c r="C73" s="851"/>
      <c r="D73" s="851"/>
      <c r="E73" s="851"/>
      <c r="F73" s="864"/>
      <c r="G73" s="864"/>
      <c r="H73" s="865"/>
      <c r="I73" s="855"/>
      <c r="J73" s="866" t="s">
        <v>1602</v>
      </c>
      <c r="K73" s="867"/>
      <c r="L73" s="867"/>
      <c r="M73" s="867"/>
      <c r="N73" s="868"/>
      <c r="O73" s="868"/>
      <c r="P73" s="867"/>
      <c r="Q73" s="869"/>
      <c r="R73" s="867"/>
      <c r="S73" s="868">
        <v>1500000</v>
      </c>
      <c r="T73" s="867" t="s">
        <v>0</v>
      </c>
      <c r="U73" s="867"/>
      <c r="V73" s="867">
        <v>12</v>
      </c>
      <c r="W73" s="867" t="s">
        <v>2</v>
      </c>
      <c r="X73" s="870" t="s">
        <v>1</v>
      </c>
      <c r="Y73" s="871">
        <f t="shared" si="2"/>
        <v>18000</v>
      </c>
      <c r="Z73" s="872">
        <f>S73*V73</f>
        <v>18000000</v>
      </c>
      <c r="AA73" s="255"/>
      <c r="AB73" s="251"/>
      <c r="AC73" s="251"/>
    </row>
    <row r="74" spans="1:30" s="252" customFormat="1" ht="24.95" customHeight="1">
      <c r="A74" s="849"/>
      <c r="B74" s="850"/>
      <c r="C74" s="851"/>
      <c r="D74" s="851"/>
      <c r="E74" s="851"/>
      <c r="F74" s="864"/>
      <c r="G74" s="864"/>
      <c r="H74" s="865"/>
      <c r="I74" s="855"/>
      <c r="J74" s="866" t="s">
        <v>1603</v>
      </c>
      <c r="K74" s="867"/>
      <c r="L74" s="867"/>
      <c r="M74" s="867"/>
      <c r="N74" s="868"/>
      <c r="O74" s="868"/>
      <c r="P74" s="867"/>
      <c r="Q74" s="869"/>
      <c r="R74" s="867"/>
      <c r="S74" s="868">
        <v>700000</v>
      </c>
      <c r="T74" s="867" t="s">
        <v>0</v>
      </c>
      <c r="U74" s="867"/>
      <c r="V74" s="867">
        <v>12</v>
      </c>
      <c r="W74" s="867" t="s">
        <v>2</v>
      </c>
      <c r="X74" s="870" t="s">
        <v>1</v>
      </c>
      <c r="Y74" s="871">
        <f t="shared" si="2"/>
        <v>8400</v>
      </c>
      <c r="Z74" s="872">
        <f>S74*V74</f>
        <v>8400000</v>
      </c>
      <c r="AA74" s="255"/>
      <c r="AB74" s="251"/>
      <c r="AC74" s="251"/>
    </row>
    <row r="75" spans="1:30" s="252" customFormat="1" ht="24.95" customHeight="1">
      <c r="A75" s="849"/>
      <c r="B75" s="850"/>
      <c r="C75" s="851"/>
      <c r="D75" s="851"/>
      <c r="E75" s="851"/>
      <c r="F75" s="864"/>
      <c r="G75" s="864"/>
      <c r="H75" s="865"/>
      <c r="I75" s="855"/>
      <c r="J75" s="866" t="s">
        <v>1604</v>
      </c>
      <c r="K75" s="867"/>
      <c r="L75" s="867"/>
      <c r="M75" s="867"/>
      <c r="N75" s="868"/>
      <c r="O75" s="868"/>
      <c r="P75" s="867"/>
      <c r="Q75" s="869"/>
      <c r="R75" s="867"/>
      <c r="S75" s="868">
        <v>700000</v>
      </c>
      <c r="T75" s="867" t="s">
        <v>0</v>
      </c>
      <c r="U75" s="867"/>
      <c r="V75" s="867">
        <v>12</v>
      </c>
      <c r="W75" s="867" t="s">
        <v>2</v>
      </c>
      <c r="X75" s="870" t="s">
        <v>1</v>
      </c>
      <c r="Y75" s="871">
        <f t="shared" si="2"/>
        <v>8400</v>
      </c>
      <c r="Z75" s="872">
        <f>S75*V75</f>
        <v>8400000</v>
      </c>
      <c r="AA75" s="255"/>
      <c r="AB75" s="251"/>
      <c r="AC75" s="251"/>
    </row>
    <row r="76" spans="1:30" s="252" customFormat="1" ht="24.95" customHeight="1">
      <c r="A76" s="849"/>
      <c r="B76" s="850"/>
      <c r="C76" s="851"/>
      <c r="D76" s="851"/>
      <c r="E76" s="851"/>
      <c r="F76" s="864"/>
      <c r="G76" s="864"/>
      <c r="H76" s="865"/>
      <c r="I76" s="855"/>
      <c r="J76" s="866" t="s">
        <v>1788</v>
      </c>
      <c r="K76" s="867"/>
      <c r="L76" s="867"/>
      <c r="M76" s="867"/>
      <c r="N76" s="868"/>
      <c r="O76" s="868"/>
      <c r="P76" s="867"/>
      <c r="Q76" s="869"/>
      <c r="R76" s="867" t="s">
        <v>48</v>
      </c>
      <c r="S76" s="2185"/>
      <c r="T76" s="867"/>
      <c r="U76" s="867"/>
      <c r="V76" s="867"/>
      <c r="W76" s="867"/>
      <c r="X76" s="870" t="s">
        <v>1</v>
      </c>
      <c r="Y76" s="871">
        <f t="shared" ref="Y76" si="8">+Z76/1000</f>
        <v>23500</v>
      </c>
      <c r="Z76" s="1405">
        <v>23500000</v>
      </c>
      <c r="AA76" s="255"/>
      <c r="AB76" s="251"/>
      <c r="AC76" s="251"/>
    </row>
    <row r="77" spans="1:30" s="257" customFormat="1" ht="24.95" customHeight="1">
      <c r="A77" s="849"/>
      <c r="B77" s="850"/>
      <c r="C77" s="851"/>
      <c r="D77" s="851"/>
      <c r="E77" s="852" t="s">
        <v>95</v>
      </c>
      <c r="F77" s="853">
        <f>Y77</f>
        <v>34000</v>
      </c>
      <c r="G77" s="853">
        <v>34000</v>
      </c>
      <c r="H77" s="854"/>
      <c r="I77" s="855"/>
      <c r="J77" s="856" t="s">
        <v>768</v>
      </c>
      <c r="K77" s="857"/>
      <c r="L77" s="857"/>
      <c r="M77" s="857"/>
      <c r="N77" s="858"/>
      <c r="O77" s="858"/>
      <c r="P77" s="857"/>
      <c r="Q77" s="859"/>
      <c r="R77" s="857"/>
      <c r="S77" s="857"/>
      <c r="T77" s="857"/>
      <c r="U77" s="857"/>
      <c r="V77" s="857"/>
      <c r="W77" s="857"/>
      <c r="X77" s="860"/>
      <c r="Y77" s="861">
        <f t="shared" si="2"/>
        <v>34000</v>
      </c>
      <c r="Z77" s="862">
        <f>SUM(Z78:Z79)</f>
        <v>34000000</v>
      </c>
      <c r="AA77" s="255"/>
      <c r="AB77" s="251"/>
      <c r="AC77" s="256"/>
    </row>
    <row r="78" spans="1:30" s="257" customFormat="1" ht="24.95" customHeight="1">
      <c r="A78" s="849"/>
      <c r="B78" s="850"/>
      <c r="C78" s="851"/>
      <c r="D78" s="851"/>
      <c r="E78" s="851" t="s">
        <v>832</v>
      </c>
      <c r="F78" s="864"/>
      <c r="G78" s="864"/>
      <c r="H78" s="865"/>
      <c r="I78" s="855"/>
      <c r="J78" s="866" t="s">
        <v>268</v>
      </c>
      <c r="K78" s="867"/>
      <c r="L78" s="867"/>
      <c r="M78" s="867"/>
      <c r="N78" s="868"/>
      <c r="O78" s="867"/>
      <c r="P78" s="867"/>
      <c r="Q78" s="869">
        <v>60</v>
      </c>
      <c r="R78" s="867" t="s">
        <v>25</v>
      </c>
      <c r="S78" s="868">
        <v>26000</v>
      </c>
      <c r="T78" s="867" t="s">
        <v>0</v>
      </c>
      <c r="U78" s="867"/>
      <c r="V78" s="867">
        <v>12</v>
      </c>
      <c r="W78" s="867" t="s">
        <v>830</v>
      </c>
      <c r="X78" s="870" t="s">
        <v>1</v>
      </c>
      <c r="Y78" s="871">
        <f t="shared" si="2"/>
        <v>18720</v>
      </c>
      <c r="Z78" s="872">
        <f>Q78*S78*V78</f>
        <v>18720000</v>
      </c>
      <c r="AA78" s="255"/>
      <c r="AB78" s="251"/>
      <c r="AC78" s="256"/>
      <c r="AD78" s="258">
        <f>AB78-AC78</f>
        <v>0</v>
      </c>
    </row>
    <row r="79" spans="1:30" s="257" customFormat="1" ht="24.95" customHeight="1">
      <c r="A79" s="849"/>
      <c r="B79" s="850"/>
      <c r="C79" s="851"/>
      <c r="D79" s="851"/>
      <c r="E79" s="971" t="s">
        <v>20</v>
      </c>
      <c r="F79" s="2169"/>
      <c r="G79" s="2169"/>
      <c r="H79" s="990"/>
      <c r="I79" s="2186"/>
      <c r="J79" s="1018" t="s">
        <v>706</v>
      </c>
      <c r="K79" s="978"/>
      <c r="L79" s="978"/>
      <c r="M79" s="978"/>
      <c r="N79" s="979"/>
      <c r="O79" s="978"/>
      <c r="P79" s="978"/>
      <c r="Q79" s="1019">
        <v>5</v>
      </c>
      <c r="R79" s="978" t="s">
        <v>25</v>
      </c>
      <c r="S79" s="979">
        <v>3056000</v>
      </c>
      <c r="T79" s="978" t="s">
        <v>0</v>
      </c>
      <c r="U79" s="978"/>
      <c r="V79" s="978">
        <v>1</v>
      </c>
      <c r="W79" s="978" t="s">
        <v>828</v>
      </c>
      <c r="X79" s="1025" t="s">
        <v>1</v>
      </c>
      <c r="Y79" s="981">
        <f t="shared" si="2"/>
        <v>15280</v>
      </c>
      <c r="Z79" s="2187">
        <f>Q79*S79*V79</f>
        <v>15280000</v>
      </c>
      <c r="AA79" s="255"/>
      <c r="AB79" s="251"/>
      <c r="AC79" s="256"/>
    </row>
    <row r="80" spans="1:30" s="252" customFormat="1" ht="23.45" customHeight="1">
      <c r="A80" s="849"/>
      <c r="B80" s="850"/>
      <c r="C80" s="851"/>
      <c r="D80" s="851"/>
      <c r="E80" s="852" t="s">
        <v>82</v>
      </c>
      <c r="F80" s="853">
        <f>Y80</f>
        <v>302925</v>
      </c>
      <c r="G80" s="853">
        <v>292925</v>
      </c>
      <c r="H80" s="865">
        <f>F80-G80</f>
        <v>10000</v>
      </c>
      <c r="I80" s="873"/>
      <c r="J80" s="856" t="s">
        <v>224</v>
      </c>
      <c r="K80" s="857"/>
      <c r="L80" s="857"/>
      <c r="M80" s="857"/>
      <c r="N80" s="858"/>
      <c r="O80" s="857"/>
      <c r="P80" s="857"/>
      <c r="Q80" s="859"/>
      <c r="R80" s="857"/>
      <c r="S80" s="858"/>
      <c r="T80" s="857"/>
      <c r="U80" s="857"/>
      <c r="V80" s="857"/>
      <c r="W80" s="857"/>
      <c r="X80" s="860"/>
      <c r="Y80" s="861">
        <f t="shared" si="2"/>
        <v>302925</v>
      </c>
      <c r="Z80" s="862">
        <f>SUM(Z81,Z85,Z87)</f>
        <v>302925000</v>
      </c>
      <c r="AA80" s="255"/>
      <c r="AB80" s="251"/>
      <c r="AC80" s="251"/>
    </row>
    <row r="81" spans="1:29" s="252" customFormat="1" ht="23.45" customHeight="1">
      <c r="A81" s="849"/>
      <c r="B81" s="850"/>
      <c r="C81" s="851"/>
      <c r="D81" s="851"/>
      <c r="E81" s="1523" t="s">
        <v>832</v>
      </c>
      <c r="F81" s="2188"/>
      <c r="G81" s="864"/>
      <c r="H81" s="865"/>
      <c r="I81" s="855"/>
      <c r="J81" s="3618" t="s">
        <v>1605</v>
      </c>
      <c r="K81" s="3163"/>
      <c r="L81" s="3163"/>
      <c r="M81" s="3163"/>
      <c r="N81" s="3164"/>
      <c r="O81" s="3163"/>
      <c r="P81" s="3163"/>
      <c r="Q81" s="869"/>
      <c r="R81" s="3163"/>
      <c r="S81" s="3164"/>
      <c r="T81" s="3163"/>
      <c r="U81" s="3163"/>
      <c r="V81" s="3163"/>
      <c r="W81" s="3163"/>
      <c r="X81" s="3165"/>
      <c r="Y81" s="871">
        <f t="shared" si="2"/>
        <v>226125</v>
      </c>
      <c r="Z81" s="872">
        <f>SUM(Z82:Z84)</f>
        <v>226125000</v>
      </c>
      <c r="AA81" s="255"/>
      <c r="AB81" s="251"/>
      <c r="AC81" s="251"/>
    </row>
    <row r="82" spans="1:29" s="252" customFormat="1" ht="23.45" customHeight="1">
      <c r="A82" s="849"/>
      <c r="B82" s="850"/>
      <c r="C82" s="851"/>
      <c r="D82" s="851"/>
      <c r="E82" s="851"/>
      <c r="F82" s="864"/>
      <c r="G82" s="864"/>
      <c r="H82" s="865"/>
      <c r="I82" s="855"/>
      <c r="J82" s="3618" t="s">
        <v>1606</v>
      </c>
      <c r="K82" s="3163"/>
      <c r="L82" s="3163"/>
      <c r="M82" s="3163"/>
      <c r="N82" s="3164"/>
      <c r="O82" s="3163"/>
      <c r="P82" s="3163"/>
      <c r="Q82" s="869"/>
      <c r="R82" s="3163"/>
      <c r="S82" s="3164">
        <v>100000000</v>
      </c>
      <c r="T82" s="3163" t="s">
        <v>4</v>
      </c>
      <c r="U82" s="3163"/>
      <c r="V82" s="3163">
        <v>1</v>
      </c>
      <c r="W82" s="3163" t="s">
        <v>226</v>
      </c>
      <c r="X82" s="3165" t="s">
        <v>5</v>
      </c>
      <c r="Y82" s="871">
        <f t="shared" si="2"/>
        <v>100000</v>
      </c>
      <c r="Z82" s="872">
        <f>S82*V82</f>
        <v>100000000</v>
      </c>
      <c r="AA82" s="255"/>
      <c r="AB82" s="251"/>
      <c r="AC82" s="251"/>
    </row>
    <row r="83" spans="1:29" s="252" customFormat="1" ht="23.45" customHeight="1">
      <c r="A83" s="849"/>
      <c r="B83" s="850"/>
      <c r="C83" s="851"/>
      <c r="D83" s="851"/>
      <c r="E83" s="851"/>
      <c r="F83" s="864"/>
      <c r="G83" s="864"/>
      <c r="H83" s="865"/>
      <c r="I83" s="855"/>
      <c r="J83" s="3618" t="s">
        <v>1607</v>
      </c>
      <c r="K83" s="3163"/>
      <c r="L83" s="3163"/>
      <c r="M83" s="3163"/>
      <c r="N83" s="3164"/>
      <c r="O83" s="3163"/>
      <c r="P83" s="715"/>
      <c r="Q83" s="2189">
        <v>14700</v>
      </c>
      <c r="R83" s="3163" t="s">
        <v>23</v>
      </c>
      <c r="S83" s="3164">
        <v>1500</v>
      </c>
      <c r="T83" s="3163" t="s">
        <v>4</v>
      </c>
      <c r="U83" s="3163"/>
      <c r="V83" s="3163">
        <v>3</v>
      </c>
      <c r="W83" s="3163" t="s">
        <v>39</v>
      </c>
      <c r="X83" s="3165" t="s">
        <v>5</v>
      </c>
      <c r="Y83" s="871">
        <f t="shared" si="2"/>
        <v>66125</v>
      </c>
      <c r="Z83" s="872">
        <f>S83*V83*Q83-25000</f>
        <v>66125000</v>
      </c>
      <c r="AA83" s="255"/>
      <c r="AB83" s="251"/>
      <c r="AC83" s="251"/>
    </row>
    <row r="84" spans="1:29" s="257" customFormat="1" ht="23.45" customHeight="1">
      <c r="A84" s="849"/>
      <c r="B84" s="850"/>
      <c r="C84" s="851"/>
      <c r="D84" s="851"/>
      <c r="E84" s="851"/>
      <c r="F84" s="864"/>
      <c r="G84" s="864"/>
      <c r="H84" s="865"/>
      <c r="I84" s="855"/>
      <c r="J84" s="3618" t="s">
        <v>1608</v>
      </c>
      <c r="K84" s="3163"/>
      <c r="L84" s="3163"/>
      <c r="M84" s="3163"/>
      <c r="N84" s="3164"/>
      <c r="O84" s="3163"/>
      <c r="P84" s="2189"/>
      <c r="Q84" s="869"/>
      <c r="R84" s="3163"/>
      <c r="S84" s="3164">
        <v>5000000</v>
      </c>
      <c r="T84" s="3163" t="s">
        <v>4</v>
      </c>
      <c r="U84" s="3163"/>
      <c r="V84" s="3163">
        <v>12</v>
      </c>
      <c r="W84" s="3163" t="s">
        <v>55</v>
      </c>
      <c r="X84" s="3165" t="s">
        <v>5</v>
      </c>
      <c r="Y84" s="871">
        <f t="shared" si="2"/>
        <v>60000</v>
      </c>
      <c r="Z84" s="872">
        <f>S84*V84</f>
        <v>60000000</v>
      </c>
      <c r="AA84" s="255"/>
      <c r="AB84" s="251"/>
      <c r="AC84" s="256"/>
    </row>
    <row r="85" spans="1:29" s="252" customFormat="1" ht="23.45" customHeight="1">
      <c r="A85" s="849"/>
      <c r="B85" s="850"/>
      <c r="C85" s="851"/>
      <c r="D85" s="851"/>
      <c r="E85" s="851" t="s">
        <v>20</v>
      </c>
      <c r="F85" s="864" t="s">
        <v>20</v>
      </c>
      <c r="G85" s="864" t="s">
        <v>20</v>
      </c>
      <c r="H85" s="865"/>
      <c r="I85" s="855"/>
      <c r="J85" s="3618" t="s">
        <v>628</v>
      </c>
      <c r="K85" s="3163"/>
      <c r="L85" s="3163"/>
      <c r="M85" s="1526"/>
      <c r="N85" s="3163"/>
      <c r="O85" s="3163"/>
      <c r="P85" s="3163"/>
      <c r="Q85" s="1526"/>
      <c r="R85" s="3163"/>
      <c r="S85" s="3163"/>
      <c r="T85" s="3163"/>
      <c r="U85" s="3163"/>
      <c r="V85" s="3163"/>
      <c r="W85" s="3163"/>
      <c r="X85" s="3165"/>
      <c r="Y85" s="871">
        <f>+Z85/1000</f>
        <v>48000</v>
      </c>
      <c r="Z85" s="872">
        <f>SUM(Z86:Z86)</f>
        <v>48000000</v>
      </c>
      <c r="AA85" s="255"/>
      <c r="AB85" s="251"/>
      <c r="AC85" s="251"/>
    </row>
    <row r="86" spans="1:29" s="252" customFormat="1" ht="23.45" customHeight="1">
      <c r="A86" s="849"/>
      <c r="B86" s="850"/>
      <c r="C86" s="851"/>
      <c r="D86" s="851"/>
      <c r="E86" s="851"/>
      <c r="F86" s="864"/>
      <c r="G86" s="864"/>
      <c r="H86" s="865"/>
      <c r="I86" s="855"/>
      <c r="J86" s="3618" t="s">
        <v>1609</v>
      </c>
      <c r="K86" s="3163"/>
      <c r="L86" s="3163"/>
      <c r="M86" s="3163"/>
      <c r="N86" s="3164"/>
      <c r="O86" s="3163"/>
      <c r="P86" s="3163"/>
      <c r="Q86" s="869"/>
      <c r="R86" s="3163"/>
      <c r="S86" s="3164">
        <v>4000000</v>
      </c>
      <c r="T86" s="3163" t="s">
        <v>0</v>
      </c>
      <c r="U86" s="3163"/>
      <c r="V86" s="3163">
        <v>12</v>
      </c>
      <c r="W86" s="3163" t="s">
        <v>2</v>
      </c>
      <c r="X86" s="3165" t="s">
        <v>1</v>
      </c>
      <c r="Y86" s="871">
        <f>+Z86/1000</f>
        <v>48000</v>
      </c>
      <c r="Z86" s="872">
        <f>S86*V86</f>
        <v>48000000</v>
      </c>
      <c r="AA86" s="255"/>
      <c r="AB86" s="251"/>
      <c r="AC86" s="251"/>
    </row>
    <row r="87" spans="1:29" s="252" customFormat="1" ht="23.45" customHeight="1">
      <c r="A87" s="849"/>
      <c r="B87" s="850"/>
      <c r="C87" s="851"/>
      <c r="D87" s="851"/>
      <c r="E87" s="851" t="s">
        <v>20</v>
      </c>
      <c r="F87" s="864" t="s">
        <v>20</v>
      </c>
      <c r="G87" s="864" t="s">
        <v>20</v>
      </c>
      <c r="H87" s="865"/>
      <c r="I87" s="855"/>
      <c r="J87" s="3618" t="s">
        <v>1611</v>
      </c>
      <c r="K87" s="3163"/>
      <c r="L87" s="3163"/>
      <c r="M87" s="3163"/>
      <c r="N87" s="3164"/>
      <c r="O87" s="3164"/>
      <c r="P87" s="3163"/>
      <c r="Q87" s="869"/>
      <c r="R87" s="3163"/>
      <c r="S87" s="3163"/>
      <c r="T87" s="3163"/>
      <c r="U87" s="3163"/>
      <c r="V87" s="3163"/>
      <c r="W87" s="3163"/>
      <c r="X87" s="3165"/>
      <c r="Y87" s="871">
        <f>SUM(Y88:Y89)</f>
        <v>28800</v>
      </c>
      <c r="Z87" s="872">
        <f>SUM(Z88:Z89)</f>
        <v>28800000</v>
      </c>
      <c r="AA87" s="255"/>
      <c r="AB87" s="251"/>
      <c r="AC87" s="251"/>
    </row>
    <row r="88" spans="1:29" s="252" customFormat="1" ht="23.45" customHeight="1">
      <c r="A88" s="849"/>
      <c r="B88" s="850"/>
      <c r="C88" s="851"/>
      <c r="D88" s="851"/>
      <c r="E88" s="851"/>
      <c r="F88" s="864"/>
      <c r="G88" s="864"/>
      <c r="H88" s="865"/>
      <c r="I88" s="855"/>
      <c r="J88" s="3618" t="s">
        <v>1610</v>
      </c>
      <c r="K88" s="3163"/>
      <c r="L88" s="3163"/>
      <c r="M88" s="3163"/>
      <c r="N88" s="3164"/>
      <c r="O88" s="3163"/>
      <c r="P88" s="3163"/>
      <c r="Q88" s="869">
        <v>12</v>
      </c>
      <c r="R88" s="3163" t="s">
        <v>47</v>
      </c>
      <c r="S88" s="3164">
        <v>600000</v>
      </c>
      <c r="T88" s="3163" t="s">
        <v>0</v>
      </c>
      <c r="U88" s="3163"/>
      <c r="V88" s="3163">
        <v>3</v>
      </c>
      <c r="W88" s="3163" t="s">
        <v>30</v>
      </c>
      <c r="X88" s="3165" t="s">
        <v>1</v>
      </c>
      <c r="Y88" s="871">
        <f t="shared" ref="Y88" si="9">+Z88/1000</f>
        <v>21600</v>
      </c>
      <c r="Z88" s="872">
        <f>+Q88*S88*V88</f>
        <v>21600000</v>
      </c>
      <c r="AA88" s="255"/>
      <c r="AB88" s="251"/>
      <c r="AC88" s="251"/>
    </row>
    <row r="89" spans="1:29" s="252" customFormat="1" ht="23.45" customHeight="1">
      <c r="A89" s="849"/>
      <c r="B89" s="850"/>
      <c r="C89" s="851"/>
      <c r="D89" s="851"/>
      <c r="E89" s="851"/>
      <c r="F89" s="864"/>
      <c r="G89" s="864"/>
      <c r="H89" s="865"/>
      <c r="I89" s="855"/>
      <c r="J89" s="3618" t="s">
        <v>1610</v>
      </c>
      <c r="K89" s="3163"/>
      <c r="L89" s="3163"/>
      <c r="M89" s="3163"/>
      <c r="N89" s="3164"/>
      <c r="O89" s="3163"/>
      <c r="P89" s="3163"/>
      <c r="Q89" s="869">
        <v>12</v>
      </c>
      <c r="R89" s="3163" t="s">
        <v>47</v>
      </c>
      <c r="S89" s="3164">
        <v>600000</v>
      </c>
      <c r="T89" s="3163" t="s">
        <v>0</v>
      </c>
      <c r="U89" s="3163"/>
      <c r="V89" s="3163">
        <v>1</v>
      </c>
      <c r="W89" s="3163" t="s">
        <v>30</v>
      </c>
      <c r="X89" s="3165" t="s">
        <v>1</v>
      </c>
      <c r="Y89" s="871">
        <f>+Z89/1000</f>
        <v>7200</v>
      </c>
      <c r="Z89" s="872">
        <f>+Q89*S89*V89</f>
        <v>7200000</v>
      </c>
      <c r="AA89" s="255"/>
      <c r="AB89" s="251"/>
      <c r="AC89" s="251"/>
    </row>
    <row r="90" spans="1:29" s="252" customFormat="1" ht="23.45" customHeight="1">
      <c r="A90" s="849"/>
      <c r="B90" s="850"/>
      <c r="C90" s="851"/>
      <c r="D90" s="851"/>
      <c r="E90" s="1003" t="s">
        <v>120</v>
      </c>
      <c r="F90" s="2174">
        <f>Y90</f>
        <v>2100</v>
      </c>
      <c r="G90" s="2174">
        <v>2100</v>
      </c>
      <c r="H90" s="984"/>
      <c r="I90" s="855"/>
      <c r="J90" s="1209" t="s">
        <v>1612</v>
      </c>
      <c r="K90" s="1009"/>
      <c r="L90" s="1009"/>
      <c r="M90" s="1009"/>
      <c r="N90" s="1009"/>
      <c r="O90" s="1009"/>
      <c r="P90" s="2190"/>
      <c r="Q90" s="1009"/>
      <c r="R90" s="1009"/>
      <c r="S90" s="1009">
        <v>700000</v>
      </c>
      <c r="T90" s="1009" t="s">
        <v>0</v>
      </c>
      <c r="U90" s="1009"/>
      <c r="V90" s="1009">
        <v>3</v>
      </c>
      <c r="W90" s="1009" t="s">
        <v>3</v>
      </c>
      <c r="X90" s="1422" t="s">
        <v>1</v>
      </c>
      <c r="Y90" s="965">
        <f t="shared" ref="Y90" si="10">+Z90/1000</f>
        <v>2100</v>
      </c>
      <c r="Z90" s="2180">
        <f>S90*V90</f>
        <v>2100000</v>
      </c>
      <c r="AA90" s="255"/>
      <c r="AB90" s="251"/>
      <c r="AC90" s="251"/>
    </row>
    <row r="91" spans="1:29" s="252" customFormat="1" ht="23.45" customHeight="1">
      <c r="A91" s="849"/>
      <c r="B91" s="850"/>
      <c r="C91" s="851"/>
      <c r="D91" s="851"/>
      <c r="E91" s="851" t="s">
        <v>58</v>
      </c>
      <c r="F91" s="864">
        <f>Y91</f>
        <v>121840</v>
      </c>
      <c r="G91" s="864">
        <v>121840</v>
      </c>
      <c r="H91" s="865"/>
      <c r="I91" s="855"/>
      <c r="J91" s="866" t="s">
        <v>224</v>
      </c>
      <c r="K91" s="867"/>
      <c r="L91" s="867"/>
      <c r="M91" s="867"/>
      <c r="N91" s="868"/>
      <c r="O91" s="867"/>
      <c r="P91" s="867"/>
      <c r="Q91" s="869"/>
      <c r="R91" s="867"/>
      <c r="S91" s="868"/>
      <c r="T91" s="867"/>
      <c r="U91" s="867"/>
      <c r="V91" s="2191"/>
      <c r="W91" s="867"/>
      <c r="X91" s="870"/>
      <c r="Y91" s="871">
        <f t="shared" ref="Y91:Y101" si="11">+Z91/1000</f>
        <v>121840</v>
      </c>
      <c r="Z91" s="872">
        <f>SUM(Z92:Z104)</f>
        <v>121840000</v>
      </c>
      <c r="AA91" s="255"/>
      <c r="AB91" s="251"/>
      <c r="AC91" s="251"/>
    </row>
    <row r="92" spans="1:29" s="252" customFormat="1" ht="23.45" customHeight="1">
      <c r="A92" s="849"/>
      <c r="B92" s="850"/>
      <c r="C92" s="851"/>
      <c r="D92" s="851"/>
      <c r="E92" s="851" t="s">
        <v>20</v>
      </c>
      <c r="F92" s="864"/>
      <c r="G92" s="864"/>
      <c r="H92" s="865"/>
      <c r="I92" s="855"/>
      <c r="J92" s="866" t="s">
        <v>1613</v>
      </c>
      <c r="K92" s="867"/>
      <c r="L92" s="867"/>
      <c r="M92" s="867"/>
      <c r="N92" s="868"/>
      <c r="O92" s="867"/>
      <c r="P92" s="867"/>
      <c r="Q92" s="869"/>
      <c r="R92" s="867"/>
      <c r="S92" s="868">
        <v>250000</v>
      </c>
      <c r="T92" s="867" t="s">
        <v>0</v>
      </c>
      <c r="U92" s="867"/>
      <c r="V92" s="867">
        <v>4</v>
      </c>
      <c r="W92" s="867" t="s">
        <v>828</v>
      </c>
      <c r="X92" s="870" t="s">
        <v>1</v>
      </c>
      <c r="Y92" s="871">
        <f t="shared" si="11"/>
        <v>1000</v>
      </c>
      <c r="Z92" s="872">
        <f>S92*V92</f>
        <v>1000000</v>
      </c>
      <c r="AA92" s="255"/>
      <c r="AB92" s="251"/>
      <c r="AC92" s="251"/>
    </row>
    <row r="93" spans="1:29" s="252" customFormat="1" ht="23.45" customHeight="1">
      <c r="A93" s="849"/>
      <c r="B93" s="850"/>
      <c r="C93" s="851"/>
      <c r="D93" s="851"/>
      <c r="E93" s="851"/>
      <c r="F93" s="864"/>
      <c r="G93" s="864"/>
      <c r="H93" s="865"/>
      <c r="I93" s="855"/>
      <c r="J93" s="1016" t="s">
        <v>1614</v>
      </c>
      <c r="K93" s="867"/>
      <c r="L93" s="867"/>
      <c r="M93" s="867"/>
      <c r="N93" s="868"/>
      <c r="O93" s="868"/>
      <c r="P93" s="867"/>
      <c r="Q93" s="869">
        <v>10</v>
      </c>
      <c r="R93" s="867" t="s">
        <v>143</v>
      </c>
      <c r="S93" s="867">
        <v>2000</v>
      </c>
      <c r="T93" s="867" t="s">
        <v>0</v>
      </c>
      <c r="U93" s="867"/>
      <c r="V93" s="867">
        <v>12</v>
      </c>
      <c r="W93" s="867" t="s">
        <v>2</v>
      </c>
      <c r="X93" s="870" t="s">
        <v>1</v>
      </c>
      <c r="Y93" s="871">
        <f t="shared" si="11"/>
        <v>240</v>
      </c>
      <c r="Z93" s="872">
        <f>ROUNDUP(S93*Q93*V93,-3)</f>
        <v>240000</v>
      </c>
      <c r="AA93" s="255"/>
      <c r="AB93" s="251"/>
      <c r="AC93" s="251"/>
    </row>
    <row r="94" spans="1:29" s="252" customFormat="1" ht="23.45" customHeight="1">
      <c r="A94" s="849"/>
      <c r="B94" s="850"/>
      <c r="C94" s="851"/>
      <c r="D94" s="851"/>
      <c r="E94" s="851"/>
      <c r="F94" s="864"/>
      <c r="G94" s="864"/>
      <c r="H94" s="865"/>
      <c r="I94" s="855"/>
      <c r="J94" s="866" t="s">
        <v>1615</v>
      </c>
      <c r="K94" s="867"/>
      <c r="L94" s="867"/>
      <c r="M94" s="867"/>
      <c r="N94" s="868"/>
      <c r="O94" s="867"/>
      <c r="P94" s="867"/>
      <c r="Q94" s="869">
        <v>12</v>
      </c>
      <c r="R94" s="867" t="s">
        <v>25</v>
      </c>
      <c r="S94" s="868">
        <v>200000</v>
      </c>
      <c r="T94" s="867" t="s">
        <v>0</v>
      </c>
      <c r="U94" s="867"/>
      <c r="V94" s="867">
        <v>4</v>
      </c>
      <c r="W94" s="867" t="s">
        <v>3</v>
      </c>
      <c r="X94" s="870" t="s">
        <v>1</v>
      </c>
      <c r="Y94" s="871">
        <f t="shared" si="11"/>
        <v>9600</v>
      </c>
      <c r="Z94" s="872">
        <f>S94*Q94*V94</f>
        <v>9600000</v>
      </c>
      <c r="AA94" s="255"/>
      <c r="AB94" s="251"/>
      <c r="AC94" s="251"/>
    </row>
    <row r="95" spans="1:29" s="252" customFormat="1" ht="23.45" customHeight="1">
      <c r="A95" s="849"/>
      <c r="B95" s="850"/>
      <c r="C95" s="851"/>
      <c r="D95" s="851"/>
      <c r="E95" s="851"/>
      <c r="F95" s="864"/>
      <c r="G95" s="864"/>
      <c r="H95" s="865"/>
      <c r="I95" s="855"/>
      <c r="J95" s="866" t="s">
        <v>1616</v>
      </c>
      <c r="K95" s="867"/>
      <c r="L95" s="867"/>
      <c r="M95" s="867"/>
      <c r="N95" s="868"/>
      <c r="O95" s="867"/>
      <c r="P95" s="867"/>
      <c r="Q95" s="869">
        <v>5</v>
      </c>
      <c r="R95" s="867" t="s">
        <v>25</v>
      </c>
      <c r="S95" s="868">
        <v>200000</v>
      </c>
      <c r="T95" s="867" t="s">
        <v>0</v>
      </c>
      <c r="U95" s="867"/>
      <c r="V95" s="867">
        <v>5</v>
      </c>
      <c r="W95" s="867" t="s">
        <v>3</v>
      </c>
      <c r="X95" s="870" t="s">
        <v>1</v>
      </c>
      <c r="Y95" s="871">
        <f t="shared" si="11"/>
        <v>5000</v>
      </c>
      <c r="Z95" s="872">
        <f>S95*Q95*V95</f>
        <v>5000000</v>
      </c>
      <c r="AA95" s="255"/>
      <c r="AB95" s="251"/>
      <c r="AC95" s="251"/>
    </row>
    <row r="96" spans="1:29" s="252" customFormat="1" ht="23.45" customHeight="1">
      <c r="A96" s="849"/>
      <c r="B96" s="850"/>
      <c r="C96" s="851"/>
      <c r="D96" s="851"/>
      <c r="E96" s="851"/>
      <c r="F96" s="864"/>
      <c r="G96" s="864"/>
      <c r="H96" s="865"/>
      <c r="I96" s="855"/>
      <c r="J96" s="866" t="s">
        <v>1617</v>
      </c>
      <c r="K96" s="867"/>
      <c r="L96" s="867"/>
      <c r="M96" s="867"/>
      <c r="N96" s="868"/>
      <c r="O96" s="867"/>
      <c r="P96" s="867"/>
      <c r="Q96" s="869">
        <v>9</v>
      </c>
      <c r="R96" s="867" t="s">
        <v>25</v>
      </c>
      <c r="S96" s="868">
        <v>200000</v>
      </c>
      <c r="T96" s="867" t="s">
        <v>0</v>
      </c>
      <c r="U96" s="867"/>
      <c r="V96" s="867">
        <v>2</v>
      </c>
      <c r="W96" s="867" t="s">
        <v>3</v>
      </c>
      <c r="X96" s="870" t="s">
        <v>1</v>
      </c>
      <c r="Y96" s="871">
        <f t="shared" si="11"/>
        <v>3600</v>
      </c>
      <c r="Z96" s="872">
        <f>S96*Q96*V96</f>
        <v>3600000</v>
      </c>
      <c r="AA96" s="255"/>
      <c r="AB96" s="251"/>
      <c r="AC96" s="251"/>
    </row>
    <row r="97" spans="1:30" s="252" customFormat="1" ht="23.45" customHeight="1">
      <c r="A97" s="849"/>
      <c r="B97" s="850"/>
      <c r="C97" s="851"/>
      <c r="D97" s="851"/>
      <c r="E97" s="851"/>
      <c r="F97" s="864"/>
      <c r="G97" s="864"/>
      <c r="H97" s="865"/>
      <c r="I97" s="855"/>
      <c r="J97" s="866" t="s">
        <v>1618</v>
      </c>
      <c r="K97" s="867"/>
      <c r="L97" s="867"/>
      <c r="M97" s="867"/>
      <c r="N97" s="868"/>
      <c r="O97" s="867"/>
      <c r="P97" s="867"/>
      <c r="Q97" s="869">
        <v>7</v>
      </c>
      <c r="R97" s="867" t="s">
        <v>1649</v>
      </c>
      <c r="S97" s="868">
        <v>200000</v>
      </c>
      <c r="T97" s="867" t="s">
        <v>0</v>
      </c>
      <c r="U97" s="869"/>
      <c r="V97" s="867">
        <v>2</v>
      </c>
      <c r="W97" s="867" t="s">
        <v>3</v>
      </c>
      <c r="X97" s="870" t="s">
        <v>1</v>
      </c>
      <c r="Y97" s="871">
        <f t="shared" si="11"/>
        <v>2800</v>
      </c>
      <c r="Z97" s="872">
        <f>S97*Q97*V97</f>
        <v>2800000</v>
      </c>
      <c r="AA97" s="255"/>
      <c r="AB97" s="251"/>
      <c r="AC97" s="251"/>
    </row>
    <row r="98" spans="1:30" s="252" customFormat="1" ht="23.45" customHeight="1">
      <c r="A98" s="849"/>
      <c r="B98" s="850"/>
      <c r="C98" s="851"/>
      <c r="D98" s="851"/>
      <c r="E98" s="851"/>
      <c r="F98" s="864"/>
      <c r="G98" s="864"/>
      <c r="H98" s="865"/>
      <c r="I98" s="855"/>
      <c r="J98" s="866" t="s">
        <v>1619</v>
      </c>
      <c r="K98" s="867"/>
      <c r="L98" s="867"/>
      <c r="M98" s="867"/>
      <c r="N98" s="868"/>
      <c r="O98" s="867"/>
      <c r="P98" s="867"/>
      <c r="Q98" s="869">
        <v>1</v>
      </c>
      <c r="R98" s="867" t="s">
        <v>92</v>
      </c>
      <c r="S98" s="868">
        <v>3000000</v>
      </c>
      <c r="T98" s="867" t="s">
        <v>0</v>
      </c>
      <c r="U98" s="867"/>
      <c r="V98" s="867">
        <v>1</v>
      </c>
      <c r="W98" s="867" t="s">
        <v>3</v>
      </c>
      <c r="X98" s="870" t="s">
        <v>1</v>
      </c>
      <c r="Y98" s="871">
        <f t="shared" si="11"/>
        <v>3000</v>
      </c>
      <c r="Z98" s="872">
        <f>S98*Q98*V98</f>
        <v>3000000</v>
      </c>
      <c r="AA98" s="255"/>
      <c r="AB98" s="251"/>
      <c r="AC98" s="251"/>
    </row>
    <row r="99" spans="1:30" s="252" customFormat="1" ht="23.45" customHeight="1">
      <c r="A99" s="849"/>
      <c r="B99" s="850"/>
      <c r="C99" s="851"/>
      <c r="D99" s="851"/>
      <c r="E99" s="851"/>
      <c r="F99" s="864"/>
      <c r="G99" s="864"/>
      <c r="H99" s="865"/>
      <c r="I99" s="855"/>
      <c r="J99" s="866" t="s">
        <v>1620</v>
      </c>
      <c r="K99" s="867"/>
      <c r="L99" s="867"/>
      <c r="M99" s="867"/>
      <c r="N99" s="868"/>
      <c r="O99" s="867"/>
      <c r="P99" s="867"/>
      <c r="Q99" s="869">
        <v>12</v>
      </c>
      <c r="R99" s="867" t="s">
        <v>47</v>
      </c>
      <c r="S99" s="868">
        <v>25000</v>
      </c>
      <c r="T99" s="867" t="s">
        <v>0</v>
      </c>
      <c r="U99" s="867"/>
      <c r="V99" s="867">
        <v>10</v>
      </c>
      <c r="W99" s="867" t="s">
        <v>3</v>
      </c>
      <c r="X99" s="870" t="s">
        <v>1</v>
      </c>
      <c r="Y99" s="871">
        <f t="shared" si="11"/>
        <v>3000</v>
      </c>
      <c r="Z99" s="872">
        <f>S99*V99*Q99</f>
        <v>3000000</v>
      </c>
      <c r="AA99" s="255"/>
      <c r="AB99" s="251"/>
      <c r="AC99" s="251"/>
    </row>
    <row r="100" spans="1:30" s="252" customFormat="1" ht="23.45" customHeight="1">
      <c r="A100" s="849"/>
      <c r="B100" s="850"/>
      <c r="C100" s="851"/>
      <c r="D100" s="851"/>
      <c r="E100" s="851"/>
      <c r="F100" s="864"/>
      <c r="G100" s="864"/>
      <c r="H100" s="865"/>
      <c r="I100" s="855"/>
      <c r="J100" s="866" t="s">
        <v>1621</v>
      </c>
      <c r="K100" s="867"/>
      <c r="L100" s="867"/>
      <c r="M100" s="867"/>
      <c r="N100" s="868"/>
      <c r="O100" s="867"/>
      <c r="P100" s="867"/>
      <c r="Q100" s="869">
        <v>2</v>
      </c>
      <c r="R100" s="867" t="s">
        <v>25</v>
      </c>
      <c r="S100" s="868">
        <v>440000</v>
      </c>
      <c r="T100" s="867" t="s">
        <v>0</v>
      </c>
      <c r="U100" s="867"/>
      <c r="V100" s="867">
        <v>12</v>
      </c>
      <c r="W100" s="867" t="s">
        <v>2</v>
      </c>
      <c r="X100" s="870" t="s">
        <v>1</v>
      </c>
      <c r="Y100" s="871">
        <f t="shared" si="11"/>
        <v>10560</v>
      </c>
      <c r="Z100" s="872">
        <f>S100*V100*Q100</f>
        <v>10560000</v>
      </c>
      <c r="AA100" s="255"/>
      <c r="AB100" s="251"/>
      <c r="AC100" s="251"/>
    </row>
    <row r="101" spans="1:30" s="252" customFormat="1" ht="23.45" customHeight="1">
      <c r="A101" s="849"/>
      <c r="B101" s="850"/>
      <c r="C101" s="851"/>
      <c r="D101" s="851"/>
      <c r="E101" s="851"/>
      <c r="F101" s="864"/>
      <c r="G101" s="864"/>
      <c r="H101" s="865"/>
      <c r="I101" s="855"/>
      <c r="J101" s="866" t="s">
        <v>1622</v>
      </c>
      <c r="K101" s="867"/>
      <c r="L101" s="867"/>
      <c r="M101" s="867"/>
      <c r="N101" s="868"/>
      <c r="O101" s="867"/>
      <c r="P101" s="867"/>
      <c r="Q101" s="869"/>
      <c r="R101" s="867"/>
      <c r="S101" s="868">
        <v>10000000</v>
      </c>
      <c r="T101" s="867" t="s">
        <v>0</v>
      </c>
      <c r="U101" s="867"/>
      <c r="V101" s="867">
        <v>3</v>
      </c>
      <c r="W101" s="867" t="s">
        <v>828</v>
      </c>
      <c r="X101" s="870" t="s">
        <v>1</v>
      </c>
      <c r="Y101" s="871">
        <f t="shared" si="11"/>
        <v>30000</v>
      </c>
      <c r="Z101" s="872">
        <f>S101*V101</f>
        <v>30000000</v>
      </c>
      <c r="AA101" s="255"/>
      <c r="AB101" s="251"/>
      <c r="AC101" s="251"/>
    </row>
    <row r="102" spans="1:30" s="252" customFormat="1" ht="23.45" customHeight="1">
      <c r="A102" s="849"/>
      <c r="B102" s="850"/>
      <c r="C102" s="851"/>
      <c r="D102" s="851"/>
      <c r="E102" s="851"/>
      <c r="F102" s="864"/>
      <c r="G102" s="864"/>
      <c r="H102" s="865"/>
      <c r="I102" s="855"/>
      <c r="J102" s="866" t="s">
        <v>1623</v>
      </c>
      <c r="K102" s="867"/>
      <c r="L102" s="867"/>
      <c r="M102" s="867"/>
      <c r="N102" s="868"/>
      <c r="O102" s="867"/>
      <c r="P102" s="867"/>
      <c r="Q102" s="869"/>
      <c r="R102" s="867"/>
      <c r="S102" s="868">
        <v>20000000</v>
      </c>
      <c r="T102" s="867" t="s">
        <v>0</v>
      </c>
      <c r="U102" s="867"/>
      <c r="V102" s="867">
        <v>1</v>
      </c>
      <c r="W102" s="867" t="s">
        <v>828</v>
      </c>
      <c r="X102" s="870" t="s">
        <v>1</v>
      </c>
      <c r="Y102" s="871">
        <f>+Z102/1000</f>
        <v>20000</v>
      </c>
      <c r="Z102" s="872">
        <f>S102*V102</f>
        <v>20000000</v>
      </c>
      <c r="AA102" s="255"/>
      <c r="AB102" s="251"/>
      <c r="AC102" s="251"/>
    </row>
    <row r="103" spans="1:30" s="252" customFormat="1" ht="23.45" customHeight="1">
      <c r="A103" s="849"/>
      <c r="B103" s="850"/>
      <c r="C103" s="851"/>
      <c r="D103" s="851"/>
      <c r="E103" s="851"/>
      <c r="F103" s="864"/>
      <c r="G103" s="864"/>
      <c r="H103" s="865"/>
      <c r="I103" s="855"/>
      <c r="J103" s="866" t="s">
        <v>1624</v>
      </c>
      <c r="K103" s="867"/>
      <c r="L103" s="867"/>
      <c r="M103" s="867"/>
      <c r="N103" s="868"/>
      <c r="O103" s="867"/>
      <c r="P103" s="867"/>
      <c r="Q103" s="869"/>
      <c r="R103" s="867"/>
      <c r="S103" s="868">
        <v>670000</v>
      </c>
      <c r="T103" s="867" t="s">
        <v>0</v>
      </c>
      <c r="U103" s="867"/>
      <c r="V103" s="867">
        <v>12</v>
      </c>
      <c r="W103" s="2143" t="s">
        <v>828</v>
      </c>
      <c r="X103" s="870" t="s">
        <v>1</v>
      </c>
      <c r="Y103" s="871">
        <f>+Z103/1000</f>
        <v>8040</v>
      </c>
      <c r="Z103" s="872">
        <f>S103*V103</f>
        <v>8040000</v>
      </c>
      <c r="AA103" s="255"/>
      <c r="AB103" s="251"/>
      <c r="AC103" s="251"/>
    </row>
    <row r="104" spans="1:30" s="252" customFormat="1" ht="23.45" customHeight="1">
      <c r="A104" s="849"/>
      <c r="B104" s="850"/>
      <c r="C104" s="851"/>
      <c r="D104" s="851"/>
      <c r="E104" s="851"/>
      <c r="F104" s="864"/>
      <c r="G104" s="864"/>
      <c r="H104" s="865"/>
      <c r="I104" s="855"/>
      <c r="J104" s="866" t="s">
        <v>1625</v>
      </c>
      <c r="K104" s="867"/>
      <c r="L104" s="867"/>
      <c r="M104" s="867"/>
      <c r="N104" s="868"/>
      <c r="O104" s="867"/>
      <c r="P104" s="867"/>
      <c r="Q104" s="869">
        <v>1</v>
      </c>
      <c r="R104" s="867" t="s">
        <v>25</v>
      </c>
      <c r="S104" s="868">
        <v>2083333.3333333333</v>
      </c>
      <c r="T104" s="867" t="s">
        <v>0</v>
      </c>
      <c r="U104" s="867"/>
      <c r="V104" s="867">
        <v>12</v>
      </c>
      <c r="W104" s="867" t="s">
        <v>830</v>
      </c>
      <c r="X104" s="870" t="s">
        <v>1</v>
      </c>
      <c r="Y104" s="871">
        <f>+Z104/1000</f>
        <v>25000</v>
      </c>
      <c r="Z104" s="872">
        <f>S104*V104</f>
        <v>25000000</v>
      </c>
      <c r="AA104" s="255"/>
      <c r="AB104" s="251"/>
      <c r="AC104" s="251"/>
      <c r="AD104" s="795"/>
    </row>
    <row r="105" spans="1:30" s="252" customFormat="1" ht="23.45" customHeight="1">
      <c r="A105" s="849"/>
      <c r="B105" s="850"/>
      <c r="C105" s="851"/>
      <c r="D105" s="851"/>
      <c r="E105" s="852" t="s">
        <v>71</v>
      </c>
      <c r="F105" s="853">
        <f>Y105</f>
        <v>978900</v>
      </c>
      <c r="G105" s="853">
        <v>1027300</v>
      </c>
      <c r="H105" s="854">
        <f>F105-G105</f>
        <v>-48400</v>
      </c>
      <c r="I105" s="855"/>
      <c r="J105" s="856" t="s">
        <v>224</v>
      </c>
      <c r="K105" s="857"/>
      <c r="L105" s="857"/>
      <c r="M105" s="857"/>
      <c r="N105" s="858"/>
      <c r="O105" s="858"/>
      <c r="P105" s="857"/>
      <c r="Q105" s="859"/>
      <c r="R105" s="857"/>
      <c r="S105" s="857"/>
      <c r="T105" s="857"/>
      <c r="U105" s="857"/>
      <c r="V105" s="857"/>
      <c r="W105" s="857"/>
      <c r="X105" s="860"/>
      <c r="Y105" s="862">
        <f>Z105/1000</f>
        <v>978900</v>
      </c>
      <c r="Z105" s="862">
        <f>SUM(Z106:Z114)</f>
        <v>978900000</v>
      </c>
      <c r="AA105" s="255"/>
      <c r="AB105" s="251"/>
      <c r="AC105" s="251"/>
    </row>
    <row r="106" spans="1:30" s="252" customFormat="1" ht="23.45" customHeight="1">
      <c r="A106" s="849"/>
      <c r="B106" s="850"/>
      <c r="C106" s="851"/>
      <c r="D106" s="851"/>
      <c r="E106" s="851"/>
      <c r="F106" s="864"/>
      <c r="G106" s="864"/>
      <c r="H106" s="865"/>
      <c r="I106" s="855"/>
      <c r="J106" s="3618" t="s">
        <v>1626</v>
      </c>
      <c r="K106" s="3163"/>
      <c r="L106" s="3163"/>
      <c r="M106" s="3163"/>
      <c r="N106" s="3164"/>
      <c r="O106" s="3163"/>
      <c r="P106" s="3163"/>
      <c r="Q106" s="869"/>
      <c r="R106" s="3163"/>
      <c r="S106" s="3164">
        <v>10000000</v>
      </c>
      <c r="T106" s="3163" t="s">
        <v>0</v>
      </c>
      <c r="U106" s="3163"/>
      <c r="V106" s="3163">
        <v>1</v>
      </c>
      <c r="W106" s="3163" t="s">
        <v>39</v>
      </c>
      <c r="X106" s="3165" t="s">
        <v>1</v>
      </c>
      <c r="Y106" s="871">
        <f t="shared" ref="Y106:Y117" si="12">+Z106/1000</f>
        <v>10000</v>
      </c>
      <c r="Z106" s="872">
        <f t="shared" ref="Z106:Z114" si="13">S106*V106</f>
        <v>10000000</v>
      </c>
      <c r="AA106" s="255"/>
      <c r="AB106" s="251"/>
      <c r="AC106" s="251"/>
    </row>
    <row r="107" spans="1:30" s="252" customFormat="1" ht="23.45" customHeight="1">
      <c r="A107" s="849"/>
      <c r="B107" s="850"/>
      <c r="C107" s="851"/>
      <c r="D107" s="851"/>
      <c r="E107" s="851"/>
      <c r="F107" s="864"/>
      <c r="G107" s="864"/>
      <c r="H107" s="865"/>
      <c r="I107" s="855"/>
      <c r="J107" s="3618" t="s">
        <v>1627</v>
      </c>
      <c r="K107" s="3163"/>
      <c r="L107" s="3163"/>
      <c r="M107" s="3163"/>
      <c r="N107" s="3164"/>
      <c r="O107" s="3163"/>
      <c r="P107" s="3163"/>
      <c r="Q107" s="869"/>
      <c r="R107" s="3163"/>
      <c r="S107" s="3164">
        <v>17700000</v>
      </c>
      <c r="T107" s="3163" t="s">
        <v>0</v>
      </c>
      <c r="U107" s="3163"/>
      <c r="V107" s="3163">
        <v>1</v>
      </c>
      <c r="W107" s="3163" t="s">
        <v>39</v>
      </c>
      <c r="X107" s="3165" t="s">
        <v>1</v>
      </c>
      <c r="Y107" s="871">
        <f t="shared" si="12"/>
        <v>17700</v>
      </c>
      <c r="Z107" s="872">
        <f t="shared" si="13"/>
        <v>17700000</v>
      </c>
      <c r="AA107" s="255"/>
      <c r="AB107" s="251"/>
      <c r="AC107" s="251"/>
    </row>
    <row r="108" spans="1:30" s="257" customFormat="1" ht="23.45" customHeight="1">
      <c r="A108" s="849"/>
      <c r="B108" s="850"/>
      <c r="C108" s="851"/>
      <c r="D108" s="851"/>
      <c r="E108" s="851"/>
      <c r="F108" s="864"/>
      <c r="G108" s="864"/>
      <c r="H108" s="865"/>
      <c r="I108" s="855"/>
      <c r="J108" s="3618" t="s">
        <v>1628</v>
      </c>
      <c r="K108" s="3163"/>
      <c r="L108" s="3163"/>
      <c r="M108" s="3163"/>
      <c r="N108" s="3164"/>
      <c r="O108" s="3163"/>
      <c r="P108" s="3163"/>
      <c r="Q108" s="869" t="s">
        <v>48</v>
      </c>
      <c r="R108" s="3163" t="s">
        <v>48</v>
      </c>
      <c r="S108" s="3164">
        <v>3000000</v>
      </c>
      <c r="T108" s="3163" t="s">
        <v>0</v>
      </c>
      <c r="U108" s="3163"/>
      <c r="V108" s="3163">
        <v>1</v>
      </c>
      <c r="W108" s="3163" t="s">
        <v>39</v>
      </c>
      <c r="X108" s="3165" t="s">
        <v>1</v>
      </c>
      <c r="Y108" s="871">
        <f t="shared" si="12"/>
        <v>3000</v>
      </c>
      <c r="Z108" s="872">
        <f t="shared" si="13"/>
        <v>3000000</v>
      </c>
      <c r="AA108" s="255"/>
      <c r="AB108" s="251"/>
      <c r="AC108" s="256"/>
    </row>
    <row r="109" spans="1:30" s="257" customFormat="1" ht="23.45" customHeight="1">
      <c r="A109" s="849"/>
      <c r="B109" s="850"/>
      <c r="C109" s="851"/>
      <c r="D109" s="851"/>
      <c r="E109" s="851"/>
      <c r="F109" s="864"/>
      <c r="G109" s="864"/>
      <c r="H109" s="865"/>
      <c r="I109" s="855"/>
      <c r="J109" s="3618" t="s">
        <v>1629</v>
      </c>
      <c r="K109" s="3163"/>
      <c r="L109" s="3163"/>
      <c r="M109" s="3163"/>
      <c r="N109" s="3164"/>
      <c r="O109" s="3163"/>
      <c r="P109" s="3163"/>
      <c r="Q109" s="869"/>
      <c r="R109" s="3163"/>
      <c r="S109" s="3164">
        <v>639834000</v>
      </c>
      <c r="T109" s="3163" t="s">
        <v>0</v>
      </c>
      <c r="U109" s="3163"/>
      <c r="V109" s="3163">
        <v>1</v>
      </c>
      <c r="W109" s="3163" t="s">
        <v>226</v>
      </c>
      <c r="X109" s="3165" t="s">
        <v>1</v>
      </c>
      <c r="Y109" s="871">
        <f t="shared" si="12"/>
        <v>639834</v>
      </c>
      <c r="Z109" s="872">
        <f t="shared" si="13"/>
        <v>639834000</v>
      </c>
      <c r="AA109" s="255"/>
      <c r="AB109" s="251"/>
      <c r="AC109" s="256"/>
    </row>
    <row r="110" spans="1:30" s="252" customFormat="1" ht="23.45" customHeight="1">
      <c r="A110" s="849"/>
      <c r="B110" s="850"/>
      <c r="C110" s="851"/>
      <c r="D110" s="851"/>
      <c r="E110" s="851"/>
      <c r="F110" s="864"/>
      <c r="G110" s="864"/>
      <c r="H110" s="865"/>
      <c r="I110" s="855"/>
      <c r="J110" s="3618" t="s">
        <v>1630</v>
      </c>
      <c r="K110" s="3163"/>
      <c r="L110" s="3163"/>
      <c r="M110" s="3163"/>
      <c r="N110" s="3164"/>
      <c r="O110" s="3163"/>
      <c r="P110" s="3163"/>
      <c r="Q110" s="869" t="s">
        <v>48</v>
      </c>
      <c r="R110" s="3163" t="s">
        <v>48</v>
      </c>
      <c r="S110" s="3164">
        <f>200936000-38000</f>
        <v>200898000</v>
      </c>
      <c r="T110" s="3163" t="s">
        <v>0</v>
      </c>
      <c r="U110" s="3163"/>
      <c r="V110" s="3163">
        <v>1</v>
      </c>
      <c r="W110" s="3163" t="s">
        <v>226</v>
      </c>
      <c r="X110" s="3165" t="s">
        <v>1</v>
      </c>
      <c r="Y110" s="871">
        <f t="shared" si="12"/>
        <v>200898</v>
      </c>
      <c r="Z110" s="872">
        <f t="shared" si="13"/>
        <v>200898000</v>
      </c>
      <c r="AA110" s="255"/>
      <c r="AB110" s="251"/>
      <c r="AC110" s="251"/>
    </row>
    <row r="111" spans="1:30" s="252" customFormat="1" ht="23.45" customHeight="1">
      <c r="A111" s="849"/>
      <c r="B111" s="850"/>
      <c r="C111" s="851"/>
      <c r="D111" s="851"/>
      <c r="E111" s="851"/>
      <c r="F111" s="864"/>
      <c r="G111" s="864"/>
      <c r="H111" s="865"/>
      <c r="I111" s="855"/>
      <c r="J111" s="3618" t="s">
        <v>1631</v>
      </c>
      <c r="K111" s="3163"/>
      <c r="L111" s="3163"/>
      <c r="M111" s="3163"/>
      <c r="N111" s="3164"/>
      <c r="O111" s="3163"/>
      <c r="P111" s="3163"/>
      <c r="Q111" s="869"/>
      <c r="R111" s="3163"/>
      <c r="S111" s="3164">
        <v>6000000</v>
      </c>
      <c r="T111" s="3163" t="s">
        <v>0</v>
      </c>
      <c r="U111" s="3163"/>
      <c r="V111" s="3163">
        <v>12</v>
      </c>
      <c r="W111" s="3163" t="s">
        <v>55</v>
      </c>
      <c r="X111" s="3165" t="s">
        <v>1</v>
      </c>
      <c r="Y111" s="871">
        <f t="shared" si="12"/>
        <v>72000</v>
      </c>
      <c r="Z111" s="872">
        <f t="shared" si="13"/>
        <v>72000000</v>
      </c>
      <c r="AA111" s="255"/>
      <c r="AB111" s="251"/>
      <c r="AC111" s="251"/>
    </row>
    <row r="112" spans="1:30" s="252" customFormat="1" ht="23.45" customHeight="1">
      <c r="A112" s="849"/>
      <c r="B112" s="850"/>
      <c r="C112" s="851"/>
      <c r="D112" s="851"/>
      <c r="E112" s="851"/>
      <c r="F112" s="864"/>
      <c r="G112" s="864"/>
      <c r="H112" s="865"/>
      <c r="I112" s="855"/>
      <c r="J112" s="3618" t="s">
        <v>1632</v>
      </c>
      <c r="K112" s="3163"/>
      <c r="L112" s="3163"/>
      <c r="M112" s="3163"/>
      <c r="N112" s="3164"/>
      <c r="O112" s="3163"/>
      <c r="P112" s="3163"/>
      <c r="Q112" s="869"/>
      <c r="R112" s="3163"/>
      <c r="S112" s="3164">
        <v>2000000</v>
      </c>
      <c r="T112" s="3163" t="s">
        <v>0</v>
      </c>
      <c r="U112" s="3163"/>
      <c r="V112" s="3163">
        <v>12</v>
      </c>
      <c r="W112" s="2143" t="s">
        <v>55</v>
      </c>
      <c r="X112" s="3165" t="s">
        <v>1</v>
      </c>
      <c r="Y112" s="871">
        <f t="shared" si="12"/>
        <v>24000</v>
      </c>
      <c r="Z112" s="872">
        <f t="shared" si="13"/>
        <v>24000000</v>
      </c>
      <c r="AA112" s="255"/>
      <c r="AB112" s="251"/>
      <c r="AC112" s="251"/>
    </row>
    <row r="113" spans="1:29" s="252" customFormat="1" ht="23.45" customHeight="1">
      <c r="A113" s="849"/>
      <c r="B113" s="850"/>
      <c r="C113" s="851"/>
      <c r="D113" s="851"/>
      <c r="E113" s="851"/>
      <c r="F113" s="864"/>
      <c r="G113" s="864"/>
      <c r="H113" s="865"/>
      <c r="I113" s="855"/>
      <c r="J113" s="3618" t="s">
        <v>1633</v>
      </c>
      <c r="K113" s="3163"/>
      <c r="L113" s="3163"/>
      <c r="M113" s="3163"/>
      <c r="N113" s="3164"/>
      <c r="O113" s="3163"/>
      <c r="P113" s="3163"/>
      <c r="Q113" s="869"/>
      <c r="R113" s="3163"/>
      <c r="S113" s="3164">
        <v>4468000</v>
      </c>
      <c r="T113" s="3163" t="s">
        <v>0</v>
      </c>
      <c r="U113" s="3163"/>
      <c r="V113" s="3163">
        <v>1</v>
      </c>
      <c r="W113" s="2143" t="s">
        <v>39</v>
      </c>
      <c r="X113" s="3165" t="s">
        <v>1</v>
      </c>
      <c r="Y113" s="871">
        <f>+Z113/1000</f>
        <v>4468</v>
      </c>
      <c r="Z113" s="872">
        <f>S113*V113</f>
        <v>4468000</v>
      </c>
      <c r="AA113" s="255"/>
      <c r="AB113" s="251"/>
      <c r="AC113" s="251"/>
    </row>
    <row r="114" spans="1:29" s="252" customFormat="1" ht="23.45" customHeight="1">
      <c r="A114" s="849"/>
      <c r="B114" s="850"/>
      <c r="C114" s="851"/>
      <c r="D114" s="851"/>
      <c r="E114" s="851"/>
      <c r="F114" s="864"/>
      <c r="G114" s="864"/>
      <c r="H114" s="990"/>
      <c r="I114" s="855"/>
      <c r="J114" s="3618" t="s">
        <v>1634</v>
      </c>
      <c r="K114" s="3163"/>
      <c r="L114" s="3163"/>
      <c r="M114" s="3163"/>
      <c r="N114" s="3164"/>
      <c r="O114" s="3163"/>
      <c r="P114" s="3163"/>
      <c r="Q114" s="869"/>
      <c r="R114" s="3163"/>
      <c r="S114" s="3164">
        <v>7000000</v>
      </c>
      <c r="T114" s="3163" t="s">
        <v>0</v>
      </c>
      <c r="U114" s="3163"/>
      <c r="V114" s="3163">
        <v>1</v>
      </c>
      <c r="W114" s="2143" t="s">
        <v>39</v>
      </c>
      <c r="X114" s="3165" t="s">
        <v>5</v>
      </c>
      <c r="Y114" s="871">
        <f t="shared" si="12"/>
        <v>7000</v>
      </c>
      <c r="Z114" s="982">
        <f t="shared" si="13"/>
        <v>7000000</v>
      </c>
      <c r="AA114" s="255"/>
      <c r="AB114" s="251"/>
      <c r="AC114" s="251"/>
    </row>
    <row r="115" spans="1:29" s="252" customFormat="1" ht="23.45" customHeight="1">
      <c r="A115" s="849"/>
      <c r="B115" s="850"/>
      <c r="C115" s="851"/>
      <c r="D115" s="851"/>
      <c r="E115" s="852" t="s">
        <v>70</v>
      </c>
      <c r="F115" s="853">
        <f>Y115</f>
        <v>53400</v>
      </c>
      <c r="G115" s="853">
        <v>50400</v>
      </c>
      <c r="H115" s="865">
        <f>F115-G115</f>
        <v>3000</v>
      </c>
      <c r="I115" s="855"/>
      <c r="J115" s="856" t="s">
        <v>224</v>
      </c>
      <c r="K115" s="857"/>
      <c r="L115" s="857"/>
      <c r="M115" s="857"/>
      <c r="N115" s="858"/>
      <c r="O115" s="858"/>
      <c r="P115" s="857"/>
      <c r="Q115" s="859"/>
      <c r="R115" s="857"/>
      <c r="S115" s="857"/>
      <c r="T115" s="857"/>
      <c r="U115" s="857"/>
      <c r="V115" s="857"/>
      <c r="W115" s="857"/>
      <c r="X115" s="860"/>
      <c r="Y115" s="861">
        <f t="shared" si="12"/>
        <v>53400</v>
      </c>
      <c r="Z115" s="872">
        <f>SUM(Z116:Z117)</f>
        <v>53400000</v>
      </c>
      <c r="AA115" s="255"/>
      <c r="AB115" s="251"/>
      <c r="AC115" s="251"/>
    </row>
    <row r="116" spans="1:29" s="257" customFormat="1" ht="23.45" customHeight="1">
      <c r="A116" s="849"/>
      <c r="B116" s="850"/>
      <c r="C116" s="851"/>
      <c r="D116" s="851"/>
      <c r="E116" s="851"/>
      <c r="F116" s="864"/>
      <c r="G116" s="864"/>
      <c r="H116" s="865"/>
      <c r="I116" s="855"/>
      <c r="J116" s="3618" t="s">
        <v>1635</v>
      </c>
      <c r="K116" s="3163"/>
      <c r="L116" s="3163"/>
      <c r="M116" s="3163"/>
      <c r="N116" s="3164"/>
      <c r="O116" s="3164"/>
      <c r="P116" s="3163"/>
      <c r="Q116" s="869">
        <v>5</v>
      </c>
      <c r="R116" s="3163" t="s">
        <v>32</v>
      </c>
      <c r="S116" s="3164">
        <v>800000</v>
      </c>
      <c r="T116" s="3163" t="s">
        <v>0</v>
      </c>
      <c r="U116" s="3163"/>
      <c r="V116" s="3163">
        <v>12</v>
      </c>
      <c r="W116" s="3163" t="s">
        <v>2</v>
      </c>
      <c r="X116" s="3165" t="s">
        <v>1</v>
      </c>
      <c r="Y116" s="871">
        <f t="shared" si="12"/>
        <v>48000</v>
      </c>
      <c r="Z116" s="872">
        <f>S116*Q116*V116</f>
        <v>48000000</v>
      </c>
      <c r="AA116" s="255"/>
      <c r="AB116" s="251"/>
      <c r="AC116" s="256"/>
    </row>
    <row r="117" spans="1:29" s="257" customFormat="1" ht="23.45" customHeight="1">
      <c r="A117" s="849"/>
      <c r="B117" s="850"/>
      <c r="C117" s="851"/>
      <c r="D117" s="851"/>
      <c r="E117" s="971"/>
      <c r="F117" s="2169"/>
      <c r="G117" s="2169"/>
      <c r="H117" s="990"/>
      <c r="I117" s="2186"/>
      <c r="J117" s="1018" t="s">
        <v>1636</v>
      </c>
      <c r="K117" s="978"/>
      <c r="L117" s="978"/>
      <c r="M117" s="978"/>
      <c r="N117" s="979"/>
      <c r="O117" s="979"/>
      <c r="P117" s="978"/>
      <c r="Q117" s="1019">
        <v>1</v>
      </c>
      <c r="R117" s="978" t="s">
        <v>32</v>
      </c>
      <c r="S117" s="979">
        <v>450000</v>
      </c>
      <c r="T117" s="978" t="s">
        <v>0</v>
      </c>
      <c r="U117" s="978"/>
      <c r="V117" s="978">
        <v>12</v>
      </c>
      <c r="W117" s="978" t="s">
        <v>2</v>
      </c>
      <c r="X117" s="1025" t="s">
        <v>1</v>
      </c>
      <c r="Y117" s="981">
        <f t="shared" si="12"/>
        <v>5400</v>
      </c>
      <c r="Z117" s="2187">
        <f>S117*Q117*V117</f>
        <v>5400000</v>
      </c>
      <c r="AA117" s="255"/>
      <c r="AB117" s="251"/>
      <c r="AC117" s="256"/>
    </row>
    <row r="118" spans="1:29" s="691" customFormat="1" ht="21.95" customHeight="1">
      <c r="A118" s="849"/>
      <c r="B118" s="850"/>
      <c r="C118" s="851"/>
      <c r="D118" s="851"/>
      <c r="E118" s="852" t="s">
        <v>167</v>
      </c>
      <c r="F118" s="853">
        <f>Y118</f>
        <v>54000</v>
      </c>
      <c r="G118" s="853">
        <v>54000</v>
      </c>
      <c r="H118" s="854"/>
      <c r="I118" s="873"/>
      <c r="J118" s="856" t="s">
        <v>768</v>
      </c>
      <c r="K118" s="857"/>
      <c r="L118" s="857"/>
      <c r="M118" s="857"/>
      <c r="N118" s="858"/>
      <c r="O118" s="858"/>
      <c r="P118" s="857"/>
      <c r="Q118" s="859"/>
      <c r="R118" s="857"/>
      <c r="S118" s="857"/>
      <c r="T118" s="857"/>
      <c r="U118" s="857"/>
      <c r="V118" s="857"/>
      <c r="W118" s="857"/>
      <c r="X118" s="860"/>
      <c r="Y118" s="861">
        <f>SUM(Y119:Y122)</f>
        <v>54000</v>
      </c>
      <c r="Z118" s="862">
        <f>SUM(Z119:Z122)</f>
        <v>54000000</v>
      </c>
      <c r="AA118" s="255"/>
      <c r="AB118" s="863"/>
      <c r="AC118" s="863"/>
    </row>
    <row r="119" spans="1:29" s="252" customFormat="1" ht="21.95" customHeight="1">
      <c r="A119" s="849"/>
      <c r="B119" s="850"/>
      <c r="C119" s="851"/>
      <c r="D119" s="851"/>
      <c r="E119" s="851"/>
      <c r="F119" s="864"/>
      <c r="G119" s="864"/>
      <c r="H119" s="865"/>
      <c r="I119" s="855"/>
      <c r="J119" s="866" t="s">
        <v>1637</v>
      </c>
      <c r="K119" s="867"/>
      <c r="L119" s="867"/>
      <c r="M119" s="867"/>
      <c r="N119" s="868"/>
      <c r="O119" s="867"/>
      <c r="P119" s="867"/>
      <c r="Q119" s="869">
        <v>2</v>
      </c>
      <c r="R119" s="867" t="s">
        <v>25</v>
      </c>
      <c r="S119" s="868">
        <v>600000</v>
      </c>
      <c r="T119" s="867" t="s">
        <v>0</v>
      </c>
      <c r="U119" s="867"/>
      <c r="V119" s="867">
        <v>12</v>
      </c>
      <c r="W119" s="867" t="s">
        <v>2</v>
      </c>
      <c r="X119" s="870" t="s">
        <v>1</v>
      </c>
      <c r="Y119" s="871">
        <f t="shared" ref="Y119:Y137" si="14">+Z119/1000</f>
        <v>14400</v>
      </c>
      <c r="Z119" s="872">
        <f>S119*Q119*V119</f>
        <v>14400000</v>
      </c>
      <c r="AA119" s="255"/>
      <c r="AB119" s="251"/>
      <c r="AC119" s="251"/>
    </row>
    <row r="120" spans="1:29" s="252" customFormat="1" ht="21.95" customHeight="1">
      <c r="A120" s="849"/>
      <c r="B120" s="850"/>
      <c r="C120" s="851"/>
      <c r="D120" s="851"/>
      <c r="E120" s="851"/>
      <c r="F120" s="864"/>
      <c r="G120" s="864"/>
      <c r="H120" s="865"/>
      <c r="I120" s="855"/>
      <c r="J120" s="866" t="s">
        <v>1638</v>
      </c>
      <c r="K120" s="867"/>
      <c r="L120" s="867"/>
      <c r="M120" s="867"/>
      <c r="N120" s="868"/>
      <c r="O120" s="867"/>
      <c r="P120" s="867"/>
      <c r="Q120" s="869">
        <v>1</v>
      </c>
      <c r="R120" s="867" t="s">
        <v>25</v>
      </c>
      <c r="S120" s="868">
        <v>600000</v>
      </c>
      <c r="T120" s="867" t="s">
        <v>0</v>
      </c>
      <c r="U120" s="867"/>
      <c r="V120" s="867">
        <v>12</v>
      </c>
      <c r="W120" s="867" t="s">
        <v>2</v>
      </c>
      <c r="X120" s="870" t="s">
        <v>1</v>
      </c>
      <c r="Y120" s="871">
        <f>+Z120/1000</f>
        <v>7200</v>
      </c>
      <c r="Z120" s="872">
        <f>S120*Q120*V120</f>
        <v>7200000</v>
      </c>
      <c r="AA120" s="255"/>
      <c r="AB120" s="251"/>
      <c r="AC120" s="251"/>
    </row>
    <row r="121" spans="1:29" s="257" customFormat="1" ht="21.95" customHeight="1">
      <c r="A121" s="849"/>
      <c r="B121" s="850"/>
      <c r="C121" s="851"/>
      <c r="D121" s="851"/>
      <c r="E121" s="851"/>
      <c r="F121" s="864"/>
      <c r="G121" s="864"/>
      <c r="H121" s="865"/>
      <c r="I121" s="855"/>
      <c r="J121" s="866" t="s">
        <v>1639</v>
      </c>
      <c r="K121" s="867"/>
      <c r="L121" s="867"/>
      <c r="M121" s="867"/>
      <c r="N121" s="868"/>
      <c r="O121" s="867"/>
      <c r="P121" s="867"/>
      <c r="Q121" s="869">
        <v>8</v>
      </c>
      <c r="R121" s="867" t="s">
        <v>25</v>
      </c>
      <c r="S121" s="868">
        <v>300000</v>
      </c>
      <c r="T121" s="867" t="s">
        <v>0</v>
      </c>
      <c r="U121" s="867"/>
      <c r="V121" s="867">
        <v>12</v>
      </c>
      <c r="W121" s="867" t="s">
        <v>2</v>
      </c>
      <c r="X121" s="870" t="s">
        <v>1</v>
      </c>
      <c r="Y121" s="871">
        <f>+Z121/1000</f>
        <v>28800</v>
      </c>
      <c r="Z121" s="872">
        <f>S121*Q121*V121</f>
        <v>28800000</v>
      </c>
      <c r="AA121" s="255"/>
      <c r="AB121" s="251"/>
      <c r="AC121" s="256"/>
    </row>
    <row r="122" spans="1:29" s="257" customFormat="1" ht="21.95" customHeight="1">
      <c r="A122" s="849"/>
      <c r="B122" s="850"/>
      <c r="C122" s="851"/>
      <c r="D122" s="851"/>
      <c r="E122" s="971"/>
      <c r="F122" s="2169"/>
      <c r="G122" s="2169"/>
      <c r="H122" s="990"/>
      <c r="I122" s="855"/>
      <c r="J122" s="1018" t="s">
        <v>1640</v>
      </c>
      <c r="K122" s="978"/>
      <c r="L122" s="978"/>
      <c r="M122" s="978"/>
      <c r="N122" s="979"/>
      <c r="O122" s="978"/>
      <c r="P122" s="978"/>
      <c r="Q122" s="1019">
        <v>1</v>
      </c>
      <c r="R122" s="978" t="s">
        <v>833</v>
      </c>
      <c r="S122" s="979">
        <v>300000</v>
      </c>
      <c r="T122" s="978" t="s">
        <v>0</v>
      </c>
      <c r="U122" s="978"/>
      <c r="V122" s="978">
        <v>12</v>
      </c>
      <c r="W122" s="978" t="s">
        <v>2</v>
      </c>
      <c r="X122" s="1025" t="s">
        <v>1</v>
      </c>
      <c r="Y122" s="981">
        <f>+Z122/1000</f>
        <v>3600</v>
      </c>
      <c r="Z122" s="982">
        <f>S122*Q122*V122</f>
        <v>3600000</v>
      </c>
      <c r="AA122" s="255"/>
      <c r="AB122" s="251"/>
      <c r="AC122" s="256"/>
    </row>
    <row r="123" spans="1:29" s="252" customFormat="1" ht="21.95" customHeight="1">
      <c r="A123" s="849"/>
      <c r="B123" s="850"/>
      <c r="C123" s="851"/>
      <c r="D123" s="851"/>
      <c r="E123" s="851" t="s">
        <v>60</v>
      </c>
      <c r="F123" s="864">
        <f>Y123</f>
        <v>60600</v>
      </c>
      <c r="G123" s="864">
        <v>47600</v>
      </c>
      <c r="H123" s="865">
        <f>F123-G123</f>
        <v>13000</v>
      </c>
      <c r="I123" s="855"/>
      <c r="J123" s="3618" t="s">
        <v>224</v>
      </c>
      <c r="K123" s="3163"/>
      <c r="L123" s="3163"/>
      <c r="M123" s="3163"/>
      <c r="N123" s="3164"/>
      <c r="O123" s="3163"/>
      <c r="P123" s="3163"/>
      <c r="Q123" s="869"/>
      <c r="R123" s="3163"/>
      <c r="S123" s="3164"/>
      <c r="T123" s="3163"/>
      <c r="U123" s="3163"/>
      <c r="V123" s="3163"/>
      <c r="W123" s="3163"/>
      <c r="X123" s="3165"/>
      <c r="Y123" s="871">
        <f t="shared" ref="Y123:Y128" si="15">+Z123/1000</f>
        <v>60600</v>
      </c>
      <c r="Z123" s="872">
        <f>SUM(Z124:Z128)</f>
        <v>60600000</v>
      </c>
      <c r="AA123" s="255"/>
      <c r="AB123" s="251"/>
      <c r="AC123" s="251"/>
    </row>
    <row r="124" spans="1:29" s="252" customFormat="1" ht="21.95" customHeight="1">
      <c r="A124" s="849"/>
      <c r="B124" s="850"/>
      <c r="C124" s="851"/>
      <c r="D124" s="851"/>
      <c r="E124" s="1528"/>
      <c r="F124" s="864"/>
      <c r="G124" s="864"/>
      <c r="H124" s="865"/>
      <c r="I124" s="855"/>
      <c r="J124" s="3618" t="s">
        <v>383</v>
      </c>
      <c r="K124" s="3163"/>
      <c r="L124" s="3163"/>
      <c r="M124" s="3163"/>
      <c r="N124" s="3164"/>
      <c r="O124" s="3163"/>
      <c r="P124" s="3163"/>
      <c r="Q124" s="869"/>
      <c r="R124" s="3163"/>
      <c r="S124" s="3164">
        <v>300000</v>
      </c>
      <c r="T124" s="3163" t="s">
        <v>0</v>
      </c>
      <c r="U124" s="3163"/>
      <c r="V124" s="3163">
        <v>12</v>
      </c>
      <c r="W124" s="3163" t="s">
        <v>55</v>
      </c>
      <c r="X124" s="3165" t="s">
        <v>1</v>
      </c>
      <c r="Y124" s="871">
        <f t="shared" si="15"/>
        <v>3600</v>
      </c>
      <c r="Z124" s="872">
        <f>S124*V124</f>
        <v>3600000</v>
      </c>
      <c r="AA124" s="255"/>
      <c r="AB124" s="251"/>
      <c r="AC124" s="251"/>
    </row>
    <row r="125" spans="1:29" s="252" customFormat="1" ht="21.95" customHeight="1">
      <c r="A125" s="849"/>
      <c r="B125" s="850"/>
      <c r="C125" s="851"/>
      <c r="D125" s="851"/>
      <c r="E125" s="851"/>
      <c r="F125" s="864"/>
      <c r="G125" s="864"/>
      <c r="H125" s="865"/>
      <c r="I125" s="855"/>
      <c r="J125" s="3618" t="s">
        <v>900</v>
      </c>
      <c r="K125" s="3163"/>
      <c r="L125" s="3163"/>
      <c r="M125" s="3163"/>
      <c r="N125" s="3164"/>
      <c r="O125" s="3163"/>
      <c r="P125" s="3163"/>
      <c r="Q125" s="869">
        <v>9</v>
      </c>
      <c r="R125" s="3163" t="s">
        <v>19</v>
      </c>
      <c r="S125" s="3164">
        <v>200000</v>
      </c>
      <c r="T125" s="3163" t="s">
        <v>0</v>
      </c>
      <c r="U125" s="3163"/>
      <c r="V125" s="3163">
        <v>12</v>
      </c>
      <c r="W125" s="3163" t="s">
        <v>55</v>
      </c>
      <c r="X125" s="3165" t="s">
        <v>1</v>
      </c>
      <c r="Y125" s="871">
        <f t="shared" si="15"/>
        <v>21600</v>
      </c>
      <c r="Z125" s="872">
        <f>Q125*S125*V125</f>
        <v>21600000</v>
      </c>
      <c r="AA125" s="255"/>
      <c r="AB125" s="251"/>
      <c r="AC125" s="251"/>
    </row>
    <row r="126" spans="1:29" s="252" customFormat="1" ht="21.95" customHeight="1">
      <c r="A126" s="849"/>
      <c r="B126" s="850"/>
      <c r="C126" s="851"/>
      <c r="D126" s="851"/>
      <c r="E126" s="851"/>
      <c r="F126" s="864"/>
      <c r="G126" s="864"/>
      <c r="H126" s="865"/>
      <c r="I126" s="855"/>
      <c r="J126" s="3618" t="s">
        <v>1641</v>
      </c>
      <c r="K126" s="3163"/>
      <c r="L126" s="3163"/>
      <c r="M126" s="3163"/>
      <c r="N126" s="3164"/>
      <c r="O126" s="3163"/>
      <c r="P126" s="3163"/>
      <c r="Q126" s="869">
        <v>10</v>
      </c>
      <c r="R126" s="3163" t="s">
        <v>41</v>
      </c>
      <c r="S126" s="3164">
        <v>8000</v>
      </c>
      <c r="T126" s="3163" t="s">
        <v>0</v>
      </c>
      <c r="U126" s="3163"/>
      <c r="V126" s="869">
        <v>12</v>
      </c>
      <c r="W126" s="3163" t="s">
        <v>5820</v>
      </c>
      <c r="X126" s="3165" t="s">
        <v>1</v>
      </c>
      <c r="Y126" s="871">
        <f t="shared" si="15"/>
        <v>960</v>
      </c>
      <c r="Z126" s="872">
        <f>S126*Q126*V126</f>
        <v>960000</v>
      </c>
      <c r="AA126" s="255"/>
      <c r="AB126" s="251"/>
      <c r="AC126" s="251"/>
    </row>
    <row r="127" spans="1:29" s="257" customFormat="1" ht="21.95" customHeight="1">
      <c r="A127" s="849"/>
      <c r="B127" s="850"/>
      <c r="C127" s="851"/>
      <c r="D127" s="851"/>
      <c r="E127" s="851"/>
      <c r="F127" s="864"/>
      <c r="G127" s="864"/>
      <c r="H127" s="865"/>
      <c r="I127" s="855"/>
      <c r="J127" s="3618" t="s">
        <v>5821</v>
      </c>
      <c r="K127" s="3163"/>
      <c r="L127" s="3163"/>
      <c r="M127" s="3163"/>
      <c r="N127" s="3164"/>
      <c r="O127" s="3163"/>
      <c r="P127" s="3163"/>
      <c r="Q127" s="869">
        <v>3</v>
      </c>
      <c r="R127" s="3163" t="s">
        <v>32</v>
      </c>
      <c r="S127" s="3164">
        <v>40000</v>
      </c>
      <c r="T127" s="3163" t="s">
        <v>0</v>
      </c>
      <c r="U127" s="3163"/>
      <c r="V127" s="3163">
        <v>12</v>
      </c>
      <c r="W127" s="3163" t="s">
        <v>5820</v>
      </c>
      <c r="X127" s="3165" t="s">
        <v>1</v>
      </c>
      <c r="Y127" s="871">
        <f>+Z127/1000</f>
        <v>1440</v>
      </c>
      <c r="Z127" s="872">
        <f>ROUNDUP(S127*Q127*V127,-3)</f>
        <v>1440000</v>
      </c>
      <c r="AA127" s="255"/>
      <c r="AB127" s="251"/>
      <c r="AC127" s="256"/>
    </row>
    <row r="128" spans="1:29" s="252" customFormat="1" ht="21.95" customHeight="1" thickBot="1">
      <c r="A128" s="849"/>
      <c r="B128" s="850"/>
      <c r="C128" s="851"/>
      <c r="D128" s="851"/>
      <c r="E128" s="851"/>
      <c r="F128" s="864"/>
      <c r="G128" s="864"/>
      <c r="H128" s="865"/>
      <c r="I128" s="855"/>
      <c r="J128" s="1215" t="s">
        <v>5822</v>
      </c>
      <c r="K128" s="1050"/>
      <c r="L128" s="1050"/>
      <c r="M128" s="1050"/>
      <c r="N128" s="1430"/>
      <c r="O128" s="1050"/>
      <c r="P128" s="1050"/>
      <c r="Q128" s="1270"/>
      <c r="R128" s="1050"/>
      <c r="S128" s="1430">
        <v>33000000</v>
      </c>
      <c r="T128" s="1050" t="s">
        <v>0</v>
      </c>
      <c r="U128" s="1050"/>
      <c r="V128" s="1050">
        <v>1</v>
      </c>
      <c r="W128" s="1050" t="s">
        <v>5823</v>
      </c>
      <c r="X128" s="2195" t="s">
        <v>1</v>
      </c>
      <c r="Y128" s="2000">
        <f t="shared" si="15"/>
        <v>33000</v>
      </c>
      <c r="Z128" s="2152">
        <f>ROUNDUP(S128*V128,-3)</f>
        <v>33000000</v>
      </c>
      <c r="AA128" s="255"/>
      <c r="AB128" s="251"/>
      <c r="AC128" s="251"/>
    </row>
    <row r="129" spans="1:29" s="252" customFormat="1" ht="21.95" customHeight="1">
      <c r="A129" s="849"/>
      <c r="B129" s="850"/>
      <c r="C129" s="851"/>
      <c r="D129" s="851"/>
      <c r="E129" s="852" t="s">
        <v>168</v>
      </c>
      <c r="F129" s="853">
        <f>Y129</f>
        <v>86360</v>
      </c>
      <c r="G129" s="853">
        <v>86360</v>
      </c>
      <c r="H129" s="854"/>
      <c r="I129" s="855"/>
      <c r="J129" s="856" t="s">
        <v>768</v>
      </c>
      <c r="K129" s="857"/>
      <c r="L129" s="857"/>
      <c r="M129" s="857"/>
      <c r="N129" s="858"/>
      <c r="O129" s="857"/>
      <c r="P129" s="857"/>
      <c r="Q129" s="859"/>
      <c r="R129" s="857"/>
      <c r="S129" s="858"/>
      <c r="T129" s="857"/>
      <c r="U129" s="857"/>
      <c r="V129" s="857"/>
      <c r="W129" s="857"/>
      <c r="X129" s="860"/>
      <c r="Y129" s="861">
        <f t="shared" si="14"/>
        <v>86360</v>
      </c>
      <c r="Z129" s="862">
        <f>SUM(Z130:Z134)</f>
        <v>86360000</v>
      </c>
      <c r="AA129" s="255"/>
      <c r="AB129" s="251"/>
      <c r="AC129" s="251"/>
    </row>
    <row r="130" spans="1:29" s="252" customFormat="1" ht="21.95" customHeight="1">
      <c r="A130" s="849"/>
      <c r="B130" s="850"/>
      <c r="C130" s="851"/>
      <c r="D130" s="851"/>
      <c r="E130" s="851"/>
      <c r="F130" s="864"/>
      <c r="G130" s="864"/>
      <c r="H130" s="865"/>
      <c r="I130" s="855"/>
      <c r="J130" s="866" t="s">
        <v>1642</v>
      </c>
      <c r="K130" s="867"/>
      <c r="L130" s="867"/>
      <c r="M130" s="867"/>
      <c r="N130" s="868"/>
      <c r="O130" s="867"/>
      <c r="P130" s="867"/>
      <c r="Q130" s="869"/>
      <c r="R130" s="867"/>
      <c r="S130" s="868">
        <v>3200000</v>
      </c>
      <c r="T130" s="867" t="s">
        <v>1929</v>
      </c>
      <c r="U130" s="867" t="s">
        <v>20</v>
      </c>
      <c r="V130" s="867">
        <v>20</v>
      </c>
      <c r="W130" s="867" t="s">
        <v>1930</v>
      </c>
      <c r="X130" s="870" t="s">
        <v>1</v>
      </c>
      <c r="Y130" s="871">
        <f t="shared" si="14"/>
        <v>64000</v>
      </c>
      <c r="Z130" s="872">
        <v>64000000</v>
      </c>
      <c r="AA130" s="255"/>
      <c r="AB130" s="251"/>
      <c r="AC130" s="251"/>
    </row>
    <row r="131" spans="1:29" s="257" customFormat="1" ht="21.95" customHeight="1">
      <c r="A131" s="849"/>
      <c r="B131" s="850"/>
      <c r="C131" s="851"/>
      <c r="D131" s="851"/>
      <c r="E131" s="851"/>
      <c r="F131" s="864"/>
      <c r="G131" s="864"/>
      <c r="H131" s="865"/>
      <c r="I131" s="855"/>
      <c r="J131" s="866" t="s">
        <v>1643</v>
      </c>
      <c r="K131" s="867"/>
      <c r="L131" s="867"/>
      <c r="M131" s="867"/>
      <c r="N131" s="868"/>
      <c r="O131" s="867"/>
      <c r="P131" s="867"/>
      <c r="Q131" s="869"/>
      <c r="R131" s="867"/>
      <c r="S131" s="868">
        <v>2500000</v>
      </c>
      <c r="T131" s="867" t="s">
        <v>1929</v>
      </c>
      <c r="U131" s="867" t="s">
        <v>20</v>
      </c>
      <c r="V131" s="867">
        <v>2</v>
      </c>
      <c r="W131" s="867" t="s">
        <v>1930</v>
      </c>
      <c r="X131" s="870" t="s">
        <v>1</v>
      </c>
      <c r="Y131" s="871">
        <f t="shared" si="14"/>
        <v>5000</v>
      </c>
      <c r="Z131" s="1405">
        <v>5000000</v>
      </c>
      <c r="AA131" s="255"/>
      <c r="AB131" s="251"/>
      <c r="AC131" s="256"/>
    </row>
    <row r="132" spans="1:29" s="257" customFormat="1" ht="21.95" customHeight="1">
      <c r="A132" s="849"/>
      <c r="B132" s="850"/>
      <c r="C132" s="851"/>
      <c r="D132" s="851"/>
      <c r="E132" s="851"/>
      <c r="F132" s="864"/>
      <c r="G132" s="864"/>
      <c r="H132" s="865"/>
      <c r="I132" s="855"/>
      <c r="J132" s="866" t="s">
        <v>1644</v>
      </c>
      <c r="K132" s="867"/>
      <c r="L132" s="867"/>
      <c r="M132" s="867"/>
      <c r="N132" s="868"/>
      <c r="O132" s="867"/>
      <c r="P132" s="867"/>
      <c r="Q132" s="869"/>
      <c r="R132" s="867"/>
      <c r="S132" s="868">
        <v>700</v>
      </c>
      <c r="T132" s="867" t="s">
        <v>769</v>
      </c>
      <c r="U132" s="867"/>
      <c r="V132" s="867">
        <v>10000</v>
      </c>
      <c r="W132" s="867" t="s">
        <v>834</v>
      </c>
      <c r="X132" s="870" t="s">
        <v>1</v>
      </c>
      <c r="Y132" s="871">
        <f t="shared" si="14"/>
        <v>7000</v>
      </c>
      <c r="Z132" s="872">
        <f>S132*V132</f>
        <v>7000000</v>
      </c>
      <c r="AA132" s="255"/>
      <c r="AB132" s="251"/>
      <c r="AC132" s="256"/>
    </row>
    <row r="133" spans="1:29" s="252" customFormat="1" ht="21.95" customHeight="1">
      <c r="A133" s="849"/>
      <c r="B133" s="850"/>
      <c r="C133" s="851"/>
      <c r="D133" s="851"/>
      <c r="E133" s="851"/>
      <c r="F133" s="864"/>
      <c r="G133" s="864"/>
      <c r="H133" s="865"/>
      <c r="I133" s="855"/>
      <c r="J133" s="866" t="s">
        <v>1645</v>
      </c>
      <c r="K133" s="867"/>
      <c r="L133" s="867"/>
      <c r="M133" s="867"/>
      <c r="N133" s="868"/>
      <c r="O133" s="867"/>
      <c r="P133" s="867"/>
      <c r="Q133" s="869"/>
      <c r="R133" s="867"/>
      <c r="S133" s="868">
        <v>1600</v>
      </c>
      <c r="T133" s="867" t="s">
        <v>769</v>
      </c>
      <c r="U133" s="867"/>
      <c r="V133" s="867">
        <v>4000</v>
      </c>
      <c r="W133" s="867" t="s">
        <v>834</v>
      </c>
      <c r="X133" s="870" t="s">
        <v>1</v>
      </c>
      <c r="Y133" s="871">
        <f t="shared" si="14"/>
        <v>6400</v>
      </c>
      <c r="Z133" s="872">
        <f>S133*V133</f>
        <v>6400000</v>
      </c>
      <c r="AA133" s="255"/>
      <c r="AB133" s="251"/>
      <c r="AC133" s="251"/>
    </row>
    <row r="134" spans="1:29" s="252" customFormat="1" ht="21.95" customHeight="1">
      <c r="A134" s="849"/>
      <c r="B134" s="850"/>
      <c r="C134" s="851"/>
      <c r="D134" s="851"/>
      <c r="E134" s="971"/>
      <c r="F134" s="2169"/>
      <c r="G134" s="2169"/>
      <c r="H134" s="990"/>
      <c r="I134" s="855"/>
      <c r="J134" s="1018" t="s">
        <v>1646</v>
      </c>
      <c r="K134" s="978"/>
      <c r="L134" s="978"/>
      <c r="M134" s="978"/>
      <c r="N134" s="979"/>
      <c r="O134" s="978"/>
      <c r="P134" s="978"/>
      <c r="Q134" s="978">
        <v>4</v>
      </c>
      <c r="R134" s="978" t="s">
        <v>169</v>
      </c>
      <c r="S134" s="979">
        <v>165000</v>
      </c>
      <c r="T134" s="978" t="s">
        <v>0</v>
      </c>
      <c r="U134" s="978"/>
      <c r="V134" s="978">
        <v>6</v>
      </c>
      <c r="W134" s="978" t="s">
        <v>3</v>
      </c>
      <c r="X134" s="1025" t="s">
        <v>1</v>
      </c>
      <c r="Y134" s="981">
        <f t="shared" si="14"/>
        <v>3960</v>
      </c>
      <c r="Z134" s="982">
        <f>S134*Q134*V134</f>
        <v>3960000</v>
      </c>
      <c r="AA134" s="255"/>
      <c r="AB134" s="251"/>
      <c r="AC134" s="251"/>
    </row>
    <row r="135" spans="1:29" s="252" customFormat="1" ht="21.95" customHeight="1">
      <c r="A135" s="849"/>
      <c r="B135" s="850"/>
      <c r="C135" s="851"/>
      <c r="D135" s="851"/>
      <c r="E135" s="851" t="s">
        <v>61</v>
      </c>
      <c r="F135" s="864">
        <f>Y135</f>
        <v>20000</v>
      </c>
      <c r="G135" s="864">
        <v>20000</v>
      </c>
      <c r="H135" s="865"/>
      <c r="I135" s="855"/>
      <c r="J135" s="866" t="s">
        <v>768</v>
      </c>
      <c r="K135" s="867"/>
      <c r="L135" s="867"/>
      <c r="M135" s="867"/>
      <c r="N135" s="868"/>
      <c r="O135" s="868"/>
      <c r="P135" s="867"/>
      <c r="Q135" s="869"/>
      <c r="R135" s="867"/>
      <c r="S135" s="868"/>
      <c r="T135" s="867"/>
      <c r="U135" s="867"/>
      <c r="V135" s="867"/>
      <c r="W135" s="867"/>
      <c r="X135" s="870"/>
      <c r="Y135" s="871">
        <f t="shared" si="14"/>
        <v>20000</v>
      </c>
      <c r="Z135" s="872">
        <f>SUM(Z136:Z137)</f>
        <v>20000000</v>
      </c>
      <c r="AA135" s="255"/>
      <c r="AB135" s="251"/>
      <c r="AC135" s="251"/>
    </row>
    <row r="136" spans="1:29" s="252" customFormat="1" ht="21.95" customHeight="1">
      <c r="A136" s="849"/>
      <c r="B136" s="850"/>
      <c r="C136" s="851"/>
      <c r="D136" s="851"/>
      <c r="E136" s="851"/>
      <c r="F136" s="864"/>
      <c r="G136" s="864"/>
      <c r="H136" s="865"/>
      <c r="I136" s="855"/>
      <c r="J136" s="866" t="s">
        <v>1647</v>
      </c>
      <c r="K136" s="867"/>
      <c r="L136" s="867"/>
      <c r="M136" s="867"/>
      <c r="N136" s="868"/>
      <c r="O136" s="868"/>
      <c r="P136" s="867"/>
      <c r="Q136" s="869">
        <v>20</v>
      </c>
      <c r="R136" s="867" t="s">
        <v>31</v>
      </c>
      <c r="S136" s="868">
        <v>25000</v>
      </c>
      <c r="T136" s="867" t="s">
        <v>0</v>
      </c>
      <c r="U136" s="867"/>
      <c r="V136" s="867">
        <v>20</v>
      </c>
      <c r="W136" s="867" t="s">
        <v>28</v>
      </c>
      <c r="X136" s="870" t="s">
        <v>1</v>
      </c>
      <c r="Y136" s="871">
        <f t="shared" si="14"/>
        <v>10000</v>
      </c>
      <c r="Z136" s="872">
        <f>S136*Q136*V136</f>
        <v>10000000</v>
      </c>
      <c r="AA136" s="255"/>
      <c r="AB136" s="251"/>
      <c r="AC136" s="251"/>
    </row>
    <row r="137" spans="1:29" s="252" customFormat="1" ht="21.95" customHeight="1">
      <c r="A137" s="849"/>
      <c r="B137" s="850"/>
      <c r="C137" s="851"/>
      <c r="D137" s="851"/>
      <c r="E137" s="851"/>
      <c r="F137" s="864"/>
      <c r="G137" s="864"/>
      <c r="H137" s="865"/>
      <c r="I137" s="855"/>
      <c r="J137" s="866" t="s">
        <v>1648</v>
      </c>
      <c r="K137" s="867"/>
      <c r="L137" s="867"/>
      <c r="M137" s="867"/>
      <c r="N137" s="868"/>
      <c r="O137" s="868"/>
      <c r="P137" s="867"/>
      <c r="Q137" s="869">
        <v>20</v>
      </c>
      <c r="R137" s="867" t="s">
        <v>31</v>
      </c>
      <c r="S137" s="868">
        <v>25000</v>
      </c>
      <c r="T137" s="867" t="s">
        <v>0</v>
      </c>
      <c r="U137" s="867"/>
      <c r="V137" s="867">
        <v>20</v>
      </c>
      <c r="W137" s="867" t="s">
        <v>28</v>
      </c>
      <c r="X137" s="870" t="s">
        <v>1</v>
      </c>
      <c r="Y137" s="871">
        <f t="shared" si="14"/>
        <v>10000</v>
      </c>
      <c r="Z137" s="872">
        <f>S137*Q137*V137</f>
        <v>10000000</v>
      </c>
      <c r="AA137" s="255"/>
      <c r="AB137" s="251"/>
      <c r="AC137" s="251"/>
    </row>
    <row r="138" spans="1:29" s="252" customFormat="1" ht="21.95" customHeight="1">
      <c r="A138" s="849"/>
      <c r="B138" s="850"/>
      <c r="C138" s="851"/>
      <c r="D138" s="1003" t="s">
        <v>170</v>
      </c>
      <c r="E138" s="1003"/>
      <c r="F138" s="2174">
        <f>SUM(F139)</f>
        <v>33000</v>
      </c>
      <c r="G138" s="2174">
        <f>SUM(G139:G143)</f>
        <v>33000</v>
      </c>
      <c r="H138" s="984">
        <f>F138-G138</f>
        <v>0</v>
      </c>
      <c r="I138" s="855"/>
      <c r="J138" s="1209"/>
      <c r="K138" s="1009"/>
      <c r="L138" s="1009"/>
      <c r="M138" s="1009"/>
      <c r="N138" s="1010"/>
      <c r="O138" s="1010"/>
      <c r="P138" s="1009"/>
      <c r="Q138" s="2175"/>
      <c r="R138" s="1009"/>
      <c r="S138" s="1009"/>
      <c r="T138" s="1009"/>
      <c r="U138" s="1009"/>
      <c r="V138" s="1009"/>
      <c r="W138" s="1009"/>
      <c r="X138" s="1422"/>
      <c r="Y138" s="965"/>
      <c r="Z138" s="2180">
        <f>SUM(Z139)</f>
        <v>33000000</v>
      </c>
      <c r="AA138" s="255"/>
      <c r="AB138" s="251"/>
      <c r="AC138" s="251"/>
    </row>
    <row r="139" spans="1:29" s="252" customFormat="1" ht="21.95" customHeight="1">
      <c r="A139" s="849"/>
      <c r="B139" s="850"/>
      <c r="C139" s="851"/>
      <c r="D139" s="851"/>
      <c r="E139" s="968" t="s">
        <v>557</v>
      </c>
      <c r="F139" s="853">
        <f>Y139</f>
        <v>33000</v>
      </c>
      <c r="G139" s="864">
        <v>33000</v>
      </c>
      <c r="H139" s="854"/>
      <c r="I139" s="855"/>
      <c r="J139" s="866" t="s">
        <v>8</v>
      </c>
      <c r="K139" s="3163"/>
      <c r="L139" s="3163"/>
      <c r="M139" s="3163"/>
      <c r="N139" s="3257"/>
      <c r="O139" s="3163"/>
      <c r="P139" s="3163"/>
      <c r="Q139" s="869"/>
      <c r="R139" s="3163"/>
      <c r="S139" s="3257"/>
      <c r="T139" s="3163"/>
      <c r="U139" s="3163"/>
      <c r="V139" s="3163"/>
      <c r="W139" s="3163"/>
      <c r="X139" s="3165"/>
      <c r="Y139" s="3258">
        <f>SUM(Y140:Y143)</f>
        <v>33000</v>
      </c>
      <c r="Z139" s="872">
        <f>SUM(Z140:Z143)</f>
        <v>33000000</v>
      </c>
      <c r="AA139" s="255"/>
      <c r="AB139" s="251"/>
      <c r="AC139" s="251"/>
    </row>
    <row r="140" spans="1:29" s="252" customFormat="1" ht="21.95" customHeight="1">
      <c r="A140" s="849"/>
      <c r="B140" s="850"/>
      <c r="C140" s="851"/>
      <c r="D140" s="851"/>
      <c r="E140" s="968"/>
      <c r="F140" s="989"/>
      <c r="G140" s="989"/>
      <c r="H140" s="865"/>
      <c r="I140" s="855"/>
      <c r="J140" s="866" t="s">
        <v>4366</v>
      </c>
      <c r="K140" s="3163"/>
      <c r="L140" s="3163"/>
      <c r="M140" s="3163"/>
      <c r="N140" s="3257"/>
      <c r="O140" s="3163"/>
      <c r="P140" s="3163"/>
      <c r="Q140" s="869"/>
      <c r="R140" s="3163"/>
      <c r="S140" s="3257">
        <v>5000000</v>
      </c>
      <c r="T140" s="3163" t="s">
        <v>0</v>
      </c>
      <c r="U140" s="3163"/>
      <c r="V140" s="3163">
        <v>1</v>
      </c>
      <c r="W140" s="3163" t="s">
        <v>6</v>
      </c>
      <c r="X140" s="3165" t="s">
        <v>1</v>
      </c>
      <c r="Y140" s="871">
        <f>+S140*V140/1000</f>
        <v>5000</v>
      </c>
      <c r="Z140" s="1405">
        <f>S140*V140</f>
        <v>5000000</v>
      </c>
      <c r="AA140" s="255"/>
      <c r="AB140" s="251"/>
      <c r="AC140" s="251"/>
    </row>
    <row r="141" spans="1:29" s="252" customFormat="1" ht="21.95" customHeight="1">
      <c r="A141" s="849"/>
      <c r="B141" s="850"/>
      <c r="C141" s="851"/>
      <c r="D141" s="851"/>
      <c r="E141" s="968"/>
      <c r="F141" s="989"/>
      <c r="G141" s="989"/>
      <c r="H141" s="865"/>
      <c r="I141" s="855"/>
      <c r="J141" s="866" t="s">
        <v>4367</v>
      </c>
      <c r="K141" s="3163"/>
      <c r="L141" s="3163"/>
      <c r="M141" s="3163"/>
      <c r="N141" s="3257"/>
      <c r="O141" s="3163"/>
      <c r="P141" s="3163"/>
      <c r="Q141" s="869"/>
      <c r="R141" s="3163"/>
      <c r="S141" s="3257">
        <v>10000000</v>
      </c>
      <c r="T141" s="3163" t="s">
        <v>0</v>
      </c>
      <c r="U141" s="3163"/>
      <c r="V141" s="3163">
        <v>1</v>
      </c>
      <c r="W141" s="3163" t="s">
        <v>6</v>
      </c>
      <c r="X141" s="3165" t="s">
        <v>1</v>
      </c>
      <c r="Y141" s="871">
        <f>+S141*V141/1000</f>
        <v>10000</v>
      </c>
      <c r="Z141" s="1405">
        <f t="shared" ref="Z141:Z143" si="16">S141*V141</f>
        <v>10000000</v>
      </c>
      <c r="AA141" s="255"/>
      <c r="AB141" s="251"/>
      <c r="AC141" s="251"/>
    </row>
    <row r="142" spans="1:29" s="252" customFormat="1" ht="21.95" customHeight="1">
      <c r="A142" s="849"/>
      <c r="B142" s="850"/>
      <c r="C142" s="851"/>
      <c r="D142" s="851"/>
      <c r="E142" s="968"/>
      <c r="F142" s="989"/>
      <c r="G142" s="989"/>
      <c r="H142" s="865"/>
      <c r="I142" s="855"/>
      <c r="J142" s="866" t="s">
        <v>4368</v>
      </c>
      <c r="K142" s="3163"/>
      <c r="L142" s="3163"/>
      <c r="M142" s="3163"/>
      <c r="N142" s="3257"/>
      <c r="O142" s="3163"/>
      <c r="P142" s="3163"/>
      <c r="Q142" s="869"/>
      <c r="R142" s="3163"/>
      <c r="S142" s="3257">
        <v>10000000</v>
      </c>
      <c r="T142" s="3163" t="s">
        <v>0</v>
      </c>
      <c r="U142" s="3163"/>
      <c r="V142" s="3163">
        <v>1</v>
      </c>
      <c r="W142" s="3163" t="s">
        <v>6</v>
      </c>
      <c r="X142" s="3165" t="s">
        <v>1</v>
      </c>
      <c r="Y142" s="871">
        <f>+S142*V142/1000</f>
        <v>10000</v>
      </c>
      <c r="Z142" s="1405">
        <f t="shared" si="16"/>
        <v>10000000</v>
      </c>
      <c r="AA142" s="255"/>
      <c r="AB142" s="251"/>
      <c r="AC142" s="251"/>
    </row>
    <row r="143" spans="1:29" s="252" customFormat="1" ht="21.95" customHeight="1" thickBot="1">
      <c r="A143" s="2192"/>
      <c r="B143" s="2193"/>
      <c r="C143" s="1427"/>
      <c r="D143" s="1427"/>
      <c r="E143" s="3259"/>
      <c r="F143" s="2194"/>
      <c r="G143" s="2194"/>
      <c r="H143" s="1042"/>
      <c r="I143" s="855"/>
      <c r="J143" s="1215" t="s">
        <v>4369</v>
      </c>
      <c r="K143" s="1050"/>
      <c r="L143" s="1050"/>
      <c r="M143" s="1050"/>
      <c r="N143" s="3260"/>
      <c r="O143" s="1050"/>
      <c r="P143" s="1050"/>
      <c r="Q143" s="1270"/>
      <c r="R143" s="1050"/>
      <c r="S143" s="3260">
        <v>1600000</v>
      </c>
      <c r="T143" s="1050" t="s">
        <v>0</v>
      </c>
      <c r="U143" s="1050"/>
      <c r="V143" s="1050">
        <v>5</v>
      </c>
      <c r="W143" s="1050" t="s">
        <v>30</v>
      </c>
      <c r="X143" s="2195" t="s">
        <v>1</v>
      </c>
      <c r="Y143" s="871">
        <f>+S143*V143/1000</f>
        <v>8000</v>
      </c>
      <c r="Z143" s="1405">
        <f t="shared" si="16"/>
        <v>8000000</v>
      </c>
      <c r="AA143" s="255"/>
      <c r="AB143" s="251"/>
      <c r="AC143" s="251"/>
    </row>
  </sheetData>
  <mergeCells count="11">
    <mergeCell ref="A1:Y1"/>
    <mergeCell ref="A3:E3"/>
    <mergeCell ref="F3:F4"/>
    <mergeCell ref="G3:G4"/>
    <mergeCell ref="H3:H4"/>
    <mergeCell ref="J3:Y4"/>
    <mergeCell ref="A5:E5"/>
    <mergeCell ref="J59:M59"/>
    <mergeCell ref="J60:M60"/>
    <mergeCell ref="J61:M61"/>
    <mergeCell ref="J63:M63"/>
  </mergeCells>
  <phoneticPr fontId="15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2" firstPageNumber="12" fitToHeight="100" orientation="landscape" useFirstPageNumber="1" horizontalDpi="300" verticalDpi="300" r:id="rId1"/>
  <headerFooter differentFirst="1" scaleWithDoc="0" alignWithMargins="0"/>
  <rowBreaks count="1" manualBreakCount="1">
    <brk id="90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226"/>
  <sheetViews>
    <sheetView view="pageBreakPreview" zoomScale="70" zoomScaleSheetLayoutView="70" workbookViewId="0">
      <selection activeCell="J27" sqref="J27"/>
    </sheetView>
  </sheetViews>
  <sheetFormatPr defaultRowHeight="18.75"/>
  <cols>
    <col min="1" max="4" width="6.77734375" style="182" customWidth="1"/>
    <col min="5" max="5" width="21.77734375" style="182" customWidth="1"/>
    <col min="6" max="7" width="14" style="183" customWidth="1"/>
    <col min="8" max="8" width="14" style="167" customWidth="1"/>
    <col min="9" max="9" width="1.5546875" style="184" customWidth="1"/>
    <col min="10" max="10" width="5.33203125" style="185" customWidth="1"/>
    <col min="11" max="11" width="1.88671875" style="182" customWidth="1"/>
    <col min="12" max="13" width="8.77734375" style="182" customWidth="1"/>
    <col min="14" max="14" width="10.77734375" style="182" customWidth="1"/>
    <col min="15" max="15" width="7.77734375" style="186" customWidth="1"/>
    <col min="16" max="16" width="6" style="186" customWidth="1"/>
    <col min="17" max="17" width="7.77734375" style="182" customWidth="1"/>
    <col min="18" max="18" width="6.77734375" style="182" customWidth="1"/>
    <col min="19" max="19" width="14.77734375" style="182" customWidth="1"/>
    <col min="20" max="20" width="6.88671875" style="182" customWidth="1"/>
    <col min="21" max="21" width="3.5546875" style="182" customWidth="1"/>
    <col min="22" max="22" width="6.5546875" style="182" customWidth="1"/>
    <col min="23" max="23" width="6.77734375" style="182" customWidth="1"/>
    <col min="24" max="24" width="3" style="230" customWidth="1"/>
    <col min="25" max="25" width="14.77734375" style="187" customWidth="1"/>
    <col min="26" max="26" width="17.44140625" style="179" customWidth="1"/>
    <col min="27" max="27" width="8.88671875" style="188"/>
    <col min="28" max="29" width="20.88671875" style="188" bestFit="1" customWidth="1"/>
    <col min="30" max="30" width="20.21875" style="188" bestFit="1" customWidth="1"/>
    <col min="31" max="16384" width="8.88671875" style="188"/>
  </cols>
  <sheetData>
    <row r="1" spans="1:28" ht="24" customHeight="1">
      <c r="A1" s="3884" t="s">
        <v>6111</v>
      </c>
      <c r="B1" s="3884"/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4"/>
      <c r="U1" s="3884"/>
      <c r="V1" s="3884"/>
      <c r="W1" s="3884"/>
      <c r="X1" s="3884"/>
      <c r="Y1" s="3884"/>
      <c r="Z1" s="2196"/>
    </row>
    <row r="2" spans="1:28" s="128" customFormat="1" ht="24" customHeight="1" thickBot="1">
      <c r="A2" s="1313"/>
      <c r="B2" s="1313"/>
      <c r="C2" s="1313"/>
      <c r="D2" s="1313" t="s">
        <v>378</v>
      </c>
      <c r="E2" s="1313"/>
      <c r="F2" s="2197"/>
      <c r="G2" s="2197"/>
      <c r="H2" s="299" t="s">
        <v>194</v>
      </c>
      <c r="I2" s="2082"/>
      <c r="J2" s="1313" t="s">
        <v>378</v>
      </c>
      <c r="K2" s="1283" t="s">
        <v>378</v>
      </c>
      <c r="L2" s="1313"/>
      <c r="M2" s="508"/>
      <c r="N2" s="308"/>
      <c r="O2" s="2198"/>
      <c r="P2" s="2198"/>
      <c r="Q2" s="2199"/>
      <c r="R2" s="2199"/>
      <c r="S2" s="2199"/>
      <c r="T2" s="2199"/>
      <c r="U2" s="2199"/>
      <c r="V2" s="2199"/>
      <c r="W2" s="2199"/>
      <c r="X2" s="2200"/>
      <c r="Y2" s="475" t="s">
        <v>172</v>
      </c>
      <c r="Z2" s="308"/>
    </row>
    <row r="3" spans="1:28" s="191" customFormat="1" ht="21" customHeight="1">
      <c r="A3" s="3885" t="s">
        <v>218</v>
      </c>
      <c r="B3" s="3886"/>
      <c r="C3" s="3886"/>
      <c r="D3" s="3886"/>
      <c r="E3" s="3887"/>
      <c r="F3" s="3809" t="s">
        <v>174</v>
      </c>
      <c r="G3" s="3811" t="s">
        <v>1077</v>
      </c>
      <c r="H3" s="3888" t="s">
        <v>11</v>
      </c>
      <c r="I3" s="2082"/>
      <c r="J3" s="3890" t="s">
        <v>220</v>
      </c>
      <c r="K3" s="3891"/>
      <c r="L3" s="3891"/>
      <c r="M3" s="3891"/>
      <c r="N3" s="3891"/>
      <c r="O3" s="3891"/>
      <c r="P3" s="3891"/>
      <c r="Q3" s="3891"/>
      <c r="R3" s="3891"/>
      <c r="S3" s="3891"/>
      <c r="T3" s="3891"/>
      <c r="U3" s="3891"/>
      <c r="V3" s="3891"/>
      <c r="W3" s="3891"/>
      <c r="X3" s="3891"/>
      <c r="Y3" s="3892"/>
      <c r="Z3" s="2201"/>
    </row>
    <row r="4" spans="1:28" s="192" customFormat="1" ht="21" customHeight="1" thickBot="1">
      <c r="A4" s="1900" t="s">
        <v>252</v>
      </c>
      <c r="B4" s="1901" t="s">
        <v>234</v>
      </c>
      <c r="C4" s="1880" t="s">
        <v>221</v>
      </c>
      <c r="D4" s="1880" t="s">
        <v>235</v>
      </c>
      <c r="E4" s="1880" t="s">
        <v>49</v>
      </c>
      <c r="F4" s="3810"/>
      <c r="G4" s="3812"/>
      <c r="H4" s="3889"/>
      <c r="I4" s="2082"/>
      <c r="J4" s="3893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4"/>
      <c r="V4" s="3894"/>
      <c r="W4" s="3894"/>
      <c r="X4" s="3894"/>
      <c r="Y4" s="3895"/>
      <c r="Z4" s="1882"/>
    </row>
    <row r="5" spans="1:28" s="192" customFormat="1" ht="21.95" customHeight="1" thickBot="1">
      <c r="A5" s="3896" t="s">
        <v>157</v>
      </c>
      <c r="B5" s="3897"/>
      <c r="C5" s="3897"/>
      <c r="D5" s="3897"/>
      <c r="E5" s="3898"/>
      <c r="F5" s="2202"/>
      <c r="G5" s="2202"/>
      <c r="H5" s="2203"/>
      <c r="I5" s="2082"/>
      <c r="J5" s="2204"/>
      <c r="K5" s="2205"/>
      <c r="L5" s="2205"/>
      <c r="M5" s="2205"/>
      <c r="N5" s="2205"/>
      <c r="O5" s="2205"/>
      <c r="P5" s="2205"/>
      <c r="Q5" s="2205"/>
      <c r="R5" s="2205"/>
      <c r="S5" s="2205"/>
      <c r="T5" s="2205"/>
      <c r="U5" s="2205"/>
      <c r="V5" s="2205"/>
      <c r="W5" s="2205"/>
      <c r="X5" s="2205"/>
      <c r="Y5" s="2206"/>
      <c r="Z5" s="2207"/>
      <c r="AB5" s="192">
        <f>F5*1000000000</f>
        <v>0</v>
      </c>
    </row>
    <row r="6" spans="1:28" s="139" customFormat="1" ht="21.95" customHeight="1" thickBot="1">
      <c r="A6" s="3899" t="s">
        <v>77</v>
      </c>
      <c r="B6" s="3900"/>
      <c r="C6" s="3900"/>
      <c r="D6" s="3900"/>
      <c r="E6" s="3901"/>
      <c r="F6" s="2208">
        <f>+F7+F60+F106+F110</f>
        <v>3109000</v>
      </c>
      <c r="G6" s="2208">
        <f>+G7+G60+G106+G110</f>
        <v>3109000</v>
      </c>
      <c r="H6" s="2203">
        <f>F6-G6</f>
        <v>0</v>
      </c>
      <c r="I6" s="2082"/>
      <c r="J6" s="2209"/>
      <c r="K6" s="2065"/>
      <c r="L6" s="1359"/>
      <c r="M6" s="1359"/>
      <c r="N6" s="1359"/>
      <c r="O6" s="1359"/>
      <c r="P6" s="1359"/>
      <c r="Q6" s="1359"/>
      <c r="R6" s="1360"/>
      <c r="S6" s="1359"/>
      <c r="T6" s="1359"/>
      <c r="U6" s="1359"/>
      <c r="V6" s="1359"/>
      <c r="W6" s="1359"/>
      <c r="X6" s="581"/>
      <c r="Y6" s="1304"/>
      <c r="Z6" s="2210"/>
      <c r="AB6" s="192">
        <f t="shared" ref="AB6:AB62" si="0">F6*1000000000</f>
        <v>3109000000000000</v>
      </c>
    </row>
    <row r="7" spans="1:28" s="241" customFormat="1" ht="23.1" customHeight="1" thickBot="1">
      <c r="A7" s="2211" t="s">
        <v>378</v>
      </c>
      <c r="B7" s="2212" t="s">
        <v>1059</v>
      </c>
      <c r="C7" s="2213"/>
      <c r="D7" s="2214"/>
      <c r="E7" s="2215"/>
      <c r="F7" s="2216">
        <f>+F8+F11+F48</f>
        <v>453000</v>
      </c>
      <c r="G7" s="2216">
        <f>+G8+G11+G48</f>
        <v>453000</v>
      </c>
      <c r="H7" s="2154">
        <f>F7-G7</f>
        <v>0</v>
      </c>
      <c r="I7" s="682"/>
      <c r="J7" s="2217"/>
      <c r="K7" s="2218"/>
      <c r="L7" s="2218"/>
      <c r="M7" s="2218"/>
      <c r="N7" s="2218"/>
      <c r="O7" s="2218"/>
      <c r="P7" s="2218"/>
      <c r="Q7" s="2218"/>
      <c r="R7" s="2218"/>
      <c r="S7" s="2218"/>
      <c r="T7" s="2218"/>
      <c r="U7" s="2218"/>
      <c r="V7" s="2218"/>
      <c r="W7" s="2218"/>
      <c r="X7" s="1436"/>
      <c r="Y7" s="2219"/>
      <c r="Z7" s="2220"/>
      <c r="AB7" s="192">
        <f t="shared" si="0"/>
        <v>453000000000000</v>
      </c>
    </row>
    <row r="8" spans="1:28" s="250" customFormat="1" ht="23.1" customHeight="1">
      <c r="A8" s="628"/>
      <c r="B8" s="2221"/>
      <c r="C8" s="3830" t="s">
        <v>781</v>
      </c>
      <c r="D8" s="3830"/>
      <c r="E8" s="3831"/>
      <c r="F8" s="1988">
        <f>F9</f>
        <v>63000</v>
      </c>
      <c r="G8" s="1988">
        <v>63000</v>
      </c>
      <c r="H8" s="984">
        <f>+F8-G8</f>
        <v>0</v>
      </c>
      <c r="I8" s="682"/>
      <c r="J8" s="1535"/>
      <c r="K8" s="1536"/>
      <c r="L8" s="1536"/>
      <c r="M8" s="1536"/>
      <c r="N8" s="1536"/>
      <c r="O8" s="1536"/>
      <c r="P8" s="1536"/>
      <c r="Q8" s="1009"/>
      <c r="R8" s="1990"/>
      <c r="S8" s="1010"/>
      <c r="T8" s="1084"/>
      <c r="U8" s="1084"/>
      <c r="V8" s="1084"/>
      <c r="W8" s="1084"/>
      <c r="X8" s="1538"/>
      <c r="Y8" s="965"/>
      <c r="Z8" s="732"/>
      <c r="AB8" s="192">
        <f t="shared" si="0"/>
        <v>63000000000000</v>
      </c>
    </row>
    <row r="9" spans="1:28" s="250" customFormat="1" ht="23.1" customHeight="1">
      <c r="A9" s="628"/>
      <c r="B9" s="2221"/>
      <c r="C9" s="968"/>
      <c r="D9" s="3863" t="s">
        <v>782</v>
      </c>
      <c r="E9" s="3864"/>
      <c r="F9" s="2222">
        <f>SUM(F10:F10)</f>
        <v>63000</v>
      </c>
      <c r="G9" s="2222">
        <v>63000</v>
      </c>
      <c r="H9" s="984">
        <f>+F9-G9</f>
        <v>0</v>
      </c>
      <c r="I9" s="682"/>
      <c r="J9" s="1989"/>
      <c r="K9" s="1536"/>
      <c r="L9" s="1536"/>
      <c r="M9" s="1536"/>
      <c r="N9" s="1536"/>
      <c r="O9" s="1536"/>
      <c r="P9" s="1536"/>
      <c r="Q9" s="1536"/>
      <c r="R9" s="1990"/>
      <c r="S9" s="1536"/>
      <c r="T9" s="1536"/>
      <c r="U9" s="1536"/>
      <c r="V9" s="1536"/>
      <c r="W9" s="1536"/>
      <c r="X9" s="1422"/>
      <c r="Y9" s="1991"/>
      <c r="Z9" s="1987"/>
      <c r="AB9" s="192">
        <f t="shared" si="0"/>
        <v>63000000000000</v>
      </c>
    </row>
    <row r="10" spans="1:28" s="250" customFormat="1" ht="23.1" customHeight="1">
      <c r="A10" s="628"/>
      <c r="B10" s="2221"/>
      <c r="C10" s="870"/>
      <c r="D10" s="2223"/>
      <c r="E10" s="2132" t="s">
        <v>261</v>
      </c>
      <c r="F10" s="2224">
        <f>+Y10</f>
        <v>63000</v>
      </c>
      <c r="G10" s="2224">
        <v>63000</v>
      </c>
      <c r="H10" s="854"/>
      <c r="I10" s="682"/>
      <c r="J10" s="2225" t="s">
        <v>1568</v>
      </c>
      <c r="K10" s="2226"/>
      <c r="L10" s="2226"/>
      <c r="M10" s="2226"/>
      <c r="N10" s="2226"/>
      <c r="O10" s="2226"/>
      <c r="P10" s="2226"/>
      <c r="Q10" s="2226"/>
      <c r="R10" s="2227"/>
      <c r="S10" s="1037">
        <v>63000000</v>
      </c>
      <c r="T10" s="1037" t="s">
        <v>37</v>
      </c>
      <c r="U10" s="1037"/>
      <c r="V10" s="1037">
        <v>1</v>
      </c>
      <c r="W10" s="1037" t="s">
        <v>226</v>
      </c>
      <c r="X10" s="2228" t="s">
        <v>38</v>
      </c>
      <c r="Y10" s="861">
        <f>+Z10/1000</f>
        <v>63000</v>
      </c>
      <c r="Z10" s="1186">
        <f>S10*V10</f>
        <v>63000000</v>
      </c>
      <c r="AB10" s="192">
        <f t="shared" si="0"/>
        <v>63000000000000</v>
      </c>
    </row>
    <row r="11" spans="1:28" s="250" customFormat="1" ht="23.1" customHeight="1">
      <c r="A11" s="628"/>
      <c r="B11" s="2229"/>
      <c r="C11" s="3872" t="s">
        <v>789</v>
      </c>
      <c r="D11" s="3830"/>
      <c r="E11" s="3831"/>
      <c r="F11" s="1988">
        <f>+F12+F28</f>
        <v>300000</v>
      </c>
      <c r="G11" s="1988">
        <f>+G12+G28</f>
        <v>300000</v>
      </c>
      <c r="H11" s="984">
        <f t="shared" ref="H11" si="1">F11-G11</f>
        <v>0</v>
      </c>
      <c r="I11" s="682"/>
      <c r="J11" s="1535"/>
      <c r="K11" s="1536"/>
      <c r="L11" s="1536"/>
      <c r="M11" s="1536"/>
      <c r="N11" s="1536"/>
      <c r="O11" s="1536"/>
      <c r="P11" s="1536"/>
      <c r="Q11" s="2230"/>
      <c r="R11" s="1537"/>
      <c r="S11" s="1010"/>
      <c r="T11" s="1084"/>
      <c r="U11" s="1084"/>
      <c r="V11" s="1084"/>
      <c r="W11" s="1084"/>
      <c r="X11" s="1538"/>
      <c r="Y11" s="965"/>
      <c r="Z11" s="1105"/>
      <c r="AB11" s="192">
        <f t="shared" si="0"/>
        <v>300000000000000</v>
      </c>
    </row>
    <row r="12" spans="1:28" s="250" customFormat="1" ht="23.1" customHeight="1">
      <c r="A12" s="628"/>
      <c r="B12" s="2221"/>
      <c r="C12" s="867"/>
      <c r="D12" s="3840" t="s">
        <v>2054</v>
      </c>
      <c r="E12" s="3904"/>
      <c r="F12" s="2040">
        <f>SUM(F13:F27)</f>
        <v>155000</v>
      </c>
      <c r="G12" s="2040">
        <f>SUM(G13:G27)</f>
        <v>153000</v>
      </c>
      <c r="H12" s="865">
        <f>F12-G12</f>
        <v>2000</v>
      </c>
      <c r="I12" s="682"/>
      <c r="J12" s="1234"/>
      <c r="K12" s="2115"/>
      <c r="L12" s="2115"/>
      <c r="M12" s="2115"/>
      <c r="N12" s="2115"/>
      <c r="O12" s="2115"/>
      <c r="P12" s="2115"/>
      <c r="Q12" s="2115"/>
      <c r="R12" s="988"/>
      <c r="S12" s="2115"/>
      <c r="T12" s="988"/>
      <c r="U12" s="988"/>
      <c r="V12" s="988"/>
      <c r="W12" s="2115"/>
      <c r="X12" s="2115"/>
      <c r="Y12" s="929"/>
      <c r="Z12" s="1105"/>
      <c r="AB12" s="192">
        <f t="shared" si="0"/>
        <v>155000000000000</v>
      </c>
    </row>
    <row r="13" spans="1:28" s="250" customFormat="1" ht="23.1" customHeight="1">
      <c r="A13" s="628"/>
      <c r="B13" s="2221"/>
      <c r="C13" s="867"/>
      <c r="D13" s="675"/>
      <c r="E13" s="3228" t="s">
        <v>772</v>
      </c>
      <c r="F13" s="678">
        <f>Y13</f>
        <v>18200</v>
      </c>
      <c r="G13" s="678">
        <v>15800</v>
      </c>
      <c r="H13" s="854">
        <f>F13-G13</f>
        <v>2400</v>
      </c>
      <c r="I13" s="3016"/>
      <c r="J13" s="2231" t="s">
        <v>5834</v>
      </c>
      <c r="K13" s="3164"/>
      <c r="L13" s="3164"/>
      <c r="M13" s="3164"/>
      <c r="N13" s="3164"/>
      <c r="O13" s="3164"/>
      <c r="P13" s="3164"/>
      <c r="Q13" s="3164"/>
      <c r="R13" s="3164"/>
      <c r="S13" s="3164">
        <v>36400</v>
      </c>
      <c r="T13" s="3164" t="s">
        <v>5835</v>
      </c>
      <c r="U13" s="3164"/>
      <c r="V13" s="3164">
        <v>500</v>
      </c>
      <c r="W13" s="3164" t="s">
        <v>5836</v>
      </c>
      <c r="X13" s="3164" t="s">
        <v>5837</v>
      </c>
      <c r="Y13" s="871">
        <f>S13*V13/1000</f>
        <v>18200</v>
      </c>
      <c r="Z13" s="2232">
        <f>S13*V13</f>
        <v>18200000</v>
      </c>
      <c r="AB13" s="192">
        <f t="shared" si="0"/>
        <v>18200000000000</v>
      </c>
    </row>
    <row r="14" spans="1:28" s="250" customFormat="1" ht="23.1" customHeight="1">
      <c r="A14" s="628"/>
      <c r="B14" s="2221"/>
      <c r="C14" s="867"/>
      <c r="D14" s="675"/>
      <c r="E14" s="3228" t="s">
        <v>792</v>
      </c>
      <c r="F14" s="678">
        <f>Y14</f>
        <v>1800</v>
      </c>
      <c r="G14" s="678">
        <v>2000</v>
      </c>
      <c r="H14" s="865">
        <f>F14-G14</f>
        <v>-200</v>
      </c>
      <c r="I14" s="3016"/>
      <c r="J14" s="2231" t="s">
        <v>5838</v>
      </c>
      <c r="K14" s="3164"/>
      <c r="L14" s="3164"/>
      <c r="M14" s="3164"/>
      <c r="N14" s="3164"/>
      <c r="O14" s="3164"/>
      <c r="P14" s="3164"/>
      <c r="Q14" s="3164"/>
      <c r="R14" s="3164"/>
      <c r="S14" s="3164">
        <v>1800000</v>
      </c>
      <c r="T14" s="3164" t="s">
        <v>5835</v>
      </c>
      <c r="U14" s="3164"/>
      <c r="V14" s="3164">
        <v>1</v>
      </c>
      <c r="W14" s="3164" t="s">
        <v>5839</v>
      </c>
      <c r="X14" s="3164" t="s">
        <v>5837</v>
      </c>
      <c r="Y14" s="871">
        <f>S14*V14/1000</f>
        <v>1800</v>
      </c>
      <c r="Z14" s="2233">
        <f>S14*V14</f>
        <v>1800000</v>
      </c>
      <c r="AB14" s="192">
        <f t="shared" si="0"/>
        <v>1800000000000</v>
      </c>
    </row>
    <row r="15" spans="1:28" s="250" customFormat="1" ht="23.1" customHeight="1">
      <c r="A15" s="628"/>
      <c r="B15" s="2221"/>
      <c r="C15" s="867"/>
      <c r="D15" s="675"/>
      <c r="E15" s="3228" t="s">
        <v>380</v>
      </c>
      <c r="F15" s="678">
        <f t="shared" ref="F15" si="2">Y15</f>
        <v>3800</v>
      </c>
      <c r="G15" s="678">
        <v>4000</v>
      </c>
      <c r="H15" s="865">
        <f>F15-G15</f>
        <v>-200</v>
      </c>
      <c r="I15" s="3016"/>
      <c r="J15" s="2231" t="s">
        <v>5840</v>
      </c>
      <c r="K15" s="3164"/>
      <c r="L15" s="3164"/>
      <c r="M15" s="3164"/>
      <c r="N15" s="3164"/>
      <c r="O15" s="3164"/>
      <c r="P15" s="3164"/>
      <c r="Q15" s="3164"/>
      <c r="R15" s="3164"/>
      <c r="S15" s="3164"/>
      <c r="T15" s="3164"/>
      <c r="U15" s="3164"/>
      <c r="V15" s="3164"/>
      <c r="W15" s="3164"/>
      <c r="X15" s="3164"/>
      <c r="Y15" s="871">
        <f>+Y16+Y17</f>
        <v>3800</v>
      </c>
      <c r="Z15" s="2233">
        <f>SUM(Z16:Z17)</f>
        <v>3800000</v>
      </c>
      <c r="AB15" s="192">
        <f t="shared" si="0"/>
        <v>3800000000000</v>
      </c>
    </row>
    <row r="16" spans="1:28" s="250" customFormat="1" ht="23.1" customHeight="1">
      <c r="A16" s="628"/>
      <c r="B16" s="2221"/>
      <c r="C16" s="867"/>
      <c r="D16" s="675"/>
      <c r="E16" s="3261"/>
      <c r="F16" s="678"/>
      <c r="G16" s="3262"/>
      <c r="H16" s="865"/>
      <c r="I16" s="3016"/>
      <c r="J16" s="2231" t="s">
        <v>5841</v>
      </c>
      <c r="K16" s="3164"/>
      <c r="L16" s="3164"/>
      <c r="M16" s="3164"/>
      <c r="N16" s="3164"/>
      <c r="O16" s="3164"/>
      <c r="P16" s="3164"/>
      <c r="Q16" s="3164"/>
      <c r="R16" s="3164"/>
      <c r="S16" s="3164">
        <v>900000</v>
      </c>
      <c r="T16" s="3164" t="s">
        <v>5835</v>
      </c>
      <c r="U16" s="3164"/>
      <c r="V16" s="3164">
        <v>3</v>
      </c>
      <c r="W16" s="3164" t="s">
        <v>5842</v>
      </c>
      <c r="X16" s="3164" t="s">
        <v>5837</v>
      </c>
      <c r="Y16" s="871">
        <f>S16*V16/1000</f>
        <v>2700</v>
      </c>
      <c r="Z16" s="2233">
        <f t="shared" ref="Z16:Z29" si="3">S16*V16</f>
        <v>2700000</v>
      </c>
      <c r="AB16" s="192">
        <f t="shared" si="0"/>
        <v>0</v>
      </c>
    </row>
    <row r="17" spans="1:28" s="250" customFormat="1" ht="23.1" customHeight="1">
      <c r="A17" s="628"/>
      <c r="B17" s="2221"/>
      <c r="C17" s="867"/>
      <c r="D17" s="675"/>
      <c r="E17" s="3228"/>
      <c r="F17" s="678"/>
      <c r="G17" s="678"/>
      <c r="H17" s="865"/>
      <c r="I17" s="3016"/>
      <c r="J17" s="2231" t="s">
        <v>5843</v>
      </c>
      <c r="K17" s="3164"/>
      <c r="L17" s="3164"/>
      <c r="M17" s="3164"/>
      <c r="N17" s="3164"/>
      <c r="O17" s="3164"/>
      <c r="P17" s="3164"/>
      <c r="Q17" s="3164"/>
      <c r="R17" s="3164"/>
      <c r="S17" s="3164">
        <v>1100000</v>
      </c>
      <c r="T17" s="3164" t="s">
        <v>5835</v>
      </c>
      <c r="U17" s="3164"/>
      <c r="V17" s="3164">
        <v>1</v>
      </c>
      <c r="W17" s="3164" t="s">
        <v>5842</v>
      </c>
      <c r="X17" s="3164" t="s">
        <v>5837</v>
      </c>
      <c r="Y17" s="871">
        <f t="shared" ref="Y17" si="4">S17*V17/1000</f>
        <v>1100</v>
      </c>
      <c r="Z17" s="2233">
        <f t="shared" si="3"/>
        <v>1100000</v>
      </c>
      <c r="AB17" s="192">
        <f t="shared" si="0"/>
        <v>0</v>
      </c>
    </row>
    <row r="18" spans="1:28" s="250" customFormat="1" ht="23.1" customHeight="1">
      <c r="A18" s="628"/>
      <c r="B18" s="2221"/>
      <c r="C18" s="867"/>
      <c r="D18" s="675"/>
      <c r="E18" s="3228" t="s">
        <v>790</v>
      </c>
      <c r="F18" s="678">
        <f>Y18</f>
        <v>121600</v>
      </c>
      <c r="G18" s="678">
        <v>121600</v>
      </c>
      <c r="H18" s="865"/>
      <c r="I18" s="3016"/>
      <c r="J18" s="2231" t="s">
        <v>5840</v>
      </c>
      <c r="K18" s="3164"/>
      <c r="L18" s="3164"/>
      <c r="M18" s="3164"/>
      <c r="N18" s="3164"/>
      <c r="O18" s="3164"/>
      <c r="P18" s="3164"/>
      <c r="Q18" s="3164"/>
      <c r="R18" s="3164"/>
      <c r="S18" s="3164"/>
      <c r="T18" s="3164"/>
      <c r="U18" s="3164"/>
      <c r="V18" s="3164"/>
      <c r="W18" s="3164"/>
      <c r="X18" s="3164"/>
      <c r="Y18" s="871">
        <f>+Y19+Y20+Y21+Y22+Y23+Y24</f>
        <v>121600</v>
      </c>
      <c r="Z18" s="2233">
        <f>SUM(Z19:Z24)</f>
        <v>121600000</v>
      </c>
      <c r="AB18" s="192">
        <f t="shared" si="0"/>
        <v>121600000000000</v>
      </c>
    </row>
    <row r="19" spans="1:28" s="250" customFormat="1" ht="23.1" customHeight="1">
      <c r="A19" s="628"/>
      <c r="B19" s="2221"/>
      <c r="C19" s="867"/>
      <c r="D19" s="675"/>
      <c r="E19" s="3261"/>
      <c r="F19" s="678"/>
      <c r="G19" s="3262"/>
      <c r="H19" s="865"/>
      <c r="I19" s="3016"/>
      <c r="J19" s="2231" t="s">
        <v>5844</v>
      </c>
      <c r="K19" s="3164"/>
      <c r="L19" s="3164"/>
      <c r="M19" s="3164"/>
      <c r="N19" s="3164"/>
      <c r="O19" s="3164"/>
      <c r="P19" s="3164"/>
      <c r="Q19" s="3164"/>
      <c r="R19" s="3164"/>
      <c r="S19" s="3164">
        <v>44800000</v>
      </c>
      <c r="T19" s="3164" t="s">
        <v>5835</v>
      </c>
      <c r="U19" s="3164"/>
      <c r="V19" s="3164">
        <v>1</v>
      </c>
      <c r="W19" s="3164" t="s">
        <v>5839</v>
      </c>
      <c r="X19" s="3164" t="s">
        <v>5837</v>
      </c>
      <c r="Y19" s="871">
        <f t="shared" ref="Y19:Y24" si="5">S19*V19/1000</f>
        <v>44800</v>
      </c>
      <c r="Z19" s="2233">
        <f t="shared" si="3"/>
        <v>44800000</v>
      </c>
      <c r="AB19" s="192">
        <f t="shared" si="0"/>
        <v>0</v>
      </c>
    </row>
    <row r="20" spans="1:28" s="250" customFormat="1" ht="23.1" customHeight="1">
      <c r="A20" s="628"/>
      <c r="B20" s="2221"/>
      <c r="C20" s="867"/>
      <c r="D20" s="675"/>
      <c r="E20" s="3228"/>
      <c r="F20" s="678"/>
      <c r="G20" s="678"/>
      <c r="H20" s="865"/>
      <c r="I20" s="3016"/>
      <c r="J20" s="2231" t="s">
        <v>5845</v>
      </c>
      <c r="K20" s="3164"/>
      <c r="L20" s="3164"/>
      <c r="M20" s="3164"/>
      <c r="N20" s="3164"/>
      <c r="O20" s="3164"/>
      <c r="P20" s="3164"/>
      <c r="Q20" s="3164"/>
      <c r="R20" s="3164"/>
      <c r="S20" s="3164">
        <v>16800000</v>
      </c>
      <c r="T20" s="3164" t="s">
        <v>5835</v>
      </c>
      <c r="U20" s="3164"/>
      <c r="V20" s="3164">
        <v>1</v>
      </c>
      <c r="W20" s="3164" t="s">
        <v>5839</v>
      </c>
      <c r="X20" s="3164" t="s">
        <v>5837</v>
      </c>
      <c r="Y20" s="871">
        <f t="shared" si="5"/>
        <v>16800</v>
      </c>
      <c r="Z20" s="2233">
        <f t="shared" si="3"/>
        <v>16800000</v>
      </c>
      <c r="AB20" s="192">
        <f t="shared" si="0"/>
        <v>0</v>
      </c>
    </row>
    <row r="21" spans="1:28" s="250" customFormat="1" ht="23.1" customHeight="1">
      <c r="A21" s="628"/>
      <c r="B21" s="2221"/>
      <c r="C21" s="867"/>
      <c r="D21" s="675"/>
      <c r="E21" s="3228"/>
      <c r="F21" s="678"/>
      <c r="G21" s="678"/>
      <c r="H21" s="865"/>
      <c r="I21" s="3016"/>
      <c r="J21" s="2231" t="s">
        <v>5846</v>
      </c>
      <c r="K21" s="3164"/>
      <c r="L21" s="3164"/>
      <c r="M21" s="3164"/>
      <c r="N21" s="3164"/>
      <c r="O21" s="3164"/>
      <c r="P21" s="3164"/>
      <c r="Q21" s="3164"/>
      <c r="R21" s="3164"/>
      <c r="S21" s="3164">
        <v>12500000</v>
      </c>
      <c r="T21" s="3164" t="s">
        <v>5835</v>
      </c>
      <c r="U21" s="3164"/>
      <c r="V21" s="3164">
        <v>1</v>
      </c>
      <c r="W21" s="3164" t="s">
        <v>5839</v>
      </c>
      <c r="X21" s="3164" t="s">
        <v>5837</v>
      </c>
      <c r="Y21" s="871">
        <f t="shared" si="5"/>
        <v>12500</v>
      </c>
      <c r="Z21" s="2233">
        <f t="shared" si="3"/>
        <v>12500000</v>
      </c>
      <c r="AB21" s="192">
        <f t="shared" si="0"/>
        <v>0</v>
      </c>
    </row>
    <row r="22" spans="1:28" s="250" customFormat="1" ht="23.1" customHeight="1">
      <c r="A22" s="628"/>
      <c r="B22" s="2221"/>
      <c r="C22" s="867"/>
      <c r="D22" s="675"/>
      <c r="E22" s="3228"/>
      <c r="F22" s="678"/>
      <c r="G22" s="678"/>
      <c r="H22" s="865"/>
      <c r="I22" s="3016"/>
      <c r="J22" s="2231" t="s">
        <v>5847</v>
      </c>
      <c r="K22" s="3164"/>
      <c r="L22" s="3164"/>
      <c r="M22" s="3164"/>
      <c r="N22" s="3164"/>
      <c r="O22" s="3164"/>
      <c r="P22" s="3164"/>
      <c r="Q22" s="3164"/>
      <c r="R22" s="3164"/>
      <c r="S22" s="3164">
        <v>20000000</v>
      </c>
      <c r="T22" s="3164" t="s">
        <v>5835</v>
      </c>
      <c r="U22" s="3164"/>
      <c r="V22" s="3164">
        <v>1</v>
      </c>
      <c r="W22" s="3164" t="s">
        <v>5839</v>
      </c>
      <c r="X22" s="3164" t="s">
        <v>5837</v>
      </c>
      <c r="Y22" s="871">
        <f t="shared" si="5"/>
        <v>20000</v>
      </c>
      <c r="Z22" s="2233">
        <f t="shared" si="3"/>
        <v>20000000</v>
      </c>
      <c r="AB22" s="192">
        <f t="shared" si="0"/>
        <v>0</v>
      </c>
    </row>
    <row r="23" spans="1:28" s="250" customFormat="1" ht="23.1" customHeight="1">
      <c r="A23" s="628"/>
      <c r="B23" s="2221"/>
      <c r="C23" s="867"/>
      <c r="D23" s="675"/>
      <c r="E23" s="3228"/>
      <c r="F23" s="678"/>
      <c r="G23" s="678"/>
      <c r="H23" s="865"/>
      <c r="I23" s="3016"/>
      <c r="J23" s="2231" t="s">
        <v>5848</v>
      </c>
      <c r="K23" s="3164"/>
      <c r="L23" s="3164"/>
      <c r="M23" s="3164"/>
      <c r="N23" s="3164"/>
      <c r="O23" s="3164"/>
      <c r="P23" s="3164"/>
      <c r="Q23" s="3164"/>
      <c r="R23" s="3164"/>
      <c r="S23" s="3164">
        <v>16200000</v>
      </c>
      <c r="T23" s="3164" t="s">
        <v>5835</v>
      </c>
      <c r="U23" s="3164"/>
      <c r="V23" s="3164">
        <v>1</v>
      </c>
      <c r="W23" s="3164" t="s">
        <v>5839</v>
      </c>
      <c r="X23" s="3164" t="s">
        <v>5837</v>
      </c>
      <c r="Y23" s="871">
        <f t="shared" si="5"/>
        <v>16200</v>
      </c>
      <c r="Z23" s="2233">
        <f t="shared" si="3"/>
        <v>16200000</v>
      </c>
      <c r="AB23" s="192">
        <f t="shared" si="0"/>
        <v>0</v>
      </c>
    </row>
    <row r="24" spans="1:28" s="250" customFormat="1" ht="23.1" customHeight="1">
      <c r="A24" s="628"/>
      <c r="B24" s="2221"/>
      <c r="C24" s="867"/>
      <c r="D24" s="675"/>
      <c r="E24" s="3228"/>
      <c r="F24" s="678"/>
      <c r="G24" s="678"/>
      <c r="H24" s="865"/>
      <c r="I24" s="3016"/>
      <c r="J24" s="2231" t="s">
        <v>5849</v>
      </c>
      <c r="K24" s="3164"/>
      <c r="L24" s="3164"/>
      <c r="M24" s="3164"/>
      <c r="N24" s="3164"/>
      <c r="O24" s="3164"/>
      <c r="P24" s="3164"/>
      <c r="Q24" s="3164"/>
      <c r="R24" s="3164"/>
      <c r="S24" s="3164">
        <v>11300000</v>
      </c>
      <c r="T24" s="3164" t="s">
        <v>5835</v>
      </c>
      <c r="U24" s="3164"/>
      <c r="V24" s="3164">
        <v>1</v>
      </c>
      <c r="W24" s="3164" t="s">
        <v>5839</v>
      </c>
      <c r="X24" s="3164" t="s">
        <v>5837</v>
      </c>
      <c r="Y24" s="871">
        <f t="shared" si="5"/>
        <v>11300</v>
      </c>
      <c r="Z24" s="2233">
        <f t="shared" si="3"/>
        <v>11300000</v>
      </c>
      <c r="AB24" s="192">
        <f t="shared" si="0"/>
        <v>0</v>
      </c>
    </row>
    <row r="25" spans="1:28" s="250" customFormat="1" ht="23.1" customHeight="1">
      <c r="A25" s="628"/>
      <c r="B25" s="2221"/>
      <c r="C25" s="867"/>
      <c r="D25" s="675"/>
      <c r="E25" s="3228" t="s">
        <v>451</v>
      </c>
      <c r="F25" s="678">
        <f>Y25</f>
        <v>9600</v>
      </c>
      <c r="G25" s="678">
        <v>9600</v>
      </c>
      <c r="H25" s="865"/>
      <c r="I25" s="3016"/>
      <c r="J25" s="2231" t="s">
        <v>5840</v>
      </c>
      <c r="K25" s="3164"/>
      <c r="L25" s="3164"/>
      <c r="M25" s="3164"/>
      <c r="N25" s="3164"/>
      <c r="O25" s="3164"/>
      <c r="P25" s="3164"/>
      <c r="Q25" s="3164"/>
      <c r="R25" s="3164"/>
      <c r="S25" s="3164"/>
      <c r="T25" s="3164"/>
      <c r="U25" s="3164"/>
      <c r="V25" s="3164"/>
      <c r="W25" s="3164"/>
      <c r="X25" s="3164"/>
      <c r="Y25" s="871">
        <f>+Y26+Y27</f>
        <v>9600</v>
      </c>
      <c r="Z25" s="2233">
        <f>Z26+Z27</f>
        <v>9600000</v>
      </c>
      <c r="AB25" s="192">
        <f t="shared" si="0"/>
        <v>9600000000000</v>
      </c>
    </row>
    <row r="26" spans="1:28" s="250" customFormat="1" ht="23.1" customHeight="1">
      <c r="A26" s="628"/>
      <c r="B26" s="2221"/>
      <c r="C26" s="867"/>
      <c r="D26" s="675"/>
      <c r="E26" s="3228"/>
      <c r="F26" s="678"/>
      <c r="G26" s="678"/>
      <c r="H26" s="865"/>
      <c r="I26" s="3016"/>
      <c r="J26" s="2231" t="s">
        <v>6146</v>
      </c>
      <c r="K26" s="3164"/>
      <c r="L26" s="3164"/>
      <c r="M26" s="3164"/>
      <c r="N26" s="3164"/>
      <c r="O26" s="3164"/>
      <c r="P26" s="3164"/>
      <c r="Q26" s="3164"/>
      <c r="R26" s="3164"/>
      <c r="S26" s="3164">
        <v>6250000</v>
      </c>
      <c r="T26" s="3164" t="s">
        <v>5835</v>
      </c>
      <c r="U26" s="3164"/>
      <c r="V26" s="3164">
        <v>1</v>
      </c>
      <c r="W26" s="3164" t="s">
        <v>5839</v>
      </c>
      <c r="X26" s="3164" t="s">
        <v>5837</v>
      </c>
      <c r="Y26" s="871">
        <f>S26*V26/1000</f>
        <v>6250</v>
      </c>
      <c r="Z26" s="2233">
        <f t="shared" si="3"/>
        <v>6250000</v>
      </c>
      <c r="AB26" s="192">
        <f t="shared" si="0"/>
        <v>0</v>
      </c>
    </row>
    <row r="27" spans="1:28" s="250" customFormat="1" ht="23.1" customHeight="1">
      <c r="A27" s="628"/>
      <c r="B27" s="2221"/>
      <c r="C27" s="867"/>
      <c r="D27" s="675"/>
      <c r="E27" s="3228"/>
      <c r="F27" s="678"/>
      <c r="G27" s="678"/>
      <c r="H27" s="865"/>
      <c r="I27" s="3016"/>
      <c r="J27" s="2231" t="s">
        <v>5850</v>
      </c>
      <c r="K27" s="3164"/>
      <c r="L27" s="3164"/>
      <c r="M27" s="3164"/>
      <c r="N27" s="3164"/>
      <c r="O27" s="3164"/>
      <c r="P27" s="3164"/>
      <c r="Q27" s="3164"/>
      <c r="R27" s="3164"/>
      <c r="S27" s="3164">
        <f>3200000+150000</f>
        <v>3350000</v>
      </c>
      <c r="T27" s="3164" t="s">
        <v>5835</v>
      </c>
      <c r="U27" s="3164"/>
      <c r="V27" s="3164">
        <v>1</v>
      </c>
      <c r="W27" s="3164" t="s">
        <v>5839</v>
      </c>
      <c r="X27" s="3164" t="s">
        <v>5837</v>
      </c>
      <c r="Y27" s="871">
        <f>S27*V27/1000</f>
        <v>3350</v>
      </c>
      <c r="Z27" s="2233">
        <f t="shared" si="3"/>
        <v>3350000</v>
      </c>
      <c r="AB27" s="192">
        <f t="shared" si="0"/>
        <v>0</v>
      </c>
    </row>
    <row r="28" spans="1:28" s="250" customFormat="1" ht="23.1" customHeight="1">
      <c r="A28" s="628"/>
      <c r="B28" s="2221"/>
      <c r="C28" s="867"/>
      <c r="D28" s="3840" t="s">
        <v>2055</v>
      </c>
      <c r="E28" s="3904"/>
      <c r="F28" s="1192">
        <f>SUM(F29:F47)</f>
        <v>145000</v>
      </c>
      <c r="G28" s="1192">
        <f>SUM(G29:G47)</f>
        <v>147000</v>
      </c>
      <c r="H28" s="1381">
        <f t="shared" ref="H28" si="6">F28-G28</f>
        <v>-2000</v>
      </c>
      <c r="I28" s="682"/>
      <c r="J28" s="1233"/>
      <c r="K28" s="2112"/>
      <c r="L28" s="2112"/>
      <c r="M28" s="2112"/>
      <c r="N28" s="2112"/>
      <c r="O28" s="2112"/>
      <c r="P28" s="2112"/>
      <c r="Q28" s="2112"/>
      <c r="R28" s="1033"/>
      <c r="S28" s="2112"/>
      <c r="T28" s="1033"/>
      <c r="U28" s="1033"/>
      <c r="V28" s="1033"/>
      <c r="W28" s="2112"/>
      <c r="X28" s="2112"/>
      <c r="Y28" s="940"/>
      <c r="Z28" s="2233"/>
      <c r="AB28" s="192">
        <f t="shared" si="0"/>
        <v>145000000000000</v>
      </c>
    </row>
    <row r="29" spans="1:28" s="250" customFormat="1" ht="23.1" customHeight="1">
      <c r="A29" s="628"/>
      <c r="B29" s="2221"/>
      <c r="C29" s="867"/>
      <c r="D29" s="692"/>
      <c r="E29" s="675" t="s">
        <v>4337</v>
      </c>
      <c r="F29" s="736">
        <f>Y29</f>
        <v>6600</v>
      </c>
      <c r="G29" s="678">
        <v>15000</v>
      </c>
      <c r="H29" s="854">
        <f>F29-G29</f>
        <v>-8400</v>
      </c>
      <c r="I29" s="3016"/>
      <c r="J29" s="2231" t="s">
        <v>5851</v>
      </c>
      <c r="K29" s="3164"/>
      <c r="L29" s="3164"/>
      <c r="M29" s="3164"/>
      <c r="N29" s="3164"/>
      <c r="O29" s="3164"/>
      <c r="P29" s="3164">
        <v>3</v>
      </c>
      <c r="Q29" s="3164" t="s">
        <v>5852</v>
      </c>
      <c r="R29" s="3164" t="s">
        <v>5853</v>
      </c>
      <c r="S29" s="3164">
        <v>2200000</v>
      </c>
      <c r="T29" s="3164" t="s">
        <v>5835</v>
      </c>
      <c r="U29" s="3164"/>
      <c r="V29" s="3164">
        <v>1</v>
      </c>
      <c r="W29" s="3164" t="s">
        <v>5854</v>
      </c>
      <c r="X29" s="3164" t="s">
        <v>5837</v>
      </c>
      <c r="Y29" s="871">
        <f>P29*S29*V29/1000</f>
        <v>6600</v>
      </c>
      <c r="Z29" s="2233">
        <f t="shared" si="3"/>
        <v>2200000</v>
      </c>
      <c r="AB29" s="192"/>
    </row>
    <row r="30" spans="1:28" s="250" customFormat="1" ht="23.1" customHeight="1">
      <c r="A30" s="628"/>
      <c r="B30" s="2221"/>
      <c r="C30" s="867"/>
      <c r="D30" s="692"/>
      <c r="E30" s="675" t="s">
        <v>4338</v>
      </c>
      <c r="F30" s="736">
        <f>Y30</f>
        <v>19980</v>
      </c>
      <c r="G30" s="678">
        <v>19980</v>
      </c>
      <c r="H30" s="865"/>
      <c r="I30" s="3016"/>
      <c r="J30" s="2231" t="s">
        <v>5840</v>
      </c>
      <c r="K30" s="3164"/>
      <c r="L30" s="3164"/>
      <c r="M30" s="3164"/>
      <c r="N30" s="3164"/>
      <c r="O30" s="3164"/>
      <c r="P30" s="3164"/>
      <c r="Q30" s="3164"/>
      <c r="R30" s="3164"/>
      <c r="S30" s="3164"/>
      <c r="T30" s="3164"/>
      <c r="U30" s="3164"/>
      <c r="V30" s="3164"/>
      <c r="W30" s="3164"/>
      <c r="X30" s="3164"/>
      <c r="Y30" s="871">
        <f>+Y31+Y32</f>
        <v>19980</v>
      </c>
      <c r="Z30" s="732">
        <f>Z31+Z32</f>
        <v>19980000</v>
      </c>
      <c r="AB30" s="192"/>
    </row>
    <row r="31" spans="1:28" s="250" customFormat="1" ht="23.1" customHeight="1">
      <c r="A31" s="628"/>
      <c r="B31" s="2221"/>
      <c r="C31" s="867"/>
      <c r="D31" s="692"/>
      <c r="E31" s="675"/>
      <c r="F31" s="736"/>
      <c r="G31" s="678"/>
      <c r="H31" s="865"/>
      <c r="I31" s="3016"/>
      <c r="J31" s="2231" t="s">
        <v>5855</v>
      </c>
      <c r="K31" s="3164"/>
      <c r="L31" s="3164"/>
      <c r="M31" s="3164"/>
      <c r="N31" s="3164"/>
      <c r="O31" s="3164"/>
      <c r="P31" s="3164"/>
      <c r="Q31" s="3164"/>
      <c r="R31" s="3164"/>
      <c r="S31" s="3164">
        <v>15000000</v>
      </c>
      <c r="T31" s="3164" t="s">
        <v>5835</v>
      </c>
      <c r="U31" s="3164"/>
      <c r="V31" s="3164">
        <v>1</v>
      </c>
      <c r="W31" s="3164" t="s">
        <v>5839</v>
      </c>
      <c r="X31" s="3164" t="s">
        <v>5837</v>
      </c>
      <c r="Y31" s="871">
        <f>S31*V31/1000</f>
        <v>15000</v>
      </c>
      <c r="Z31" s="2233">
        <f t="shared" ref="Z31:Z32" si="7">S31*V31</f>
        <v>15000000</v>
      </c>
      <c r="AB31" s="192"/>
    </row>
    <row r="32" spans="1:28" s="250" customFormat="1" ht="23.1" customHeight="1">
      <c r="A32" s="628"/>
      <c r="B32" s="2221"/>
      <c r="C32" s="867"/>
      <c r="D32" s="692"/>
      <c r="E32" s="675"/>
      <c r="F32" s="736"/>
      <c r="G32" s="678"/>
      <c r="H32" s="865"/>
      <c r="I32" s="3016"/>
      <c r="J32" s="2231" t="s">
        <v>5856</v>
      </c>
      <c r="K32" s="3164"/>
      <c r="L32" s="3164"/>
      <c r="M32" s="3164"/>
      <c r="N32" s="3164"/>
      <c r="O32" s="3164"/>
      <c r="P32" s="3164"/>
      <c r="Q32" s="3164"/>
      <c r="R32" s="3164"/>
      <c r="S32" s="3164">
        <v>2490000</v>
      </c>
      <c r="T32" s="3164" t="s">
        <v>5835</v>
      </c>
      <c r="U32" s="3164"/>
      <c r="V32" s="3164">
        <v>2</v>
      </c>
      <c r="W32" s="3164" t="s">
        <v>5839</v>
      </c>
      <c r="X32" s="3164" t="s">
        <v>5837</v>
      </c>
      <c r="Y32" s="871">
        <f>S32*V32/1000</f>
        <v>4980</v>
      </c>
      <c r="Z32" s="2233">
        <f t="shared" si="7"/>
        <v>4980000</v>
      </c>
      <c r="AB32" s="192"/>
    </row>
    <row r="33" spans="1:28" s="250" customFormat="1" ht="23.1" customHeight="1">
      <c r="A33" s="628"/>
      <c r="B33" s="2221"/>
      <c r="C33" s="867"/>
      <c r="D33" s="692"/>
      <c r="E33" s="675" t="s">
        <v>4339</v>
      </c>
      <c r="F33" s="736">
        <f>Y33</f>
        <v>10290</v>
      </c>
      <c r="G33" s="678">
        <v>10290</v>
      </c>
      <c r="H33" s="865"/>
      <c r="I33" s="3016"/>
      <c r="J33" s="2231" t="s">
        <v>5840</v>
      </c>
      <c r="K33" s="3164"/>
      <c r="L33" s="3164"/>
      <c r="M33" s="3164"/>
      <c r="N33" s="3164"/>
      <c r="O33" s="3164"/>
      <c r="P33" s="3164"/>
      <c r="Q33" s="3164"/>
      <c r="R33" s="3164"/>
      <c r="S33" s="3164"/>
      <c r="T33" s="3164"/>
      <c r="U33" s="3164"/>
      <c r="V33" s="3164"/>
      <c r="W33" s="3164"/>
      <c r="X33" s="3164"/>
      <c r="Y33" s="871">
        <f>+Y34+Y35</f>
        <v>10290</v>
      </c>
      <c r="Z33" s="732">
        <f>Z34+Z35+Z36</f>
        <v>13290000</v>
      </c>
      <c r="AB33" s="192"/>
    </row>
    <row r="34" spans="1:28" s="250" customFormat="1" ht="23.1" customHeight="1">
      <c r="A34" s="628"/>
      <c r="B34" s="2221"/>
      <c r="C34" s="867"/>
      <c r="D34" s="692"/>
      <c r="E34" s="675"/>
      <c r="F34" s="736"/>
      <c r="G34" s="678"/>
      <c r="H34" s="865"/>
      <c r="I34" s="3016"/>
      <c r="J34" s="2231" t="s">
        <v>5857</v>
      </c>
      <c r="K34" s="3164"/>
      <c r="L34" s="3164"/>
      <c r="M34" s="3164"/>
      <c r="N34" s="3164"/>
      <c r="O34" s="3164"/>
      <c r="P34" s="3164"/>
      <c r="Q34" s="3164"/>
      <c r="R34" s="3164"/>
      <c r="S34" s="3164">
        <v>6300000</v>
      </c>
      <c r="T34" s="3164" t="s">
        <v>5835</v>
      </c>
      <c r="U34" s="3164"/>
      <c r="V34" s="3164">
        <v>1</v>
      </c>
      <c r="W34" s="3164" t="s">
        <v>5858</v>
      </c>
      <c r="X34" s="3164" t="s">
        <v>5837</v>
      </c>
      <c r="Y34" s="871">
        <f>S34*V34/1000</f>
        <v>6300</v>
      </c>
      <c r="Z34" s="2233">
        <f t="shared" ref="Z34:Z36" si="8">S34*V34</f>
        <v>6300000</v>
      </c>
      <c r="AB34" s="192"/>
    </row>
    <row r="35" spans="1:28" s="250" customFormat="1" ht="23.1" customHeight="1">
      <c r="A35" s="628"/>
      <c r="B35" s="2221"/>
      <c r="C35" s="867"/>
      <c r="D35" s="2113"/>
      <c r="E35" s="675"/>
      <c r="F35" s="736"/>
      <c r="G35" s="678"/>
      <c r="H35" s="865"/>
      <c r="I35" s="3016"/>
      <c r="J35" s="2231" t="s">
        <v>5859</v>
      </c>
      <c r="K35" s="3164"/>
      <c r="L35" s="3164"/>
      <c r="M35" s="3164"/>
      <c r="N35" s="3164"/>
      <c r="O35" s="3164"/>
      <c r="P35" s="3164"/>
      <c r="Q35" s="3164"/>
      <c r="R35" s="3164"/>
      <c r="S35" s="3164">
        <v>3990000</v>
      </c>
      <c r="T35" s="3164" t="s">
        <v>5835</v>
      </c>
      <c r="U35" s="3164"/>
      <c r="V35" s="3164">
        <v>1</v>
      </c>
      <c r="W35" s="3164" t="s">
        <v>5858</v>
      </c>
      <c r="X35" s="3164" t="s">
        <v>5837</v>
      </c>
      <c r="Y35" s="871">
        <f>S35*V35/1000</f>
        <v>3990</v>
      </c>
      <c r="Z35" s="2233">
        <f t="shared" si="8"/>
        <v>3990000</v>
      </c>
      <c r="AB35" s="192"/>
    </row>
    <row r="36" spans="1:28" s="250" customFormat="1" ht="23.1" customHeight="1">
      <c r="A36" s="628"/>
      <c r="B36" s="2221"/>
      <c r="C36" s="867"/>
      <c r="D36" s="692"/>
      <c r="E36" s="675" t="s">
        <v>4315</v>
      </c>
      <c r="F36" s="736">
        <f>Y36</f>
        <v>3000</v>
      </c>
      <c r="G36" s="678">
        <v>3000</v>
      </c>
      <c r="H36" s="865"/>
      <c r="I36" s="3016"/>
      <c r="J36" s="2231" t="s">
        <v>5860</v>
      </c>
      <c r="K36" s="3164"/>
      <c r="L36" s="3164"/>
      <c r="M36" s="3164"/>
      <c r="N36" s="3164"/>
      <c r="O36" s="3164"/>
      <c r="P36" s="3164"/>
      <c r="Q36" s="3164"/>
      <c r="R36" s="3164"/>
      <c r="S36" s="3164">
        <v>1000000</v>
      </c>
      <c r="T36" s="3164" t="s">
        <v>5835</v>
      </c>
      <c r="U36" s="3164"/>
      <c r="V36" s="3164">
        <v>3</v>
      </c>
      <c r="W36" s="3164" t="s">
        <v>5842</v>
      </c>
      <c r="X36" s="3164" t="s">
        <v>5837</v>
      </c>
      <c r="Y36" s="871">
        <f>S36*V36/1000</f>
        <v>3000</v>
      </c>
      <c r="Z36" s="2233">
        <f t="shared" si="8"/>
        <v>3000000</v>
      </c>
      <c r="AB36" s="192"/>
    </row>
    <row r="37" spans="1:28" s="250" customFormat="1" ht="23.1" customHeight="1">
      <c r="A37" s="628"/>
      <c r="B37" s="2221"/>
      <c r="C37" s="867"/>
      <c r="D37" s="692"/>
      <c r="E37" s="675" t="s">
        <v>4340</v>
      </c>
      <c r="F37" s="736">
        <f>Y37</f>
        <v>82300</v>
      </c>
      <c r="G37" s="678">
        <v>76100</v>
      </c>
      <c r="H37" s="865">
        <f>F37-G37</f>
        <v>6200</v>
      </c>
      <c r="I37" s="3016"/>
      <c r="J37" s="2231" t="s">
        <v>5840</v>
      </c>
      <c r="K37" s="3164"/>
      <c r="L37" s="3164"/>
      <c r="M37" s="3164"/>
      <c r="N37" s="3164"/>
      <c r="O37" s="3164"/>
      <c r="P37" s="3164"/>
      <c r="Q37" s="3164"/>
      <c r="R37" s="3164"/>
      <c r="S37" s="3164"/>
      <c r="T37" s="3164"/>
      <c r="U37" s="3164"/>
      <c r="V37" s="3164"/>
      <c r="W37" s="3164"/>
      <c r="X37" s="3164"/>
      <c r="Y37" s="871">
        <f>+Y38+Y39+Y40</f>
        <v>82300</v>
      </c>
      <c r="Z37" s="732">
        <f>Z38+Z39+Z40</f>
        <v>82300000</v>
      </c>
      <c r="AB37" s="192"/>
    </row>
    <row r="38" spans="1:28" s="250" customFormat="1" ht="23.1" customHeight="1">
      <c r="A38" s="628"/>
      <c r="B38" s="2221"/>
      <c r="C38" s="867"/>
      <c r="D38" s="692"/>
      <c r="E38" s="3262"/>
      <c r="F38" s="736"/>
      <c r="G38" s="3262"/>
      <c r="H38" s="865"/>
      <c r="I38" s="3016"/>
      <c r="J38" s="2231" t="s">
        <v>5861</v>
      </c>
      <c r="K38" s="3164"/>
      <c r="L38" s="3164"/>
      <c r="M38" s="3164"/>
      <c r="N38" s="3164"/>
      <c r="O38" s="3164"/>
      <c r="P38" s="3164"/>
      <c r="Q38" s="3164"/>
      <c r="R38" s="3164"/>
      <c r="S38" s="3164">
        <v>44200000</v>
      </c>
      <c r="T38" s="3164" t="s">
        <v>5835</v>
      </c>
      <c r="U38" s="3164"/>
      <c r="V38" s="3164">
        <v>1</v>
      </c>
      <c r="W38" s="3164" t="s">
        <v>5839</v>
      </c>
      <c r="X38" s="3164" t="s">
        <v>5837</v>
      </c>
      <c r="Y38" s="871">
        <f>S38*V38/1000</f>
        <v>44200</v>
      </c>
      <c r="Z38" s="2233">
        <f t="shared" ref="Z38:Z40" si="9">S38*V38</f>
        <v>44200000</v>
      </c>
      <c r="AB38" s="192"/>
    </row>
    <row r="39" spans="1:28" s="250" customFormat="1" ht="23.1" customHeight="1">
      <c r="A39" s="628"/>
      <c r="B39" s="2221"/>
      <c r="C39" s="867"/>
      <c r="D39" s="692"/>
      <c r="E39" s="675"/>
      <c r="F39" s="736"/>
      <c r="G39" s="678"/>
      <c r="H39" s="865"/>
      <c r="I39" s="3016"/>
      <c r="J39" s="2231" t="s">
        <v>5862</v>
      </c>
      <c r="K39" s="3164"/>
      <c r="L39" s="3164"/>
      <c r="M39" s="3164"/>
      <c r="N39" s="3164"/>
      <c r="O39" s="3164"/>
      <c r="P39" s="3164"/>
      <c r="Q39" s="3164"/>
      <c r="R39" s="3164"/>
      <c r="S39" s="3164">
        <v>13000000</v>
      </c>
      <c r="T39" s="3164" t="s">
        <v>5835</v>
      </c>
      <c r="U39" s="3164"/>
      <c r="V39" s="3164">
        <v>1</v>
      </c>
      <c r="W39" s="3164" t="s">
        <v>5839</v>
      </c>
      <c r="X39" s="3164" t="s">
        <v>5837</v>
      </c>
      <c r="Y39" s="871">
        <f>S39*V39/1000</f>
        <v>13000</v>
      </c>
      <c r="Z39" s="2233">
        <f t="shared" si="9"/>
        <v>13000000</v>
      </c>
      <c r="AB39" s="192"/>
    </row>
    <row r="40" spans="1:28" s="250" customFormat="1" ht="23.1" customHeight="1">
      <c r="A40" s="628"/>
      <c r="B40" s="2221"/>
      <c r="C40" s="867"/>
      <c r="D40" s="692"/>
      <c r="E40" s="675"/>
      <c r="F40" s="736"/>
      <c r="G40" s="678"/>
      <c r="H40" s="865"/>
      <c r="I40" s="3016"/>
      <c r="J40" s="2231" t="s">
        <v>5863</v>
      </c>
      <c r="K40" s="3164"/>
      <c r="L40" s="3164"/>
      <c r="M40" s="3164"/>
      <c r="N40" s="3164"/>
      <c r="O40" s="3164"/>
      <c r="P40" s="3164"/>
      <c r="Q40" s="3164"/>
      <c r="R40" s="3164"/>
      <c r="S40" s="3164">
        <v>12550000</v>
      </c>
      <c r="T40" s="3164" t="s">
        <v>5835</v>
      </c>
      <c r="U40" s="3164"/>
      <c r="V40" s="3164">
        <v>2</v>
      </c>
      <c r="W40" s="3164" t="s">
        <v>5839</v>
      </c>
      <c r="X40" s="3164" t="s">
        <v>5837</v>
      </c>
      <c r="Y40" s="871">
        <f>S40*V40/1000</f>
        <v>25100</v>
      </c>
      <c r="Z40" s="2233">
        <f t="shared" si="9"/>
        <v>25100000</v>
      </c>
      <c r="AB40" s="192"/>
    </row>
    <row r="41" spans="1:28" s="250" customFormat="1" ht="19.899999999999999" customHeight="1">
      <c r="A41" s="628"/>
      <c r="B41" s="2221"/>
      <c r="C41" s="867"/>
      <c r="D41" s="692"/>
      <c r="E41" s="675" t="s">
        <v>4227</v>
      </c>
      <c r="F41" s="736">
        <f>Y41</f>
        <v>18750</v>
      </c>
      <c r="G41" s="678">
        <v>18750</v>
      </c>
      <c r="H41" s="865"/>
      <c r="I41" s="3016"/>
      <c r="J41" s="2231" t="s">
        <v>5840</v>
      </c>
      <c r="K41" s="3164"/>
      <c r="L41" s="3164"/>
      <c r="M41" s="3164"/>
      <c r="N41" s="3164"/>
      <c r="O41" s="3164"/>
      <c r="P41" s="3164"/>
      <c r="Q41" s="3164"/>
      <c r="R41" s="3164"/>
      <c r="S41" s="3164"/>
      <c r="T41" s="3164"/>
      <c r="U41" s="3164"/>
      <c r="V41" s="3164"/>
      <c r="W41" s="3164"/>
      <c r="X41" s="3164"/>
      <c r="Y41" s="871">
        <f>+Y42+Y43+Y44</f>
        <v>18750</v>
      </c>
      <c r="Z41" s="732">
        <f>Z42+Z43+Z44</f>
        <v>18750000</v>
      </c>
      <c r="AB41" s="192"/>
    </row>
    <row r="42" spans="1:28" s="250" customFormat="1" ht="19.899999999999999" customHeight="1">
      <c r="A42" s="628"/>
      <c r="B42" s="2221"/>
      <c r="C42" s="867"/>
      <c r="D42" s="692"/>
      <c r="E42" s="3262"/>
      <c r="F42" s="736"/>
      <c r="G42" s="3262"/>
      <c r="H42" s="865"/>
      <c r="I42" s="3016"/>
      <c r="J42" s="2231" t="s">
        <v>5864</v>
      </c>
      <c r="K42" s="3164"/>
      <c r="L42" s="3164"/>
      <c r="M42" s="3164"/>
      <c r="N42" s="3164"/>
      <c r="O42" s="3164"/>
      <c r="P42" s="3164"/>
      <c r="Q42" s="3164"/>
      <c r="R42" s="3164"/>
      <c r="S42" s="3164">
        <v>150000</v>
      </c>
      <c r="T42" s="3164" t="s">
        <v>5835</v>
      </c>
      <c r="U42" s="3164"/>
      <c r="V42" s="3164">
        <v>6</v>
      </c>
      <c r="W42" s="3164" t="s">
        <v>5865</v>
      </c>
      <c r="X42" s="3164" t="s">
        <v>5837</v>
      </c>
      <c r="Y42" s="871">
        <f>S42*V42/1000</f>
        <v>900</v>
      </c>
      <c r="Z42" s="732">
        <f>S42*V42</f>
        <v>900000</v>
      </c>
      <c r="AB42" s="192"/>
    </row>
    <row r="43" spans="1:28" s="250" customFormat="1" ht="19.899999999999999" customHeight="1">
      <c r="A43" s="628"/>
      <c r="B43" s="2221"/>
      <c r="C43" s="867"/>
      <c r="D43" s="692"/>
      <c r="E43" s="675"/>
      <c r="F43" s="736"/>
      <c r="G43" s="678"/>
      <c r="H43" s="865"/>
      <c r="I43" s="3016"/>
      <c r="J43" s="2231" t="s">
        <v>5866</v>
      </c>
      <c r="K43" s="3164"/>
      <c r="L43" s="3164"/>
      <c r="M43" s="3164"/>
      <c r="N43" s="3164">
        <v>6</v>
      </c>
      <c r="O43" s="3164" t="s">
        <v>5867</v>
      </c>
      <c r="P43" s="3164">
        <v>12</v>
      </c>
      <c r="Q43" s="3164" t="s">
        <v>5868</v>
      </c>
      <c r="R43" s="3164" t="s">
        <v>5853</v>
      </c>
      <c r="S43" s="3164">
        <v>10000</v>
      </c>
      <c r="T43" s="3164" t="s">
        <v>5835</v>
      </c>
      <c r="U43" s="3164"/>
      <c r="V43" s="3164">
        <v>20</v>
      </c>
      <c r="W43" s="3164" t="s">
        <v>5842</v>
      </c>
      <c r="X43" s="3164" t="s">
        <v>5837</v>
      </c>
      <c r="Y43" s="871">
        <f>N43*P43*S43*V43/1000</f>
        <v>14400</v>
      </c>
      <c r="Z43" s="732">
        <f>N43*P43*S43*V43</f>
        <v>14400000</v>
      </c>
      <c r="AB43" s="192"/>
    </row>
    <row r="44" spans="1:28" s="250" customFormat="1" ht="19.899999999999999" customHeight="1">
      <c r="A44" s="628"/>
      <c r="B44" s="2221"/>
      <c r="C44" s="867"/>
      <c r="D44" s="692"/>
      <c r="E44" s="675"/>
      <c r="F44" s="736"/>
      <c r="G44" s="678"/>
      <c r="H44" s="865"/>
      <c r="I44" s="3016"/>
      <c r="J44" s="2231" t="s">
        <v>5869</v>
      </c>
      <c r="K44" s="3164"/>
      <c r="L44" s="3164"/>
      <c r="M44" s="3164"/>
      <c r="N44" s="3164"/>
      <c r="O44" s="3164"/>
      <c r="P44" s="3164"/>
      <c r="Q44" s="3164"/>
      <c r="R44" s="3164"/>
      <c r="S44" s="3164">
        <v>3450</v>
      </c>
      <c r="T44" s="3164" t="s">
        <v>5835</v>
      </c>
      <c r="U44" s="3164"/>
      <c r="V44" s="3164">
        <v>1000</v>
      </c>
      <c r="W44" s="3164" t="s">
        <v>5870</v>
      </c>
      <c r="X44" s="3164" t="s">
        <v>5837</v>
      </c>
      <c r="Y44" s="871">
        <f>S44*V44/1000</f>
        <v>3450</v>
      </c>
      <c r="Z44" s="732">
        <f>S44*V44</f>
        <v>3450000</v>
      </c>
      <c r="AB44" s="192"/>
    </row>
    <row r="45" spans="1:28" s="250" customFormat="1" ht="19.899999999999999" customHeight="1">
      <c r="A45" s="628"/>
      <c r="B45" s="2221"/>
      <c r="C45" s="867"/>
      <c r="D45" s="692"/>
      <c r="E45" s="675" t="s">
        <v>4341</v>
      </c>
      <c r="F45" s="736">
        <f t="shared" ref="F45" si="10">Y45</f>
        <v>4080</v>
      </c>
      <c r="G45" s="678">
        <v>3880</v>
      </c>
      <c r="H45" s="865">
        <f>F45-G45</f>
        <v>200</v>
      </c>
      <c r="I45" s="1984"/>
      <c r="J45" s="2231" t="s">
        <v>5840</v>
      </c>
      <c r="K45" s="3164"/>
      <c r="L45" s="3164"/>
      <c r="M45" s="3164"/>
      <c r="N45" s="3164"/>
      <c r="O45" s="3164"/>
      <c r="P45" s="3164"/>
      <c r="Q45" s="3164"/>
      <c r="R45" s="3164"/>
      <c r="S45" s="3164"/>
      <c r="T45" s="3164"/>
      <c r="U45" s="3164"/>
      <c r="V45" s="3164"/>
      <c r="W45" s="3164"/>
      <c r="X45" s="3164"/>
      <c r="Y45" s="871">
        <f>+Y46+Y47</f>
        <v>4080</v>
      </c>
      <c r="Z45" s="732">
        <f>Z46+Z47</f>
        <v>4080000</v>
      </c>
      <c r="AB45" s="192"/>
    </row>
    <row r="46" spans="1:28" s="250" customFormat="1" ht="19.899999999999999" customHeight="1">
      <c r="A46" s="628"/>
      <c r="B46" s="2221"/>
      <c r="C46" s="867"/>
      <c r="D46" s="692"/>
      <c r="E46" s="675"/>
      <c r="F46" s="736"/>
      <c r="G46" s="678"/>
      <c r="H46" s="688"/>
      <c r="I46" s="1984"/>
      <c r="J46" s="2231" t="s">
        <v>5871</v>
      </c>
      <c r="K46" s="3164"/>
      <c r="L46" s="3164"/>
      <c r="M46" s="3164"/>
      <c r="N46" s="3164"/>
      <c r="O46" s="3164"/>
      <c r="P46" s="3164">
        <v>10</v>
      </c>
      <c r="Q46" s="3164" t="s">
        <v>5868</v>
      </c>
      <c r="R46" s="3164" t="s">
        <v>5853</v>
      </c>
      <c r="S46" s="3164">
        <v>20000</v>
      </c>
      <c r="T46" s="3164" t="s">
        <v>5835</v>
      </c>
      <c r="U46" s="3164"/>
      <c r="V46" s="3164">
        <v>16</v>
      </c>
      <c r="W46" s="3164" t="s">
        <v>5842</v>
      </c>
      <c r="X46" s="3164" t="s">
        <v>5837</v>
      </c>
      <c r="Y46" s="871">
        <f>P46*S46*V46/1000</f>
        <v>3200</v>
      </c>
      <c r="Z46" s="732">
        <f>P46*S46*V46</f>
        <v>3200000</v>
      </c>
      <c r="AB46" s="192"/>
    </row>
    <row r="47" spans="1:28" s="250" customFormat="1" ht="19.899999999999999" customHeight="1">
      <c r="A47" s="628"/>
      <c r="B47" s="2221"/>
      <c r="C47" s="867"/>
      <c r="D47" s="692"/>
      <c r="E47" s="675"/>
      <c r="F47" s="736"/>
      <c r="G47" s="678"/>
      <c r="H47" s="865"/>
      <c r="I47" s="3016"/>
      <c r="J47" s="3630" t="s">
        <v>5872</v>
      </c>
      <c r="K47" s="979"/>
      <c r="L47" s="979"/>
      <c r="M47" s="979"/>
      <c r="N47" s="979"/>
      <c r="O47" s="979"/>
      <c r="P47" s="979">
        <v>4</v>
      </c>
      <c r="Q47" s="979" t="s">
        <v>5868</v>
      </c>
      <c r="R47" s="979" t="s">
        <v>5853</v>
      </c>
      <c r="S47" s="979">
        <v>20000</v>
      </c>
      <c r="T47" s="979" t="s">
        <v>5835</v>
      </c>
      <c r="U47" s="979"/>
      <c r="V47" s="979">
        <v>11</v>
      </c>
      <c r="W47" s="979" t="s">
        <v>5842</v>
      </c>
      <c r="X47" s="979" t="s">
        <v>5837</v>
      </c>
      <c r="Y47" s="981">
        <f>P47*S47*V47/1000</f>
        <v>880</v>
      </c>
      <c r="Z47" s="732">
        <f>P47*S47*V47</f>
        <v>880000</v>
      </c>
      <c r="AB47" s="192"/>
    </row>
    <row r="48" spans="1:28" s="250" customFormat="1" ht="19.899999999999999" customHeight="1">
      <c r="A48" s="628"/>
      <c r="B48" s="2221"/>
      <c r="C48" s="3905" t="s">
        <v>793</v>
      </c>
      <c r="D48" s="3905"/>
      <c r="E48" s="3905"/>
      <c r="F48" s="2222">
        <f>+F49</f>
        <v>90000</v>
      </c>
      <c r="G48" s="2222">
        <f>+G49</f>
        <v>90000</v>
      </c>
      <c r="H48" s="1059">
        <f>F48-G48</f>
        <v>0</v>
      </c>
      <c r="I48" s="3425"/>
      <c r="J48" s="1989"/>
      <c r="K48" s="3405"/>
      <c r="L48" s="3405"/>
      <c r="M48" s="3405"/>
      <c r="N48" s="3405"/>
      <c r="O48" s="3405"/>
      <c r="P48" s="3405"/>
      <c r="Q48" s="3405"/>
      <c r="R48" s="1990"/>
      <c r="S48" s="3405"/>
      <c r="T48" s="3405"/>
      <c r="U48" s="3405"/>
      <c r="V48" s="3405"/>
      <c r="W48" s="3405"/>
      <c r="X48" s="1422"/>
      <c r="Y48" s="1991"/>
      <c r="Z48" s="1987"/>
      <c r="AB48" s="192">
        <f t="shared" si="0"/>
        <v>90000000000000</v>
      </c>
    </row>
    <row r="49" spans="1:28" s="250" customFormat="1" ht="19.899999999999999" customHeight="1">
      <c r="A49" s="628"/>
      <c r="B49" s="2221"/>
      <c r="C49" s="968"/>
      <c r="D49" s="3902" t="s">
        <v>794</v>
      </c>
      <c r="E49" s="3903"/>
      <c r="F49" s="2222">
        <f>SUM(F50:F59)</f>
        <v>90000</v>
      </c>
      <c r="G49" s="2222">
        <f>SUM(G50:G59)</f>
        <v>90000</v>
      </c>
      <c r="H49" s="1059">
        <f>F49-G49</f>
        <v>0</v>
      </c>
      <c r="I49" s="682"/>
      <c r="J49" s="1989"/>
      <c r="K49" s="1536"/>
      <c r="L49" s="1536"/>
      <c r="M49" s="1536"/>
      <c r="N49" s="1536"/>
      <c r="O49" s="1536"/>
      <c r="P49" s="1536"/>
      <c r="Q49" s="1536"/>
      <c r="R49" s="1990"/>
      <c r="S49" s="1536"/>
      <c r="T49" s="1536"/>
      <c r="U49" s="1536"/>
      <c r="V49" s="1536"/>
      <c r="W49" s="1536"/>
      <c r="X49" s="1422"/>
      <c r="Y49" s="1991"/>
      <c r="Z49" s="1987"/>
      <c r="AB49" s="192">
        <f t="shared" si="0"/>
        <v>90000000000000</v>
      </c>
    </row>
    <row r="50" spans="1:28" s="250" customFormat="1" ht="19.899999999999999" customHeight="1">
      <c r="A50" s="628"/>
      <c r="B50" s="2221"/>
      <c r="C50" s="968"/>
      <c r="D50" s="676"/>
      <c r="E50" s="677" t="s">
        <v>647</v>
      </c>
      <c r="F50" s="2125">
        <f t="shared" ref="F50" si="11">+Y50</f>
        <v>5000</v>
      </c>
      <c r="G50" s="2126">
        <v>5000</v>
      </c>
      <c r="H50" s="865"/>
      <c r="I50" s="682"/>
      <c r="J50" s="681" t="s">
        <v>1004</v>
      </c>
      <c r="K50" s="867"/>
      <c r="L50" s="867"/>
      <c r="M50" s="867"/>
      <c r="N50" s="867"/>
      <c r="O50" s="867"/>
      <c r="P50" s="867"/>
      <c r="Q50" s="869">
        <v>1</v>
      </c>
      <c r="R50" s="867" t="s">
        <v>232</v>
      </c>
      <c r="S50" s="868">
        <v>50000</v>
      </c>
      <c r="T50" s="867" t="s">
        <v>37</v>
      </c>
      <c r="U50" s="867"/>
      <c r="V50" s="867">
        <v>100</v>
      </c>
      <c r="W50" s="867" t="s">
        <v>254</v>
      </c>
      <c r="X50" s="686" t="s">
        <v>38</v>
      </c>
      <c r="Y50" s="871">
        <f>+Z50/1000</f>
        <v>5000</v>
      </c>
      <c r="Z50" s="732">
        <f>Q50*S50*V50</f>
        <v>5000000</v>
      </c>
      <c r="AB50" s="192">
        <f t="shared" si="0"/>
        <v>5000000000000</v>
      </c>
    </row>
    <row r="51" spans="1:28" s="250" customFormat="1" ht="19.899999999999999" customHeight="1">
      <c r="A51" s="628"/>
      <c r="B51" s="2221"/>
      <c r="C51" s="870"/>
      <c r="D51" s="676"/>
      <c r="E51" s="677" t="s">
        <v>245</v>
      </c>
      <c r="F51" s="2125">
        <f>+Y51</f>
        <v>10000</v>
      </c>
      <c r="G51" s="2126">
        <v>10000</v>
      </c>
      <c r="H51" s="865"/>
      <c r="I51" s="682"/>
      <c r="J51" s="681" t="s">
        <v>375</v>
      </c>
      <c r="K51" s="867"/>
      <c r="L51" s="867"/>
      <c r="M51" s="867"/>
      <c r="N51" s="867"/>
      <c r="O51" s="867"/>
      <c r="P51" s="867"/>
      <c r="Q51" s="684"/>
      <c r="R51" s="684"/>
      <c r="S51" s="684"/>
      <c r="T51" s="684"/>
      <c r="U51" s="684"/>
      <c r="V51" s="684"/>
      <c r="W51" s="684"/>
      <c r="X51" s="686"/>
      <c r="Y51" s="871">
        <f>+Z51/1000</f>
        <v>10000</v>
      </c>
      <c r="Z51" s="732">
        <f>SUM(Z52:Z53)</f>
        <v>10000000</v>
      </c>
      <c r="AB51" s="192">
        <f t="shared" si="0"/>
        <v>10000000000000</v>
      </c>
    </row>
    <row r="52" spans="1:28" s="250" customFormat="1" ht="19.899999999999999" customHeight="1">
      <c r="A52" s="628"/>
      <c r="B52" s="2221"/>
      <c r="C52" s="870"/>
      <c r="D52" s="676"/>
      <c r="E52" s="677"/>
      <c r="F52" s="2125"/>
      <c r="G52" s="2126"/>
      <c r="H52" s="865"/>
      <c r="I52" s="682"/>
      <c r="J52" s="681" t="s">
        <v>795</v>
      </c>
      <c r="K52" s="867"/>
      <c r="L52" s="867"/>
      <c r="M52" s="867"/>
      <c r="N52" s="867"/>
      <c r="O52" s="867"/>
      <c r="P52" s="867"/>
      <c r="Q52" s="869">
        <v>4</v>
      </c>
      <c r="R52" s="867" t="s">
        <v>232</v>
      </c>
      <c r="S52" s="868">
        <v>250000</v>
      </c>
      <c r="T52" s="867" t="s">
        <v>37</v>
      </c>
      <c r="U52" s="867"/>
      <c r="V52" s="867">
        <v>7</v>
      </c>
      <c r="W52" s="867" t="s">
        <v>259</v>
      </c>
      <c r="X52" s="686" t="s">
        <v>38</v>
      </c>
      <c r="Y52" s="871">
        <f t="shared" ref="Y52:Y59" si="12">+Z52/1000</f>
        <v>7000</v>
      </c>
      <c r="Z52" s="732">
        <f>Q52*S52*V52</f>
        <v>7000000</v>
      </c>
      <c r="AB52" s="192">
        <f t="shared" si="0"/>
        <v>0</v>
      </c>
    </row>
    <row r="53" spans="1:28" s="250" customFormat="1" ht="19.899999999999999" customHeight="1">
      <c r="A53" s="628"/>
      <c r="B53" s="2221"/>
      <c r="C53" s="870"/>
      <c r="D53" s="676"/>
      <c r="E53" s="677"/>
      <c r="F53" s="2125"/>
      <c r="G53" s="2126"/>
      <c r="H53" s="865"/>
      <c r="I53" s="682"/>
      <c r="J53" s="681" t="s">
        <v>796</v>
      </c>
      <c r="K53" s="867"/>
      <c r="L53" s="867"/>
      <c r="M53" s="867"/>
      <c r="N53" s="867"/>
      <c r="O53" s="867"/>
      <c r="P53" s="867"/>
      <c r="Q53" s="869">
        <v>2</v>
      </c>
      <c r="R53" s="867" t="s">
        <v>232</v>
      </c>
      <c r="S53" s="868">
        <v>500000</v>
      </c>
      <c r="T53" s="867" t="s">
        <v>37</v>
      </c>
      <c r="U53" s="867"/>
      <c r="V53" s="867">
        <v>3</v>
      </c>
      <c r="W53" s="867" t="s">
        <v>259</v>
      </c>
      <c r="X53" s="686" t="s">
        <v>38</v>
      </c>
      <c r="Y53" s="871">
        <f t="shared" si="12"/>
        <v>3000</v>
      </c>
      <c r="Z53" s="732">
        <f>Q53*S53*V53</f>
        <v>3000000</v>
      </c>
      <c r="AB53" s="192">
        <f t="shared" si="0"/>
        <v>0</v>
      </c>
    </row>
    <row r="54" spans="1:28" s="250" customFormat="1" ht="19.899999999999999" customHeight="1">
      <c r="A54" s="628"/>
      <c r="B54" s="2221"/>
      <c r="C54" s="870"/>
      <c r="D54" s="676"/>
      <c r="E54" s="677" t="s">
        <v>431</v>
      </c>
      <c r="F54" s="2125">
        <f>+Y54</f>
        <v>70000</v>
      </c>
      <c r="G54" s="2126">
        <v>70000</v>
      </c>
      <c r="H54" s="865"/>
      <c r="I54" s="682"/>
      <c r="J54" s="681" t="s">
        <v>1569</v>
      </c>
      <c r="K54" s="867"/>
      <c r="L54" s="867"/>
      <c r="M54" s="867"/>
      <c r="N54" s="867"/>
      <c r="O54" s="867"/>
      <c r="P54" s="867"/>
      <c r="Q54" s="869"/>
      <c r="R54" s="867"/>
      <c r="S54" s="868">
        <v>70000000</v>
      </c>
      <c r="T54" s="867" t="s">
        <v>37</v>
      </c>
      <c r="U54" s="867"/>
      <c r="V54" s="867">
        <v>1</v>
      </c>
      <c r="W54" s="867" t="s">
        <v>226</v>
      </c>
      <c r="X54" s="686" t="s">
        <v>38</v>
      </c>
      <c r="Y54" s="871">
        <f t="shared" si="12"/>
        <v>70000</v>
      </c>
      <c r="Z54" s="732">
        <f>S54*V54</f>
        <v>70000000</v>
      </c>
      <c r="AB54" s="192">
        <f t="shared" si="0"/>
        <v>70000000000000</v>
      </c>
    </row>
    <row r="55" spans="1:28" s="250" customFormat="1" ht="19.899999999999999" customHeight="1">
      <c r="A55" s="628"/>
      <c r="B55" s="2221"/>
      <c r="C55" s="870"/>
      <c r="D55" s="676"/>
      <c r="E55" s="677" t="s">
        <v>262</v>
      </c>
      <c r="F55" s="2125">
        <f>+Y55</f>
        <v>1000</v>
      </c>
      <c r="G55" s="2126">
        <v>1000</v>
      </c>
      <c r="H55" s="2234"/>
      <c r="I55" s="682"/>
      <c r="J55" s="681" t="s">
        <v>1005</v>
      </c>
      <c r="K55" s="867"/>
      <c r="L55" s="867"/>
      <c r="M55" s="867"/>
      <c r="N55" s="867"/>
      <c r="O55" s="867"/>
      <c r="P55" s="867"/>
      <c r="Q55" s="869">
        <v>1</v>
      </c>
      <c r="R55" s="867" t="s">
        <v>232</v>
      </c>
      <c r="S55" s="868">
        <v>100000</v>
      </c>
      <c r="T55" s="867" t="s">
        <v>37</v>
      </c>
      <c r="U55" s="867"/>
      <c r="V55" s="867">
        <v>10</v>
      </c>
      <c r="W55" s="867" t="s">
        <v>50</v>
      </c>
      <c r="X55" s="686" t="s">
        <v>38</v>
      </c>
      <c r="Y55" s="871">
        <f t="shared" si="12"/>
        <v>1000</v>
      </c>
      <c r="Z55" s="732">
        <f>Q55*S55*V55</f>
        <v>1000000</v>
      </c>
      <c r="AB55" s="192">
        <f t="shared" si="0"/>
        <v>1000000000000</v>
      </c>
    </row>
    <row r="56" spans="1:28" s="250" customFormat="1" ht="19.899999999999999" customHeight="1">
      <c r="A56" s="628"/>
      <c r="B56" s="2221"/>
      <c r="C56" s="870"/>
      <c r="D56" s="676"/>
      <c r="E56" s="677" t="s">
        <v>451</v>
      </c>
      <c r="F56" s="2125">
        <f>+Y56</f>
        <v>2000</v>
      </c>
      <c r="G56" s="2126">
        <v>2000</v>
      </c>
      <c r="H56" s="865"/>
      <c r="I56" s="682"/>
      <c r="J56" s="2231" t="s">
        <v>2577</v>
      </c>
      <c r="K56" s="868"/>
      <c r="L56" s="868"/>
      <c r="M56" s="868"/>
      <c r="N56" s="868"/>
      <c r="O56" s="868"/>
      <c r="P56" s="868"/>
      <c r="Q56" s="868"/>
      <c r="R56" s="868"/>
      <c r="S56" s="868">
        <v>2000000</v>
      </c>
      <c r="T56" s="868" t="s">
        <v>37</v>
      </c>
      <c r="U56" s="868"/>
      <c r="V56" s="868">
        <v>1</v>
      </c>
      <c r="W56" s="868" t="s">
        <v>226</v>
      </c>
      <c r="X56" s="868" t="s">
        <v>38</v>
      </c>
      <c r="Y56" s="871">
        <f>S56*V56/1000</f>
        <v>2000</v>
      </c>
      <c r="Z56" s="732">
        <f t="shared" ref="Z56" si="13">S56*V56</f>
        <v>2000000</v>
      </c>
      <c r="AB56" s="192">
        <f t="shared" si="0"/>
        <v>2000000000000</v>
      </c>
    </row>
    <row r="57" spans="1:28" s="250" customFormat="1" ht="19.899999999999999" customHeight="1">
      <c r="A57" s="628"/>
      <c r="B57" s="2221"/>
      <c r="C57" s="870"/>
      <c r="D57" s="676"/>
      <c r="E57" s="677" t="s">
        <v>242</v>
      </c>
      <c r="F57" s="2125">
        <f>+Y57</f>
        <v>2000</v>
      </c>
      <c r="G57" s="2126">
        <v>2000</v>
      </c>
      <c r="H57" s="2234"/>
      <c r="I57" s="682"/>
      <c r="J57" s="681" t="s">
        <v>375</v>
      </c>
      <c r="K57" s="682"/>
      <c r="L57" s="682"/>
      <c r="M57" s="682"/>
      <c r="N57" s="682"/>
      <c r="O57" s="682"/>
      <c r="P57" s="682"/>
      <c r="Q57" s="869"/>
      <c r="R57" s="867"/>
      <c r="S57" s="868"/>
      <c r="T57" s="867"/>
      <c r="U57" s="867"/>
      <c r="V57" s="867"/>
      <c r="W57" s="867"/>
      <c r="X57" s="686"/>
      <c r="Y57" s="871">
        <f t="shared" si="12"/>
        <v>2000</v>
      </c>
      <c r="Z57" s="732">
        <f>SUM(Z58:Z59)</f>
        <v>2000000</v>
      </c>
      <c r="AB57" s="192">
        <f t="shared" si="0"/>
        <v>2000000000000</v>
      </c>
    </row>
    <row r="58" spans="1:28" s="250" customFormat="1" ht="19.899999999999999" customHeight="1">
      <c r="A58" s="628"/>
      <c r="B58" s="2221"/>
      <c r="C58" s="870"/>
      <c r="D58" s="676"/>
      <c r="E58" s="677"/>
      <c r="F58" s="2125"/>
      <c r="G58" s="2126"/>
      <c r="H58" s="2234"/>
      <c r="I58" s="682"/>
      <c r="J58" s="681" t="s">
        <v>797</v>
      </c>
      <c r="K58" s="867"/>
      <c r="L58" s="867"/>
      <c r="M58" s="867"/>
      <c r="N58" s="867"/>
      <c r="O58" s="867"/>
      <c r="P58" s="867"/>
      <c r="Q58" s="869">
        <v>2</v>
      </c>
      <c r="R58" s="867" t="s">
        <v>232</v>
      </c>
      <c r="S58" s="868">
        <v>500000</v>
      </c>
      <c r="T58" s="867" t="s">
        <v>37</v>
      </c>
      <c r="U58" s="867"/>
      <c r="V58" s="867">
        <v>1</v>
      </c>
      <c r="W58" s="867" t="s">
        <v>226</v>
      </c>
      <c r="X58" s="686" t="s">
        <v>38</v>
      </c>
      <c r="Y58" s="871">
        <f t="shared" si="12"/>
        <v>1000</v>
      </c>
      <c r="Z58" s="732">
        <f>Q58*S58*V58</f>
        <v>1000000</v>
      </c>
      <c r="AB58" s="192">
        <f t="shared" si="0"/>
        <v>0</v>
      </c>
    </row>
    <row r="59" spans="1:28" s="391" customFormat="1" ht="19.899999999999999" customHeight="1" thickBot="1">
      <c r="A59" s="628"/>
      <c r="B59" s="2221"/>
      <c r="C59" s="968"/>
      <c r="D59" s="676"/>
      <c r="E59" s="677"/>
      <c r="F59" s="2125"/>
      <c r="G59" s="2126"/>
      <c r="H59" s="2234"/>
      <c r="I59" s="682"/>
      <c r="J59" s="681" t="s">
        <v>798</v>
      </c>
      <c r="K59" s="867"/>
      <c r="L59" s="867"/>
      <c r="M59" s="867"/>
      <c r="N59" s="867"/>
      <c r="O59" s="867"/>
      <c r="P59" s="867"/>
      <c r="Q59" s="869">
        <v>10</v>
      </c>
      <c r="R59" s="867" t="s">
        <v>232</v>
      </c>
      <c r="S59" s="868">
        <v>100000</v>
      </c>
      <c r="T59" s="867" t="s">
        <v>37</v>
      </c>
      <c r="U59" s="867"/>
      <c r="V59" s="867">
        <v>1</v>
      </c>
      <c r="W59" s="867" t="s">
        <v>226</v>
      </c>
      <c r="X59" s="686" t="s">
        <v>38</v>
      </c>
      <c r="Y59" s="871">
        <f t="shared" si="12"/>
        <v>1000</v>
      </c>
      <c r="Z59" s="732">
        <f>Q59*S59*V59</f>
        <v>1000000</v>
      </c>
      <c r="AB59" s="192">
        <f t="shared" si="0"/>
        <v>0</v>
      </c>
    </row>
    <row r="60" spans="1:28" s="250" customFormat="1" ht="19.899999999999999" customHeight="1" thickBot="1">
      <c r="A60" s="2235"/>
      <c r="B60" s="2236" t="s">
        <v>1142</v>
      </c>
      <c r="C60" s="2214"/>
      <c r="D60" s="901"/>
      <c r="E60" s="901"/>
      <c r="F60" s="1499">
        <f>+F61+F84</f>
        <v>250000</v>
      </c>
      <c r="G60" s="1499">
        <f>+G61+G84</f>
        <v>250000</v>
      </c>
      <c r="H60" s="2237">
        <f>F60-G60</f>
        <v>0</v>
      </c>
      <c r="I60" s="2165"/>
      <c r="J60" s="2238"/>
      <c r="K60" s="2239"/>
      <c r="L60" s="2239"/>
      <c r="M60" s="2239"/>
      <c r="N60" s="2239"/>
      <c r="O60" s="2239"/>
      <c r="P60" s="2239"/>
      <c r="Q60" s="2239"/>
      <c r="R60" s="2239"/>
      <c r="S60" s="2239"/>
      <c r="T60" s="2239"/>
      <c r="U60" s="2239"/>
      <c r="V60" s="2239"/>
      <c r="W60" s="2239"/>
      <c r="X60" s="2239"/>
      <c r="Y60" s="1503"/>
      <c r="Z60" s="3631"/>
      <c r="AB60" s="192">
        <f t="shared" si="0"/>
        <v>250000000000000</v>
      </c>
    </row>
    <row r="61" spans="1:28" s="250" customFormat="1" ht="19.899999999999999" customHeight="1">
      <c r="A61" s="628"/>
      <c r="B61" s="2221"/>
      <c r="C61" s="3881" t="s">
        <v>1143</v>
      </c>
      <c r="D61" s="3881"/>
      <c r="E61" s="3881"/>
      <c r="F61" s="2240">
        <f>+F62+F74+F77</f>
        <v>100000</v>
      </c>
      <c r="G61" s="2240">
        <f>+G62+G74+G77</f>
        <v>100000</v>
      </c>
      <c r="H61" s="2241">
        <f>F61-G61</f>
        <v>0</v>
      </c>
      <c r="I61" s="682"/>
      <c r="J61" s="2242"/>
      <c r="K61" s="2243"/>
      <c r="L61" s="2243"/>
      <c r="M61" s="2243"/>
      <c r="N61" s="2243"/>
      <c r="O61" s="2243"/>
      <c r="P61" s="2243"/>
      <c r="Q61" s="2243"/>
      <c r="R61" s="2243"/>
      <c r="S61" s="2243"/>
      <c r="T61" s="2243"/>
      <c r="U61" s="2243"/>
      <c r="V61" s="2243"/>
      <c r="W61" s="2243"/>
      <c r="X61" s="2243"/>
      <c r="Y61" s="2244"/>
      <c r="Z61" s="732"/>
      <c r="AB61" s="192">
        <f t="shared" si="0"/>
        <v>100000000000000</v>
      </c>
    </row>
    <row r="62" spans="1:28" s="250" customFormat="1" ht="19.899999999999999" customHeight="1">
      <c r="A62" s="628"/>
      <c r="B62" s="2221"/>
      <c r="C62" s="867"/>
      <c r="D62" s="3882" t="s">
        <v>1144</v>
      </c>
      <c r="E62" s="3882"/>
      <c r="F62" s="1192">
        <f>SUM(F63:F73)</f>
        <v>43000</v>
      </c>
      <c r="G62" s="1192">
        <f>SUM(G63:G73)</f>
        <v>43000</v>
      </c>
      <c r="H62" s="940">
        <f>F62-G62</f>
        <v>0</v>
      </c>
      <c r="I62" s="682"/>
      <c r="J62" s="2245"/>
      <c r="K62" s="1010"/>
      <c r="L62" s="1010"/>
      <c r="M62" s="1010"/>
      <c r="N62" s="1010"/>
      <c r="O62" s="1010"/>
      <c r="P62" s="1010"/>
      <c r="Q62" s="1010"/>
      <c r="R62" s="1010"/>
      <c r="S62" s="1010"/>
      <c r="T62" s="1010"/>
      <c r="U62" s="1010"/>
      <c r="V62" s="1010"/>
      <c r="W62" s="1010"/>
      <c r="X62" s="1010"/>
      <c r="Y62" s="965"/>
      <c r="Z62" s="1105"/>
      <c r="AB62" s="192">
        <f t="shared" si="0"/>
        <v>43000000000000</v>
      </c>
    </row>
    <row r="63" spans="1:28" s="250" customFormat="1" ht="19.899999999999999" customHeight="1">
      <c r="A63" s="628"/>
      <c r="B63" s="2221"/>
      <c r="C63" s="867"/>
      <c r="D63" s="692"/>
      <c r="E63" s="675" t="s">
        <v>352</v>
      </c>
      <c r="F63" s="1198">
        <f>Y63</f>
        <v>19900</v>
      </c>
      <c r="G63" s="678">
        <v>21900</v>
      </c>
      <c r="H63" s="790">
        <f>F63-G63</f>
        <v>-2000</v>
      </c>
      <c r="I63" s="3016"/>
      <c r="J63" s="2231" t="s">
        <v>5807</v>
      </c>
      <c r="K63" s="3164"/>
      <c r="L63" s="3164"/>
      <c r="M63" s="3164"/>
      <c r="N63" s="3164"/>
      <c r="O63" s="3164"/>
      <c r="P63" s="3164"/>
      <c r="Q63" s="3164"/>
      <c r="R63" s="3164"/>
      <c r="S63" s="3164"/>
      <c r="T63" s="3164"/>
      <c r="U63" s="3164"/>
      <c r="V63" s="3164"/>
      <c r="W63" s="3164"/>
      <c r="X63" s="3164"/>
      <c r="Y63" s="871">
        <f>+Y64+Y65+Y66+Y67</f>
        <v>19900</v>
      </c>
      <c r="Z63" s="732"/>
      <c r="AB63" s="192"/>
    </row>
    <row r="64" spans="1:28" s="250" customFormat="1" ht="19.899999999999999" customHeight="1">
      <c r="A64" s="628"/>
      <c r="B64" s="2221"/>
      <c r="C64" s="867"/>
      <c r="D64" s="692"/>
      <c r="E64" s="675"/>
      <c r="F64" s="678"/>
      <c r="G64" s="678"/>
      <c r="H64" s="688"/>
      <c r="I64" s="3016"/>
      <c r="J64" s="2231" t="s">
        <v>5813</v>
      </c>
      <c r="K64" s="3164"/>
      <c r="L64" s="3164"/>
      <c r="M64" s="3164"/>
      <c r="N64" s="3164"/>
      <c r="O64" s="3164"/>
      <c r="P64" s="3164"/>
      <c r="Q64" s="3164"/>
      <c r="R64" s="3164"/>
      <c r="S64" s="3164">
        <v>300000</v>
      </c>
      <c r="T64" s="3164" t="s">
        <v>5808</v>
      </c>
      <c r="U64" s="3164"/>
      <c r="V64" s="3164">
        <v>7</v>
      </c>
      <c r="W64" s="3164" t="s">
        <v>5809</v>
      </c>
      <c r="X64" s="3164" t="s">
        <v>5810</v>
      </c>
      <c r="Y64" s="871">
        <f t="shared" ref="Y64:Y67" si="14">S64*V64/1000</f>
        <v>2100</v>
      </c>
      <c r="Z64" s="732">
        <f t="shared" ref="Z64:Z73" si="15">S64*V64</f>
        <v>2100000</v>
      </c>
      <c r="AB64" s="192"/>
    </row>
    <row r="65" spans="1:28" s="250" customFormat="1" ht="19.899999999999999" customHeight="1">
      <c r="A65" s="628"/>
      <c r="B65" s="2221"/>
      <c r="C65" s="867"/>
      <c r="D65" s="692"/>
      <c r="E65" s="675"/>
      <c r="F65" s="678"/>
      <c r="G65" s="678"/>
      <c r="H65" s="688"/>
      <c r="I65" s="3016"/>
      <c r="J65" s="2231" t="s">
        <v>5814</v>
      </c>
      <c r="K65" s="3164"/>
      <c r="L65" s="3164"/>
      <c r="M65" s="3164"/>
      <c r="N65" s="3164"/>
      <c r="O65" s="3164"/>
      <c r="P65" s="3164"/>
      <c r="Q65" s="3164"/>
      <c r="R65" s="3164"/>
      <c r="S65" s="3164">
        <v>300000</v>
      </c>
      <c r="T65" s="3164" t="s">
        <v>5808</v>
      </c>
      <c r="U65" s="3164"/>
      <c r="V65" s="3164">
        <v>7</v>
      </c>
      <c r="W65" s="3164" t="s">
        <v>5809</v>
      </c>
      <c r="X65" s="3164" t="s">
        <v>5810</v>
      </c>
      <c r="Y65" s="871">
        <f t="shared" si="14"/>
        <v>2100</v>
      </c>
      <c r="Z65" s="732">
        <f t="shared" si="15"/>
        <v>2100000</v>
      </c>
      <c r="AB65" s="192"/>
    </row>
    <row r="66" spans="1:28" s="250" customFormat="1" ht="19.899999999999999" customHeight="1">
      <c r="A66" s="628"/>
      <c r="B66" s="2221"/>
      <c r="C66" s="867"/>
      <c r="D66" s="692"/>
      <c r="E66" s="675"/>
      <c r="F66" s="678"/>
      <c r="G66" s="678"/>
      <c r="H66" s="688"/>
      <c r="I66" s="3016"/>
      <c r="J66" s="2231" t="s">
        <v>5815</v>
      </c>
      <c r="K66" s="3164"/>
      <c r="L66" s="3164"/>
      <c r="M66" s="3164"/>
      <c r="N66" s="3164"/>
      <c r="O66" s="3164"/>
      <c r="P66" s="3164"/>
      <c r="Q66" s="3164"/>
      <c r="R66" s="3164"/>
      <c r="S66" s="3164">
        <v>2000000</v>
      </c>
      <c r="T66" s="3164" t="s">
        <v>5808</v>
      </c>
      <c r="U66" s="3164"/>
      <c r="V66" s="3164">
        <v>2</v>
      </c>
      <c r="W66" s="3164" t="s">
        <v>5809</v>
      </c>
      <c r="X66" s="3164" t="s">
        <v>5810</v>
      </c>
      <c r="Y66" s="871">
        <f t="shared" si="14"/>
        <v>4000</v>
      </c>
      <c r="Z66" s="732">
        <f t="shared" si="15"/>
        <v>4000000</v>
      </c>
      <c r="AB66" s="192"/>
    </row>
    <row r="67" spans="1:28" s="250" customFormat="1" ht="19.899999999999999" customHeight="1">
      <c r="A67" s="628"/>
      <c r="B67" s="2221"/>
      <c r="C67" s="867"/>
      <c r="D67" s="692"/>
      <c r="E67" s="675"/>
      <c r="F67" s="678"/>
      <c r="G67" s="678"/>
      <c r="H67" s="688"/>
      <c r="I67" s="3016"/>
      <c r="J67" s="2231" t="s">
        <v>5816</v>
      </c>
      <c r="K67" s="3164"/>
      <c r="L67" s="3164"/>
      <c r="M67" s="3164"/>
      <c r="N67" s="3164"/>
      <c r="O67" s="3164"/>
      <c r="P67" s="3164"/>
      <c r="Q67" s="3164"/>
      <c r="R67" s="3164"/>
      <c r="S67" s="3164">
        <v>5850000</v>
      </c>
      <c r="T67" s="3164" t="s">
        <v>5808</v>
      </c>
      <c r="U67" s="3164"/>
      <c r="V67" s="3164">
        <v>2</v>
      </c>
      <c r="W67" s="3164" t="s">
        <v>5809</v>
      </c>
      <c r="X67" s="3164" t="s">
        <v>5810</v>
      </c>
      <c r="Y67" s="871">
        <f t="shared" si="14"/>
        <v>11700</v>
      </c>
      <c r="Z67" s="732">
        <f t="shared" si="15"/>
        <v>11700000</v>
      </c>
      <c r="AB67" s="192"/>
    </row>
    <row r="68" spans="1:28" s="250" customFormat="1" ht="19.899999999999999" customHeight="1">
      <c r="A68" s="628"/>
      <c r="B68" s="2221"/>
      <c r="C68" s="867"/>
      <c r="D68" s="692"/>
      <c r="E68" s="675" t="s">
        <v>384</v>
      </c>
      <c r="F68" s="678">
        <f>Y68</f>
        <v>1800</v>
      </c>
      <c r="G68" s="678">
        <v>1800</v>
      </c>
      <c r="H68" s="790"/>
      <c r="I68" s="3016"/>
      <c r="J68" s="2231" t="s">
        <v>5811</v>
      </c>
      <c r="K68" s="3164"/>
      <c r="L68" s="3164"/>
      <c r="M68" s="3164"/>
      <c r="N68" s="3164"/>
      <c r="O68" s="3164"/>
      <c r="P68" s="3164"/>
      <c r="Q68" s="3164"/>
      <c r="R68" s="3164"/>
      <c r="S68" s="3164">
        <v>200000</v>
      </c>
      <c r="T68" s="3164" t="s">
        <v>5808</v>
      </c>
      <c r="U68" s="3164"/>
      <c r="V68" s="3164">
        <v>9</v>
      </c>
      <c r="W68" s="3164" t="s">
        <v>5809</v>
      </c>
      <c r="X68" s="3164" t="s">
        <v>5810</v>
      </c>
      <c r="Y68" s="871">
        <f>S68*V68/1000</f>
        <v>1800</v>
      </c>
      <c r="Z68" s="732">
        <f t="shared" si="15"/>
        <v>1800000</v>
      </c>
      <c r="AB68" s="192"/>
    </row>
    <row r="69" spans="1:28" s="250" customFormat="1" ht="19.899999999999999" customHeight="1">
      <c r="A69" s="628"/>
      <c r="B69" s="2221"/>
      <c r="C69" s="867"/>
      <c r="D69" s="692"/>
      <c r="E69" s="692" t="s">
        <v>431</v>
      </c>
      <c r="F69" s="678">
        <f>Y69</f>
        <v>19300</v>
      </c>
      <c r="G69" s="678">
        <v>19300</v>
      </c>
      <c r="H69" s="790"/>
      <c r="I69" s="3016"/>
      <c r="J69" s="2231" t="s">
        <v>5807</v>
      </c>
      <c r="K69" s="3164"/>
      <c r="L69" s="3164"/>
      <c r="M69" s="3164"/>
      <c r="N69" s="3164"/>
      <c r="O69" s="3164"/>
      <c r="P69" s="3164"/>
      <c r="Q69" s="3164"/>
      <c r="R69" s="3164"/>
      <c r="S69" s="3164"/>
      <c r="T69" s="3164"/>
      <c r="U69" s="3164"/>
      <c r="V69" s="3164"/>
      <c r="W69" s="3164"/>
      <c r="X69" s="3164"/>
      <c r="Y69" s="871">
        <f>+Y70+Y71+Y72</f>
        <v>19300</v>
      </c>
      <c r="Z69" s="732"/>
      <c r="AB69" s="192"/>
    </row>
    <row r="70" spans="1:28" s="250" customFormat="1" ht="19.899999999999999" customHeight="1">
      <c r="A70" s="628"/>
      <c r="B70" s="2221"/>
      <c r="C70" s="867"/>
      <c r="D70" s="675"/>
      <c r="E70" s="3170"/>
      <c r="F70" s="678"/>
      <c r="G70" s="678"/>
      <c r="H70" s="3263"/>
      <c r="I70" s="3016"/>
      <c r="J70" s="2231" t="s">
        <v>5817</v>
      </c>
      <c r="K70" s="1916"/>
      <c r="L70" s="1916"/>
      <c r="M70" s="1916"/>
      <c r="N70" s="1916"/>
      <c r="O70" s="2360"/>
      <c r="P70" s="2360"/>
      <c r="Q70" s="1916"/>
      <c r="R70" s="1916"/>
      <c r="S70" s="2678">
        <v>2550000</v>
      </c>
      <c r="T70" s="3164" t="s">
        <v>5808</v>
      </c>
      <c r="U70" s="1916"/>
      <c r="V70" s="3164">
        <v>3</v>
      </c>
      <c r="W70" s="3164" t="s">
        <v>5809</v>
      </c>
      <c r="X70" s="3164" t="s">
        <v>5810</v>
      </c>
      <c r="Y70" s="3619">
        <f>S70*V70/1000</f>
        <v>7650</v>
      </c>
      <c r="Z70" s="732">
        <f t="shared" si="15"/>
        <v>7650000</v>
      </c>
      <c r="AB70" s="192"/>
    </row>
    <row r="71" spans="1:28" s="250" customFormat="1" ht="19.899999999999999" customHeight="1">
      <c r="A71" s="628"/>
      <c r="B71" s="2221"/>
      <c r="C71" s="867"/>
      <c r="D71" s="675"/>
      <c r="E71" s="3170"/>
      <c r="F71" s="678"/>
      <c r="G71" s="678"/>
      <c r="H71" s="3263"/>
      <c r="I71" s="3016"/>
      <c r="J71" s="2231" t="s">
        <v>5818</v>
      </c>
      <c r="K71" s="3164"/>
      <c r="L71" s="3164"/>
      <c r="M71" s="3164"/>
      <c r="N71" s="3164"/>
      <c r="O71" s="3164"/>
      <c r="P71" s="3164"/>
      <c r="Q71" s="3164"/>
      <c r="R71" s="3164"/>
      <c r="S71" s="3164">
        <v>4000000</v>
      </c>
      <c r="T71" s="3164" t="s">
        <v>5808</v>
      </c>
      <c r="U71" s="3164"/>
      <c r="V71" s="3164">
        <v>1</v>
      </c>
      <c r="W71" s="3164" t="s">
        <v>5809</v>
      </c>
      <c r="X71" s="3164" t="s">
        <v>5810</v>
      </c>
      <c r="Y71" s="3619">
        <f t="shared" ref="Y71:Y73" si="16">S71*V71/1000</f>
        <v>4000</v>
      </c>
      <c r="Z71" s="732">
        <f t="shared" si="15"/>
        <v>4000000</v>
      </c>
      <c r="AB71" s="192"/>
    </row>
    <row r="72" spans="1:28" s="250" customFormat="1" ht="19.899999999999999" customHeight="1">
      <c r="A72" s="628"/>
      <c r="B72" s="2221"/>
      <c r="C72" s="3163"/>
      <c r="D72" s="675"/>
      <c r="E72" s="3170"/>
      <c r="F72" s="678"/>
      <c r="G72" s="678"/>
      <c r="H72" s="3263"/>
      <c r="I72" s="3614"/>
      <c r="J72" s="2231" t="s">
        <v>5819</v>
      </c>
      <c r="K72" s="3164"/>
      <c r="L72" s="3164"/>
      <c r="M72" s="3164"/>
      <c r="N72" s="3164"/>
      <c r="O72" s="3164"/>
      <c r="P72" s="3164"/>
      <c r="Q72" s="3164"/>
      <c r="R72" s="3164"/>
      <c r="S72" s="3164">
        <v>2550000</v>
      </c>
      <c r="T72" s="3164" t="s">
        <v>5808</v>
      </c>
      <c r="U72" s="3164"/>
      <c r="V72" s="3164">
        <v>3</v>
      </c>
      <c r="W72" s="3164" t="s">
        <v>5809</v>
      </c>
      <c r="X72" s="3164" t="s">
        <v>5810</v>
      </c>
      <c r="Y72" s="3619">
        <f t="shared" si="16"/>
        <v>7650</v>
      </c>
      <c r="Z72" s="732">
        <f t="shared" si="15"/>
        <v>7650000</v>
      </c>
      <c r="AB72" s="192"/>
    </row>
    <row r="73" spans="1:28" s="250" customFormat="1" ht="19.899999999999999" customHeight="1">
      <c r="A73" s="628"/>
      <c r="B73" s="2221"/>
      <c r="C73" s="867"/>
      <c r="D73" s="970"/>
      <c r="E73" s="3170" t="s">
        <v>73</v>
      </c>
      <c r="F73" s="678">
        <f>Y73</f>
        <v>2000</v>
      </c>
      <c r="G73" s="678">
        <v>0</v>
      </c>
      <c r="H73" s="790">
        <f>F73-G73</f>
        <v>2000</v>
      </c>
      <c r="I73" s="3016"/>
      <c r="J73" s="2231" t="s">
        <v>5812</v>
      </c>
      <c r="K73" s="3164"/>
      <c r="L73" s="3164"/>
      <c r="M73" s="3164"/>
      <c r="N73" s="3164"/>
      <c r="O73" s="3164"/>
      <c r="P73" s="3164"/>
      <c r="Q73" s="3164"/>
      <c r="R73" s="3164"/>
      <c r="S73" s="3164">
        <v>2000000</v>
      </c>
      <c r="T73" s="3164" t="s">
        <v>5808</v>
      </c>
      <c r="U73" s="3164"/>
      <c r="V73" s="3164">
        <v>1</v>
      </c>
      <c r="W73" s="3164" t="s">
        <v>5809</v>
      </c>
      <c r="X73" s="3164" t="s">
        <v>5810</v>
      </c>
      <c r="Y73" s="3619">
        <f t="shared" si="16"/>
        <v>2000</v>
      </c>
      <c r="Z73" s="732">
        <f t="shared" si="15"/>
        <v>2000000</v>
      </c>
      <c r="AB73" s="192"/>
    </row>
    <row r="74" spans="1:28" s="250" customFormat="1" ht="19.899999999999999" customHeight="1">
      <c r="A74" s="628"/>
      <c r="B74" s="2229"/>
      <c r="C74" s="1456"/>
      <c r="D74" s="3883" t="s">
        <v>1145</v>
      </c>
      <c r="E74" s="3882"/>
      <c r="F74" s="1192">
        <f>SUM(F75:F76)</f>
        <v>37000</v>
      </c>
      <c r="G74" s="1192">
        <f>SUM(G75:G76)</f>
        <v>37000</v>
      </c>
      <c r="H74" s="940">
        <f t="shared" ref="H74:H77" si="17">F74-G74</f>
        <v>0</v>
      </c>
      <c r="I74" s="682"/>
      <c r="J74" s="3146"/>
      <c r="K74" s="3147"/>
      <c r="L74" s="3147"/>
      <c r="M74" s="3147"/>
      <c r="N74" s="3147"/>
      <c r="O74" s="3147"/>
      <c r="P74" s="3147"/>
      <c r="Q74" s="3147"/>
      <c r="R74" s="3147"/>
      <c r="S74" s="3147"/>
      <c r="T74" s="3147"/>
      <c r="U74" s="3147"/>
      <c r="V74" s="3147"/>
      <c r="W74" s="3147"/>
      <c r="X74" s="3147"/>
      <c r="Y74" s="3148"/>
      <c r="Z74" s="3149"/>
      <c r="AB74" s="192"/>
    </row>
    <row r="75" spans="1:28" s="250" customFormat="1" ht="19.899999999999999" customHeight="1">
      <c r="A75" s="628"/>
      <c r="B75" s="2221"/>
      <c r="C75" s="867"/>
      <c r="D75" s="692"/>
      <c r="E75" s="675" t="s">
        <v>225</v>
      </c>
      <c r="F75" s="736">
        <f>Y75</f>
        <v>36000</v>
      </c>
      <c r="G75" s="678">
        <v>36000</v>
      </c>
      <c r="H75" s="688"/>
      <c r="I75" s="682"/>
      <c r="J75" s="2231" t="s">
        <v>1146</v>
      </c>
      <c r="K75" s="868"/>
      <c r="L75" s="868"/>
      <c r="M75" s="868"/>
      <c r="N75" s="868"/>
      <c r="O75" s="868"/>
      <c r="P75" s="868"/>
      <c r="Q75" s="868">
        <v>6</v>
      </c>
      <c r="R75" s="684" t="s">
        <v>25</v>
      </c>
      <c r="S75" s="868">
        <v>3000000</v>
      </c>
      <c r="T75" s="868" t="s">
        <v>37</v>
      </c>
      <c r="U75" s="868"/>
      <c r="V75" s="868">
        <v>2</v>
      </c>
      <c r="W75" s="868" t="s">
        <v>39</v>
      </c>
      <c r="X75" s="868" t="s">
        <v>38</v>
      </c>
      <c r="Y75" s="871">
        <f>Q75*S75*V75/1000</f>
        <v>36000</v>
      </c>
      <c r="Z75" s="732">
        <f>Q75*S75*V75</f>
        <v>36000000</v>
      </c>
      <c r="AB75" s="192">
        <f t="shared" ref="AB75:AB109" si="18">F75*1000000000</f>
        <v>36000000000000</v>
      </c>
    </row>
    <row r="76" spans="1:28" s="250" customFormat="1" ht="19.899999999999999" customHeight="1">
      <c r="A76" s="628"/>
      <c r="B76" s="2221"/>
      <c r="C76" s="867"/>
      <c r="D76" s="692"/>
      <c r="E76" s="675" t="s">
        <v>451</v>
      </c>
      <c r="F76" s="736">
        <f>Y76</f>
        <v>1000</v>
      </c>
      <c r="G76" s="678">
        <v>1000</v>
      </c>
      <c r="H76" s="688"/>
      <c r="I76" s="682"/>
      <c r="J76" s="2231" t="s">
        <v>1570</v>
      </c>
      <c r="K76" s="868"/>
      <c r="L76" s="868"/>
      <c r="M76" s="868"/>
      <c r="N76" s="868"/>
      <c r="O76" s="868"/>
      <c r="P76" s="868"/>
      <c r="Q76" s="868"/>
      <c r="R76" s="684"/>
      <c r="S76" s="868">
        <v>500000</v>
      </c>
      <c r="T76" s="868" t="s">
        <v>37</v>
      </c>
      <c r="U76" s="868"/>
      <c r="V76" s="868">
        <v>2</v>
      </c>
      <c r="W76" s="868" t="s">
        <v>39</v>
      </c>
      <c r="X76" s="868" t="s">
        <v>38</v>
      </c>
      <c r="Y76" s="871">
        <f>S76*V76/1000</f>
        <v>1000</v>
      </c>
      <c r="Z76" s="732">
        <f t="shared" ref="Z76:Z83" si="19">S76*V76</f>
        <v>1000000</v>
      </c>
      <c r="AB76" s="192">
        <f t="shared" si="18"/>
        <v>1000000000000</v>
      </c>
    </row>
    <row r="77" spans="1:28" s="250" customFormat="1" ht="19.899999999999999" customHeight="1">
      <c r="A77" s="628"/>
      <c r="B77" s="2221"/>
      <c r="C77" s="867"/>
      <c r="D77" s="3882" t="s">
        <v>1147</v>
      </c>
      <c r="E77" s="3882"/>
      <c r="F77" s="2246">
        <f>SUM(F78:F83)</f>
        <v>20000</v>
      </c>
      <c r="G77" s="1192">
        <f>SUM(G78:G83)</f>
        <v>20000</v>
      </c>
      <c r="H77" s="940">
        <f t="shared" si="17"/>
        <v>0</v>
      </c>
      <c r="I77" s="682"/>
      <c r="J77" s="2245"/>
      <c r="K77" s="1010"/>
      <c r="L77" s="1010"/>
      <c r="M77" s="1010"/>
      <c r="N77" s="1010"/>
      <c r="O77" s="1010"/>
      <c r="P77" s="1010"/>
      <c r="Q77" s="1010"/>
      <c r="R77" s="1010"/>
      <c r="S77" s="1010"/>
      <c r="T77" s="1010"/>
      <c r="U77" s="1010"/>
      <c r="V77" s="1010"/>
      <c r="W77" s="1010"/>
      <c r="X77" s="1010"/>
      <c r="Y77" s="965"/>
      <c r="Z77" s="1105"/>
      <c r="AB77" s="192">
        <f t="shared" si="18"/>
        <v>20000000000000</v>
      </c>
    </row>
    <row r="78" spans="1:28" s="250" customFormat="1" ht="19.899999999999999" customHeight="1">
      <c r="A78" s="628"/>
      <c r="B78" s="2221"/>
      <c r="C78" s="867"/>
      <c r="D78" s="692"/>
      <c r="E78" s="675" t="s">
        <v>352</v>
      </c>
      <c r="F78" s="736">
        <f>Y78</f>
        <v>12000</v>
      </c>
      <c r="G78" s="678">
        <v>12000</v>
      </c>
      <c r="H78" s="688"/>
      <c r="I78" s="682"/>
      <c r="J78" s="2231" t="s">
        <v>224</v>
      </c>
      <c r="K78" s="868"/>
      <c r="L78" s="868"/>
      <c r="M78" s="868"/>
      <c r="N78" s="868"/>
      <c r="O78" s="868"/>
      <c r="P78" s="868"/>
      <c r="Q78" s="868"/>
      <c r="R78" s="684"/>
      <c r="S78" s="868"/>
      <c r="T78" s="868"/>
      <c r="U78" s="868"/>
      <c r="V78" s="868"/>
      <c r="W78" s="868"/>
      <c r="X78" s="868"/>
      <c r="Y78" s="871">
        <f>+Y79+Y80+Y81+Y82</f>
        <v>12000</v>
      </c>
      <c r="Z78" s="732">
        <v>12000000</v>
      </c>
      <c r="AB78" s="192">
        <f t="shared" si="18"/>
        <v>12000000000000</v>
      </c>
    </row>
    <row r="79" spans="1:28" s="250" customFormat="1" ht="19.899999999999999" customHeight="1">
      <c r="A79" s="628"/>
      <c r="B79" s="2221"/>
      <c r="C79" s="867"/>
      <c r="D79" s="692"/>
      <c r="E79" s="675"/>
      <c r="F79" s="736"/>
      <c r="G79" s="678"/>
      <c r="H79" s="688"/>
      <c r="I79" s="682"/>
      <c r="J79" s="2231" t="s">
        <v>1650</v>
      </c>
      <c r="K79" s="868"/>
      <c r="L79" s="868"/>
      <c r="M79" s="868"/>
      <c r="N79" s="868"/>
      <c r="O79" s="868"/>
      <c r="P79" s="868"/>
      <c r="Q79" s="2140"/>
      <c r="R79" s="2140"/>
      <c r="S79" s="868">
        <v>1000000</v>
      </c>
      <c r="T79" s="868" t="s">
        <v>37</v>
      </c>
      <c r="U79" s="868"/>
      <c r="V79" s="868">
        <v>2</v>
      </c>
      <c r="W79" s="684" t="s">
        <v>259</v>
      </c>
      <c r="X79" s="868" t="s">
        <v>38</v>
      </c>
      <c r="Y79" s="871">
        <f>S79*V79/1000</f>
        <v>2000</v>
      </c>
      <c r="Z79" s="732">
        <f t="shared" si="19"/>
        <v>2000000</v>
      </c>
      <c r="AB79" s="192">
        <f t="shared" si="18"/>
        <v>0</v>
      </c>
    </row>
    <row r="80" spans="1:28" s="250" customFormat="1" ht="19.899999999999999" customHeight="1">
      <c r="A80" s="628"/>
      <c r="B80" s="2221"/>
      <c r="C80" s="867"/>
      <c r="D80" s="692"/>
      <c r="E80" s="675"/>
      <c r="F80" s="736"/>
      <c r="G80" s="678"/>
      <c r="H80" s="688"/>
      <c r="I80" s="682"/>
      <c r="J80" s="2231" t="s">
        <v>1651</v>
      </c>
      <c r="K80" s="868"/>
      <c r="L80" s="868"/>
      <c r="M80" s="868"/>
      <c r="N80" s="868"/>
      <c r="O80" s="868"/>
      <c r="P80" s="868"/>
      <c r="Q80" s="2140"/>
      <c r="R80" s="2140"/>
      <c r="S80" s="868">
        <v>1500000</v>
      </c>
      <c r="T80" s="868" t="s">
        <v>37</v>
      </c>
      <c r="U80" s="868"/>
      <c r="V80" s="868">
        <v>2</v>
      </c>
      <c r="W80" s="684" t="s">
        <v>259</v>
      </c>
      <c r="X80" s="868" t="s">
        <v>38</v>
      </c>
      <c r="Y80" s="871">
        <f t="shared" ref="Y80:Y83" si="20">S80*V80/1000</f>
        <v>3000</v>
      </c>
      <c r="Z80" s="732">
        <f t="shared" si="19"/>
        <v>3000000</v>
      </c>
      <c r="AB80" s="192">
        <f t="shared" si="18"/>
        <v>0</v>
      </c>
    </row>
    <row r="81" spans="1:28" s="250" customFormat="1" ht="19.899999999999999" customHeight="1">
      <c r="A81" s="628"/>
      <c r="B81" s="2221"/>
      <c r="C81" s="867"/>
      <c r="D81" s="692"/>
      <c r="E81" s="675"/>
      <c r="F81" s="736"/>
      <c r="G81" s="678"/>
      <c r="H81" s="688"/>
      <c r="I81" s="682"/>
      <c r="J81" s="2231" t="s">
        <v>1652</v>
      </c>
      <c r="K81" s="868"/>
      <c r="L81" s="868"/>
      <c r="M81" s="868"/>
      <c r="N81" s="868"/>
      <c r="O81" s="868"/>
      <c r="P81" s="868"/>
      <c r="Q81" s="2140"/>
      <c r="R81" s="2140"/>
      <c r="S81" s="868">
        <v>2000000</v>
      </c>
      <c r="T81" s="868" t="s">
        <v>37</v>
      </c>
      <c r="U81" s="868"/>
      <c r="V81" s="868">
        <v>1</v>
      </c>
      <c r="W81" s="684" t="s">
        <v>259</v>
      </c>
      <c r="X81" s="868" t="s">
        <v>38</v>
      </c>
      <c r="Y81" s="871">
        <f t="shared" si="20"/>
        <v>2000</v>
      </c>
      <c r="Z81" s="732">
        <f t="shared" si="19"/>
        <v>2000000</v>
      </c>
      <c r="AB81" s="192">
        <f t="shared" si="18"/>
        <v>0</v>
      </c>
    </row>
    <row r="82" spans="1:28" s="250" customFormat="1" ht="19.899999999999999" customHeight="1">
      <c r="A82" s="628"/>
      <c r="B82" s="2221"/>
      <c r="C82" s="867"/>
      <c r="D82" s="692"/>
      <c r="E82" s="675"/>
      <c r="F82" s="736"/>
      <c r="G82" s="678"/>
      <c r="H82" s="688"/>
      <c r="I82" s="682"/>
      <c r="J82" s="2231" t="s">
        <v>1653</v>
      </c>
      <c r="K82" s="868"/>
      <c r="L82" s="868"/>
      <c r="M82" s="868"/>
      <c r="N82" s="868"/>
      <c r="O82" s="868"/>
      <c r="P82" s="868"/>
      <c r="Q82" s="2140"/>
      <c r="R82" s="2140"/>
      <c r="S82" s="868">
        <v>2500000</v>
      </c>
      <c r="T82" s="868" t="s">
        <v>37</v>
      </c>
      <c r="U82" s="868"/>
      <c r="V82" s="868">
        <v>2</v>
      </c>
      <c r="W82" s="684" t="s">
        <v>259</v>
      </c>
      <c r="X82" s="868" t="s">
        <v>38</v>
      </c>
      <c r="Y82" s="871">
        <f t="shared" si="20"/>
        <v>5000</v>
      </c>
      <c r="Z82" s="732">
        <f t="shared" si="19"/>
        <v>5000000</v>
      </c>
      <c r="AB82" s="192">
        <f t="shared" si="18"/>
        <v>0</v>
      </c>
    </row>
    <row r="83" spans="1:28" ht="19.899999999999999" customHeight="1">
      <c r="A83" s="628"/>
      <c r="B83" s="2221"/>
      <c r="C83" s="867"/>
      <c r="D83" s="692"/>
      <c r="E83" s="675" t="s">
        <v>225</v>
      </c>
      <c r="F83" s="736">
        <f>Y83</f>
        <v>8000</v>
      </c>
      <c r="G83" s="678">
        <v>8000</v>
      </c>
      <c r="H83" s="688"/>
      <c r="I83" s="682"/>
      <c r="J83" s="2231" t="s">
        <v>1148</v>
      </c>
      <c r="K83" s="868"/>
      <c r="L83" s="868"/>
      <c r="M83" s="868"/>
      <c r="N83" s="868"/>
      <c r="O83" s="868"/>
      <c r="P83" s="868"/>
      <c r="Q83" s="868"/>
      <c r="R83" s="868"/>
      <c r="S83" s="868">
        <v>4000000</v>
      </c>
      <c r="T83" s="868" t="s">
        <v>37</v>
      </c>
      <c r="U83" s="868"/>
      <c r="V83" s="868">
        <v>2</v>
      </c>
      <c r="W83" s="684" t="s">
        <v>259</v>
      </c>
      <c r="X83" s="868" t="s">
        <v>38</v>
      </c>
      <c r="Y83" s="871">
        <f t="shared" si="20"/>
        <v>8000</v>
      </c>
      <c r="Z83" s="1114">
        <f t="shared" si="19"/>
        <v>8000000</v>
      </c>
      <c r="AB83" s="192">
        <f t="shared" si="18"/>
        <v>8000000000000</v>
      </c>
    </row>
    <row r="84" spans="1:28" ht="22.9" customHeight="1">
      <c r="A84" s="623"/>
      <c r="B84" s="563"/>
      <c r="C84" s="3872" t="s">
        <v>1149</v>
      </c>
      <c r="D84" s="3830"/>
      <c r="E84" s="3831"/>
      <c r="F84" s="1988">
        <f>F85+F104</f>
        <v>150000</v>
      </c>
      <c r="G84" s="1988">
        <f>G85+G104</f>
        <v>150000</v>
      </c>
      <c r="H84" s="984">
        <f>+F84-G84</f>
        <v>0</v>
      </c>
      <c r="I84" s="682"/>
      <c r="J84" s="1535"/>
      <c r="K84" s="1536"/>
      <c r="L84" s="1536"/>
      <c r="M84" s="1536"/>
      <c r="N84" s="1536"/>
      <c r="O84" s="1536"/>
      <c r="P84" s="1536"/>
      <c r="Q84" s="1009"/>
      <c r="R84" s="1990"/>
      <c r="S84" s="1010"/>
      <c r="T84" s="1084"/>
      <c r="U84" s="1084"/>
      <c r="V84" s="1084"/>
      <c r="W84" s="1084"/>
      <c r="X84" s="1538"/>
      <c r="Y84" s="965"/>
      <c r="Z84" s="732"/>
      <c r="AB84" s="192">
        <f t="shared" si="18"/>
        <v>150000000000000</v>
      </c>
    </row>
    <row r="85" spans="1:28" ht="22.9" customHeight="1">
      <c r="A85" s="623"/>
      <c r="B85" s="563"/>
      <c r="C85" s="1379"/>
      <c r="D85" s="3840" t="s">
        <v>1152</v>
      </c>
      <c r="E85" s="3841"/>
      <c r="F85" s="2040">
        <f>SUM(F86:F103)</f>
        <v>140000</v>
      </c>
      <c r="G85" s="2040">
        <f>SUM(G86:G103)</f>
        <v>140000</v>
      </c>
      <c r="H85" s="929">
        <f>F85-G85</f>
        <v>0</v>
      </c>
      <c r="I85" s="682"/>
      <c r="J85" s="1234"/>
      <c r="K85" s="2115"/>
      <c r="L85" s="2115"/>
      <c r="M85" s="2115"/>
      <c r="N85" s="2115"/>
      <c r="O85" s="2115"/>
      <c r="P85" s="2115"/>
      <c r="Q85" s="2115"/>
      <c r="R85" s="988"/>
      <c r="S85" s="2115"/>
      <c r="T85" s="988"/>
      <c r="U85" s="988"/>
      <c r="V85" s="988"/>
      <c r="W85" s="2115"/>
      <c r="X85" s="2115"/>
      <c r="Y85" s="929"/>
      <c r="Z85" s="1105"/>
      <c r="AB85" s="192">
        <f t="shared" si="18"/>
        <v>140000000000000</v>
      </c>
    </row>
    <row r="86" spans="1:28" ht="22.9" customHeight="1">
      <c r="A86" s="623"/>
      <c r="B86" s="563"/>
      <c r="C86" s="1379"/>
      <c r="D86" s="675"/>
      <c r="E86" s="3170" t="s">
        <v>772</v>
      </c>
      <c r="F86" s="678">
        <f>Y86</f>
        <v>2000</v>
      </c>
      <c r="G86" s="678">
        <v>2000</v>
      </c>
      <c r="H86" s="688"/>
      <c r="I86" s="3016"/>
      <c r="J86" s="2231" t="s">
        <v>4456</v>
      </c>
      <c r="K86" s="3164"/>
      <c r="L86" s="3164"/>
      <c r="M86" s="3164"/>
      <c r="N86" s="3164"/>
      <c r="O86" s="3164"/>
      <c r="P86" s="3164"/>
      <c r="Q86" s="3164"/>
      <c r="R86" s="3164"/>
      <c r="S86" s="3164">
        <v>400000</v>
      </c>
      <c r="T86" s="3164" t="s">
        <v>4457</v>
      </c>
      <c r="U86" s="3164"/>
      <c r="V86" s="3164">
        <v>5</v>
      </c>
      <c r="W86" s="3164" t="s">
        <v>4458</v>
      </c>
      <c r="X86" s="3164" t="s">
        <v>4459</v>
      </c>
      <c r="Y86" s="871">
        <f>S86*V86/1000</f>
        <v>2000</v>
      </c>
      <c r="Z86" s="732">
        <f>SUM(Y86*1000)</f>
        <v>2000000</v>
      </c>
      <c r="AB86" s="192"/>
    </row>
    <row r="87" spans="1:28" ht="22.9" customHeight="1">
      <c r="A87" s="623"/>
      <c r="B87" s="563"/>
      <c r="C87" s="1379"/>
      <c r="D87" s="675"/>
      <c r="E87" s="3170" t="s">
        <v>445</v>
      </c>
      <c r="F87" s="678">
        <f t="shared" ref="F87" si="21">Y87</f>
        <v>1000</v>
      </c>
      <c r="G87" s="678">
        <v>1000</v>
      </c>
      <c r="H87" s="688"/>
      <c r="I87" s="3016"/>
      <c r="J87" s="2231" t="s">
        <v>4460</v>
      </c>
      <c r="K87" s="3164"/>
      <c r="L87" s="3164"/>
      <c r="M87" s="3164"/>
      <c r="N87" s="3164"/>
      <c r="O87" s="3164"/>
      <c r="P87" s="3164"/>
      <c r="Q87" s="3164"/>
      <c r="R87" s="3164"/>
      <c r="S87" s="3164">
        <v>200000</v>
      </c>
      <c r="T87" s="3164" t="s">
        <v>4457</v>
      </c>
      <c r="U87" s="3164"/>
      <c r="V87" s="3164">
        <v>5</v>
      </c>
      <c r="W87" s="3164" t="s">
        <v>4458</v>
      </c>
      <c r="X87" s="3164" t="s">
        <v>4459</v>
      </c>
      <c r="Y87" s="871">
        <f>S87*V87/1000</f>
        <v>1000</v>
      </c>
      <c r="Z87" s="732">
        <f>SUM(Y87*1000)</f>
        <v>1000000</v>
      </c>
      <c r="AB87" s="192"/>
    </row>
    <row r="88" spans="1:28" ht="22.9" customHeight="1">
      <c r="A88" s="623"/>
      <c r="B88" s="563"/>
      <c r="C88" s="1379"/>
      <c r="D88" s="1083"/>
      <c r="E88" s="3170" t="s">
        <v>792</v>
      </c>
      <c r="F88" s="678">
        <f>Y88</f>
        <v>5000</v>
      </c>
      <c r="G88" s="678">
        <v>5000</v>
      </c>
      <c r="H88" s="688"/>
      <c r="I88" s="3016"/>
      <c r="J88" s="2231" t="s">
        <v>4461</v>
      </c>
      <c r="K88" s="3164"/>
      <c r="L88" s="3164"/>
      <c r="M88" s="3164"/>
      <c r="N88" s="3164"/>
      <c r="O88" s="3164"/>
      <c r="P88" s="3164"/>
      <c r="Q88" s="3164"/>
      <c r="R88" s="3164"/>
      <c r="S88" s="3164">
        <v>1000000</v>
      </c>
      <c r="T88" s="3164" t="s">
        <v>4457</v>
      </c>
      <c r="U88" s="3164"/>
      <c r="V88" s="3164">
        <v>5</v>
      </c>
      <c r="W88" s="3164" t="s">
        <v>4458</v>
      </c>
      <c r="X88" s="3164" t="s">
        <v>4459</v>
      </c>
      <c r="Y88" s="871">
        <f>S88*V88/1000</f>
        <v>5000</v>
      </c>
      <c r="Z88" s="732">
        <f t="shared" ref="Z88:Z103" si="22">SUM(Y88*1000)</f>
        <v>5000000</v>
      </c>
      <c r="AB88" s="192"/>
    </row>
    <row r="89" spans="1:28" ht="22.9" customHeight="1">
      <c r="A89" s="623"/>
      <c r="B89" s="563"/>
      <c r="C89" s="1379"/>
      <c r="D89" s="675"/>
      <c r="E89" s="3170" t="s">
        <v>380</v>
      </c>
      <c r="F89" s="678">
        <f>Y89</f>
        <v>2800</v>
      </c>
      <c r="G89" s="678">
        <v>2800</v>
      </c>
      <c r="H89" s="688"/>
      <c r="I89" s="3016"/>
      <c r="J89" s="2231" t="s">
        <v>4462</v>
      </c>
      <c r="K89" s="3164"/>
      <c r="L89" s="3164"/>
      <c r="M89" s="3164"/>
      <c r="N89" s="3164"/>
      <c r="O89" s="3164"/>
      <c r="P89" s="3164"/>
      <c r="Q89" s="3164">
        <v>2</v>
      </c>
      <c r="R89" s="3164" t="s">
        <v>4463</v>
      </c>
      <c r="S89" s="3164">
        <v>200000</v>
      </c>
      <c r="T89" s="3164" t="s">
        <v>4457</v>
      </c>
      <c r="U89" s="3164"/>
      <c r="V89" s="3164">
        <v>7</v>
      </c>
      <c r="W89" s="3164" t="s">
        <v>4464</v>
      </c>
      <c r="X89" s="3164" t="s">
        <v>4459</v>
      </c>
      <c r="Y89" s="871">
        <f>SUM(Q89*S89*V89/1000)</f>
        <v>2800</v>
      </c>
      <c r="Z89" s="732">
        <f t="shared" si="22"/>
        <v>2800000</v>
      </c>
      <c r="AB89" s="192"/>
    </row>
    <row r="90" spans="1:28" ht="22.9" customHeight="1">
      <c r="A90" s="623"/>
      <c r="B90" s="563"/>
      <c r="C90" s="1379"/>
      <c r="D90" s="675"/>
      <c r="E90" s="3170" t="s">
        <v>790</v>
      </c>
      <c r="F90" s="678">
        <f>Y90</f>
        <v>35000</v>
      </c>
      <c r="G90" s="678">
        <v>35000</v>
      </c>
      <c r="H90" s="688"/>
      <c r="I90" s="3016"/>
      <c r="J90" s="2231" t="s">
        <v>4432</v>
      </c>
      <c r="K90" s="3164"/>
      <c r="L90" s="3164"/>
      <c r="M90" s="3164"/>
      <c r="N90" s="3164"/>
      <c r="O90" s="3164"/>
      <c r="P90" s="3164"/>
      <c r="Q90" s="3164"/>
      <c r="R90" s="3164"/>
      <c r="S90" s="3164"/>
      <c r="T90" s="3164"/>
      <c r="U90" s="3164"/>
      <c r="V90" s="3164"/>
      <c r="W90" s="3164"/>
      <c r="X90" s="3164"/>
      <c r="Y90" s="871">
        <f>SUM(Y91:Y92)</f>
        <v>35000</v>
      </c>
      <c r="Z90" s="732">
        <f t="shared" si="22"/>
        <v>35000000</v>
      </c>
      <c r="AB90" s="192"/>
    </row>
    <row r="91" spans="1:28" ht="22.9" customHeight="1">
      <c r="A91" s="623"/>
      <c r="B91" s="563"/>
      <c r="C91" s="1379"/>
      <c r="D91" s="675"/>
      <c r="E91" s="3264"/>
      <c r="F91" s="678"/>
      <c r="G91" s="3262"/>
      <c r="H91" s="3265"/>
      <c r="I91" s="3016"/>
      <c r="J91" s="2231" t="s">
        <v>4465</v>
      </c>
      <c r="K91" s="3164"/>
      <c r="L91" s="3164"/>
      <c r="M91" s="3164"/>
      <c r="N91" s="3164"/>
      <c r="O91" s="3164"/>
      <c r="P91" s="3164"/>
      <c r="Q91" s="3164"/>
      <c r="R91" s="3164"/>
      <c r="S91" s="3164">
        <v>20000000</v>
      </c>
      <c r="T91" s="3164" t="s">
        <v>4457</v>
      </c>
      <c r="U91" s="3164"/>
      <c r="V91" s="3164">
        <v>1</v>
      </c>
      <c r="W91" s="3164" t="s">
        <v>4458</v>
      </c>
      <c r="X91" s="3164" t="s">
        <v>4459</v>
      </c>
      <c r="Y91" s="871">
        <f t="shared" ref="Y91:Y92" si="23">S91*V91/1000</f>
        <v>20000</v>
      </c>
      <c r="Z91" s="732">
        <f t="shared" si="22"/>
        <v>20000000</v>
      </c>
      <c r="AB91" s="192"/>
    </row>
    <row r="92" spans="1:28" ht="22.9" customHeight="1">
      <c r="A92" s="623"/>
      <c r="B92" s="563"/>
      <c r="C92" s="1379"/>
      <c r="D92" s="675"/>
      <c r="E92" s="3170"/>
      <c r="F92" s="678"/>
      <c r="G92" s="678"/>
      <c r="H92" s="688"/>
      <c r="I92" s="3016"/>
      <c r="J92" s="2231" t="s">
        <v>4466</v>
      </c>
      <c r="K92" s="3164"/>
      <c r="L92" s="3164"/>
      <c r="M92" s="3164"/>
      <c r="N92" s="3164"/>
      <c r="O92" s="3164"/>
      <c r="P92" s="3164"/>
      <c r="Q92" s="3164"/>
      <c r="R92" s="3164"/>
      <c r="S92" s="3164">
        <v>15000000</v>
      </c>
      <c r="T92" s="3164" t="s">
        <v>4457</v>
      </c>
      <c r="U92" s="3164"/>
      <c r="V92" s="3164">
        <v>1</v>
      </c>
      <c r="W92" s="3164" t="s">
        <v>4458</v>
      </c>
      <c r="X92" s="3164" t="s">
        <v>4459</v>
      </c>
      <c r="Y92" s="871">
        <f t="shared" si="23"/>
        <v>15000</v>
      </c>
      <c r="Z92" s="732">
        <f t="shared" si="22"/>
        <v>15000000</v>
      </c>
      <c r="AB92" s="192"/>
    </row>
    <row r="93" spans="1:28" ht="22.9" customHeight="1">
      <c r="A93" s="623"/>
      <c r="B93" s="563"/>
      <c r="C93" s="1379"/>
      <c r="D93" s="675"/>
      <c r="E93" s="3170" t="s">
        <v>451</v>
      </c>
      <c r="F93" s="678">
        <v>80200</v>
      </c>
      <c r="G93" s="678">
        <v>80200</v>
      </c>
      <c r="H93" s="865"/>
      <c r="I93" s="3016"/>
      <c r="J93" s="2231" t="s">
        <v>4432</v>
      </c>
      <c r="K93" s="3164"/>
      <c r="L93" s="3164"/>
      <c r="M93" s="3164"/>
      <c r="N93" s="3164"/>
      <c r="O93" s="3164"/>
      <c r="P93" s="3164"/>
      <c r="Q93" s="3164"/>
      <c r="R93" s="3164"/>
      <c r="S93" s="3164"/>
      <c r="T93" s="3164"/>
      <c r="U93" s="3164"/>
      <c r="V93" s="3164"/>
      <c r="W93" s="3164"/>
      <c r="X93" s="3164"/>
      <c r="Y93" s="871">
        <f>SUM(Y94:Y101)</f>
        <v>93200</v>
      </c>
      <c r="Z93" s="732">
        <f t="shared" si="22"/>
        <v>93200000</v>
      </c>
      <c r="AB93" s="192"/>
    </row>
    <row r="94" spans="1:28" ht="22.9" customHeight="1">
      <c r="A94" s="623"/>
      <c r="B94" s="563"/>
      <c r="C94" s="1379"/>
      <c r="D94" s="675"/>
      <c r="E94" s="3170"/>
      <c r="F94" s="678"/>
      <c r="G94" s="678"/>
      <c r="H94" s="688"/>
      <c r="I94" s="3016"/>
      <c r="J94" s="2231" t="s">
        <v>4467</v>
      </c>
      <c r="K94" s="3164"/>
      <c r="L94" s="3164"/>
      <c r="M94" s="3164"/>
      <c r="N94" s="3164"/>
      <c r="O94" s="3164"/>
      <c r="P94" s="3164"/>
      <c r="Q94" s="3164"/>
      <c r="R94" s="3164"/>
      <c r="S94" s="3164">
        <v>15000000</v>
      </c>
      <c r="T94" s="3164" t="s">
        <v>4457</v>
      </c>
      <c r="U94" s="3164"/>
      <c r="V94" s="3164">
        <v>1</v>
      </c>
      <c r="W94" s="3164" t="s">
        <v>4458</v>
      </c>
      <c r="X94" s="3164" t="s">
        <v>4459</v>
      </c>
      <c r="Y94" s="871">
        <f t="shared" ref="Y94:Y100" si="24">S94*V94/1000</f>
        <v>15000</v>
      </c>
      <c r="Z94" s="732">
        <f t="shared" si="22"/>
        <v>15000000</v>
      </c>
      <c r="AB94" s="192"/>
    </row>
    <row r="95" spans="1:28" ht="22.9" customHeight="1">
      <c r="A95" s="623"/>
      <c r="B95" s="563"/>
      <c r="C95" s="1379"/>
      <c r="D95" s="675"/>
      <c r="E95" s="3170"/>
      <c r="F95" s="678"/>
      <c r="G95" s="678"/>
      <c r="H95" s="688"/>
      <c r="I95" s="3016"/>
      <c r="J95" s="2231" t="s">
        <v>4468</v>
      </c>
      <c r="K95" s="3164"/>
      <c r="L95" s="3164"/>
      <c r="M95" s="3164"/>
      <c r="N95" s="3164"/>
      <c r="O95" s="3164"/>
      <c r="P95" s="3164"/>
      <c r="Q95" s="3164"/>
      <c r="R95" s="3164"/>
      <c r="S95" s="3164">
        <v>12000000</v>
      </c>
      <c r="T95" s="3164" t="s">
        <v>4457</v>
      </c>
      <c r="U95" s="3164"/>
      <c r="V95" s="3164">
        <v>1</v>
      </c>
      <c r="W95" s="3164" t="s">
        <v>4458</v>
      </c>
      <c r="X95" s="3164" t="s">
        <v>4459</v>
      </c>
      <c r="Y95" s="871">
        <f t="shared" si="24"/>
        <v>12000</v>
      </c>
      <c r="Z95" s="732">
        <f t="shared" si="22"/>
        <v>12000000</v>
      </c>
      <c r="AB95" s="192"/>
    </row>
    <row r="96" spans="1:28" ht="22.9" customHeight="1">
      <c r="A96" s="623"/>
      <c r="B96" s="563"/>
      <c r="C96" s="1379"/>
      <c r="D96" s="675"/>
      <c r="E96" s="3170"/>
      <c r="F96" s="678"/>
      <c r="G96" s="678"/>
      <c r="H96" s="688"/>
      <c r="I96" s="3016"/>
      <c r="J96" s="2231" t="s">
        <v>4469</v>
      </c>
      <c r="K96" s="3164"/>
      <c r="L96" s="3164"/>
      <c r="M96" s="3164"/>
      <c r="N96" s="3164"/>
      <c r="O96" s="3164"/>
      <c r="P96" s="3164"/>
      <c r="Q96" s="3164"/>
      <c r="R96" s="3164"/>
      <c r="S96" s="3164">
        <v>2550000</v>
      </c>
      <c r="T96" s="3164" t="s">
        <v>4457</v>
      </c>
      <c r="U96" s="3164"/>
      <c r="V96" s="3164">
        <v>4</v>
      </c>
      <c r="W96" s="3164" t="s">
        <v>4458</v>
      </c>
      <c r="X96" s="3164" t="s">
        <v>4459</v>
      </c>
      <c r="Y96" s="871">
        <f t="shared" si="24"/>
        <v>10200</v>
      </c>
      <c r="Z96" s="732">
        <f t="shared" si="22"/>
        <v>10200000</v>
      </c>
      <c r="AB96" s="192"/>
    </row>
    <row r="97" spans="1:30" ht="22.9" customHeight="1">
      <c r="A97" s="623"/>
      <c r="B97" s="563"/>
      <c r="C97" s="1379"/>
      <c r="D97" s="675"/>
      <c r="E97" s="3170"/>
      <c r="F97" s="678"/>
      <c r="G97" s="678"/>
      <c r="H97" s="688"/>
      <c r="I97" s="3016"/>
      <c r="J97" s="2231" t="s">
        <v>4470</v>
      </c>
      <c r="K97" s="3164"/>
      <c r="L97" s="3164"/>
      <c r="M97" s="3164"/>
      <c r="N97" s="3164"/>
      <c r="O97" s="3164"/>
      <c r="P97" s="3164"/>
      <c r="Q97" s="3164"/>
      <c r="R97" s="3164"/>
      <c r="S97" s="3164">
        <v>5000000</v>
      </c>
      <c r="T97" s="3164" t="s">
        <v>4457</v>
      </c>
      <c r="U97" s="3164"/>
      <c r="V97" s="3164">
        <v>2</v>
      </c>
      <c r="W97" s="3164" t="s">
        <v>4458</v>
      </c>
      <c r="X97" s="3164" t="s">
        <v>4459</v>
      </c>
      <c r="Y97" s="871">
        <f t="shared" si="24"/>
        <v>10000</v>
      </c>
      <c r="Z97" s="732">
        <f t="shared" si="22"/>
        <v>10000000</v>
      </c>
      <c r="AB97" s="192"/>
    </row>
    <row r="98" spans="1:30" ht="22.9" customHeight="1">
      <c r="A98" s="623"/>
      <c r="B98" s="563"/>
      <c r="C98" s="1379"/>
      <c r="D98" s="675"/>
      <c r="E98" s="3170"/>
      <c r="F98" s="678"/>
      <c r="G98" s="678"/>
      <c r="H98" s="688"/>
      <c r="I98" s="3016"/>
      <c r="J98" s="2231" t="s">
        <v>4471</v>
      </c>
      <c r="K98" s="3164"/>
      <c r="L98" s="3164"/>
      <c r="M98" s="3164"/>
      <c r="N98" s="3164"/>
      <c r="O98" s="3164"/>
      <c r="P98" s="3164"/>
      <c r="Q98" s="3164"/>
      <c r="R98" s="3164"/>
      <c r="S98" s="3164">
        <v>20000000</v>
      </c>
      <c r="T98" s="3164" t="s">
        <v>4457</v>
      </c>
      <c r="U98" s="3164"/>
      <c r="V98" s="3164">
        <v>1</v>
      </c>
      <c r="W98" s="3164" t="s">
        <v>4472</v>
      </c>
      <c r="X98" s="3164" t="s">
        <v>4459</v>
      </c>
      <c r="Y98" s="871">
        <f t="shared" si="24"/>
        <v>20000</v>
      </c>
      <c r="Z98" s="732">
        <f t="shared" si="22"/>
        <v>20000000</v>
      </c>
      <c r="AB98" s="192"/>
    </row>
    <row r="99" spans="1:30" ht="22.9" customHeight="1">
      <c r="A99" s="623"/>
      <c r="B99" s="563"/>
      <c r="C99" s="1379"/>
      <c r="D99" s="675"/>
      <c r="E99" s="3170"/>
      <c r="F99" s="678"/>
      <c r="G99" s="678"/>
      <c r="H99" s="688"/>
      <c r="I99" s="3016"/>
      <c r="J99" s="2231" t="s">
        <v>4473</v>
      </c>
      <c r="K99" s="3164"/>
      <c r="L99" s="3164"/>
      <c r="M99" s="3164"/>
      <c r="N99" s="3164"/>
      <c r="O99" s="3164"/>
      <c r="P99" s="3164"/>
      <c r="Q99" s="3164"/>
      <c r="R99" s="3164"/>
      <c r="S99" s="3164">
        <v>50000</v>
      </c>
      <c r="T99" s="3164" t="s">
        <v>4457</v>
      </c>
      <c r="U99" s="3164"/>
      <c r="V99" s="3164">
        <v>20</v>
      </c>
      <c r="W99" s="3164" t="s">
        <v>4431</v>
      </c>
      <c r="X99" s="3164" t="s">
        <v>4459</v>
      </c>
      <c r="Y99" s="871">
        <f t="shared" si="24"/>
        <v>1000</v>
      </c>
      <c r="Z99" s="732">
        <f t="shared" si="22"/>
        <v>1000000</v>
      </c>
      <c r="AB99" s="192"/>
    </row>
    <row r="100" spans="1:30" ht="22.9" customHeight="1">
      <c r="A100" s="623"/>
      <c r="B100" s="563"/>
      <c r="C100" s="1379"/>
      <c r="D100" s="675"/>
      <c r="E100" s="3170"/>
      <c r="F100" s="678"/>
      <c r="G100" s="678"/>
      <c r="H100" s="688"/>
      <c r="I100" s="3016"/>
      <c r="J100" s="2231" t="s">
        <v>4474</v>
      </c>
      <c r="K100" s="3164"/>
      <c r="L100" s="3164"/>
      <c r="M100" s="3164"/>
      <c r="N100" s="3164"/>
      <c r="O100" s="3164"/>
      <c r="P100" s="3164"/>
      <c r="Q100" s="3164"/>
      <c r="R100" s="3164"/>
      <c r="S100" s="3164">
        <v>1250000</v>
      </c>
      <c r="T100" s="3164" t="s">
        <v>4457</v>
      </c>
      <c r="U100" s="3164"/>
      <c r="V100" s="3164">
        <v>4</v>
      </c>
      <c r="W100" s="3164" t="s">
        <v>4431</v>
      </c>
      <c r="X100" s="3164" t="s">
        <v>4459</v>
      </c>
      <c r="Y100" s="871">
        <f t="shared" si="24"/>
        <v>5000</v>
      </c>
      <c r="Z100" s="732">
        <f t="shared" si="22"/>
        <v>5000000</v>
      </c>
      <c r="AB100" s="192"/>
    </row>
    <row r="101" spans="1:30" ht="22.9" customHeight="1">
      <c r="A101" s="623"/>
      <c r="B101" s="563"/>
      <c r="C101" s="1379"/>
      <c r="D101" s="675"/>
      <c r="E101" s="3170"/>
      <c r="F101" s="678"/>
      <c r="G101" s="678"/>
      <c r="H101" s="688"/>
      <c r="I101" s="3016"/>
      <c r="J101" s="2231" t="s">
        <v>4475</v>
      </c>
      <c r="K101" s="3164"/>
      <c r="L101" s="3164"/>
      <c r="M101" s="3164"/>
      <c r="N101" s="3164"/>
      <c r="O101" s="3164"/>
      <c r="P101" s="3164"/>
      <c r="Q101" s="3164"/>
      <c r="R101" s="3164"/>
      <c r="S101" s="3164">
        <v>20000000</v>
      </c>
      <c r="T101" s="3164" t="s">
        <v>4457</v>
      </c>
      <c r="U101" s="3164"/>
      <c r="V101" s="3164">
        <v>1</v>
      </c>
      <c r="W101" s="3164" t="s">
        <v>4433</v>
      </c>
      <c r="X101" s="3164" t="s">
        <v>4443</v>
      </c>
      <c r="Y101" s="871">
        <f>SUM(S101*V101/1000)</f>
        <v>20000</v>
      </c>
      <c r="Z101" s="732">
        <f t="shared" si="22"/>
        <v>20000000</v>
      </c>
      <c r="AB101" s="192"/>
    </row>
    <row r="102" spans="1:30" ht="22.9" customHeight="1">
      <c r="A102" s="623"/>
      <c r="B102" s="563"/>
      <c r="C102" s="1379"/>
      <c r="D102" s="675"/>
      <c r="E102" s="3170" t="s">
        <v>278</v>
      </c>
      <c r="F102" s="678">
        <v>13000</v>
      </c>
      <c r="G102" s="678">
        <v>13000</v>
      </c>
      <c r="H102" s="688"/>
      <c r="I102" s="3016"/>
      <c r="J102" s="2231" t="s">
        <v>4476</v>
      </c>
      <c r="K102" s="3164"/>
      <c r="L102" s="3164"/>
      <c r="M102" s="3164"/>
      <c r="N102" s="3164"/>
      <c r="O102" s="3164"/>
      <c r="P102" s="3164"/>
      <c r="Q102" s="3164"/>
      <c r="R102" s="3164"/>
      <c r="S102" s="3164">
        <v>2166666</v>
      </c>
      <c r="T102" s="3164" t="s">
        <v>4457</v>
      </c>
      <c r="U102" s="3164"/>
      <c r="V102" s="3164">
        <v>6</v>
      </c>
      <c r="W102" s="3164" t="s">
        <v>4477</v>
      </c>
      <c r="X102" s="3164" t="s">
        <v>4443</v>
      </c>
      <c r="Y102" s="871">
        <f>SUM(S102*V102/1000)</f>
        <v>12999.995999999999</v>
      </c>
      <c r="Z102" s="732"/>
      <c r="AB102" s="192"/>
    </row>
    <row r="103" spans="1:30" ht="22.9" customHeight="1">
      <c r="A103" s="623"/>
      <c r="B103" s="563"/>
      <c r="C103" s="1379"/>
      <c r="D103" s="675"/>
      <c r="E103" s="3238" t="s">
        <v>791</v>
      </c>
      <c r="F103" s="2040">
        <f>Y103</f>
        <v>1000</v>
      </c>
      <c r="G103" s="2040">
        <v>1000</v>
      </c>
      <c r="H103" s="929"/>
      <c r="I103" s="3016"/>
      <c r="J103" s="3233" t="s">
        <v>4478</v>
      </c>
      <c r="K103" s="3234"/>
      <c r="L103" s="3234"/>
      <c r="M103" s="3234"/>
      <c r="N103" s="3234"/>
      <c r="O103" s="3234"/>
      <c r="P103" s="792"/>
      <c r="Q103" s="3266"/>
      <c r="R103" s="736"/>
      <c r="S103" s="3164">
        <v>100000</v>
      </c>
      <c r="T103" s="3164" t="s">
        <v>4457</v>
      </c>
      <c r="U103" s="729"/>
      <c r="V103" s="3164">
        <v>10</v>
      </c>
      <c r="W103" s="3164" t="s">
        <v>4458</v>
      </c>
      <c r="X103" s="3234" t="s">
        <v>4459</v>
      </c>
      <c r="Y103" s="871">
        <f>SUM(S103*V103/1000)</f>
        <v>1000</v>
      </c>
      <c r="Z103" s="1114">
        <f t="shared" si="22"/>
        <v>1000000</v>
      </c>
      <c r="AB103" s="192"/>
    </row>
    <row r="104" spans="1:30" ht="22.9" customHeight="1">
      <c r="A104" s="623"/>
      <c r="B104" s="563"/>
      <c r="C104" s="851"/>
      <c r="D104" s="3863" t="s">
        <v>1150</v>
      </c>
      <c r="E104" s="3873"/>
      <c r="F104" s="2247">
        <f>SUM(F105:F105)</f>
        <v>10000</v>
      </c>
      <c r="G104" s="2247">
        <f>SUM(G105:G105)</f>
        <v>10000</v>
      </c>
      <c r="H104" s="854">
        <f>+F104-G104</f>
        <v>0</v>
      </c>
      <c r="I104" s="682"/>
      <c r="J104" s="2248"/>
      <c r="K104" s="2226"/>
      <c r="L104" s="2226"/>
      <c r="M104" s="2226"/>
      <c r="N104" s="2226"/>
      <c r="O104" s="2226"/>
      <c r="P104" s="2226"/>
      <c r="Q104" s="2226"/>
      <c r="R104" s="2227"/>
      <c r="S104" s="2226"/>
      <c r="T104" s="2226"/>
      <c r="U104" s="2226"/>
      <c r="V104" s="2226"/>
      <c r="W104" s="2226"/>
      <c r="X104" s="860"/>
      <c r="Y104" s="2249"/>
      <c r="Z104" s="1987"/>
      <c r="AB104" s="192">
        <f t="shared" si="18"/>
        <v>10000000000000</v>
      </c>
    </row>
    <row r="105" spans="1:30" s="391" customFormat="1" ht="22.9" customHeight="1" thickBot="1">
      <c r="A105" s="623"/>
      <c r="B105" s="563"/>
      <c r="C105" s="2250"/>
      <c r="D105" s="2223"/>
      <c r="E105" s="2251" t="s">
        <v>431</v>
      </c>
      <c r="F105" s="1075">
        <f>Y105</f>
        <v>10000</v>
      </c>
      <c r="G105" s="1988">
        <v>10000</v>
      </c>
      <c r="H105" s="984"/>
      <c r="I105" s="1536"/>
      <c r="J105" s="1535" t="s">
        <v>1151</v>
      </c>
      <c r="K105" s="1536"/>
      <c r="L105" s="1536"/>
      <c r="M105" s="1536"/>
      <c r="N105" s="1536"/>
      <c r="O105" s="1536"/>
      <c r="P105" s="1536"/>
      <c r="Q105" s="1536"/>
      <c r="R105" s="1990"/>
      <c r="S105" s="1084">
        <v>10000000</v>
      </c>
      <c r="T105" s="1084" t="s">
        <v>37</v>
      </c>
      <c r="U105" s="1084"/>
      <c r="V105" s="1084">
        <v>1</v>
      </c>
      <c r="W105" s="1084" t="s">
        <v>226</v>
      </c>
      <c r="X105" s="1538" t="s">
        <v>38</v>
      </c>
      <c r="Y105" s="965">
        <f>SUM(S105*V105/1000)</f>
        <v>10000</v>
      </c>
      <c r="Z105" s="1186">
        <f>SUM(Y105*1000)</f>
        <v>10000000</v>
      </c>
      <c r="AB105" s="192">
        <f t="shared" si="18"/>
        <v>10000000000000</v>
      </c>
    </row>
    <row r="106" spans="1:30" s="537" customFormat="1" ht="22.9" customHeight="1" thickBot="1">
      <c r="A106" s="2252"/>
      <c r="B106" s="2212" t="s">
        <v>799</v>
      </c>
      <c r="C106" s="2214"/>
      <c r="D106" s="2253"/>
      <c r="E106" s="2254"/>
      <c r="F106" s="2255">
        <f>+F107</f>
        <v>250000</v>
      </c>
      <c r="G106" s="2255">
        <f>+G107</f>
        <v>250000</v>
      </c>
      <c r="H106" s="2154">
        <f t="shared" ref="H106:H111" si="25">F106-G106</f>
        <v>0</v>
      </c>
      <c r="I106" s="2165"/>
      <c r="J106" s="2256"/>
      <c r="K106" s="2218"/>
      <c r="L106" s="2218"/>
      <c r="M106" s="2218"/>
      <c r="N106" s="2218"/>
      <c r="O106" s="2218"/>
      <c r="P106" s="2218"/>
      <c r="Q106" s="2257"/>
      <c r="R106" s="2258"/>
      <c r="S106" s="2239"/>
      <c r="T106" s="2259"/>
      <c r="U106" s="2259"/>
      <c r="V106" s="2259"/>
      <c r="W106" s="2259"/>
      <c r="X106" s="2260"/>
      <c r="Y106" s="1503"/>
      <c r="Z106" s="2261"/>
      <c r="AB106" s="192">
        <f t="shared" si="18"/>
        <v>250000000000000</v>
      </c>
    </row>
    <row r="107" spans="1:30" s="537" customFormat="1" ht="22.9" customHeight="1">
      <c r="A107" s="2262"/>
      <c r="B107" s="2263"/>
      <c r="C107" s="3874" t="s">
        <v>1153</v>
      </c>
      <c r="D107" s="3875"/>
      <c r="E107" s="3876"/>
      <c r="F107" s="2264">
        <f>F108</f>
        <v>250000</v>
      </c>
      <c r="G107" s="2264">
        <f>G108</f>
        <v>250000</v>
      </c>
      <c r="H107" s="2265">
        <f t="shared" si="25"/>
        <v>0</v>
      </c>
      <c r="I107" s="840"/>
      <c r="J107" s="2266"/>
      <c r="K107" s="2267"/>
      <c r="L107" s="2267"/>
      <c r="M107" s="2267"/>
      <c r="N107" s="2267"/>
      <c r="O107" s="2267"/>
      <c r="P107" s="2267"/>
      <c r="Q107" s="2268"/>
      <c r="R107" s="2269"/>
      <c r="S107" s="2270"/>
      <c r="T107" s="2271"/>
      <c r="U107" s="2271"/>
      <c r="V107" s="2271"/>
      <c r="W107" s="2271"/>
      <c r="X107" s="2272"/>
      <c r="Y107" s="2273"/>
      <c r="Z107" s="2274"/>
      <c r="AB107" s="192">
        <f t="shared" si="18"/>
        <v>250000000000000</v>
      </c>
    </row>
    <row r="108" spans="1:30" s="537" customFormat="1" ht="22.9" customHeight="1">
      <c r="A108" s="2262"/>
      <c r="B108" s="2275"/>
      <c r="C108" s="592"/>
      <c r="D108" s="3877" t="s">
        <v>1154</v>
      </c>
      <c r="E108" s="3878"/>
      <c r="F108" s="528">
        <f>F109</f>
        <v>250000</v>
      </c>
      <c r="G108" s="528">
        <f>G109</f>
        <v>250000</v>
      </c>
      <c r="H108" s="529">
        <f t="shared" si="25"/>
        <v>0</v>
      </c>
      <c r="I108" s="840"/>
      <c r="J108" s="2276"/>
      <c r="K108" s="2277"/>
      <c r="L108" s="2277"/>
      <c r="M108" s="2277"/>
      <c r="N108" s="2277"/>
      <c r="O108" s="2277"/>
      <c r="P108" s="2277"/>
      <c r="Q108" s="2278"/>
      <c r="R108" s="2279"/>
      <c r="S108" s="2280"/>
      <c r="T108" s="2281"/>
      <c r="U108" s="2281"/>
      <c r="V108" s="2281"/>
      <c r="W108" s="2281"/>
      <c r="X108" s="2282"/>
      <c r="Y108" s="1555"/>
      <c r="Z108" s="2283"/>
      <c r="AB108" s="192">
        <f t="shared" si="18"/>
        <v>250000000000000</v>
      </c>
    </row>
    <row r="109" spans="1:30" s="391" customFormat="1" ht="22.9" customHeight="1" thickBot="1">
      <c r="A109" s="2284"/>
      <c r="B109" s="2285"/>
      <c r="C109" s="638"/>
      <c r="D109" s="2063"/>
      <c r="E109" s="2055" t="s">
        <v>431</v>
      </c>
      <c r="F109" s="1877">
        <f>Y109</f>
        <v>250000</v>
      </c>
      <c r="G109" s="1877">
        <v>250000</v>
      </c>
      <c r="H109" s="1577"/>
      <c r="I109" s="840"/>
      <c r="J109" s="2286" t="s">
        <v>1155</v>
      </c>
      <c r="K109" s="2287"/>
      <c r="L109" s="2287"/>
      <c r="M109" s="2287"/>
      <c r="N109" s="2287"/>
      <c r="O109" s="2287"/>
      <c r="P109" s="2287"/>
      <c r="Q109" s="2288"/>
      <c r="R109" s="2289"/>
      <c r="S109" s="1668">
        <v>125000000</v>
      </c>
      <c r="T109" s="2288" t="s">
        <v>37</v>
      </c>
      <c r="U109" s="2288"/>
      <c r="V109" s="2288">
        <v>2</v>
      </c>
      <c r="W109" s="2288" t="s">
        <v>50</v>
      </c>
      <c r="X109" s="2288" t="s">
        <v>38</v>
      </c>
      <c r="Y109" s="2290">
        <f t="shared" ref="Y109" si="26">+Z109/1000</f>
        <v>250000</v>
      </c>
      <c r="Z109" s="2291">
        <f>S109*V109</f>
        <v>250000000</v>
      </c>
      <c r="AB109" s="192">
        <f t="shared" si="18"/>
        <v>250000000000000</v>
      </c>
    </row>
    <row r="110" spans="1:30" s="421" customFormat="1" ht="22.9" customHeight="1" thickBot="1">
      <c r="A110" s="2252"/>
      <c r="B110" s="2212" t="s">
        <v>1054</v>
      </c>
      <c r="C110" s="2214"/>
      <c r="D110" s="2253"/>
      <c r="E110" s="2254"/>
      <c r="F110" s="2255">
        <f>+F111+F121+F151+F181+F210</f>
        <v>2156000</v>
      </c>
      <c r="G110" s="2255">
        <f>+G111+G121+G151+G181+G210</f>
        <v>2156000</v>
      </c>
      <c r="H110" s="2154">
        <f t="shared" si="25"/>
        <v>0</v>
      </c>
      <c r="I110" s="2165"/>
      <c r="J110" s="2256"/>
      <c r="K110" s="2218"/>
      <c r="L110" s="2218"/>
      <c r="M110" s="2218"/>
      <c r="N110" s="2218"/>
      <c r="O110" s="2218"/>
      <c r="P110" s="2218"/>
      <c r="Q110" s="2257"/>
      <c r="R110" s="2258"/>
      <c r="S110" s="2239"/>
      <c r="T110" s="2259"/>
      <c r="U110" s="2259"/>
      <c r="V110" s="2259"/>
      <c r="W110" s="2259"/>
      <c r="X110" s="2260"/>
      <c r="Y110" s="1503"/>
      <c r="Z110" s="2261"/>
      <c r="AB110" s="192">
        <f>G110*1000000000</f>
        <v>2156000000000000</v>
      </c>
      <c r="AC110" s="421">
        <f>F110*1000000000</f>
        <v>2156000000000000</v>
      </c>
      <c r="AD110" s="421">
        <f>AC110-AB110</f>
        <v>0</v>
      </c>
    </row>
    <row r="111" spans="1:30" s="421" customFormat="1" ht="22.9" customHeight="1">
      <c r="A111" s="628"/>
      <c r="B111" s="1420"/>
      <c r="C111" s="3830" t="s">
        <v>1156</v>
      </c>
      <c r="D111" s="3830"/>
      <c r="E111" s="3831"/>
      <c r="F111" s="1988">
        <f>F112</f>
        <v>60000</v>
      </c>
      <c r="G111" s="1988">
        <f>G112</f>
        <v>60000</v>
      </c>
      <c r="H111" s="984">
        <f t="shared" si="25"/>
        <v>0</v>
      </c>
      <c r="I111" s="682"/>
      <c r="J111" s="1535"/>
      <c r="K111" s="1536"/>
      <c r="L111" s="1536"/>
      <c r="M111" s="1536"/>
      <c r="N111" s="1536"/>
      <c r="O111" s="1536"/>
      <c r="P111" s="1536"/>
      <c r="Q111" s="1009"/>
      <c r="R111" s="1990"/>
      <c r="S111" s="1010"/>
      <c r="T111" s="1084"/>
      <c r="U111" s="1084"/>
      <c r="V111" s="1084"/>
      <c r="W111" s="1084"/>
      <c r="X111" s="1084"/>
      <c r="Y111" s="965"/>
      <c r="Z111" s="732"/>
      <c r="AB111" s="192">
        <f t="shared" ref="AB111" si="27">G111*1000000000</f>
        <v>60000000000000</v>
      </c>
    </row>
    <row r="112" spans="1:30" s="454" customFormat="1" ht="22.9" customHeight="1">
      <c r="A112" s="1016"/>
      <c r="B112" s="2292"/>
      <c r="C112" s="851"/>
      <c r="D112" s="3879" t="s">
        <v>1157</v>
      </c>
      <c r="E112" s="3880"/>
      <c r="F112" s="1983">
        <f>SUM(F113:F120)</f>
        <v>60000</v>
      </c>
      <c r="G112" s="1983">
        <f>SUM(G113:G120)</f>
        <v>60000</v>
      </c>
      <c r="H112" s="1000">
        <f>+F112-G112</f>
        <v>0</v>
      </c>
      <c r="I112" s="682"/>
      <c r="J112" s="1202"/>
      <c r="K112" s="2043"/>
      <c r="L112" s="2043"/>
      <c r="M112" s="2043"/>
      <c r="N112" s="2043"/>
      <c r="O112" s="2043"/>
      <c r="P112" s="2043"/>
      <c r="Q112" s="2043"/>
      <c r="R112" s="1985"/>
      <c r="S112" s="2043"/>
      <c r="T112" s="2043"/>
      <c r="U112" s="2043"/>
      <c r="V112" s="2043"/>
      <c r="W112" s="2043"/>
      <c r="X112" s="2043"/>
      <c r="Y112" s="1986"/>
      <c r="Z112" s="1987"/>
      <c r="AB112" s="434">
        <f>F112*1000000000</f>
        <v>60000000000000</v>
      </c>
      <c r="AC112" s="434">
        <f>G112*1000000000</f>
        <v>60000000000000</v>
      </c>
      <c r="AD112" s="3056">
        <f>AC112-AB112</f>
        <v>0</v>
      </c>
    </row>
    <row r="113" spans="1:30" s="454" customFormat="1" ht="22.9" customHeight="1">
      <c r="A113" s="1879"/>
      <c r="B113" s="541"/>
      <c r="C113" s="541"/>
      <c r="D113" s="2013"/>
      <c r="E113" s="2023" t="s">
        <v>264</v>
      </c>
      <c r="F113" s="526">
        <f>Y113</f>
        <v>900</v>
      </c>
      <c r="G113" s="1918">
        <v>900</v>
      </c>
      <c r="H113" s="534"/>
      <c r="I113" s="2082"/>
      <c r="J113" s="2091" t="s">
        <v>808</v>
      </c>
      <c r="K113" s="2092"/>
      <c r="L113" s="2092"/>
      <c r="M113" s="2092"/>
      <c r="N113" s="2082"/>
      <c r="O113" s="2082"/>
      <c r="P113" s="2082"/>
      <c r="Q113" s="2106"/>
      <c r="R113" s="2106"/>
      <c r="S113" s="2106">
        <v>300000</v>
      </c>
      <c r="T113" s="2106" t="s">
        <v>37</v>
      </c>
      <c r="U113" s="2106"/>
      <c r="V113" s="2106">
        <v>3</v>
      </c>
      <c r="W113" s="2106" t="s">
        <v>39</v>
      </c>
      <c r="X113" s="2106" t="s">
        <v>38</v>
      </c>
      <c r="Y113" s="483">
        <f>+Z113/1000</f>
        <v>900</v>
      </c>
      <c r="Z113" s="555">
        <f>S113*V113</f>
        <v>900000</v>
      </c>
      <c r="AB113" s="434">
        <f t="shared" ref="AB113:AB152" si="28">F113*1000000000</f>
        <v>900000000000</v>
      </c>
      <c r="AC113" s="434">
        <f t="shared" ref="AC113:AC152" si="29">G113*1000000000</f>
        <v>900000000000</v>
      </c>
      <c r="AD113" s="3056">
        <f t="shared" ref="AD113:AD152" si="30">AC113-AB113</f>
        <v>0</v>
      </c>
    </row>
    <row r="114" spans="1:30" s="454" customFormat="1" ht="22.9" customHeight="1">
      <c r="A114" s="2081"/>
      <c r="B114" s="592"/>
      <c r="C114" s="624"/>
      <c r="D114" s="2020"/>
      <c r="E114" s="2023" t="s">
        <v>801</v>
      </c>
      <c r="F114" s="526">
        <f>Y114</f>
        <v>2450</v>
      </c>
      <c r="G114" s="1918">
        <v>2450</v>
      </c>
      <c r="H114" s="534"/>
      <c r="I114" s="2082"/>
      <c r="J114" s="2105" t="s">
        <v>802</v>
      </c>
      <c r="K114" s="2082"/>
      <c r="L114" s="2082"/>
      <c r="M114" s="2082"/>
      <c r="N114" s="2082"/>
      <c r="O114" s="2082"/>
      <c r="P114" s="2082"/>
      <c r="Q114" s="2106"/>
      <c r="R114" s="2092"/>
      <c r="S114" s="2106">
        <v>245000</v>
      </c>
      <c r="T114" s="2106" t="s">
        <v>37</v>
      </c>
      <c r="U114" s="2106"/>
      <c r="V114" s="2106">
        <v>10</v>
      </c>
      <c r="W114" s="2106" t="s">
        <v>228</v>
      </c>
      <c r="X114" s="2106" t="s">
        <v>1</v>
      </c>
      <c r="Y114" s="483">
        <f>+Z114/1000</f>
        <v>2450</v>
      </c>
      <c r="Z114" s="555">
        <f>S114*V114</f>
        <v>2450000</v>
      </c>
      <c r="AB114" s="434">
        <f t="shared" si="28"/>
        <v>2450000000000</v>
      </c>
      <c r="AC114" s="434">
        <f t="shared" si="29"/>
        <v>2450000000000</v>
      </c>
      <c r="AD114" s="3056">
        <f t="shared" si="30"/>
        <v>0</v>
      </c>
    </row>
    <row r="115" spans="1:30" s="454" customFormat="1" ht="22.9" customHeight="1">
      <c r="A115" s="1879"/>
      <c r="B115" s="541"/>
      <c r="C115" s="541"/>
      <c r="D115" s="2013"/>
      <c r="E115" s="2023" t="s">
        <v>431</v>
      </c>
      <c r="F115" s="526">
        <f>Y115</f>
        <v>45000</v>
      </c>
      <c r="G115" s="1918">
        <v>45000</v>
      </c>
      <c r="H115" s="534"/>
      <c r="I115" s="2082"/>
      <c r="J115" s="2105" t="s">
        <v>800</v>
      </c>
      <c r="K115" s="2082"/>
      <c r="L115" s="2082"/>
      <c r="M115" s="2082"/>
      <c r="N115" s="2082"/>
      <c r="O115" s="2082"/>
      <c r="P115" s="2082"/>
      <c r="Q115" s="2106"/>
      <c r="R115" s="2293"/>
      <c r="S115" s="474">
        <v>15000000</v>
      </c>
      <c r="T115" s="2106" t="s">
        <v>37</v>
      </c>
      <c r="U115" s="2106"/>
      <c r="V115" s="2106">
        <v>3</v>
      </c>
      <c r="W115" s="2106" t="s">
        <v>39</v>
      </c>
      <c r="X115" s="2106" t="s">
        <v>38</v>
      </c>
      <c r="Y115" s="483">
        <f t="shared" ref="Y115:Y119" si="31">+Z115/1000</f>
        <v>45000</v>
      </c>
      <c r="Z115" s="555">
        <f>S115*V115</f>
        <v>45000000</v>
      </c>
      <c r="AB115" s="434">
        <f t="shared" si="28"/>
        <v>45000000000000</v>
      </c>
      <c r="AC115" s="434">
        <f t="shared" si="29"/>
        <v>45000000000000</v>
      </c>
      <c r="AD115" s="3056">
        <f t="shared" si="30"/>
        <v>0</v>
      </c>
    </row>
    <row r="116" spans="1:30" s="454" customFormat="1" ht="22.9" customHeight="1">
      <c r="A116" s="2081"/>
      <c r="B116" s="592"/>
      <c r="C116" s="624"/>
      <c r="D116" s="2020"/>
      <c r="E116" s="532" t="s">
        <v>803</v>
      </c>
      <c r="F116" s="526">
        <f>Y116</f>
        <v>10650</v>
      </c>
      <c r="G116" s="1918">
        <v>10650</v>
      </c>
      <c r="H116" s="534"/>
      <c r="I116" s="2082"/>
      <c r="J116" s="2105" t="s">
        <v>804</v>
      </c>
      <c r="K116" s="2106"/>
      <c r="L116" s="2082"/>
      <c r="M116" s="2082"/>
      <c r="N116" s="2082"/>
      <c r="O116" s="2082"/>
      <c r="P116" s="2082"/>
      <c r="Q116" s="2106"/>
      <c r="R116" s="2106"/>
      <c r="S116" s="2106"/>
      <c r="T116" s="2106"/>
      <c r="U116" s="2106"/>
      <c r="V116" s="2106"/>
      <c r="W116" s="2106"/>
      <c r="X116" s="2106"/>
      <c r="Y116" s="483">
        <f t="shared" si="31"/>
        <v>10650</v>
      </c>
      <c r="Z116" s="555">
        <f>SUM(Z117:Z119)</f>
        <v>10650000</v>
      </c>
      <c r="AB116" s="434">
        <f t="shared" si="28"/>
        <v>10650000000000</v>
      </c>
      <c r="AC116" s="434">
        <f t="shared" si="29"/>
        <v>10650000000000</v>
      </c>
      <c r="AD116" s="3056">
        <f t="shared" si="30"/>
        <v>0</v>
      </c>
    </row>
    <row r="117" spans="1:30" s="454" customFormat="1" ht="22.9" customHeight="1">
      <c r="A117" s="1879"/>
      <c r="B117" s="541"/>
      <c r="C117" s="2294"/>
      <c r="D117" s="2013"/>
      <c r="E117" s="532"/>
      <c r="F117" s="526"/>
      <c r="G117" s="1918"/>
      <c r="H117" s="534"/>
      <c r="I117" s="2082"/>
      <c r="J117" s="2105" t="s">
        <v>805</v>
      </c>
      <c r="K117" s="2106"/>
      <c r="L117" s="2082"/>
      <c r="M117" s="2082"/>
      <c r="N117" s="2082"/>
      <c r="O117" s="2082"/>
      <c r="P117" s="2082"/>
      <c r="Q117" s="2106"/>
      <c r="R117" s="2106"/>
      <c r="S117" s="2106">
        <v>3000000</v>
      </c>
      <c r="T117" s="2106" t="s">
        <v>37</v>
      </c>
      <c r="U117" s="2106"/>
      <c r="V117" s="2106">
        <v>3</v>
      </c>
      <c r="W117" s="2106" t="s">
        <v>39</v>
      </c>
      <c r="X117" s="2106" t="s">
        <v>38</v>
      </c>
      <c r="Y117" s="483">
        <f t="shared" si="31"/>
        <v>9000</v>
      </c>
      <c r="Z117" s="555">
        <f>S117*V117</f>
        <v>9000000</v>
      </c>
      <c r="AB117" s="434">
        <f t="shared" si="28"/>
        <v>0</v>
      </c>
      <c r="AC117" s="434">
        <f t="shared" si="29"/>
        <v>0</v>
      </c>
      <c r="AD117" s="3056">
        <f t="shared" si="30"/>
        <v>0</v>
      </c>
    </row>
    <row r="118" spans="1:30" s="454" customFormat="1" ht="22.9" customHeight="1">
      <c r="A118" s="1879"/>
      <c r="B118" s="541"/>
      <c r="C118" s="2294"/>
      <c r="D118" s="2013"/>
      <c r="E118" s="2023"/>
      <c r="F118" s="526"/>
      <c r="G118" s="1918"/>
      <c r="H118" s="534"/>
      <c r="I118" s="2082"/>
      <c r="J118" s="2105" t="s">
        <v>806</v>
      </c>
      <c r="K118" s="2106"/>
      <c r="L118" s="2082"/>
      <c r="M118" s="2082"/>
      <c r="N118" s="2082"/>
      <c r="O118" s="2082"/>
      <c r="P118" s="2082"/>
      <c r="Q118" s="2106"/>
      <c r="R118" s="2106"/>
      <c r="S118" s="2106">
        <v>250000</v>
      </c>
      <c r="T118" s="2106" t="s">
        <v>37</v>
      </c>
      <c r="U118" s="2106"/>
      <c r="V118" s="2106">
        <v>3</v>
      </c>
      <c r="W118" s="2106" t="s">
        <v>39</v>
      </c>
      <c r="X118" s="2106" t="s">
        <v>38</v>
      </c>
      <c r="Y118" s="483">
        <f t="shared" si="31"/>
        <v>750</v>
      </c>
      <c r="Z118" s="555">
        <f>S118*V118</f>
        <v>750000</v>
      </c>
      <c r="AB118" s="434">
        <f t="shared" si="28"/>
        <v>0</v>
      </c>
      <c r="AC118" s="434">
        <f t="shared" si="29"/>
        <v>0</v>
      </c>
      <c r="AD118" s="3056">
        <f t="shared" si="30"/>
        <v>0</v>
      </c>
    </row>
    <row r="119" spans="1:30" s="454" customFormat="1" ht="22.9" customHeight="1">
      <c r="A119" s="540"/>
      <c r="B119" s="541"/>
      <c r="C119" s="541"/>
      <c r="D119" s="2013"/>
      <c r="E119" s="2023"/>
      <c r="F119" s="526"/>
      <c r="G119" s="1918"/>
      <c r="H119" s="534"/>
      <c r="I119" s="2082"/>
      <c r="J119" s="3868" t="s">
        <v>807</v>
      </c>
      <c r="K119" s="3869"/>
      <c r="L119" s="3869"/>
      <c r="M119" s="3869"/>
      <c r="N119" s="2082"/>
      <c r="O119" s="2082"/>
      <c r="P119" s="2082"/>
      <c r="Q119" s="2106"/>
      <c r="R119" s="2106"/>
      <c r="S119" s="2106">
        <v>300000</v>
      </c>
      <c r="T119" s="2106" t="s">
        <v>37</v>
      </c>
      <c r="U119" s="2106"/>
      <c r="V119" s="2106">
        <v>3</v>
      </c>
      <c r="W119" s="2106" t="s">
        <v>39</v>
      </c>
      <c r="X119" s="2106" t="s">
        <v>38</v>
      </c>
      <c r="Y119" s="483">
        <f t="shared" si="31"/>
        <v>900</v>
      </c>
      <c r="Z119" s="555">
        <f>S119*V119</f>
        <v>900000</v>
      </c>
      <c r="AB119" s="434">
        <f t="shared" si="28"/>
        <v>0</v>
      </c>
      <c r="AC119" s="434">
        <f t="shared" si="29"/>
        <v>0</v>
      </c>
      <c r="AD119" s="3056">
        <f t="shared" si="30"/>
        <v>0</v>
      </c>
    </row>
    <row r="120" spans="1:30" s="454" customFormat="1" ht="22.9" customHeight="1">
      <c r="A120" s="2081"/>
      <c r="B120" s="592"/>
      <c r="C120" s="624"/>
      <c r="D120" s="2020"/>
      <c r="E120" s="2023" t="s">
        <v>809</v>
      </c>
      <c r="F120" s="526">
        <f>Y120</f>
        <v>1000</v>
      </c>
      <c r="G120" s="1918">
        <v>1000</v>
      </c>
      <c r="H120" s="534"/>
      <c r="I120" s="2082"/>
      <c r="J120" s="2105" t="s">
        <v>810</v>
      </c>
      <c r="K120" s="2082"/>
      <c r="L120" s="2082"/>
      <c r="M120" s="2082"/>
      <c r="N120" s="2082"/>
      <c r="O120" s="2082"/>
      <c r="P120" s="2082"/>
      <c r="Q120" s="2106">
        <v>5</v>
      </c>
      <c r="R120" s="2092" t="s">
        <v>227</v>
      </c>
      <c r="S120" s="2106">
        <v>20000</v>
      </c>
      <c r="T120" s="2106" t="s">
        <v>37</v>
      </c>
      <c r="U120" s="2106"/>
      <c r="V120" s="2106">
        <v>10</v>
      </c>
      <c r="W120" s="2106" t="s">
        <v>39</v>
      </c>
      <c r="X120" s="2106" t="s">
        <v>38</v>
      </c>
      <c r="Y120" s="483">
        <f>+Z120/1000</f>
        <v>1000</v>
      </c>
      <c r="Z120" s="555">
        <f>Q120*S120*V120</f>
        <v>1000000</v>
      </c>
      <c r="AB120" s="434">
        <f t="shared" si="28"/>
        <v>1000000000000</v>
      </c>
      <c r="AC120" s="434">
        <f t="shared" si="29"/>
        <v>1000000000000</v>
      </c>
      <c r="AD120" s="3056">
        <f t="shared" si="30"/>
        <v>0</v>
      </c>
    </row>
    <row r="121" spans="1:30" s="454" customFormat="1" ht="21" customHeight="1">
      <c r="A121" s="540"/>
      <c r="B121" s="541"/>
      <c r="C121" s="3836" t="s">
        <v>811</v>
      </c>
      <c r="D121" s="3821"/>
      <c r="E121" s="3822"/>
      <c r="F121" s="528">
        <f>F122+F138</f>
        <v>360000</v>
      </c>
      <c r="G121" s="528">
        <v>360000</v>
      </c>
      <c r="H121" s="529">
        <f>F121-G121</f>
        <v>0</v>
      </c>
      <c r="I121" s="2082"/>
      <c r="J121" s="2025"/>
      <c r="K121" s="2068"/>
      <c r="L121" s="2068"/>
      <c r="M121" s="2068"/>
      <c r="N121" s="2068"/>
      <c r="O121" s="2068"/>
      <c r="P121" s="2068"/>
      <c r="Q121" s="621"/>
      <c r="R121" s="539"/>
      <c r="S121" s="545"/>
      <c r="T121" s="2026"/>
      <c r="U121" s="2026"/>
      <c r="V121" s="2026"/>
      <c r="W121" s="2026"/>
      <c r="X121" s="2026"/>
      <c r="Y121" s="517"/>
      <c r="Z121" s="622"/>
      <c r="AB121" s="434">
        <f t="shared" si="28"/>
        <v>360000000000000</v>
      </c>
      <c r="AC121" s="434">
        <f t="shared" si="29"/>
        <v>360000000000000</v>
      </c>
      <c r="AD121" s="3056">
        <f t="shared" si="30"/>
        <v>0</v>
      </c>
    </row>
    <row r="122" spans="1:30" s="454" customFormat="1" ht="21" customHeight="1">
      <c r="A122" s="591"/>
      <c r="B122" s="592"/>
      <c r="C122" s="564"/>
      <c r="D122" s="3837" t="s">
        <v>812</v>
      </c>
      <c r="E122" s="3838"/>
      <c r="F122" s="525">
        <f>SUM(F123:F137)</f>
        <v>245000</v>
      </c>
      <c r="G122" s="525">
        <f>SUM(G123:G137)</f>
        <v>245000</v>
      </c>
      <c r="H122" s="531">
        <f>+F122-G122</f>
        <v>0</v>
      </c>
      <c r="I122" s="2082"/>
      <c r="J122" s="538"/>
      <c r="K122" s="2068"/>
      <c r="L122" s="2068"/>
      <c r="M122" s="2068"/>
      <c r="N122" s="2068"/>
      <c r="O122" s="2068"/>
      <c r="P122" s="2068"/>
      <c r="Q122" s="2068"/>
      <c r="R122" s="539"/>
      <c r="S122" s="2068"/>
      <c r="T122" s="2068"/>
      <c r="U122" s="2068"/>
      <c r="V122" s="2068"/>
      <c r="W122" s="2068"/>
      <c r="X122" s="2068"/>
      <c r="Y122" s="517"/>
      <c r="Z122" s="595"/>
      <c r="AB122" s="434">
        <f t="shared" si="28"/>
        <v>245000000000000</v>
      </c>
      <c r="AC122" s="434">
        <f t="shared" si="29"/>
        <v>245000000000000</v>
      </c>
      <c r="AD122" s="3056">
        <f t="shared" si="30"/>
        <v>0</v>
      </c>
    </row>
    <row r="123" spans="1:30" s="454" customFormat="1" ht="21" customHeight="1">
      <c r="A123" s="591"/>
      <c r="B123" s="592"/>
      <c r="C123" s="564"/>
      <c r="D123" s="2020"/>
      <c r="E123" s="602" t="s">
        <v>905</v>
      </c>
      <c r="F123" s="526">
        <f>Y123</f>
        <v>125000</v>
      </c>
      <c r="G123" s="1918">
        <v>125000</v>
      </c>
      <c r="H123" s="534"/>
      <c r="I123" s="2082"/>
      <c r="J123" s="2105" t="s">
        <v>1186</v>
      </c>
      <c r="K123" s="2082"/>
      <c r="L123" s="2082"/>
      <c r="M123" s="2082"/>
      <c r="N123" s="2082"/>
      <c r="O123" s="2082"/>
      <c r="P123" s="2082"/>
      <c r="Q123" s="2106"/>
      <c r="R123" s="2106"/>
      <c r="S123" s="2106">
        <v>12500000</v>
      </c>
      <c r="T123" s="2106" t="s">
        <v>0</v>
      </c>
      <c r="U123" s="2106"/>
      <c r="V123" s="2106">
        <v>10</v>
      </c>
      <c r="W123" s="2106" t="s">
        <v>3</v>
      </c>
      <c r="X123" s="2106" t="s">
        <v>1</v>
      </c>
      <c r="Y123" s="483">
        <f>+Z123/1000</f>
        <v>125000</v>
      </c>
      <c r="Z123" s="555">
        <f>S123*V123</f>
        <v>125000000</v>
      </c>
      <c r="AB123" s="434">
        <f t="shared" si="28"/>
        <v>125000000000000</v>
      </c>
      <c r="AC123" s="434">
        <f t="shared" si="29"/>
        <v>125000000000000</v>
      </c>
      <c r="AD123" s="3056">
        <f t="shared" si="30"/>
        <v>0</v>
      </c>
    </row>
    <row r="124" spans="1:30" s="454" customFormat="1" ht="21" customHeight="1">
      <c r="A124" s="591"/>
      <c r="B124" s="592"/>
      <c r="C124" s="564"/>
      <c r="D124" s="2295"/>
      <c r="E124" s="1457" t="s">
        <v>57</v>
      </c>
      <c r="F124" s="526">
        <f>Y124</f>
        <v>13400</v>
      </c>
      <c r="G124" s="633">
        <v>13400</v>
      </c>
      <c r="H124" s="534"/>
      <c r="I124" s="2082"/>
      <c r="J124" s="2081" t="s">
        <v>813</v>
      </c>
      <c r="K124" s="2082"/>
      <c r="L124" s="2082"/>
      <c r="M124" s="2082"/>
      <c r="N124" s="2082"/>
      <c r="O124" s="2082"/>
      <c r="P124" s="2082"/>
      <c r="Q124" s="2082"/>
      <c r="R124" s="552"/>
      <c r="S124" s="2106">
        <v>6700000</v>
      </c>
      <c r="T124" s="2106" t="s">
        <v>0</v>
      </c>
      <c r="U124" s="2106"/>
      <c r="V124" s="2106">
        <v>2</v>
      </c>
      <c r="W124" s="2106" t="s">
        <v>3</v>
      </c>
      <c r="X124" s="2106" t="s">
        <v>1</v>
      </c>
      <c r="Y124" s="483">
        <f>+Z124/1000</f>
        <v>13400</v>
      </c>
      <c r="Z124" s="555">
        <f>S124*V124</f>
        <v>13400000</v>
      </c>
      <c r="AB124" s="434">
        <f t="shared" si="28"/>
        <v>13400000000000</v>
      </c>
      <c r="AC124" s="434">
        <f t="shared" si="29"/>
        <v>13400000000000</v>
      </c>
      <c r="AD124" s="3056">
        <f t="shared" si="30"/>
        <v>0</v>
      </c>
    </row>
    <row r="125" spans="1:30" s="454" customFormat="1" ht="21" customHeight="1">
      <c r="A125" s="591"/>
      <c r="B125" s="592"/>
      <c r="C125" s="564"/>
      <c r="D125" s="2020"/>
      <c r="E125" s="2023" t="s">
        <v>95</v>
      </c>
      <c r="F125" s="526">
        <f>Y125</f>
        <v>3600</v>
      </c>
      <c r="G125" s="1918">
        <v>3600</v>
      </c>
      <c r="H125" s="534"/>
      <c r="I125" s="2082"/>
      <c r="J125" s="2105" t="s">
        <v>398</v>
      </c>
      <c r="K125" s="473"/>
      <c r="L125" s="473"/>
      <c r="M125" s="473"/>
      <c r="N125" s="473"/>
      <c r="O125" s="473"/>
      <c r="P125" s="473"/>
      <c r="Q125" s="2106">
        <v>2</v>
      </c>
      <c r="R125" s="2106" t="s">
        <v>25</v>
      </c>
      <c r="S125" s="2106">
        <v>150000</v>
      </c>
      <c r="T125" s="2106" t="s">
        <v>0</v>
      </c>
      <c r="U125" s="2106"/>
      <c r="V125" s="2106">
        <v>12</v>
      </c>
      <c r="W125" s="2106" t="s">
        <v>2</v>
      </c>
      <c r="X125" s="2106" t="s">
        <v>1</v>
      </c>
      <c r="Y125" s="483">
        <f>+Z125/1000</f>
        <v>3600</v>
      </c>
      <c r="Z125" s="555">
        <f>Q125*S125*V125</f>
        <v>3600000</v>
      </c>
      <c r="AB125" s="434">
        <f t="shared" si="28"/>
        <v>3600000000000</v>
      </c>
      <c r="AC125" s="434">
        <f t="shared" si="29"/>
        <v>3600000000000</v>
      </c>
      <c r="AD125" s="3056">
        <f t="shared" si="30"/>
        <v>0</v>
      </c>
    </row>
    <row r="126" spans="1:30" s="454" customFormat="1" ht="21" customHeight="1">
      <c r="A126" s="540"/>
      <c r="B126" s="541"/>
      <c r="C126" s="542"/>
      <c r="D126" s="2020"/>
      <c r="E126" s="2023" t="s">
        <v>120</v>
      </c>
      <c r="F126" s="526">
        <f>Y126</f>
        <v>30000</v>
      </c>
      <c r="G126" s="1918">
        <v>30000</v>
      </c>
      <c r="H126" s="534"/>
      <c r="I126" s="2082"/>
      <c r="J126" s="2105" t="s">
        <v>8</v>
      </c>
      <c r="K126" s="473"/>
      <c r="L126" s="473"/>
      <c r="M126" s="473"/>
      <c r="N126" s="473"/>
      <c r="O126" s="473"/>
      <c r="P126" s="473"/>
      <c r="Q126" s="2106"/>
      <c r="R126" s="2106"/>
      <c r="S126" s="2106"/>
      <c r="T126" s="2106"/>
      <c r="U126" s="2106"/>
      <c r="V126" s="2106"/>
      <c r="W126" s="2106"/>
      <c r="X126" s="2106"/>
      <c r="Y126" s="483">
        <f t="shared" ref="Y126:Y137" si="32">+Z126/1000</f>
        <v>30000</v>
      </c>
      <c r="Z126" s="555">
        <f>SUM(Z127:Z129)</f>
        <v>30000000</v>
      </c>
      <c r="AB126" s="434">
        <f t="shared" si="28"/>
        <v>30000000000000</v>
      </c>
      <c r="AC126" s="434">
        <f t="shared" si="29"/>
        <v>30000000000000</v>
      </c>
      <c r="AD126" s="3056">
        <f t="shared" si="30"/>
        <v>0</v>
      </c>
    </row>
    <row r="127" spans="1:30" s="454" customFormat="1" ht="21" customHeight="1">
      <c r="A127" s="540"/>
      <c r="B127" s="541"/>
      <c r="C127" s="542"/>
      <c r="D127" s="2020"/>
      <c r="E127" s="2023"/>
      <c r="F127" s="526"/>
      <c r="G127" s="1918"/>
      <c r="H127" s="534"/>
      <c r="I127" s="2082"/>
      <c r="J127" s="2105" t="s">
        <v>399</v>
      </c>
      <c r="K127" s="473"/>
      <c r="L127" s="473"/>
      <c r="M127" s="473"/>
      <c r="N127" s="473"/>
      <c r="O127" s="473"/>
      <c r="P127" s="473"/>
      <c r="Q127" s="2106"/>
      <c r="R127" s="2106"/>
      <c r="S127" s="2106">
        <v>500000</v>
      </c>
      <c r="T127" s="2106" t="s">
        <v>0</v>
      </c>
      <c r="U127" s="2106"/>
      <c r="V127" s="2106">
        <v>12</v>
      </c>
      <c r="W127" s="2106" t="s">
        <v>3</v>
      </c>
      <c r="X127" s="2106" t="s">
        <v>1</v>
      </c>
      <c r="Y127" s="483">
        <f t="shared" si="32"/>
        <v>6000</v>
      </c>
      <c r="Z127" s="555">
        <f>S127*V127</f>
        <v>6000000</v>
      </c>
      <c r="AB127" s="434">
        <f t="shared" si="28"/>
        <v>0</v>
      </c>
      <c r="AC127" s="434">
        <f t="shared" si="29"/>
        <v>0</v>
      </c>
      <c r="AD127" s="3056">
        <f t="shared" si="30"/>
        <v>0</v>
      </c>
    </row>
    <row r="128" spans="1:30" s="454" customFormat="1" ht="21" customHeight="1">
      <c r="A128" s="540"/>
      <c r="B128" s="541"/>
      <c r="C128" s="542"/>
      <c r="D128" s="2020"/>
      <c r="E128" s="2023"/>
      <c r="F128" s="526"/>
      <c r="G128" s="1918"/>
      <c r="H128" s="534"/>
      <c r="I128" s="2082"/>
      <c r="J128" s="2105" t="s">
        <v>400</v>
      </c>
      <c r="K128" s="473"/>
      <c r="L128" s="473"/>
      <c r="M128" s="473"/>
      <c r="N128" s="473"/>
      <c r="O128" s="473"/>
      <c r="P128" s="473"/>
      <c r="Q128" s="2106">
        <v>2</v>
      </c>
      <c r="R128" s="2106" t="s">
        <v>401</v>
      </c>
      <c r="S128" s="2106">
        <v>500000</v>
      </c>
      <c r="T128" s="2106" t="s">
        <v>0</v>
      </c>
      <c r="U128" s="2106"/>
      <c r="V128" s="2106">
        <v>12</v>
      </c>
      <c r="W128" s="2106" t="s">
        <v>2</v>
      </c>
      <c r="X128" s="2106" t="s">
        <v>1</v>
      </c>
      <c r="Y128" s="483">
        <f t="shared" si="32"/>
        <v>12000</v>
      </c>
      <c r="Z128" s="555">
        <f>Q128*S128*V128</f>
        <v>12000000</v>
      </c>
      <c r="AB128" s="434">
        <f t="shared" si="28"/>
        <v>0</v>
      </c>
      <c r="AC128" s="434">
        <f t="shared" si="29"/>
        <v>0</v>
      </c>
      <c r="AD128" s="3056">
        <f t="shared" si="30"/>
        <v>0</v>
      </c>
    </row>
    <row r="129" spans="1:30" s="454" customFormat="1" ht="21" customHeight="1">
      <c r="A129" s="540"/>
      <c r="B129" s="541"/>
      <c r="C129" s="542"/>
      <c r="D129" s="2020"/>
      <c r="E129" s="2023"/>
      <c r="F129" s="526"/>
      <c r="G129" s="1918"/>
      <c r="H129" s="534"/>
      <c r="I129" s="2082"/>
      <c r="J129" s="2105" t="s">
        <v>402</v>
      </c>
      <c r="K129" s="473"/>
      <c r="L129" s="473"/>
      <c r="M129" s="473"/>
      <c r="N129" s="473"/>
      <c r="O129" s="473"/>
      <c r="P129" s="473"/>
      <c r="Q129" s="2106">
        <v>50</v>
      </c>
      <c r="R129" s="2106" t="s">
        <v>72</v>
      </c>
      <c r="S129" s="2106">
        <v>20000</v>
      </c>
      <c r="T129" s="2106" t="s">
        <v>0</v>
      </c>
      <c r="U129" s="2106"/>
      <c r="V129" s="2106">
        <v>12</v>
      </c>
      <c r="W129" s="2106" t="s">
        <v>2</v>
      </c>
      <c r="X129" s="2106" t="s">
        <v>1</v>
      </c>
      <c r="Y129" s="483">
        <f t="shared" si="32"/>
        <v>12000</v>
      </c>
      <c r="Z129" s="555">
        <f>Q129*S129*V129</f>
        <v>12000000</v>
      </c>
      <c r="AB129" s="434">
        <f t="shared" si="28"/>
        <v>0</v>
      </c>
      <c r="AC129" s="434">
        <f t="shared" si="29"/>
        <v>0</v>
      </c>
      <c r="AD129" s="3056">
        <f t="shared" si="30"/>
        <v>0</v>
      </c>
    </row>
    <row r="130" spans="1:30" s="454" customFormat="1" ht="21" customHeight="1">
      <c r="A130" s="540"/>
      <c r="B130" s="541"/>
      <c r="C130" s="542"/>
      <c r="D130" s="2020"/>
      <c r="E130" s="2023" t="s">
        <v>71</v>
      </c>
      <c r="F130" s="526">
        <f>Y130</f>
        <v>33000</v>
      </c>
      <c r="G130" s="1918">
        <v>33000</v>
      </c>
      <c r="H130" s="534"/>
      <c r="I130" s="2082"/>
      <c r="J130" s="2105" t="s">
        <v>8</v>
      </c>
      <c r="K130" s="473"/>
      <c r="L130" s="473"/>
      <c r="M130" s="473"/>
      <c r="N130" s="473"/>
      <c r="O130" s="473"/>
      <c r="P130" s="473"/>
      <c r="Q130" s="2106"/>
      <c r="R130" s="2106"/>
      <c r="S130" s="2106"/>
      <c r="T130" s="2106"/>
      <c r="U130" s="2106"/>
      <c r="V130" s="2106"/>
      <c r="W130" s="2106"/>
      <c r="X130" s="2106"/>
      <c r="Y130" s="483">
        <f t="shared" si="32"/>
        <v>33000</v>
      </c>
      <c r="Z130" s="555">
        <f>SUM(Z131:Z132)</f>
        <v>33000000</v>
      </c>
      <c r="AB130" s="434">
        <f t="shared" si="28"/>
        <v>33000000000000</v>
      </c>
      <c r="AC130" s="434">
        <f t="shared" si="29"/>
        <v>33000000000000</v>
      </c>
      <c r="AD130" s="3056">
        <f t="shared" si="30"/>
        <v>0</v>
      </c>
    </row>
    <row r="131" spans="1:30" s="454" customFormat="1" ht="21" customHeight="1">
      <c r="A131" s="540"/>
      <c r="B131" s="541"/>
      <c r="C131" s="1910"/>
      <c r="D131" s="2034"/>
      <c r="E131" s="2023"/>
      <c r="F131" s="526"/>
      <c r="G131" s="1918"/>
      <c r="H131" s="534"/>
      <c r="I131" s="2082"/>
      <c r="J131" s="2105" t="s">
        <v>1654</v>
      </c>
      <c r="K131" s="473"/>
      <c r="L131" s="473"/>
      <c r="M131" s="473"/>
      <c r="N131" s="473"/>
      <c r="O131" s="473"/>
      <c r="P131" s="473"/>
      <c r="Q131" s="2106"/>
      <c r="R131" s="2106"/>
      <c r="S131" s="2106">
        <v>5000000</v>
      </c>
      <c r="T131" s="2106" t="s">
        <v>0</v>
      </c>
      <c r="U131" s="2106"/>
      <c r="V131" s="2106">
        <v>1</v>
      </c>
      <c r="W131" s="2106" t="s">
        <v>3</v>
      </c>
      <c r="X131" s="2106" t="s">
        <v>1</v>
      </c>
      <c r="Y131" s="483">
        <f t="shared" si="32"/>
        <v>5000</v>
      </c>
      <c r="Z131" s="555">
        <f>S131*V131</f>
        <v>5000000</v>
      </c>
      <c r="AB131" s="434">
        <f t="shared" si="28"/>
        <v>0</v>
      </c>
      <c r="AC131" s="434">
        <f t="shared" si="29"/>
        <v>0</v>
      </c>
      <c r="AD131" s="3056">
        <f t="shared" si="30"/>
        <v>0</v>
      </c>
    </row>
    <row r="132" spans="1:30" s="454" customFormat="1" ht="21" customHeight="1">
      <c r="A132" s="540"/>
      <c r="B132" s="541"/>
      <c r="C132" s="542"/>
      <c r="D132" s="2034"/>
      <c r="E132" s="2023"/>
      <c r="F132" s="526"/>
      <c r="G132" s="1918"/>
      <c r="H132" s="534"/>
      <c r="I132" s="2082"/>
      <c r="J132" s="2105" t="s">
        <v>1655</v>
      </c>
      <c r="K132" s="473"/>
      <c r="L132" s="473"/>
      <c r="M132" s="473"/>
      <c r="N132" s="473"/>
      <c r="O132" s="473"/>
      <c r="P132" s="473"/>
      <c r="Q132" s="2106"/>
      <c r="R132" s="2106"/>
      <c r="S132" s="2106">
        <v>28000000</v>
      </c>
      <c r="T132" s="2106" t="s">
        <v>0</v>
      </c>
      <c r="U132" s="2106"/>
      <c r="V132" s="2106">
        <v>1</v>
      </c>
      <c r="W132" s="2106" t="s">
        <v>3</v>
      </c>
      <c r="X132" s="2106" t="s">
        <v>1</v>
      </c>
      <c r="Y132" s="483">
        <f t="shared" si="32"/>
        <v>28000</v>
      </c>
      <c r="Z132" s="555">
        <f>S132*V132</f>
        <v>28000000</v>
      </c>
      <c r="AB132" s="434">
        <f t="shared" si="28"/>
        <v>0</v>
      </c>
      <c r="AC132" s="434">
        <f t="shared" si="29"/>
        <v>0</v>
      </c>
      <c r="AD132" s="3056">
        <f t="shared" si="30"/>
        <v>0</v>
      </c>
    </row>
    <row r="133" spans="1:30" s="454" customFormat="1" ht="21" customHeight="1">
      <c r="A133" s="540"/>
      <c r="B133" s="541"/>
      <c r="C133" s="1910"/>
      <c r="D133" s="2034"/>
      <c r="E133" s="2023" t="s">
        <v>62</v>
      </c>
      <c r="F133" s="526">
        <f>Y133</f>
        <v>12000</v>
      </c>
      <c r="G133" s="1918">
        <v>12000</v>
      </c>
      <c r="H133" s="534"/>
      <c r="I133" s="2082"/>
      <c r="J133" s="2105" t="s">
        <v>8</v>
      </c>
      <c r="K133" s="2082"/>
      <c r="L133" s="2082"/>
      <c r="M133" s="2082"/>
      <c r="N133" s="2082"/>
      <c r="O133" s="2082"/>
      <c r="P133" s="2082"/>
      <c r="Q133" s="2106"/>
      <c r="R133" s="2106"/>
      <c r="S133" s="2106"/>
      <c r="T133" s="2106"/>
      <c r="U133" s="2106"/>
      <c r="V133" s="2106"/>
      <c r="W133" s="2106"/>
      <c r="X133" s="2106"/>
      <c r="Y133" s="483">
        <f t="shared" si="32"/>
        <v>12000</v>
      </c>
      <c r="Z133" s="555">
        <f>SUM(Z134:Z135)</f>
        <v>12000000</v>
      </c>
      <c r="AB133" s="434">
        <f t="shared" si="28"/>
        <v>12000000000000</v>
      </c>
      <c r="AC133" s="434">
        <f t="shared" si="29"/>
        <v>12000000000000</v>
      </c>
      <c r="AD133" s="3056">
        <f t="shared" si="30"/>
        <v>0</v>
      </c>
    </row>
    <row r="134" spans="1:30" s="454" customFormat="1" ht="21" customHeight="1">
      <c r="A134" s="591"/>
      <c r="B134" s="592"/>
      <c r="C134" s="564"/>
      <c r="D134" s="2020"/>
      <c r="E134" s="2023"/>
      <c r="F134" s="526"/>
      <c r="G134" s="1918"/>
      <c r="H134" s="534"/>
      <c r="I134" s="2082"/>
      <c r="J134" s="2105" t="s">
        <v>1656</v>
      </c>
      <c r="K134" s="2082"/>
      <c r="L134" s="2082"/>
      <c r="M134" s="2082"/>
      <c r="N134" s="2082"/>
      <c r="O134" s="2082"/>
      <c r="P134" s="2082"/>
      <c r="Q134" s="2106"/>
      <c r="R134" s="2106"/>
      <c r="S134" s="2106">
        <v>1500000</v>
      </c>
      <c r="T134" s="2106" t="s">
        <v>0</v>
      </c>
      <c r="U134" s="2106"/>
      <c r="V134" s="2106">
        <v>4</v>
      </c>
      <c r="W134" s="2106" t="s">
        <v>3</v>
      </c>
      <c r="X134" s="2106" t="s">
        <v>1</v>
      </c>
      <c r="Y134" s="483">
        <f t="shared" si="32"/>
        <v>6000</v>
      </c>
      <c r="Z134" s="555">
        <f>S134*V134</f>
        <v>6000000</v>
      </c>
      <c r="AB134" s="434">
        <f t="shared" si="28"/>
        <v>0</v>
      </c>
      <c r="AC134" s="434">
        <f t="shared" si="29"/>
        <v>0</v>
      </c>
      <c r="AD134" s="3056">
        <f t="shared" si="30"/>
        <v>0</v>
      </c>
    </row>
    <row r="135" spans="1:30" s="454" customFormat="1" ht="21" customHeight="1">
      <c r="A135" s="591"/>
      <c r="B135" s="592"/>
      <c r="C135" s="564"/>
      <c r="D135" s="2020"/>
      <c r="E135" s="2023"/>
      <c r="F135" s="526"/>
      <c r="G135" s="1918"/>
      <c r="H135" s="534"/>
      <c r="I135" s="2082"/>
      <c r="J135" s="2105" t="s">
        <v>1657</v>
      </c>
      <c r="K135" s="2082"/>
      <c r="L135" s="2082"/>
      <c r="M135" s="2082"/>
      <c r="N135" s="2082"/>
      <c r="O135" s="2082"/>
      <c r="P135" s="2082"/>
      <c r="Q135" s="2106"/>
      <c r="R135" s="2106"/>
      <c r="S135" s="2106">
        <v>3000000</v>
      </c>
      <c r="T135" s="2106" t="s">
        <v>0</v>
      </c>
      <c r="U135" s="2106"/>
      <c r="V135" s="2106">
        <v>2</v>
      </c>
      <c r="W135" s="2106" t="s">
        <v>3</v>
      </c>
      <c r="X135" s="2106" t="s">
        <v>1</v>
      </c>
      <c r="Y135" s="483">
        <f t="shared" si="32"/>
        <v>6000</v>
      </c>
      <c r="Z135" s="555">
        <f>S135*V135</f>
        <v>6000000</v>
      </c>
      <c r="AB135" s="434">
        <f t="shared" si="28"/>
        <v>0</v>
      </c>
      <c r="AC135" s="434">
        <f t="shared" si="29"/>
        <v>0</v>
      </c>
      <c r="AD135" s="3056">
        <f t="shared" si="30"/>
        <v>0</v>
      </c>
    </row>
    <row r="136" spans="1:30" s="454" customFormat="1" ht="21" customHeight="1">
      <c r="A136" s="540"/>
      <c r="B136" s="541"/>
      <c r="C136" s="1910"/>
      <c r="D136" s="2020"/>
      <c r="E136" s="2023" t="s">
        <v>61</v>
      </c>
      <c r="F136" s="526">
        <f>Y136</f>
        <v>8000</v>
      </c>
      <c r="G136" s="1918">
        <v>8000</v>
      </c>
      <c r="H136" s="534"/>
      <c r="I136" s="2082"/>
      <c r="J136" s="2105" t="s">
        <v>405</v>
      </c>
      <c r="K136" s="473"/>
      <c r="L136" s="473"/>
      <c r="M136" s="473"/>
      <c r="N136" s="473"/>
      <c r="O136" s="473"/>
      <c r="P136" s="473"/>
      <c r="Q136" s="475">
        <v>20</v>
      </c>
      <c r="R136" s="473" t="s">
        <v>31</v>
      </c>
      <c r="S136" s="474">
        <v>20000</v>
      </c>
      <c r="T136" s="473" t="s">
        <v>0</v>
      </c>
      <c r="U136" s="473"/>
      <c r="V136" s="473">
        <v>20</v>
      </c>
      <c r="W136" s="473" t="s">
        <v>28</v>
      </c>
      <c r="X136" s="2106" t="s">
        <v>1</v>
      </c>
      <c r="Y136" s="483">
        <f>+Z136/1000</f>
        <v>8000</v>
      </c>
      <c r="Z136" s="555">
        <f>Q136*S136*V136</f>
        <v>8000000</v>
      </c>
      <c r="AB136" s="434">
        <f t="shared" si="28"/>
        <v>8000000000000</v>
      </c>
      <c r="AC136" s="434">
        <f t="shared" si="29"/>
        <v>8000000000000</v>
      </c>
      <c r="AD136" s="3056">
        <f t="shared" si="30"/>
        <v>0</v>
      </c>
    </row>
    <row r="137" spans="1:30" s="454" customFormat="1" ht="21" customHeight="1">
      <c r="A137" s="591"/>
      <c r="B137" s="592"/>
      <c r="C137" s="564"/>
      <c r="D137" s="2020"/>
      <c r="E137" s="2023" t="s">
        <v>403</v>
      </c>
      <c r="F137" s="526">
        <f>Y137</f>
        <v>20000</v>
      </c>
      <c r="G137" s="1918">
        <v>20000</v>
      </c>
      <c r="H137" s="534"/>
      <c r="I137" s="2082"/>
      <c r="J137" s="2105" t="s">
        <v>404</v>
      </c>
      <c r="K137" s="2082"/>
      <c r="L137" s="2082"/>
      <c r="M137" s="2082"/>
      <c r="N137" s="2082"/>
      <c r="O137" s="2082"/>
      <c r="P137" s="2082"/>
      <c r="Q137" s="2106">
        <v>2</v>
      </c>
      <c r="R137" s="2106" t="s">
        <v>7</v>
      </c>
      <c r="S137" s="2106">
        <v>20000</v>
      </c>
      <c r="T137" s="2106" t="s">
        <v>0</v>
      </c>
      <c r="U137" s="2106"/>
      <c r="V137" s="2106">
        <v>500</v>
      </c>
      <c r="W137" s="2106" t="s">
        <v>64</v>
      </c>
      <c r="X137" s="2106" t="s">
        <v>1</v>
      </c>
      <c r="Y137" s="483">
        <f t="shared" si="32"/>
        <v>20000</v>
      </c>
      <c r="Z137" s="555">
        <f>Q137*S137*V137</f>
        <v>20000000</v>
      </c>
      <c r="AB137" s="434">
        <f t="shared" si="28"/>
        <v>20000000000000</v>
      </c>
      <c r="AC137" s="434">
        <f t="shared" si="29"/>
        <v>20000000000000</v>
      </c>
      <c r="AD137" s="3056">
        <f t="shared" si="30"/>
        <v>0</v>
      </c>
    </row>
    <row r="138" spans="1:30" s="454" customFormat="1" ht="21" customHeight="1">
      <c r="A138" s="1879"/>
      <c r="B138" s="541"/>
      <c r="C138" s="1910"/>
      <c r="D138" s="3870" t="s">
        <v>2524</v>
      </c>
      <c r="E138" s="3871"/>
      <c r="F138" s="2222">
        <f>SUM(F139:F150)</f>
        <v>115000</v>
      </c>
      <c r="G138" s="2222">
        <f>SUM(G139:G150)</f>
        <v>115000</v>
      </c>
      <c r="H138" s="1059">
        <f>F138-G138</f>
        <v>0</v>
      </c>
      <c r="I138" s="3614"/>
      <c r="J138" s="1989"/>
      <c r="K138" s="3613"/>
      <c r="L138" s="3613"/>
      <c r="M138" s="3613"/>
      <c r="N138" s="3613"/>
      <c r="O138" s="3613"/>
      <c r="P138" s="3613"/>
      <c r="Q138" s="3613"/>
      <c r="R138" s="1990"/>
      <c r="S138" s="3613"/>
      <c r="T138" s="3613"/>
      <c r="U138" s="3613"/>
      <c r="V138" s="3613"/>
      <c r="W138" s="3613"/>
      <c r="X138" s="3613"/>
      <c r="Y138" s="1991"/>
      <c r="Z138" s="1987"/>
      <c r="AA138" s="421"/>
      <c r="AB138" s="222">
        <f t="shared" si="28"/>
        <v>115000000000000</v>
      </c>
      <c r="AC138" s="434">
        <f t="shared" si="29"/>
        <v>115000000000000</v>
      </c>
      <c r="AD138" s="3056">
        <f t="shared" si="30"/>
        <v>0</v>
      </c>
    </row>
    <row r="139" spans="1:30" s="454" customFormat="1" ht="21" customHeight="1">
      <c r="A139" s="1879"/>
      <c r="B139" s="541"/>
      <c r="C139" s="542"/>
      <c r="D139" s="676"/>
      <c r="E139" s="677" t="s">
        <v>81</v>
      </c>
      <c r="F139" s="2125">
        <f>Y139</f>
        <v>171.91</v>
      </c>
      <c r="G139" s="2125">
        <v>171.91</v>
      </c>
      <c r="H139" s="865"/>
      <c r="I139" s="3614"/>
      <c r="J139" s="681" t="s">
        <v>5787</v>
      </c>
      <c r="K139" s="684"/>
      <c r="L139" s="3614"/>
      <c r="M139" s="3614"/>
      <c r="N139" s="3614"/>
      <c r="O139" s="3614"/>
      <c r="P139" s="3614"/>
      <c r="Q139" s="1038">
        <v>1</v>
      </c>
      <c r="R139" s="3615" t="s">
        <v>25</v>
      </c>
      <c r="S139" s="3164">
        <v>171910</v>
      </c>
      <c r="T139" s="684" t="s">
        <v>0</v>
      </c>
      <c r="U139" s="684"/>
      <c r="V139" s="684">
        <v>1</v>
      </c>
      <c r="W139" s="684" t="s">
        <v>2</v>
      </c>
      <c r="X139" s="684" t="s">
        <v>1</v>
      </c>
      <c r="Y139" s="871">
        <f>(Z139)/1000</f>
        <v>171.91</v>
      </c>
      <c r="Z139" s="732">
        <f>Q139*S139*V139</f>
        <v>171910</v>
      </c>
      <c r="AA139" s="421"/>
      <c r="AB139" s="222">
        <f t="shared" si="28"/>
        <v>171910000000</v>
      </c>
      <c r="AC139" s="434">
        <f t="shared" si="29"/>
        <v>171910000000</v>
      </c>
      <c r="AD139" s="3056">
        <f t="shared" si="30"/>
        <v>0</v>
      </c>
    </row>
    <row r="140" spans="1:30" s="454" customFormat="1" ht="21" customHeight="1">
      <c r="A140" s="1879"/>
      <c r="B140" s="541"/>
      <c r="C140" s="542"/>
      <c r="D140" s="676"/>
      <c r="E140" s="677" t="s">
        <v>80</v>
      </c>
      <c r="F140" s="2125">
        <f t="shared" ref="F140:F145" si="33">Y140</f>
        <v>1500</v>
      </c>
      <c r="G140" s="2125">
        <v>2500</v>
      </c>
      <c r="H140" s="865">
        <f>F140-G140</f>
        <v>-1000</v>
      </c>
      <c r="I140" s="3614"/>
      <c r="J140" s="681" t="s">
        <v>5788</v>
      </c>
      <c r="K140" s="3614"/>
      <c r="L140" s="3614"/>
      <c r="M140" s="3614"/>
      <c r="N140" s="3614"/>
      <c r="O140" s="3614"/>
      <c r="P140" s="3614"/>
      <c r="Q140" s="684" t="s">
        <v>20</v>
      </c>
      <c r="R140" s="2296" t="s">
        <v>20</v>
      </c>
      <c r="S140" s="684">
        <v>1500000</v>
      </c>
      <c r="T140" s="684" t="s">
        <v>5789</v>
      </c>
      <c r="U140" s="684"/>
      <c r="V140" s="684">
        <v>1</v>
      </c>
      <c r="W140" s="684" t="s">
        <v>5790</v>
      </c>
      <c r="X140" s="684" t="s">
        <v>5791</v>
      </c>
      <c r="Y140" s="871">
        <f t="shared" ref="Y140:Y150" si="34">+Z140/1000</f>
        <v>1500</v>
      </c>
      <c r="Z140" s="732">
        <f>S140*V140</f>
        <v>1500000</v>
      </c>
      <c r="AA140" s="421"/>
      <c r="AB140" s="222">
        <f t="shared" si="28"/>
        <v>1500000000000</v>
      </c>
      <c r="AC140" s="434">
        <f t="shared" si="29"/>
        <v>2500000000000</v>
      </c>
      <c r="AD140" s="3056">
        <f t="shared" si="30"/>
        <v>1000000000000</v>
      </c>
    </row>
    <row r="141" spans="1:30" s="454" customFormat="1" ht="21" customHeight="1">
      <c r="A141" s="1879"/>
      <c r="B141" s="541"/>
      <c r="C141" s="542"/>
      <c r="D141" s="676"/>
      <c r="E141" s="677" t="s">
        <v>95</v>
      </c>
      <c r="F141" s="2125">
        <f t="shared" si="33"/>
        <v>3600</v>
      </c>
      <c r="G141" s="2125">
        <v>3600</v>
      </c>
      <c r="H141" s="865"/>
      <c r="I141" s="3614"/>
      <c r="J141" s="681" t="s">
        <v>5792</v>
      </c>
      <c r="K141" s="3163"/>
      <c r="L141" s="3163"/>
      <c r="M141" s="3163"/>
      <c r="N141" s="3163"/>
      <c r="O141" s="3163"/>
      <c r="P141" s="3163"/>
      <c r="Q141" s="869">
        <v>2</v>
      </c>
      <c r="R141" s="3163" t="s">
        <v>25</v>
      </c>
      <c r="S141" s="3164">
        <v>150000</v>
      </c>
      <c r="T141" s="3163" t="s">
        <v>0</v>
      </c>
      <c r="U141" s="3163"/>
      <c r="V141" s="3163">
        <v>12</v>
      </c>
      <c r="W141" s="3163" t="s">
        <v>2</v>
      </c>
      <c r="X141" s="684" t="s">
        <v>1</v>
      </c>
      <c r="Y141" s="871">
        <f t="shared" si="34"/>
        <v>3600</v>
      </c>
      <c r="Z141" s="732">
        <f>Q141*S141*V141</f>
        <v>3600000</v>
      </c>
      <c r="AA141" s="421"/>
      <c r="AB141" s="222">
        <f t="shared" si="28"/>
        <v>3600000000000</v>
      </c>
      <c r="AC141" s="434">
        <f t="shared" si="29"/>
        <v>3600000000000</v>
      </c>
      <c r="AD141" s="3056">
        <f t="shared" si="30"/>
        <v>0</v>
      </c>
    </row>
    <row r="142" spans="1:30" s="454" customFormat="1" ht="21" customHeight="1">
      <c r="A142" s="1879"/>
      <c r="B142" s="541"/>
      <c r="C142" s="542"/>
      <c r="D142" s="676"/>
      <c r="E142" s="677" t="s">
        <v>5793</v>
      </c>
      <c r="F142" s="2125">
        <f t="shared" si="33"/>
        <v>0</v>
      </c>
      <c r="G142" s="2125">
        <v>2100</v>
      </c>
      <c r="H142" s="865">
        <f>F142-G142</f>
        <v>-2100</v>
      </c>
      <c r="I142" s="3614"/>
      <c r="J142" s="681" t="s">
        <v>5794</v>
      </c>
      <c r="K142" s="3163"/>
      <c r="L142" s="3163"/>
      <c r="M142" s="3163"/>
      <c r="N142" s="3163"/>
      <c r="O142" s="3163"/>
      <c r="P142" s="3163"/>
      <c r="Q142" s="869"/>
      <c r="R142" s="3163"/>
      <c r="S142" s="3164">
        <v>2100000</v>
      </c>
      <c r="T142" s="3163" t="s">
        <v>5789</v>
      </c>
      <c r="U142" s="3163"/>
      <c r="V142" s="3163">
        <v>0</v>
      </c>
      <c r="W142" s="3163" t="s">
        <v>5795</v>
      </c>
      <c r="X142" s="684" t="s">
        <v>5791</v>
      </c>
      <c r="Y142" s="871">
        <f t="shared" si="34"/>
        <v>0</v>
      </c>
      <c r="Z142" s="732">
        <f>S142*V142</f>
        <v>0</v>
      </c>
      <c r="AA142" s="421"/>
      <c r="AB142" s="222">
        <f t="shared" si="28"/>
        <v>0</v>
      </c>
      <c r="AC142" s="434">
        <f t="shared" si="29"/>
        <v>2100000000000</v>
      </c>
      <c r="AD142" s="3056">
        <f t="shared" si="30"/>
        <v>2100000000000</v>
      </c>
    </row>
    <row r="143" spans="1:30" s="454" customFormat="1" ht="21" customHeight="1">
      <c r="A143" s="1879"/>
      <c r="B143" s="541"/>
      <c r="C143" s="542"/>
      <c r="D143" s="676"/>
      <c r="E143" s="677" t="s">
        <v>5796</v>
      </c>
      <c r="F143" s="2125">
        <f t="shared" si="33"/>
        <v>5500</v>
      </c>
      <c r="G143" s="2125">
        <v>5500</v>
      </c>
      <c r="H143" s="865"/>
      <c r="I143" s="3614"/>
      <c r="J143" s="681" t="s">
        <v>5797</v>
      </c>
      <c r="K143" s="3163"/>
      <c r="L143" s="3163"/>
      <c r="M143" s="3163"/>
      <c r="N143" s="3163"/>
      <c r="O143" s="3163"/>
      <c r="P143" s="3163"/>
      <c r="Q143" s="684"/>
      <c r="R143" s="684"/>
      <c r="S143" s="684">
        <v>550000</v>
      </c>
      <c r="T143" s="684" t="s">
        <v>0</v>
      </c>
      <c r="U143" s="684"/>
      <c r="V143" s="684">
        <v>10</v>
      </c>
      <c r="W143" s="684" t="s">
        <v>5798</v>
      </c>
      <c r="X143" s="684" t="s">
        <v>1</v>
      </c>
      <c r="Y143" s="871">
        <f t="shared" si="34"/>
        <v>5500</v>
      </c>
      <c r="Z143" s="732">
        <f>S143*V143</f>
        <v>5500000</v>
      </c>
      <c r="AA143" s="421"/>
      <c r="AB143" s="222">
        <f t="shared" si="28"/>
        <v>5500000000000</v>
      </c>
      <c r="AC143" s="434">
        <f t="shared" si="29"/>
        <v>5500000000000</v>
      </c>
      <c r="AD143" s="3056">
        <f t="shared" si="30"/>
        <v>0</v>
      </c>
    </row>
    <row r="144" spans="1:30" s="454" customFormat="1" ht="21" customHeight="1">
      <c r="A144" s="1879"/>
      <c r="B144" s="541"/>
      <c r="C144" s="542"/>
      <c r="D144" s="676"/>
      <c r="E144" s="677" t="s">
        <v>58</v>
      </c>
      <c r="F144" s="2125">
        <f t="shared" si="33"/>
        <v>0</v>
      </c>
      <c r="G144" s="2125">
        <v>0</v>
      </c>
      <c r="H144" s="865"/>
      <c r="I144" s="3614"/>
      <c r="J144" s="681" t="s">
        <v>5799</v>
      </c>
      <c r="K144" s="3163"/>
      <c r="L144" s="3163"/>
      <c r="M144" s="3163"/>
      <c r="N144" s="3163"/>
      <c r="O144" s="3163"/>
      <c r="P144" s="3163"/>
      <c r="Q144" s="684"/>
      <c r="R144" s="684"/>
      <c r="S144" s="684">
        <v>720000</v>
      </c>
      <c r="T144" s="684" t="s">
        <v>0</v>
      </c>
      <c r="U144" s="684"/>
      <c r="V144" s="684">
        <v>0</v>
      </c>
      <c r="W144" s="684" t="s">
        <v>3</v>
      </c>
      <c r="X144" s="684" t="s">
        <v>1</v>
      </c>
      <c r="Y144" s="871">
        <f t="shared" si="34"/>
        <v>0</v>
      </c>
      <c r="Z144" s="732">
        <f>S144*V144</f>
        <v>0</v>
      </c>
      <c r="AA144" s="421"/>
      <c r="AB144" s="222">
        <f t="shared" si="28"/>
        <v>0</v>
      </c>
      <c r="AC144" s="434">
        <f t="shared" si="29"/>
        <v>0</v>
      </c>
      <c r="AD144" s="3056">
        <f t="shared" si="30"/>
        <v>0</v>
      </c>
    </row>
    <row r="145" spans="1:30" s="454" customFormat="1" ht="21" customHeight="1">
      <c r="A145" s="1879"/>
      <c r="B145" s="541"/>
      <c r="C145" s="542"/>
      <c r="D145" s="676"/>
      <c r="E145" s="677" t="s">
        <v>71</v>
      </c>
      <c r="F145" s="2125">
        <f t="shared" si="33"/>
        <v>102328.19</v>
      </c>
      <c r="G145" s="2125">
        <v>98228.19</v>
      </c>
      <c r="H145" s="865">
        <f>F145-G145</f>
        <v>4100</v>
      </c>
      <c r="I145" s="3614"/>
      <c r="J145" s="681" t="s">
        <v>8</v>
      </c>
      <c r="K145" s="3614"/>
      <c r="L145" s="3614"/>
      <c r="M145" s="3614"/>
      <c r="N145" s="3614"/>
      <c r="O145" s="3614"/>
      <c r="P145" s="3614"/>
      <c r="Q145" s="684" t="s">
        <v>20</v>
      </c>
      <c r="R145" s="2296" t="s">
        <v>20</v>
      </c>
      <c r="S145" s="684"/>
      <c r="T145" s="684"/>
      <c r="U145" s="684"/>
      <c r="V145" s="684"/>
      <c r="W145" s="684"/>
      <c r="X145" s="684"/>
      <c r="Y145" s="871">
        <f t="shared" si="34"/>
        <v>102328.19</v>
      </c>
      <c r="Z145" s="732">
        <f>SUM(Z146:Z147)</f>
        <v>102328190</v>
      </c>
      <c r="AA145" s="421"/>
      <c r="AB145" s="222">
        <f t="shared" si="28"/>
        <v>102328190000000</v>
      </c>
      <c r="AC145" s="434">
        <f t="shared" si="29"/>
        <v>98228190000000</v>
      </c>
      <c r="AD145" s="3056">
        <f t="shared" si="30"/>
        <v>-4100000000000</v>
      </c>
    </row>
    <row r="146" spans="1:30" s="454" customFormat="1" ht="21" customHeight="1">
      <c r="A146" s="1879"/>
      <c r="B146" s="541"/>
      <c r="C146" s="542"/>
      <c r="D146" s="676"/>
      <c r="E146" s="677"/>
      <c r="F146" s="2125"/>
      <c r="G146" s="2125"/>
      <c r="H146" s="865"/>
      <c r="I146" s="3614"/>
      <c r="J146" s="681" t="s">
        <v>5800</v>
      </c>
      <c r="K146" s="684"/>
      <c r="L146" s="3614"/>
      <c r="M146" s="3614"/>
      <c r="N146" s="3614"/>
      <c r="O146" s="3614"/>
      <c r="P146" s="3614"/>
      <c r="Q146" s="684"/>
      <c r="R146" s="684"/>
      <c r="S146" s="3164">
        <v>18000000</v>
      </c>
      <c r="T146" s="684" t="s">
        <v>0</v>
      </c>
      <c r="U146" s="684"/>
      <c r="V146" s="684">
        <v>1</v>
      </c>
      <c r="W146" s="684" t="s">
        <v>5801</v>
      </c>
      <c r="X146" s="684" t="s">
        <v>1</v>
      </c>
      <c r="Y146" s="871">
        <f t="shared" si="34"/>
        <v>18000</v>
      </c>
      <c r="Z146" s="732">
        <f>S146*V146</f>
        <v>18000000</v>
      </c>
      <c r="AA146" s="421"/>
      <c r="AB146" s="222">
        <f t="shared" si="28"/>
        <v>0</v>
      </c>
      <c r="AC146" s="434">
        <f t="shared" si="29"/>
        <v>0</v>
      </c>
      <c r="AD146" s="3056">
        <f t="shared" si="30"/>
        <v>0</v>
      </c>
    </row>
    <row r="147" spans="1:30" s="454" customFormat="1" ht="21" customHeight="1">
      <c r="A147" s="1879"/>
      <c r="B147" s="541"/>
      <c r="C147" s="542"/>
      <c r="D147" s="676"/>
      <c r="E147" s="677"/>
      <c r="F147" s="2125"/>
      <c r="G147" s="2125"/>
      <c r="H147" s="865"/>
      <c r="I147" s="3614"/>
      <c r="J147" s="681" t="s">
        <v>5802</v>
      </c>
      <c r="K147" s="684"/>
      <c r="L147" s="3614"/>
      <c r="M147" s="3614"/>
      <c r="N147" s="3614"/>
      <c r="O147" s="3614"/>
      <c r="P147" s="3614"/>
      <c r="Q147" s="684"/>
      <c r="R147" s="684"/>
      <c r="S147" s="3164">
        <v>3373127.6</v>
      </c>
      <c r="T147" s="684" t="s">
        <v>0</v>
      </c>
      <c r="U147" s="684"/>
      <c r="V147" s="684">
        <v>25</v>
      </c>
      <c r="W147" s="684" t="s">
        <v>3</v>
      </c>
      <c r="X147" s="684" t="s">
        <v>1</v>
      </c>
      <c r="Y147" s="871">
        <f t="shared" si="34"/>
        <v>84328.19</v>
      </c>
      <c r="Z147" s="732">
        <f>S147*V147</f>
        <v>84328190</v>
      </c>
      <c r="AA147" s="421"/>
      <c r="AB147" s="222">
        <v>84328190</v>
      </c>
      <c r="AC147" s="434">
        <f>AB147/V147</f>
        <v>3373127.6</v>
      </c>
      <c r="AD147" s="3056">
        <f t="shared" si="30"/>
        <v>-80955062.400000006</v>
      </c>
    </row>
    <row r="148" spans="1:30" s="454" customFormat="1" ht="21" customHeight="1">
      <c r="A148" s="1879"/>
      <c r="B148" s="541"/>
      <c r="C148" s="542"/>
      <c r="D148" s="676"/>
      <c r="E148" s="677" t="s">
        <v>5803</v>
      </c>
      <c r="F148" s="2125">
        <f t="shared" ref="F148:F150" si="35">Y148</f>
        <v>500</v>
      </c>
      <c r="G148" s="2125">
        <v>1500</v>
      </c>
      <c r="H148" s="865">
        <f>F148-G148</f>
        <v>-1000</v>
      </c>
      <c r="I148" s="3614"/>
      <c r="J148" s="681" t="s">
        <v>5804</v>
      </c>
      <c r="K148" s="3614"/>
      <c r="L148" s="3614"/>
      <c r="M148" s="3614"/>
      <c r="N148" s="3614"/>
      <c r="O148" s="3614"/>
      <c r="P148" s="3614"/>
      <c r="Q148" s="684" t="s">
        <v>20</v>
      </c>
      <c r="R148" s="2296" t="s">
        <v>20</v>
      </c>
      <c r="S148" s="684">
        <v>500000</v>
      </c>
      <c r="T148" s="684" t="s">
        <v>5789</v>
      </c>
      <c r="U148" s="684"/>
      <c r="V148" s="684">
        <v>1</v>
      </c>
      <c r="W148" s="684" t="s">
        <v>5790</v>
      </c>
      <c r="X148" s="684" t="s">
        <v>5791</v>
      </c>
      <c r="Y148" s="871">
        <f t="shared" si="34"/>
        <v>500</v>
      </c>
      <c r="Z148" s="732">
        <f>S148*V148</f>
        <v>500000</v>
      </c>
      <c r="AA148" s="421"/>
      <c r="AB148" s="222">
        <f t="shared" si="28"/>
        <v>500000000000</v>
      </c>
      <c r="AC148" s="434">
        <f t="shared" si="29"/>
        <v>1500000000000</v>
      </c>
      <c r="AD148" s="3056">
        <f t="shared" si="30"/>
        <v>1000000000000</v>
      </c>
    </row>
    <row r="149" spans="1:30" s="454" customFormat="1" ht="21" customHeight="1">
      <c r="A149" s="1879"/>
      <c r="B149" s="541"/>
      <c r="C149" s="542"/>
      <c r="D149" s="676"/>
      <c r="E149" s="677" t="s">
        <v>62</v>
      </c>
      <c r="F149" s="2125">
        <f t="shared" si="35"/>
        <v>299.89999999999998</v>
      </c>
      <c r="G149" s="2125">
        <v>299.89999999999998</v>
      </c>
      <c r="H149" s="865"/>
      <c r="I149" s="3614"/>
      <c r="J149" s="681" t="s">
        <v>5805</v>
      </c>
      <c r="K149" s="3614"/>
      <c r="L149" s="3614"/>
      <c r="M149" s="3614"/>
      <c r="N149" s="3614"/>
      <c r="O149" s="3614"/>
      <c r="P149" s="3614"/>
      <c r="Q149" s="684"/>
      <c r="R149" s="2296"/>
      <c r="S149" s="684">
        <v>299900</v>
      </c>
      <c r="T149" s="684" t="s">
        <v>0</v>
      </c>
      <c r="U149" s="684"/>
      <c r="V149" s="684">
        <v>1</v>
      </c>
      <c r="W149" s="684" t="s">
        <v>5801</v>
      </c>
      <c r="X149" s="684" t="s">
        <v>5791</v>
      </c>
      <c r="Y149" s="871">
        <f t="shared" si="34"/>
        <v>299.89999999999998</v>
      </c>
      <c r="Z149" s="732">
        <f>S149*V149</f>
        <v>299900</v>
      </c>
      <c r="AA149" s="421"/>
      <c r="AB149" s="222">
        <f t="shared" si="28"/>
        <v>299900000000</v>
      </c>
      <c r="AC149" s="434">
        <f t="shared" si="29"/>
        <v>299900000000</v>
      </c>
      <c r="AD149" s="3056">
        <f t="shared" si="30"/>
        <v>0</v>
      </c>
    </row>
    <row r="150" spans="1:30" s="454" customFormat="1" ht="21" customHeight="1">
      <c r="A150" s="1879"/>
      <c r="B150" s="541"/>
      <c r="C150" s="542"/>
      <c r="D150" s="676"/>
      <c r="E150" s="677" t="s">
        <v>61</v>
      </c>
      <c r="F150" s="2125">
        <f t="shared" si="35"/>
        <v>1100</v>
      </c>
      <c r="G150" s="2125">
        <v>1100</v>
      </c>
      <c r="H150" s="865"/>
      <c r="I150" s="3614"/>
      <c r="J150" s="681" t="s">
        <v>5806</v>
      </c>
      <c r="K150" s="3614"/>
      <c r="L150" s="3614"/>
      <c r="M150" s="3614"/>
      <c r="N150" s="3614"/>
      <c r="O150" s="3614"/>
      <c r="P150" s="3614"/>
      <c r="Q150" s="3163">
        <v>5</v>
      </c>
      <c r="R150" s="2127" t="s">
        <v>25</v>
      </c>
      <c r="S150" s="3164">
        <v>20000</v>
      </c>
      <c r="T150" s="684" t="s">
        <v>0</v>
      </c>
      <c r="U150" s="684"/>
      <c r="V150" s="684">
        <v>11</v>
      </c>
      <c r="W150" s="684" t="s">
        <v>3</v>
      </c>
      <c r="X150" s="684" t="s">
        <v>1</v>
      </c>
      <c r="Y150" s="871">
        <f t="shared" si="34"/>
        <v>1100</v>
      </c>
      <c r="Z150" s="732">
        <f>Q150*S150*V150</f>
        <v>1100000</v>
      </c>
      <c r="AA150" s="421"/>
      <c r="AB150" s="222">
        <f t="shared" si="28"/>
        <v>1100000000000</v>
      </c>
      <c r="AC150" s="434">
        <f t="shared" si="29"/>
        <v>1100000000000</v>
      </c>
      <c r="AD150" s="3056">
        <f t="shared" si="30"/>
        <v>0</v>
      </c>
    </row>
    <row r="151" spans="1:30" s="421" customFormat="1" ht="21" customHeight="1">
      <c r="A151" s="2297"/>
      <c r="B151" s="1420"/>
      <c r="C151" s="3872" t="s">
        <v>1158</v>
      </c>
      <c r="D151" s="3830"/>
      <c r="E151" s="3831"/>
      <c r="F151" s="2222">
        <f>F152</f>
        <v>140000</v>
      </c>
      <c r="G151" s="2222">
        <f>G152</f>
        <v>140000</v>
      </c>
      <c r="H151" s="984">
        <f>F151-G151</f>
        <v>0</v>
      </c>
      <c r="I151" s="682"/>
      <c r="J151" s="1535"/>
      <c r="K151" s="1536"/>
      <c r="L151" s="1536"/>
      <c r="M151" s="1536"/>
      <c r="N151" s="1536"/>
      <c r="O151" s="1536"/>
      <c r="P151" s="1536"/>
      <c r="Q151" s="1009"/>
      <c r="R151" s="1990"/>
      <c r="S151" s="1010"/>
      <c r="T151" s="1084"/>
      <c r="U151" s="1084"/>
      <c r="V151" s="1084"/>
      <c r="W151" s="1084"/>
      <c r="X151" s="1084"/>
      <c r="Y151" s="965"/>
      <c r="Z151" s="3426"/>
      <c r="AB151" s="434">
        <f t="shared" si="28"/>
        <v>140000000000000</v>
      </c>
      <c r="AC151" s="434">
        <f t="shared" si="29"/>
        <v>140000000000000</v>
      </c>
      <c r="AD151" s="3056">
        <f t="shared" si="30"/>
        <v>0</v>
      </c>
    </row>
    <row r="152" spans="1:30" s="454" customFormat="1" ht="21" customHeight="1">
      <c r="A152" s="2297"/>
      <c r="B152" s="1420"/>
      <c r="C152" s="870"/>
      <c r="D152" s="3863" t="s">
        <v>1159</v>
      </c>
      <c r="E152" s="3864"/>
      <c r="F152" s="2222">
        <f>SUM(F153:F180)</f>
        <v>140000</v>
      </c>
      <c r="G152" s="2222">
        <f>SUM(G153:G180)</f>
        <v>140000</v>
      </c>
      <c r="H152" s="1059">
        <f>SUM(H153:H180)</f>
        <v>0</v>
      </c>
      <c r="I152" s="682"/>
      <c r="J152" s="1989"/>
      <c r="K152" s="1536"/>
      <c r="L152" s="1536"/>
      <c r="M152" s="1536"/>
      <c r="N152" s="1536"/>
      <c r="O152" s="1536"/>
      <c r="P152" s="1536"/>
      <c r="Q152" s="1536"/>
      <c r="R152" s="1990"/>
      <c r="S152" s="1536"/>
      <c r="T152" s="1536"/>
      <c r="U152" s="1536"/>
      <c r="V152" s="1536"/>
      <c r="W152" s="1536"/>
      <c r="X152" s="1536"/>
      <c r="Y152" s="1991"/>
      <c r="Z152" s="1987"/>
      <c r="AB152" s="434">
        <f t="shared" si="28"/>
        <v>140000000000000</v>
      </c>
      <c r="AC152" s="434">
        <f t="shared" si="29"/>
        <v>140000000000000</v>
      </c>
      <c r="AD152" s="3056">
        <f t="shared" si="30"/>
        <v>0</v>
      </c>
    </row>
    <row r="153" spans="1:30" s="454" customFormat="1" ht="21" customHeight="1">
      <c r="A153" s="540"/>
      <c r="B153" s="542"/>
      <c r="C153" s="2020"/>
      <c r="D153" s="2020"/>
      <c r="E153" s="677" t="s">
        <v>81</v>
      </c>
      <c r="F153" s="2125">
        <f>+Y153</f>
        <v>64000</v>
      </c>
      <c r="G153" s="2126">
        <v>64000</v>
      </c>
      <c r="H153" s="854"/>
      <c r="I153" s="3507"/>
      <c r="J153" s="681" t="s">
        <v>8</v>
      </c>
      <c r="K153" s="3507"/>
      <c r="L153" s="3507"/>
      <c r="M153" s="3507"/>
      <c r="N153" s="3507"/>
      <c r="O153" s="3507"/>
      <c r="P153" s="3507"/>
      <c r="Q153" s="3163"/>
      <c r="R153" s="2127"/>
      <c r="S153" s="3164"/>
      <c r="T153" s="684"/>
      <c r="U153" s="684"/>
      <c r="V153" s="684"/>
      <c r="W153" s="684"/>
      <c r="X153" s="684"/>
      <c r="Y153" s="871">
        <f>(Z153)/1000</f>
        <v>64000</v>
      </c>
      <c r="Z153" s="2313">
        <f>SUM(Z154:Z156)</f>
        <v>64000000</v>
      </c>
      <c r="AB153" s="434"/>
      <c r="AC153" s="434"/>
      <c r="AD153" s="3056"/>
    </row>
    <row r="154" spans="1:30" s="454" customFormat="1" ht="21" customHeight="1">
      <c r="A154" s="540"/>
      <c r="B154" s="541"/>
      <c r="C154" s="542"/>
      <c r="D154" s="2020"/>
      <c r="E154" s="677"/>
      <c r="F154" s="3507"/>
      <c r="G154" s="2126"/>
      <c r="H154" s="865"/>
      <c r="I154" s="3507"/>
      <c r="J154" s="681" t="s">
        <v>406</v>
      </c>
      <c r="K154" s="3507"/>
      <c r="L154" s="3507"/>
      <c r="M154" s="3507"/>
      <c r="N154" s="3507"/>
      <c r="O154" s="3507"/>
      <c r="P154" s="3507"/>
      <c r="Q154" s="3163">
        <v>2</v>
      </c>
      <c r="R154" s="2127" t="s">
        <v>25</v>
      </c>
      <c r="S154" s="3164">
        <v>2400000</v>
      </c>
      <c r="T154" s="684" t="s">
        <v>0</v>
      </c>
      <c r="U154" s="684"/>
      <c r="V154" s="684">
        <v>12</v>
      </c>
      <c r="W154" s="684" t="s">
        <v>2</v>
      </c>
      <c r="X154" s="684" t="s">
        <v>1</v>
      </c>
      <c r="Y154" s="871">
        <f t="shared" ref="Y154:Y179" si="36">+Z154/1000</f>
        <v>57600</v>
      </c>
      <c r="Z154" s="2313">
        <f>Q154*S154*V154</f>
        <v>57600000</v>
      </c>
      <c r="AB154" s="434"/>
      <c r="AC154" s="434"/>
      <c r="AD154" s="3056"/>
    </row>
    <row r="155" spans="1:30" s="454" customFormat="1" ht="21" customHeight="1">
      <c r="A155" s="540"/>
      <c r="B155" s="541"/>
      <c r="C155" s="542"/>
      <c r="D155" s="2020"/>
      <c r="E155" s="677"/>
      <c r="F155" s="3507"/>
      <c r="G155" s="2126"/>
      <c r="H155" s="865"/>
      <c r="I155" s="3507"/>
      <c r="J155" s="681" t="s">
        <v>5257</v>
      </c>
      <c r="K155" s="3507"/>
      <c r="L155" s="3507"/>
      <c r="M155" s="3507"/>
      <c r="N155" s="3507"/>
      <c r="O155" s="3507"/>
      <c r="P155" s="3507"/>
      <c r="Q155" s="3163">
        <v>2</v>
      </c>
      <c r="R155" s="2127" t="s">
        <v>25</v>
      </c>
      <c r="S155" s="3164">
        <v>2400000</v>
      </c>
      <c r="T155" s="684" t="s">
        <v>0</v>
      </c>
      <c r="U155" s="684"/>
      <c r="V155" s="684">
        <v>1</v>
      </c>
      <c r="W155" s="684" t="s">
        <v>5258</v>
      </c>
      <c r="X155" s="684" t="s">
        <v>1</v>
      </c>
      <c r="Y155" s="871">
        <f t="shared" si="36"/>
        <v>4800</v>
      </c>
      <c r="Z155" s="2313">
        <f>Q155*S155*V155</f>
        <v>4800000</v>
      </c>
      <c r="AB155" s="434"/>
      <c r="AC155" s="434"/>
      <c r="AD155" s="3056"/>
    </row>
    <row r="156" spans="1:30" s="454" customFormat="1" ht="21" customHeight="1">
      <c r="A156" s="540"/>
      <c r="B156" s="541"/>
      <c r="C156" s="542"/>
      <c r="D156" s="2020"/>
      <c r="E156" s="677"/>
      <c r="F156" s="3507"/>
      <c r="G156" s="2126"/>
      <c r="H156" s="865"/>
      <c r="I156" s="3507"/>
      <c r="J156" s="681" t="s">
        <v>5259</v>
      </c>
      <c r="K156" s="3507"/>
      <c r="L156" s="3507"/>
      <c r="M156" s="3507"/>
      <c r="N156" s="3507"/>
      <c r="O156" s="3507"/>
      <c r="P156" s="3507"/>
      <c r="Q156" s="3163">
        <v>2</v>
      </c>
      <c r="R156" s="2127" t="s">
        <v>25</v>
      </c>
      <c r="S156" s="3164">
        <v>100000</v>
      </c>
      <c r="T156" s="684" t="s">
        <v>0</v>
      </c>
      <c r="U156" s="684"/>
      <c r="V156" s="684">
        <v>8</v>
      </c>
      <c r="W156" s="684" t="s">
        <v>5258</v>
      </c>
      <c r="X156" s="684" t="s">
        <v>1</v>
      </c>
      <c r="Y156" s="871">
        <f t="shared" si="36"/>
        <v>1600</v>
      </c>
      <c r="Z156" s="2313">
        <f>Q156*S156*V156</f>
        <v>1600000</v>
      </c>
      <c r="AB156" s="434"/>
      <c r="AC156" s="434"/>
      <c r="AD156" s="3056"/>
    </row>
    <row r="157" spans="1:30" s="454" customFormat="1" ht="21" customHeight="1">
      <c r="A157" s="540"/>
      <c r="B157" s="541"/>
      <c r="C157" s="542"/>
      <c r="D157" s="2020"/>
      <c r="E157" s="677" t="s">
        <v>80</v>
      </c>
      <c r="F157" s="2125">
        <f t="shared" ref="F157:F180" si="37">+Y157</f>
        <v>6600</v>
      </c>
      <c r="G157" s="2126">
        <v>6600</v>
      </c>
      <c r="H157" s="865"/>
      <c r="I157" s="3507"/>
      <c r="J157" s="681" t="s">
        <v>8</v>
      </c>
      <c r="K157" s="3507"/>
      <c r="L157" s="3507"/>
      <c r="M157" s="3507"/>
      <c r="N157" s="3507"/>
      <c r="O157" s="3507"/>
      <c r="P157" s="3507"/>
      <c r="Q157" s="3507"/>
      <c r="R157" s="2127"/>
      <c r="S157" s="3164"/>
      <c r="T157" s="684"/>
      <c r="U157" s="684"/>
      <c r="V157" s="684"/>
      <c r="W157" s="684"/>
      <c r="X157" s="684" t="s">
        <v>20</v>
      </c>
      <c r="Y157" s="871">
        <f t="shared" si="36"/>
        <v>6600</v>
      </c>
      <c r="Z157" s="2313">
        <f>SUM(Z158:Z160)</f>
        <v>6600000</v>
      </c>
      <c r="AB157" s="434"/>
      <c r="AC157" s="434"/>
      <c r="AD157" s="3056"/>
    </row>
    <row r="158" spans="1:30" s="454" customFormat="1" ht="23.1" customHeight="1">
      <c r="A158" s="540"/>
      <c r="B158" s="541"/>
      <c r="C158" s="542"/>
      <c r="D158" s="2020"/>
      <c r="E158" s="677"/>
      <c r="F158" s="2125"/>
      <c r="G158" s="2126"/>
      <c r="H158" s="865"/>
      <c r="I158" s="3507"/>
      <c r="J158" s="681" t="s">
        <v>407</v>
      </c>
      <c r="K158" s="3507"/>
      <c r="L158" s="3507"/>
      <c r="M158" s="3507"/>
      <c r="N158" s="3507"/>
      <c r="O158" s="3507"/>
      <c r="P158" s="3507"/>
      <c r="Q158" s="3507"/>
      <c r="R158" s="2127"/>
      <c r="S158" s="684">
        <v>200000</v>
      </c>
      <c r="T158" s="684" t="s">
        <v>0</v>
      </c>
      <c r="U158" s="684"/>
      <c r="V158" s="684">
        <v>12</v>
      </c>
      <c r="W158" s="684" t="s">
        <v>2</v>
      </c>
      <c r="X158" s="684" t="s">
        <v>1</v>
      </c>
      <c r="Y158" s="871">
        <f t="shared" si="36"/>
        <v>2400</v>
      </c>
      <c r="Z158" s="2313">
        <f>S158*V158</f>
        <v>2400000</v>
      </c>
      <c r="AB158" s="434"/>
      <c r="AC158" s="434"/>
      <c r="AD158" s="3056"/>
    </row>
    <row r="159" spans="1:30" s="454" customFormat="1" ht="23.1" customHeight="1">
      <c r="A159" s="540"/>
      <c r="B159" s="541"/>
      <c r="C159" s="542"/>
      <c r="D159" s="2020"/>
      <c r="E159" s="677"/>
      <c r="F159" s="2125"/>
      <c r="G159" s="2126"/>
      <c r="H159" s="865"/>
      <c r="I159" s="3507"/>
      <c r="J159" s="681" t="s">
        <v>5260</v>
      </c>
      <c r="K159" s="3507"/>
      <c r="L159" s="3507"/>
      <c r="M159" s="3507"/>
      <c r="N159" s="3507"/>
      <c r="O159" s="3507"/>
      <c r="P159" s="3507"/>
      <c r="Q159" s="3163"/>
      <c r="R159" s="2127"/>
      <c r="S159" s="684">
        <v>2000000</v>
      </c>
      <c r="T159" s="684" t="s">
        <v>0</v>
      </c>
      <c r="U159" s="684"/>
      <c r="V159" s="684">
        <v>1</v>
      </c>
      <c r="W159" s="684" t="s">
        <v>3</v>
      </c>
      <c r="X159" s="684" t="s">
        <v>1</v>
      </c>
      <c r="Y159" s="871">
        <f t="shared" si="36"/>
        <v>2000</v>
      </c>
      <c r="Z159" s="2313">
        <f>S159*V159</f>
        <v>2000000</v>
      </c>
      <c r="AB159" s="434"/>
      <c r="AC159" s="434"/>
      <c r="AD159" s="3056"/>
    </row>
    <row r="160" spans="1:30" s="454" customFormat="1" ht="23.1" customHeight="1">
      <c r="A160" s="540"/>
      <c r="B160" s="541"/>
      <c r="C160" s="542"/>
      <c r="D160" s="2020"/>
      <c r="E160" s="677"/>
      <c r="F160" s="2125"/>
      <c r="G160" s="2126"/>
      <c r="H160" s="865"/>
      <c r="I160" s="3507"/>
      <c r="J160" s="681" t="s">
        <v>5261</v>
      </c>
      <c r="K160" s="3507"/>
      <c r="L160" s="3507"/>
      <c r="M160" s="3507"/>
      <c r="N160" s="3507"/>
      <c r="O160" s="3507"/>
      <c r="P160" s="3507"/>
      <c r="Q160" s="3163"/>
      <c r="R160" s="2127"/>
      <c r="S160" s="684">
        <v>2200000</v>
      </c>
      <c r="T160" s="684" t="s">
        <v>0</v>
      </c>
      <c r="U160" s="684"/>
      <c r="V160" s="684">
        <v>1</v>
      </c>
      <c r="W160" s="684" t="s">
        <v>3</v>
      </c>
      <c r="X160" s="684" t="s">
        <v>1</v>
      </c>
      <c r="Y160" s="871">
        <f t="shared" si="36"/>
        <v>2200</v>
      </c>
      <c r="Z160" s="2313">
        <f>S160*V160</f>
        <v>2200000</v>
      </c>
      <c r="AB160" s="434"/>
      <c r="AC160" s="434"/>
      <c r="AD160" s="3056"/>
    </row>
    <row r="161" spans="1:30" s="454" customFormat="1" ht="21.95" customHeight="1">
      <c r="A161" s="540"/>
      <c r="B161" s="541"/>
      <c r="C161" s="542"/>
      <c r="D161" s="2020"/>
      <c r="E161" s="677" t="s">
        <v>95</v>
      </c>
      <c r="F161" s="2125">
        <f t="shared" si="37"/>
        <v>1200</v>
      </c>
      <c r="G161" s="2126">
        <v>2400</v>
      </c>
      <c r="H161" s="1021">
        <f>F161-G161</f>
        <v>-1200</v>
      </c>
      <c r="I161" s="3507"/>
      <c r="J161" s="681" t="s">
        <v>408</v>
      </c>
      <c r="K161" s="3507"/>
      <c r="L161" s="3507"/>
      <c r="M161" s="3507"/>
      <c r="N161" s="3507"/>
      <c r="O161" s="3507"/>
      <c r="P161" s="3507"/>
      <c r="Q161" s="684">
        <v>2</v>
      </c>
      <c r="R161" s="3509" t="s">
        <v>25</v>
      </c>
      <c r="S161" s="684">
        <v>100000</v>
      </c>
      <c r="T161" s="684" t="s">
        <v>0</v>
      </c>
      <c r="U161" s="684"/>
      <c r="V161" s="684">
        <v>6</v>
      </c>
      <c r="W161" s="684" t="s">
        <v>3</v>
      </c>
      <c r="X161" s="684" t="s">
        <v>1</v>
      </c>
      <c r="Y161" s="871">
        <f t="shared" si="36"/>
        <v>1200</v>
      </c>
      <c r="Z161" s="2313">
        <f>Q161*S161*V161</f>
        <v>1200000</v>
      </c>
      <c r="AB161" s="434"/>
      <c r="AC161" s="434"/>
      <c r="AD161" s="3056"/>
    </row>
    <row r="162" spans="1:30" s="454" customFormat="1" ht="21.95" customHeight="1">
      <c r="A162" s="540"/>
      <c r="B162" s="541"/>
      <c r="C162" s="542"/>
      <c r="D162" s="2020"/>
      <c r="E162" s="677" t="s">
        <v>82</v>
      </c>
      <c r="F162" s="2125">
        <f t="shared" si="37"/>
        <v>11900</v>
      </c>
      <c r="G162" s="2126">
        <v>9700</v>
      </c>
      <c r="H162" s="1021">
        <f>F162-G162</f>
        <v>2200</v>
      </c>
      <c r="I162" s="3507"/>
      <c r="J162" s="681" t="s">
        <v>8</v>
      </c>
      <c r="K162" s="3507"/>
      <c r="L162" s="3507"/>
      <c r="M162" s="3507"/>
      <c r="N162" s="3507"/>
      <c r="O162" s="3507"/>
      <c r="P162" s="3507"/>
      <c r="Q162" s="3507"/>
      <c r="R162" s="3507"/>
      <c r="S162" s="3507"/>
      <c r="T162" s="3507"/>
      <c r="U162" s="3507"/>
      <c r="V162" s="3507"/>
      <c r="W162" s="3507"/>
      <c r="X162" s="3507"/>
      <c r="Y162" s="871">
        <f t="shared" si="36"/>
        <v>11900</v>
      </c>
      <c r="Z162" s="2313">
        <f>SUM(Z163:Z165)</f>
        <v>11900000</v>
      </c>
      <c r="AB162" s="434"/>
      <c r="AC162" s="434"/>
      <c r="AD162" s="3056"/>
    </row>
    <row r="163" spans="1:30" s="454" customFormat="1" ht="21.95" customHeight="1">
      <c r="A163" s="540"/>
      <c r="B163" s="541"/>
      <c r="C163" s="542"/>
      <c r="D163" s="2020"/>
      <c r="E163" s="677"/>
      <c r="F163" s="2125"/>
      <c r="G163" s="2126"/>
      <c r="H163" s="865"/>
      <c r="I163" s="3507"/>
      <c r="J163" s="681" t="s">
        <v>5262</v>
      </c>
      <c r="K163" s="3507"/>
      <c r="L163" s="3507"/>
      <c r="M163" s="3507"/>
      <c r="N163" s="3507"/>
      <c r="O163" s="3507"/>
      <c r="P163" s="3507"/>
      <c r="Q163" s="3163"/>
      <c r="R163" s="2127"/>
      <c r="S163" s="3164">
        <v>4900000</v>
      </c>
      <c r="T163" s="684" t="s">
        <v>0</v>
      </c>
      <c r="U163" s="684"/>
      <c r="V163" s="684">
        <v>1</v>
      </c>
      <c r="W163" s="684" t="s">
        <v>5258</v>
      </c>
      <c r="X163" s="684" t="s">
        <v>1</v>
      </c>
      <c r="Y163" s="871">
        <f t="shared" si="36"/>
        <v>4900</v>
      </c>
      <c r="Z163" s="2313">
        <f>S163*V163</f>
        <v>4900000</v>
      </c>
      <c r="AB163" s="434"/>
      <c r="AC163" s="434"/>
      <c r="AD163" s="3056"/>
    </row>
    <row r="164" spans="1:30" s="454" customFormat="1" ht="21.95" customHeight="1">
      <c r="A164" s="540"/>
      <c r="B164" s="541"/>
      <c r="C164" s="542"/>
      <c r="D164" s="2020"/>
      <c r="E164" s="677"/>
      <c r="F164" s="2125"/>
      <c r="G164" s="2126"/>
      <c r="H164" s="865"/>
      <c r="I164" s="3507"/>
      <c r="J164" s="681" t="s">
        <v>5263</v>
      </c>
      <c r="K164" s="3507"/>
      <c r="L164" s="3507"/>
      <c r="M164" s="3507"/>
      <c r="N164" s="3507"/>
      <c r="O164" s="3507"/>
      <c r="P164" s="3507"/>
      <c r="Q164" s="3163"/>
      <c r="R164" s="2127"/>
      <c r="S164" s="3164">
        <v>300000</v>
      </c>
      <c r="T164" s="684" t="s">
        <v>0</v>
      </c>
      <c r="U164" s="684"/>
      <c r="V164" s="684">
        <v>6</v>
      </c>
      <c r="W164" s="684" t="s">
        <v>3</v>
      </c>
      <c r="X164" s="684" t="s">
        <v>1</v>
      </c>
      <c r="Y164" s="871">
        <f t="shared" si="36"/>
        <v>1800</v>
      </c>
      <c r="Z164" s="2313">
        <f>S164*V164</f>
        <v>1800000</v>
      </c>
      <c r="AB164" s="434"/>
      <c r="AC164" s="434"/>
      <c r="AD164" s="3056"/>
    </row>
    <row r="165" spans="1:30" s="454" customFormat="1" ht="21.95" customHeight="1">
      <c r="A165" s="540"/>
      <c r="B165" s="541"/>
      <c r="C165" s="542"/>
      <c r="D165" s="2020"/>
      <c r="E165" s="677"/>
      <c r="F165" s="2125"/>
      <c r="G165" s="2126"/>
      <c r="H165" s="865"/>
      <c r="I165" s="3507"/>
      <c r="J165" s="681" t="s">
        <v>5264</v>
      </c>
      <c r="K165" s="3507"/>
      <c r="L165" s="3507"/>
      <c r="M165" s="3507"/>
      <c r="N165" s="3507"/>
      <c r="O165" s="3507"/>
      <c r="P165" s="3507"/>
      <c r="Q165" s="3163"/>
      <c r="R165" s="2127"/>
      <c r="S165" s="3164">
        <v>520000</v>
      </c>
      <c r="T165" s="684" t="s">
        <v>0</v>
      </c>
      <c r="U165" s="684"/>
      <c r="V165" s="684">
        <v>10</v>
      </c>
      <c r="W165" s="684" t="s">
        <v>3</v>
      </c>
      <c r="X165" s="684" t="s">
        <v>1</v>
      </c>
      <c r="Y165" s="871">
        <f t="shared" si="36"/>
        <v>5200</v>
      </c>
      <c r="Z165" s="2313">
        <f>S165*V165</f>
        <v>5200000</v>
      </c>
      <c r="AB165" s="434"/>
      <c r="AC165" s="434"/>
      <c r="AD165" s="3056"/>
    </row>
    <row r="166" spans="1:30" s="454" customFormat="1" ht="21.95" customHeight="1">
      <c r="A166" s="540"/>
      <c r="B166" s="541"/>
      <c r="C166" s="542"/>
      <c r="D166" s="2020"/>
      <c r="E166" s="677" t="s">
        <v>5265</v>
      </c>
      <c r="F166" s="2125">
        <f>+Y166</f>
        <v>1100</v>
      </c>
      <c r="G166" s="2126">
        <v>1100</v>
      </c>
      <c r="H166" s="865"/>
      <c r="I166" s="3507"/>
      <c r="J166" s="681" t="s">
        <v>5266</v>
      </c>
      <c r="K166" s="3507"/>
      <c r="L166" s="3507"/>
      <c r="M166" s="3507"/>
      <c r="N166" s="3507"/>
      <c r="O166" s="3507"/>
      <c r="P166" s="3507"/>
      <c r="Q166" s="3507"/>
      <c r="R166" s="2127"/>
      <c r="S166" s="3164">
        <v>1100000</v>
      </c>
      <c r="T166" s="684" t="s">
        <v>0</v>
      </c>
      <c r="U166" s="684"/>
      <c r="V166" s="684">
        <v>1</v>
      </c>
      <c r="W166" s="684" t="s">
        <v>5258</v>
      </c>
      <c r="X166" s="684" t="s">
        <v>1</v>
      </c>
      <c r="Y166" s="871">
        <f>+Z166/1000</f>
        <v>1100</v>
      </c>
      <c r="Z166" s="2313">
        <f>S166*V166</f>
        <v>1100000</v>
      </c>
      <c r="AB166" s="434"/>
      <c r="AC166" s="434"/>
      <c r="AD166" s="3056"/>
    </row>
    <row r="167" spans="1:30" s="454" customFormat="1" ht="21.95" customHeight="1">
      <c r="A167" s="540"/>
      <c r="B167" s="541"/>
      <c r="C167" s="542"/>
      <c r="D167" s="2020"/>
      <c r="E167" s="677" t="s">
        <v>83</v>
      </c>
      <c r="F167" s="2125">
        <f>+Y167</f>
        <v>10000</v>
      </c>
      <c r="G167" s="2126">
        <v>7000</v>
      </c>
      <c r="H167" s="1021">
        <f>F167-G167</f>
        <v>3000</v>
      </c>
      <c r="I167" s="3507"/>
      <c r="J167" s="681" t="s">
        <v>8</v>
      </c>
      <c r="K167" s="3507"/>
      <c r="L167" s="3507"/>
      <c r="M167" s="3507"/>
      <c r="N167" s="3507"/>
      <c r="O167" s="3507"/>
      <c r="P167" s="3507"/>
      <c r="Q167" s="3163"/>
      <c r="R167" s="2127"/>
      <c r="S167" s="3164"/>
      <c r="T167" s="684"/>
      <c r="U167" s="684"/>
      <c r="V167" s="684"/>
      <c r="W167" s="684"/>
      <c r="X167" s="684"/>
      <c r="Y167" s="871">
        <f>+Z167/1000</f>
        <v>10000</v>
      </c>
      <c r="Z167" s="2313">
        <f>SUM(Z168:Z169)</f>
        <v>10000000</v>
      </c>
      <c r="AB167" s="434"/>
      <c r="AC167" s="434"/>
      <c r="AD167" s="3056"/>
    </row>
    <row r="168" spans="1:30" s="454" customFormat="1" ht="21.95" customHeight="1">
      <c r="A168" s="540"/>
      <c r="B168" s="541"/>
      <c r="C168" s="542"/>
      <c r="D168" s="2020"/>
      <c r="E168" s="677"/>
      <c r="F168" s="2125"/>
      <c r="G168" s="2126"/>
      <c r="H168" s="865"/>
      <c r="I168" s="3507"/>
      <c r="J168" s="681" t="s">
        <v>5267</v>
      </c>
      <c r="K168" s="3507"/>
      <c r="L168" s="3507"/>
      <c r="M168" s="3507"/>
      <c r="N168" s="3507"/>
      <c r="O168" s="3507"/>
      <c r="P168" s="3507"/>
      <c r="Q168" s="3163"/>
      <c r="R168" s="2127"/>
      <c r="S168" s="3164">
        <v>8000000</v>
      </c>
      <c r="T168" s="684" t="s">
        <v>0</v>
      </c>
      <c r="U168" s="684"/>
      <c r="V168" s="684">
        <v>1</v>
      </c>
      <c r="W168" s="684" t="s">
        <v>3</v>
      </c>
      <c r="X168" s="684" t="s">
        <v>1</v>
      </c>
      <c r="Y168" s="871">
        <f>+Z168/1000</f>
        <v>8000</v>
      </c>
      <c r="Z168" s="2313">
        <f>S168*V168</f>
        <v>8000000</v>
      </c>
      <c r="AB168" s="434"/>
      <c r="AC168" s="434"/>
      <c r="AD168" s="3056"/>
    </row>
    <row r="169" spans="1:30" s="454" customFormat="1" ht="21.95" customHeight="1">
      <c r="A169" s="540"/>
      <c r="B169" s="541"/>
      <c r="C169" s="542"/>
      <c r="D169" s="2020"/>
      <c r="E169" s="677"/>
      <c r="F169" s="2125"/>
      <c r="G169" s="2126"/>
      <c r="H169" s="865"/>
      <c r="I169" s="3507"/>
      <c r="J169" s="681" t="s">
        <v>5268</v>
      </c>
      <c r="K169" s="3507"/>
      <c r="L169" s="3507"/>
      <c r="M169" s="3507"/>
      <c r="N169" s="3507"/>
      <c r="O169" s="3507"/>
      <c r="P169" s="3507"/>
      <c r="Q169" s="3163"/>
      <c r="R169" s="2127"/>
      <c r="S169" s="3164">
        <v>2000000</v>
      </c>
      <c r="T169" s="684" t="s">
        <v>0</v>
      </c>
      <c r="U169" s="684"/>
      <c r="V169" s="684">
        <v>1</v>
      </c>
      <c r="W169" s="684" t="s">
        <v>3</v>
      </c>
      <c r="X169" s="684" t="s">
        <v>1</v>
      </c>
      <c r="Y169" s="871">
        <f>+Z169/1000</f>
        <v>2000</v>
      </c>
      <c r="Z169" s="2313">
        <f>S169*V169</f>
        <v>2000000</v>
      </c>
      <c r="AB169" s="434"/>
      <c r="AC169" s="434"/>
      <c r="AD169" s="3056"/>
    </row>
    <row r="170" spans="1:30" s="454" customFormat="1" ht="21.95" customHeight="1">
      <c r="A170" s="540"/>
      <c r="B170" s="541"/>
      <c r="C170" s="542"/>
      <c r="D170" s="2020"/>
      <c r="E170" s="677" t="s">
        <v>58</v>
      </c>
      <c r="F170" s="2125">
        <f t="shared" si="37"/>
        <v>5000</v>
      </c>
      <c r="G170" s="2126">
        <v>7000</v>
      </c>
      <c r="H170" s="1021">
        <f>F170-G170</f>
        <v>-2000</v>
      </c>
      <c r="I170" s="3507"/>
      <c r="J170" s="681" t="s">
        <v>8</v>
      </c>
      <c r="K170" s="3507"/>
      <c r="L170" s="3507"/>
      <c r="M170" s="3507"/>
      <c r="N170" s="3507"/>
      <c r="O170" s="3507"/>
      <c r="P170" s="3507"/>
      <c r="Q170" s="3507"/>
      <c r="R170" s="2127"/>
      <c r="S170" s="3164"/>
      <c r="T170" s="684"/>
      <c r="U170" s="684"/>
      <c r="V170" s="684"/>
      <c r="W170" s="684"/>
      <c r="X170" s="684" t="s">
        <v>20</v>
      </c>
      <c r="Y170" s="871">
        <f t="shared" si="36"/>
        <v>5000</v>
      </c>
      <c r="Z170" s="2313">
        <f>SUM(Z171:Z172)</f>
        <v>5000000</v>
      </c>
      <c r="AB170" s="434"/>
      <c r="AC170" s="434"/>
      <c r="AD170" s="3056"/>
    </row>
    <row r="171" spans="1:30" s="456" customFormat="1" ht="21.95" customHeight="1">
      <c r="A171" s="540"/>
      <c r="B171" s="541"/>
      <c r="C171" s="542"/>
      <c r="D171" s="2020"/>
      <c r="E171" s="677"/>
      <c r="F171" s="2125"/>
      <c r="G171" s="2126"/>
      <c r="H171" s="865"/>
      <c r="I171" s="3507"/>
      <c r="J171" s="681" t="s">
        <v>5269</v>
      </c>
      <c r="K171" s="3507"/>
      <c r="L171" s="3507"/>
      <c r="M171" s="3507"/>
      <c r="N171" s="3507"/>
      <c r="O171" s="3507"/>
      <c r="P171" s="3507"/>
      <c r="Q171" s="3507"/>
      <c r="R171" s="2127"/>
      <c r="S171" s="684">
        <v>500000</v>
      </c>
      <c r="T171" s="684" t="s">
        <v>0</v>
      </c>
      <c r="U171" s="684"/>
      <c r="V171" s="684">
        <v>6</v>
      </c>
      <c r="W171" s="684" t="s">
        <v>3</v>
      </c>
      <c r="X171" s="684" t="s">
        <v>1</v>
      </c>
      <c r="Y171" s="871">
        <f t="shared" si="36"/>
        <v>3000</v>
      </c>
      <c r="Z171" s="2313">
        <f>S171*V171</f>
        <v>3000000</v>
      </c>
      <c r="AB171" s="434"/>
      <c r="AC171" s="434"/>
      <c r="AD171" s="3056"/>
    </row>
    <row r="172" spans="1:30" s="454" customFormat="1" ht="21.95" customHeight="1">
      <c r="A172" s="540"/>
      <c r="B172" s="541"/>
      <c r="C172" s="541"/>
      <c r="D172" s="2020"/>
      <c r="E172" s="677"/>
      <c r="F172" s="2125"/>
      <c r="G172" s="2126"/>
      <c r="H172" s="865"/>
      <c r="I172" s="3507"/>
      <c r="J172" s="681" t="s">
        <v>5270</v>
      </c>
      <c r="K172" s="3507"/>
      <c r="L172" s="3507"/>
      <c r="M172" s="3507"/>
      <c r="N172" s="3507"/>
      <c r="O172" s="3507"/>
      <c r="P172" s="3507"/>
      <c r="Q172" s="3507"/>
      <c r="R172" s="2127"/>
      <c r="S172" s="684">
        <v>1000000</v>
      </c>
      <c r="T172" s="684" t="s">
        <v>0</v>
      </c>
      <c r="U172" s="684"/>
      <c r="V172" s="684">
        <v>2</v>
      </c>
      <c r="W172" s="684" t="s">
        <v>3</v>
      </c>
      <c r="X172" s="684" t="s">
        <v>1</v>
      </c>
      <c r="Y172" s="871">
        <f t="shared" si="36"/>
        <v>2000</v>
      </c>
      <c r="Z172" s="1724">
        <f>S172*V172</f>
        <v>2000000</v>
      </c>
      <c r="AB172" s="434"/>
      <c r="AC172" s="434"/>
      <c r="AD172" s="3056"/>
    </row>
    <row r="173" spans="1:30" s="454" customFormat="1" ht="21.95" customHeight="1">
      <c r="A173" s="540"/>
      <c r="B173" s="541"/>
      <c r="C173" s="542"/>
      <c r="D173" s="2020"/>
      <c r="E173" s="677" t="s">
        <v>71</v>
      </c>
      <c r="F173" s="2125">
        <f t="shared" ref="F173" si="38">+Y173</f>
        <v>34400</v>
      </c>
      <c r="G173" s="2126">
        <v>29000</v>
      </c>
      <c r="H173" s="1021">
        <f>F173-G173</f>
        <v>5400</v>
      </c>
      <c r="I173" s="3507"/>
      <c r="J173" s="681" t="s">
        <v>8</v>
      </c>
      <c r="K173" s="3507"/>
      <c r="L173" s="3507"/>
      <c r="M173" s="3507"/>
      <c r="N173" s="3507"/>
      <c r="O173" s="3507"/>
      <c r="P173" s="3507"/>
      <c r="Q173" s="3507"/>
      <c r="R173" s="2127"/>
      <c r="S173" s="3164"/>
      <c r="T173" s="684"/>
      <c r="U173" s="684"/>
      <c r="V173" s="684"/>
      <c r="W173" s="684"/>
      <c r="X173" s="684"/>
      <c r="Y173" s="871">
        <f>+Z173/1000</f>
        <v>34400</v>
      </c>
      <c r="Z173" s="2313">
        <f>SUM(Z174:Z175)</f>
        <v>34400000</v>
      </c>
      <c r="AB173" s="434"/>
      <c r="AC173" s="434"/>
      <c r="AD173" s="3056"/>
    </row>
    <row r="174" spans="1:30" s="454" customFormat="1" ht="21.95" customHeight="1">
      <c r="A174" s="540"/>
      <c r="B174" s="541"/>
      <c r="C174" s="542"/>
      <c r="D174" s="2020"/>
      <c r="E174" s="677"/>
      <c r="F174" s="2125"/>
      <c r="G174" s="2126"/>
      <c r="H174" s="865"/>
      <c r="I174" s="3507"/>
      <c r="J174" s="681" t="s">
        <v>5271</v>
      </c>
      <c r="K174" s="3507"/>
      <c r="L174" s="3507"/>
      <c r="M174" s="3507"/>
      <c r="N174" s="3507"/>
      <c r="O174" s="3507"/>
      <c r="P174" s="3507"/>
      <c r="Q174" s="3507"/>
      <c r="R174" s="2127"/>
      <c r="S174" s="3164">
        <v>28300000</v>
      </c>
      <c r="T174" s="684" t="s">
        <v>0</v>
      </c>
      <c r="U174" s="684"/>
      <c r="V174" s="684">
        <v>1</v>
      </c>
      <c r="W174" s="684" t="s">
        <v>3</v>
      </c>
      <c r="X174" s="684" t="s">
        <v>1</v>
      </c>
      <c r="Y174" s="871">
        <f t="shared" ref="Y174:Y175" si="39">+Z174/1000</f>
        <v>28300</v>
      </c>
      <c r="Z174" s="2313">
        <f>S174*V174</f>
        <v>28300000</v>
      </c>
      <c r="AB174" s="434"/>
      <c r="AC174" s="434"/>
      <c r="AD174" s="3056"/>
    </row>
    <row r="175" spans="1:30" s="454" customFormat="1" ht="21.95" customHeight="1">
      <c r="A175" s="540"/>
      <c r="B175" s="541"/>
      <c r="C175" s="542"/>
      <c r="D175" s="2020"/>
      <c r="E175" s="677"/>
      <c r="F175" s="2125"/>
      <c r="G175" s="2126"/>
      <c r="H175" s="865"/>
      <c r="I175" s="3507"/>
      <c r="J175" s="681" t="s">
        <v>5272</v>
      </c>
      <c r="K175" s="3507"/>
      <c r="L175" s="3507"/>
      <c r="M175" s="3507"/>
      <c r="N175" s="3507"/>
      <c r="O175" s="3507"/>
      <c r="P175" s="3507"/>
      <c r="Q175" s="3507"/>
      <c r="R175" s="2127"/>
      <c r="S175" s="3164">
        <v>610000</v>
      </c>
      <c r="T175" s="684" t="s">
        <v>0</v>
      </c>
      <c r="U175" s="684"/>
      <c r="V175" s="684">
        <v>10</v>
      </c>
      <c r="W175" s="684" t="s">
        <v>2</v>
      </c>
      <c r="X175" s="684" t="s">
        <v>1</v>
      </c>
      <c r="Y175" s="871">
        <f t="shared" si="39"/>
        <v>6100</v>
      </c>
      <c r="Z175" s="2313">
        <f>S175*V175</f>
        <v>6100000</v>
      </c>
      <c r="AB175" s="434"/>
      <c r="AC175" s="434"/>
      <c r="AD175" s="3056"/>
    </row>
    <row r="176" spans="1:30" s="454" customFormat="1" ht="21.95" customHeight="1">
      <c r="A176" s="540"/>
      <c r="B176" s="541"/>
      <c r="C176" s="542"/>
      <c r="D176" s="2020"/>
      <c r="E176" s="677" t="s">
        <v>60</v>
      </c>
      <c r="F176" s="2125">
        <f t="shared" si="37"/>
        <v>1100</v>
      </c>
      <c r="G176" s="2126">
        <v>5200</v>
      </c>
      <c r="H176" s="1021">
        <f>F176-G176</f>
        <v>-4100</v>
      </c>
      <c r="I176" s="3507"/>
      <c r="J176" s="681" t="s">
        <v>8</v>
      </c>
      <c r="K176" s="3507"/>
      <c r="L176" s="3507"/>
      <c r="M176" s="3507"/>
      <c r="N176" s="3507"/>
      <c r="O176" s="3507"/>
      <c r="P176" s="3507"/>
      <c r="Q176" s="3507"/>
      <c r="R176" s="2127"/>
      <c r="S176" s="3164"/>
      <c r="T176" s="684"/>
      <c r="U176" s="684"/>
      <c r="V176" s="684"/>
      <c r="W176" s="684"/>
      <c r="X176" s="684" t="s">
        <v>20</v>
      </c>
      <c r="Y176" s="871">
        <f t="shared" si="36"/>
        <v>1100</v>
      </c>
      <c r="Z176" s="2313">
        <f>SUM(Z177:Z178)</f>
        <v>1100000</v>
      </c>
      <c r="AB176" s="434"/>
      <c r="AC176" s="434"/>
      <c r="AD176" s="3056"/>
    </row>
    <row r="177" spans="1:30" s="454" customFormat="1" ht="21.95" customHeight="1">
      <c r="A177" s="540"/>
      <c r="B177" s="541"/>
      <c r="C177" s="542"/>
      <c r="D177" s="2020"/>
      <c r="E177" s="677"/>
      <c r="F177" s="2125"/>
      <c r="G177" s="2126"/>
      <c r="H177" s="865"/>
      <c r="I177" s="3507"/>
      <c r="J177" s="681" t="s">
        <v>5273</v>
      </c>
      <c r="K177" s="3507"/>
      <c r="L177" s="3507"/>
      <c r="M177" s="3507"/>
      <c r="N177" s="3507"/>
      <c r="O177" s="3507"/>
      <c r="P177" s="3507"/>
      <c r="Q177" s="3507"/>
      <c r="R177" s="2127"/>
      <c r="S177" s="684">
        <v>25</v>
      </c>
      <c r="T177" s="684" t="s">
        <v>0</v>
      </c>
      <c r="U177" s="684"/>
      <c r="V177" s="2096">
        <v>42400</v>
      </c>
      <c r="W177" s="684" t="s">
        <v>74</v>
      </c>
      <c r="X177" s="684" t="s">
        <v>1</v>
      </c>
      <c r="Y177" s="871">
        <f t="shared" si="36"/>
        <v>1060</v>
      </c>
      <c r="Z177" s="2313">
        <f>S177*V177</f>
        <v>1060000</v>
      </c>
      <c r="AB177" s="434"/>
      <c r="AC177" s="434"/>
      <c r="AD177" s="3056"/>
    </row>
    <row r="178" spans="1:30" s="454" customFormat="1" ht="21.95" customHeight="1">
      <c r="A178" s="540"/>
      <c r="B178" s="541"/>
      <c r="C178" s="542"/>
      <c r="D178" s="2020"/>
      <c r="E178" s="677"/>
      <c r="F178" s="2125"/>
      <c r="G178" s="2126"/>
      <c r="H178" s="865"/>
      <c r="I178" s="3507"/>
      <c r="J178" s="681" t="s">
        <v>409</v>
      </c>
      <c r="K178" s="3507"/>
      <c r="L178" s="3507"/>
      <c r="M178" s="3507"/>
      <c r="N178" s="3507"/>
      <c r="O178" s="3507"/>
      <c r="P178" s="3507"/>
      <c r="Q178" s="3163"/>
      <c r="R178" s="2127"/>
      <c r="S178" s="3164">
        <v>4000</v>
      </c>
      <c r="T178" s="684" t="s">
        <v>0</v>
      </c>
      <c r="U178" s="684"/>
      <c r="V178" s="684">
        <v>10</v>
      </c>
      <c r="W178" s="684" t="s">
        <v>3</v>
      </c>
      <c r="X178" s="684" t="s">
        <v>1</v>
      </c>
      <c r="Y178" s="871">
        <f t="shared" si="36"/>
        <v>40</v>
      </c>
      <c r="Z178" s="2313">
        <f>S178*V178</f>
        <v>40000</v>
      </c>
      <c r="AB178" s="434"/>
      <c r="AC178" s="434"/>
      <c r="AD178" s="3056"/>
    </row>
    <row r="179" spans="1:30" s="454" customFormat="1" ht="21.95" customHeight="1">
      <c r="A179" s="540"/>
      <c r="B179" s="541"/>
      <c r="C179" s="542"/>
      <c r="D179" s="2020"/>
      <c r="E179" s="677" t="s">
        <v>62</v>
      </c>
      <c r="F179" s="2125">
        <f t="shared" si="37"/>
        <v>3600</v>
      </c>
      <c r="G179" s="2126">
        <v>6000</v>
      </c>
      <c r="H179" s="1021">
        <f>F179-G179</f>
        <v>-2400</v>
      </c>
      <c r="I179" s="3507"/>
      <c r="J179" s="681" t="s">
        <v>5274</v>
      </c>
      <c r="K179" s="3507"/>
      <c r="L179" s="3507"/>
      <c r="M179" s="3507"/>
      <c r="N179" s="3507"/>
      <c r="O179" s="3507"/>
      <c r="P179" s="3507"/>
      <c r="Q179" s="3507"/>
      <c r="R179" s="2127"/>
      <c r="S179" s="3164">
        <v>300000</v>
      </c>
      <c r="T179" s="684" t="s">
        <v>0</v>
      </c>
      <c r="U179" s="684"/>
      <c r="V179" s="684">
        <v>12</v>
      </c>
      <c r="W179" s="684" t="s">
        <v>5258</v>
      </c>
      <c r="X179" s="684" t="s">
        <v>1</v>
      </c>
      <c r="Y179" s="871">
        <f t="shared" si="36"/>
        <v>3600</v>
      </c>
      <c r="Z179" s="2313">
        <f>S179*V179</f>
        <v>3600000</v>
      </c>
      <c r="AB179" s="434"/>
      <c r="AC179" s="434"/>
      <c r="AD179" s="3056"/>
    </row>
    <row r="180" spans="1:30" s="250" customFormat="1" ht="21.95" customHeight="1">
      <c r="A180" s="540"/>
      <c r="B180" s="541"/>
      <c r="C180" s="1910"/>
      <c r="D180" s="2020"/>
      <c r="E180" s="677" t="s">
        <v>61</v>
      </c>
      <c r="F180" s="2125">
        <f t="shared" si="37"/>
        <v>1100</v>
      </c>
      <c r="G180" s="2126">
        <v>2000</v>
      </c>
      <c r="H180" s="1000">
        <f>F180-G180</f>
        <v>-900</v>
      </c>
      <c r="I180" s="3507"/>
      <c r="J180" s="681" t="s">
        <v>410</v>
      </c>
      <c r="K180" s="3507"/>
      <c r="L180" s="3507"/>
      <c r="M180" s="3507"/>
      <c r="N180" s="3507"/>
      <c r="O180" s="3507"/>
      <c r="P180" s="3507"/>
      <c r="Q180" s="3163">
        <v>5</v>
      </c>
      <c r="R180" s="2127" t="s">
        <v>25</v>
      </c>
      <c r="S180" s="3164">
        <v>20000</v>
      </c>
      <c r="T180" s="684" t="s">
        <v>0</v>
      </c>
      <c r="U180" s="684"/>
      <c r="V180" s="684">
        <v>11</v>
      </c>
      <c r="W180" s="684" t="s">
        <v>3</v>
      </c>
      <c r="X180" s="684" t="s">
        <v>1</v>
      </c>
      <c r="Y180" s="871">
        <f>(Z180)/1000</f>
        <v>1100</v>
      </c>
      <c r="Z180" s="2313">
        <f>Q180*S180*V180</f>
        <v>1100000</v>
      </c>
      <c r="AB180" s="434"/>
      <c r="AC180" s="434"/>
      <c r="AD180" s="3056"/>
    </row>
    <row r="181" spans="1:30" s="191" customFormat="1" ht="21.95" customHeight="1">
      <c r="A181" s="628"/>
      <c r="B181" s="2221"/>
      <c r="C181" s="3861" t="s">
        <v>1160</v>
      </c>
      <c r="D181" s="3865"/>
      <c r="E181" s="3862"/>
      <c r="F181" s="2222">
        <f>+F182+F188+F190+F192+F194+F196+F198+F200+F202+F204+F206+F208</f>
        <v>1596000</v>
      </c>
      <c r="G181" s="2222">
        <f>+G182+G188+G190+G192+G194+G196+G198+G200+G202+G204+G206+G208</f>
        <v>1596000</v>
      </c>
      <c r="H181" s="984">
        <f>F181-G181</f>
        <v>0</v>
      </c>
      <c r="I181" s="2140"/>
      <c r="J181" s="2298"/>
      <c r="K181" s="2299"/>
      <c r="L181" s="2299"/>
      <c r="M181" s="2299"/>
      <c r="N181" s="2299"/>
      <c r="O181" s="2300"/>
      <c r="P181" s="2300"/>
      <c r="Q181" s="2299"/>
      <c r="R181" s="2299"/>
      <c r="S181" s="2299"/>
      <c r="T181" s="2299"/>
      <c r="U181" s="2299"/>
      <c r="V181" s="2299"/>
      <c r="W181" s="2299"/>
      <c r="X181" s="2301"/>
      <c r="Y181" s="1011"/>
      <c r="Z181" s="732"/>
      <c r="AB181" s="434">
        <f t="shared" ref="AB181:AB224" si="40">F181*1000000000</f>
        <v>1596000000000000</v>
      </c>
      <c r="AC181" s="434">
        <f t="shared" ref="AC181:AC224" si="41">G181*1000000000</f>
        <v>1596000000000000</v>
      </c>
      <c r="AD181" s="3056">
        <f t="shared" ref="AD181:AD224" si="42">AC181-AB181</f>
        <v>0</v>
      </c>
    </row>
    <row r="182" spans="1:30" s="191" customFormat="1" ht="21.95" customHeight="1">
      <c r="A182" s="2302"/>
      <c r="B182" s="2129"/>
      <c r="C182" s="2303"/>
      <c r="D182" s="3866" t="s">
        <v>1025</v>
      </c>
      <c r="E182" s="3867"/>
      <c r="F182" s="525">
        <f>SUM(F183:F187)</f>
        <v>131000</v>
      </c>
      <c r="G182" s="525">
        <f>SUM(G183:G187)</f>
        <v>131000</v>
      </c>
      <c r="H182" s="529">
        <f>+F182-G182</f>
        <v>0</v>
      </c>
      <c r="I182" s="2199"/>
      <c r="J182" s="2304"/>
      <c r="K182" s="2305"/>
      <c r="L182" s="2305"/>
      <c r="M182" s="2305"/>
      <c r="N182" s="2305"/>
      <c r="O182" s="2306"/>
      <c r="P182" s="2306"/>
      <c r="Q182" s="2305"/>
      <c r="R182" s="2305"/>
      <c r="S182" s="2305"/>
      <c r="T182" s="2305"/>
      <c r="U182" s="2305"/>
      <c r="V182" s="2305"/>
      <c r="W182" s="2305"/>
      <c r="X182" s="2307"/>
      <c r="Y182" s="2308"/>
      <c r="Z182" s="555"/>
      <c r="AB182" s="434">
        <f t="shared" si="40"/>
        <v>131000000000000</v>
      </c>
      <c r="AC182" s="434">
        <f t="shared" si="41"/>
        <v>131000000000000</v>
      </c>
      <c r="AD182" s="3056">
        <f t="shared" si="42"/>
        <v>0</v>
      </c>
    </row>
    <row r="183" spans="1:30" s="191" customFormat="1" ht="21.95" customHeight="1">
      <c r="A183" s="2302"/>
      <c r="B183" s="2129"/>
      <c r="C183" s="2303"/>
      <c r="D183" s="2309"/>
      <c r="E183" s="2310" t="s">
        <v>278</v>
      </c>
      <c r="F183" s="526">
        <f>Y183</f>
        <v>2000</v>
      </c>
      <c r="G183" s="633">
        <v>2000</v>
      </c>
      <c r="H183" s="534"/>
      <c r="I183" s="2199"/>
      <c r="J183" s="2105" t="s">
        <v>1183</v>
      </c>
      <c r="K183" s="2082"/>
      <c r="L183" s="2082"/>
      <c r="M183" s="2082"/>
      <c r="N183" s="2082"/>
      <c r="O183" s="2082"/>
      <c r="P183" s="2082"/>
      <c r="Q183" s="473">
        <v>2</v>
      </c>
      <c r="R183" s="552" t="s">
        <v>25</v>
      </c>
      <c r="S183" s="474">
        <v>100000</v>
      </c>
      <c r="T183" s="2106" t="s">
        <v>0</v>
      </c>
      <c r="U183" s="2106"/>
      <c r="V183" s="2106">
        <v>10</v>
      </c>
      <c r="W183" s="2106" t="s">
        <v>3</v>
      </c>
      <c r="X183" s="2106" t="s">
        <v>1</v>
      </c>
      <c r="Y183" s="483">
        <f>(Z183)/1000</f>
        <v>2000</v>
      </c>
      <c r="Z183" s="896">
        <f>Q183*S183*V183</f>
        <v>2000000</v>
      </c>
      <c r="AB183" s="434">
        <f t="shared" si="40"/>
        <v>2000000000000</v>
      </c>
      <c r="AC183" s="434">
        <f t="shared" si="41"/>
        <v>2000000000000</v>
      </c>
      <c r="AD183" s="3056">
        <f t="shared" si="42"/>
        <v>0</v>
      </c>
    </row>
    <row r="184" spans="1:30" s="191" customFormat="1" ht="21.95" customHeight="1">
      <c r="A184" s="2302"/>
      <c r="B184" s="2129"/>
      <c r="C184" s="2303"/>
      <c r="D184" s="2309"/>
      <c r="E184" s="2310" t="s">
        <v>264</v>
      </c>
      <c r="F184" s="526">
        <f>Y184</f>
        <v>500</v>
      </c>
      <c r="G184" s="633">
        <v>500</v>
      </c>
      <c r="H184" s="534"/>
      <c r="I184" s="2199"/>
      <c r="J184" s="2105" t="s">
        <v>1182</v>
      </c>
      <c r="K184" s="2082"/>
      <c r="L184" s="2082"/>
      <c r="M184" s="2082"/>
      <c r="N184" s="2082"/>
      <c r="O184" s="2082"/>
      <c r="P184" s="2082"/>
      <c r="Q184" s="475"/>
      <c r="R184" s="552"/>
      <c r="S184" s="474">
        <v>100000</v>
      </c>
      <c r="T184" s="2106" t="s">
        <v>37</v>
      </c>
      <c r="U184" s="2106"/>
      <c r="V184" s="2106">
        <v>5</v>
      </c>
      <c r="W184" s="2106" t="s">
        <v>39</v>
      </c>
      <c r="X184" s="2030" t="s">
        <v>38</v>
      </c>
      <c r="Y184" s="483">
        <f t="shared" ref="Y184" si="43">Z184/1000</f>
        <v>500</v>
      </c>
      <c r="Z184" s="896">
        <f>S184*V184</f>
        <v>500000</v>
      </c>
      <c r="AB184" s="434">
        <f t="shared" si="40"/>
        <v>500000000000</v>
      </c>
      <c r="AC184" s="434">
        <f t="shared" si="41"/>
        <v>500000000000</v>
      </c>
      <c r="AD184" s="3056">
        <f t="shared" si="42"/>
        <v>0</v>
      </c>
    </row>
    <row r="185" spans="1:30" s="191" customFormat="1" ht="21.95" customHeight="1">
      <c r="A185" s="2302"/>
      <c r="B185" s="2129"/>
      <c r="C185" s="2303"/>
      <c r="D185" s="2309"/>
      <c r="E185" s="2310" t="s">
        <v>380</v>
      </c>
      <c r="F185" s="526">
        <f>Y185</f>
        <v>14000</v>
      </c>
      <c r="G185" s="633">
        <v>14000</v>
      </c>
      <c r="H185" s="534"/>
      <c r="I185" s="2199"/>
      <c r="J185" s="2105" t="s">
        <v>1184</v>
      </c>
      <c r="K185" s="2082"/>
      <c r="L185" s="2082"/>
      <c r="M185" s="2082"/>
      <c r="N185" s="2082"/>
      <c r="O185" s="2082"/>
      <c r="P185" s="2082"/>
      <c r="Q185" s="473">
        <v>7</v>
      </c>
      <c r="R185" s="552" t="s">
        <v>25</v>
      </c>
      <c r="S185" s="474">
        <v>200000</v>
      </c>
      <c r="T185" s="2106" t="s">
        <v>0</v>
      </c>
      <c r="U185" s="2106"/>
      <c r="V185" s="2106">
        <v>10</v>
      </c>
      <c r="W185" s="2106" t="s">
        <v>3</v>
      </c>
      <c r="X185" s="2106" t="s">
        <v>1</v>
      </c>
      <c r="Y185" s="483">
        <f>(Z185)/1000</f>
        <v>14000</v>
      </c>
      <c r="Z185" s="896">
        <f>Q185*S185*V185</f>
        <v>14000000</v>
      </c>
      <c r="AB185" s="434">
        <f t="shared" si="40"/>
        <v>14000000000000</v>
      </c>
      <c r="AC185" s="434">
        <f t="shared" si="41"/>
        <v>14000000000000</v>
      </c>
      <c r="AD185" s="3056">
        <f t="shared" si="42"/>
        <v>0</v>
      </c>
    </row>
    <row r="186" spans="1:30" s="191" customFormat="1" ht="21.95" customHeight="1">
      <c r="A186" s="2302"/>
      <c r="B186" s="2129"/>
      <c r="C186" s="2303"/>
      <c r="D186" s="2309"/>
      <c r="E186" s="2310" t="s">
        <v>431</v>
      </c>
      <c r="F186" s="526">
        <f>Y186</f>
        <v>112500</v>
      </c>
      <c r="G186" s="633">
        <v>112500</v>
      </c>
      <c r="H186" s="534"/>
      <c r="I186" s="2199"/>
      <c r="J186" s="2105" t="s">
        <v>1026</v>
      </c>
      <c r="K186" s="2082"/>
      <c r="L186" s="2082"/>
      <c r="M186" s="2082"/>
      <c r="N186" s="2082"/>
      <c r="O186" s="2082"/>
      <c r="P186" s="2082"/>
      <c r="Q186" s="2082"/>
      <c r="R186" s="552"/>
      <c r="S186" s="474">
        <v>22500000</v>
      </c>
      <c r="T186" s="2106" t="s">
        <v>0</v>
      </c>
      <c r="U186" s="2106"/>
      <c r="V186" s="2106">
        <v>5</v>
      </c>
      <c r="W186" s="2106" t="s">
        <v>39</v>
      </c>
      <c r="X186" s="2030" t="s">
        <v>1</v>
      </c>
      <c r="Y186" s="483">
        <f>(Z186)/1000</f>
        <v>112500</v>
      </c>
      <c r="Z186" s="896">
        <f>S186*V186</f>
        <v>112500000</v>
      </c>
      <c r="AB186" s="434">
        <f t="shared" si="40"/>
        <v>112500000000000</v>
      </c>
      <c r="AC186" s="434">
        <f t="shared" si="41"/>
        <v>112500000000000</v>
      </c>
      <c r="AD186" s="3056">
        <f t="shared" si="42"/>
        <v>0</v>
      </c>
    </row>
    <row r="187" spans="1:30" s="250" customFormat="1" ht="21.95" customHeight="1">
      <c r="A187" s="2302"/>
      <c r="B187" s="2129"/>
      <c r="C187" s="2303"/>
      <c r="D187" s="2309"/>
      <c r="E187" s="2310" t="s">
        <v>384</v>
      </c>
      <c r="F187" s="526">
        <f t="shared" ref="F187" si="44">Y187</f>
        <v>2000</v>
      </c>
      <c r="G187" s="633">
        <v>2000</v>
      </c>
      <c r="H187" s="534"/>
      <c r="I187" s="2199"/>
      <c r="J187" s="2105" t="s">
        <v>1185</v>
      </c>
      <c r="K187" s="2082"/>
      <c r="L187" s="2082"/>
      <c r="M187" s="2082"/>
      <c r="N187" s="2082"/>
      <c r="O187" s="2082"/>
      <c r="P187" s="2082"/>
      <c r="Q187" s="473">
        <v>10</v>
      </c>
      <c r="R187" s="552" t="s">
        <v>25</v>
      </c>
      <c r="S187" s="474">
        <v>20000</v>
      </c>
      <c r="T187" s="2106" t="s">
        <v>0</v>
      </c>
      <c r="U187" s="2106"/>
      <c r="V187" s="2106">
        <v>10</v>
      </c>
      <c r="W187" s="2106" t="s">
        <v>3</v>
      </c>
      <c r="X187" s="2106" t="s">
        <v>1</v>
      </c>
      <c r="Y187" s="483">
        <f>(Z187)/1000</f>
        <v>2000</v>
      </c>
      <c r="Z187" s="896">
        <f>Q187*S187*V187</f>
        <v>2000000</v>
      </c>
      <c r="AB187" s="434">
        <f t="shared" si="40"/>
        <v>2000000000000</v>
      </c>
      <c r="AC187" s="434">
        <f t="shared" si="41"/>
        <v>2000000000000</v>
      </c>
      <c r="AD187" s="3056">
        <f t="shared" si="42"/>
        <v>0</v>
      </c>
    </row>
    <row r="188" spans="1:30" s="250" customFormat="1" ht="21.95" customHeight="1">
      <c r="A188" s="628"/>
      <c r="B188" s="2221"/>
      <c r="C188" s="2229"/>
      <c r="D188" s="3861" t="s">
        <v>1161</v>
      </c>
      <c r="E188" s="3862"/>
      <c r="F188" s="2222">
        <f>SUM(F189:F189)</f>
        <v>50000</v>
      </c>
      <c r="G188" s="2222">
        <v>50000</v>
      </c>
      <c r="H188" s="984">
        <f>F188-G188</f>
        <v>0</v>
      </c>
      <c r="I188" s="2140"/>
      <c r="J188" s="2298"/>
      <c r="K188" s="2299"/>
      <c r="L188" s="2299"/>
      <c r="M188" s="2299"/>
      <c r="N188" s="2299"/>
      <c r="O188" s="2300"/>
      <c r="P188" s="2300"/>
      <c r="Q188" s="2299"/>
      <c r="R188" s="2299"/>
      <c r="S188" s="2299"/>
      <c r="T188" s="2299"/>
      <c r="U188" s="2299"/>
      <c r="V188" s="2299"/>
      <c r="W188" s="2299"/>
      <c r="X188" s="2301"/>
      <c r="Y188" s="1011"/>
      <c r="Z188" s="732"/>
      <c r="AB188" s="434">
        <f t="shared" si="40"/>
        <v>50000000000000</v>
      </c>
      <c r="AC188" s="434">
        <f t="shared" si="41"/>
        <v>50000000000000</v>
      </c>
      <c r="AD188" s="3056">
        <f t="shared" si="42"/>
        <v>0</v>
      </c>
    </row>
    <row r="189" spans="1:30" s="250" customFormat="1" ht="21.95" customHeight="1">
      <c r="A189" s="628"/>
      <c r="B189" s="2221"/>
      <c r="C189" s="2221"/>
      <c r="D189" s="2140"/>
      <c r="E189" s="2311" t="s">
        <v>431</v>
      </c>
      <c r="F189" s="2125">
        <f>Y189</f>
        <v>50000</v>
      </c>
      <c r="G189" s="2312">
        <v>50000</v>
      </c>
      <c r="H189" s="865"/>
      <c r="I189" s="2140"/>
      <c r="J189" s="681" t="s">
        <v>1162</v>
      </c>
      <c r="K189" s="682"/>
      <c r="L189" s="682"/>
      <c r="M189" s="682"/>
      <c r="N189" s="682"/>
      <c r="O189" s="682"/>
      <c r="P189" s="682"/>
      <c r="Q189" s="682"/>
      <c r="R189" s="2127"/>
      <c r="S189" s="868">
        <v>50000000</v>
      </c>
      <c r="T189" s="684" t="s">
        <v>0</v>
      </c>
      <c r="U189" s="684"/>
      <c r="V189" s="684">
        <v>1</v>
      </c>
      <c r="W189" s="684" t="s">
        <v>39</v>
      </c>
      <c r="X189" s="686" t="s">
        <v>1</v>
      </c>
      <c r="Y189" s="871">
        <f>(Z189)/1000</f>
        <v>50000</v>
      </c>
      <c r="Z189" s="2313">
        <f>S189*V189</f>
        <v>50000000</v>
      </c>
      <c r="AB189" s="434">
        <f t="shared" si="40"/>
        <v>50000000000000</v>
      </c>
      <c r="AC189" s="434">
        <f t="shared" si="41"/>
        <v>50000000000000</v>
      </c>
      <c r="AD189" s="3056">
        <f t="shared" si="42"/>
        <v>0</v>
      </c>
    </row>
    <row r="190" spans="1:30" s="250" customFormat="1" ht="21.95" customHeight="1">
      <c r="A190" s="628"/>
      <c r="B190" s="2221"/>
      <c r="C190" s="2229"/>
      <c r="D190" s="3861" t="s">
        <v>1163</v>
      </c>
      <c r="E190" s="3862"/>
      <c r="F190" s="2222">
        <f>SUM(F191:F191)</f>
        <v>100000</v>
      </c>
      <c r="G190" s="2222">
        <v>100000</v>
      </c>
      <c r="H190" s="984">
        <f>F190-G190</f>
        <v>0</v>
      </c>
      <c r="I190" s="2140"/>
      <c r="J190" s="2298"/>
      <c r="K190" s="2299"/>
      <c r="L190" s="2299"/>
      <c r="M190" s="2299"/>
      <c r="N190" s="2299"/>
      <c r="O190" s="2300"/>
      <c r="P190" s="2300"/>
      <c r="Q190" s="2299"/>
      <c r="R190" s="2299"/>
      <c r="S190" s="2299"/>
      <c r="T190" s="2299"/>
      <c r="U190" s="2299"/>
      <c r="V190" s="2299"/>
      <c r="W190" s="2299"/>
      <c r="X190" s="2301"/>
      <c r="Y190" s="1011"/>
      <c r="Z190" s="732"/>
      <c r="AB190" s="434">
        <f t="shared" si="40"/>
        <v>100000000000000</v>
      </c>
      <c r="AC190" s="434">
        <f t="shared" si="41"/>
        <v>100000000000000</v>
      </c>
      <c r="AD190" s="3056">
        <f t="shared" si="42"/>
        <v>0</v>
      </c>
    </row>
    <row r="191" spans="1:30" s="250" customFormat="1" ht="21.95" customHeight="1">
      <c r="A191" s="628"/>
      <c r="B191" s="2221"/>
      <c r="C191" s="2221"/>
      <c r="D191" s="2140"/>
      <c r="E191" s="2311" t="s">
        <v>431</v>
      </c>
      <c r="F191" s="2125">
        <f>Y191</f>
        <v>100000</v>
      </c>
      <c r="G191" s="2312">
        <v>100000</v>
      </c>
      <c r="H191" s="865"/>
      <c r="I191" s="2140"/>
      <c r="J191" s="681" t="s">
        <v>1164</v>
      </c>
      <c r="K191" s="682"/>
      <c r="L191" s="682"/>
      <c r="M191" s="682"/>
      <c r="N191" s="682"/>
      <c r="O191" s="682"/>
      <c r="P191" s="682"/>
      <c r="Q191" s="682"/>
      <c r="R191" s="2127"/>
      <c r="S191" s="868">
        <v>100000000</v>
      </c>
      <c r="T191" s="684" t="s">
        <v>0</v>
      </c>
      <c r="U191" s="684"/>
      <c r="V191" s="684">
        <v>1</v>
      </c>
      <c r="W191" s="684" t="s">
        <v>39</v>
      </c>
      <c r="X191" s="686" t="s">
        <v>1</v>
      </c>
      <c r="Y191" s="871">
        <f>(Z191)/1000</f>
        <v>100000</v>
      </c>
      <c r="Z191" s="2313">
        <f>S191*V191</f>
        <v>100000000</v>
      </c>
      <c r="AB191" s="434">
        <f t="shared" si="40"/>
        <v>100000000000000</v>
      </c>
      <c r="AC191" s="434">
        <f t="shared" si="41"/>
        <v>100000000000000</v>
      </c>
      <c r="AD191" s="3056">
        <f t="shared" si="42"/>
        <v>0</v>
      </c>
    </row>
    <row r="192" spans="1:30" s="250" customFormat="1" ht="21.95" customHeight="1">
      <c r="A192" s="628"/>
      <c r="B192" s="2221"/>
      <c r="C192" s="2229"/>
      <c r="D192" s="3861" t="s">
        <v>1165</v>
      </c>
      <c r="E192" s="3862"/>
      <c r="F192" s="2222">
        <f>SUM(F193:F193)</f>
        <v>50000</v>
      </c>
      <c r="G192" s="2222">
        <v>50000</v>
      </c>
      <c r="H192" s="984">
        <f>F192-G192</f>
        <v>0</v>
      </c>
      <c r="I192" s="2140"/>
      <c r="J192" s="2298"/>
      <c r="K192" s="2299"/>
      <c r="L192" s="2299"/>
      <c r="M192" s="2299"/>
      <c r="N192" s="2299"/>
      <c r="O192" s="2300"/>
      <c r="P192" s="2300"/>
      <c r="Q192" s="2299"/>
      <c r="R192" s="2299"/>
      <c r="S192" s="2299"/>
      <c r="T192" s="2299"/>
      <c r="U192" s="2299"/>
      <c r="V192" s="2299"/>
      <c r="W192" s="2299"/>
      <c r="X192" s="2301"/>
      <c r="Y192" s="1011"/>
      <c r="Z192" s="732"/>
      <c r="AB192" s="434">
        <f t="shared" si="40"/>
        <v>50000000000000</v>
      </c>
      <c r="AC192" s="434">
        <f t="shared" si="41"/>
        <v>50000000000000</v>
      </c>
      <c r="AD192" s="3056">
        <f t="shared" si="42"/>
        <v>0</v>
      </c>
    </row>
    <row r="193" spans="1:30" s="250" customFormat="1" ht="21.95" customHeight="1">
      <c r="A193" s="628"/>
      <c r="B193" s="2221"/>
      <c r="C193" s="2221"/>
      <c r="D193" s="2140"/>
      <c r="E193" s="2311" t="s">
        <v>431</v>
      </c>
      <c r="F193" s="2125">
        <f>Y193</f>
        <v>50000</v>
      </c>
      <c r="G193" s="2312">
        <v>50000</v>
      </c>
      <c r="H193" s="865"/>
      <c r="I193" s="2140"/>
      <c r="J193" s="681" t="s">
        <v>1166</v>
      </c>
      <c r="K193" s="682"/>
      <c r="L193" s="682"/>
      <c r="M193" s="682"/>
      <c r="N193" s="682"/>
      <c r="O193" s="682"/>
      <c r="P193" s="682"/>
      <c r="Q193" s="682"/>
      <c r="R193" s="2127"/>
      <c r="S193" s="868">
        <v>50000000</v>
      </c>
      <c r="T193" s="684" t="s">
        <v>0</v>
      </c>
      <c r="U193" s="684"/>
      <c r="V193" s="684">
        <v>1</v>
      </c>
      <c r="W193" s="684" t="s">
        <v>39</v>
      </c>
      <c r="X193" s="686" t="s">
        <v>1</v>
      </c>
      <c r="Y193" s="871">
        <f>(Z193)/1000</f>
        <v>50000</v>
      </c>
      <c r="Z193" s="2313">
        <f>S193*V193</f>
        <v>50000000</v>
      </c>
      <c r="AB193" s="434">
        <f t="shared" si="40"/>
        <v>50000000000000</v>
      </c>
      <c r="AC193" s="434">
        <f t="shared" si="41"/>
        <v>50000000000000</v>
      </c>
      <c r="AD193" s="3056">
        <f t="shared" si="42"/>
        <v>0</v>
      </c>
    </row>
    <row r="194" spans="1:30" s="250" customFormat="1" ht="21.95" customHeight="1">
      <c r="A194" s="628"/>
      <c r="B194" s="2221"/>
      <c r="C194" s="2229"/>
      <c r="D194" s="3861" t="s">
        <v>1167</v>
      </c>
      <c r="E194" s="3862"/>
      <c r="F194" s="2222">
        <f>SUM(F195:F195)</f>
        <v>170000</v>
      </c>
      <c r="G194" s="2222">
        <v>170000</v>
      </c>
      <c r="H194" s="984">
        <f>F194-G194</f>
        <v>0</v>
      </c>
      <c r="I194" s="2140"/>
      <c r="J194" s="2298"/>
      <c r="K194" s="2299"/>
      <c r="L194" s="2299"/>
      <c r="M194" s="2299"/>
      <c r="N194" s="2299"/>
      <c r="O194" s="2300"/>
      <c r="P194" s="2300"/>
      <c r="Q194" s="2299"/>
      <c r="R194" s="2299"/>
      <c r="S194" s="2299"/>
      <c r="T194" s="2299"/>
      <c r="U194" s="2299"/>
      <c r="V194" s="2299"/>
      <c r="W194" s="2299"/>
      <c r="X194" s="2301"/>
      <c r="Y194" s="1011"/>
      <c r="Z194" s="732"/>
      <c r="AB194" s="434">
        <f t="shared" si="40"/>
        <v>170000000000000</v>
      </c>
      <c r="AC194" s="434">
        <f t="shared" si="41"/>
        <v>170000000000000</v>
      </c>
      <c r="AD194" s="3056">
        <f t="shared" si="42"/>
        <v>0</v>
      </c>
    </row>
    <row r="195" spans="1:30" s="250" customFormat="1" ht="21.95" customHeight="1">
      <c r="A195" s="628"/>
      <c r="B195" s="2221"/>
      <c r="C195" s="2221"/>
      <c r="D195" s="2140"/>
      <c r="E195" s="2311" t="s">
        <v>431</v>
      </c>
      <c r="F195" s="2125">
        <f>Y195</f>
        <v>170000</v>
      </c>
      <c r="G195" s="2312">
        <v>170000</v>
      </c>
      <c r="H195" s="865"/>
      <c r="I195" s="2140"/>
      <c r="J195" s="681" t="s">
        <v>1168</v>
      </c>
      <c r="K195" s="682"/>
      <c r="L195" s="682"/>
      <c r="M195" s="682"/>
      <c r="N195" s="682"/>
      <c r="O195" s="682"/>
      <c r="P195" s="682"/>
      <c r="Q195" s="682"/>
      <c r="R195" s="2127"/>
      <c r="S195" s="868">
        <v>170000000</v>
      </c>
      <c r="T195" s="684" t="s">
        <v>0</v>
      </c>
      <c r="U195" s="684"/>
      <c r="V195" s="684">
        <v>1</v>
      </c>
      <c r="W195" s="684" t="s">
        <v>39</v>
      </c>
      <c r="X195" s="686" t="s">
        <v>1</v>
      </c>
      <c r="Y195" s="871">
        <f>(Z195)/1000</f>
        <v>170000</v>
      </c>
      <c r="Z195" s="2313">
        <f>S195*V195</f>
        <v>170000000</v>
      </c>
      <c r="AB195" s="434">
        <f t="shared" si="40"/>
        <v>170000000000000</v>
      </c>
      <c r="AC195" s="434">
        <f t="shared" si="41"/>
        <v>170000000000000</v>
      </c>
      <c r="AD195" s="3056">
        <f t="shared" si="42"/>
        <v>0</v>
      </c>
    </row>
    <row r="196" spans="1:30" s="250" customFormat="1" ht="21.95" customHeight="1">
      <c r="A196" s="628"/>
      <c r="B196" s="2221"/>
      <c r="C196" s="2229"/>
      <c r="D196" s="3861" t="s">
        <v>1169</v>
      </c>
      <c r="E196" s="3862"/>
      <c r="F196" s="2222">
        <f>SUM(F197:F197)</f>
        <v>200000</v>
      </c>
      <c r="G196" s="2222">
        <v>200000</v>
      </c>
      <c r="H196" s="984">
        <f>F196-G196</f>
        <v>0</v>
      </c>
      <c r="I196" s="2140"/>
      <c r="J196" s="2298"/>
      <c r="K196" s="2299"/>
      <c r="L196" s="2299"/>
      <c r="M196" s="2299"/>
      <c r="N196" s="2299"/>
      <c r="O196" s="2300"/>
      <c r="P196" s="2300"/>
      <c r="Q196" s="2299"/>
      <c r="R196" s="2299"/>
      <c r="S196" s="2299"/>
      <c r="T196" s="2299"/>
      <c r="U196" s="2299"/>
      <c r="V196" s="2299"/>
      <c r="W196" s="2299"/>
      <c r="X196" s="2301"/>
      <c r="Y196" s="1011"/>
      <c r="Z196" s="732"/>
      <c r="AB196" s="434">
        <f t="shared" si="40"/>
        <v>200000000000000</v>
      </c>
      <c r="AC196" s="434">
        <f t="shared" si="41"/>
        <v>200000000000000</v>
      </c>
      <c r="AD196" s="3056">
        <f t="shared" si="42"/>
        <v>0</v>
      </c>
    </row>
    <row r="197" spans="1:30" s="250" customFormat="1" ht="21.95" customHeight="1">
      <c r="A197" s="628"/>
      <c r="B197" s="2221"/>
      <c r="C197" s="2221"/>
      <c r="D197" s="2140"/>
      <c r="E197" s="2311" t="s">
        <v>431</v>
      </c>
      <c r="F197" s="2125">
        <f>Y197</f>
        <v>200000</v>
      </c>
      <c r="G197" s="2312">
        <v>200000</v>
      </c>
      <c r="H197" s="865"/>
      <c r="I197" s="2140"/>
      <c r="J197" s="681" t="s">
        <v>1170</v>
      </c>
      <c r="K197" s="682"/>
      <c r="L197" s="682"/>
      <c r="M197" s="682"/>
      <c r="N197" s="682"/>
      <c r="O197" s="682"/>
      <c r="P197" s="682"/>
      <c r="Q197" s="682"/>
      <c r="R197" s="2127"/>
      <c r="S197" s="868">
        <v>200000000</v>
      </c>
      <c r="T197" s="684" t="s">
        <v>0</v>
      </c>
      <c r="U197" s="684"/>
      <c r="V197" s="684">
        <v>1</v>
      </c>
      <c r="W197" s="684" t="s">
        <v>39</v>
      </c>
      <c r="X197" s="686" t="s">
        <v>1</v>
      </c>
      <c r="Y197" s="871">
        <f>(Z197)/1000</f>
        <v>200000</v>
      </c>
      <c r="Z197" s="2313">
        <f>S197*V197</f>
        <v>200000000</v>
      </c>
      <c r="AB197" s="434">
        <f t="shared" si="40"/>
        <v>200000000000000</v>
      </c>
      <c r="AC197" s="434">
        <f t="shared" si="41"/>
        <v>200000000000000</v>
      </c>
      <c r="AD197" s="3056">
        <f t="shared" si="42"/>
        <v>0</v>
      </c>
    </row>
    <row r="198" spans="1:30" s="250" customFormat="1" ht="22.5" customHeight="1">
      <c r="A198" s="628"/>
      <c r="B198" s="2221"/>
      <c r="C198" s="2229"/>
      <c r="D198" s="3861" t="s">
        <v>1171</v>
      </c>
      <c r="E198" s="3862"/>
      <c r="F198" s="2222">
        <f>SUM(F199:F199)</f>
        <v>100000</v>
      </c>
      <c r="G198" s="2222">
        <v>100000</v>
      </c>
      <c r="H198" s="984">
        <f>F198-G198</f>
        <v>0</v>
      </c>
      <c r="I198" s="2140"/>
      <c r="J198" s="2298"/>
      <c r="K198" s="2299"/>
      <c r="L198" s="2299"/>
      <c r="M198" s="2299"/>
      <c r="N198" s="2299"/>
      <c r="O198" s="2300"/>
      <c r="P198" s="2300"/>
      <c r="Q198" s="2299"/>
      <c r="R198" s="2299"/>
      <c r="S198" s="2299"/>
      <c r="T198" s="2299"/>
      <c r="U198" s="2299"/>
      <c r="V198" s="2299"/>
      <c r="W198" s="2299"/>
      <c r="X198" s="2301"/>
      <c r="Y198" s="1011"/>
      <c r="Z198" s="732"/>
      <c r="AB198" s="434">
        <f t="shared" si="40"/>
        <v>100000000000000</v>
      </c>
      <c r="AC198" s="434">
        <f t="shared" si="41"/>
        <v>100000000000000</v>
      </c>
      <c r="AD198" s="3056">
        <f t="shared" si="42"/>
        <v>0</v>
      </c>
    </row>
    <row r="199" spans="1:30" s="250" customFormat="1" ht="22.5" customHeight="1">
      <c r="A199" s="628"/>
      <c r="B199" s="2221"/>
      <c r="C199" s="2221"/>
      <c r="D199" s="2140"/>
      <c r="E199" s="2311" t="s">
        <v>431</v>
      </c>
      <c r="F199" s="2125">
        <f>Y199</f>
        <v>100000</v>
      </c>
      <c r="G199" s="2312">
        <v>100000</v>
      </c>
      <c r="H199" s="865"/>
      <c r="I199" s="2140"/>
      <c r="J199" s="681" t="s">
        <v>1172</v>
      </c>
      <c r="K199" s="682"/>
      <c r="L199" s="682"/>
      <c r="M199" s="682"/>
      <c r="N199" s="682"/>
      <c r="O199" s="682"/>
      <c r="P199" s="682"/>
      <c r="Q199" s="682"/>
      <c r="R199" s="2127"/>
      <c r="S199" s="868">
        <v>100000000</v>
      </c>
      <c r="T199" s="684" t="s">
        <v>0</v>
      </c>
      <c r="U199" s="684"/>
      <c r="V199" s="684">
        <v>1</v>
      </c>
      <c r="W199" s="684" t="s">
        <v>39</v>
      </c>
      <c r="X199" s="686" t="s">
        <v>1</v>
      </c>
      <c r="Y199" s="871">
        <f>(Z199)/1000</f>
        <v>100000</v>
      </c>
      <c r="Z199" s="2313">
        <f>S199*V199</f>
        <v>100000000</v>
      </c>
      <c r="AB199" s="434">
        <f t="shared" si="40"/>
        <v>100000000000000</v>
      </c>
      <c r="AC199" s="434">
        <f t="shared" si="41"/>
        <v>100000000000000</v>
      </c>
      <c r="AD199" s="3056">
        <f t="shared" si="42"/>
        <v>0</v>
      </c>
    </row>
    <row r="200" spans="1:30" s="250" customFormat="1" ht="22.5" customHeight="1">
      <c r="A200" s="628"/>
      <c r="B200" s="2221"/>
      <c r="C200" s="2229"/>
      <c r="D200" s="3861" t="s">
        <v>1173</v>
      </c>
      <c r="E200" s="3862"/>
      <c r="F200" s="2222">
        <f>SUM(F201:F201)</f>
        <v>95000</v>
      </c>
      <c r="G200" s="2222">
        <v>95000</v>
      </c>
      <c r="H200" s="984">
        <f>F200-G200</f>
        <v>0</v>
      </c>
      <c r="I200" s="2140"/>
      <c r="J200" s="2298"/>
      <c r="K200" s="2299"/>
      <c r="L200" s="2299"/>
      <c r="M200" s="2299"/>
      <c r="N200" s="2299"/>
      <c r="O200" s="2300"/>
      <c r="P200" s="2300"/>
      <c r="Q200" s="2299"/>
      <c r="R200" s="2299"/>
      <c r="S200" s="2299"/>
      <c r="T200" s="2299"/>
      <c r="U200" s="2299"/>
      <c r="V200" s="2299"/>
      <c r="W200" s="2299"/>
      <c r="X200" s="2301"/>
      <c r="Y200" s="1011"/>
      <c r="Z200" s="732"/>
      <c r="AB200" s="434">
        <f t="shared" si="40"/>
        <v>95000000000000</v>
      </c>
      <c r="AC200" s="434">
        <f t="shared" si="41"/>
        <v>95000000000000</v>
      </c>
      <c r="AD200" s="3056">
        <f t="shared" si="42"/>
        <v>0</v>
      </c>
    </row>
    <row r="201" spans="1:30" s="250" customFormat="1" ht="22.5" customHeight="1">
      <c r="A201" s="628"/>
      <c r="B201" s="2221"/>
      <c r="C201" s="2221"/>
      <c r="D201" s="2140"/>
      <c r="E201" s="2311" t="s">
        <v>431</v>
      </c>
      <c r="F201" s="2125">
        <f>Y201</f>
        <v>95000</v>
      </c>
      <c r="G201" s="2312">
        <v>95000</v>
      </c>
      <c r="H201" s="865"/>
      <c r="I201" s="2140"/>
      <c r="J201" s="681" t="s">
        <v>1174</v>
      </c>
      <c r="K201" s="682"/>
      <c r="L201" s="682"/>
      <c r="M201" s="682"/>
      <c r="N201" s="682"/>
      <c r="O201" s="682"/>
      <c r="P201" s="682"/>
      <c r="Q201" s="682"/>
      <c r="R201" s="2127"/>
      <c r="S201" s="868">
        <v>95000000</v>
      </c>
      <c r="T201" s="684" t="s">
        <v>0</v>
      </c>
      <c r="U201" s="684"/>
      <c r="V201" s="684">
        <v>1</v>
      </c>
      <c r="W201" s="684" t="s">
        <v>39</v>
      </c>
      <c r="X201" s="686" t="s">
        <v>1</v>
      </c>
      <c r="Y201" s="871">
        <f t="shared" ref="Y201" si="45">(Z201)/1000</f>
        <v>95000</v>
      </c>
      <c r="Z201" s="2313">
        <f>S201*V201</f>
        <v>95000000</v>
      </c>
      <c r="AB201" s="434">
        <f t="shared" si="40"/>
        <v>95000000000000</v>
      </c>
      <c r="AC201" s="434">
        <f t="shared" si="41"/>
        <v>95000000000000</v>
      </c>
      <c r="AD201" s="3056">
        <f t="shared" si="42"/>
        <v>0</v>
      </c>
    </row>
    <row r="202" spans="1:30" s="250" customFormat="1" ht="22.5" customHeight="1">
      <c r="A202" s="628"/>
      <c r="B202" s="2221"/>
      <c r="C202" s="2229"/>
      <c r="D202" s="3861" t="s">
        <v>1175</v>
      </c>
      <c r="E202" s="3862"/>
      <c r="F202" s="2222">
        <f>SUM(F203:F203)</f>
        <v>150000</v>
      </c>
      <c r="G202" s="2222">
        <v>150000</v>
      </c>
      <c r="H202" s="984">
        <f>F202-G202</f>
        <v>0</v>
      </c>
      <c r="I202" s="2140"/>
      <c r="J202" s="2298"/>
      <c r="K202" s="2299"/>
      <c r="L202" s="2299"/>
      <c r="M202" s="2299"/>
      <c r="N202" s="2299"/>
      <c r="O202" s="2300"/>
      <c r="P202" s="2300"/>
      <c r="Q202" s="2299"/>
      <c r="R202" s="2299"/>
      <c r="S202" s="2299"/>
      <c r="T202" s="2299"/>
      <c r="U202" s="2299"/>
      <c r="V202" s="2299"/>
      <c r="W202" s="2299"/>
      <c r="X202" s="2301"/>
      <c r="Y202" s="1011"/>
      <c r="Z202" s="732"/>
      <c r="AB202" s="434">
        <f t="shared" si="40"/>
        <v>150000000000000</v>
      </c>
      <c r="AC202" s="434">
        <f t="shared" si="41"/>
        <v>150000000000000</v>
      </c>
      <c r="AD202" s="3056">
        <f t="shared" si="42"/>
        <v>0</v>
      </c>
    </row>
    <row r="203" spans="1:30" s="250" customFormat="1" ht="22.5" customHeight="1">
      <c r="A203" s="628"/>
      <c r="B203" s="2221"/>
      <c r="C203" s="2221"/>
      <c r="D203" s="2140"/>
      <c r="E203" s="2311" t="s">
        <v>431</v>
      </c>
      <c r="F203" s="2125">
        <f>Y203</f>
        <v>150000</v>
      </c>
      <c r="G203" s="2312">
        <v>150000</v>
      </c>
      <c r="H203" s="865"/>
      <c r="I203" s="2140"/>
      <c r="J203" s="681" t="s">
        <v>1176</v>
      </c>
      <c r="K203" s="682"/>
      <c r="L203" s="682"/>
      <c r="M203" s="682"/>
      <c r="N203" s="682"/>
      <c r="O203" s="682"/>
      <c r="P203" s="682"/>
      <c r="Q203" s="682"/>
      <c r="R203" s="2127"/>
      <c r="S203" s="868">
        <v>150000000</v>
      </c>
      <c r="T203" s="684" t="s">
        <v>0</v>
      </c>
      <c r="U203" s="684"/>
      <c r="V203" s="684">
        <v>1</v>
      </c>
      <c r="W203" s="684" t="s">
        <v>39</v>
      </c>
      <c r="X203" s="686" t="s">
        <v>1</v>
      </c>
      <c r="Y203" s="871">
        <f>(Z203)/1000</f>
        <v>150000</v>
      </c>
      <c r="Z203" s="2313">
        <f>S203*V203</f>
        <v>150000000</v>
      </c>
      <c r="AB203" s="434">
        <f t="shared" si="40"/>
        <v>150000000000000</v>
      </c>
      <c r="AC203" s="434">
        <f t="shared" si="41"/>
        <v>150000000000000</v>
      </c>
      <c r="AD203" s="3056">
        <f t="shared" si="42"/>
        <v>0</v>
      </c>
    </row>
    <row r="204" spans="1:30" s="250" customFormat="1" ht="22.5" customHeight="1">
      <c r="A204" s="628"/>
      <c r="B204" s="2221"/>
      <c r="C204" s="2229"/>
      <c r="D204" s="3861" t="s">
        <v>1177</v>
      </c>
      <c r="E204" s="3862"/>
      <c r="F204" s="2222">
        <f>SUM(F205:F205)</f>
        <v>200000</v>
      </c>
      <c r="G204" s="2222">
        <v>200000</v>
      </c>
      <c r="H204" s="984">
        <f>F204-G204</f>
        <v>0</v>
      </c>
      <c r="I204" s="2140"/>
      <c r="J204" s="2298"/>
      <c r="K204" s="2299"/>
      <c r="L204" s="2299"/>
      <c r="M204" s="2299"/>
      <c r="N204" s="2299"/>
      <c r="O204" s="2300"/>
      <c r="P204" s="2300"/>
      <c r="Q204" s="2299"/>
      <c r="R204" s="2299"/>
      <c r="S204" s="2299"/>
      <c r="T204" s="2299"/>
      <c r="U204" s="2299"/>
      <c r="V204" s="2299"/>
      <c r="W204" s="2299"/>
      <c r="X204" s="2301"/>
      <c r="Y204" s="1011"/>
      <c r="Z204" s="732"/>
      <c r="AB204" s="434">
        <f t="shared" si="40"/>
        <v>200000000000000</v>
      </c>
      <c r="AC204" s="434">
        <f t="shared" si="41"/>
        <v>200000000000000</v>
      </c>
      <c r="AD204" s="3056">
        <f t="shared" si="42"/>
        <v>0</v>
      </c>
    </row>
    <row r="205" spans="1:30" s="250" customFormat="1" ht="22.5" customHeight="1">
      <c r="A205" s="628"/>
      <c r="B205" s="2221"/>
      <c r="C205" s="2221"/>
      <c r="D205" s="2140"/>
      <c r="E205" s="2311" t="s">
        <v>431</v>
      </c>
      <c r="F205" s="2125">
        <f>Y205</f>
        <v>200000</v>
      </c>
      <c r="G205" s="2312">
        <v>200000</v>
      </c>
      <c r="H205" s="865"/>
      <c r="I205" s="2140"/>
      <c r="J205" s="681" t="s">
        <v>1178</v>
      </c>
      <c r="K205" s="682"/>
      <c r="L205" s="682"/>
      <c r="M205" s="682"/>
      <c r="N205" s="682"/>
      <c r="O205" s="682"/>
      <c r="P205" s="682"/>
      <c r="Q205" s="682"/>
      <c r="R205" s="2127"/>
      <c r="S205" s="868">
        <v>200000000</v>
      </c>
      <c r="T205" s="684" t="s">
        <v>0</v>
      </c>
      <c r="U205" s="684"/>
      <c r="V205" s="684">
        <v>1</v>
      </c>
      <c r="W205" s="684" t="s">
        <v>39</v>
      </c>
      <c r="X205" s="686" t="s">
        <v>1</v>
      </c>
      <c r="Y205" s="871">
        <f>(Z205)/1000</f>
        <v>200000</v>
      </c>
      <c r="Z205" s="2313">
        <f>S205*V205</f>
        <v>200000000</v>
      </c>
      <c r="AB205" s="434">
        <f t="shared" si="40"/>
        <v>200000000000000</v>
      </c>
      <c r="AC205" s="434">
        <f t="shared" si="41"/>
        <v>200000000000000</v>
      </c>
      <c r="AD205" s="3056">
        <f t="shared" si="42"/>
        <v>0</v>
      </c>
    </row>
    <row r="206" spans="1:30" s="250" customFormat="1" ht="22.5" customHeight="1">
      <c r="A206" s="628"/>
      <c r="B206" s="2221"/>
      <c r="C206" s="2229"/>
      <c r="D206" s="3861" t="s">
        <v>1179</v>
      </c>
      <c r="E206" s="3862"/>
      <c r="F206" s="2222">
        <f>SUM(F207:F207)</f>
        <v>200000</v>
      </c>
      <c r="G206" s="2222">
        <v>200000</v>
      </c>
      <c r="H206" s="984">
        <f>F206-G206</f>
        <v>0</v>
      </c>
      <c r="I206" s="2140"/>
      <c r="J206" s="2298"/>
      <c r="K206" s="2299"/>
      <c r="L206" s="2299"/>
      <c r="M206" s="2299"/>
      <c r="N206" s="2299"/>
      <c r="O206" s="2300"/>
      <c r="P206" s="2300"/>
      <c r="Q206" s="2299"/>
      <c r="R206" s="2299"/>
      <c r="S206" s="2299"/>
      <c r="T206" s="2299"/>
      <c r="U206" s="2299"/>
      <c r="V206" s="2299"/>
      <c r="W206" s="2299"/>
      <c r="X206" s="2301"/>
      <c r="Y206" s="1011"/>
      <c r="Z206" s="732"/>
      <c r="AB206" s="434">
        <f t="shared" si="40"/>
        <v>200000000000000</v>
      </c>
      <c r="AC206" s="434">
        <f t="shared" si="41"/>
        <v>200000000000000</v>
      </c>
      <c r="AD206" s="3056">
        <f t="shared" si="42"/>
        <v>0</v>
      </c>
    </row>
    <row r="207" spans="1:30" s="250" customFormat="1" ht="22.5" customHeight="1">
      <c r="A207" s="628"/>
      <c r="B207" s="2221"/>
      <c r="C207" s="2221"/>
      <c r="D207" s="2140"/>
      <c r="E207" s="2311" t="s">
        <v>431</v>
      </c>
      <c r="F207" s="2125">
        <f>Y207</f>
        <v>200000</v>
      </c>
      <c r="G207" s="2312">
        <v>200000</v>
      </c>
      <c r="H207" s="865"/>
      <c r="I207" s="2140"/>
      <c r="J207" s="681" t="s">
        <v>1180</v>
      </c>
      <c r="K207" s="682"/>
      <c r="L207" s="682"/>
      <c r="M207" s="682"/>
      <c r="N207" s="682"/>
      <c r="O207" s="682"/>
      <c r="P207" s="682"/>
      <c r="Q207" s="682"/>
      <c r="R207" s="2127"/>
      <c r="S207" s="868">
        <v>200000000</v>
      </c>
      <c r="T207" s="684" t="s">
        <v>0</v>
      </c>
      <c r="U207" s="684"/>
      <c r="V207" s="684">
        <v>1</v>
      </c>
      <c r="W207" s="684" t="s">
        <v>39</v>
      </c>
      <c r="X207" s="686" t="s">
        <v>1</v>
      </c>
      <c r="Y207" s="871">
        <f t="shared" ref="Y207" si="46">(Z207)/1000</f>
        <v>200000</v>
      </c>
      <c r="Z207" s="2313">
        <f>S207*V207</f>
        <v>200000000</v>
      </c>
      <c r="AB207" s="434">
        <f t="shared" si="40"/>
        <v>200000000000000</v>
      </c>
      <c r="AC207" s="434">
        <f t="shared" si="41"/>
        <v>200000000000000</v>
      </c>
      <c r="AD207" s="3056">
        <f t="shared" si="42"/>
        <v>0</v>
      </c>
    </row>
    <row r="208" spans="1:30" s="250" customFormat="1" ht="22.5" customHeight="1">
      <c r="A208" s="628"/>
      <c r="B208" s="2221"/>
      <c r="C208" s="2229"/>
      <c r="D208" s="3861" t="s">
        <v>1973</v>
      </c>
      <c r="E208" s="3862"/>
      <c r="F208" s="2222">
        <f>SUM(F209:F209)</f>
        <v>150000</v>
      </c>
      <c r="G208" s="2222">
        <f>SUM(G209:G209)</f>
        <v>150000</v>
      </c>
      <c r="H208" s="984">
        <f>F208-G208</f>
        <v>0</v>
      </c>
      <c r="I208" s="2140"/>
      <c r="J208" s="2298"/>
      <c r="K208" s="2299"/>
      <c r="L208" s="2299"/>
      <c r="M208" s="2299"/>
      <c r="N208" s="2299"/>
      <c r="O208" s="2300"/>
      <c r="P208" s="2300"/>
      <c r="Q208" s="2299"/>
      <c r="R208" s="2299"/>
      <c r="S208" s="2299"/>
      <c r="T208" s="2299"/>
      <c r="U208" s="2299"/>
      <c r="V208" s="2299"/>
      <c r="W208" s="2299"/>
      <c r="X208" s="2301"/>
      <c r="Y208" s="1011"/>
      <c r="Z208" s="732"/>
      <c r="AB208" s="434">
        <f t="shared" si="40"/>
        <v>150000000000000</v>
      </c>
      <c r="AC208" s="434">
        <f t="shared" si="41"/>
        <v>150000000000000</v>
      </c>
      <c r="AD208" s="3056">
        <f t="shared" si="42"/>
        <v>0</v>
      </c>
    </row>
    <row r="209" spans="1:30" s="250" customFormat="1" ht="22.5" customHeight="1">
      <c r="A209" s="628"/>
      <c r="B209" s="2221"/>
      <c r="C209" s="2221"/>
      <c r="D209" s="2140"/>
      <c r="E209" s="2311" t="s">
        <v>431</v>
      </c>
      <c r="F209" s="2125">
        <f>Y209</f>
        <v>150000</v>
      </c>
      <c r="G209" s="2312">
        <v>150000</v>
      </c>
      <c r="H209" s="865"/>
      <c r="I209" s="2140"/>
      <c r="J209" s="681" t="s">
        <v>1974</v>
      </c>
      <c r="K209" s="682"/>
      <c r="L209" s="3223"/>
      <c r="M209" s="682"/>
      <c r="N209" s="682"/>
      <c r="O209" s="682"/>
      <c r="P209" s="682"/>
      <c r="Q209" s="682"/>
      <c r="R209" s="2127"/>
      <c r="S209" s="868">
        <v>150000000</v>
      </c>
      <c r="T209" s="684" t="s">
        <v>0</v>
      </c>
      <c r="U209" s="684"/>
      <c r="V209" s="684">
        <v>1</v>
      </c>
      <c r="W209" s="684" t="s">
        <v>39</v>
      </c>
      <c r="X209" s="686" t="s">
        <v>1</v>
      </c>
      <c r="Y209" s="871">
        <f t="shared" ref="Y209" si="47">(Z209)/1000</f>
        <v>150000</v>
      </c>
      <c r="Z209" s="2313">
        <f>S209*V209</f>
        <v>150000000</v>
      </c>
      <c r="AB209" s="434">
        <f t="shared" si="40"/>
        <v>150000000000000</v>
      </c>
      <c r="AC209" s="434">
        <f t="shared" si="41"/>
        <v>150000000000000</v>
      </c>
      <c r="AD209" s="3056">
        <f t="shared" si="42"/>
        <v>0</v>
      </c>
    </row>
    <row r="210" spans="1:30" s="250" customFormat="1" ht="18" hidden="1" customHeight="1">
      <c r="A210" s="628"/>
      <c r="B210" s="2221"/>
      <c r="C210" s="3830" t="s">
        <v>1093</v>
      </c>
      <c r="D210" s="3830"/>
      <c r="E210" s="3831"/>
      <c r="F210" s="1988">
        <f>F211</f>
        <v>0</v>
      </c>
      <c r="G210" s="1988">
        <f>G211</f>
        <v>0</v>
      </c>
      <c r="H210" s="984">
        <f>H211</f>
        <v>0</v>
      </c>
      <c r="I210" s="682"/>
      <c r="J210" s="1535"/>
      <c r="K210" s="1536"/>
      <c r="M210" s="1536"/>
      <c r="N210" s="1536"/>
      <c r="O210" s="1536"/>
      <c r="P210" s="1536"/>
      <c r="Q210" s="1009"/>
      <c r="R210" s="1990"/>
      <c r="S210" s="1010"/>
      <c r="T210" s="1084"/>
      <c r="U210" s="1084"/>
      <c r="V210" s="1084"/>
      <c r="W210" s="1084"/>
      <c r="X210" s="1538"/>
      <c r="Y210" s="965"/>
      <c r="Z210" s="732"/>
      <c r="AB210" s="434">
        <f t="shared" si="40"/>
        <v>0</v>
      </c>
      <c r="AC210" s="434">
        <f t="shared" si="41"/>
        <v>0</v>
      </c>
      <c r="AD210" s="3056">
        <f t="shared" si="42"/>
        <v>0</v>
      </c>
    </row>
    <row r="211" spans="1:30" s="454" customFormat="1" ht="18" hidden="1" customHeight="1">
      <c r="A211" s="628"/>
      <c r="B211" s="2221"/>
      <c r="C211" s="968"/>
      <c r="D211" s="3832" t="s">
        <v>1181</v>
      </c>
      <c r="E211" s="3833"/>
      <c r="F211" s="1988">
        <f>SUM(F212:F224)</f>
        <v>0</v>
      </c>
      <c r="G211" s="1988">
        <f>SUM(G212:G224)</f>
        <v>0</v>
      </c>
      <c r="H211" s="984">
        <f>F211-G211</f>
        <v>0</v>
      </c>
      <c r="I211" s="682"/>
      <c r="J211" s="1989"/>
      <c r="K211" s="1536"/>
      <c r="L211" s="1536"/>
      <c r="M211" s="1536"/>
      <c r="N211" s="1536"/>
      <c r="O211" s="1536"/>
      <c r="P211" s="1536"/>
      <c r="Q211" s="1536"/>
      <c r="R211" s="1990"/>
      <c r="S211" s="1536"/>
      <c r="T211" s="1536"/>
      <c r="U211" s="1536"/>
      <c r="V211" s="1536"/>
      <c r="W211" s="1536"/>
      <c r="X211" s="1422"/>
      <c r="Y211" s="1991"/>
      <c r="Z211" s="1987"/>
      <c r="AB211" s="434">
        <f t="shared" si="40"/>
        <v>0</v>
      </c>
      <c r="AC211" s="434">
        <f t="shared" si="41"/>
        <v>0</v>
      </c>
      <c r="AD211" s="3056">
        <f t="shared" si="42"/>
        <v>0</v>
      </c>
    </row>
    <row r="212" spans="1:30" s="454" customFormat="1" ht="18" hidden="1" customHeight="1">
      <c r="A212" s="2302"/>
      <c r="B212" s="541"/>
      <c r="C212" s="542"/>
      <c r="D212" s="624"/>
      <c r="E212" s="2023" t="s">
        <v>278</v>
      </c>
      <c r="F212" s="526">
        <f>Y212</f>
        <v>0</v>
      </c>
      <c r="G212" s="1918">
        <v>0</v>
      </c>
      <c r="H212" s="534">
        <f>F212-G212</f>
        <v>0</v>
      </c>
      <c r="I212" s="2082"/>
      <c r="J212" s="3020" t="s">
        <v>4031</v>
      </c>
      <c r="K212" s="2082"/>
      <c r="L212" s="2082"/>
      <c r="M212" s="2082"/>
      <c r="N212" s="2082"/>
      <c r="O212" s="2082"/>
      <c r="P212" s="2082"/>
      <c r="Q212" s="2082"/>
      <c r="R212" s="552"/>
      <c r="S212" s="2082"/>
      <c r="T212" s="2082"/>
      <c r="U212" s="2082"/>
      <c r="V212" s="2082"/>
      <c r="W212" s="2082"/>
      <c r="X212" s="2030" t="s">
        <v>4032</v>
      </c>
      <c r="Y212" s="483">
        <v>0</v>
      </c>
      <c r="Z212" s="555" t="e">
        <f>SUM(#REF!)</f>
        <v>#REF!</v>
      </c>
      <c r="AB212" s="434">
        <f t="shared" si="40"/>
        <v>0</v>
      </c>
      <c r="AC212" s="434">
        <f t="shared" si="41"/>
        <v>0</v>
      </c>
      <c r="AD212" s="3056">
        <f t="shared" si="42"/>
        <v>0</v>
      </c>
    </row>
    <row r="213" spans="1:30" s="191" customFormat="1" ht="18" hidden="1" customHeight="1">
      <c r="A213" s="2302"/>
      <c r="B213" s="2129"/>
      <c r="C213" s="564"/>
      <c r="D213" s="2020"/>
      <c r="E213" s="2023" t="s">
        <v>352</v>
      </c>
      <c r="F213" s="526">
        <f t="shared" ref="F213:F222" si="48">+Y213</f>
        <v>0</v>
      </c>
      <c r="G213" s="526">
        <v>0</v>
      </c>
      <c r="H213" s="534">
        <f>F213-G213</f>
        <v>0</v>
      </c>
      <c r="I213" s="2082"/>
      <c r="J213" s="3020" t="s">
        <v>4031</v>
      </c>
      <c r="K213" s="2082"/>
      <c r="L213" s="2082"/>
      <c r="M213" s="2082"/>
      <c r="N213" s="2082"/>
      <c r="O213" s="2082"/>
      <c r="P213" s="2082"/>
      <c r="Q213" s="556">
        <v>2</v>
      </c>
      <c r="R213" s="2080"/>
      <c r="S213" s="474"/>
      <c r="T213" s="2106"/>
      <c r="U213" s="2106"/>
      <c r="V213" s="2106"/>
      <c r="W213" s="2106"/>
      <c r="X213" s="2030" t="s">
        <v>38</v>
      </c>
      <c r="Y213" s="483">
        <f t="shared" ref="Y213:Y222" si="49">Z213/1000</f>
        <v>0</v>
      </c>
      <c r="Z213" s="555">
        <f>Q213*S213*V213</f>
        <v>0</v>
      </c>
      <c r="AB213" s="434">
        <f t="shared" si="40"/>
        <v>0</v>
      </c>
      <c r="AC213" s="434">
        <f t="shared" si="41"/>
        <v>0</v>
      </c>
      <c r="AD213" s="3056">
        <f t="shared" si="42"/>
        <v>0</v>
      </c>
    </row>
    <row r="214" spans="1:30" s="191" customFormat="1" ht="18" hidden="1" customHeight="1">
      <c r="A214" s="2302"/>
      <c r="B214" s="2129"/>
      <c r="C214" s="564"/>
      <c r="D214" s="2020"/>
      <c r="E214" s="677" t="s">
        <v>229</v>
      </c>
      <c r="F214" s="526">
        <f t="shared" si="48"/>
        <v>0</v>
      </c>
      <c r="G214" s="526">
        <v>0</v>
      </c>
      <c r="H214" s="534">
        <f t="shared" ref="H214:H223" si="50">F214-G214</f>
        <v>0</v>
      </c>
      <c r="I214" s="2082"/>
      <c r="J214" s="3020" t="s">
        <v>4031</v>
      </c>
      <c r="K214" s="2082"/>
      <c r="L214" s="2082"/>
      <c r="M214" s="2082"/>
      <c r="N214" s="2082"/>
      <c r="O214" s="2082"/>
      <c r="P214" s="2082"/>
      <c r="Q214" s="475"/>
      <c r="R214" s="552"/>
      <c r="S214" s="474"/>
      <c r="T214" s="2106"/>
      <c r="U214" s="2106"/>
      <c r="V214" s="2106"/>
      <c r="W214" s="2106"/>
      <c r="X214" s="2030" t="s">
        <v>38</v>
      </c>
      <c r="Y214" s="483">
        <f>Z214/1000</f>
        <v>0</v>
      </c>
      <c r="Z214" s="555">
        <f>S214*V214</f>
        <v>0</v>
      </c>
      <c r="AB214" s="434">
        <f t="shared" si="40"/>
        <v>0</v>
      </c>
      <c r="AC214" s="434">
        <f t="shared" si="41"/>
        <v>0</v>
      </c>
      <c r="AD214" s="3056">
        <f t="shared" si="42"/>
        <v>0</v>
      </c>
    </row>
    <row r="215" spans="1:30" s="191" customFormat="1" ht="18" hidden="1" customHeight="1">
      <c r="A215" s="2302"/>
      <c r="B215" s="2129"/>
      <c r="C215" s="564"/>
      <c r="D215" s="2020"/>
      <c r="E215" s="677" t="s">
        <v>264</v>
      </c>
      <c r="F215" s="526">
        <f t="shared" si="48"/>
        <v>0</v>
      </c>
      <c r="G215" s="526">
        <v>0</v>
      </c>
      <c r="H215" s="534">
        <f t="shared" si="50"/>
        <v>0</v>
      </c>
      <c r="I215" s="2082"/>
      <c r="J215" s="3020" t="s">
        <v>4031</v>
      </c>
      <c r="K215" s="2082"/>
      <c r="L215" s="2082"/>
      <c r="M215" s="2082"/>
      <c r="N215" s="2082"/>
      <c r="O215" s="2082"/>
      <c r="P215" s="2082"/>
      <c r="Q215" s="475"/>
      <c r="R215" s="552"/>
      <c r="S215" s="474"/>
      <c r="T215" s="2106"/>
      <c r="U215" s="2106"/>
      <c r="V215" s="2106"/>
      <c r="W215" s="2106"/>
      <c r="X215" s="2030" t="s">
        <v>38</v>
      </c>
      <c r="Y215" s="483">
        <f>Z215/1000</f>
        <v>0</v>
      </c>
      <c r="Z215" s="555">
        <f>S215*V215</f>
        <v>0</v>
      </c>
      <c r="AB215" s="434">
        <f t="shared" si="40"/>
        <v>0</v>
      </c>
      <c r="AC215" s="434">
        <f t="shared" si="41"/>
        <v>0</v>
      </c>
      <c r="AD215" s="3056">
        <f t="shared" si="42"/>
        <v>0</v>
      </c>
    </row>
    <row r="216" spans="1:30" s="191" customFormat="1" ht="18" hidden="1" customHeight="1">
      <c r="A216" s="2302"/>
      <c r="B216" s="2129"/>
      <c r="C216" s="564"/>
      <c r="D216" s="2020"/>
      <c r="E216" s="677" t="s">
        <v>225</v>
      </c>
      <c r="F216" s="526">
        <f t="shared" si="48"/>
        <v>0</v>
      </c>
      <c r="G216" s="526">
        <v>0</v>
      </c>
      <c r="H216" s="534">
        <f t="shared" si="50"/>
        <v>0</v>
      </c>
      <c r="I216" s="2082"/>
      <c r="J216" s="3020" t="s">
        <v>4031</v>
      </c>
      <c r="K216" s="2082"/>
      <c r="L216" s="2082"/>
      <c r="M216" s="2082"/>
      <c r="N216" s="2082"/>
      <c r="O216" s="2082"/>
      <c r="P216" s="2082"/>
      <c r="Q216" s="556">
        <v>2</v>
      </c>
      <c r="R216" s="2080"/>
      <c r="S216" s="474"/>
      <c r="T216" s="2106"/>
      <c r="U216" s="2106"/>
      <c r="V216" s="2106"/>
      <c r="W216" s="2106"/>
      <c r="X216" s="2030" t="s">
        <v>38</v>
      </c>
      <c r="Y216" s="483">
        <f t="shared" si="49"/>
        <v>0</v>
      </c>
      <c r="Z216" s="555">
        <f>Q216*S216*V216</f>
        <v>0</v>
      </c>
      <c r="AB216" s="434">
        <f t="shared" si="40"/>
        <v>0</v>
      </c>
      <c r="AC216" s="434">
        <f t="shared" si="41"/>
        <v>0</v>
      </c>
      <c r="AD216" s="3056">
        <f t="shared" si="42"/>
        <v>0</v>
      </c>
    </row>
    <row r="217" spans="1:30" s="191" customFormat="1" ht="18" hidden="1" customHeight="1">
      <c r="A217" s="2302"/>
      <c r="B217" s="2129"/>
      <c r="C217" s="564"/>
      <c r="D217" s="2020"/>
      <c r="E217" s="677" t="s">
        <v>245</v>
      </c>
      <c r="F217" s="526">
        <f t="shared" si="48"/>
        <v>0</v>
      </c>
      <c r="G217" s="526">
        <v>0</v>
      </c>
      <c r="H217" s="534">
        <f t="shared" si="50"/>
        <v>0</v>
      </c>
      <c r="I217" s="2082"/>
      <c r="J217" s="3020" t="s">
        <v>4031</v>
      </c>
      <c r="K217" s="2082"/>
      <c r="L217" s="2082"/>
      <c r="M217" s="2082"/>
      <c r="N217" s="2082"/>
      <c r="O217" s="2082"/>
      <c r="P217" s="2082"/>
      <c r="Q217" s="556"/>
      <c r="R217" s="2092"/>
      <c r="S217" s="474"/>
      <c r="T217" s="2106"/>
      <c r="U217" s="2106"/>
      <c r="V217" s="2106"/>
      <c r="W217" s="2106"/>
      <c r="X217" s="2030" t="s">
        <v>4032</v>
      </c>
      <c r="Y217" s="483">
        <v>0</v>
      </c>
      <c r="Z217" s="555" t="e">
        <f>SUM(#REF!)</f>
        <v>#REF!</v>
      </c>
      <c r="AB217" s="434">
        <f t="shared" si="40"/>
        <v>0</v>
      </c>
      <c r="AC217" s="434">
        <f t="shared" si="41"/>
        <v>0</v>
      </c>
      <c r="AD217" s="3056">
        <f t="shared" si="42"/>
        <v>0</v>
      </c>
    </row>
    <row r="218" spans="1:30" s="191" customFormat="1" ht="18" hidden="1" customHeight="1">
      <c r="A218" s="2302"/>
      <c r="B218" s="2129"/>
      <c r="C218" s="564"/>
      <c r="D218" s="2020"/>
      <c r="E218" s="677" t="s">
        <v>246</v>
      </c>
      <c r="F218" s="526">
        <f t="shared" si="48"/>
        <v>0</v>
      </c>
      <c r="G218" s="526">
        <v>0</v>
      </c>
      <c r="H218" s="534">
        <f t="shared" si="50"/>
        <v>0</v>
      </c>
      <c r="I218" s="2082"/>
      <c r="J218" s="3020" t="s">
        <v>4031</v>
      </c>
      <c r="K218" s="2082"/>
      <c r="L218" s="2082"/>
      <c r="M218" s="2082"/>
      <c r="N218" s="2082"/>
      <c r="O218" s="2082"/>
      <c r="P218" s="2082"/>
      <c r="Q218" s="475" t="s">
        <v>770</v>
      </c>
      <c r="R218" s="552"/>
      <c r="S218" s="474"/>
      <c r="T218" s="2106"/>
      <c r="U218" s="2106"/>
      <c r="V218" s="2106"/>
      <c r="W218" s="2106"/>
      <c r="X218" s="2030" t="s">
        <v>4032</v>
      </c>
      <c r="Y218" s="483">
        <v>0</v>
      </c>
      <c r="Z218" s="555" t="e">
        <f>SUM(#REF!)</f>
        <v>#REF!</v>
      </c>
      <c r="AB218" s="434">
        <f t="shared" si="40"/>
        <v>0</v>
      </c>
      <c r="AC218" s="434">
        <f t="shared" si="41"/>
        <v>0</v>
      </c>
      <c r="AD218" s="3056">
        <f t="shared" si="42"/>
        <v>0</v>
      </c>
    </row>
    <row r="219" spans="1:30" s="191" customFormat="1" ht="18" hidden="1" customHeight="1">
      <c r="A219" s="2302"/>
      <c r="B219" s="2129"/>
      <c r="C219" s="564"/>
      <c r="D219" s="2020"/>
      <c r="E219" s="677" t="s">
        <v>262</v>
      </c>
      <c r="F219" s="526">
        <f t="shared" si="48"/>
        <v>0</v>
      </c>
      <c r="G219" s="526">
        <v>0</v>
      </c>
      <c r="H219" s="534">
        <f t="shared" si="50"/>
        <v>0</v>
      </c>
      <c r="I219" s="2082"/>
      <c r="J219" s="3020" t="s">
        <v>4031</v>
      </c>
      <c r="K219" s="2082"/>
      <c r="L219" s="2082"/>
      <c r="M219" s="2082"/>
      <c r="N219" s="2082"/>
      <c r="O219" s="2082"/>
      <c r="P219" s="2082"/>
      <c r="Q219" s="475"/>
      <c r="R219" s="552"/>
      <c r="S219" s="474"/>
      <c r="T219" s="2106"/>
      <c r="U219" s="2106"/>
      <c r="V219" s="2106"/>
      <c r="W219" s="2106"/>
      <c r="X219" s="2030" t="s">
        <v>38</v>
      </c>
      <c r="Y219" s="483">
        <f>Z219/1000</f>
        <v>0</v>
      </c>
      <c r="Z219" s="555">
        <f>S219*V219</f>
        <v>0</v>
      </c>
      <c r="AB219" s="434">
        <f t="shared" si="40"/>
        <v>0</v>
      </c>
      <c r="AC219" s="434">
        <f t="shared" si="41"/>
        <v>0</v>
      </c>
      <c r="AD219" s="3056">
        <f t="shared" si="42"/>
        <v>0</v>
      </c>
    </row>
    <row r="220" spans="1:30" s="191" customFormat="1" ht="18" hidden="1" customHeight="1">
      <c r="A220" s="2302"/>
      <c r="B220" s="2129"/>
      <c r="C220" s="564"/>
      <c r="D220" s="2020"/>
      <c r="E220" s="677" t="s">
        <v>261</v>
      </c>
      <c r="F220" s="526">
        <f t="shared" si="48"/>
        <v>0</v>
      </c>
      <c r="G220" s="526">
        <v>0</v>
      </c>
      <c r="H220" s="534">
        <f t="shared" si="50"/>
        <v>0</v>
      </c>
      <c r="I220" s="2082"/>
      <c r="J220" s="3020" t="s">
        <v>4031</v>
      </c>
      <c r="K220" s="2082"/>
      <c r="L220" s="2082"/>
      <c r="M220" s="2082"/>
      <c r="N220" s="2082"/>
      <c r="O220" s="2082"/>
      <c r="P220" s="2082"/>
      <c r="Q220" s="475"/>
      <c r="R220" s="552"/>
      <c r="S220" s="474"/>
      <c r="T220" s="2106"/>
      <c r="U220" s="2106"/>
      <c r="V220" s="2106"/>
      <c r="W220" s="2106"/>
      <c r="X220" s="2030" t="s">
        <v>38</v>
      </c>
      <c r="Y220" s="483">
        <f>Z220/1000</f>
        <v>0</v>
      </c>
      <c r="Z220" s="555">
        <f>S220*V220</f>
        <v>0</v>
      </c>
      <c r="AB220" s="434">
        <f t="shared" si="40"/>
        <v>0</v>
      </c>
      <c r="AC220" s="434">
        <f t="shared" si="41"/>
        <v>0</v>
      </c>
      <c r="AD220" s="3056">
        <f t="shared" si="42"/>
        <v>0</v>
      </c>
    </row>
    <row r="221" spans="1:30" s="191" customFormat="1" ht="18" hidden="1" customHeight="1">
      <c r="A221" s="2302"/>
      <c r="B221" s="2129"/>
      <c r="C221" s="564"/>
      <c r="D221" s="2020"/>
      <c r="E221" s="677" t="s">
        <v>17</v>
      </c>
      <c r="F221" s="526">
        <f t="shared" si="48"/>
        <v>0</v>
      </c>
      <c r="G221" s="526">
        <v>0</v>
      </c>
      <c r="H221" s="534">
        <f t="shared" si="50"/>
        <v>0</v>
      </c>
      <c r="I221" s="2082"/>
      <c r="J221" s="3020" t="s">
        <v>4031</v>
      </c>
      <c r="K221" s="2082"/>
      <c r="L221" s="2082"/>
      <c r="M221" s="2082"/>
      <c r="N221" s="2082"/>
      <c r="O221" s="2082"/>
      <c r="P221" s="2082"/>
      <c r="Q221" s="475"/>
      <c r="R221" s="552"/>
      <c r="S221" s="474"/>
      <c r="T221" s="2106"/>
      <c r="U221" s="2106"/>
      <c r="V221" s="2106"/>
      <c r="W221" s="2106"/>
      <c r="X221" s="2030" t="s">
        <v>38</v>
      </c>
      <c r="Y221" s="483">
        <f>Z221/1000</f>
        <v>0</v>
      </c>
      <c r="Z221" s="555">
        <f>S221*V221</f>
        <v>0</v>
      </c>
      <c r="AB221" s="434">
        <f t="shared" si="40"/>
        <v>0</v>
      </c>
      <c r="AC221" s="434">
        <f t="shared" si="41"/>
        <v>0</v>
      </c>
      <c r="AD221" s="3056">
        <f t="shared" si="42"/>
        <v>0</v>
      </c>
    </row>
    <row r="222" spans="1:30" s="191" customFormat="1" ht="18" hidden="1" customHeight="1">
      <c r="A222" s="2302"/>
      <c r="B222" s="2129"/>
      <c r="C222" s="564"/>
      <c r="D222" s="2020"/>
      <c r="E222" s="677" t="s">
        <v>451</v>
      </c>
      <c r="F222" s="526">
        <f t="shared" si="48"/>
        <v>0</v>
      </c>
      <c r="G222" s="526">
        <v>0</v>
      </c>
      <c r="H222" s="534">
        <f t="shared" si="50"/>
        <v>0</v>
      </c>
      <c r="I222" s="2082"/>
      <c r="J222" s="3020" t="s">
        <v>4031</v>
      </c>
      <c r="K222" s="2082"/>
      <c r="L222" s="2082"/>
      <c r="M222" s="2082"/>
      <c r="N222" s="2082"/>
      <c r="O222" s="2082"/>
      <c r="P222" s="2082"/>
      <c r="Q222" s="475"/>
      <c r="R222" s="552"/>
      <c r="S222" s="474"/>
      <c r="T222" s="2106"/>
      <c r="U222" s="2106"/>
      <c r="V222" s="2106"/>
      <c r="W222" s="2106"/>
      <c r="X222" s="2030" t="s">
        <v>38</v>
      </c>
      <c r="Y222" s="483">
        <f t="shared" si="49"/>
        <v>0</v>
      </c>
      <c r="Z222" s="555">
        <f t="shared" ref="Z222" si="51">S222*V222</f>
        <v>0</v>
      </c>
      <c r="AB222" s="434">
        <f t="shared" si="40"/>
        <v>0</v>
      </c>
      <c r="AC222" s="434">
        <f t="shared" si="41"/>
        <v>0</v>
      </c>
      <c r="AD222" s="3056">
        <f t="shared" si="42"/>
        <v>0</v>
      </c>
    </row>
    <row r="223" spans="1:30" s="191" customFormat="1" ht="18" hidden="1" customHeight="1">
      <c r="A223" s="2302"/>
      <c r="B223" s="2129"/>
      <c r="C223" s="564"/>
      <c r="D223" s="2020"/>
      <c r="E223" s="677" t="s">
        <v>242</v>
      </c>
      <c r="F223" s="526">
        <f t="shared" ref="F223" si="52">+Y223</f>
        <v>0</v>
      </c>
      <c r="G223" s="526">
        <v>0</v>
      </c>
      <c r="H223" s="534">
        <f t="shared" si="50"/>
        <v>0</v>
      </c>
      <c r="I223" s="2082"/>
      <c r="J223" s="3020" t="s">
        <v>4031</v>
      </c>
      <c r="K223" s="2082"/>
      <c r="L223" s="2082"/>
      <c r="M223" s="2082"/>
      <c r="N223" s="2082"/>
      <c r="O223" s="2082"/>
      <c r="P223" s="2082"/>
      <c r="Q223" s="556">
        <v>5</v>
      </c>
      <c r="R223" s="2092"/>
      <c r="S223" s="474"/>
      <c r="T223" s="2106"/>
      <c r="U223" s="2106"/>
      <c r="V223" s="2106"/>
      <c r="W223" s="2106"/>
      <c r="X223" s="2030" t="s">
        <v>38</v>
      </c>
      <c r="Y223" s="483">
        <f t="shared" ref="Y223" si="53">(Z223)/1000</f>
        <v>0</v>
      </c>
      <c r="Z223" s="555">
        <f>Q223*S223*V223</f>
        <v>0</v>
      </c>
      <c r="AB223" s="434">
        <f t="shared" si="40"/>
        <v>0</v>
      </c>
      <c r="AC223" s="434">
        <f t="shared" si="41"/>
        <v>0</v>
      </c>
      <c r="AD223" s="3056">
        <f t="shared" si="42"/>
        <v>0</v>
      </c>
    </row>
    <row r="224" spans="1:30" s="191" customFormat="1" ht="18" hidden="1" customHeight="1">
      <c r="A224" s="2302"/>
      <c r="B224" s="2129"/>
      <c r="C224" s="564"/>
      <c r="D224" s="2020"/>
      <c r="E224" s="677" t="s">
        <v>940</v>
      </c>
      <c r="F224" s="526">
        <f>+Y224</f>
        <v>0</v>
      </c>
      <c r="G224" s="526">
        <v>0</v>
      </c>
      <c r="H224" s="534">
        <f>F224-G224</f>
        <v>0</v>
      </c>
      <c r="I224" s="2082"/>
      <c r="J224" s="3020" t="s">
        <v>4031</v>
      </c>
      <c r="K224" s="2082"/>
      <c r="L224" s="2082"/>
      <c r="M224" s="2082"/>
      <c r="N224" s="2082"/>
      <c r="O224" s="2082"/>
      <c r="P224" s="2082"/>
      <c r="Q224" s="475" t="s">
        <v>770</v>
      </c>
      <c r="R224" s="552"/>
      <c r="S224" s="474"/>
      <c r="T224" s="2106"/>
      <c r="U224" s="2106"/>
      <c r="V224" s="2106"/>
      <c r="W224" s="2106"/>
      <c r="X224" s="2030" t="s">
        <v>4032</v>
      </c>
      <c r="Y224" s="483">
        <v>0</v>
      </c>
      <c r="Z224" s="555" t="e">
        <f>SUM(#REF!)</f>
        <v>#REF!</v>
      </c>
      <c r="AB224" s="434">
        <f t="shared" si="40"/>
        <v>0</v>
      </c>
      <c r="AC224" s="434">
        <f t="shared" si="41"/>
        <v>0</v>
      </c>
      <c r="AD224" s="3056">
        <f t="shared" si="42"/>
        <v>0</v>
      </c>
    </row>
    <row r="226" spans="6:6">
      <c r="F226" s="3402"/>
    </row>
  </sheetData>
  <autoFilter ref="A4:Z222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7">
    <mergeCell ref="A5:E5"/>
    <mergeCell ref="A6:E6"/>
    <mergeCell ref="D49:E49"/>
    <mergeCell ref="C8:E8"/>
    <mergeCell ref="C11:E11"/>
    <mergeCell ref="D12:E12"/>
    <mergeCell ref="D9:E9"/>
    <mergeCell ref="C48:E48"/>
    <mergeCell ref="D28:E28"/>
    <mergeCell ref="A1:Y1"/>
    <mergeCell ref="A3:E3"/>
    <mergeCell ref="F3:F4"/>
    <mergeCell ref="G3:G4"/>
    <mergeCell ref="H3:H4"/>
    <mergeCell ref="J3:Y4"/>
    <mergeCell ref="C61:E61"/>
    <mergeCell ref="D77:E77"/>
    <mergeCell ref="C84:E84"/>
    <mergeCell ref="D85:E85"/>
    <mergeCell ref="D62:E62"/>
    <mergeCell ref="D74:E74"/>
    <mergeCell ref="D104:E104"/>
    <mergeCell ref="C107:E107"/>
    <mergeCell ref="D108:E108"/>
    <mergeCell ref="C111:E111"/>
    <mergeCell ref="D112:E112"/>
    <mergeCell ref="J119:M119"/>
    <mergeCell ref="C121:E121"/>
    <mergeCell ref="D122:E122"/>
    <mergeCell ref="D138:E138"/>
    <mergeCell ref="C151:E151"/>
    <mergeCell ref="D152:E152"/>
    <mergeCell ref="C181:E181"/>
    <mergeCell ref="D182:E182"/>
    <mergeCell ref="D188:E188"/>
    <mergeCell ref="D190:E190"/>
    <mergeCell ref="D192:E192"/>
    <mergeCell ref="D194:E194"/>
    <mergeCell ref="D211:E211"/>
    <mergeCell ref="D196:E196"/>
    <mergeCell ref="D198:E198"/>
    <mergeCell ref="D200:E200"/>
    <mergeCell ref="D202:E202"/>
    <mergeCell ref="D204:E204"/>
    <mergeCell ref="D206:E206"/>
    <mergeCell ref="D208:E208"/>
    <mergeCell ref="C210:E210"/>
  </mergeCells>
  <phoneticPr fontId="15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4" firstPageNumber="12" fitToHeight="100" orientation="landscape" useFirstPageNumber="1" r:id="rId1"/>
  <headerFooter scaleWithDoc="0" alignWithMargins="0"/>
  <rowBreaks count="2" manualBreakCount="2">
    <brk id="109" max="24" man="1"/>
    <brk id="149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916"/>
  <sheetViews>
    <sheetView view="pageBreakPreview" zoomScale="70" zoomScaleNormal="75" zoomScaleSheetLayoutView="70" workbookViewId="0">
      <pane ySplit="4" topLeftCell="A879" activePane="bottomLeft" state="frozen"/>
      <selection activeCell="H54" sqref="H54"/>
      <selection pane="bottomLeft" activeCell="G860" sqref="G860"/>
    </sheetView>
  </sheetViews>
  <sheetFormatPr defaultRowHeight="18.75"/>
  <cols>
    <col min="1" max="4" width="6.77734375" style="182" customWidth="1"/>
    <col min="5" max="5" width="16" style="182" customWidth="1"/>
    <col min="6" max="7" width="14" style="183" customWidth="1"/>
    <col min="8" max="8" width="14" style="199" customWidth="1"/>
    <col min="9" max="9" width="1.5546875" style="184" customWidth="1"/>
    <col min="10" max="10" width="2.88671875" style="185" customWidth="1"/>
    <col min="11" max="11" width="1.88671875" style="182" customWidth="1"/>
    <col min="12" max="12" width="8.77734375" style="182" customWidth="1"/>
    <col min="13" max="13" width="10.33203125" style="182" customWidth="1"/>
    <col min="14" max="14" width="7.5546875" style="182" customWidth="1"/>
    <col min="15" max="15" width="11.109375" style="186" customWidth="1"/>
    <col min="16" max="16" width="8.44140625" style="186" customWidth="1"/>
    <col min="17" max="17" width="7.77734375" style="182" customWidth="1"/>
    <col min="18" max="18" width="6.77734375" style="182" customWidth="1"/>
    <col min="19" max="19" width="14.77734375" style="182" customWidth="1"/>
    <col min="20" max="21" width="6.88671875" style="182" customWidth="1"/>
    <col min="22" max="22" width="8.33203125" style="182" customWidth="1"/>
    <col min="23" max="23" width="6.77734375" style="182" customWidth="1"/>
    <col min="24" max="24" width="3" style="182" customWidth="1"/>
    <col min="25" max="25" width="14.77734375" style="187" customWidth="1"/>
    <col min="26" max="26" width="17.44140625" style="179" customWidth="1"/>
    <col min="27" max="27" width="20.21875" style="179" bestFit="1" customWidth="1"/>
    <col min="28" max="28" width="20.21875" style="188" bestFit="1" customWidth="1"/>
    <col min="29" max="30" width="16.109375" style="188" customWidth="1"/>
    <col min="31" max="16384" width="8.88671875" style="188"/>
  </cols>
  <sheetData>
    <row r="1" spans="1:29" ht="27" customHeight="1">
      <c r="A1" s="3884" t="s">
        <v>6112</v>
      </c>
      <c r="B1" s="3884"/>
      <c r="C1" s="3884"/>
      <c r="D1" s="3884"/>
      <c r="E1" s="3884"/>
      <c r="F1" s="3884"/>
      <c r="G1" s="3884"/>
      <c r="H1" s="3884"/>
      <c r="I1" s="3884"/>
      <c r="J1" s="3884"/>
      <c r="K1" s="3884"/>
      <c r="L1" s="3884"/>
      <c r="M1" s="3884"/>
      <c r="N1" s="3884"/>
      <c r="O1" s="3884"/>
      <c r="P1" s="3884"/>
      <c r="Q1" s="3884"/>
      <c r="R1" s="3884"/>
      <c r="S1" s="3884"/>
      <c r="T1" s="3884"/>
      <c r="U1" s="3884"/>
      <c r="V1" s="3884"/>
      <c r="W1" s="3884"/>
      <c r="X1" s="3884"/>
      <c r="Y1" s="3884"/>
      <c r="Z1" s="2196"/>
      <c r="AA1" s="189"/>
    </row>
    <row r="2" spans="1:29" s="128" customFormat="1" ht="15" thickBot="1">
      <c r="A2" s="1313"/>
      <c r="B2" s="1313"/>
      <c r="C2" s="1313"/>
      <c r="D2" s="1313" t="s">
        <v>832</v>
      </c>
      <c r="E2" s="1313"/>
      <c r="F2" s="2197"/>
      <c r="G2" s="2197"/>
      <c r="H2" s="1881" t="s">
        <v>1281</v>
      </c>
      <c r="I2" s="2082"/>
      <c r="J2" s="1313" t="s">
        <v>832</v>
      </c>
      <c r="K2" s="1283" t="s">
        <v>832</v>
      </c>
      <c r="L2" s="1313"/>
      <c r="M2" s="508"/>
      <c r="N2" s="308"/>
      <c r="O2" s="2198"/>
      <c r="P2" s="2198"/>
      <c r="Q2" s="2199"/>
      <c r="R2" s="2199"/>
      <c r="S2" s="2199"/>
      <c r="T2" s="2199"/>
      <c r="U2" s="2199"/>
      <c r="V2" s="2199"/>
      <c r="W2" s="2199"/>
      <c r="X2" s="2199"/>
      <c r="Y2" s="475" t="s">
        <v>1410</v>
      </c>
      <c r="Z2" s="308"/>
      <c r="AA2" s="6"/>
    </row>
    <row r="3" spans="1:29" s="191" customFormat="1" ht="24" customHeight="1">
      <c r="A3" s="3885" t="s">
        <v>925</v>
      </c>
      <c r="B3" s="3886"/>
      <c r="C3" s="3886"/>
      <c r="D3" s="3886"/>
      <c r="E3" s="3887"/>
      <c r="F3" s="3809" t="s">
        <v>2590</v>
      </c>
      <c r="G3" s="3811" t="s">
        <v>1077</v>
      </c>
      <c r="H3" s="3933" t="s">
        <v>11</v>
      </c>
      <c r="I3" s="543"/>
      <c r="J3" s="3890" t="s">
        <v>2853</v>
      </c>
      <c r="K3" s="3891"/>
      <c r="L3" s="3891"/>
      <c r="M3" s="3891"/>
      <c r="N3" s="3891"/>
      <c r="O3" s="3891"/>
      <c r="P3" s="3891"/>
      <c r="Q3" s="3891"/>
      <c r="R3" s="3891"/>
      <c r="S3" s="3891"/>
      <c r="T3" s="3891"/>
      <c r="U3" s="3891"/>
      <c r="V3" s="3891"/>
      <c r="W3" s="3891"/>
      <c r="X3" s="3891"/>
      <c r="Y3" s="3892"/>
      <c r="Z3" s="3467"/>
      <c r="AA3" s="6"/>
    </row>
    <row r="4" spans="1:29" s="192" customFormat="1" ht="21" customHeight="1" thickBot="1">
      <c r="A4" s="1900" t="s">
        <v>815</v>
      </c>
      <c r="B4" s="1901" t="s">
        <v>1381</v>
      </c>
      <c r="C4" s="1880" t="s">
        <v>1386</v>
      </c>
      <c r="D4" s="1880" t="s">
        <v>1387</v>
      </c>
      <c r="E4" s="1880" t="s">
        <v>49</v>
      </c>
      <c r="F4" s="3810"/>
      <c r="G4" s="3812"/>
      <c r="H4" s="3934"/>
      <c r="I4" s="543"/>
      <c r="J4" s="3893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4"/>
      <c r="V4" s="3894"/>
      <c r="W4" s="3894"/>
      <c r="X4" s="3894"/>
      <c r="Y4" s="3895"/>
      <c r="Z4" s="3468"/>
      <c r="AA4" s="6"/>
    </row>
    <row r="5" spans="1:29" s="192" customFormat="1" ht="22.5" customHeight="1" thickBot="1">
      <c r="A5" s="574" t="s">
        <v>926</v>
      </c>
      <c r="B5" s="2314"/>
      <c r="C5" s="2314"/>
      <c r="D5" s="2314" t="s">
        <v>1387</v>
      </c>
      <c r="E5" s="2314"/>
      <c r="F5" s="572">
        <f>+F6+F111+F233+F427+F632+F832</f>
        <v>20268506.999999996</v>
      </c>
      <c r="G5" s="572">
        <f>+G6+G111+G233+G427+G632+G832</f>
        <v>19347706.999999996</v>
      </c>
      <c r="H5" s="573">
        <f>F5-G5</f>
        <v>920800</v>
      </c>
      <c r="I5" s="543"/>
      <c r="J5" s="2204"/>
      <c r="K5" s="2205"/>
      <c r="L5" s="2205"/>
      <c r="M5" s="2205"/>
      <c r="N5" s="2205"/>
      <c r="O5" s="2205"/>
      <c r="P5" s="2205"/>
      <c r="Q5" s="2205"/>
      <c r="R5" s="2205"/>
      <c r="S5" s="2205"/>
      <c r="T5" s="2205"/>
      <c r="U5" s="2205"/>
      <c r="V5" s="2205"/>
      <c r="W5" s="2205"/>
      <c r="X5" s="2205"/>
      <c r="Y5" s="2206"/>
      <c r="Z5" s="3469"/>
      <c r="AA5" s="6"/>
      <c r="AB5" s="427"/>
    </row>
    <row r="6" spans="1:29" s="302" customFormat="1" ht="20.85" customHeight="1" thickBot="1">
      <c r="A6" s="2315" t="s">
        <v>832</v>
      </c>
      <c r="B6" s="568" t="s">
        <v>1055</v>
      </c>
      <c r="C6" s="569"/>
      <c r="D6" s="570"/>
      <c r="E6" s="571"/>
      <c r="F6" s="572">
        <f>+F7+F46</f>
        <v>9195000</v>
      </c>
      <c r="G6" s="572">
        <f>+G7+G46</f>
        <v>8245000</v>
      </c>
      <c r="H6" s="573">
        <f>F6-G6</f>
        <v>950000</v>
      </c>
      <c r="I6" s="543"/>
      <c r="J6" s="2316"/>
      <c r="K6" s="2317"/>
      <c r="L6" s="2317"/>
      <c r="M6" s="2317"/>
      <c r="N6" s="2317"/>
      <c r="O6" s="2317"/>
      <c r="P6" s="2317"/>
      <c r="Q6" s="2317"/>
      <c r="R6" s="2317"/>
      <c r="S6" s="2317"/>
      <c r="T6" s="2317"/>
      <c r="U6" s="2317"/>
      <c r="V6" s="2317"/>
      <c r="W6" s="2317"/>
      <c r="X6" s="2314"/>
      <c r="Y6" s="2318"/>
      <c r="Z6" s="3470"/>
      <c r="AA6" s="427"/>
      <c r="AB6" s="427"/>
      <c r="AC6" s="192"/>
    </row>
    <row r="7" spans="1:29" s="294" customFormat="1" ht="20.85" customHeight="1">
      <c r="A7" s="540"/>
      <c r="B7" s="541"/>
      <c r="C7" s="3926" t="s">
        <v>3367</v>
      </c>
      <c r="D7" s="3927"/>
      <c r="E7" s="3928"/>
      <c r="F7" s="2319">
        <f>+F8+F21</f>
        <v>300000</v>
      </c>
      <c r="G7" s="2319">
        <f>+G8+G21</f>
        <v>300000</v>
      </c>
      <c r="H7" s="2320">
        <f>F7-G7</f>
        <v>0</v>
      </c>
      <c r="I7" s="543"/>
      <c r="J7" s="580"/>
      <c r="K7" s="2072"/>
      <c r="L7" s="2072"/>
      <c r="M7" s="2072"/>
      <c r="N7" s="2072"/>
      <c r="O7" s="2072"/>
      <c r="P7" s="2072"/>
      <c r="Q7" s="2072"/>
      <c r="R7" s="2072"/>
      <c r="S7" s="2072"/>
      <c r="T7" s="2072"/>
      <c r="U7" s="2072"/>
      <c r="V7" s="2072"/>
      <c r="W7" s="2072"/>
      <c r="X7" s="581"/>
      <c r="Y7" s="2321"/>
      <c r="Z7" s="3471"/>
      <c r="AA7" s="427"/>
      <c r="AB7" s="427"/>
      <c r="AC7" s="192"/>
    </row>
    <row r="8" spans="1:29" s="294" customFormat="1" ht="20.85" customHeight="1">
      <c r="A8" s="540"/>
      <c r="B8" s="541"/>
      <c r="C8" s="564"/>
      <c r="D8" s="3837" t="s">
        <v>3368</v>
      </c>
      <c r="E8" s="3838"/>
      <c r="F8" s="2319">
        <f>SUM(F9:F20)</f>
        <v>100000</v>
      </c>
      <c r="G8" s="2319">
        <f>SUM(G9:G20)</f>
        <v>100000</v>
      </c>
      <c r="H8" s="627">
        <f>F8-G8</f>
        <v>0</v>
      </c>
      <c r="I8" s="543"/>
      <c r="J8" s="1342"/>
      <c r="K8" s="2072"/>
      <c r="L8" s="2072"/>
      <c r="M8" s="2072"/>
      <c r="N8" s="2072"/>
      <c r="O8" s="2072"/>
      <c r="P8" s="2072"/>
      <c r="Q8" s="615"/>
      <c r="R8" s="616"/>
      <c r="S8" s="617"/>
      <c r="T8" s="618"/>
      <c r="U8" s="618"/>
      <c r="V8" s="618"/>
      <c r="W8" s="618"/>
      <c r="X8" s="619"/>
      <c r="Y8" s="517"/>
      <c r="Z8" s="2716"/>
      <c r="AA8" s="427"/>
      <c r="AB8" s="427"/>
      <c r="AC8" s="192"/>
    </row>
    <row r="9" spans="1:29" s="294" customFormat="1" ht="20.85" customHeight="1">
      <c r="A9" s="540"/>
      <c r="B9" s="541"/>
      <c r="C9" s="564"/>
      <c r="D9" s="588"/>
      <c r="E9" s="745" t="s">
        <v>57</v>
      </c>
      <c r="F9" s="526">
        <f>Y9</f>
        <v>4000</v>
      </c>
      <c r="G9" s="1918">
        <v>4000</v>
      </c>
      <c r="H9" s="551"/>
      <c r="I9" s="543"/>
      <c r="J9" s="2105" t="s">
        <v>279</v>
      </c>
      <c r="K9" s="2106"/>
      <c r="L9" s="2082"/>
      <c r="M9" s="2082"/>
      <c r="N9" s="2082"/>
      <c r="O9" s="2082"/>
      <c r="P9" s="2082"/>
      <c r="Q9" s="556"/>
      <c r="R9" s="2092"/>
      <c r="S9" s="474">
        <v>4000000</v>
      </c>
      <c r="T9" s="2106" t="s">
        <v>0</v>
      </c>
      <c r="U9" s="2106"/>
      <c r="V9" s="2106">
        <v>1</v>
      </c>
      <c r="W9" s="2106" t="s">
        <v>3</v>
      </c>
      <c r="X9" s="2030" t="s">
        <v>1</v>
      </c>
      <c r="Y9" s="483">
        <f t="shared" ref="Y9:Y20" si="0">Z9/1000</f>
        <v>4000</v>
      </c>
      <c r="Z9" s="1898">
        <f>S9*V9</f>
        <v>4000000</v>
      </c>
      <c r="AA9" s="427"/>
      <c r="AB9" s="427"/>
      <c r="AC9" s="192"/>
    </row>
    <row r="10" spans="1:29" s="294" customFormat="1" ht="20.85" customHeight="1">
      <c r="A10" s="540"/>
      <c r="B10" s="541"/>
      <c r="C10" s="564"/>
      <c r="D10" s="588"/>
      <c r="E10" s="745" t="s">
        <v>95</v>
      </c>
      <c r="F10" s="526">
        <f>Y10</f>
        <v>400</v>
      </c>
      <c r="G10" s="1918">
        <v>400</v>
      </c>
      <c r="H10" s="551"/>
      <c r="I10" s="543"/>
      <c r="J10" s="2105" t="s">
        <v>280</v>
      </c>
      <c r="K10" s="2106"/>
      <c r="L10" s="2082"/>
      <c r="M10" s="2082"/>
      <c r="N10" s="475" t="s">
        <v>20</v>
      </c>
      <c r="O10" s="2082" t="s">
        <v>20</v>
      </c>
      <c r="P10" s="2082"/>
      <c r="Q10" s="556">
        <v>2</v>
      </c>
      <c r="R10" s="2080" t="s">
        <v>929</v>
      </c>
      <c r="S10" s="474">
        <v>25000</v>
      </c>
      <c r="T10" s="2106" t="s">
        <v>0</v>
      </c>
      <c r="U10" s="2106"/>
      <c r="V10" s="2106">
        <v>8</v>
      </c>
      <c r="W10" s="2106" t="s">
        <v>3</v>
      </c>
      <c r="X10" s="2030" t="s">
        <v>1</v>
      </c>
      <c r="Y10" s="483">
        <f t="shared" si="0"/>
        <v>400</v>
      </c>
      <c r="Z10" s="1898">
        <f>Q10*S10*V10</f>
        <v>400000</v>
      </c>
      <c r="AA10" s="427"/>
      <c r="AB10" s="427"/>
      <c r="AC10" s="192"/>
    </row>
    <row r="11" spans="1:29" s="294" customFormat="1" ht="20.85" customHeight="1">
      <c r="A11" s="540"/>
      <c r="B11" s="541"/>
      <c r="C11" s="564"/>
      <c r="D11" s="588"/>
      <c r="E11" s="2023" t="s">
        <v>58</v>
      </c>
      <c r="F11" s="526">
        <f>Y11</f>
        <v>3600</v>
      </c>
      <c r="G11" s="1918">
        <v>3600</v>
      </c>
      <c r="H11" s="551"/>
      <c r="I11" s="543"/>
      <c r="J11" s="2105" t="s">
        <v>8</v>
      </c>
      <c r="K11" s="2082"/>
      <c r="L11" s="2082"/>
      <c r="M11" s="2082"/>
      <c r="N11" s="2082"/>
      <c r="O11" s="2082"/>
      <c r="P11" s="2082"/>
      <c r="Q11" s="2082"/>
      <c r="R11" s="552"/>
      <c r="S11" s="2082"/>
      <c r="T11" s="2082"/>
      <c r="U11" s="2082"/>
      <c r="V11" s="2082"/>
      <c r="W11" s="2082"/>
      <c r="X11" s="2030"/>
      <c r="Y11" s="483">
        <f t="shared" si="0"/>
        <v>3600</v>
      </c>
      <c r="Z11" s="1898">
        <f>SUM(Z12:Z13)</f>
        <v>3600000</v>
      </c>
      <c r="AA11" s="427"/>
      <c r="AB11" s="427"/>
      <c r="AC11" s="192"/>
    </row>
    <row r="12" spans="1:29" s="294" customFormat="1" ht="20.85" customHeight="1">
      <c r="A12" s="540"/>
      <c r="B12" s="541"/>
      <c r="C12" s="564"/>
      <c r="D12" s="588"/>
      <c r="E12" s="2023"/>
      <c r="F12" s="526"/>
      <c r="G12" s="1918"/>
      <c r="H12" s="551"/>
      <c r="I12" s="543"/>
      <c r="J12" s="2105" t="s">
        <v>1658</v>
      </c>
      <c r="K12" s="2082"/>
      <c r="L12" s="2082"/>
      <c r="M12" s="2082"/>
      <c r="N12" s="2082"/>
      <c r="O12" s="2082"/>
      <c r="P12" s="2082"/>
      <c r="Q12" s="556">
        <v>3</v>
      </c>
      <c r="R12" s="2080" t="s">
        <v>929</v>
      </c>
      <c r="S12" s="474">
        <v>200000</v>
      </c>
      <c r="T12" s="2106" t="s">
        <v>0</v>
      </c>
      <c r="U12" s="2106"/>
      <c r="V12" s="2106">
        <v>2</v>
      </c>
      <c r="W12" s="2106" t="s">
        <v>3</v>
      </c>
      <c r="X12" s="2030" t="s">
        <v>1</v>
      </c>
      <c r="Y12" s="483">
        <f t="shared" si="0"/>
        <v>1200</v>
      </c>
      <c r="Z12" s="1898">
        <f>Q12*S12*V12</f>
        <v>1200000</v>
      </c>
      <c r="AA12" s="427"/>
      <c r="AB12" s="427"/>
      <c r="AC12" s="192"/>
    </row>
    <row r="13" spans="1:29" s="294" customFormat="1" ht="20.85" customHeight="1">
      <c r="A13" s="540"/>
      <c r="B13" s="541"/>
      <c r="C13" s="564"/>
      <c r="D13" s="588"/>
      <c r="E13" s="2023"/>
      <c r="F13" s="526"/>
      <c r="G13" s="1918"/>
      <c r="H13" s="551"/>
      <c r="I13" s="543"/>
      <c r="J13" s="2105" t="s">
        <v>282</v>
      </c>
      <c r="K13" s="2082"/>
      <c r="L13" s="2082"/>
      <c r="M13" s="2082"/>
      <c r="N13" s="2082"/>
      <c r="O13" s="2082"/>
      <c r="P13" s="2082"/>
      <c r="Q13" s="556">
        <v>4</v>
      </c>
      <c r="R13" s="2080" t="s">
        <v>929</v>
      </c>
      <c r="S13" s="474">
        <v>300000</v>
      </c>
      <c r="T13" s="2106" t="s">
        <v>0</v>
      </c>
      <c r="U13" s="2106"/>
      <c r="V13" s="2106">
        <v>2</v>
      </c>
      <c r="W13" s="2106" t="s">
        <v>3</v>
      </c>
      <c r="X13" s="2030" t="s">
        <v>1</v>
      </c>
      <c r="Y13" s="483">
        <f t="shared" si="0"/>
        <v>2400</v>
      </c>
      <c r="Z13" s="1898">
        <f>Q13*S13*V13</f>
        <v>2400000</v>
      </c>
      <c r="AA13" s="427"/>
      <c r="AB13" s="427"/>
      <c r="AC13" s="192"/>
    </row>
    <row r="14" spans="1:29" s="294" customFormat="1" ht="20.85" customHeight="1">
      <c r="A14" s="540"/>
      <c r="B14" s="541"/>
      <c r="C14" s="564"/>
      <c r="D14" s="588"/>
      <c r="E14" s="2023" t="s">
        <v>238</v>
      </c>
      <c r="F14" s="526">
        <f>Y14</f>
        <v>90000</v>
      </c>
      <c r="G14" s="1918">
        <v>90000</v>
      </c>
      <c r="H14" s="551"/>
      <c r="I14" s="543"/>
      <c r="J14" s="2105" t="s">
        <v>8</v>
      </c>
      <c r="K14" s="2106"/>
      <c r="L14" s="2082"/>
      <c r="M14" s="2082"/>
      <c r="N14" s="2082"/>
      <c r="O14" s="2082"/>
      <c r="P14" s="2082"/>
      <c r="Q14" s="556"/>
      <c r="R14" s="2092"/>
      <c r="S14" s="474"/>
      <c r="T14" s="2106"/>
      <c r="U14" s="2106"/>
      <c r="V14" s="2106"/>
      <c r="W14" s="2106"/>
      <c r="X14" s="2030"/>
      <c r="Y14" s="483">
        <f t="shared" si="0"/>
        <v>90000</v>
      </c>
      <c r="Z14" s="1898">
        <f>Z15+Z16</f>
        <v>90000000</v>
      </c>
      <c r="AA14" s="427"/>
      <c r="AB14" s="427"/>
      <c r="AC14" s="192"/>
    </row>
    <row r="15" spans="1:29" s="294" customFormat="1" ht="20.85" customHeight="1">
      <c r="A15" s="540"/>
      <c r="B15" s="541"/>
      <c r="C15" s="564"/>
      <c r="D15" s="548"/>
      <c r="E15" s="2023"/>
      <c r="F15" s="526"/>
      <c r="G15" s="1918"/>
      <c r="H15" s="551"/>
      <c r="I15" s="543"/>
      <c r="J15" s="2105" t="s">
        <v>283</v>
      </c>
      <c r="K15" s="2106"/>
      <c r="L15" s="2082"/>
      <c r="M15" s="2082"/>
      <c r="N15" s="475"/>
      <c r="O15" s="2082"/>
      <c r="P15" s="2082"/>
      <c r="Q15" s="556"/>
      <c r="R15" s="2092"/>
      <c r="S15" s="474">
        <v>10000000</v>
      </c>
      <c r="T15" s="2106" t="s">
        <v>0</v>
      </c>
      <c r="U15" s="2106"/>
      <c r="V15" s="2106">
        <v>7</v>
      </c>
      <c r="W15" s="2106" t="s">
        <v>3</v>
      </c>
      <c r="X15" s="2030" t="s">
        <v>1</v>
      </c>
      <c r="Y15" s="483">
        <f t="shared" si="0"/>
        <v>70000</v>
      </c>
      <c r="Z15" s="1898">
        <f>S15*V15</f>
        <v>70000000</v>
      </c>
      <c r="AA15" s="427"/>
      <c r="AB15" s="427"/>
      <c r="AC15" s="192"/>
    </row>
    <row r="16" spans="1:29" s="294" customFormat="1" ht="20.85" customHeight="1">
      <c r="A16" s="540"/>
      <c r="B16" s="541"/>
      <c r="C16" s="564"/>
      <c r="D16" s="548"/>
      <c r="E16" s="2023"/>
      <c r="F16" s="526"/>
      <c r="G16" s="1918"/>
      <c r="H16" s="551"/>
      <c r="I16" s="543"/>
      <c r="J16" s="2105" t="s">
        <v>284</v>
      </c>
      <c r="K16" s="2106"/>
      <c r="L16" s="2082"/>
      <c r="M16" s="2082"/>
      <c r="N16" s="475"/>
      <c r="O16" s="2082"/>
      <c r="P16" s="2082"/>
      <c r="Q16" s="556"/>
      <c r="R16" s="2092"/>
      <c r="S16" s="474">
        <v>20000000</v>
      </c>
      <c r="T16" s="2106" t="s">
        <v>0</v>
      </c>
      <c r="U16" s="2106"/>
      <c r="V16" s="2106">
        <v>1</v>
      </c>
      <c r="W16" s="2106" t="s">
        <v>3</v>
      </c>
      <c r="X16" s="2030" t="s">
        <v>1</v>
      </c>
      <c r="Y16" s="483">
        <f t="shared" si="0"/>
        <v>20000</v>
      </c>
      <c r="Z16" s="1898">
        <f>S16*V16</f>
        <v>20000000</v>
      </c>
      <c r="AA16" s="427"/>
      <c r="AB16" s="427"/>
      <c r="AC16" s="192"/>
    </row>
    <row r="17" spans="1:29" s="294" customFormat="1" ht="20.85" customHeight="1">
      <c r="A17" s="540"/>
      <c r="B17" s="541"/>
      <c r="C17" s="564"/>
      <c r="D17" s="548"/>
      <c r="E17" s="2023" t="s">
        <v>62</v>
      </c>
      <c r="F17" s="526">
        <f>Y17</f>
        <v>1000</v>
      </c>
      <c r="G17" s="1918">
        <v>1000</v>
      </c>
      <c r="H17" s="551"/>
      <c r="I17" s="543"/>
      <c r="J17" s="2105" t="s">
        <v>285</v>
      </c>
      <c r="K17" s="2106"/>
      <c r="L17" s="2082"/>
      <c r="M17" s="2082"/>
      <c r="N17" s="475"/>
      <c r="O17" s="2082"/>
      <c r="P17" s="2082"/>
      <c r="Q17" s="556"/>
      <c r="R17" s="2092"/>
      <c r="S17" s="474"/>
      <c r="T17" s="2106"/>
      <c r="U17" s="2106"/>
      <c r="V17" s="2106"/>
      <c r="W17" s="2106"/>
      <c r="X17" s="2030"/>
      <c r="Y17" s="483">
        <f t="shared" si="0"/>
        <v>1000</v>
      </c>
      <c r="Z17" s="1898">
        <f>+Z18+Z19</f>
        <v>1000000</v>
      </c>
      <c r="AA17" s="427"/>
      <c r="AB17" s="427"/>
      <c r="AC17" s="192"/>
    </row>
    <row r="18" spans="1:29" s="294" customFormat="1" ht="20.85" customHeight="1">
      <c r="A18" s="540"/>
      <c r="B18" s="541"/>
      <c r="C18" s="564"/>
      <c r="D18" s="624"/>
      <c r="E18" s="2082"/>
      <c r="F18" s="526"/>
      <c r="G18" s="1918"/>
      <c r="H18" s="551"/>
      <c r="I18" s="543"/>
      <c r="J18" s="2105" t="s">
        <v>286</v>
      </c>
      <c r="K18" s="2106"/>
      <c r="L18" s="2082"/>
      <c r="M18" s="2082"/>
      <c r="N18" s="475"/>
      <c r="O18" s="2082"/>
      <c r="P18" s="2082"/>
      <c r="Q18" s="556"/>
      <c r="R18" s="2092"/>
      <c r="S18" s="474">
        <v>500000</v>
      </c>
      <c r="T18" s="2106" t="s">
        <v>0</v>
      </c>
      <c r="U18" s="2106"/>
      <c r="V18" s="2106">
        <v>1</v>
      </c>
      <c r="W18" s="2106" t="s">
        <v>3</v>
      </c>
      <c r="X18" s="2030" t="s">
        <v>1</v>
      </c>
      <c r="Y18" s="483">
        <f t="shared" si="0"/>
        <v>500</v>
      </c>
      <c r="Z18" s="1898">
        <v>500000</v>
      </c>
      <c r="AA18" s="427"/>
      <c r="AB18" s="427"/>
      <c r="AC18" s="192"/>
    </row>
    <row r="19" spans="1:29" s="294" customFormat="1" ht="20.85" customHeight="1">
      <c r="A19" s="540"/>
      <c r="B19" s="541"/>
      <c r="C19" s="564"/>
      <c r="D19" s="548"/>
      <c r="E19" s="2023"/>
      <c r="F19" s="526"/>
      <c r="G19" s="1918"/>
      <c r="H19" s="551"/>
      <c r="I19" s="543"/>
      <c r="J19" s="2105" t="s">
        <v>287</v>
      </c>
      <c r="K19" s="2106"/>
      <c r="L19" s="2082"/>
      <c r="M19" s="2082"/>
      <c r="N19" s="475"/>
      <c r="O19" s="2082"/>
      <c r="P19" s="2082"/>
      <c r="Q19" s="556"/>
      <c r="R19" s="2092"/>
      <c r="S19" s="474">
        <v>500000</v>
      </c>
      <c r="T19" s="2106" t="s">
        <v>0</v>
      </c>
      <c r="U19" s="2106"/>
      <c r="V19" s="2106">
        <v>1</v>
      </c>
      <c r="W19" s="2106" t="s">
        <v>3</v>
      </c>
      <c r="X19" s="2030" t="s">
        <v>1</v>
      </c>
      <c r="Y19" s="483">
        <f t="shared" si="0"/>
        <v>500</v>
      </c>
      <c r="Z19" s="1898">
        <v>500000</v>
      </c>
      <c r="AA19" s="427"/>
      <c r="AB19" s="427"/>
      <c r="AC19" s="192"/>
    </row>
    <row r="20" spans="1:29" s="294" customFormat="1" ht="20.85" customHeight="1">
      <c r="A20" s="540"/>
      <c r="B20" s="541"/>
      <c r="C20" s="564"/>
      <c r="D20" s="588"/>
      <c r="E20" s="755" t="s">
        <v>61</v>
      </c>
      <c r="F20" s="526">
        <f>Y20</f>
        <v>1000</v>
      </c>
      <c r="G20" s="1919">
        <v>1000</v>
      </c>
      <c r="H20" s="551"/>
      <c r="I20" s="543"/>
      <c r="J20" s="614" t="s">
        <v>288</v>
      </c>
      <c r="K20" s="618"/>
      <c r="L20" s="2072"/>
      <c r="M20" s="2072"/>
      <c r="N20" s="507"/>
      <c r="O20" s="2072"/>
      <c r="P20" s="2072"/>
      <c r="Q20" s="615">
        <v>5</v>
      </c>
      <c r="R20" s="2070" t="s">
        <v>929</v>
      </c>
      <c r="S20" s="617">
        <v>25000</v>
      </c>
      <c r="T20" s="618" t="s">
        <v>0</v>
      </c>
      <c r="U20" s="618"/>
      <c r="V20" s="618">
        <v>8</v>
      </c>
      <c r="W20" s="618" t="s">
        <v>3</v>
      </c>
      <c r="X20" s="619" t="s">
        <v>1</v>
      </c>
      <c r="Y20" s="483">
        <f t="shared" si="0"/>
        <v>1000</v>
      </c>
      <c r="Z20" s="1898">
        <f>Q20*S20*V20</f>
        <v>1000000</v>
      </c>
      <c r="AA20" s="427"/>
      <c r="AB20" s="427"/>
      <c r="AC20" s="192"/>
    </row>
    <row r="21" spans="1:29" s="300" customFormat="1" ht="20.85" customHeight="1">
      <c r="A21" s="540"/>
      <c r="B21" s="541"/>
      <c r="C21" s="542"/>
      <c r="D21" s="3929" t="s">
        <v>1006</v>
      </c>
      <c r="E21" s="3930"/>
      <c r="F21" s="528">
        <f>SUM(F22:F45)</f>
        <v>200000</v>
      </c>
      <c r="G21" s="528">
        <f>SUM(G22:G45)</f>
        <v>200000</v>
      </c>
      <c r="H21" s="2123">
        <f>F21-G21</f>
        <v>0</v>
      </c>
      <c r="I21" s="543"/>
      <c r="J21" s="2025"/>
      <c r="K21" s="2026"/>
      <c r="L21" s="2068"/>
      <c r="M21" s="2068"/>
      <c r="N21" s="2068"/>
      <c r="O21" s="2068"/>
      <c r="P21" s="2068"/>
      <c r="Q21" s="2322"/>
      <c r="R21" s="2027"/>
      <c r="S21" s="545"/>
      <c r="T21" s="2026"/>
      <c r="U21" s="2026"/>
      <c r="V21" s="2026"/>
      <c r="W21" s="2026"/>
      <c r="X21" s="2028"/>
      <c r="Y21" s="517"/>
      <c r="Z21" s="2716"/>
      <c r="AA21" s="427"/>
      <c r="AB21" s="427"/>
      <c r="AC21" s="192"/>
    </row>
    <row r="22" spans="1:29" s="300" customFormat="1" ht="20.85" customHeight="1">
      <c r="A22" s="540"/>
      <c r="B22" s="541"/>
      <c r="C22" s="542"/>
      <c r="D22" s="548"/>
      <c r="E22" s="677" t="s">
        <v>3506</v>
      </c>
      <c r="F22" s="549">
        <f>Y22</f>
        <v>35720</v>
      </c>
      <c r="G22" s="2029">
        <v>35720</v>
      </c>
      <c r="H22" s="551"/>
      <c r="I22" s="543"/>
      <c r="J22" s="2105" t="s">
        <v>768</v>
      </c>
      <c r="K22" s="2082"/>
      <c r="L22" s="2082"/>
      <c r="M22" s="2082"/>
      <c r="N22" s="2082"/>
      <c r="O22" s="2082"/>
      <c r="P22" s="2082"/>
      <c r="Q22" s="2082"/>
      <c r="R22" s="552"/>
      <c r="S22" s="2082"/>
      <c r="T22" s="2082"/>
      <c r="U22" s="2082"/>
      <c r="V22" s="2082"/>
      <c r="W22" s="2082"/>
      <c r="X22" s="2030"/>
      <c r="Y22" s="483">
        <f t="shared" ref="Y22:Y45" si="1">Z22/1000</f>
        <v>35720</v>
      </c>
      <c r="Z22" s="1898">
        <f>SUM(Z23:Z28)</f>
        <v>35720000</v>
      </c>
      <c r="AA22" s="427"/>
      <c r="AB22" s="427"/>
      <c r="AC22" s="192"/>
    </row>
    <row r="23" spans="1:29" s="300" customFormat="1" ht="20.85" customHeight="1">
      <c r="A23" s="540"/>
      <c r="B23" s="541"/>
      <c r="C23" s="542"/>
      <c r="D23" s="548"/>
      <c r="E23" s="677"/>
      <c r="F23" s="549"/>
      <c r="G23" s="2029"/>
      <c r="H23" s="534"/>
      <c r="I23" s="543"/>
      <c r="J23" s="2105" t="s">
        <v>761</v>
      </c>
      <c r="K23" s="2082"/>
      <c r="L23" s="2082"/>
      <c r="M23" s="2082"/>
      <c r="N23" s="2082"/>
      <c r="O23" s="2082"/>
      <c r="P23" s="2082"/>
      <c r="Q23" s="556">
        <v>1</v>
      </c>
      <c r="R23" s="2092" t="s">
        <v>929</v>
      </c>
      <c r="S23" s="474">
        <v>2000000</v>
      </c>
      <c r="T23" s="2106" t="s">
        <v>37</v>
      </c>
      <c r="U23" s="2106"/>
      <c r="V23" s="2106">
        <v>12</v>
      </c>
      <c r="W23" s="2106" t="s">
        <v>972</v>
      </c>
      <c r="X23" s="2030" t="s">
        <v>38</v>
      </c>
      <c r="Y23" s="483">
        <f t="shared" si="1"/>
        <v>24000</v>
      </c>
      <c r="Z23" s="1898">
        <f>Q23*S23*V23</f>
        <v>24000000</v>
      </c>
      <c r="AA23" s="427"/>
      <c r="AB23" s="427"/>
      <c r="AC23" s="192"/>
    </row>
    <row r="24" spans="1:29" s="300" customFormat="1" ht="20.85" customHeight="1">
      <c r="A24" s="540"/>
      <c r="B24" s="541"/>
      <c r="C24" s="542"/>
      <c r="D24" s="548"/>
      <c r="E24" s="677"/>
      <c r="F24" s="549"/>
      <c r="G24" s="2029"/>
      <c r="H24" s="534"/>
      <c r="I24" s="543"/>
      <c r="J24" s="2105" t="s">
        <v>3369</v>
      </c>
      <c r="K24" s="2082"/>
      <c r="L24" s="2082"/>
      <c r="M24" s="2082"/>
      <c r="N24" s="2082"/>
      <c r="O24" s="2082"/>
      <c r="P24" s="2082"/>
      <c r="Q24" s="556">
        <v>1</v>
      </c>
      <c r="R24" s="2092" t="s">
        <v>929</v>
      </c>
      <c r="S24" s="474">
        <v>250000</v>
      </c>
      <c r="T24" s="2106" t="s">
        <v>37</v>
      </c>
      <c r="U24" s="2106"/>
      <c r="V24" s="2106">
        <v>12</v>
      </c>
      <c r="W24" s="2106" t="s">
        <v>972</v>
      </c>
      <c r="X24" s="2030" t="s">
        <v>38</v>
      </c>
      <c r="Y24" s="483">
        <f t="shared" si="1"/>
        <v>3000</v>
      </c>
      <c r="Z24" s="1898">
        <f>Q24*S24*V24</f>
        <v>3000000</v>
      </c>
      <c r="AA24" s="427"/>
      <c r="AB24" s="427"/>
      <c r="AC24" s="192"/>
    </row>
    <row r="25" spans="1:29" s="300" customFormat="1" ht="20.85" customHeight="1">
      <c r="A25" s="540"/>
      <c r="B25" s="541"/>
      <c r="C25" s="542"/>
      <c r="D25" s="548"/>
      <c r="E25" s="677"/>
      <c r="F25" s="549"/>
      <c r="G25" s="2029"/>
      <c r="H25" s="534"/>
      <c r="I25" s="543"/>
      <c r="J25" s="2105" t="s">
        <v>955</v>
      </c>
      <c r="K25" s="2082"/>
      <c r="L25" s="2082"/>
      <c r="M25" s="2082"/>
      <c r="N25" s="2082"/>
      <c r="O25" s="2082"/>
      <c r="P25" s="2082"/>
      <c r="Q25" s="556">
        <v>1</v>
      </c>
      <c r="R25" s="2092" t="s">
        <v>929</v>
      </c>
      <c r="S25" s="474">
        <v>2000000</v>
      </c>
      <c r="T25" s="2106" t="s">
        <v>37</v>
      </c>
      <c r="U25" s="2106"/>
      <c r="V25" s="2106">
        <v>1</v>
      </c>
      <c r="W25" s="2106" t="s">
        <v>938</v>
      </c>
      <c r="X25" s="2030" t="s">
        <v>38</v>
      </c>
      <c r="Y25" s="483">
        <f t="shared" si="1"/>
        <v>2000</v>
      </c>
      <c r="Z25" s="1898">
        <f>Q25*S25*V25</f>
        <v>2000000</v>
      </c>
      <c r="AA25" s="427"/>
      <c r="AB25" s="427"/>
      <c r="AC25" s="192"/>
    </row>
    <row r="26" spans="1:29" s="300" customFormat="1" ht="20.85" customHeight="1">
      <c r="A26" s="540"/>
      <c r="B26" s="541"/>
      <c r="C26" s="542"/>
      <c r="D26" s="548"/>
      <c r="E26" s="677"/>
      <c r="F26" s="549"/>
      <c r="G26" s="2029"/>
      <c r="H26" s="534"/>
      <c r="I26" s="543"/>
      <c r="J26" s="2105" t="s">
        <v>956</v>
      </c>
      <c r="K26" s="2082"/>
      <c r="L26" s="2082"/>
      <c r="M26" s="2082"/>
      <c r="N26" s="2082"/>
      <c r="O26" s="556"/>
      <c r="P26" s="2092"/>
      <c r="Q26" s="556">
        <v>1</v>
      </c>
      <c r="R26" s="2092" t="s">
        <v>929</v>
      </c>
      <c r="S26" s="474">
        <f>(S23+S24)*12</f>
        <v>27000000</v>
      </c>
      <c r="T26" s="2106" t="s">
        <v>37</v>
      </c>
      <c r="U26" s="2106"/>
      <c r="V26" s="2106">
        <v>10</v>
      </c>
      <c r="W26" s="2106" t="s">
        <v>957</v>
      </c>
      <c r="X26" s="2030" t="s">
        <v>38</v>
      </c>
      <c r="Y26" s="483">
        <f t="shared" si="1"/>
        <v>2700</v>
      </c>
      <c r="Z26" s="1898">
        <f>Q26*S26*V26%</f>
        <v>2700000</v>
      </c>
      <c r="AA26" s="427"/>
      <c r="AB26" s="427"/>
      <c r="AC26" s="192"/>
    </row>
    <row r="27" spans="1:29" s="300" customFormat="1" ht="20.85" customHeight="1">
      <c r="A27" s="540"/>
      <c r="B27" s="541"/>
      <c r="C27" s="542"/>
      <c r="D27" s="548"/>
      <c r="E27" s="677"/>
      <c r="F27" s="549"/>
      <c r="G27" s="549"/>
      <c r="H27" s="534"/>
      <c r="I27" s="543"/>
      <c r="J27" s="2105" t="s">
        <v>973</v>
      </c>
      <c r="K27" s="2082"/>
      <c r="L27" s="2082"/>
      <c r="M27" s="2082"/>
      <c r="N27" s="2082"/>
      <c r="O27" s="2082"/>
      <c r="P27" s="2082"/>
      <c r="Q27" s="556">
        <v>1</v>
      </c>
      <c r="R27" s="2080" t="s">
        <v>929</v>
      </c>
      <c r="S27" s="2106">
        <v>100000</v>
      </c>
      <c r="T27" s="2106" t="s">
        <v>37</v>
      </c>
      <c r="U27" s="2106"/>
      <c r="V27" s="2106">
        <v>15</v>
      </c>
      <c r="W27" s="2106" t="s">
        <v>3370</v>
      </c>
      <c r="X27" s="2030" t="s">
        <v>742</v>
      </c>
      <c r="Y27" s="483">
        <f t="shared" si="1"/>
        <v>1500</v>
      </c>
      <c r="Z27" s="1898">
        <f>Q27*S27*V27</f>
        <v>1500000</v>
      </c>
      <c r="AA27" s="427"/>
      <c r="AB27" s="427"/>
      <c r="AC27" s="192"/>
    </row>
    <row r="28" spans="1:29" s="300" customFormat="1" ht="20.85" customHeight="1">
      <c r="A28" s="540"/>
      <c r="B28" s="541"/>
      <c r="C28" s="542"/>
      <c r="D28" s="548"/>
      <c r="E28" s="677"/>
      <c r="F28" s="549"/>
      <c r="G28" s="549"/>
      <c r="H28" s="534"/>
      <c r="I28" s="557"/>
      <c r="J28" s="2105" t="s">
        <v>1189</v>
      </c>
      <c r="K28" s="2082"/>
      <c r="L28" s="2082"/>
      <c r="M28" s="2082"/>
      <c r="N28" s="2082"/>
      <c r="O28" s="2082"/>
      <c r="P28" s="2082"/>
      <c r="Q28" s="556">
        <v>2</v>
      </c>
      <c r="R28" s="2080" t="s">
        <v>929</v>
      </c>
      <c r="S28" s="2106">
        <v>63000</v>
      </c>
      <c r="T28" s="2106" t="s">
        <v>37</v>
      </c>
      <c r="U28" s="2106"/>
      <c r="V28" s="2106">
        <v>20</v>
      </c>
      <c r="W28" s="2106" t="s">
        <v>3370</v>
      </c>
      <c r="X28" s="2030" t="s">
        <v>742</v>
      </c>
      <c r="Y28" s="483">
        <f t="shared" si="1"/>
        <v>2520</v>
      </c>
      <c r="Z28" s="1898">
        <f>Q28*S28*V28</f>
        <v>2520000</v>
      </c>
      <c r="AA28" s="427"/>
      <c r="AB28" s="427"/>
      <c r="AC28" s="192"/>
    </row>
    <row r="29" spans="1:29" s="300" customFormat="1" ht="20.85" customHeight="1">
      <c r="A29" s="540"/>
      <c r="B29" s="541"/>
      <c r="C29" s="542"/>
      <c r="D29" s="548"/>
      <c r="E29" s="677" t="s">
        <v>27</v>
      </c>
      <c r="F29" s="2031">
        <f>+Y29</f>
        <v>4500</v>
      </c>
      <c r="G29" s="2029">
        <v>4500</v>
      </c>
      <c r="H29" s="551"/>
      <c r="I29" s="2323"/>
      <c r="J29" s="2105" t="s">
        <v>1571</v>
      </c>
      <c r="K29" s="2082"/>
      <c r="L29" s="2082"/>
      <c r="M29" s="2082"/>
      <c r="N29" s="2082"/>
      <c r="O29" s="2082"/>
      <c r="P29" s="559"/>
      <c r="Q29" s="2106"/>
      <c r="R29" s="2092"/>
      <c r="S29" s="2106">
        <v>9000000000</v>
      </c>
      <c r="T29" s="2106" t="s">
        <v>0</v>
      </c>
      <c r="U29" s="559"/>
      <c r="V29" s="2324">
        <v>5.0000000000000001E-4</v>
      </c>
      <c r="W29" s="2106"/>
      <c r="X29" s="2030" t="s">
        <v>1</v>
      </c>
      <c r="Y29" s="483">
        <f t="shared" si="1"/>
        <v>4500</v>
      </c>
      <c r="Z29" s="2325">
        <f t="shared" ref="Z29" si="2">+S29*V29</f>
        <v>4500000</v>
      </c>
      <c r="AA29" s="427"/>
      <c r="AB29" s="427"/>
      <c r="AC29" s="192"/>
    </row>
    <row r="30" spans="1:29" s="300" customFormat="1" ht="20.85" customHeight="1">
      <c r="A30" s="540"/>
      <c r="B30" s="541"/>
      <c r="C30" s="542"/>
      <c r="D30" s="548"/>
      <c r="E30" s="2449" t="s">
        <v>80</v>
      </c>
      <c r="F30" s="526">
        <f>Y30</f>
        <v>5000</v>
      </c>
      <c r="G30" s="2326">
        <v>5000</v>
      </c>
      <c r="H30" s="551"/>
      <c r="I30" s="543"/>
      <c r="J30" s="3868" t="s">
        <v>3371</v>
      </c>
      <c r="K30" s="3869"/>
      <c r="L30" s="3869"/>
      <c r="M30" s="3869"/>
      <c r="N30" s="3869"/>
      <c r="O30" s="3869"/>
      <c r="P30" s="2082"/>
      <c r="Q30" s="556"/>
      <c r="R30" s="2092"/>
      <c r="S30" s="474"/>
      <c r="T30" s="2106"/>
      <c r="U30" s="2106"/>
      <c r="V30" s="2106"/>
      <c r="W30" s="2106"/>
      <c r="X30" s="2030" t="s">
        <v>1</v>
      </c>
      <c r="Y30" s="483">
        <f t="shared" si="1"/>
        <v>5000</v>
      </c>
      <c r="Z30" s="1898">
        <f>+Z31+Z32</f>
        <v>5000000</v>
      </c>
      <c r="AA30" s="427"/>
      <c r="AB30" s="427"/>
      <c r="AC30" s="192"/>
    </row>
    <row r="31" spans="1:29" s="300" customFormat="1" ht="20.85" customHeight="1">
      <c r="A31" s="540"/>
      <c r="B31" s="541"/>
      <c r="C31" s="542"/>
      <c r="D31" s="548"/>
      <c r="E31" s="2449"/>
      <c r="F31" s="526"/>
      <c r="G31" s="2326"/>
      <c r="H31" s="551"/>
      <c r="I31" s="543"/>
      <c r="J31" s="3868" t="s">
        <v>1572</v>
      </c>
      <c r="K31" s="3869"/>
      <c r="L31" s="3869"/>
      <c r="M31" s="3869"/>
      <c r="N31" s="3869"/>
      <c r="O31" s="3869"/>
      <c r="P31" s="2082"/>
      <c r="Q31" s="556"/>
      <c r="R31" s="2092"/>
      <c r="S31" s="474">
        <v>100000</v>
      </c>
      <c r="T31" s="2106" t="s">
        <v>0</v>
      </c>
      <c r="U31" s="2106"/>
      <c r="V31" s="2106">
        <v>10</v>
      </c>
      <c r="W31" s="2106" t="s">
        <v>39</v>
      </c>
      <c r="X31" s="2030" t="s">
        <v>1</v>
      </c>
      <c r="Y31" s="483">
        <f t="shared" si="1"/>
        <v>1000</v>
      </c>
      <c r="Z31" s="1898">
        <f>S31*V31</f>
        <v>1000000</v>
      </c>
      <c r="AA31" s="427"/>
      <c r="AB31" s="427"/>
      <c r="AC31" s="192"/>
    </row>
    <row r="32" spans="1:29" s="300" customFormat="1" ht="20.85" customHeight="1">
      <c r="A32" s="540"/>
      <c r="B32" s="541"/>
      <c r="C32" s="542"/>
      <c r="D32" s="548"/>
      <c r="E32" s="2449"/>
      <c r="F32" s="526"/>
      <c r="G32" s="2326"/>
      <c r="H32" s="551"/>
      <c r="I32" s="543"/>
      <c r="J32" s="3868" t="s">
        <v>1573</v>
      </c>
      <c r="K32" s="3869"/>
      <c r="L32" s="3869"/>
      <c r="M32" s="3869"/>
      <c r="N32" s="3869"/>
      <c r="O32" s="3869"/>
      <c r="P32" s="2082"/>
      <c r="Q32" s="556"/>
      <c r="R32" s="2092"/>
      <c r="S32" s="474">
        <v>200000</v>
      </c>
      <c r="T32" s="2106" t="s">
        <v>0</v>
      </c>
      <c r="U32" s="2106"/>
      <c r="V32" s="2106">
        <v>20</v>
      </c>
      <c r="W32" s="2106" t="s">
        <v>39</v>
      </c>
      <c r="X32" s="2030" t="s">
        <v>1</v>
      </c>
      <c r="Y32" s="483">
        <f t="shared" si="1"/>
        <v>4000</v>
      </c>
      <c r="Z32" s="1898">
        <f>S32*V32</f>
        <v>4000000</v>
      </c>
      <c r="AA32" s="427"/>
      <c r="AB32" s="427"/>
      <c r="AC32" s="192"/>
    </row>
    <row r="33" spans="1:29" s="300" customFormat="1" ht="20.85" customHeight="1">
      <c r="A33" s="540"/>
      <c r="B33" s="541"/>
      <c r="C33" s="542"/>
      <c r="D33" s="548"/>
      <c r="E33" s="2449" t="s">
        <v>3505</v>
      </c>
      <c r="F33" s="526">
        <f t="shared" ref="F33:F45" si="3">Y33</f>
        <v>2000</v>
      </c>
      <c r="G33" s="2326">
        <v>2000</v>
      </c>
      <c r="H33" s="551"/>
      <c r="I33" s="543"/>
      <c r="J33" s="3868" t="s">
        <v>960</v>
      </c>
      <c r="K33" s="3869"/>
      <c r="L33" s="3869"/>
      <c r="M33" s="3869"/>
      <c r="N33" s="3869"/>
      <c r="O33" s="3869"/>
      <c r="P33" s="2082"/>
      <c r="Q33" s="556">
        <v>2</v>
      </c>
      <c r="R33" s="2080" t="s">
        <v>929</v>
      </c>
      <c r="S33" s="474">
        <v>40000</v>
      </c>
      <c r="T33" s="2106" t="s">
        <v>75</v>
      </c>
      <c r="U33" s="2106"/>
      <c r="V33" s="2106">
        <v>25</v>
      </c>
      <c r="W33" s="2106" t="s">
        <v>3</v>
      </c>
      <c r="X33" s="2030" t="s">
        <v>1</v>
      </c>
      <c r="Y33" s="483">
        <f t="shared" si="1"/>
        <v>2000</v>
      </c>
      <c r="Z33" s="1898">
        <f>Q33*S33*V33</f>
        <v>2000000</v>
      </c>
      <c r="AA33" s="427"/>
      <c r="AB33" s="427"/>
      <c r="AC33" s="192"/>
    </row>
    <row r="34" spans="1:29" s="300" customFormat="1" ht="20.85" customHeight="1">
      <c r="A34" s="540"/>
      <c r="B34" s="541"/>
      <c r="C34" s="542"/>
      <c r="D34" s="548"/>
      <c r="E34" s="2449" t="s">
        <v>58</v>
      </c>
      <c r="F34" s="526">
        <f t="shared" si="3"/>
        <v>50000</v>
      </c>
      <c r="G34" s="2326">
        <v>50000</v>
      </c>
      <c r="H34" s="551"/>
      <c r="I34" s="543"/>
      <c r="J34" s="3868" t="s">
        <v>3371</v>
      </c>
      <c r="K34" s="3869"/>
      <c r="L34" s="3869"/>
      <c r="M34" s="3869"/>
      <c r="N34" s="3869"/>
      <c r="O34" s="3869"/>
      <c r="P34" s="2082"/>
      <c r="Q34" s="556"/>
      <c r="R34" s="2092"/>
      <c r="S34" s="474"/>
      <c r="T34" s="2106"/>
      <c r="U34" s="2106"/>
      <c r="V34" s="2106"/>
      <c r="W34" s="2106"/>
      <c r="X34" s="2030" t="s">
        <v>1</v>
      </c>
      <c r="Y34" s="483">
        <f t="shared" si="1"/>
        <v>50000</v>
      </c>
      <c r="Z34" s="1898">
        <f>+Z35+Z36</f>
        <v>50000000</v>
      </c>
      <c r="AA34" s="427"/>
      <c r="AB34" s="427"/>
      <c r="AC34" s="192"/>
    </row>
    <row r="35" spans="1:29" s="300" customFormat="1" ht="20.85" customHeight="1">
      <c r="A35" s="540"/>
      <c r="B35" s="541"/>
      <c r="C35" s="542"/>
      <c r="D35" s="548"/>
      <c r="E35" s="2449"/>
      <c r="F35" s="526"/>
      <c r="G35" s="2326"/>
      <c r="H35" s="551"/>
      <c r="I35" s="543"/>
      <c r="J35" s="3868" t="s">
        <v>1574</v>
      </c>
      <c r="K35" s="3869"/>
      <c r="L35" s="3869"/>
      <c r="M35" s="3869"/>
      <c r="N35" s="3869"/>
      <c r="O35" s="3869"/>
      <c r="P35" s="2082"/>
      <c r="Q35" s="556">
        <v>20</v>
      </c>
      <c r="R35" s="2080" t="s">
        <v>929</v>
      </c>
      <c r="S35" s="474">
        <v>500000</v>
      </c>
      <c r="T35" s="2106" t="s">
        <v>0</v>
      </c>
      <c r="U35" s="2106"/>
      <c r="V35" s="2106">
        <v>1</v>
      </c>
      <c r="W35" s="2106" t="s">
        <v>3</v>
      </c>
      <c r="X35" s="2030" t="s">
        <v>1</v>
      </c>
      <c r="Y35" s="483">
        <f t="shared" si="1"/>
        <v>10000</v>
      </c>
      <c r="Z35" s="1898">
        <f>Q35*S35*V35</f>
        <v>10000000</v>
      </c>
      <c r="AA35" s="427"/>
      <c r="AB35" s="427"/>
      <c r="AC35" s="192"/>
    </row>
    <row r="36" spans="1:29" s="300" customFormat="1" ht="20.85" customHeight="1">
      <c r="A36" s="540"/>
      <c r="B36" s="541"/>
      <c r="C36" s="542"/>
      <c r="D36" s="548"/>
      <c r="E36" s="2449"/>
      <c r="F36" s="526"/>
      <c r="G36" s="2326"/>
      <c r="H36" s="551"/>
      <c r="I36" s="543"/>
      <c r="J36" s="2091" t="s">
        <v>1575</v>
      </c>
      <c r="K36" s="2092"/>
      <c r="L36" s="2092"/>
      <c r="M36" s="2092"/>
      <c r="N36" s="2092"/>
      <c r="O36" s="2092"/>
      <c r="P36" s="2082"/>
      <c r="Q36" s="556">
        <v>2</v>
      </c>
      <c r="R36" s="2080" t="s">
        <v>929</v>
      </c>
      <c r="S36" s="474">
        <v>5000000</v>
      </c>
      <c r="T36" s="2106" t="s">
        <v>0</v>
      </c>
      <c r="U36" s="2106"/>
      <c r="V36" s="2106">
        <v>4</v>
      </c>
      <c r="W36" s="2106" t="s">
        <v>3</v>
      </c>
      <c r="X36" s="2030" t="s">
        <v>1</v>
      </c>
      <c r="Y36" s="483">
        <f t="shared" si="1"/>
        <v>40000</v>
      </c>
      <c r="Z36" s="1898">
        <f>Q36*S36*V36</f>
        <v>40000000</v>
      </c>
      <c r="AA36" s="427"/>
      <c r="AB36" s="427"/>
      <c r="AC36" s="192"/>
    </row>
    <row r="37" spans="1:29" s="300" customFormat="1" ht="20.85" customHeight="1">
      <c r="A37" s="540"/>
      <c r="B37" s="541"/>
      <c r="C37" s="542"/>
      <c r="D37" s="548"/>
      <c r="E37" s="2449" t="s">
        <v>71</v>
      </c>
      <c r="F37" s="526">
        <f>Y37</f>
        <v>65000</v>
      </c>
      <c r="G37" s="2326">
        <v>65000</v>
      </c>
      <c r="H37" s="551"/>
      <c r="I37" s="543"/>
      <c r="J37" s="3868" t="s">
        <v>3371</v>
      </c>
      <c r="K37" s="3869"/>
      <c r="L37" s="3869"/>
      <c r="M37" s="3869"/>
      <c r="N37" s="3869"/>
      <c r="O37" s="3869"/>
      <c r="P37" s="2082"/>
      <c r="Q37" s="556"/>
      <c r="R37" s="2092"/>
      <c r="S37" s="474"/>
      <c r="T37" s="2106"/>
      <c r="U37" s="2106"/>
      <c r="V37" s="2106"/>
      <c r="W37" s="2106"/>
      <c r="X37" s="2030" t="s">
        <v>1</v>
      </c>
      <c r="Y37" s="483">
        <f t="shared" si="1"/>
        <v>65000</v>
      </c>
      <c r="Z37" s="1898">
        <f>+Z38+Z39+Z40</f>
        <v>65000000</v>
      </c>
      <c r="AA37" s="427"/>
      <c r="AB37" s="427"/>
      <c r="AC37" s="192"/>
    </row>
    <row r="38" spans="1:29" s="300" customFormat="1" ht="20.85" customHeight="1">
      <c r="A38" s="540"/>
      <c r="B38" s="541"/>
      <c r="C38" s="542"/>
      <c r="D38" s="548"/>
      <c r="E38" s="2449"/>
      <c r="F38" s="526"/>
      <c r="G38" s="2326"/>
      <c r="H38" s="551"/>
      <c r="I38" s="543"/>
      <c r="J38" s="3868" t="s">
        <v>1576</v>
      </c>
      <c r="K38" s="3869"/>
      <c r="L38" s="3869"/>
      <c r="M38" s="3869"/>
      <c r="N38" s="3869"/>
      <c r="O38" s="3869"/>
      <c r="P38" s="2082"/>
      <c r="Q38" s="556"/>
      <c r="R38" s="2092"/>
      <c r="S38" s="474">
        <v>8000000</v>
      </c>
      <c r="T38" s="2106" t="s">
        <v>0</v>
      </c>
      <c r="U38" s="2106"/>
      <c r="V38" s="2106">
        <v>5</v>
      </c>
      <c r="W38" s="2106" t="s">
        <v>39</v>
      </c>
      <c r="X38" s="2030" t="s">
        <v>1</v>
      </c>
      <c r="Y38" s="483">
        <f t="shared" si="1"/>
        <v>40000</v>
      </c>
      <c r="Z38" s="1898">
        <f>S38*V38</f>
        <v>40000000</v>
      </c>
      <c r="AA38" s="427"/>
      <c r="AB38" s="427"/>
      <c r="AC38" s="192"/>
    </row>
    <row r="39" spans="1:29" s="300" customFormat="1" ht="20.85" customHeight="1">
      <c r="A39" s="540"/>
      <c r="B39" s="541"/>
      <c r="C39" s="542"/>
      <c r="D39" s="548"/>
      <c r="E39" s="2449"/>
      <c r="F39" s="526"/>
      <c r="G39" s="2326"/>
      <c r="H39" s="551"/>
      <c r="I39" s="543"/>
      <c r="J39" s="3868" t="s">
        <v>1577</v>
      </c>
      <c r="K39" s="3869"/>
      <c r="L39" s="3869"/>
      <c r="M39" s="3869"/>
      <c r="N39" s="3869"/>
      <c r="O39" s="3869"/>
      <c r="P39" s="2082"/>
      <c r="Q39" s="556"/>
      <c r="R39" s="2092"/>
      <c r="S39" s="474">
        <v>3000000</v>
      </c>
      <c r="T39" s="2106" t="s">
        <v>0</v>
      </c>
      <c r="U39" s="2106"/>
      <c r="V39" s="2106">
        <v>5</v>
      </c>
      <c r="W39" s="2106" t="s">
        <v>39</v>
      </c>
      <c r="X39" s="2030" t="s">
        <v>1</v>
      </c>
      <c r="Y39" s="483">
        <f t="shared" si="1"/>
        <v>15000</v>
      </c>
      <c r="Z39" s="1898">
        <f>S39*V39</f>
        <v>15000000</v>
      </c>
      <c r="AA39" s="427"/>
      <c r="AB39" s="427"/>
      <c r="AC39" s="192"/>
    </row>
    <row r="40" spans="1:29" s="300" customFormat="1" ht="20.85" customHeight="1">
      <c r="A40" s="540"/>
      <c r="B40" s="541"/>
      <c r="C40" s="542"/>
      <c r="D40" s="548"/>
      <c r="E40" s="2449"/>
      <c r="F40" s="526"/>
      <c r="G40" s="2326"/>
      <c r="H40" s="551"/>
      <c r="I40" s="543"/>
      <c r="J40" s="3868" t="s">
        <v>1578</v>
      </c>
      <c r="K40" s="3869"/>
      <c r="L40" s="3869"/>
      <c r="M40" s="3869"/>
      <c r="N40" s="3869"/>
      <c r="O40" s="3869"/>
      <c r="P40" s="2082"/>
      <c r="Q40" s="556"/>
      <c r="R40" s="2092"/>
      <c r="S40" s="474">
        <v>2000000</v>
      </c>
      <c r="T40" s="2106" t="s">
        <v>0</v>
      </c>
      <c r="U40" s="2106"/>
      <c r="V40" s="2106">
        <v>5</v>
      </c>
      <c r="W40" s="2106" t="s">
        <v>39</v>
      </c>
      <c r="X40" s="2030" t="s">
        <v>1</v>
      </c>
      <c r="Y40" s="483">
        <f t="shared" si="1"/>
        <v>10000</v>
      </c>
      <c r="Z40" s="1898">
        <f>S40*V40</f>
        <v>10000000</v>
      </c>
      <c r="AA40" s="427"/>
      <c r="AB40" s="427"/>
      <c r="AC40" s="192"/>
    </row>
    <row r="41" spans="1:29" s="300" customFormat="1" ht="20.85" customHeight="1">
      <c r="A41" s="540"/>
      <c r="B41" s="541"/>
      <c r="C41" s="542"/>
      <c r="D41" s="548"/>
      <c r="E41" s="677" t="s">
        <v>70</v>
      </c>
      <c r="F41" s="2031">
        <f>Y41</f>
        <v>6000</v>
      </c>
      <c r="G41" s="2029">
        <v>6000</v>
      </c>
      <c r="H41" s="551"/>
      <c r="I41" s="2323"/>
      <c r="J41" s="2105" t="s">
        <v>358</v>
      </c>
      <c r="K41" s="2082"/>
      <c r="L41" s="2082"/>
      <c r="M41" s="2082"/>
      <c r="N41" s="2082"/>
      <c r="O41" s="2082"/>
      <c r="P41" s="559"/>
      <c r="Q41" s="2106">
        <v>1</v>
      </c>
      <c r="R41" s="2092" t="s">
        <v>3</v>
      </c>
      <c r="S41" s="2106">
        <v>6000000</v>
      </c>
      <c r="T41" s="2106" t="s">
        <v>0</v>
      </c>
      <c r="U41" s="559"/>
      <c r="V41" s="2106">
        <v>1</v>
      </c>
      <c r="W41" s="2106" t="s">
        <v>3</v>
      </c>
      <c r="X41" s="2030" t="s">
        <v>1</v>
      </c>
      <c r="Y41" s="483">
        <f t="shared" si="1"/>
        <v>6000</v>
      </c>
      <c r="Z41" s="2325">
        <f t="shared" ref="Z41" si="4">+S41*V41*Q41</f>
        <v>6000000</v>
      </c>
      <c r="AA41" s="427"/>
      <c r="AB41" s="427"/>
      <c r="AC41" s="192"/>
    </row>
    <row r="42" spans="1:29" s="300" customFormat="1" ht="20.85" customHeight="1">
      <c r="A42" s="540"/>
      <c r="B42" s="541"/>
      <c r="C42" s="542"/>
      <c r="D42" s="548"/>
      <c r="E42" s="2449" t="s">
        <v>292</v>
      </c>
      <c r="F42" s="526">
        <f t="shared" si="3"/>
        <v>18000</v>
      </c>
      <c r="G42" s="2326">
        <v>18000</v>
      </c>
      <c r="H42" s="551"/>
      <c r="I42" s="543"/>
      <c r="J42" s="3868" t="s">
        <v>1581</v>
      </c>
      <c r="K42" s="3869"/>
      <c r="L42" s="3869"/>
      <c r="M42" s="3869"/>
      <c r="N42" s="3869"/>
      <c r="O42" s="3869"/>
      <c r="P42" s="2082"/>
      <c r="Q42" s="556"/>
      <c r="R42" s="2092"/>
      <c r="S42" s="474">
        <v>9000000</v>
      </c>
      <c r="T42" s="2106" t="s">
        <v>0</v>
      </c>
      <c r="U42" s="2106"/>
      <c r="V42" s="2106">
        <v>2</v>
      </c>
      <c r="W42" s="2106" t="s">
        <v>3</v>
      </c>
      <c r="X42" s="2030" t="s">
        <v>1</v>
      </c>
      <c r="Y42" s="483">
        <f t="shared" si="1"/>
        <v>18000</v>
      </c>
      <c r="Z42" s="1898">
        <f>S42*V42</f>
        <v>18000000</v>
      </c>
      <c r="AA42" s="427"/>
      <c r="AB42" s="427"/>
      <c r="AC42" s="192"/>
    </row>
    <row r="43" spans="1:29" s="300" customFormat="1" ht="20.85" customHeight="1">
      <c r="A43" s="540"/>
      <c r="B43" s="541"/>
      <c r="C43" s="542"/>
      <c r="D43" s="548"/>
      <c r="E43" s="2449" t="s">
        <v>293</v>
      </c>
      <c r="F43" s="526">
        <f t="shared" si="3"/>
        <v>1000</v>
      </c>
      <c r="G43" s="2326">
        <v>1000</v>
      </c>
      <c r="H43" s="551"/>
      <c r="I43" s="543"/>
      <c r="J43" s="3868" t="s">
        <v>3372</v>
      </c>
      <c r="K43" s="3869"/>
      <c r="L43" s="3869"/>
      <c r="M43" s="3869"/>
      <c r="N43" s="3869"/>
      <c r="O43" s="3869"/>
      <c r="P43" s="2082"/>
      <c r="Q43" s="556"/>
      <c r="R43" s="2092"/>
      <c r="S43" s="474">
        <v>20000</v>
      </c>
      <c r="T43" s="2106" t="s">
        <v>0</v>
      </c>
      <c r="U43" s="2106"/>
      <c r="V43" s="2106">
        <v>50</v>
      </c>
      <c r="W43" s="2106" t="s">
        <v>3</v>
      </c>
      <c r="X43" s="2030" t="s">
        <v>1</v>
      </c>
      <c r="Y43" s="483">
        <f t="shared" si="1"/>
        <v>1000</v>
      </c>
      <c r="Z43" s="1898">
        <f>S43*V43</f>
        <v>1000000</v>
      </c>
      <c r="AA43" s="427"/>
      <c r="AB43" s="427"/>
      <c r="AC43" s="192"/>
    </row>
    <row r="44" spans="1:29" s="300" customFormat="1" ht="20.85" customHeight="1">
      <c r="A44" s="540"/>
      <c r="B44" s="541"/>
      <c r="C44" s="542"/>
      <c r="D44" s="548"/>
      <c r="E44" s="2449" t="s">
        <v>62</v>
      </c>
      <c r="F44" s="526">
        <v>6780</v>
      </c>
      <c r="G44" s="2326">
        <v>6780</v>
      </c>
      <c r="H44" s="551"/>
      <c r="I44" s="543"/>
      <c r="J44" s="3868" t="s">
        <v>1190</v>
      </c>
      <c r="K44" s="3869"/>
      <c r="L44" s="3869"/>
      <c r="M44" s="3869"/>
      <c r="N44" s="3869"/>
      <c r="O44" s="3869"/>
      <c r="P44" s="2082"/>
      <c r="Q44" s="556">
        <v>40</v>
      </c>
      <c r="R44" s="2080" t="s">
        <v>929</v>
      </c>
      <c r="S44" s="474">
        <v>33900</v>
      </c>
      <c r="T44" s="2106" t="s">
        <v>0</v>
      </c>
      <c r="U44" s="2106"/>
      <c r="V44" s="2106">
        <v>5</v>
      </c>
      <c r="W44" s="2106" t="s">
        <v>3</v>
      </c>
      <c r="X44" s="2030" t="s">
        <v>1</v>
      </c>
      <c r="Y44" s="483">
        <f t="shared" si="1"/>
        <v>6780</v>
      </c>
      <c r="Z44" s="1898">
        <f>Q44*S44*V44</f>
        <v>6780000</v>
      </c>
      <c r="AA44" s="427"/>
      <c r="AB44" s="427"/>
      <c r="AC44" s="192"/>
    </row>
    <row r="45" spans="1:29" s="300" customFormat="1" ht="20.85" customHeight="1">
      <c r="A45" s="540"/>
      <c r="B45" s="541"/>
      <c r="C45" s="542"/>
      <c r="D45" s="548"/>
      <c r="E45" s="2449" t="s">
        <v>61</v>
      </c>
      <c r="F45" s="526">
        <f t="shared" si="3"/>
        <v>6000</v>
      </c>
      <c r="G45" s="2326">
        <v>6000</v>
      </c>
      <c r="H45" s="551"/>
      <c r="I45" s="543"/>
      <c r="J45" s="3868" t="s">
        <v>967</v>
      </c>
      <c r="K45" s="3869"/>
      <c r="L45" s="3869"/>
      <c r="M45" s="3869"/>
      <c r="N45" s="3869"/>
      <c r="O45" s="3869"/>
      <c r="P45" s="2082"/>
      <c r="Q45" s="556"/>
      <c r="R45" s="2092"/>
      <c r="S45" s="474">
        <v>300000</v>
      </c>
      <c r="T45" s="2106" t="s">
        <v>0</v>
      </c>
      <c r="U45" s="2106"/>
      <c r="V45" s="2106">
        <v>20</v>
      </c>
      <c r="W45" s="2106" t="s">
        <v>3</v>
      </c>
      <c r="X45" s="2030" t="s">
        <v>1</v>
      </c>
      <c r="Y45" s="483">
        <f t="shared" si="1"/>
        <v>6000</v>
      </c>
      <c r="Z45" s="1898">
        <f>S45*V45</f>
        <v>6000000</v>
      </c>
      <c r="AA45" s="427"/>
      <c r="AB45" s="427"/>
      <c r="AC45" s="192"/>
    </row>
    <row r="46" spans="1:29" s="294" customFormat="1" ht="19.7" customHeight="1">
      <c r="A46" s="591"/>
      <c r="B46" s="592"/>
      <c r="C46" s="3836" t="s">
        <v>968</v>
      </c>
      <c r="D46" s="3821"/>
      <c r="E46" s="3822"/>
      <c r="F46" s="825">
        <f>+F47+F55+F64+F90+F101+F109</f>
        <v>8895000</v>
      </c>
      <c r="G46" s="825">
        <f>+G47+G55+G64+G90+G101+G109</f>
        <v>7945000</v>
      </c>
      <c r="H46" s="627">
        <f>F46-G46</f>
        <v>950000</v>
      </c>
      <c r="I46" s="557"/>
      <c r="J46" s="2025"/>
      <c r="K46" s="2026"/>
      <c r="L46" s="2068"/>
      <c r="M46" s="2068"/>
      <c r="N46" s="1349"/>
      <c r="O46" s="2068"/>
      <c r="P46" s="2068"/>
      <c r="Q46" s="2322"/>
      <c r="R46" s="2027"/>
      <c r="S46" s="545"/>
      <c r="T46" s="2026"/>
      <c r="U46" s="2026"/>
      <c r="V46" s="2026"/>
      <c r="W46" s="2026"/>
      <c r="X46" s="2028"/>
      <c r="Y46" s="586"/>
      <c r="Z46" s="2711" t="e">
        <f>#REF!</f>
        <v>#REF!</v>
      </c>
      <c r="AA46" s="427"/>
      <c r="AB46" s="427"/>
      <c r="AC46" s="192"/>
    </row>
    <row r="47" spans="1:29" s="294" customFormat="1" ht="19.7" customHeight="1">
      <c r="A47" s="591"/>
      <c r="B47" s="592"/>
      <c r="C47" s="564"/>
      <c r="D47" s="3837" t="s">
        <v>969</v>
      </c>
      <c r="E47" s="3838"/>
      <c r="F47" s="598">
        <f>SUM(F48:F54)</f>
        <v>400000</v>
      </c>
      <c r="G47" s="598">
        <f>SUM(G48:G54)</f>
        <v>400000</v>
      </c>
      <c r="H47" s="529">
        <f>+F47-G47</f>
        <v>0</v>
      </c>
      <c r="I47" s="557"/>
      <c r="J47" s="538"/>
      <c r="K47" s="2068"/>
      <c r="L47" s="2068"/>
      <c r="M47" s="2068"/>
      <c r="N47" s="2068"/>
      <c r="O47" s="2068"/>
      <c r="P47" s="2068"/>
      <c r="Q47" s="2068"/>
      <c r="R47" s="539"/>
      <c r="S47" s="2068"/>
      <c r="T47" s="2068"/>
      <c r="U47" s="2068"/>
      <c r="V47" s="2068"/>
      <c r="W47" s="2068"/>
      <c r="X47" s="585"/>
      <c r="Y47" s="599"/>
      <c r="Z47" s="3472"/>
      <c r="AA47" s="427"/>
      <c r="AB47" s="427"/>
      <c r="AC47" s="192"/>
    </row>
    <row r="48" spans="1:29" s="304" customFormat="1" ht="19.7" customHeight="1">
      <c r="A48" s="636"/>
      <c r="B48" s="2035"/>
      <c r="C48" s="649"/>
      <c r="D48" s="2327"/>
      <c r="E48" s="2328" t="s">
        <v>934</v>
      </c>
      <c r="F48" s="469">
        <f>Y48</f>
        <v>5000</v>
      </c>
      <c r="G48" s="567">
        <v>5000</v>
      </c>
      <c r="H48" s="534"/>
      <c r="I48" s="2323"/>
      <c r="J48" s="472" t="s">
        <v>970</v>
      </c>
      <c r="K48" s="2075"/>
      <c r="L48" s="2075"/>
      <c r="M48" s="2075"/>
      <c r="N48" s="2075"/>
      <c r="O48" s="2075"/>
      <c r="P48" s="2016"/>
      <c r="Q48" s="511"/>
      <c r="R48" s="2082"/>
      <c r="S48" s="2329">
        <v>500000</v>
      </c>
      <c r="T48" s="477" t="s">
        <v>56</v>
      </c>
      <c r="U48" s="559"/>
      <c r="V48" s="511">
        <v>10</v>
      </c>
      <c r="W48" s="2082" t="s">
        <v>39</v>
      </c>
      <c r="X48" s="2030" t="s">
        <v>1</v>
      </c>
      <c r="Y48" s="554">
        <f t="shared" ref="Y48:Y54" si="5">(Z48)/1000</f>
        <v>5000</v>
      </c>
      <c r="Z48" s="2325">
        <f>S48*V48</f>
        <v>5000000</v>
      </c>
      <c r="AA48" s="427"/>
      <c r="AB48" s="427"/>
      <c r="AC48" s="192"/>
    </row>
    <row r="49" spans="1:29" s="200" customFormat="1" ht="19.7" customHeight="1">
      <c r="A49" s="2079"/>
      <c r="B49" s="2035"/>
      <c r="C49" s="649"/>
      <c r="D49" s="659"/>
      <c r="E49" s="2328" t="s">
        <v>928</v>
      </c>
      <c r="F49" s="469">
        <f>Y49</f>
        <v>5000</v>
      </c>
      <c r="G49" s="567">
        <v>5000</v>
      </c>
      <c r="H49" s="534"/>
      <c r="I49" s="2323"/>
      <c r="J49" s="2105" t="s">
        <v>3373</v>
      </c>
      <c r="K49" s="2075"/>
      <c r="L49" s="2075"/>
      <c r="M49" s="2075"/>
      <c r="N49" s="2075"/>
      <c r="O49" s="2075"/>
      <c r="P49" s="2016"/>
      <c r="Q49" s="556">
        <v>4</v>
      </c>
      <c r="R49" s="2080" t="s">
        <v>929</v>
      </c>
      <c r="S49" s="656">
        <v>50000</v>
      </c>
      <c r="T49" s="2082" t="s">
        <v>930</v>
      </c>
      <c r="U49" s="2082"/>
      <c r="V49" s="656">
        <v>25</v>
      </c>
      <c r="W49" s="2082" t="s">
        <v>39</v>
      </c>
      <c r="X49" s="2030" t="s">
        <v>1</v>
      </c>
      <c r="Y49" s="554">
        <f t="shared" si="5"/>
        <v>5000</v>
      </c>
      <c r="Z49" s="2325">
        <f>Q49*S49*V49</f>
        <v>5000000</v>
      </c>
      <c r="AA49" s="427"/>
      <c r="AB49" s="427"/>
      <c r="AC49" s="192"/>
    </row>
    <row r="50" spans="1:29" s="305" customFormat="1" ht="19.7" customHeight="1">
      <c r="A50" s="2330"/>
      <c r="B50" s="2331"/>
      <c r="C50" s="2332"/>
      <c r="D50" s="2034"/>
      <c r="E50" s="2023" t="s">
        <v>931</v>
      </c>
      <c r="F50" s="590">
        <f>Y50</f>
        <v>11500</v>
      </c>
      <c r="G50" s="593">
        <v>11500</v>
      </c>
      <c r="H50" s="534"/>
      <c r="I50" s="2082"/>
      <c r="J50" s="2105" t="s">
        <v>768</v>
      </c>
      <c r="K50" s="2082"/>
      <c r="L50" s="2082"/>
      <c r="M50" s="2082"/>
      <c r="N50" s="2082"/>
      <c r="O50" s="2082"/>
      <c r="P50" s="2082"/>
      <c r="Q50" s="556"/>
      <c r="R50" s="2092"/>
      <c r="S50" s="474"/>
      <c r="T50" s="2106"/>
      <c r="U50" s="2106"/>
      <c r="V50" s="2106"/>
      <c r="W50" s="2106"/>
      <c r="X50" s="2030"/>
      <c r="Y50" s="554">
        <f t="shared" si="5"/>
        <v>11500</v>
      </c>
      <c r="Z50" s="1898">
        <f>SUM(Z51:Z52)</f>
        <v>11500000</v>
      </c>
      <c r="AA50" s="427"/>
      <c r="AB50" s="427"/>
      <c r="AC50" s="192"/>
    </row>
    <row r="51" spans="1:29" s="305" customFormat="1" ht="19.7" customHeight="1">
      <c r="A51" s="2330"/>
      <c r="B51" s="2331"/>
      <c r="C51" s="2332"/>
      <c r="D51" s="2034"/>
      <c r="E51" s="2023"/>
      <c r="F51" s="590"/>
      <c r="G51" s="593"/>
      <c r="H51" s="534"/>
      <c r="I51" s="2082"/>
      <c r="J51" s="2105" t="s">
        <v>1579</v>
      </c>
      <c r="K51" s="2082"/>
      <c r="L51" s="2082"/>
      <c r="M51" s="2082"/>
      <c r="N51" s="2082"/>
      <c r="O51" s="2082"/>
      <c r="P51" s="2082"/>
      <c r="Q51" s="556">
        <v>10</v>
      </c>
      <c r="R51" s="2080" t="s">
        <v>31</v>
      </c>
      <c r="S51" s="474">
        <v>300000</v>
      </c>
      <c r="T51" s="2106" t="s">
        <v>0</v>
      </c>
      <c r="U51" s="2106"/>
      <c r="V51" s="2106">
        <v>3</v>
      </c>
      <c r="W51" s="2106" t="s">
        <v>39</v>
      </c>
      <c r="X51" s="2030" t="s">
        <v>38</v>
      </c>
      <c r="Y51" s="554">
        <f t="shared" si="5"/>
        <v>9000</v>
      </c>
      <c r="Z51" s="2325">
        <f>Q51*S51*V51</f>
        <v>9000000</v>
      </c>
      <c r="AA51" s="427"/>
      <c r="AB51" s="427"/>
      <c r="AC51" s="192"/>
    </row>
    <row r="52" spans="1:29" s="305" customFormat="1" ht="19.7" customHeight="1">
      <c r="A52" s="2330"/>
      <c r="B52" s="2331"/>
      <c r="C52" s="2332"/>
      <c r="D52" s="2034"/>
      <c r="E52" s="2023"/>
      <c r="F52" s="590"/>
      <c r="G52" s="593"/>
      <c r="H52" s="534"/>
      <c r="I52" s="2082"/>
      <c r="J52" s="2105" t="s">
        <v>1580</v>
      </c>
      <c r="K52" s="2082"/>
      <c r="L52" s="2082"/>
      <c r="M52" s="2082"/>
      <c r="N52" s="2082"/>
      <c r="O52" s="2082"/>
      <c r="P52" s="2082"/>
      <c r="Q52" s="556"/>
      <c r="R52" s="2080"/>
      <c r="S52" s="474">
        <v>100000</v>
      </c>
      <c r="T52" s="2106" t="s">
        <v>37</v>
      </c>
      <c r="U52" s="2106"/>
      <c r="V52" s="2106">
        <v>25</v>
      </c>
      <c r="W52" s="2106" t="s">
        <v>51</v>
      </c>
      <c r="X52" s="2030" t="s">
        <v>38</v>
      </c>
      <c r="Y52" s="554">
        <f t="shared" si="5"/>
        <v>2500</v>
      </c>
      <c r="Z52" s="2325">
        <f>S52*V52</f>
        <v>2500000</v>
      </c>
      <c r="AA52" s="427"/>
      <c r="AB52" s="427"/>
      <c r="AC52" s="192"/>
    </row>
    <row r="53" spans="1:29" s="294" customFormat="1" ht="19.7" customHeight="1">
      <c r="A53" s="540"/>
      <c r="B53" s="541"/>
      <c r="C53" s="1910"/>
      <c r="D53" s="2020"/>
      <c r="E53" s="2023" t="s">
        <v>728</v>
      </c>
      <c r="F53" s="549">
        <f>Y53</f>
        <v>375000</v>
      </c>
      <c r="G53" s="2029">
        <v>375000</v>
      </c>
      <c r="H53" s="534"/>
      <c r="I53" s="557"/>
      <c r="J53" s="2105" t="s">
        <v>3374</v>
      </c>
      <c r="K53" s="2082"/>
      <c r="L53" s="2082"/>
      <c r="M53" s="2082"/>
      <c r="N53" s="2082"/>
      <c r="O53" s="2082"/>
      <c r="P53" s="2082"/>
      <c r="Q53" s="2082"/>
      <c r="R53" s="552"/>
      <c r="S53" s="2106">
        <v>15000000</v>
      </c>
      <c r="T53" s="2106" t="s">
        <v>0</v>
      </c>
      <c r="U53" s="2106"/>
      <c r="V53" s="2106">
        <v>25</v>
      </c>
      <c r="W53" s="2106" t="s">
        <v>51</v>
      </c>
      <c r="X53" s="2030" t="s">
        <v>38</v>
      </c>
      <c r="Y53" s="554">
        <f t="shared" si="5"/>
        <v>375000</v>
      </c>
      <c r="Z53" s="1898">
        <f>S53*V53</f>
        <v>375000000</v>
      </c>
      <c r="AA53" s="427"/>
      <c r="AB53" s="427"/>
      <c r="AC53" s="192"/>
    </row>
    <row r="54" spans="1:29" s="304" customFormat="1" ht="19.7" customHeight="1">
      <c r="A54" s="636"/>
      <c r="B54" s="2035"/>
      <c r="C54" s="649"/>
      <c r="D54" s="2333"/>
      <c r="E54" s="2334" t="s">
        <v>942</v>
      </c>
      <c r="F54" s="494">
        <f>Y54</f>
        <v>3500</v>
      </c>
      <c r="G54" s="2335">
        <v>3500</v>
      </c>
      <c r="H54" s="534"/>
      <c r="I54" s="2323"/>
      <c r="J54" s="1342" t="s">
        <v>3375</v>
      </c>
      <c r="K54" s="2065"/>
      <c r="L54" s="2065"/>
      <c r="M54" s="2065"/>
      <c r="N54" s="2065"/>
      <c r="O54" s="2065"/>
      <c r="P54" s="2018"/>
      <c r="Q54" s="724"/>
      <c r="R54" s="2072"/>
      <c r="S54" s="2336">
        <v>350000</v>
      </c>
      <c r="T54" s="498" t="s">
        <v>56</v>
      </c>
      <c r="U54" s="2337"/>
      <c r="V54" s="724">
        <v>10</v>
      </c>
      <c r="W54" s="2072" t="s">
        <v>39</v>
      </c>
      <c r="X54" s="619" t="s">
        <v>1</v>
      </c>
      <c r="Y54" s="554">
        <f t="shared" si="5"/>
        <v>3500</v>
      </c>
      <c r="Z54" s="2339">
        <f>S54*V54</f>
        <v>3500000</v>
      </c>
      <c r="AA54" s="427"/>
      <c r="AB54" s="427"/>
      <c r="AC54" s="192"/>
    </row>
    <row r="55" spans="1:29" s="294" customFormat="1" ht="19.7" customHeight="1">
      <c r="A55" s="591"/>
      <c r="B55" s="592"/>
      <c r="C55" s="564"/>
      <c r="D55" s="3837" t="s">
        <v>933</v>
      </c>
      <c r="E55" s="3838"/>
      <c r="F55" s="598">
        <f>SUM(F56:F63)</f>
        <v>600000</v>
      </c>
      <c r="G55" s="598">
        <f>SUM(G56:G63)</f>
        <v>600000</v>
      </c>
      <c r="H55" s="529">
        <f>+F55-G55</f>
        <v>0</v>
      </c>
      <c r="I55" s="557"/>
      <c r="J55" s="538"/>
      <c r="K55" s="2068"/>
      <c r="L55" s="2068"/>
      <c r="M55" s="2068"/>
      <c r="N55" s="2068"/>
      <c r="O55" s="2068"/>
      <c r="P55" s="2068"/>
      <c r="Q55" s="2068"/>
      <c r="R55" s="539"/>
      <c r="S55" s="2068"/>
      <c r="T55" s="2068"/>
      <c r="U55" s="2068"/>
      <c r="V55" s="2068"/>
      <c r="W55" s="2068"/>
      <c r="X55" s="585"/>
      <c r="Y55" s="599"/>
      <c r="Z55" s="3472"/>
      <c r="AA55" s="427"/>
      <c r="AB55" s="427"/>
      <c r="AC55" s="192"/>
    </row>
    <row r="56" spans="1:29" s="304" customFormat="1" ht="19.7" customHeight="1">
      <c r="A56" s="636"/>
      <c r="B56" s="2035"/>
      <c r="C56" s="649"/>
      <c r="D56" s="2327"/>
      <c r="E56" s="2328" t="s">
        <v>934</v>
      </c>
      <c r="F56" s="469">
        <f>Y56</f>
        <v>2100</v>
      </c>
      <c r="G56" s="567">
        <v>2100</v>
      </c>
      <c r="H56" s="534"/>
      <c r="I56" s="2323"/>
      <c r="J56" s="472" t="s">
        <v>970</v>
      </c>
      <c r="K56" s="2075"/>
      <c r="L56" s="2075"/>
      <c r="M56" s="2075"/>
      <c r="N56" s="2075"/>
      <c r="O56" s="2075"/>
      <c r="P56" s="2016"/>
      <c r="Q56" s="511"/>
      <c r="R56" s="2082"/>
      <c r="S56" s="2329">
        <v>300000</v>
      </c>
      <c r="T56" s="477" t="s">
        <v>56</v>
      </c>
      <c r="U56" s="559"/>
      <c r="V56" s="511">
        <v>7</v>
      </c>
      <c r="W56" s="2082" t="s">
        <v>39</v>
      </c>
      <c r="X56" s="2030" t="s">
        <v>1</v>
      </c>
      <c r="Y56" s="554">
        <f t="shared" ref="Y56:Y63" si="6">(Z56)/1000</f>
        <v>2100</v>
      </c>
      <c r="Z56" s="2325">
        <f>S56*V56</f>
        <v>2100000</v>
      </c>
      <c r="AA56" s="427"/>
      <c r="AB56" s="427"/>
      <c r="AC56" s="192"/>
    </row>
    <row r="57" spans="1:29" s="200" customFormat="1" ht="19.7" customHeight="1">
      <c r="A57" s="2079"/>
      <c r="B57" s="2035"/>
      <c r="C57" s="649"/>
      <c r="D57" s="659"/>
      <c r="E57" s="2328" t="s">
        <v>928</v>
      </c>
      <c r="F57" s="469">
        <f>Y57</f>
        <v>4600</v>
      </c>
      <c r="G57" s="567">
        <v>4600</v>
      </c>
      <c r="H57" s="534"/>
      <c r="I57" s="2323"/>
      <c r="J57" s="2105" t="s">
        <v>3373</v>
      </c>
      <c r="K57" s="2075"/>
      <c r="L57" s="2075"/>
      <c r="M57" s="2075"/>
      <c r="N57" s="2075"/>
      <c r="O57" s="2075"/>
      <c r="P57" s="2016"/>
      <c r="Q57" s="556">
        <v>4</v>
      </c>
      <c r="R57" s="2080" t="s">
        <v>25</v>
      </c>
      <c r="S57" s="656">
        <v>50000</v>
      </c>
      <c r="T57" s="2082" t="s">
        <v>56</v>
      </c>
      <c r="U57" s="2082"/>
      <c r="V57" s="656">
        <v>23</v>
      </c>
      <c r="W57" s="2082" t="s">
        <v>39</v>
      </c>
      <c r="X57" s="2030" t="s">
        <v>1</v>
      </c>
      <c r="Y57" s="554">
        <f t="shared" si="6"/>
        <v>4600</v>
      </c>
      <c r="Z57" s="2325">
        <f>Q57*S57*V57</f>
        <v>4600000</v>
      </c>
      <c r="AA57" s="427"/>
      <c r="AB57" s="427"/>
      <c r="AC57" s="192"/>
    </row>
    <row r="58" spans="1:29" s="305" customFormat="1" ht="19.7" customHeight="1">
      <c r="A58" s="2330"/>
      <c r="B58" s="2331"/>
      <c r="C58" s="2332"/>
      <c r="D58" s="2034"/>
      <c r="E58" s="2023" t="s">
        <v>931</v>
      </c>
      <c r="F58" s="590">
        <f>Y58</f>
        <v>11300</v>
      </c>
      <c r="G58" s="593">
        <v>11300</v>
      </c>
      <c r="H58" s="534"/>
      <c r="I58" s="2082"/>
      <c r="J58" s="2105" t="s">
        <v>768</v>
      </c>
      <c r="K58" s="2082"/>
      <c r="L58" s="2082"/>
      <c r="M58" s="2082"/>
      <c r="N58" s="2082"/>
      <c r="O58" s="2082"/>
      <c r="P58" s="2082"/>
      <c r="Q58" s="556"/>
      <c r="R58" s="2092"/>
      <c r="S58" s="474"/>
      <c r="T58" s="2106"/>
      <c r="U58" s="2106"/>
      <c r="V58" s="2106"/>
      <c r="W58" s="2106"/>
      <c r="X58" s="2030"/>
      <c r="Y58" s="554">
        <f t="shared" si="6"/>
        <v>11300</v>
      </c>
      <c r="Z58" s="1898">
        <f>SUM(Z59:Z60)</f>
        <v>11300000</v>
      </c>
      <c r="AA58" s="427"/>
      <c r="AB58" s="427"/>
      <c r="AC58" s="192"/>
    </row>
    <row r="59" spans="1:29" s="305" customFormat="1" ht="19.7" customHeight="1">
      <c r="A59" s="2330"/>
      <c r="B59" s="2331"/>
      <c r="C59" s="2332"/>
      <c r="D59" s="2034"/>
      <c r="E59" s="2023"/>
      <c r="F59" s="590"/>
      <c r="G59" s="593"/>
      <c r="H59" s="534"/>
      <c r="I59" s="2082"/>
      <c r="J59" s="2105" t="s">
        <v>1579</v>
      </c>
      <c r="K59" s="2082"/>
      <c r="L59" s="2082"/>
      <c r="M59" s="2082"/>
      <c r="N59" s="2082"/>
      <c r="O59" s="2082"/>
      <c r="P59" s="2082"/>
      <c r="Q59" s="556">
        <v>10</v>
      </c>
      <c r="R59" s="2080" t="s">
        <v>1928</v>
      </c>
      <c r="S59" s="474">
        <v>300000</v>
      </c>
      <c r="T59" s="2106" t="s">
        <v>37</v>
      </c>
      <c r="U59" s="2106"/>
      <c r="V59" s="2106">
        <v>3</v>
      </c>
      <c r="W59" s="2106" t="s">
        <v>39</v>
      </c>
      <c r="X59" s="2030" t="s">
        <v>38</v>
      </c>
      <c r="Y59" s="554">
        <f t="shared" si="6"/>
        <v>9000</v>
      </c>
      <c r="Z59" s="2325">
        <f>Q59*S59*V59</f>
        <v>9000000</v>
      </c>
      <c r="AA59" s="427"/>
      <c r="AB59" s="427"/>
      <c r="AC59" s="192"/>
    </row>
    <row r="60" spans="1:29" s="305" customFormat="1" ht="19.7" customHeight="1">
      <c r="A60" s="2330"/>
      <c r="B60" s="2331"/>
      <c r="C60" s="2332"/>
      <c r="D60" s="2034"/>
      <c r="E60" s="2023"/>
      <c r="F60" s="590"/>
      <c r="G60" s="593"/>
      <c r="H60" s="534"/>
      <c r="I60" s="2082"/>
      <c r="J60" s="2105" t="s">
        <v>1580</v>
      </c>
      <c r="K60" s="2082"/>
      <c r="L60" s="2082"/>
      <c r="M60" s="2082"/>
      <c r="N60" s="2082"/>
      <c r="O60" s="2082"/>
      <c r="P60" s="2082"/>
      <c r="Q60" s="556"/>
      <c r="R60" s="2080"/>
      <c r="S60" s="474">
        <v>100000</v>
      </c>
      <c r="T60" s="2106" t="s">
        <v>37</v>
      </c>
      <c r="U60" s="2106"/>
      <c r="V60" s="2106">
        <v>23</v>
      </c>
      <c r="W60" s="2106" t="s">
        <v>51</v>
      </c>
      <c r="X60" s="2030" t="s">
        <v>38</v>
      </c>
      <c r="Y60" s="554">
        <f t="shared" si="6"/>
        <v>2300</v>
      </c>
      <c r="Z60" s="2325">
        <f>S60*V60</f>
        <v>2300000</v>
      </c>
      <c r="AA60" s="427"/>
      <c r="AB60" s="427"/>
      <c r="AC60" s="192"/>
    </row>
    <row r="61" spans="1:29" s="305" customFormat="1" ht="19.7" customHeight="1">
      <c r="A61" s="2330"/>
      <c r="B61" s="2331"/>
      <c r="C61" s="2332"/>
      <c r="D61" s="2034"/>
      <c r="E61" s="2023" t="s">
        <v>671</v>
      </c>
      <c r="F61" s="590">
        <f>Y61</f>
        <v>4000</v>
      </c>
      <c r="G61" s="593">
        <v>4000</v>
      </c>
      <c r="H61" s="534"/>
      <c r="I61" s="2082"/>
      <c r="J61" s="2105" t="s">
        <v>1030</v>
      </c>
      <c r="K61" s="2082"/>
      <c r="L61" s="2082"/>
      <c r="M61" s="2082"/>
      <c r="N61" s="2082"/>
      <c r="O61" s="2082"/>
      <c r="P61" s="2082"/>
      <c r="Q61" s="556"/>
      <c r="R61" s="2080"/>
      <c r="S61" s="474">
        <v>400000</v>
      </c>
      <c r="T61" s="2106" t="s">
        <v>930</v>
      </c>
      <c r="U61" s="2106"/>
      <c r="V61" s="2106">
        <v>10</v>
      </c>
      <c r="W61" s="2106"/>
      <c r="X61" s="2030" t="s">
        <v>38</v>
      </c>
      <c r="Y61" s="554">
        <f t="shared" si="6"/>
        <v>4000</v>
      </c>
      <c r="Z61" s="2325">
        <f>S61*V61</f>
        <v>4000000</v>
      </c>
      <c r="AA61" s="427"/>
      <c r="AB61" s="427"/>
      <c r="AC61" s="192"/>
    </row>
    <row r="62" spans="1:29" s="294" customFormat="1" ht="19.7" customHeight="1">
      <c r="A62" s="540"/>
      <c r="B62" s="541"/>
      <c r="C62" s="1910"/>
      <c r="D62" s="2020"/>
      <c r="E62" s="2023" t="s">
        <v>728</v>
      </c>
      <c r="F62" s="549">
        <f>Y62</f>
        <v>575000</v>
      </c>
      <c r="G62" s="2029">
        <v>575000</v>
      </c>
      <c r="H62" s="534"/>
      <c r="I62" s="2082"/>
      <c r="J62" s="2105" t="s">
        <v>3374</v>
      </c>
      <c r="K62" s="2082"/>
      <c r="L62" s="2082"/>
      <c r="M62" s="2082"/>
      <c r="N62" s="2082"/>
      <c r="O62" s="2082"/>
      <c r="P62" s="2082"/>
      <c r="Q62" s="2082"/>
      <c r="R62" s="552"/>
      <c r="S62" s="2106">
        <v>25000000</v>
      </c>
      <c r="T62" s="2106" t="s">
        <v>37</v>
      </c>
      <c r="U62" s="2106"/>
      <c r="V62" s="2106">
        <v>23</v>
      </c>
      <c r="W62" s="2106" t="s">
        <v>51</v>
      </c>
      <c r="X62" s="2030" t="s">
        <v>38</v>
      </c>
      <c r="Y62" s="554">
        <f t="shared" si="6"/>
        <v>575000</v>
      </c>
      <c r="Z62" s="1898">
        <f>S62*V62</f>
        <v>575000000</v>
      </c>
      <c r="AA62" s="427"/>
      <c r="AB62" s="427"/>
      <c r="AC62" s="192"/>
    </row>
    <row r="63" spans="1:29" s="304" customFormat="1" ht="19.7" customHeight="1">
      <c r="A63" s="636"/>
      <c r="B63" s="2035"/>
      <c r="C63" s="649"/>
      <c r="D63" s="2333"/>
      <c r="E63" s="2334" t="s">
        <v>942</v>
      </c>
      <c r="F63" s="494">
        <f>Y63</f>
        <v>3000</v>
      </c>
      <c r="G63" s="2335">
        <v>3000</v>
      </c>
      <c r="H63" s="534"/>
      <c r="I63" s="2323"/>
      <c r="J63" s="1342" t="s">
        <v>3375</v>
      </c>
      <c r="K63" s="2065"/>
      <c r="L63" s="2065"/>
      <c r="M63" s="2065"/>
      <c r="N63" s="2065"/>
      <c r="O63" s="2065"/>
      <c r="P63" s="2018"/>
      <c r="Q63" s="724"/>
      <c r="R63" s="2072"/>
      <c r="S63" s="2336">
        <v>300000</v>
      </c>
      <c r="T63" s="498" t="s">
        <v>930</v>
      </c>
      <c r="U63" s="2337"/>
      <c r="V63" s="724">
        <v>10</v>
      </c>
      <c r="W63" s="2072" t="s">
        <v>39</v>
      </c>
      <c r="X63" s="619" t="s">
        <v>1</v>
      </c>
      <c r="Y63" s="554">
        <f t="shared" si="6"/>
        <v>3000</v>
      </c>
      <c r="Z63" s="2339">
        <f>S63*V63</f>
        <v>3000000</v>
      </c>
      <c r="AA63" s="427"/>
      <c r="AB63" s="427"/>
      <c r="AC63" s="192"/>
    </row>
    <row r="64" spans="1:29" ht="19.7" customHeight="1">
      <c r="A64" s="562"/>
      <c r="B64" s="563"/>
      <c r="C64" s="564"/>
      <c r="D64" s="3931" t="s">
        <v>971</v>
      </c>
      <c r="E64" s="3932"/>
      <c r="F64" s="825">
        <f>SUM(F65:F89)</f>
        <v>7345000</v>
      </c>
      <c r="G64" s="825">
        <f>SUM(G65:G89)</f>
        <v>6395000</v>
      </c>
      <c r="H64" s="529">
        <f>F64-G64</f>
        <v>950000</v>
      </c>
      <c r="I64" s="543"/>
      <c r="J64" s="538"/>
      <c r="K64" s="2068"/>
      <c r="L64" s="2068"/>
      <c r="M64" s="2068"/>
      <c r="N64" s="2068"/>
      <c r="O64" s="2068"/>
      <c r="P64" s="2068"/>
      <c r="Q64" s="2068"/>
      <c r="R64" s="539"/>
      <c r="S64" s="2068"/>
      <c r="T64" s="2068"/>
      <c r="U64" s="2068"/>
      <c r="V64" s="2068"/>
      <c r="W64" s="2068"/>
      <c r="X64" s="585"/>
      <c r="Y64" s="599"/>
      <c r="Z64" s="3472"/>
      <c r="AA64" s="427"/>
      <c r="AB64" s="427"/>
      <c r="AC64" s="192"/>
    </row>
    <row r="65" spans="1:29" s="294" customFormat="1" ht="19.7" customHeight="1">
      <c r="A65" s="540"/>
      <c r="B65" s="541"/>
      <c r="C65" s="542"/>
      <c r="D65" s="624"/>
      <c r="E65" s="2023" t="s">
        <v>964</v>
      </c>
      <c r="F65" s="549">
        <f>Y65</f>
        <v>116640</v>
      </c>
      <c r="G65" s="2029">
        <v>116640</v>
      </c>
      <c r="H65" s="534"/>
      <c r="I65" s="543"/>
      <c r="J65" s="2105" t="s">
        <v>768</v>
      </c>
      <c r="K65" s="2082"/>
      <c r="L65" s="2082"/>
      <c r="M65" s="2082"/>
      <c r="N65" s="2082"/>
      <c r="O65" s="2082"/>
      <c r="P65" s="2082"/>
      <c r="Q65" s="2082"/>
      <c r="R65" s="552"/>
      <c r="S65" s="2082"/>
      <c r="T65" s="2082"/>
      <c r="U65" s="2082"/>
      <c r="V65" s="2082"/>
      <c r="W65" s="2082"/>
      <c r="X65" s="2030"/>
      <c r="Y65" s="554">
        <f>(Z65)/1000</f>
        <v>116640</v>
      </c>
      <c r="Z65" s="1898">
        <f>SUM(Z66:Z70)</f>
        <v>116640000</v>
      </c>
      <c r="AA65" s="427"/>
      <c r="AB65" s="427"/>
      <c r="AC65" s="192"/>
    </row>
    <row r="66" spans="1:29" s="294" customFormat="1" ht="19.7" customHeight="1">
      <c r="A66" s="540"/>
      <c r="B66" s="541"/>
      <c r="C66" s="542"/>
      <c r="D66" s="624"/>
      <c r="E66" s="2023"/>
      <c r="F66" s="549"/>
      <c r="G66" s="2029"/>
      <c r="H66" s="534"/>
      <c r="I66" s="543"/>
      <c r="J66" s="2105" t="s">
        <v>761</v>
      </c>
      <c r="K66" s="2082"/>
      <c r="L66" s="2082"/>
      <c r="M66" s="2082"/>
      <c r="N66" s="2082"/>
      <c r="O66" s="2082"/>
      <c r="P66" s="2082"/>
      <c r="Q66" s="556">
        <v>3</v>
      </c>
      <c r="R66" s="2092" t="s">
        <v>929</v>
      </c>
      <c r="S66" s="474">
        <v>2400000</v>
      </c>
      <c r="T66" s="2106" t="s">
        <v>37</v>
      </c>
      <c r="U66" s="2106"/>
      <c r="V66" s="2106">
        <v>12</v>
      </c>
      <c r="W66" s="2106" t="s">
        <v>972</v>
      </c>
      <c r="X66" s="2030" t="s">
        <v>38</v>
      </c>
      <c r="Y66" s="554">
        <f>(Z66)/1000</f>
        <v>86400</v>
      </c>
      <c r="Z66" s="1898">
        <f>Q66*S66*V66</f>
        <v>86400000</v>
      </c>
      <c r="AA66" s="427"/>
      <c r="AB66" s="427"/>
      <c r="AC66" s="192"/>
    </row>
    <row r="67" spans="1:29" s="294" customFormat="1" ht="19.7" customHeight="1">
      <c r="A67" s="540"/>
      <c r="B67" s="541"/>
      <c r="C67" s="542"/>
      <c r="D67" s="624"/>
      <c r="E67" s="2023"/>
      <c r="F67" s="549"/>
      <c r="G67" s="2029"/>
      <c r="H67" s="534"/>
      <c r="I67" s="543"/>
      <c r="J67" s="2105" t="s">
        <v>3369</v>
      </c>
      <c r="K67" s="2082"/>
      <c r="L67" s="2082"/>
      <c r="M67" s="2082"/>
      <c r="N67" s="2082"/>
      <c r="O67" s="2082"/>
      <c r="P67" s="2082"/>
      <c r="Q67" s="556">
        <v>3</v>
      </c>
      <c r="R67" s="2092" t="s">
        <v>929</v>
      </c>
      <c r="S67" s="474">
        <v>250000</v>
      </c>
      <c r="T67" s="2106" t="s">
        <v>37</v>
      </c>
      <c r="U67" s="2106"/>
      <c r="V67" s="2106">
        <v>12</v>
      </c>
      <c r="W67" s="2106" t="s">
        <v>972</v>
      </c>
      <c r="X67" s="2030" t="s">
        <v>38</v>
      </c>
      <c r="Y67" s="554">
        <f>(Z67)/1000</f>
        <v>9000</v>
      </c>
      <c r="Z67" s="1898">
        <f>Q67*S67*V67</f>
        <v>9000000</v>
      </c>
      <c r="AA67" s="427"/>
      <c r="AB67" s="427"/>
      <c r="AC67" s="192"/>
    </row>
    <row r="68" spans="1:29" s="294" customFormat="1" ht="19.7" customHeight="1">
      <c r="A68" s="540"/>
      <c r="B68" s="541"/>
      <c r="C68" s="542"/>
      <c r="D68" s="624"/>
      <c r="E68" s="2023"/>
      <c r="F68" s="549"/>
      <c r="G68" s="2029"/>
      <c r="H68" s="534"/>
      <c r="I68" s="543"/>
      <c r="J68" s="2105" t="s">
        <v>955</v>
      </c>
      <c r="K68" s="2082"/>
      <c r="L68" s="2082"/>
      <c r="M68" s="2082"/>
      <c r="N68" s="2082"/>
      <c r="O68" s="2082"/>
      <c r="P68" s="2082"/>
      <c r="Q68" s="556">
        <v>3</v>
      </c>
      <c r="R68" s="2092" t="s">
        <v>929</v>
      </c>
      <c r="S68" s="474">
        <v>2400000</v>
      </c>
      <c r="T68" s="2106" t="s">
        <v>37</v>
      </c>
      <c r="U68" s="2106"/>
      <c r="V68" s="2106">
        <v>1</v>
      </c>
      <c r="W68" s="2106" t="s">
        <v>938</v>
      </c>
      <c r="X68" s="2030" t="s">
        <v>38</v>
      </c>
      <c r="Y68" s="554">
        <f>(Z68)/1000</f>
        <v>7200</v>
      </c>
      <c r="Z68" s="1898">
        <f>Q68*S68*V68</f>
        <v>7200000</v>
      </c>
      <c r="AA68" s="427"/>
      <c r="AB68" s="427"/>
      <c r="AC68" s="192"/>
    </row>
    <row r="69" spans="1:29" s="294" customFormat="1" ht="19.7" customHeight="1">
      <c r="A69" s="540"/>
      <c r="B69" s="541"/>
      <c r="C69" s="542"/>
      <c r="D69" s="624"/>
      <c r="E69" s="2023"/>
      <c r="F69" s="549"/>
      <c r="G69" s="2029"/>
      <c r="H69" s="534"/>
      <c r="I69" s="543"/>
      <c r="J69" s="2105" t="s">
        <v>956</v>
      </c>
      <c r="K69" s="2082"/>
      <c r="L69" s="2082"/>
      <c r="M69" s="2082"/>
      <c r="N69" s="2082"/>
      <c r="O69" s="556"/>
      <c r="P69" s="2092"/>
      <c r="Q69" s="556">
        <v>3</v>
      </c>
      <c r="R69" s="2092" t="s">
        <v>929</v>
      </c>
      <c r="S69" s="474">
        <f>(S66+S67)*12</f>
        <v>31800000</v>
      </c>
      <c r="T69" s="2106" t="s">
        <v>37</v>
      </c>
      <c r="U69" s="2106"/>
      <c r="V69" s="2106">
        <v>10</v>
      </c>
      <c r="W69" s="2106" t="s">
        <v>957</v>
      </c>
      <c r="X69" s="2030" t="s">
        <v>38</v>
      </c>
      <c r="Y69" s="554">
        <f>(Z69)/1000</f>
        <v>9540</v>
      </c>
      <c r="Z69" s="1898">
        <f>Q69*S69*V69%</f>
        <v>9540000</v>
      </c>
      <c r="AA69" s="427"/>
      <c r="AB69" s="427"/>
      <c r="AC69" s="192"/>
    </row>
    <row r="70" spans="1:29" ht="19.7" customHeight="1">
      <c r="A70" s="540"/>
      <c r="B70" s="541"/>
      <c r="C70" s="542"/>
      <c r="D70" s="624"/>
      <c r="E70" s="2023"/>
      <c r="F70" s="549"/>
      <c r="G70" s="549"/>
      <c r="H70" s="534"/>
      <c r="I70" s="543"/>
      <c r="J70" s="2105" t="s">
        <v>973</v>
      </c>
      <c r="K70" s="2082"/>
      <c r="L70" s="2082"/>
      <c r="M70" s="2082"/>
      <c r="N70" s="2082"/>
      <c r="O70" s="2082"/>
      <c r="P70" s="2082"/>
      <c r="Q70" s="556">
        <v>3</v>
      </c>
      <c r="R70" s="2080" t="s">
        <v>929</v>
      </c>
      <c r="S70" s="2106">
        <v>100000</v>
      </c>
      <c r="T70" s="2106" t="s">
        <v>37</v>
      </c>
      <c r="U70" s="2106"/>
      <c r="V70" s="2106">
        <v>15</v>
      </c>
      <c r="W70" s="2106" t="s">
        <v>3370</v>
      </c>
      <c r="X70" s="2030" t="s">
        <v>742</v>
      </c>
      <c r="Y70" s="554">
        <f t="shared" ref="Y70:Y75" si="7">Z70/1000</f>
        <v>4500</v>
      </c>
      <c r="Z70" s="1898">
        <f>Q70*S70*V70</f>
        <v>4500000</v>
      </c>
      <c r="AA70" s="427"/>
      <c r="AB70" s="427"/>
      <c r="AC70" s="192"/>
    </row>
    <row r="71" spans="1:29" ht="19.7" customHeight="1">
      <c r="A71" s="562"/>
      <c r="B71" s="563"/>
      <c r="C71" s="564"/>
      <c r="D71" s="2020"/>
      <c r="E71" s="2023" t="s">
        <v>975</v>
      </c>
      <c r="F71" s="549">
        <f>Y71</f>
        <v>24000</v>
      </c>
      <c r="G71" s="567">
        <v>24000</v>
      </c>
      <c r="H71" s="534"/>
      <c r="I71" s="543"/>
      <c r="J71" s="2105" t="s">
        <v>3376</v>
      </c>
      <c r="K71" s="2082"/>
      <c r="L71" s="2082"/>
      <c r="M71" s="2082"/>
      <c r="N71" s="2082"/>
      <c r="O71" s="2082"/>
      <c r="P71" s="2082"/>
      <c r="Q71" s="475">
        <v>2</v>
      </c>
      <c r="R71" s="552" t="s">
        <v>1928</v>
      </c>
      <c r="S71" s="2106">
        <v>30000</v>
      </c>
      <c r="T71" s="2106" t="s">
        <v>37</v>
      </c>
      <c r="U71" s="2106"/>
      <c r="V71" s="2106">
        <v>400</v>
      </c>
      <c r="W71" s="2106" t="s">
        <v>676</v>
      </c>
      <c r="X71" s="2030" t="s">
        <v>38</v>
      </c>
      <c r="Y71" s="554">
        <f t="shared" si="7"/>
        <v>24000</v>
      </c>
      <c r="Z71" s="1898">
        <f>Q71*S71*V71</f>
        <v>24000000</v>
      </c>
      <c r="AA71" s="427"/>
      <c r="AB71" s="427"/>
      <c r="AC71" s="192"/>
    </row>
    <row r="72" spans="1:29" s="304" customFormat="1" ht="19.7" customHeight="1">
      <c r="A72" s="540"/>
      <c r="B72" s="541"/>
      <c r="C72" s="542"/>
      <c r="D72" s="624"/>
      <c r="E72" s="2328" t="s">
        <v>934</v>
      </c>
      <c r="F72" s="549">
        <f>Y72</f>
        <v>14400</v>
      </c>
      <c r="G72" s="567">
        <v>14400</v>
      </c>
      <c r="H72" s="534"/>
      <c r="I72" s="2338"/>
      <c r="J72" s="472" t="s">
        <v>970</v>
      </c>
      <c r="K72" s="2075"/>
      <c r="L72" s="2075"/>
      <c r="M72" s="2075"/>
      <c r="N72" s="2075"/>
      <c r="O72" s="2075"/>
      <c r="P72" s="2016"/>
      <c r="Q72" s="511"/>
      <c r="R72" s="2082"/>
      <c r="S72" s="2106">
        <v>600000</v>
      </c>
      <c r="T72" s="477" t="s">
        <v>56</v>
      </c>
      <c r="U72" s="559"/>
      <c r="V72" s="2106">
        <v>24</v>
      </c>
      <c r="W72" s="2082" t="s">
        <v>39</v>
      </c>
      <c r="X72" s="2030" t="s">
        <v>1</v>
      </c>
      <c r="Y72" s="554">
        <f t="shared" si="7"/>
        <v>14400</v>
      </c>
      <c r="Z72" s="2325">
        <f>S72*V72</f>
        <v>14400000</v>
      </c>
      <c r="AA72" s="427"/>
      <c r="AB72" s="427"/>
      <c r="AC72" s="192"/>
    </row>
    <row r="73" spans="1:29" s="200" customFormat="1" ht="19.7" customHeight="1">
      <c r="A73" s="540"/>
      <c r="B73" s="541"/>
      <c r="C73" s="542"/>
      <c r="D73" s="624"/>
      <c r="E73" s="2328" t="s">
        <v>928</v>
      </c>
      <c r="F73" s="549">
        <f>Y73</f>
        <v>14400</v>
      </c>
      <c r="G73" s="567">
        <v>14400</v>
      </c>
      <c r="H73" s="534"/>
      <c r="I73" s="2338"/>
      <c r="J73" s="2105" t="s">
        <v>935</v>
      </c>
      <c r="K73" s="2075"/>
      <c r="L73" s="2075"/>
      <c r="M73" s="2075"/>
      <c r="N73" s="2075"/>
      <c r="O73" s="2075"/>
      <c r="P73" s="2016"/>
      <c r="Q73" s="556">
        <v>3</v>
      </c>
      <c r="R73" s="2080" t="s">
        <v>929</v>
      </c>
      <c r="S73" s="2106">
        <v>400000</v>
      </c>
      <c r="T73" s="2082" t="s">
        <v>930</v>
      </c>
      <c r="U73" s="2082"/>
      <c r="V73" s="2106">
        <v>12</v>
      </c>
      <c r="W73" s="2082" t="s">
        <v>830</v>
      </c>
      <c r="X73" s="2030" t="s">
        <v>1</v>
      </c>
      <c r="Y73" s="554">
        <f t="shared" si="7"/>
        <v>14400</v>
      </c>
      <c r="Z73" s="2325">
        <f>Q73*S73*V73</f>
        <v>14400000</v>
      </c>
      <c r="AA73" s="427"/>
      <c r="AB73" s="427"/>
      <c r="AC73" s="192"/>
    </row>
    <row r="74" spans="1:29" ht="19.7" customHeight="1">
      <c r="A74" s="562"/>
      <c r="B74" s="563"/>
      <c r="C74" s="564"/>
      <c r="D74" s="2020"/>
      <c r="E74" s="2023" t="s">
        <v>936</v>
      </c>
      <c r="F74" s="549">
        <f>Y74</f>
        <v>2400</v>
      </c>
      <c r="G74" s="567">
        <v>2400</v>
      </c>
      <c r="H74" s="534"/>
      <c r="I74" s="543"/>
      <c r="J74" s="2105" t="s">
        <v>3377</v>
      </c>
      <c r="K74" s="2082"/>
      <c r="L74" s="2082"/>
      <c r="M74" s="2082"/>
      <c r="N74" s="2082"/>
      <c r="O74" s="2082"/>
      <c r="P74" s="2082"/>
      <c r="Q74" s="475">
        <v>1</v>
      </c>
      <c r="R74" s="552" t="s">
        <v>2378</v>
      </c>
      <c r="S74" s="2106">
        <v>50000</v>
      </c>
      <c r="T74" s="2106" t="s">
        <v>37</v>
      </c>
      <c r="U74" s="2106"/>
      <c r="V74" s="2106">
        <v>48</v>
      </c>
      <c r="W74" s="2106" t="s">
        <v>39</v>
      </c>
      <c r="X74" s="2030" t="s">
        <v>38</v>
      </c>
      <c r="Y74" s="554">
        <f t="shared" si="7"/>
        <v>2400</v>
      </c>
      <c r="Z74" s="1898">
        <f>Q74*S74*V74</f>
        <v>2400000</v>
      </c>
      <c r="AA74" s="427"/>
      <c r="AB74" s="427"/>
      <c r="AC74" s="192"/>
    </row>
    <row r="75" spans="1:29" s="304" customFormat="1" ht="19.7" customHeight="1">
      <c r="A75" s="540"/>
      <c r="B75" s="541"/>
      <c r="C75" s="542"/>
      <c r="D75" s="624"/>
      <c r="E75" s="2328" t="s">
        <v>931</v>
      </c>
      <c r="F75" s="549">
        <f>Y75</f>
        <v>17000</v>
      </c>
      <c r="G75" s="567">
        <v>17000</v>
      </c>
      <c r="H75" s="534"/>
      <c r="I75" s="2338"/>
      <c r="J75" s="472" t="s">
        <v>768</v>
      </c>
      <c r="K75" s="2075"/>
      <c r="L75" s="2075"/>
      <c r="M75" s="2075"/>
      <c r="N75" s="2075"/>
      <c r="O75" s="2075"/>
      <c r="P75" s="2016"/>
      <c r="Q75" s="511"/>
      <c r="R75" s="2082"/>
      <c r="S75" s="2329"/>
      <c r="T75" s="477"/>
      <c r="U75" s="559"/>
      <c r="V75" s="511"/>
      <c r="W75" s="2106"/>
      <c r="X75" s="2030"/>
      <c r="Y75" s="554">
        <f t="shared" si="7"/>
        <v>17000</v>
      </c>
      <c r="Z75" s="2325">
        <f>SUM(Z76:Z77)</f>
        <v>17000000</v>
      </c>
      <c r="AA75" s="427"/>
      <c r="AB75" s="427"/>
      <c r="AC75" s="192"/>
    </row>
    <row r="76" spans="1:29" s="304" customFormat="1" ht="19.7" customHeight="1">
      <c r="A76" s="540"/>
      <c r="B76" s="541"/>
      <c r="C76" s="542"/>
      <c r="D76" s="624"/>
      <c r="E76" s="2328"/>
      <c r="F76" s="549"/>
      <c r="G76" s="567"/>
      <c r="H76" s="534"/>
      <c r="I76" s="2338"/>
      <c r="J76" s="2105" t="s">
        <v>795</v>
      </c>
      <c r="K76" s="473"/>
      <c r="L76" s="473"/>
      <c r="M76" s="473"/>
      <c r="N76" s="473"/>
      <c r="O76" s="473"/>
      <c r="P76" s="473"/>
      <c r="Q76" s="475">
        <v>10</v>
      </c>
      <c r="R76" s="473" t="s">
        <v>1928</v>
      </c>
      <c r="S76" s="474">
        <v>200000</v>
      </c>
      <c r="T76" s="473" t="s">
        <v>37</v>
      </c>
      <c r="U76" s="473"/>
      <c r="V76" s="473">
        <v>7</v>
      </c>
      <c r="W76" s="473" t="s">
        <v>824</v>
      </c>
      <c r="X76" s="2030" t="s">
        <v>38</v>
      </c>
      <c r="Y76" s="554">
        <f>+Z76/1000</f>
        <v>14000</v>
      </c>
      <c r="Z76" s="2325">
        <f>Q76*S76*V76</f>
        <v>14000000</v>
      </c>
      <c r="AA76" s="427"/>
      <c r="AB76" s="427"/>
      <c r="AC76" s="192"/>
    </row>
    <row r="77" spans="1:29" s="304" customFormat="1" ht="19.7" customHeight="1">
      <c r="A77" s="2079"/>
      <c r="B77" s="2035"/>
      <c r="C77" s="649"/>
      <c r="D77" s="659"/>
      <c r="E77" s="2328"/>
      <c r="F77" s="549"/>
      <c r="G77" s="567"/>
      <c r="H77" s="534"/>
      <c r="I77" s="2338"/>
      <c r="J77" s="2105" t="s">
        <v>3378</v>
      </c>
      <c r="K77" s="473"/>
      <c r="L77" s="473"/>
      <c r="M77" s="473"/>
      <c r="N77" s="473"/>
      <c r="O77" s="473"/>
      <c r="P77" s="473"/>
      <c r="Q77" s="475"/>
      <c r="R77" s="473"/>
      <c r="S77" s="474">
        <v>100000</v>
      </c>
      <c r="T77" s="473" t="s">
        <v>37</v>
      </c>
      <c r="U77" s="473"/>
      <c r="V77" s="473">
        <v>30</v>
      </c>
      <c r="W77" s="473" t="s">
        <v>51</v>
      </c>
      <c r="X77" s="2030" t="s">
        <v>38</v>
      </c>
      <c r="Y77" s="554">
        <f>+Z77/1000</f>
        <v>3000</v>
      </c>
      <c r="Z77" s="2325">
        <f>S77*V77</f>
        <v>3000000</v>
      </c>
      <c r="AA77" s="427"/>
      <c r="AB77" s="427"/>
      <c r="AC77" s="192"/>
    </row>
    <row r="78" spans="1:29" ht="19.7" customHeight="1">
      <c r="A78" s="562"/>
      <c r="B78" s="563"/>
      <c r="C78" s="564"/>
      <c r="D78" s="2020"/>
      <c r="E78" s="2023" t="s">
        <v>1098</v>
      </c>
      <c r="F78" s="549">
        <f>Y78</f>
        <v>50000</v>
      </c>
      <c r="G78" s="567">
        <v>50000</v>
      </c>
      <c r="H78" s="534"/>
      <c r="I78" s="543"/>
      <c r="J78" s="2105" t="s">
        <v>3379</v>
      </c>
      <c r="K78" s="2082"/>
      <c r="L78" s="2082"/>
      <c r="M78" s="2082"/>
      <c r="N78" s="2082"/>
      <c r="O78" s="2082"/>
      <c r="P78" s="2082"/>
      <c r="Q78" s="556">
        <v>1</v>
      </c>
      <c r="R78" s="2092" t="s">
        <v>1928</v>
      </c>
      <c r="S78" s="474">
        <v>50000000</v>
      </c>
      <c r="T78" s="2106" t="s">
        <v>37</v>
      </c>
      <c r="U78" s="2106"/>
      <c r="V78" s="2106">
        <v>1</v>
      </c>
      <c r="W78" s="2106" t="s">
        <v>763</v>
      </c>
      <c r="X78" s="2030" t="s">
        <v>38</v>
      </c>
      <c r="Y78" s="554">
        <f>Z78/1000</f>
        <v>50000</v>
      </c>
      <c r="Z78" s="1898">
        <f>Q78*S78*V78</f>
        <v>50000000</v>
      </c>
      <c r="AA78" s="427"/>
      <c r="AB78" s="427"/>
      <c r="AC78" s="192"/>
    </row>
    <row r="79" spans="1:29" s="304" customFormat="1" ht="19.7" customHeight="1">
      <c r="A79" s="636"/>
      <c r="B79" s="2035"/>
      <c r="C79" s="649"/>
      <c r="D79" s="2327"/>
      <c r="E79" s="2328" t="s">
        <v>671</v>
      </c>
      <c r="F79" s="549">
        <f>Y79</f>
        <v>18000</v>
      </c>
      <c r="G79" s="567">
        <v>18000</v>
      </c>
      <c r="H79" s="534"/>
      <c r="I79" s="2338"/>
      <c r="J79" s="472" t="s">
        <v>937</v>
      </c>
      <c r="K79" s="2075"/>
      <c r="L79" s="2075"/>
      <c r="M79" s="2075"/>
      <c r="N79" s="2075"/>
      <c r="O79" s="2075"/>
      <c r="P79" s="2016"/>
      <c r="Q79" s="511"/>
      <c r="R79" s="2082"/>
      <c r="S79" s="474">
        <v>1500000</v>
      </c>
      <c r="T79" s="477" t="s">
        <v>56</v>
      </c>
      <c r="U79" s="559"/>
      <c r="V79" s="2106">
        <v>12</v>
      </c>
      <c r="W79" s="2082" t="s">
        <v>830</v>
      </c>
      <c r="X79" s="2030" t="s">
        <v>1</v>
      </c>
      <c r="Y79" s="554">
        <f>+Z79/1000</f>
        <v>18000</v>
      </c>
      <c r="Z79" s="2325">
        <f>S79*V79</f>
        <v>18000000</v>
      </c>
      <c r="AA79" s="427"/>
      <c r="AB79" s="427"/>
      <c r="AC79" s="192"/>
    </row>
    <row r="80" spans="1:29" s="566" customFormat="1" ht="19.7" customHeight="1">
      <c r="A80" s="562"/>
      <c r="B80" s="563"/>
      <c r="C80" s="564"/>
      <c r="D80" s="2020"/>
      <c r="E80" s="677" t="s">
        <v>728</v>
      </c>
      <c r="F80" s="549">
        <f>Y80</f>
        <v>7045000</v>
      </c>
      <c r="G80" s="549">
        <v>6095000</v>
      </c>
      <c r="H80" s="534">
        <f>F80-G80</f>
        <v>950000</v>
      </c>
      <c r="I80" s="543"/>
      <c r="J80" s="2105" t="s">
        <v>768</v>
      </c>
      <c r="K80" s="2082"/>
      <c r="L80" s="2082"/>
      <c r="M80" s="2082"/>
      <c r="N80" s="2082"/>
      <c r="O80" s="2082"/>
      <c r="P80" s="2082"/>
      <c r="Q80" s="2082"/>
      <c r="R80" s="552"/>
      <c r="S80" s="2082"/>
      <c r="T80" s="2082"/>
      <c r="U80" s="2082"/>
      <c r="V80" s="2082"/>
      <c r="W80" s="2082"/>
      <c r="X80" s="2030"/>
      <c r="Y80" s="554">
        <f t="shared" ref="Y80:Y87" si="8">(Z80)/1000</f>
        <v>7045000</v>
      </c>
      <c r="Z80" s="1898">
        <f>SUM(Z81:Z86)</f>
        <v>7045000000</v>
      </c>
      <c r="AA80" s="427"/>
      <c r="AB80" s="427"/>
      <c r="AC80" s="192"/>
    </row>
    <row r="81" spans="1:29" s="566" customFormat="1" ht="19.7" customHeight="1">
      <c r="A81" s="562"/>
      <c r="B81" s="563"/>
      <c r="C81" s="564"/>
      <c r="D81" s="2020"/>
      <c r="E81" s="2023"/>
      <c r="F81" s="549"/>
      <c r="G81" s="567"/>
      <c r="H81" s="534"/>
      <c r="I81" s="543"/>
      <c r="J81" s="2105" t="s">
        <v>1191</v>
      </c>
      <c r="K81" s="2082"/>
      <c r="L81" s="2082"/>
      <c r="M81" s="2082"/>
      <c r="N81" s="2082"/>
      <c r="O81" s="2082"/>
      <c r="P81" s="2082"/>
      <c r="Q81" s="556"/>
      <c r="R81" s="2092"/>
      <c r="S81" s="474">
        <v>24531250</v>
      </c>
      <c r="T81" s="2106" t="s">
        <v>37</v>
      </c>
      <c r="U81" s="2106"/>
      <c r="V81" s="2106">
        <v>40</v>
      </c>
      <c r="W81" s="2106" t="s">
        <v>938</v>
      </c>
      <c r="X81" s="2030" t="s">
        <v>38</v>
      </c>
      <c r="Y81" s="554">
        <f t="shared" si="8"/>
        <v>981250</v>
      </c>
      <c r="Z81" s="1898">
        <f t="shared" ref="Z81:Z87" si="9">S81*V81</f>
        <v>981250000</v>
      </c>
      <c r="AA81" s="427"/>
      <c r="AB81" s="427"/>
      <c r="AC81" s="192"/>
    </row>
    <row r="82" spans="1:29" s="566" customFormat="1" ht="19.7" customHeight="1">
      <c r="A82" s="562"/>
      <c r="B82" s="563"/>
      <c r="C82" s="564"/>
      <c r="D82" s="2020"/>
      <c r="E82" s="2023"/>
      <c r="F82" s="549"/>
      <c r="G82" s="567"/>
      <c r="H82" s="534"/>
      <c r="I82" s="543"/>
      <c r="J82" s="2105" t="s">
        <v>1192</v>
      </c>
      <c r="K82" s="2082"/>
      <c r="L82" s="2082"/>
      <c r="M82" s="2082"/>
      <c r="N82" s="2082"/>
      <c r="O82" s="2082"/>
      <c r="P82" s="2082"/>
      <c r="Q82" s="556"/>
      <c r="R82" s="2092"/>
      <c r="S82" s="474">
        <v>24531250</v>
      </c>
      <c r="T82" s="2106" t="s">
        <v>37</v>
      </c>
      <c r="U82" s="2106"/>
      <c r="V82" s="2106">
        <v>40</v>
      </c>
      <c r="W82" s="2106" t="s">
        <v>938</v>
      </c>
      <c r="X82" s="2030" t="s">
        <v>38</v>
      </c>
      <c r="Y82" s="554">
        <f t="shared" si="8"/>
        <v>981250</v>
      </c>
      <c r="Z82" s="1898">
        <f t="shared" si="9"/>
        <v>981250000</v>
      </c>
      <c r="AA82" s="427"/>
      <c r="AB82" s="427"/>
      <c r="AC82" s="192"/>
    </row>
    <row r="83" spans="1:29" s="566" customFormat="1" ht="19.7" customHeight="1">
      <c r="A83" s="562"/>
      <c r="B83" s="563"/>
      <c r="C83" s="564"/>
      <c r="D83" s="2020"/>
      <c r="E83" s="2023"/>
      <c r="F83" s="549"/>
      <c r="G83" s="567"/>
      <c r="H83" s="534"/>
      <c r="I83" s="543"/>
      <c r="J83" s="2105" t="s">
        <v>1193</v>
      </c>
      <c r="K83" s="2082"/>
      <c r="L83" s="2082"/>
      <c r="M83" s="2082"/>
      <c r="N83" s="2082"/>
      <c r="O83" s="2082"/>
      <c r="P83" s="2082"/>
      <c r="Q83" s="556"/>
      <c r="R83" s="2092"/>
      <c r="S83" s="474">
        <v>24531250</v>
      </c>
      <c r="T83" s="2106" t="s">
        <v>37</v>
      </c>
      <c r="U83" s="2106"/>
      <c r="V83" s="2106">
        <v>40</v>
      </c>
      <c r="W83" s="2106" t="s">
        <v>938</v>
      </c>
      <c r="X83" s="2030" t="s">
        <v>38</v>
      </c>
      <c r="Y83" s="554">
        <f t="shared" si="8"/>
        <v>981250</v>
      </c>
      <c r="Z83" s="1898">
        <f t="shared" si="9"/>
        <v>981250000</v>
      </c>
      <c r="AA83" s="427"/>
      <c r="AB83" s="427"/>
      <c r="AC83" s="192"/>
    </row>
    <row r="84" spans="1:29" s="566" customFormat="1" ht="19.7" customHeight="1">
      <c r="A84" s="562"/>
      <c r="B84" s="563"/>
      <c r="C84" s="564"/>
      <c r="D84" s="2020"/>
      <c r="E84" s="2023"/>
      <c r="F84" s="549"/>
      <c r="G84" s="567"/>
      <c r="H84" s="534"/>
      <c r="I84" s="543"/>
      <c r="J84" s="2105" t="s">
        <v>1194</v>
      </c>
      <c r="K84" s="2082"/>
      <c r="L84" s="2082"/>
      <c r="M84" s="2082"/>
      <c r="N84" s="2082"/>
      <c r="O84" s="2082"/>
      <c r="P84" s="2082"/>
      <c r="Q84" s="556"/>
      <c r="R84" s="2092"/>
      <c r="S84" s="474">
        <v>24531250</v>
      </c>
      <c r="T84" s="2106" t="s">
        <v>37</v>
      </c>
      <c r="U84" s="2106"/>
      <c r="V84" s="2106">
        <v>40</v>
      </c>
      <c r="W84" s="2106" t="s">
        <v>938</v>
      </c>
      <c r="X84" s="2030" t="s">
        <v>38</v>
      </c>
      <c r="Y84" s="554">
        <f t="shared" si="8"/>
        <v>981250</v>
      </c>
      <c r="Z84" s="1898">
        <f t="shared" si="9"/>
        <v>981250000</v>
      </c>
      <c r="AA84" s="427"/>
      <c r="AB84" s="427"/>
      <c r="AC84" s="192"/>
    </row>
    <row r="85" spans="1:29" s="566" customFormat="1" ht="19.7" customHeight="1">
      <c r="A85" s="562"/>
      <c r="B85" s="563"/>
      <c r="C85" s="564"/>
      <c r="D85" s="2020"/>
      <c r="E85" s="2023"/>
      <c r="F85" s="549"/>
      <c r="G85" s="567"/>
      <c r="H85" s="534"/>
      <c r="I85" s="543"/>
      <c r="J85" s="2105" t="s">
        <v>1975</v>
      </c>
      <c r="K85" s="2082"/>
      <c r="L85" s="2082"/>
      <c r="M85" s="2082"/>
      <c r="N85" s="2082"/>
      <c r="O85" s="2082"/>
      <c r="P85" s="2082"/>
      <c r="Q85" s="556"/>
      <c r="R85" s="2092"/>
      <c r="S85" s="474">
        <v>27125000</v>
      </c>
      <c r="T85" s="2106" t="s">
        <v>37</v>
      </c>
      <c r="U85" s="2106"/>
      <c r="V85" s="2106">
        <v>80</v>
      </c>
      <c r="W85" s="2106" t="s">
        <v>938</v>
      </c>
      <c r="X85" s="2030" t="s">
        <v>38</v>
      </c>
      <c r="Y85" s="554">
        <f t="shared" si="8"/>
        <v>2170000</v>
      </c>
      <c r="Z85" s="1898">
        <f t="shared" si="9"/>
        <v>2170000000</v>
      </c>
      <c r="AA85" s="427"/>
      <c r="AB85" s="427"/>
      <c r="AC85" s="192"/>
    </row>
    <row r="86" spans="1:29" s="566" customFormat="1" ht="19.7" customHeight="1">
      <c r="A86" s="562"/>
      <c r="B86" s="563"/>
      <c r="C86" s="564"/>
      <c r="D86" s="2020"/>
      <c r="E86" s="2023"/>
      <c r="F86" s="549"/>
      <c r="G86" s="567"/>
      <c r="H86" s="534"/>
      <c r="I86" s="543"/>
      <c r="J86" s="3457" t="s">
        <v>5594</v>
      </c>
      <c r="K86" s="3456"/>
      <c r="L86" s="3456"/>
      <c r="M86" s="3456"/>
      <c r="N86" s="3456"/>
      <c r="O86" s="3456"/>
      <c r="P86" s="3456"/>
      <c r="Q86" s="556"/>
      <c r="R86" s="3453"/>
      <c r="S86" s="3108">
        <v>19000000</v>
      </c>
      <c r="T86" s="3458" t="s">
        <v>37</v>
      </c>
      <c r="U86" s="3458"/>
      <c r="V86" s="3458">
        <v>50</v>
      </c>
      <c r="W86" s="3458" t="s">
        <v>938</v>
      </c>
      <c r="X86" s="2030" t="s">
        <v>38</v>
      </c>
      <c r="Y86" s="554">
        <f t="shared" ref="Y86" si="10">(Z86)/1000</f>
        <v>950000</v>
      </c>
      <c r="Z86" s="1898">
        <f t="shared" ref="Z86" si="11">S86*V86</f>
        <v>950000000</v>
      </c>
      <c r="AA86" s="427"/>
      <c r="AB86" s="427"/>
      <c r="AC86" s="192"/>
    </row>
    <row r="87" spans="1:29" ht="19.7" customHeight="1">
      <c r="A87" s="562"/>
      <c r="B87" s="563"/>
      <c r="C87" s="564"/>
      <c r="D87" s="2020"/>
      <c r="E87" s="2023" t="s">
        <v>3380</v>
      </c>
      <c r="F87" s="549">
        <f>Y87</f>
        <v>14160</v>
      </c>
      <c r="G87" s="567">
        <v>14160</v>
      </c>
      <c r="H87" s="534"/>
      <c r="I87" s="543"/>
      <c r="J87" s="2105" t="s">
        <v>939</v>
      </c>
      <c r="K87" s="2082"/>
      <c r="L87" s="2082"/>
      <c r="M87" s="2082"/>
      <c r="N87" s="2082"/>
      <c r="O87" s="2082"/>
      <c r="P87" s="2082"/>
      <c r="Q87" s="556"/>
      <c r="R87" s="2092"/>
      <c r="S87" s="474">
        <v>7080000</v>
      </c>
      <c r="T87" s="2106" t="s">
        <v>37</v>
      </c>
      <c r="U87" s="2106"/>
      <c r="V87" s="2106">
        <v>2</v>
      </c>
      <c r="W87" s="2106" t="s">
        <v>39</v>
      </c>
      <c r="X87" s="2030" t="s">
        <v>38</v>
      </c>
      <c r="Y87" s="554">
        <f t="shared" si="8"/>
        <v>14160</v>
      </c>
      <c r="Z87" s="1898">
        <f t="shared" si="9"/>
        <v>14160000</v>
      </c>
      <c r="AA87" s="427"/>
      <c r="AB87" s="427"/>
      <c r="AC87" s="192"/>
    </row>
    <row r="88" spans="1:29" ht="19.7" customHeight="1">
      <c r="A88" s="562"/>
      <c r="B88" s="563"/>
      <c r="C88" s="564"/>
      <c r="D88" s="2020"/>
      <c r="E88" s="2023" t="s">
        <v>940</v>
      </c>
      <c r="F88" s="549">
        <f>Y88</f>
        <v>20000</v>
      </c>
      <c r="G88" s="567">
        <v>20000</v>
      </c>
      <c r="H88" s="534"/>
      <c r="I88" s="543"/>
      <c r="J88" s="2105" t="s">
        <v>3381</v>
      </c>
      <c r="K88" s="2082"/>
      <c r="L88" s="2082"/>
      <c r="M88" s="2082"/>
      <c r="N88" s="2082"/>
      <c r="O88" s="2082"/>
      <c r="P88" s="2082"/>
      <c r="Q88" s="2106">
        <v>2</v>
      </c>
      <c r="R88" s="2106" t="s">
        <v>841</v>
      </c>
      <c r="S88" s="2106">
        <v>25000</v>
      </c>
      <c r="T88" s="2106" t="s">
        <v>37</v>
      </c>
      <c r="U88" s="2106"/>
      <c r="V88" s="2106">
        <v>400</v>
      </c>
      <c r="W88" s="2106" t="s">
        <v>941</v>
      </c>
      <c r="X88" s="2030" t="s">
        <v>38</v>
      </c>
      <c r="Y88" s="554">
        <f>Z88/1000</f>
        <v>20000</v>
      </c>
      <c r="Z88" s="1898">
        <f>Q88*S88*V88</f>
        <v>20000000</v>
      </c>
      <c r="AA88" s="427"/>
      <c r="AB88" s="427"/>
      <c r="AC88" s="192"/>
    </row>
    <row r="89" spans="1:29" s="304" customFormat="1" ht="19.7" customHeight="1">
      <c r="A89" s="636"/>
      <c r="B89" s="2035"/>
      <c r="C89" s="649"/>
      <c r="D89" s="659"/>
      <c r="E89" s="2328" t="s">
        <v>942</v>
      </c>
      <c r="F89" s="549">
        <f>Y89</f>
        <v>9000</v>
      </c>
      <c r="G89" s="567">
        <v>9000</v>
      </c>
      <c r="H89" s="534"/>
      <c r="I89" s="543"/>
      <c r="J89" s="472" t="s">
        <v>3375</v>
      </c>
      <c r="K89" s="2075"/>
      <c r="L89" s="2075"/>
      <c r="M89" s="2075"/>
      <c r="N89" s="2075"/>
      <c r="O89" s="2075"/>
      <c r="P89" s="2016"/>
      <c r="Q89" s="511"/>
      <c r="R89" s="2082"/>
      <c r="S89" s="2106">
        <v>300000</v>
      </c>
      <c r="T89" s="477" t="s">
        <v>56</v>
      </c>
      <c r="U89" s="559"/>
      <c r="V89" s="2106">
        <v>30</v>
      </c>
      <c r="W89" s="2082" t="s">
        <v>39</v>
      </c>
      <c r="X89" s="2030" t="s">
        <v>1</v>
      </c>
      <c r="Y89" s="554">
        <f>Z89/1000</f>
        <v>9000</v>
      </c>
      <c r="Z89" s="2339">
        <f>S89*V89</f>
        <v>9000000</v>
      </c>
      <c r="AA89" s="427"/>
      <c r="AB89" s="427"/>
      <c r="AC89" s="192"/>
    </row>
    <row r="90" spans="1:29" s="294" customFormat="1" ht="19.5" customHeight="1">
      <c r="A90" s="591"/>
      <c r="B90" s="592"/>
      <c r="C90" s="564"/>
      <c r="D90" s="3837" t="s">
        <v>3382</v>
      </c>
      <c r="E90" s="3838"/>
      <c r="F90" s="598">
        <f>SUM(F91:F100)</f>
        <v>450000</v>
      </c>
      <c r="G90" s="598">
        <f>SUM(G91:G100)</f>
        <v>400000</v>
      </c>
      <c r="H90" s="529">
        <f>SUM(H91:H100)</f>
        <v>50000</v>
      </c>
      <c r="I90" s="557"/>
      <c r="J90" s="538"/>
      <c r="K90" s="2068"/>
      <c r="L90" s="2068"/>
      <c r="M90" s="2068"/>
      <c r="N90" s="2068"/>
      <c r="O90" s="2068"/>
      <c r="P90" s="2068"/>
      <c r="Q90" s="2068"/>
      <c r="R90" s="539"/>
      <c r="S90" s="2068"/>
      <c r="T90" s="2068"/>
      <c r="U90" s="2068"/>
      <c r="V90" s="2068"/>
      <c r="W90" s="2068"/>
      <c r="X90" s="585"/>
      <c r="Y90" s="599"/>
      <c r="Z90" s="3472"/>
      <c r="AA90" s="427"/>
      <c r="AB90" s="427"/>
      <c r="AC90" s="192"/>
    </row>
    <row r="91" spans="1:29" s="304" customFormat="1" ht="19.5" customHeight="1">
      <c r="A91" s="636"/>
      <c r="B91" s="2035"/>
      <c r="C91" s="649"/>
      <c r="D91" s="2327"/>
      <c r="E91" s="2328" t="s">
        <v>934</v>
      </c>
      <c r="F91" s="469">
        <f>Y91</f>
        <v>1000</v>
      </c>
      <c r="G91" s="567">
        <v>1000</v>
      </c>
      <c r="H91" s="3169"/>
      <c r="I91" s="2323"/>
      <c r="J91" s="3106" t="s">
        <v>970</v>
      </c>
      <c r="K91" s="2075"/>
      <c r="L91" s="2075"/>
      <c r="M91" s="2075"/>
      <c r="N91" s="2075"/>
      <c r="O91" s="2075"/>
      <c r="P91" s="2016"/>
      <c r="Q91" s="511"/>
      <c r="R91" s="3236"/>
      <c r="S91" s="2329">
        <v>500000</v>
      </c>
      <c r="T91" s="477" t="s">
        <v>56</v>
      </c>
      <c r="U91" s="3244"/>
      <c r="V91" s="511">
        <v>2</v>
      </c>
      <c r="W91" s="3236" t="s">
        <v>39</v>
      </c>
      <c r="X91" s="2030" t="s">
        <v>1</v>
      </c>
      <c r="Y91" s="554">
        <f t="shared" ref="Y91:Y100" si="12">(Z91)/1000</f>
        <v>1000</v>
      </c>
      <c r="Z91" s="2325">
        <f>S91*V91</f>
        <v>1000000</v>
      </c>
      <c r="AA91" s="427"/>
      <c r="AB91" s="427"/>
      <c r="AC91" s="192"/>
    </row>
    <row r="92" spans="1:29" s="200" customFormat="1" ht="19.5" customHeight="1">
      <c r="A92" s="2079"/>
      <c r="B92" s="2035"/>
      <c r="C92" s="649"/>
      <c r="D92" s="659"/>
      <c r="E92" s="2328" t="s">
        <v>928</v>
      </c>
      <c r="F92" s="469">
        <f>Y92</f>
        <v>2000</v>
      </c>
      <c r="G92" s="567">
        <v>2000</v>
      </c>
      <c r="H92" s="1239"/>
      <c r="I92" s="2323"/>
      <c r="J92" s="3240" t="s">
        <v>3383</v>
      </c>
      <c r="K92" s="2075"/>
      <c r="L92" s="2075"/>
      <c r="M92" s="2075"/>
      <c r="N92" s="2075"/>
      <c r="O92" s="2075"/>
      <c r="P92" s="2016"/>
      <c r="Q92" s="556">
        <v>1</v>
      </c>
      <c r="R92" s="3180" t="s">
        <v>929</v>
      </c>
      <c r="S92" s="656">
        <v>80000</v>
      </c>
      <c r="T92" s="3236" t="s">
        <v>930</v>
      </c>
      <c r="U92" s="3236"/>
      <c r="V92" s="656">
        <v>25</v>
      </c>
      <c r="W92" s="3236" t="s">
        <v>39</v>
      </c>
      <c r="X92" s="2030" t="s">
        <v>1</v>
      </c>
      <c r="Y92" s="554">
        <f t="shared" si="12"/>
        <v>2000</v>
      </c>
      <c r="Z92" s="2325">
        <f>Q92*S92*V92</f>
        <v>2000000</v>
      </c>
      <c r="AA92" s="427"/>
      <c r="AB92" s="427"/>
      <c r="AC92" s="192"/>
    </row>
    <row r="93" spans="1:29" s="305" customFormat="1" ht="19.5" customHeight="1">
      <c r="A93" s="2330"/>
      <c r="B93" s="2331"/>
      <c r="C93" s="2332"/>
      <c r="D93" s="2034"/>
      <c r="E93" s="2023" t="s">
        <v>931</v>
      </c>
      <c r="F93" s="590">
        <f>Y93</f>
        <v>4000</v>
      </c>
      <c r="G93" s="593">
        <v>4000</v>
      </c>
      <c r="H93" s="790"/>
      <c r="I93" s="3236"/>
      <c r="J93" s="3240" t="s">
        <v>768</v>
      </c>
      <c r="K93" s="3236"/>
      <c r="L93" s="3236"/>
      <c r="M93" s="3236"/>
      <c r="N93" s="3236"/>
      <c r="O93" s="3236"/>
      <c r="P93" s="3236"/>
      <c r="Q93" s="556"/>
      <c r="R93" s="3225"/>
      <c r="S93" s="3108"/>
      <c r="T93" s="3241"/>
      <c r="U93" s="3241"/>
      <c r="V93" s="3241"/>
      <c r="W93" s="3241"/>
      <c r="X93" s="2030"/>
      <c r="Y93" s="554">
        <f t="shared" si="12"/>
        <v>4000</v>
      </c>
      <c r="Z93" s="1898">
        <f>SUM(Z94:Z95)</f>
        <v>4000000</v>
      </c>
      <c r="AA93" s="427"/>
      <c r="AB93" s="427"/>
      <c r="AC93" s="192"/>
    </row>
    <row r="94" spans="1:29" s="305" customFormat="1" ht="19.5" customHeight="1">
      <c r="A94" s="2330"/>
      <c r="B94" s="2331"/>
      <c r="C94" s="2332"/>
      <c r="D94" s="2034"/>
      <c r="E94" s="2023"/>
      <c r="F94" s="590"/>
      <c r="G94" s="593"/>
      <c r="H94" s="534"/>
      <c r="I94" s="3236"/>
      <c r="J94" s="3240" t="s">
        <v>1659</v>
      </c>
      <c r="K94" s="3236"/>
      <c r="L94" s="3236"/>
      <c r="M94" s="3236"/>
      <c r="N94" s="3236"/>
      <c r="O94" s="3236"/>
      <c r="P94" s="3236"/>
      <c r="Q94" s="556">
        <v>2</v>
      </c>
      <c r="R94" s="3180" t="s">
        <v>929</v>
      </c>
      <c r="S94" s="3108">
        <v>200000</v>
      </c>
      <c r="T94" s="3241" t="s">
        <v>0</v>
      </c>
      <c r="U94" s="3241"/>
      <c r="V94" s="3241">
        <v>5</v>
      </c>
      <c r="W94" s="3241" t="s">
        <v>39</v>
      </c>
      <c r="X94" s="2030" t="s">
        <v>38</v>
      </c>
      <c r="Y94" s="554">
        <f t="shared" si="12"/>
        <v>2000</v>
      </c>
      <c r="Z94" s="2325">
        <f>Q94*S94*V94</f>
        <v>2000000</v>
      </c>
      <c r="AA94" s="427"/>
      <c r="AB94" s="427"/>
      <c r="AC94" s="192"/>
    </row>
    <row r="95" spans="1:29" s="305" customFormat="1" ht="19.5" customHeight="1">
      <c r="A95" s="2330"/>
      <c r="B95" s="2331"/>
      <c r="C95" s="2332"/>
      <c r="D95" s="2034"/>
      <c r="E95" s="2023"/>
      <c r="F95" s="590"/>
      <c r="G95" s="593"/>
      <c r="H95" s="534"/>
      <c r="I95" s="3236"/>
      <c r="J95" s="3240" t="s">
        <v>1660</v>
      </c>
      <c r="K95" s="3236"/>
      <c r="L95" s="3236"/>
      <c r="M95" s="3236"/>
      <c r="N95" s="3236"/>
      <c r="O95" s="3236"/>
      <c r="P95" s="3236"/>
      <c r="Q95" s="556">
        <v>2</v>
      </c>
      <c r="R95" s="3180" t="s">
        <v>929</v>
      </c>
      <c r="S95" s="3108">
        <v>50000</v>
      </c>
      <c r="T95" s="3241" t="s">
        <v>37</v>
      </c>
      <c r="U95" s="3241"/>
      <c r="V95" s="3241">
        <v>20</v>
      </c>
      <c r="W95" s="3241" t="s">
        <v>39</v>
      </c>
      <c r="X95" s="2030" t="s">
        <v>38</v>
      </c>
      <c r="Y95" s="554">
        <f t="shared" si="12"/>
        <v>2000</v>
      </c>
      <c r="Z95" s="2325">
        <f>Q95*S95*V95</f>
        <v>2000000</v>
      </c>
      <c r="AA95" s="427"/>
      <c r="AB95" s="427"/>
      <c r="AC95" s="192"/>
    </row>
    <row r="96" spans="1:29" s="294" customFormat="1" ht="19.5" customHeight="1">
      <c r="A96" s="540"/>
      <c r="B96" s="541"/>
      <c r="C96" s="1910"/>
      <c r="D96" s="2020"/>
      <c r="E96" s="2023" t="s">
        <v>728</v>
      </c>
      <c r="F96" s="549">
        <f>Y96</f>
        <v>430000</v>
      </c>
      <c r="G96" s="2029">
        <v>380000</v>
      </c>
      <c r="H96" s="790">
        <f>F96-G96</f>
        <v>50000</v>
      </c>
      <c r="I96" s="557"/>
      <c r="J96" s="3457" t="s">
        <v>224</v>
      </c>
      <c r="K96" s="3456"/>
      <c r="L96" s="3456"/>
      <c r="M96" s="3456"/>
      <c r="N96" s="3456"/>
      <c r="O96" s="3456"/>
      <c r="P96" s="3456"/>
      <c r="Q96" s="556"/>
      <c r="R96" s="3453"/>
      <c r="S96" s="3108"/>
      <c r="T96" s="3458"/>
      <c r="U96" s="3458"/>
      <c r="V96" s="3458"/>
      <c r="W96" s="3458"/>
      <c r="X96" s="2030"/>
      <c r="Y96" s="554">
        <f t="shared" ref="Y96" si="13">(Z96)/1000</f>
        <v>430000</v>
      </c>
      <c r="Z96" s="1898">
        <f>SUM(Z97:Z98)</f>
        <v>430000000</v>
      </c>
      <c r="AA96" s="427"/>
      <c r="AB96" s="427"/>
      <c r="AC96" s="192"/>
    </row>
    <row r="97" spans="1:29" s="305" customFormat="1" ht="19.5" customHeight="1">
      <c r="A97" s="2330"/>
      <c r="B97" s="2331"/>
      <c r="C97" s="2332"/>
      <c r="D97" s="2034"/>
      <c r="E97" s="2023"/>
      <c r="F97" s="590"/>
      <c r="G97" s="593"/>
      <c r="H97" s="534"/>
      <c r="I97" s="3456"/>
      <c r="J97" s="3457" t="s">
        <v>5595</v>
      </c>
      <c r="K97" s="3456"/>
      <c r="L97" s="3456"/>
      <c r="M97" s="3456"/>
      <c r="N97" s="3456"/>
      <c r="O97" s="3456"/>
      <c r="P97" s="3456"/>
      <c r="Q97" s="3456"/>
      <c r="R97" s="552"/>
      <c r="S97" s="3458">
        <v>19000000</v>
      </c>
      <c r="T97" s="3458" t="s">
        <v>0</v>
      </c>
      <c r="U97" s="3458"/>
      <c r="V97" s="3458">
        <v>20</v>
      </c>
      <c r="W97" s="3458" t="s">
        <v>51</v>
      </c>
      <c r="X97" s="2030" t="s">
        <v>38</v>
      </c>
      <c r="Y97" s="554">
        <f t="shared" ref="Y97" si="14">(Z97)/1000</f>
        <v>380000</v>
      </c>
      <c r="Z97" s="1898">
        <f>S97*V97</f>
        <v>380000000</v>
      </c>
      <c r="AA97" s="427"/>
      <c r="AB97" s="427"/>
      <c r="AC97" s="192"/>
    </row>
    <row r="98" spans="1:29" s="305" customFormat="1" ht="19.5" customHeight="1">
      <c r="A98" s="2330"/>
      <c r="B98" s="2331"/>
      <c r="C98" s="2332"/>
      <c r="D98" s="2034"/>
      <c r="E98" s="2023"/>
      <c r="F98" s="590"/>
      <c r="G98" s="593"/>
      <c r="H98" s="534"/>
      <c r="I98" s="3456"/>
      <c r="J98" s="3457" t="s">
        <v>5596</v>
      </c>
      <c r="K98" s="3456"/>
      <c r="L98" s="3456"/>
      <c r="M98" s="3456"/>
      <c r="N98" s="3456"/>
      <c r="O98" s="3456"/>
      <c r="P98" s="3456"/>
      <c r="Q98" s="556"/>
      <c r="R98" s="3462"/>
      <c r="S98" s="3108">
        <v>25000000</v>
      </c>
      <c r="T98" s="3458" t="s">
        <v>37</v>
      </c>
      <c r="U98" s="3458"/>
      <c r="V98" s="3458">
        <v>2</v>
      </c>
      <c r="W98" s="3458" t="s">
        <v>51</v>
      </c>
      <c r="X98" s="2030" t="s">
        <v>38</v>
      </c>
      <c r="Y98" s="554">
        <f t="shared" ref="Y98" si="15">(Z98)/1000</f>
        <v>50000</v>
      </c>
      <c r="Z98" s="1898">
        <f>S98*V98</f>
        <v>50000000</v>
      </c>
      <c r="AA98" s="427"/>
      <c r="AB98" s="427"/>
      <c r="AC98" s="192"/>
    </row>
    <row r="99" spans="1:29" s="3105" customFormat="1" ht="19.5" customHeight="1">
      <c r="A99" s="540"/>
      <c r="B99" s="3206"/>
      <c r="C99" s="1910"/>
      <c r="D99" s="2020"/>
      <c r="E99" s="2023" t="s">
        <v>4779</v>
      </c>
      <c r="F99" s="469">
        <f>Y99</f>
        <v>10000</v>
      </c>
      <c r="G99" s="3267">
        <v>10000</v>
      </c>
      <c r="H99" s="1239"/>
      <c r="I99" s="557"/>
      <c r="J99" s="681" t="s">
        <v>4267</v>
      </c>
      <c r="K99" s="684"/>
      <c r="L99" s="3016"/>
      <c r="M99" s="3016"/>
      <c r="N99" s="869"/>
      <c r="O99" s="3016"/>
      <c r="P99" s="3016"/>
      <c r="Q99" s="1038"/>
      <c r="R99" s="3229"/>
      <c r="S99" s="3164">
        <v>1000000</v>
      </c>
      <c r="T99" s="684" t="s">
        <v>0</v>
      </c>
      <c r="U99" s="684"/>
      <c r="V99" s="684">
        <v>10</v>
      </c>
      <c r="W99" s="684" t="s">
        <v>3</v>
      </c>
      <c r="X99" s="686" t="s">
        <v>1</v>
      </c>
      <c r="Y99" s="871">
        <f>S99*V99/1000</f>
        <v>10000</v>
      </c>
      <c r="Z99" s="1898"/>
      <c r="AA99" s="427"/>
      <c r="AB99" s="427"/>
      <c r="AC99" s="192"/>
    </row>
    <row r="100" spans="1:29" s="304" customFormat="1" ht="19.5" customHeight="1">
      <c r="A100" s="636"/>
      <c r="B100" s="2035"/>
      <c r="C100" s="649"/>
      <c r="D100" s="2333"/>
      <c r="E100" s="2334" t="s">
        <v>942</v>
      </c>
      <c r="F100" s="494">
        <f>Y100</f>
        <v>3000</v>
      </c>
      <c r="G100" s="2335">
        <v>3000</v>
      </c>
      <c r="H100" s="1208"/>
      <c r="I100" s="2323"/>
      <c r="J100" s="1342" t="s">
        <v>3384</v>
      </c>
      <c r="K100" s="2065"/>
      <c r="L100" s="2065"/>
      <c r="M100" s="2065"/>
      <c r="N100" s="2065"/>
      <c r="O100" s="2065"/>
      <c r="P100" s="2018"/>
      <c r="Q100" s="724"/>
      <c r="R100" s="3227"/>
      <c r="S100" s="2336">
        <v>300000</v>
      </c>
      <c r="T100" s="498" t="s">
        <v>56</v>
      </c>
      <c r="U100" s="2337"/>
      <c r="V100" s="724">
        <v>10</v>
      </c>
      <c r="W100" s="3227" t="s">
        <v>39</v>
      </c>
      <c r="X100" s="619" t="s">
        <v>1</v>
      </c>
      <c r="Y100" s="554">
        <f t="shared" si="12"/>
        <v>3000</v>
      </c>
      <c r="Z100" s="2339">
        <f>S100*V100</f>
        <v>3000000</v>
      </c>
      <c r="AA100" s="427"/>
      <c r="AB100" s="427"/>
      <c r="AC100" s="192"/>
    </row>
    <row r="101" spans="1:29" s="294" customFormat="1" ht="19.5" customHeight="1">
      <c r="A101" s="591"/>
      <c r="B101" s="592"/>
      <c r="C101" s="564"/>
      <c r="D101" s="3837" t="s">
        <v>3385</v>
      </c>
      <c r="E101" s="3838"/>
      <c r="F101" s="598">
        <f>SUM(F102:F108)</f>
        <v>100000</v>
      </c>
      <c r="G101" s="598">
        <f>SUM(G102:G108)</f>
        <v>100000</v>
      </c>
      <c r="H101" s="529">
        <f>+F101-G101</f>
        <v>0</v>
      </c>
      <c r="I101" s="557"/>
      <c r="J101" s="538"/>
      <c r="K101" s="2068"/>
      <c r="L101" s="2068"/>
      <c r="M101" s="2068"/>
      <c r="N101" s="2068"/>
      <c r="O101" s="2068"/>
      <c r="P101" s="2068"/>
      <c r="Q101" s="2068"/>
      <c r="R101" s="539"/>
      <c r="S101" s="2068"/>
      <c r="T101" s="2068"/>
      <c r="U101" s="2068"/>
      <c r="V101" s="2068"/>
      <c r="W101" s="2068"/>
      <c r="X101" s="585"/>
      <c r="Y101" s="599"/>
      <c r="Z101" s="3472"/>
      <c r="AA101" s="427"/>
      <c r="AB101" s="427"/>
      <c r="AC101" s="192"/>
    </row>
    <row r="102" spans="1:29" s="304" customFormat="1" ht="19.5" customHeight="1">
      <c r="A102" s="636"/>
      <c r="B102" s="2035"/>
      <c r="C102" s="649"/>
      <c r="D102" s="2327"/>
      <c r="E102" s="2455" t="s">
        <v>264</v>
      </c>
      <c r="F102" s="1261">
        <f>Y102</f>
        <v>1000</v>
      </c>
      <c r="G102" s="3268">
        <v>1000</v>
      </c>
      <c r="H102" s="865"/>
      <c r="I102" s="2598"/>
      <c r="J102" s="681" t="s">
        <v>6132</v>
      </c>
      <c r="K102" s="684"/>
      <c r="L102" s="3016"/>
      <c r="M102" s="3016"/>
      <c r="N102" s="3016"/>
      <c r="O102" s="3016"/>
      <c r="P102" s="3016"/>
      <c r="Q102" s="1038"/>
      <c r="R102" s="3229"/>
      <c r="S102" s="3164">
        <v>500000</v>
      </c>
      <c r="T102" s="684" t="s">
        <v>0</v>
      </c>
      <c r="U102" s="684"/>
      <c r="V102" s="684">
        <v>2</v>
      </c>
      <c r="W102" s="684" t="s">
        <v>226</v>
      </c>
      <c r="X102" s="686" t="s">
        <v>1</v>
      </c>
      <c r="Y102" s="871">
        <f>S102*V102/1000</f>
        <v>1000</v>
      </c>
      <c r="Z102" s="2454"/>
      <c r="AA102" s="427"/>
      <c r="AB102" s="427"/>
      <c r="AC102" s="192"/>
    </row>
    <row r="103" spans="1:29" s="304" customFormat="1" ht="19.5" customHeight="1">
      <c r="A103" s="636"/>
      <c r="B103" s="2035"/>
      <c r="C103" s="2082"/>
      <c r="D103" s="2327"/>
      <c r="E103" s="2455" t="s">
        <v>431</v>
      </c>
      <c r="F103" s="1261">
        <f>Y103</f>
        <v>85000</v>
      </c>
      <c r="G103" s="3268">
        <v>85000</v>
      </c>
      <c r="H103" s="1239"/>
      <c r="I103" s="683"/>
      <c r="J103" s="681" t="s">
        <v>4265</v>
      </c>
      <c r="K103" s="684"/>
      <c r="L103" s="3016"/>
      <c r="M103" s="3016"/>
      <c r="N103" s="869" t="s">
        <v>20</v>
      </c>
      <c r="O103" s="3016" t="s">
        <v>20</v>
      </c>
      <c r="P103" s="3016"/>
      <c r="Q103" s="1038"/>
      <c r="R103" s="3234"/>
      <c r="S103" s="3164">
        <v>85000</v>
      </c>
      <c r="T103" s="684" t="s">
        <v>0</v>
      </c>
      <c r="U103" s="684"/>
      <c r="V103" s="684">
        <v>1</v>
      </c>
      <c r="W103" s="684" t="s">
        <v>3</v>
      </c>
      <c r="X103" s="686" t="s">
        <v>1</v>
      </c>
      <c r="Y103" s="871">
        <f>S103*V103</f>
        <v>85000</v>
      </c>
      <c r="Z103" s="2454"/>
      <c r="AA103" s="427"/>
      <c r="AB103" s="427"/>
      <c r="AC103" s="192"/>
    </row>
    <row r="104" spans="1:29" s="305" customFormat="1" ht="19.5" customHeight="1">
      <c r="A104" s="2330"/>
      <c r="B104" s="2331"/>
      <c r="C104" s="2332"/>
      <c r="D104" s="2034"/>
      <c r="E104" s="677" t="s">
        <v>380</v>
      </c>
      <c r="F104" s="864">
        <f>Y104</f>
        <v>3500</v>
      </c>
      <c r="G104" s="989">
        <v>3500</v>
      </c>
      <c r="H104" s="790"/>
      <c r="I104" s="3016"/>
      <c r="J104" s="681" t="s">
        <v>8</v>
      </c>
      <c r="K104" s="3016"/>
      <c r="L104" s="3016"/>
      <c r="M104" s="3016"/>
      <c r="N104" s="3016"/>
      <c r="O104" s="3016"/>
      <c r="P104" s="3016"/>
      <c r="Q104" s="3016"/>
      <c r="R104" s="2127"/>
      <c r="S104" s="3016"/>
      <c r="T104" s="3016"/>
      <c r="U104" s="3016"/>
      <c r="V104" s="3016"/>
      <c r="W104" s="3016"/>
      <c r="X104" s="686"/>
      <c r="Y104" s="2313">
        <f>SUM(Y105:Y106)</f>
        <v>3500</v>
      </c>
      <c r="Z104" s="2233"/>
      <c r="AA104" s="427"/>
      <c r="AB104" s="427"/>
      <c r="AC104" s="192"/>
    </row>
    <row r="105" spans="1:29" s="305" customFormat="1" ht="19.5" customHeight="1">
      <c r="A105" s="2330"/>
      <c r="B105" s="2331"/>
      <c r="C105" s="2332"/>
      <c r="D105" s="2034"/>
      <c r="E105" s="677"/>
      <c r="F105" s="864"/>
      <c r="G105" s="989"/>
      <c r="H105" s="865"/>
      <c r="I105" s="3016"/>
      <c r="J105" s="681" t="s">
        <v>1661</v>
      </c>
      <c r="K105" s="3016"/>
      <c r="L105" s="3016"/>
      <c r="M105" s="3016"/>
      <c r="N105" s="3016"/>
      <c r="O105" s="3016"/>
      <c r="P105" s="3016"/>
      <c r="Q105" s="1038">
        <v>1</v>
      </c>
      <c r="R105" s="3234" t="s">
        <v>227</v>
      </c>
      <c r="S105" s="3164">
        <v>300000</v>
      </c>
      <c r="T105" s="684" t="s">
        <v>0</v>
      </c>
      <c r="U105" s="684"/>
      <c r="V105" s="684">
        <v>5</v>
      </c>
      <c r="W105" s="684" t="s">
        <v>3</v>
      </c>
      <c r="X105" s="686" t="s">
        <v>1</v>
      </c>
      <c r="Y105" s="871">
        <f>+Q105*S105*V105/1000</f>
        <v>1500</v>
      </c>
      <c r="Z105" s="2454"/>
      <c r="AA105" s="427"/>
      <c r="AB105" s="427"/>
      <c r="AC105" s="192"/>
    </row>
    <row r="106" spans="1:29" s="305" customFormat="1" ht="19.5" customHeight="1">
      <c r="A106" s="2330"/>
      <c r="B106" s="2331"/>
      <c r="C106" s="2332"/>
      <c r="D106" s="2034"/>
      <c r="E106" s="677"/>
      <c r="F106" s="864"/>
      <c r="G106" s="989"/>
      <c r="H106" s="865"/>
      <c r="I106" s="3016"/>
      <c r="J106" s="681" t="s">
        <v>4266</v>
      </c>
      <c r="K106" s="3016"/>
      <c r="L106" s="3016"/>
      <c r="M106" s="3016"/>
      <c r="N106" s="3016"/>
      <c r="O106" s="3016"/>
      <c r="P106" s="3016"/>
      <c r="Q106" s="1038">
        <v>1</v>
      </c>
      <c r="R106" s="3234" t="s">
        <v>227</v>
      </c>
      <c r="S106" s="3164">
        <v>200000</v>
      </c>
      <c r="T106" s="684" t="s">
        <v>0</v>
      </c>
      <c r="U106" s="684"/>
      <c r="V106" s="684">
        <v>10</v>
      </c>
      <c r="W106" s="684" t="s">
        <v>3</v>
      </c>
      <c r="X106" s="686" t="s">
        <v>1</v>
      </c>
      <c r="Y106" s="871">
        <f>+Q106*S106*V106/1000</f>
        <v>2000</v>
      </c>
      <c r="Z106" s="2454"/>
      <c r="AA106" s="427"/>
      <c r="AB106" s="427"/>
      <c r="AC106" s="192"/>
    </row>
    <row r="107" spans="1:29" s="305" customFormat="1" ht="19.5" customHeight="1">
      <c r="A107" s="2330"/>
      <c r="B107" s="2331"/>
      <c r="C107" s="2332"/>
      <c r="D107" s="2034"/>
      <c r="E107" s="677" t="s">
        <v>451</v>
      </c>
      <c r="F107" s="864">
        <f>Y107</f>
        <v>7500</v>
      </c>
      <c r="G107" s="989">
        <v>7500</v>
      </c>
      <c r="H107" s="865"/>
      <c r="I107" s="3016"/>
      <c r="J107" s="681" t="s">
        <v>4267</v>
      </c>
      <c r="K107" s="684"/>
      <c r="L107" s="3016"/>
      <c r="M107" s="3016"/>
      <c r="N107" s="869"/>
      <c r="O107" s="3016"/>
      <c r="P107" s="3016"/>
      <c r="Q107" s="1038"/>
      <c r="R107" s="3229"/>
      <c r="S107" s="3164">
        <v>500000</v>
      </c>
      <c r="T107" s="684" t="s">
        <v>0</v>
      </c>
      <c r="U107" s="684"/>
      <c r="V107" s="684">
        <v>15</v>
      </c>
      <c r="W107" s="684" t="s">
        <v>3</v>
      </c>
      <c r="X107" s="686" t="s">
        <v>1</v>
      </c>
      <c r="Y107" s="871">
        <f>S107*V107/1000</f>
        <v>7500</v>
      </c>
      <c r="Z107" s="2454"/>
      <c r="AA107" s="427"/>
      <c r="AB107" s="427"/>
      <c r="AC107" s="192"/>
    </row>
    <row r="108" spans="1:29" s="304" customFormat="1" ht="19.5" customHeight="1">
      <c r="A108" s="636"/>
      <c r="B108" s="2035"/>
      <c r="C108" s="649"/>
      <c r="D108" s="2333"/>
      <c r="E108" s="2467" t="s">
        <v>384</v>
      </c>
      <c r="F108" s="1385">
        <f>Y108</f>
        <v>3000</v>
      </c>
      <c r="G108" s="3269">
        <v>3000</v>
      </c>
      <c r="H108" s="865"/>
      <c r="I108" s="2598"/>
      <c r="J108" s="2042" t="s">
        <v>944</v>
      </c>
      <c r="K108" s="2045"/>
      <c r="L108" s="2043"/>
      <c r="M108" s="2043"/>
      <c r="N108" s="1019"/>
      <c r="O108" s="2043"/>
      <c r="P108" s="2043"/>
      <c r="Q108" s="2511"/>
      <c r="R108" s="3242"/>
      <c r="S108" s="979">
        <v>300000</v>
      </c>
      <c r="T108" s="2045" t="s">
        <v>0</v>
      </c>
      <c r="U108" s="2045"/>
      <c r="V108" s="2045">
        <v>10</v>
      </c>
      <c r="W108" s="2045" t="s">
        <v>3</v>
      </c>
      <c r="X108" s="2047" t="s">
        <v>1</v>
      </c>
      <c r="Y108" s="871">
        <f>S108*V108/1000</f>
        <v>3000</v>
      </c>
      <c r="Z108" s="2377"/>
      <c r="AA108" s="427"/>
      <c r="AB108" s="427"/>
      <c r="AC108" s="192"/>
    </row>
    <row r="109" spans="1:29" s="294" customFormat="1" ht="19.5" customHeight="1">
      <c r="A109" s="591"/>
      <c r="B109" s="592"/>
      <c r="C109" s="564"/>
      <c r="D109" s="3837" t="s">
        <v>945</v>
      </c>
      <c r="E109" s="3838"/>
      <c r="F109" s="598">
        <f>F110</f>
        <v>0</v>
      </c>
      <c r="G109" s="598">
        <f>SUM(G110)</f>
        <v>50000</v>
      </c>
      <c r="H109" s="529">
        <f>+F109-G109</f>
        <v>-50000</v>
      </c>
      <c r="I109" s="557"/>
      <c r="J109" s="538"/>
      <c r="K109" s="2068"/>
      <c r="L109" s="2068"/>
      <c r="M109" s="2068"/>
      <c r="N109" s="2068"/>
      <c r="O109" s="2068"/>
      <c r="P109" s="2068"/>
      <c r="Q109" s="2068"/>
      <c r="R109" s="539"/>
      <c r="S109" s="2068"/>
      <c r="T109" s="2068"/>
      <c r="U109" s="2068"/>
      <c r="V109" s="2068"/>
      <c r="W109" s="2068"/>
      <c r="X109" s="585"/>
      <c r="Y109" s="599"/>
      <c r="Z109" s="3472"/>
      <c r="AA109" s="427"/>
      <c r="AB109" s="427"/>
      <c r="AC109" s="192"/>
    </row>
    <row r="110" spans="1:29" s="304" customFormat="1" ht="19.5" customHeight="1" thickBot="1">
      <c r="A110" s="636"/>
      <c r="B110" s="2035"/>
      <c r="C110" s="2082"/>
      <c r="D110" s="2327"/>
      <c r="E110" s="2328" t="s">
        <v>1098</v>
      </c>
      <c r="F110" s="469">
        <f>Y110</f>
        <v>0</v>
      </c>
      <c r="G110" s="567">
        <v>50000</v>
      </c>
      <c r="H110" s="534">
        <f>F110-G110</f>
        <v>-50000</v>
      </c>
      <c r="I110" s="559"/>
      <c r="J110" s="3106" t="s">
        <v>3995</v>
      </c>
      <c r="K110" s="2075"/>
      <c r="L110" s="2075"/>
      <c r="M110" s="2075"/>
      <c r="N110" s="2075"/>
      <c r="O110" s="2075"/>
      <c r="P110" s="2016"/>
      <c r="Q110" s="511"/>
      <c r="R110" s="2082"/>
      <c r="S110" s="2329"/>
      <c r="T110" s="477"/>
      <c r="U110" s="559"/>
      <c r="V110" s="511"/>
      <c r="W110" s="2082"/>
      <c r="X110" s="2030" t="s">
        <v>1</v>
      </c>
      <c r="Y110" s="554">
        <f>(Z110)/1000</f>
        <v>0</v>
      </c>
      <c r="Z110" s="2325">
        <f>S110*V110</f>
        <v>0</v>
      </c>
      <c r="AA110" s="427"/>
      <c r="AB110" s="427"/>
      <c r="AC110" s="192"/>
    </row>
    <row r="111" spans="1:29" s="300" customFormat="1" ht="19.5" customHeight="1" thickBot="1">
      <c r="A111" s="540"/>
      <c r="B111" s="568" t="s">
        <v>1195</v>
      </c>
      <c r="C111" s="569"/>
      <c r="D111" s="570"/>
      <c r="E111" s="571"/>
      <c r="F111" s="572">
        <f>F112+F135+F174+F214</f>
        <v>1550000</v>
      </c>
      <c r="G111" s="572">
        <f>G112+G135+G174+G214</f>
        <v>1550000</v>
      </c>
      <c r="H111" s="573">
        <f>F111-G111</f>
        <v>0</v>
      </c>
      <c r="I111" s="543"/>
      <c r="J111" s="574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6"/>
      <c r="Y111" s="577"/>
      <c r="Z111" s="3473"/>
      <c r="AA111" s="427"/>
      <c r="AB111" s="427"/>
      <c r="AC111" s="192"/>
    </row>
    <row r="112" spans="1:29" s="300" customFormat="1" ht="19.5" customHeight="1">
      <c r="A112" s="540"/>
      <c r="B112" s="541"/>
      <c r="C112" s="3927" t="s">
        <v>294</v>
      </c>
      <c r="D112" s="3927"/>
      <c r="E112" s="3928"/>
      <c r="F112" s="578">
        <f>+F113+F121+F128</f>
        <v>140000</v>
      </c>
      <c r="G112" s="578">
        <f>+G113+G121+G128</f>
        <v>140000</v>
      </c>
      <c r="H112" s="579">
        <f>F112-G112</f>
        <v>0</v>
      </c>
      <c r="I112" s="543"/>
      <c r="J112" s="580"/>
      <c r="K112" s="2072"/>
      <c r="L112" s="2072"/>
      <c r="M112" s="2072"/>
      <c r="N112" s="2072"/>
      <c r="O112" s="2072"/>
      <c r="P112" s="2072"/>
      <c r="Q112" s="2072"/>
      <c r="R112" s="2072"/>
      <c r="S112" s="2072"/>
      <c r="T112" s="2072"/>
      <c r="U112" s="2072"/>
      <c r="V112" s="2072"/>
      <c r="W112" s="2072"/>
      <c r="X112" s="581"/>
      <c r="Y112" s="582"/>
      <c r="Z112" s="3471"/>
      <c r="AA112" s="427"/>
      <c r="AB112" s="427"/>
      <c r="AC112" s="192"/>
    </row>
    <row r="113" spans="1:29" s="300" customFormat="1" ht="19.5" customHeight="1">
      <c r="A113" s="540"/>
      <c r="B113" s="541"/>
      <c r="C113" s="542"/>
      <c r="D113" s="3825" t="s">
        <v>295</v>
      </c>
      <c r="E113" s="3826"/>
      <c r="F113" s="584">
        <f>SUM(F114:F120)</f>
        <v>60000</v>
      </c>
      <c r="G113" s="584">
        <f>SUM(G114:G120)</f>
        <v>60000</v>
      </c>
      <c r="H113" s="529">
        <f>F113-G113</f>
        <v>0</v>
      </c>
      <c r="I113" s="543"/>
      <c r="J113" s="538"/>
      <c r="K113" s="2068"/>
      <c r="L113" s="2068"/>
      <c r="M113" s="2068"/>
      <c r="N113" s="2068"/>
      <c r="O113" s="2068"/>
      <c r="P113" s="2068"/>
      <c r="Q113" s="2068"/>
      <c r="R113" s="539"/>
      <c r="S113" s="2068"/>
      <c r="T113" s="2068"/>
      <c r="U113" s="2068"/>
      <c r="V113" s="2068"/>
      <c r="W113" s="2068"/>
      <c r="X113" s="585"/>
      <c r="Y113" s="586"/>
      <c r="Z113" s="3474">
        <f>SUM(Z114:Z120)</f>
        <v>60000000</v>
      </c>
      <c r="AA113" s="427"/>
      <c r="AB113" s="427"/>
      <c r="AC113" s="192"/>
    </row>
    <row r="114" spans="1:29" s="300" customFormat="1" ht="19.5" customHeight="1">
      <c r="A114" s="540"/>
      <c r="B114" s="541"/>
      <c r="C114" s="542"/>
      <c r="D114" s="588"/>
      <c r="E114" s="589" t="s">
        <v>81</v>
      </c>
      <c r="F114" s="590">
        <f t="shared" ref="F114:F120" si="16">Y114</f>
        <v>12000</v>
      </c>
      <c r="G114" s="590">
        <v>12000</v>
      </c>
      <c r="H114" s="534"/>
      <c r="I114" s="543"/>
      <c r="J114" s="2105" t="s">
        <v>296</v>
      </c>
      <c r="K114" s="2082"/>
      <c r="L114" s="2082"/>
      <c r="M114" s="2082"/>
      <c r="N114" s="2082"/>
      <c r="O114" s="2082"/>
      <c r="P114" s="2082"/>
      <c r="Q114" s="475">
        <v>1</v>
      </c>
      <c r="R114" s="2106" t="s">
        <v>25</v>
      </c>
      <c r="S114" s="474">
        <v>2000000</v>
      </c>
      <c r="T114" s="2106" t="s">
        <v>0</v>
      </c>
      <c r="U114" s="2106"/>
      <c r="V114" s="2106">
        <v>6</v>
      </c>
      <c r="W114" s="2106" t="s">
        <v>29</v>
      </c>
      <c r="X114" s="2030" t="s">
        <v>1</v>
      </c>
      <c r="Y114" s="554">
        <f t="shared" ref="Y114:Y120" si="17">Z114/1000</f>
        <v>12000</v>
      </c>
      <c r="Z114" s="1898">
        <f>Q114*S114*V114</f>
        <v>12000000</v>
      </c>
      <c r="AA114" s="427"/>
      <c r="AB114" s="427"/>
      <c r="AC114" s="192"/>
    </row>
    <row r="115" spans="1:29" s="300" customFormat="1" ht="19.5" customHeight="1">
      <c r="A115" s="591"/>
      <c r="B115" s="592"/>
      <c r="C115" s="542"/>
      <c r="D115" s="2013"/>
      <c r="E115" s="2023" t="s">
        <v>57</v>
      </c>
      <c r="F115" s="590">
        <f t="shared" si="16"/>
        <v>2000</v>
      </c>
      <c r="G115" s="593">
        <v>2000</v>
      </c>
      <c r="H115" s="534"/>
      <c r="I115" s="543"/>
      <c r="J115" s="2105" t="s">
        <v>297</v>
      </c>
      <c r="K115" s="2082"/>
      <c r="L115" s="2082"/>
      <c r="M115" s="2082"/>
      <c r="N115" s="2082"/>
      <c r="O115" s="2082"/>
      <c r="P115" s="2082"/>
      <c r="Q115" s="556"/>
      <c r="R115" s="2092"/>
      <c r="S115" s="474">
        <v>20000</v>
      </c>
      <c r="T115" s="2106" t="s">
        <v>0</v>
      </c>
      <c r="U115" s="2106"/>
      <c r="V115" s="2106">
        <v>100</v>
      </c>
      <c r="W115" s="2106" t="s">
        <v>69</v>
      </c>
      <c r="X115" s="2030" t="s">
        <v>1</v>
      </c>
      <c r="Y115" s="554">
        <f t="shared" si="17"/>
        <v>2000</v>
      </c>
      <c r="Z115" s="1898">
        <f t="shared" ref="Z115:Z120" si="18">S115*V115</f>
        <v>2000000</v>
      </c>
      <c r="AA115" s="427"/>
      <c r="AB115" s="427"/>
      <c r="AC115" s="192"/>
    </row>
    <row r="116" spans="1:29" s="300" customFormat="1" ht="19.5" customHeight="1">
      <c r="A116" s="591"/>
      <c r="B116" s="592"/>
      <c r="C116" s="542"/>
      <c r="D116" s="2013"/>
      <c r="E116" s="2023" t="s">
        <v>80</v>
      </c>
      <c r="F116" s="590">
        <f t="shared" si="16"/>
        <v>1000</v>
      </c>
      <c r="G116" s="593">
        <v>1000</v>
      </c>
      <c r="H116" s="534"/>
      <c r="I116" s="543"/>
      <c r="J116" s="2105" t="s">
        <v>298</v>
      </c>
      <c r="K116" s="2082"/>
      <c r="L116" s="2082"/>
      <c r="M116" s="2082"/>
      <c r="N116" s="2082"/>
      <c r="O116" s="2082"/>
      <c r="P116" s="2082"/>
      <c r="Q116" s="556"/>
      <c r="R116" s="2092"/>
      <c r="S116" s="474">
        <v>100000</v>
      </c>
      <c r="T116" s="2106" t="s">
        <v>0</v>
      </c>
      <c r="U116" s="2106"/>
      <c r="V116" s="2106">
        <v>10</v>
      </c>
      <c r="W116" s="2106" t="s">
        <v>29</v>
      </c>
      <c r="X116" s="2030" t="s">
        <v>1</v>
      </c>
      <c r="Y116" s="554">
        <f t="shared" si="17"/>
        <v>1000</v>
      </c>
      <c r="Z116" s="1898">
        <f t="shared" si="18"/>
        <v>1000000</v>
      </c>
      <c r="AA116" s="427"/>
      <c r="AB116" s="427"/>
      <c r="AC116" s="192"/>
    </row>
    <row r="117" spans="1:29" s="300" customFormat="1" ht="19.5" customHeight="1">
      <c r="A117" s="591"/>
      <c r="B117" s="592"/>
      <c r="C117" s="542"/>
      <c r="D117" s="2013"/>
      <c r="E117" s="2023" t="s">
        <v>95</v>
      </c>
      <c r="F117" s="590">
        <f t="shared" si="16"/>
        <v>1000</v>
      </c>
      <c r="G117" s="593">
        <v>1000</v>
      </c>
      <c r="H117" s="534"/>
      <c r="I117" s="557"/>
      <c r="J117" s="2105" t="s">
        <v>299</v>
      </c>
      <c r="K117" s="2082"/>
      <c r="L117" s="2082"/>
      <c r="M117" s="2082"/>
      <c r="N117" s="2082"/>
      <c r="O117" s="2082"/>
      <c r="P117" s="2082"/>
      <c r="Q117" s="556"/>
      <c r="R117" s="2092"/>
      <c r="S117" s="474">
        <v>100000</v>
      </c>
      <c r="T117" s="2106" t="s">
        <v>0</v>
      </c>
      <c r="U117" s="2106"/>
      <c r="V117" s="2106">
        <v>10</v>
      </c>
      <c r="W117" s="2106" t="s">
        <v>29</v>
      </c>
      <c r="X117" s="2030" t="s">
        <v>1</v>
      </c>
      <c r="Y117" s="554">
        <f t="shared" si="17"/>
        <v>1000</v>
      </c>
      <c r="Z117" s="1898">
        <f t="shared" si="18"/>
        <v>1000000</v>
      </c>
      <c r="AA117" s="427"/>
      <c r="AB117" s="427"/>
      <c r="AC117" s="192"/>
    </row>
    <row r="118" spans="1:29" s="300" customFormat="1" ht="19.5" customHeight="1">
      <c r="A118" s="591"/>
      <c r="B118" s="592"/>
      <c r="C118" s="542"/>
      <c r="D118" s="2013"/>
      <c r="E118" s="2023" t="s">
        <v>58</v>
      </c>
      <c r="F118" s="590">
        <f t="shared" si="16"/>
        <v>2000</v>
      </c>
      <c r="G118" s="593">
        <v>2000</v>
      </c>
      <c r="H118" s="534"/>
      <c r="I118" s="557"/>
      <c r="J118" s="2105" t="s">
        <v>300</v>
      </c>
      <c r="K118" s="2082"/>
      <c r="L118" s="2082"/>
      <c r="M118" s="2082"/>
      <c r="N118" s="2082"/>
      <c r="O118" s="2082"/>
      <c r="P118" s="2082"/>
      <c r="Q118" s="556"/>
      <c r="R118" s="2092"/>
      <c r="S118" s="474">
        <v>200000</v>
      </c>
      <c r="T118" s="2106" t="s">
        <v>0</v>
      </c>
      <c r="U118" s="2106"/>
      <c r="V118" s="2106">
        <v>10</v>
      </c>
      <c r="W118" s="2106" t="s">
        <v>28</v>
      </c>
      <c r="X118" s="2030" t="s">
        <v>1</v>
      </c>
      <c r="Y118" s="554">
        <f t="shared" si="17"/>
        <v>2000</v>
      </c>
      <c r="Z118" s="1898">
        <f t="shared" si="18"/>
        <v>2000000</v>
      </c>
      <c r="AA118" s="427"/>
      <c r="AB118" s="427"/>
      <c r="AC118" s="192"/>
    </row>
    <row r="119" spans="1:29" s="300" customFormat="1" ht="19.5" customHeight="1">
      <c r="A119" s="540"/>
      <c r="B119" s="541"/>
      <c r="C119" s="542"/>
      <c r="D119" s="2020"/>
      <c r="E119" s="2023" t="s">
        <v>71</v>
      </c>
      <c r="F119" s="590">
        <f t="shared" si="16"/>
        <v>40000</v>
      </c>
      <c r="G119" s="593">
        <v>40000</v>
      </c>
      <c r="H119" s="534"/>
      <c r="I119" s="557"/>
      <c r="J119" s="2105" t="s">
        <v>301</v>
      </c>
      <c r="K119" s="2082"/>
      <c r="L119" s="2082"/>
      <c r="M119" s="2082"/>
      <c r="N119" s="2082"/>
      <c r="O119" s="2082"/>
      <c r="P119" s="2082"/>
      <c r="Q119" s="556"/>
      <c r="R119" s="2092"/>
      <c r="S119" s="474">
        <v>40000000</v>
      </c>
      <c r="T119" s="2106" t="s">
        <v>0</v>
      </c>
      <c r="U119" s="2106"/>
      <c r="V119" s="2106">
        <v>1</v>
      </c>
      <c r="W119" s="2106" t="s">
        <v>302</v>
      </c>
      <c r="X119" s="2030" t="s">
        <v>1</v>
      </c>
      <c r="Y119" s="554">
        <f t="shared" si="17"/>
        <v>40000</v>
      </c>
      <c r="Z119" s="1898">
        <f t="shared" si="18"/>
        <v>40000000</v>
      </c>
      <c r="AA119" s="427"/>
      <c r="AB119" s="427"/>
      <c r="AC119" s="192"/>
    </row>
    <row r="120" spans="1:29" s="300" customFormat="1" ht="19.5" customHeight="1">
      <c r="A120" s="591"/>
      <c r="B120" s="592"/>
      <c r="C120" s="542"/>
      <c r="D120" s="2020"/>
      <c r="E120" s="532" t="s">
        <v>61</v>
      </c>
      <c r="F120" s="590">
        <f t="shared" si="16"/>
        <v>2000</v>
      </c>
      <c r="G120" s="593">
        <v>2000</v>
      </c>
      <c r="H120" s="534"/>
      <c r="I120" s="557"/>
      <c r="J120" s="2105" t="s">
        <v>303</v>
      </c>
      <c r="K120" s="2082"/>
      <c r="L120" s="2082"/>
      <c r="M120" s="2082"/>
      <c r="N120" s="2082"/>
      <c r="O120" s="2082"/>
      <c r="P120" s="2082"/>
      <c r="Q120" s="556"/>
      <c r="R120" s="2092"/>
      <c r="S120" s="2106">
        <v>100000</v>
      </c>
      <c r="T120" s="2106" t="s">
        <v>0</v>
      </c>
      <c r="U120" s="2106"/>
      <c r="V120" s="2106">
        <v>20</v>
      </c>
      <c r="W120" s="2106" t="s">
        <v>3</v>
      </c>
      <c r="X120" s="2030" t="s">
        <v>1</v>
      </c>
      <c r="Y120" s="554">
        <f t="shared" si="17"/>
        <v>2000</v>
      </c>
      <c r="Z120" s="1898">
        <f t="shared" si="18"/>
        <v>2000000</v>
      </c>
      <c r="AA120" s="427"/>
      <c r="AB120" s="427"/>
      <c r="AC120" s="192"/>
    </row>
    <row r="121" spans="1:29" s="300" customFormat="1" ht="19.5" customHeight="1">
      <c r="A121" s="591"/>
      <c r="B121" s="592"/>
      <c r="C121" s="564"/>
      <c r="D121" s="3825" t="s">
        <v>304</v>
      </c>
      <c r="E121" s="3826"/>
      <c r="F121" s="584">
        <f>SUM(F122:F127)</f>
        <v>0</v>
      </c>
      <c r="G121" s="584">
        <f>SUM(G122:G127)</f>
        <v>0</v>
      </c>
      <c r="H121" s="529">
        <f>F121-G121</f>
        <v>0</v>
      </c>
      <c r="I121" s="557"/>
      <c r="J121" s="538"/>
      <c r="K121" s="2068"/>
      <c r="L121" s="2068"/>
      <c r="M121" s="2068"/>
      <c r="N121" s="2068"/>
      <c r="O121" s="2068"/>
      <c r="P121" s="2068"/>
      <c r="Q121" s="2068"/>
      <c r="R121" s="539"/>
      <c r="S121" s="2068"/>
      <c r="T121" s="2068"/>
      <c r="U121" s="2068"/>
      <c r="V121" s="2068"/>
      <c r="W121" s="2068"/>
      <c r="X121" s="585"/>
      <c r="Y121" s="594"/>
      <c r="Z121" s="3472">
        <f>SUM(Z122:Z127)</f>
        <v>0</v>
      </c>
      <c r="AA121" s="427"/>
      <c r="AB121" s="427"/>
      <c r="AC121" s="192"/>
    </row>
    <row r="122" spans="1:29" s="300" customFormat="1" ht="19.5" hidden="1" customHeight="1">
      <c r="A122" s="591"/>
      <c r="B122" s="592"/>
      <c r="C122" s="564"/>
      <c r="D122" s="2020"/>
      <c r="E122" s="2023" t="s">
        <v>81</v>
      </c>
      <c r="F122" s="590">
        <f t="shared" ref="F122:F127" si="19">Y122</f>
        <v>0</v>
      </c>
      <c r="G122" s="593"/>
      <c r="H122" s="534"/>
      <c r="I122" s="557"/>
      <c r="J122" s="2105" t="s">
        <v>305</v>
      </c>
      <c r="K122" s="473"/>
      <c r="L122" s="473"/>
      <c r="M122" s="473"/>
      <c r="N122" s="473"/>
      <c r="O122" s="473"/>
      <c r="P122" s="473"/>
      <c r="Q122" s="475"/>
      <c r="R122" s="2106"/>
      <c r="S122" s="556">
        <v>0</v>
      </c>
      <c r="T122" s="2106" t="s">
        <v>0</v>
      </c>
      <c r="U122" s="2106"/>
      <c r="V122" s="2106">
        <v>0</v>
      </c>
      <c r="W122" s="2106" t="s">
        <v>2</v>
      </c>
      <c r="X122" s="2030" t="s">
        <v>1</v>
      </c>
      <c r="Y122" s="554">
        <f t="shared" ref="Y122:Y127" si="20">Z122/1000</f>
        <v>0</v>
      </c>
      <c r="Z122" s="1898">
        <f>Q122*S122*V122</f>
        <v>0</v>
      </c>
      <c r="AA122" s="427"/>
      <c r="AB122" s="427"/>
      <c r="AC122" s="192"/>
    </row>
    <row r="123" spans="1:29" s="300" customFormat="1" ht="19.5" hidden="1" customHeight="1">
      <c r="A123" s="591"/>
      <c r="B123" s="592"/>
      <c r="C123" s="564"/>
      <c r="D123" s="2020"/>
      <c r="E123" s="2023" t="s">
        <v>80</v>
      </c>
      <c r="F123" s="590">
        <f t="shared" si="19"/>
        <v>0</v>
      </c>
      <c r="G123" s="593"/>
      <c r="H123" s="534"/>
      <c r="I123" s="557"/>
      <c r="J123" s="2105" t="s">
        <v>306</v>
      </c>
      <c r="K123" s="473"/>
      <c r="L123" s="473"/>
      <c r="M123" s="473"/>
      <c r="N123" s="473"/>
      <c r="O123" s="473"/>
      <c r="P123" s="473"/>
      <c r="Q123" s="2106"/>
      <c r="R123" s="2106"/>
      <c r="S123" s="556">
        <v>0</v>
      </c>
      <c r="T123" s="2106" t="s">
        <v>0</v>
      </c>
      <c r="U123" s="2106"/>
      <c r="V123" s="2106">
        <v>0</v>
      </c>
      <c r="W123" s="2106" t="s">
        <v>3</v>
      </c>
      <c r="X123" s="2030" t="s">
        <v>1</v>
      </c>
      <c r="Y123" s="554">
        <f t="shared" si="20"/>
        <v>0</v>
      </c>
      <c r="Z123" s="1898">
        <f>S123*V123</f>
        <v>0</v>
      </c>
      <c r="AA123" s="427"/>
      <c r="AB123" s="427"/>
      <c r="AC123" s="192"/>
    </row>
    <row r="124" spans="1:29" s="300" customFormat="1" ht="19.5" hidden="1" customHeight="1">
      <c r="A124" s="591"/>
      <c r="B124" s="592"/>
      <c r="C124" s="564"/>
      <c r="D124" s="2020"/>
      <c r="E124" s="2023" t="s">
        <v>58</v>
      </c>
      <c r="F124" s="590">
        <f t="shared" si="19"/>
        <v>0</v>
      </c>
      <c r="G124" s="593"/>
      <c r="H124" s="534"/>
      <c r="I124" s="557"/>
      <c r="J124" s="2105" t="s">
        <v>307</v>
      </c>
      <c r="K124" s="473"/>
      <c r="L124" s="473"/>
      <c r="M124" s="473"/>
      <c r="N124" s="473"/>
      <c r="O124" s="473"/>
      <c r="P124" s="473"/>
      <c r="Q124" s="556"/>
      <c r="R124" s="2092"/>
      <c r="S124" s="556">
        <v>0</v>
      </c>
      <c r="T124" s="2106" t="s">
        <v>0</v>
      </c>
      <c r="U124" s="2106"/>
      <c r="V124" s="2106">
        <v>0</v>
      </c>
      <c r="W124" s="2106" t="s">
        <v>6</v>
      </c>
      <c r="X124" s="2030" t="s">
        <v>1</v>
      </c>
      <c r="Y124" s="554">
        <f t="shared" si="20"/>
        <v>0</v>
      </c>
      <c r="Z124" s="1898">
        <f>S124*V124</f>
        <v>0</v>
      </c>
      <c r="AA124" s="427"/>
      <c r="AB124" s="427"/>
      <c r="AC124" s="192"/>
    </row>
    <row r="125" spans="1:29" s="300" customFormat="1" ht="19.5" hidden="1" customHeight="1">
      <c r="A125" s="591"/>
      <c r="B125" s="592"/>
      <c r="C125" s="564"/>
      <c r="D125" s="2020"/>
      <c r="E125" s="2023" t="s">
        <v>71</v>
      </c>
      <c r="F125" s="590">
        <f t="shared" si="19"/>
        <v>0</v>
      </c>
      <c r="G125" s="593"/>
      <c r="H125" s="534"/>
      <c r="I125" s="557"/>
      <c r="J125" s="2105" t="s">
        <v>308</v>
      </c>
      <c r="K125" s="2082"/>
      <c r="L125" s="2082"/>
      <c r="M125" s="2082"/>
      <c r="N125" s="2082"/>
      <c r="O125" s="2082"/>
      <c r="P125" s="2082"/>
      <c r="Q125" s="475"/>
      <c r="R125" s="2106"/>
      <c r="S125" s="475">
        <v>0</v>
      </c>
      <c r="T125" s="473" t="s">
        <v>56</v>
      </c>
      <c r="U125" s="2106"/>
      <c r="V125" s="473">
        <v>0</v>
      </c>
      <c r="W125" s="2106" t="s">
        <v>6</v>
      </c>
      <c r="X125" s="2030" t="s">
        <v>1</v>
      </c>
      <c r="Y125" s="554">
        <f t="shared" si="20"/>
        <v>0</v>
      </c>
      <c r="Z125" s="1898">
        <f>S125*V125</f>
        <v>0</v>
      </c>
      <c r="AA125" s="427"/>
      <c r="AB125" s="427"/>
      <c r="AC125" s="192"/>
    </row>
    <row r="126" spans="1:29" s="300" customFormat="1" ht="19.5" hidden="1" customHeight="1">
      <c r="A126" s="591"/>
      <c r="B126" s="592"/>
      <c r="C126" s="564"/>
      <c r="D126" s="2020"/>
      <c r="E126" s="2023" t="s">
        <v>62</v>
      </c>
      <c r="F126" s="590">
        <f t="shared" si="19"/>
        <v>0</v>
      </c>
      <c r="G126" s="593"/>
      <c r="H126" s="534"/>
      <c r="I126" s="557"/>
      <c r="J126" s="2105" t="s">
        <v>309</v>
      </c>
      <c r="K126" s="2082"/>
      <c r="L126" s="2082"/>
      <c r="M126" s="2082"/>
      <c r="N126" s="2082"/>
      <c r="O126" s="2082"/>
      <c r="P126" s="2082"/>
      <c r="Q126" s="475"/>
      <c r="R126" s="2106"/>
      <c r="S126" s="475">
        <v>0</v>
      </c>
      <c r="T126" s="473" t="s">
        <v>56</v>
      </c>
      <c r="U126" s="2106"/>
      <c r="V126" s="473">
        <v>0</v>
      </c>
      <c r="W126" s="2106" t="s">
        <v>3</v>
      </c>
      <c r="X126" s="2030" t="s">
        <v>1</v>
      </c>
      <c r="Y126" s="554">
        <f t="shared" si="20"/>
        <v>0</v>
      </c>
      <c r="Z126" s="1898">
        <f>S126*V126</f>
        <v>0</v>
      </c>
      <c r="AA126" s="427"/>
      <c r="AB126" s="427"/>
      <c r="AC126" s="192"/>
    </row>
    <row r="127" spans="1:29" s="300" customFormat="1" ht="19.5" hidden="1" customHeight="1">
      <c r="A127" s="591"/>
      <c r="B127" s="592"/>
      <c r="C127" s="564"/>
      <c r="D127" s="2020"/>
      <c r="E127" s="2023" t="s">
        <v>61</v>
      </c>
      <c r="F127" s="590">
        <f t="shared" si="19"/>
        <v>0</v>
      </c>
      <c r="G127" s="593"/>
      <c r="H127" s="534"/>
      <c r="I127" s="557"/>
      <c r="J127" s="2105" t="s">
        <v>310</v>
      </c>
      <c r="K127" s="2082"/>
      <c r="L127" s="2082"/>
      <c r="M127" s="2082"/>
      <c r="N127" s="2082"/>
      <c r="O127" s="2082"/>
      <c r="P127" s="2082"/>
      <c r="Q127" s="475"/>
      <c r="R127" s="2106"/>
      <c r="S127" s="475">
        <v>0</v>
      </c>
      <c r="T127" s="473" t="s">
        <v>56</v>
      </c>
      <c r="U127" s="2106"/>
      <c r="V127" s="473">
        <v>0</v>
      </c>
      <c r="W127" s="2106" t="s">
        <v>3</v>
      </c>
      <c r="X127" s="2030" t="s">
        <v>1</v>
      </c>
      <c r="Y127" s="554">
        <f t="shared" si="20"/>
        <v>0</v>
      </c>
      <c r="Z127" s="1898">
        <f>S127*V127</f>
        <v>0</v>
      </c>
      <c r="AA127" s="427"/>
      <c r="AB127" s="427"/>
      <c r="AC127" s="192"/>
    </row>
    <row r="128" spans="1:29" s="300" customFormat="1" ht="19.5" customHeight="1">
      <c r="A128" s="591"/>
      <c r="B128" s="592"/>
      <c r="C128" s="564"/>
      <c r="D128" s="3825" t="s">
        <v>311</v>
      </c>
      <c r="E128" s="3826"/>
      <c r="F128" s="584">
        <f>SUM(F129:F134)</f>
        <v>80000</v>
      </c>
      <c r="G128" s="584">
        <f>SUM(G129:G134)</f>
        <v>80000</v>
      </c>
      <c r="H128" s="529">
        <f>F128-G128</f>
        <v>0</v>
      </c>
      <c r="I128" s="557"/>
      <c r="J128" s="538"/>
      <c r="K128" s="2068"/>
      <c r="L128" s="2068"/>
      <c r="M128" s="2068"/>
      <c r="N128" s="2068"/>
      <c r="O128" s="2068"/>
      <c r="P128" s="2068"/>
      <c r="Q128" s="2068"/>
      <c r="R128" s="539"/>
      <c r="S128" s="2068"/>
      <c r="T128" s="2068"/>
      <c r="U128" s="2068"/>
      <c r="V128" s="2068"/>
      <c r="W128" s="2068"/>
      <c r="X128" s="585"/>
      <c r="Y128" s="594"/>
      <c r="Z128" s="3472">
        <f>SUM(Z129:Z134)</f>
        <v>80000000</v>
      </c>
      <c r="AA128" s="427"/>
      <c r="AB128" s="427"/>
      <c r="AC128" s="192"/>
    </row>
    <row r="129" spans="1:29" s="300" customFormat="1" ht="19.5" customHeight="1">
      <c r="A129" s="591"/>
      <c r="B129" s="592"/>
      <c r="C129" s="542"/>
      <c r="D129" s="2013"/>
      <c r="E129" s="2023" t="s">
        <v>57</v>
      </c>
      <c r="F129" s="590">
        <f t="shared" ref="F129:F134" si="21">Y129</f>
        <v>4000</v>
      </c>
      <c r="G129" s="593">
        <v>4000</v>
      </c>
      <c r="H129" s="534"/>
      <c r="I129" s="557"/>
      <c r="J129" s="2105" t="s">
        <v>312</v>
      </c>
      <c r="K129" s="2082"/>
      <c r="L129" s="2082"/>
      <c r="M129" s="2082"/>
      <c r="N129" s="2082"/>
      <c r="O129" s="2082"/>
      <c r="P129" s="2082"/>
      <c r="Q129" s="556"/>
      <c r="R129" s="2092"/>
      <c r="S129" s="474">
        <v>10000</v>
      </c>
      <c r="T129" s="2106" t="s">
        <v>0</v>
      </c>
      <c r="U129" s="2106"/>
      <c r="V129" s="2106">
        <v>400</v>
      </c>
      <c r="W129" s="2106" t="s">
        <v>69</v>
      </c>
      <c r="X129" s="2030" t="s">
        <v>1</v>
      </c>
      <c r="Y129" s="554">
        <f t="shared" ref="Y129:Y134" si="22">Z129/1000</f>
        <v>4000</v>
      </c>
      <c r="Z129" s="1898">
        <f t="shared" ref="Z129:Z134" si="23">S129*V129</f>
        <v>4000000</v>
      </c>
      <c r="AA129" s="427"/>
      <c r="AB129" s="427"/>
      <c r="AC129" s="192"/>
    </row>
    <row r="130" spans="1:29" s="300" customFormat="1" ht="19.5" customHeight="1">
      <c r="A130" s="591"/>
      <c r="B130" s="592"/>
      <c r="C130" s="542"/>
      <c r="D130" s="2013"/>
      <c r="E130" s="2023" t="s">
        <v>80</v>
      </c>
      <c r="F130" s="590">
        <f t="shared" si="21"/>
        <v>1000</v>
      </c>
      <c r="G130" s="593">
        <v>1000</v>
      </c>
      <c r="H130" s="534"/>
      <c r="I130" s="557"/>
      <c r="J130" s="2105" t="s">
        <v>298</v>
      </c>
      <c r="K130" s="2082"/>
      <c r="L130" s="2082"/>
      <c r="M130" s="2082"/>
      <c r="N130" s="2082"/>
      <c r="O130" s="2082"/>
      <c r="P130" s="2082"/>
      <c r="Q130" s="556"/>
      <c r="R130" s="2092"/>
      <c r="S130" s="474">
        <v>100000</v>
      </c>
      <c r="T130" s="2106" t="s">
        <v>0</v>
      </c>
      <c r="U130" s="2106"/>
      <c r="V130" s="2106">
        <v>10</v>
      </c>
      <c r="W130" s="2106" t="s">
        <v>29</v>
      </c>
      <c r="X130" s="2030" t="s">
        <v>1</v>
      </c>
      <c r="Y130" s="554">
        <f t="shared" si="22"/>
        <v>1000</v>
      </c>
      <c r="Z130" s="1898">
        <f t="shared" si="23"/>
        <v>1000000</v>
      </c>
      <c r="AA130" s="427"/>
      <c r="AB130" s="427"/>
      <c r="AC130" s="192"/>
    </row>
    <row r="131" spans="1:29" s="300" customFormat="1" ht="19.5" customHeight="1">
      <c r="A131" s="591"/>
      <c r="B131" s="592"/>
      <c r="C131" s="542"/>
      <c r="D131" s="2013"/>
      <c r="E131" s="2023" t="s">
        <v>95</v>
      </c>
      <c r="F131" s="590">
        <f t="shared" si="21"/>
        <v>1000</v>
      </c>
      <c r="G131" s="593">
        <v>1000</v>
      </c>
      <c r="H131" s="534"/>
      <c r="I131" s="557"/>
      <c r="J131" s="2105" t="s">
        <v>313</v>
      </c>
      <c r="K131" s="2082"/>
      <c r="L131" s="2082"/>
      <c r="M131" s="2082"/>
      <c r="N131" s="2082"/>
      <c r="O131" s="2082"/>
      <c r="P131" s="2082"/>
      <c r="Q131" s="556"/>
      <c r="R131" s="2092"/>
      <c r="S131" s="474">
        <v>100000</v>
      </c>
      <c r="T131" s="2106" t="s">
        <v>0</v>
      </c>
      <c r="U131" s="2106"/>
      <c r="V131" s="2106">
        <v>10</v>
      </c>
      <c r="W131" s="2106" t="s">
        <v>29</v>
      </c>
      <c r="X131" s="2030" t="s">
        <v>1</v>
      </c>
      <c r="Y131" s="554">
        <f t="shared" si="22"/>
        <v>1000</v>
      </c>
      <c r="Z131" s="1898">
        <f t="shared" si="23"/>
        <v>1000000</v>
      </c>
      <c r="AA131" s="427"/>
      <c r="AB131" s="427"/>
      <c r="AC131" s="192"/>
    </row>
    <row r="132" spans="1:29" s="300" customFormat="1" ht="19.5" customHeight="1">
      <c r="A132" s="591"/>
      <c r="B132" s="592"/>
      <c r="C132" s="542"/>
      <c r="D132" s="2013"/>
      <c r="E132" s="2023" t="s">
        <v>58</v>
      </c>
      <c r="F132" s="590">
        <f t="shared" si="21"/>
        <v>12000</v>
      </c>
      <c r="G132" s="593">
        <v>12000</v>
      </c>
      <c r="H132" s="534"/>
      <c r="I132" s="557"/>
      <c r="J132" s="2105" t="s">
        <v>314</v>
      </c>
      <c r="K132" s="2082"/>
      <c r="L132" s="2082"/>
      <c r="M132" s="2082"/>
      <c r="N132" s="2082"/>
      <c r="O132" s="2082"/>
      <c r="P132" s="2082"/>
      <c r="Q132" s="556"/>
      <c r="R132" s="2092"/>
      <c r="S132" s="474">
        <v>30000</v>
      </c>
      <c r="T132" s="2106" t="s">
        <v>0</v>
      </c>
      <c r="U132" s="2106"/>
      <c r="V132" s="2106">
        <v>400</v>
      </c>
      <c r="W132" s="2106" t="s">
        <v>64</v>
      </c>
      <c r="X132" s="2030" t="s">
        <v>1</v>
      </c>
      <c r="Y132" s="554">
        <f t="shared" si="22"/>
        <v>12000</v>
      </c>
      <c r="Z132" s="1898">
        <f t="shared" si="23"/>
        <v>12000000</v>
      </c>
      <c r="AA132" s="427"/>
      <c r="AB132" s="427"/>
      <c r="AC132" s="192"/>
    </row>
    <row r="133" spans="1:29" s="300" customFormat="1" ht="19.5" customHeight="1">
      <c r="A133" s="591"/>
      <c r="B133" s="592"/>
      <c r="C133" s="542"/>
      <c r="D133" s="2034"/>
      <c r="E133" s="2023" t="s">
        <v>62</v>
      </c>
      <c r="F133" s="590">
        <f t="shared" si="21"/>
        <v>60000</v>
      </c>
      <c r="G133" s="593">
        <v>60000</v>
      </c>
      <c r="H133" s="534"/>
      <c r="I133" s="557"/>
      <c r="J133" s="2105" t="s">
        <v>315</v>
      </c>
      <c r="K133" s="2082"/>
      <c r="L133" s="2082"/>
      <c r="M133" s="2082"/>
      <c r="N133" s="2082"/>
      <c r="O133" s="2082"/>
      <c r="P133" s="2082"/>
      <c r="Q133" s="556"/>
      <c r="R133" s="2092"/>
      <c r="S133" s="474">
        <v>30000000</v>
      </c>
      <c r="T133" s="2106" t="s">
        <v>0</v>
      </c>
      <c r="U133" s="2106"/>
      <c r="V133" s="2106">
        <v>2</v>
      </c>
      <c r="W133" s="2106" t="s">
        <v>3</v>
      </c>
      <c r="X133" s="2030" t="s">
        <v>1</v>
      </c>
      <c r="Y133" s="554">
        <f t="shared" si="22"/>
        <v>60000</v>
      </c>
      <c r="Z133" s="1898">
        <f t="shared" si="23"/>
        <v>60000000</v>
      </c>
      <c r="AA133" s="427"/>
      <c r="AB133" s="427"/>
      <c r="AC133" s="192"/>
    </row>
    <row r="134" spans="1:29" s="300" customFormat="1" ht="19.5" customHeight="1">
      <c r="A134" s="591"/>
      <c r="B134" s="592"/>
      <c r="C134" s="542"/>
      <c r="D134" s="2020"/>
      <c r="E134" s="532" t="s">
        <v>61</v>
      </c>
      <c r="F134" s="590">
        <f t="shared" si="21"/>
        <v>2000</v>
      </c>
      <c r="G134" s="593">
        <v>2000</v>
      </c>
      <c r="H134" s="534"/>
      <c r="I134" s="557"/>
      <c r="J134" s="2105" t="s">
        <v>316</v>
      </c>
      <c r="K134" s="2082"/>
      <c r="L134" s="2082"/>
      <c r="M134" s="2082"/>
      <c r="N134" s="2082"/>
      <c r="O134" s="2082"/>
      <c r="P134" s="2082"/>
      <c r="Q134" s="556"/>
      <c r="R134" s="2092"/>
      <c r="S134" s="474">
        <v>200000</v>
      </c>
      <c r="T134" s="2106" t="s">
        <v>0</v>
      </c>
      <c r="U134" s="2106"/>
      <c r="V134" s="2106">
        <v>10</v>
      </c>
      <c r="W134" s="2106" t="s">
        <v>3</v>
      </c>
      <c r="X134" s="2030" t="s">
        <v>1</v>
      </c>
      <c r="Y134" s="554">
        <f t="shared" si="22"/>
        <v>2000</v>
      </c>
      <c r="Z134" s="1898">
        <f t="shared" si="23"/>
        <v>2000000</v>
      </c>
      <c r="AA134" s="427"/>
      <c r="AB134" s="427"/>
      <c r="AC134" s="192"/>
    </row>
    <row r="135" spans="1:29" s="300" customFormat="1" ht="22.5" customHeight="1">
      <c r="A135" s="597"/>
      <c r="B135" s="541"/>
      <c r="C135" s="3836" t="s">
        <v>1196</v>
      </c>
      <c r="D135" s="3821"/>
      <c r="E135" s="3822"/>
      <c r="F135" s="598">
        <f>F136+F153+F167</f>
        <v>572500</v>
      </c>
      <c r="G135" s="598">
        <f>G136+G153+G167</f>
        <v>572500</v>
      </c>
      <c r="H135" s="529">
        <f>F135-G135</f>
        <v>0</v>
      </c>
      <c r="I135" s="557"/>
      <c r="J135" s="538"/>
      <c r="K135" s="2068"/>
      <c r="L135" s="2068"/>
      <c r="M135" s="2068"/>
      <c r="N135" s="2068"/>
      <c r="O135" s="2068"/>
      <c r="P135" s="2068"/>
      <c r="Q135" s="2068"/>
      <c r="R135" s="2068"/>
      <c r="S135" s="2068"/>
      <c r="T135" s="2068"/>
      <c r="U135" s="2068"/>
      <c r="V135" s="2068"/>
      <c r="W135" s="2068"/>
      <c r="X135" s="585"/>
      <c r="Y135" s="599"/>
      <c r="Z135" s="3472"/>
      <c r="AA135" s="427"/>
      <c r="AB135" s="427"/>
      <c r="AC135" s="192"/>
    </row>
    <row r="136" spans="1:29" s="300" customFormat="1" ht="22.5" customHeight="1">
      <c r="A136" s="540"/>
      <c r="B136" s="541"/>
      <c r="C136" s="542"/>
      <c r="D136" s="3825" t="s">
        <v>1851</v>
      </c>
      <c r="E136" s="3826"/>
      <c r="F136" s="598">
        <f>SUM(F137:F152)</f>
        <v>482500</v>
      </c>
      <c r="G136" s="598">
        <f>SUM(G137:G152)</f>
        <v>482500</v>
      </c>
      <c r="H136" s="529">
        <f>F136-G136</f>
        <v>0</v>
      </c>
      <c r="I136" s="557"/>
      <c r="J136" s="538"/>
      <c r="K136" s="2068"/>
      <c r="L136" s="2068"/>
      <c r="M136" s="2068"/>
      <c r="N136" s="2068"/>
      <c r="O136" s="2068"/>
      <c r="P136" s="2068"/>
      <c r="Q136" s="2068"/>
      <c r="R136" s="539"/>
      <c r="S136" s="2068"/>
      <c r="T136" s="2068"/>
      <c r="U136" s="2068"/>
      <c r="V136" s="2068"/>
      <c r="W136" s="2068"/>
      <c r="X136" s="585"/>
      <c r="Y136" s="594"/>
      <c r="Z136" s="3475" t="e">
        <f>SUM(Z137:Z145)+#REF!+#REF!</f>
        <v>#REF!</v>
      </c>
      <c r="AA136" s="427"/>
      <c r="AB136" s="427"/>
      <c r="AC136" s="192"/>
    </row>
    <row r="137" spans="1:29" s="300" customFormat="1" ht="22.5" customHeight="1">
      <c r="A137" s="540"/>
      <c r="B137" s="541"/>
      <c r="C137" s="542"/>
      <c r="D137" s="2020"/>
      <c r="E137" s="532" t="s">
        <v>905</v>
      </c>
      <c r="F137" s="549">
        <f>Y137</f>
        <v>0</v>
      </c>
      <c r="G137" s="2029">
        <v>10000</v>
      </c>
      <c r="H137" s="1561">
        <f>F137-G137</f>
        <v>-10000</v>
      </c>
      <c r="I137" s="557"/>
      <c r="J137" s="3589" t="s">
        <v>5163</v>
      </c>
      <c r="K137" s="3588"/>
      <c r="L137" s="3588"/>
      <c r="M137" s="3588"/>
      <c r="N137" s="3588"/>
      <c r="O137" s="3588"/>
      <c r="P137" s="3588"/>
      <c r="Q137" s="3109"/>
      <c r="R137" s="3590"/>
      <c r="S137" s="3109">
        <v>10000000</v>
      </c>
      <c r="T137" s="3107" t="s">
        <v>0</v>
      </c>
      <c r="U137" s="3590"/>
      <c r="V137" s="3590">
        <v>0</v>
      </c>
      <c r="W137" s="3590" t="s">
        <v>3</v>
      </c>
      <c r="X137" s="2030" t="s">
        <v>1</v>
      </c>
      <c r="Y137" s="554">
        <f t="shared" ref="Y137:Y152" si="24">Z137/1000</f>
        <v>0</v>
      </c>
      <c r="Z137" s="1898">
        <f>S137*V137</f>
        <v>0</v>
      </c>
      <c r="AA137" s="427"/>
      <c r="AB137" s="427"/>
      <c r="AC137" s="192"/>
    </row>
    <row r="138" spans="1:29" s="300" customFormat="1" ht="22.5" customHeight="1">
      <c r="A138" s="591"/>
      <c r="B138" s="592"/>
      <c r="C138" s="542"/>
      <c r="D138" s="2020"/>
      <c r="E138" s="532" t="s">
        <v>80</v>
      </c>
      <c r="F138" s="590">
        <f t="shared" ref="F138:F140" si="25">Y138</f>
        <v>1000</v>
      </c>
      <c r="G138" s="2029">
        <v>2000</v>
      </c>
      <c r="H138" s="534">
        <f>F138-G138</f>
        <v>-1000</v>
      </c>
      <c r="I138" s="557"/>
      <c r="J138" s="3589" t="s">
        <v>306</v>
      </c>
      <c r="K138" s="3588"/>
      <c r="L138" s="3588"/>
      <c r="M138" s="3588"/>
      <c r="N138" s="3588"/>
      <c r="O138" s="3588"/>
      <c r="P138" s="3588"/>
      <c r="Q138" s="3109"/>
      <c r="R138" s="3590"/>
      <c r="S138" s="3109">
        <v>100000</v>
      </c>
      <c r="T138" s="3107" t="s">
        <v>0</v>
      </c>
      <c r="U138" s="3590"/>
      <c r="V138" s="3590">
        <v>10</v>
      </c>
      <c r="W138" s="3590" t="s">
        <v>3</v>
      </c>
      <c r="X138" s="2030" t="s">
        <v>1</v>
      </c>
      <c r="Y138" s="554">
        <f t="shared" si="24"/>
        <v>1000</v>
      </c>
      <c r="Z138" s="1898">
        <f>S138*V138</f>
        <v>1000000</v>
      </c>
      <c r="AA138" s="427"/>
      <c r="AB138" s="427"/>
      <c r="AC138" s="192"/>
    </row>
    <row r="139" spans="1:29" s="300" customFormat="1" ht="22.5" customHeight="1">
      <c r="A139" s="591"/>
      <c r="B139" s="592"/>
      <c r="C139" s="542"/>
      <c r="D139" s="2020"/>
      <c r="E139" s="532" t="s">
        <v>95</v>
      </c>
      <c r="F139" s="590">
        <f t="shared" si="25"/>
        <v>2000</v>
      </c>
      <c r="G139" s="2029">
        <v>3000</v>
      </c>
      <c r="H139" s="534">
        <f>F139-G139</f>
        <v>-1000</v>
      </c>
      <c r="I139" s="557"/>
      <c r="J139" s="3589" t="s">
        <v>317</v>
      </c>
      <c r="K139" s="3588"/>
      <c r="L139" s="3588"/>
      <c r="M139" s="3588"/>
      <c r="N139" s="3588"/>
      <c r="O139" s="3588"/>
      <c r="P139" s="3588"/>
      <c r="Q139" s="3109">
        <v>2</v>
      </c>
      <c r="R139" s="3590" t="s">
        <v>25</v>
      </c>
      <c r="S139" s="3109">
        <v>100000</v>
      </c>
      <c r="T139" s="3107" t="s">
        <v>0</v>
      </c>
      <c r="U139" s="3590"/>
      <c r="V139" s="3590">
        <v>10</v>
      </c>
      <c r="W139" s="3590" t="s">
        <v>3</v>
      </c>
      <c r="X139" s="2030" t="s">
        <v>1</v>
      </c>
      <c r="Y139" s="554">
        <f t="shared" si="24"/>
        <v>2000</v>
      </c>
      <c r="Z139" s="1898">
        <f>Q139*S139*V139</f>
        <v>2000000</v>
      </c>
      <c r="AA139" s="427"/>
      <c r="AB139" s="427"/>
      <c r="AC139" s="192"/>
    </row>
    <row r="140" spans="1:29" s="300" customFormat="1" ht="22.5" customHeight="1">
      <c r="A140" s="591"/>
      <c r="B140" s="592"/>
      <c r="C140" s="542"/>
      <c r="D140" s="2020"/>
      <c r="E140" s="532" t="s">
        <v>58</v>
      </c>
      <c r="F140" s="590">
        <f t="shared" si="25"/>
        <v>9000</v>
      </c>
      <c r="G140" s="2029">
        <v>9000</v>
      </c>
      <c r="H140" s="534"/>
      <c r="I140" s="557"/>
      <c r="J140" s="3589" t="s">
        <v>5107</v>
      </c>
      <c r="K140" s="3588"/>
      <c r="L140" s="3588"/>
      <c r="M140" s="3588"/>
      <c r="N140" s="3588"/>
      <c r="O140" s="3588"/>
      <c r="P140" s="3588"/>
      <c r="Q140" s="3109"/>
      <c r="R140" s="3590"/>
      <c r="S140" s="3109"/>
      <c r="T140" s="3107"/>
      <c r="U140" s="3590"/>
      <c r="V140" s="3590"/>
      <c r="W140" s="3590"/>
      <c r="X140" s="2030"/>
      <c r="Y140" s="554">
        <f t="shared" si="24"/>
        <v>9000</v>
      </c>
      <c r="Z140" s="1898">
        <f>SUM(Z141:Z143)</f>
        <v>9000000</v>
      </c>
      <c r="AA140" s="427"/>
      <c r="AB140" s="427"/>
      <c r="AC140" s="192"/>
    </row>
    <row r="141" spans="1:29" s="300" customFormat="1" ht="22.5" customHeight="1">
      <c r="A141" s="591"/>
      <c r="B141" s="592"/>
      <c r="C141" s="542"/>
      <c r="D141" s="2020"/>
      <c r="E141" s="532"/>
      <c r="F141" s="549"/>
      <c r="G141" s="2029"/>
      <c r="H141" s="534"/>
      <c r="I141" s="557"/>
      <c r="J141" s="3589" t="s">
        <v>5164</v>
      </c>
      <c r="K141" s="3588"/>
      <c r="L141" s="3588"/>
      <c r="M141" s="3588"/>
      <c r="N141" s="3588"/>
      <c r="O141" s="3588"/>
      <c r="P141" s="3588"/>
      <c r="Q141" s="3109">
        <v>5</v>
      </c>
      <c r="R141" s="3590" t="s">
        <v>25</v>
      </c>
      <c r="S141" s="3109">
        <v>200000</v>
      </c>
      <c r="T141" s="3107" t="s">
        <v>0</v>
      </c>
      <c r="U141" s="3590"/>
      <c r="V141" s="3590">
        <v>1</v>
      </c>
      <c r="W141" s="3590" t="s">
        <v>3</v>
      </c>
      <c r="X141" s="2030" t="s">
        <v>1</v>
      </c>
      <c r="Y141" s="554">
        <f t="shared" si="24"/>
        <v>1000</v>
      </c>
      <c r="Z141" s="1898">
        <f>Q141*S141*V141</f>
        <v>1000000</v>
      </c>
      <c r="AA141" s="427"/>
      <c r="AB141" s="427"/>
      <c r="AC141" s="192"/>
    </row>
    <row r="142" spans="1:29" s="300" customFormat="1" ht="22.5" customHeight="1">
      <c r="A142" s="591"/>
      <c r="B142" s="592"/>
      <c r="C142" s="542"/>
      <c r="D142" s="2020"/>
      <c r="E142" s="532"/>
      <c r="F142" s="549"/>
      <c r="G142" s="2029"/>
      <c r="H142" s="534"/>
      <c r="I142" s="557"/>
      <c r="J142" s="3589" t="s">
        <v>5165</v>
      </c>
      <c r="K142" s="3588"/>
      <c r="L142" s="3588"/>
      <c r="M142" s="3588"/>
      <c r="N142" s="3588"/>
      <c r="O142" s="3588"/>
      <c r="P142" s="3588"/>
      <c r="Q142" s="3109">
        <v>5</v>
      </c>
      <c r="R142" s="3590" t="s">
        <v>25</v>
      </c>
      <c r="S142" s="3109">
        <v>200000</v>
      </c>
      <c r="T142" s="3107" t="s">
        <v>0</v>
      </c>
      <c r="U142" s="3590"/>
      <c r="V142" s="3590">
        <v>3</v>
      </c>
      <c r="W142" s="3590" t="s">
        <v>3</v>
      </c>
      <c r="X142" s="2030" t="s">
        <v>1</v>
      </c>
      <c r="Y142" s="554">
        <f t="shared" si="24"/>
        <v>3000</v>
      </c>
      <c r="Z142" s="1898">
        <f>Q142*S142*V142</f>
        <v>3000000</v>
      </c>
      <c r="AA142" s="427"/>
      <c r="AB142" s="427"/>
      <c r="AC142" s="192"/>
    </row>
    <row r="143" spans="1:29" s="300" customFormat="1" ht="22.5" customHeight="1">
      <c r="A143" s="591"/>
      <c r="B143" s="592"/>
      <c r="C143" s="542"/>
      <c r="D143" s="2020"/>
      <c r="E143" s="532"/>
      <c r="F143" s="549"/>
      <c r="G143" s="2029"/>
      <c r="H143" s="534"/>
      <c r="I143" s="557"/>
      <c r="J143" s="3589" t="s">
        <v>5166</v>
      </c>
      <c r="K143" s="3588"/>
      <c r="L143" s="3588"/>
      <c r="M143" s="3588"/>
      <c r="N143" s="3588"/>
      <c r="O143" s="3588"/>
      <c r="P143" s="3588"/>
      <c r="Q143" s="3109"/>
      <c r="R143" s="3590"/>
      <c r="S143" s="3109">
        <v>500000</v>
      </c>
      <c r="T143" s="3107" t="s">
        <v>0</v>
      </c>
      <c r="U143" s="3590"/>
      <c r="V143" s="3590">
        <v>10</v>
      </c>
      <c r="W143" s="3590" t="s">
        <v>5105</v>
      </c>
      <c r="X143" s="2030" t="s">
        <v>1</v>
      </c>
      <c r="Y143" s="554">
        <f t="shared" si="24"/>
        <v>5000</v>
      </c>
      <c r="Z143" s="1898">
        <f>S143*V143</f>
        <v>5000000</v>
      </c>
      <c r="AA143" s="427"/>
      <c r="AB143" s="427"/>
      <c r="AC143" s="192"/>
    </row>
    <row r="144" spans="1:29" s="300" customFormat="1" ht="22.5" customHeight="1">
      <c r="A144" s="591"/>
      <c r="B144" s="592"/>
      <c r="C144" s="542"/>
      <c r="D144" s="2020"/>
      <c r="E144" s="532" t="s">
        <v>16</v>
      </c>
      <c r="F144" s="590">
        <f t="shared" ref="F144" si="26">Y144</f>
        <v>24000</v>
      </c>
      <c r="G144" s="2029">
        <v>10000</v>
      </c>
      <c r="H144" s="534">
        <f>F144-G144</f>
        <v>14000</v>
      </c>
      <c r="I144" s="557"/>
      <c r="J144" s="3589" t="s">
        <v>5107</v>
      </c>
      <c r="K144" s="3588"/>
      <c r="L144" s="3588"/>
      <c r="M144" s="3588"/>
      <c r="N144" s="3588"/>
      <c r="O144" s="3588"/>
      <c r="P144" s="3588"/>
      <c r="Q144" s="3109"/>
      <c r="R144" s="3590"/>
      <c r="S144" s="3109"/>
      <c r="T144" s="3107"/>
      <c r="U144" s="3590"/>
      <c r="V144" s="3590"/>
      <c r="W144" s="3590"/>
      <c r="X144" s="2030"/>
      <c r="Y144" s="554">
        <f t="shared" si="24"/>
        <v>24000</v>
      </c>
      <c r="Z144" s="1898">
        <f>SUM(Z145:Z146)</f>
        <v>24000000</v>
      </c>
      <c r="AA144" s="427"/>
      <c r="AB144" s="427"/>
      <c r="AC144" s="192"/>
    </row>
    <row r="145" spans="1:29" s="300" customFormat="1" ht="22.5" customHeight="1">
      <c r="A145" s="601"/>
      <c r="B145" s="592"/>
      <c r="C145" s="542"/>
      <c r="D145" s="2020"/>
      <c r="E145" s="532"/>
      <c r="F145" s="549"/>
      <c r="G145" s="2029"/>
      <c r="H145" s="534"/>
      <c r="I145" s="557"/>
      <c r="J145" s="3589" t="s">
        <v>5167</v>
      </c>
      <c r="K145" s="3588"/>
      <c r="L145" s="3588"/>
      <c r="M145" s="3588"/>
      <c r="N145" s="3588"/>
      <c r="O145" s="3588"/>
      <c r="P145" s="3588"/>
      <c r="Q145" s="3109"/>
      <c r="R145" s="3590"/>
      <c r="S145" s="3109">
        <v>20000000</v>
      </c>
      <c r="T145" s="3107" t="s">
        <v>0</v>
      </c>
      <c r="U145" s="3590"/>
      <c r="V145" s="3590">
        <v>1</v>
      </c>
      <c r="W145" s="3590" t="s">
        <v>5103</v>
      </c>
      <c r="X145" s="2030" t="s">
        <v>1</v>
      </c>
      <c r="Y145" s="554">
        <f t="shared" si="24"/>
        <v>20000</v>
      </c>
      <c r="Z145" s="1898">
        <f>S145*V145</f>
        <v>20000000</v>
      </c>
      <c r="AA145" s="427"/>
      <c r="AB145" s="427"/>
      <c r="AC145" s="192"/>
    </row>
    <row r="146" spans="1:29" s="300" customFormat="1" ht="22.5" customHeight="1">
      <c r="A146" s="601"/>
      <c r="B146" s="592"/>
      <c r="C146" s="542"/>
      <c r="D146" s="2020"/>
      <c r="E146" s="532"/>
      <c r="F146" s="549"/>
      <c r="G146" s="2029"/>
      <c r="H146" s="534"/>
      <c r="I146" s="557"/>
      <c r="J146" s="3589" t="s">
        <v>5168</v>
      </c>
      <c r="K146" s="3588"/>
      <c r="L146" s="3588"/>
      <c r="M146" s="3588"/>
      <c r="N146" s="3588"/>
      <c r="O146" s="3588"/>
      <c r="P146" s="3588"/>
      <c r="Q146" s="3109"/>
      <c r="R146" s="3590"/>
      <c r="S146" s="3109">
        <v>4000000</v>
      </c>
      <c r="T146" s="3107" t="s">
        <v>0</v>
      </c>
      <c r="U146" s="3590"/>
      <c r="V146" s="3590">
        <v>1</v>
      </c>
      <c r="W146" s="3590" t="s">
        <v>5103</v>
      </c>
      <c r="X146" s="2030" t="s">
        <v>1</v>
      </c>
      <c r="Y146" s="554">
        <f t="shared" si="24"/>
        <v>4000</v>
      </c>
      <c r="Z146" s="1898">
        <f>S146*V146</f>
        <v>4000000</v>
      </c>
      <c r="AA146" s="427"/>
      <c r="AB146" s="427"/>
      <c r="AC146" s="192"/>
    </row>
    <row r="147" spans="1:29" s="300" customFormat="1" ht="22.5" customHeight="1">
      <c r="A147" s="601"/>
      <c r="B147" s="592"/>
      <c r="C147" s="542"/>
      <c r="D147" s="2020"/>
      <c r="E147" s="2023" t="s">
        <v>238</v>
      </c>
      <c r="F147" s="590">
        <f t="shared" ref="F147" si="27">Y147</f>
        <v>436000</v>
      </c>
      <c r="G147" s="2029">
        <v>440000</v>
      </c>
      <c r="H147" s="534">
        <f>F147-G147</f>
        <v>-4000</v>
      </c>
      <c r="I147" s="557"/>
      <c r="J147" s="3589" t="s">
        <v>8</v>
      </c>
      <c r="K147" s="3588"/>
      <c r="L147" s="3588"/>
      <c r="M147" s="3588"/>
      <c r="N147" s="3588"/>
      <c r="O147" s="3588"/>
      <c r="P147" s="3588"/>
      <c r="Q147" s="556"/>
      <c r="R147" s="3584"/>
      <c r="S147" s="3108"/>
      <c r="T147" s="3590"/>
      <c r="U147" s="3590"/>
      <c r="V147" s="3590"/>
      <c r="W147" s="3590"/>
      <c r="X147" s="2030"/>
      <c r="Y147" s="554">
        <f t="shared" si="24"/>
        <v>436000</v>
      </c>
      <c r="Z147" s="1898">
        <f>+Z148+Z149</f>
        <v>436000000</v>
      </c>
      <c r="AA147" s="427"/>
      <c r="AB147" s="427"/>
      <c r="AC147" s="192"/>
    </row>
    <row r="148" spans="1:29" s="300" customFormat="1" ht="22.5" customHeight="1">
      <c r="A148" s="601"/>
      <c r="B148" s="592"/>
      <c r="C148" s="542"/>
      <c r="D148" s="2020"/>
      <c r="E148" s="2023"/>
      <c r="F148" s="549"/>
      <c r="G148" s="2029"/>
      <c r="H148" s="534"/>
      <c r="I148" s="557"/>
      <c r="J148" s="3589" t="s">
        <v>5169</v>
      </c>
      <c r="K148" s="3588"/>
      <c r="L148" s="3588"/>
      <c r="M148" s="3588"/>
      <c r="N148" s="3588"/>
      <c r="O148" s="3588"/>
      <c r="P148" s="3588"/>
      <c r="Q148" s="556"/>
      <c r="R148" s="3584"/>
      <c r="S148" s="3108">
        <v>96000000</v>
      </c>
      <c r="T148" s="3107" t="s">
        <v>0</v>
      </c>
      <c r="U148" s="3590"/>
      <c r="V148" s="3590">
        <v>1</v>
      </c>
      <c r="W148" s="3590" t="s">
        <v>6</v>
      </c>
      <c r="X148" s="2030" t="s">
        <v>1</v>
      </c>
      <c r="Y148" s="554">
        <f t="shared" si="24"/>
        <v>96000</v>
      </c>
      <c r="Z148" s="1898">
        <f>S148*V148</f>
        <v>96000000</v>
      </c>
      <c r="AA148" s="427"/>
      <c r="AB148" s="427"/>
      <c r="AC148" s="192"/>
    </row>
    <row r="149" spans="1:29" s="3379" customFormat="1" ht="22.5" customHeight="1">
      <c r="A149" s="601"/>
      <c r="B149" s="592"/>
      <c r="C149" s="542"/>
      <c r="D149" s="2020"/>
      <c r="E149" s="532"/>
      <c r="F149" s="549"/>
      <c r="G149" s="2029"/>
      <c r="H149" s="534"/>
      <c r="I149" s="557"/>
      <c r="J149" s="3589" t="s">
        <v>5170</v>
      </c>
      <c r="K149" s="3588"/>
      <c r="L149" s="3588"/>
      <c r="M149" s="3588"/>
      <c r="N149" s="3588"/>
      <c r="O149" s="3588"/>
      <c r="P149" s="3588"/>
      <c r="Q149" s="556"/>
      <c r="R149" s="3584"/>
      <c r="S149" s="3108">
        <v>20000000</v>
      </c>
      <c r="T149" s="3107" t="s">
        <v>0</v>
      </c>
      <c r="U149" s="3590"/>
      <c r="V149" s="3590">
        <v>17</v>
      </c>
      <c r="W149" s="3590" t="s">
        <v>318</v>
      </c>
      <c r="X149" s="2030" t="s">
        <v>1</v>
      </c>
      <c r="Y149" s="554">
        <f t="shared" si="24"/>
        <v>340000</v>
      </c>
      <c r="Z149" s="1898">
        <f>S149*V149</f>
        <v>340000000</v>
      </c>
      <c r="AA149" s="427"/>
      <c r="AB149" s="427"/>
      <c r="AC149" s="192"/>
    </row>
    <row r="150" spans="1:29" s="3379" customFormat="1" ht="22.5" customHeight="1">
      <c r="A150" s="601"/>
      <c r="B150" s="592"/>
      <c r="C150" s="542"/>
      <c r="D150" s="2020"/>
      <c r="E150" s="532" t="s">
        <v>17</v>
      </c>
      <c r="F150" s="590">
        <f t="shared" ref="F150:F152" si="28">Y150</f>
        <v>1500</v>
      </c>
      <c r="G150" s="2029">
        <v>3000</v>
      </c>
      <c r="H150" s="534">
        <f>F150-G150</f>
        <v>-1500</v>
      </c>
      <c r="I150" s="557"/>
      <c r="J150" s="3589" t="s">
        <v>5171</v>
      </c>
      <c r="K150" s="3588"/>
      <c r="L150" s="3588"/>
      <c r="M150" s="3588"/>
      <c r="N150" s="3588"/>
      <c r="O150" s="3588"/>
      <c r="P150" s="3588"/>
      <c r="Q150" s="556"/>
      <c r="R150" s="3584"/>
      <c r="S150" s="3108">
        <v>1500000</v>
      </c>
      <c r="T150" s="3107" t="s">
        <v>0</v>
      </c>
      <c r="U150" s="3590"/>
      <c r="V150" s="3590">
        <v>1</v>
      </c>
      <c r="W150" s="3590" t="s">
        <v>5105</v>
      </c>
      <c r="X150" s="2030" t="s">
        <v>1</v>
      </c>
      <c r="Y150" s="554">
        <f t="shared" si="24"/>
        <v>1500</v>
      </c>
      <c r="Z150" s="1898">
        <f>S150*V150</f>
        <v>1500000</v>
      </c>
      <c r="AA150" s="427"/>
      <c r="AB150" s="427"/>
      <c r="AC150" s="192"/>
    </row>
    <row r="151" spans="1:29" s="3379" customFormat="1" ht="22.5" customHeight="1">
      <c r="A151" s="601"/>
      <c r="B151" s="592"/>
      <c r="C151" s="542"/>
      <c r="D151" s="2020"/>
      <c r="E151" s="532" t="s">
        <v>62</v>
      </c>
      <c r="F151" s="590">
        <f t="shared" si="28"/>
        <v>6000</v>
      </c>
      <c r="G151" s="2029">
        <v>2500</v>
      </c>
      <c r="H151" s="534">
        <f>F151-G151</f>
        <v>3500</v>
      </c>
      <c r="I151" s="557"/>
      <c r="J151" s="3589" t="s">
        <v>319</v>
      </c>
      <c r="K151" s="3107"/>
      <c r="L151" s="3107"/>
      <c r="M151" s="3107"/>
      <c r="N151" s="3107"/>
      <c r="O151" s="3107"/>
      <c r="P151" s="3107"/>
      <c r="Q151" s="3590"/>
      <c r="R151" s="3590"/>
      <c r="S151" s="556">
        <v>3000000</v>
      </c>
      <c r="T151" s="3590" t="s">
        <v>0</v>
      </c>
      <c r="U151" s="3590"/>
      <c r="V151" s="3590">
        <v>2</v>
      </c>
      <c r="W151" s="3590" t="s">
        <v>6</v>
      </c>
      <c r="X151" s="2030" t="s">
        <v>1</v>
      </c>
      <c r="Y151" s="554">
        <f t="shared" si="24"/>
        <v>6000</v>
      </c>
      <c r="Z151" s="1898">
        <f>S151*V151</f>
        <v>6000000</v>
      </c>
      <c r="AA151" s="427"/>
      <c r="AB151" s="427"/>
      <c r="AC151" s="192"/>
    </row>
    <row r="152" spans="1:29" s="3379" customFormat="1" ht="22.5" customHeight="1">
      <c r="A152" s="601"/>
      <c r="B152" s="592"/>
      <c r="C152" s="542"/>
      <c r="D152" s="2020"/>
      <c r="E152" s="532" t="s">
        <v>61</v>
      </c>
      <c r="F152" s="590">
        <f t="shared" si="28"/>
        <v>3000</v>
      </c>
      <c r="G152" s="2029">
        <v>3000</v>
      </c>
      <c r="H152" s="534"/>
      <c r="I152" s="557"/>
      <c r="J152" s="3589" t="s">
        <v>320</v>
      </c>
      <c r="K152" s="3588"/>
      <c r="L152" s="3588"/>
      <c r="M152" s="3588"/>
      <c r="N152" s="3588"/>
      <c r="O152" s="3588"/>
      <c r="P152" s="3588"/>
      <c r="Q152" s="556">
        <v>10</v>
      </c>
      <c r="R152" s="3584" t="s">
        <v>25</v>
      </c>
      <c r="S152" s="3108">
        <v>20000</v>
      </c>
      <c r="T152" s="3590" t="s">
        <v>0</v>
      </c>
      <c r="U152" s="3590"/>
      <c r="V152" s="3590">
        <v>15</v>
      </c>
      <c r="W152" s="3590" t="s">
        <v>3</v>
      </c>
      <c r="X152" s="2030" t="s">
        <v>1</v>
      </c>
      <c r="Y152" s="554">
        <f t="shared" si="24"/>
        <v>3000</v>
      </c>
      <c r="Z152" s="1898">
        <f>Q152*S152*V152</f>
        <v>3000000</v>
      </c>
      <c r="AA152" s="427"/>
      <c r="AB152" s="427"/>
      <c r="AC152" s="192"/>
    </row>
    <row r="153" spans="1:29" s="300" customFormat="1" ht="22.5" customHeight="1">
      <c r="A153" s="540"/>
      <c r="B153" s="541"/>
      <c r="C153" s="542"/>
      <c r="D153" s="3825" t="s">
        <v>327</v>
      </c>
      <c r="E153" s="3826"/>
      <c r="F153" s="598">
        <f>SUM(F154:F166)</f>
        <v>50000</v>
      </c>
      <c r="G153" s="598">
        <f>SUM(G154:G166)</f>
        <v>50000</v>
      </c>
      <c r="H153" s="529">
        <f>F153-G153</f>
        <v>0</v>
      </c>
      <c r="I153" s="557"/>
      <c r="J153" s="538"/>
      <c r="K153" s="2068"/>
      <c r="L153" s="2068"/>
      <c r="M153" s="2068"/>
      <c r="N153" s="2068"/>
      <c r="O153" s="2068"/>
      <c r="P153" s="2068"/>
      <c r="Q153" s="2068"/>
      <c r="R153" s="539"/>
      <c r="S153" s="2068"/>
      <c r="T153" s="2068"/>
      <c r="U153" s="2068"/>
      <c r="V153" s="2068"/>
      <c r="W153" s="2068"/>
      <c r="X153" s="585"/>
      <c r="Y153" s="594"/>
      <c r="Z153" s="3474">
        <f>SUM(Z154:Z156,Z161:Z164)</f>
        <v>50000000</v>
      </c>
      <c r="AA153" s="427"/>
      <c r="AB153" s="427"/>
      <c r="AC153" s="192"/>
    </row>
    <row r="154" spans="1:29" s="300" customFormat="1" ht="22.5" customHeight="1">
      <c r="A154" s="591"/>
      <c r="B154" s="592"/>
      <c r="C154" s="542"/>
      <c r="D154" s="506"/>
      <c r="E154" s="602" t="s">
        <v>80</v>
      </c>
      <c r="F154" s="549">
        <f>Y154</f>
        <v>400</v>
      </c>
      <c r="G154" s="603">
        <v>400</v>
      </c>
      <c r="H154" s="534"/>
      <c r="I154" s="557"/>
      <c r="J154" s="604" t="s">
        <v>328</v>
      </c>
      <c r="K154" s="605"/>
      <c r="L154" s="605"/>
      <c r="M154" s="605"/>
      <c r="N154" s="605"/>
      <c r="O154" s="605"/>
      <c r="P154" s="605"/>
      <c r="Q154" s="606"/>
      <c r="R154" s="607"/>
      <c r="S154" s="608">
        <v>400000</v>
      </c>
      <c r="T154" s="609" t="s">
        <v>0</v>
      </c>
      <c r="U154" s="609"/>
      <c r="V154" s="609">
        <v>1</v>
      </c>
      <c r="W154" s="609" t="s">
        <v>3</v>
      </c>
      <c r="X154" s="610" t="s">
        <v>1</v>
      </c>
      <c r="Y154" s="554">
        <f t="shared" ref="Y154:Y162" si="29">Z154/1000</f>
        <v>400</v>
      </c>
      <c r="Z154" s="1898">
        <f>S154*V154</f>
        <v>400000</v>
      </c>
      <c r="AA154" s="427"/>
      <c r="AB154" s="427"/>
      <c r="AC154" s="192"/>
    </row>
    <row r="155" spans="1:29" s="1926" customFormat="1" ht="22.5" customHeight="1">
      <c r="A155" s="591"/>
      <c r="B155" s="592"/>
      <c r="C155" s="542"/>
      <c r="D155" s="2020"/>
      <c r="E155" s="532" t="s">
        <v>95</v>
      </c>
      <c r="F155" s="549">
        <f>Y155</f>
        <v>1000</v>
      </c>
      <c r="G155" s="2029">
        <v>1000</v>
      </c>
      <c r="H155" s="534"/>
      <c r="I155" s="557"/>
      <c r="J155" s="2105" t="s">
        <v>317</v>
      </c>
      <c r="K155" s="2082"/>
      <c r="L155" s="2082"/>
      <c r="M155" s="2082"/>
      <c r="N155" s="2082"/>
      <c r="O155" s="2082"/>
      <c r="P155" s="2082"/>
      <c r="Q155" s="475">
        <v>2</v>
      </c>
      <c r="R155" s="2106" t="s">
        <v>25</v>
      </c>
      <c r="S155" s="475">
        <v>100000</v>
      </c>
      <c r="T155" s="473" t="s">
        <v>0</v>
      </c>
      <c r="U155" s="2106"/>
      <c r="V155" s="473">
        <v>5</v>
      </c>
      <c r="W155" s="2106" t="s">
        <v>3</v>
      </c>
      <c r="X155" s="2030" t="s">
        <v>1</v>
      </c>
      <c r="Y155" s="554">
        <f t="shared" si="29"/>
        <v>1000</v>
      </c>
      <c r="Z155" s="1898">
        <f>Q155*S155*V155</f>
        <v>1000000</v>
      </c>
      <c r="AA155" s="427"/>
      <c r="AB155" s="427"/>
      <c r="AC155" s="192"/>
    </row>
    <row r="156" spans="1:29" s="300" customFormat="1" ht="22.5" customHeight="1">
      <c r="A156" s="591"/>
      <c r="B156" s="592"/>
      <c r="C156" s="542"/>
      <c r="D156" s="2020"/>
      <c r="E156" s="2023" t="s">
        <v>58</v>
      </c>
      <c r="F156" s="549">
        <f>Y156</f>
        <v>3900</v>
      </c>
      <c r="G156" s="2029">
        <v>3900</v>
      </c>
      <c r="H156" s="534"/>
      <c r="I156" s="557"/>
      <c r="J156" s="2105" t="s">
        <v>768</v>
      </c>
      <c r="K156" s="2082"/>
      <c r="L156" s="2082"/>
      <c r="M156" s="2082"/>
      <c r="N156" s="2082"/>
      <c r="O156" s="2082"/>
      <c r="P156" s="2082"/>
      <c r="Q156" s="475"/>
      <c r="R156" s="2106"/>
      <c r="S156" s="475"/>
      <c r="T156" s="473"/>
      <c r="U156" s="2106"/>
      <c r="V156" s="473"/>
      <c r="W156" s="2106"/>
      <c r="X156" s="2030"/>
      <c r="Y156" s="554">
        <f t="shared" si="29"/>
        <v>3900</v>
      </c>
      <c r="Z156" s="1898">
        <f>SUM(Z157:Z160)</f>
        <v>3900000</v>
      </c>
      <c r="AA156" s="427"/>
      <c r="AB156" s="427"/>
      <c r="AC156" s="192"/>
    </row>
    <row r="157" spans="1:29" s="1926" customFormat="1" ht="22.5" customHeight="1">
      <c r="A157" s="591"/>
      <c r="B157" s="592"/>
      <c r="C157" s="542"/>
      <c r="D157" s="2020"/>
      <c r="E157" s="532"/>
      <c r="F157" s="549"/>
      <c r="G157" s="2029"/>
      <c r="H157" s="534"/>
      <c r="I157" s="557"/>
      <c r="J157" s="2105" t="s">
        <v>1662</v>
      </c>
      <c r="K157" s="2082"/>
      <c r="L157" s="2082"/>
      <c r="M157" s="2082"/>
      <c r="N157" s="2082"/>
      <c r="O157" s="2082"/>
      <c r="P157" s="2082"/>
      <c r="Q157" s="475">
        <v>5</v>
      </c>
      <c r="R157" s="2106" t="s">
        <v>25</v>
      </c>
      <c r="S157" s="475">
        <v>300000</v>
      </c>
      <c r="T157" s="473" t="s">
        <v>0</v>
      </c>
      <c r="U157" s="2106"/>
      <c r="V157" s="473">
        <v>1</v>
      </c>
      <c r="W157" s="2106" t="s">
        <v>3</v>
      </c>
      <c r="X157" s="2030" t="s">
        <v>1</v>
      </c>
      <c r="Y157" s="554">
        <f t="shared" si="29"/>
        <v>1500</v>
      </c>
      <c r="Z157" s="1898">
        <f>Q157*S157*V157</f>
        <v>1500000</v>
      </c>
      <c r="AA157" s="427"/>
      <c r="AB157" s="427"/>
      <c r="AC157" s="192"/>
    </row>
    <row r="158" spans="1:29" s="300" customFormat="1" ht="22.5" customHeight="1">
      <c r="A158" s="591"/>
      <c r="B158" s="592"/>
      <c r="C158" s="542"/>
      <c r="D158" s="2020"/>
      <c r="E158" s="532"/>
      <c r="F158" s="549"/>
      <c r="G158" s="2029"/>
      <c r="H158" s="534"/>
      <c r="I158" s="557"/>
      <c r="J158" s="2105" t="s">
        <v>2525</v>
      </c>
      <c r="K158" s="473"/>
      <c r="L158" s="473"/>
      <c r="M158" s="473"/>
      <c r="N158" s="473"/>
      <c r="O158" s="473"/>
      <c r="P158" s="473"/>
      <c r="Q158" s="2106"/>
      <c r="R158" s="2106"/>
      <c r="S158" s="556">
        <v>500000</v>
      </c>
      <c r="T158" s="2106" t="s">
        <v>37</v>
      </c>
      <c r="U158" s="2106"/>
      <c r="V158" s="2106">
        <v>2</v>
      </c>
      <c r="W158" s="2106" t="s">
        <v>302</v>
      </c>
      <c r="X158" s="2030" t="s">
        <v>1</v>
      </c>
      <c r="Y158" s="554">
        <f t="shared" si="29"/>
        <v>1000</v>
      </c>
      <c r="Z158" s="1898">
        <f>S158*V158</f>
        <v>1000000</v>
      </c>
      <c r="AA158" s="427"/>
      <c r="AB158" s="427"/>
      <c r="AC158" s="192"/>
    </row>
    <row r="159" spans="1:29" s="300" customFormat="1" ht="22.5" customHeight="1">
      <c r="A159" s="591"/>
      <c r="B159" s="592"/>
      <c r="C159" s="542"/>
      <c r="D159" s="2020"/>
      <c r="E159" s="532"/>
      <c r="F159" s="549"/>
      <c r="G159" s="2029"/>
      <c r="H159" s="534"/>
      <c r="I159" s="557"/>
      <c r="J159" s="2105" t="s">
        <v>2526</v>
      </c>
      <c r="K159" s="473"/>
      <c r="L159" s="473"/>
      <c r="M159" s="473"/>
      <c r="N159" s="473"/>
      <c r="O159" s="473"/>
      <c r="P159" s="473"/>
      <c r="Q159" s="475">
        <v>2</v>
      </c>
      <c r="R159" s="2106" t="s">
        <v>929</v>
      </c>
      <c r="S159" s="556">
        <v>200000</v>
      </c>
      <c r="T159" s="2106" t="s">
        <v>37</v>
      </c>
      <c r="U159" s="2106"/>
      <c r="V159" s="2106">
        <v>3</v>
      </c>
      <c r="W159" s="2106" t="s">
        <v>39</v>
      </c>
      <c r="X159" s="2030" t="s">
        <v>38</v>
      </c>
      <c r="Y159" s="554">
        <f t="shared" si="29"/>
        <v>1200</v>
      </c>
      <c r="Z159" s="1898">
        <f>Q159*S159*V159</f>
        <v>1200000</v>
      </c>
      <c r="AA159" s="427"/>
      <c r="AB159" s="427"/>
      <c r="AC159" s="192"/>
    </row>
    <row r="160" spans="1:29" s="1926" customFormat="1" ht="22.5" customHeight="1">
      <c r="A160" s="591"/>
      <c r="B160" s="592"/>
      <c r="C160" s="542"/>
      <c r="D160" s="2020"/>
      <c r="E160" s="532"/>
      <c r="F160" s="549"/>
      <c r="G160" s="2029"/>
      <c r="H160" s="534"/>
      <c r="I160" s="557"/>
      <c r="J160" s="2105" t="s">
        <v>2527</v>
      </c>
      <c r="K160" s="473"/>
      <c r="L160" s="473"/>
      <c r="M160" s="473"/>
      <c r="N160" s="473"/>
      <c r="O160" s="473"/>
      <c r="P160" s="473"/>
      <c r="Q160" s="475">
        <v>1</v>
      </c>
      <c r="R160" s="2106" t="s">
        <v>929</v>
      </c>
      <c r="S160" s="556">
        <v>200000</v>
      </c>
      <c r="T160" s="2106" t="s">
        <v>37</v>
      </c>
      <c r="U160" s="2106"/>
      <c r="V160" s="2106">
        <v>1</v>
      </c>
      <c r="W160" s="2106" t="s">
        <v>39</v>
      </c>
      <c r="X160" s="2030" t="s">
        <v>1</v>
      </c>
      <c r="Y160" s="554">
        <f>Z160/1000</f>
        <v>200</v>
      </c>
      <c r="Z160" s="1898">
        <f>Q160*S160*V160</f>
        <v>200000</v>
      </c>
      <c r="AA160" s="427"/>
      <c r="AB160" s="427"/>
      <c r="AC160" s="192"/>
    </row>
    <row r="161" spans="1:29" s="300" customFormat="1" ht="22.5" customHeight="1">
      <c r="A161" s="591"/>
      <c r="B161" s="592"/>
      <c r="C161" s="542"/>
      <c r="D161" s="2020"/>
      <c r="E161" s="2023" t="s">
        <v>238</v>
      </c>
      <c r="F161" s="549">
        <f>Y161</f>
        <v>37500</v>
      </c>
      <c r="G161" s="2029">
        <v>37500</v>
      </c>
      <c r="H161" s="534"/>
      <c r="I161" s="557"/>
      <c r="J161" s="2105" t="s">
        <v>329</v>
      </c>
      <c r="K161" s="2082"/>
      <c r="L161" s="2082"/>
      <c r="M161" s="2082"/>
      <c r="N161" s="2082"/>
      <c r="O161" s="2082"/>
      <c r="P161" s="2082"/>
      <c r="Q161" s="556"/>
      <c r="R161" s="2092"/>
      <c r="S161" s="474">
        <v>1500000</v>
      </c>
      <c r="T161" s="2106" t="s">
        <v>0</v>
      </c>
      <c r="U161" s="2106"/>
      <c r="V161" s="2106">
        <v>25</v>
      </c>
      <c r="W161" s="2106" t="s">
        <v>2222</v>
      </c>
      <c r="X161" s="2030" t="s">
        <v>1</v>
      </c>
      <c r="Y161" s="554">
        <f t="shared" si="29"/>
        <v>37500</v>
      </c>
      <c r="Z161" s="1898">
        <f>S161*V161</f>
        <v>37500000</v>
      </c>
      <c r="AA161" s="427"/>
      <c r="AB161" s="427"/>
      <c r="AC161" s="192"/>
    </row>
    <row r="162" spans="1:29" s="300" customFormat="1" ht="22.5" customHeight="1">
      <c r="A162" s="591"/>
      <c r="B162" s="592"/>
      <c r="C162" s="542"/>
      <c r="D162" s="2020"/>
      <c r="E162" s="532" t="s">
        <v>62</v>
      </c>
      <c r="F162" s="549">
        <f>Y162</f>
        <v>4400</v>
      </c>
      <c r="G162" s="2029">
        <v>4400</v>
      </c>
      <c r="H162" s="534"/>
      <c r="I162" s="557"/>
      <c r="J162" s="2105" t="s">
        <v>325</v>
      </c>
      <c r="K162" s="2082"/>
      <c r="L162" s="2082"/>
      <c r="M162" s="2082"/>
      <c r="N162" s="2082"/>
      <c r="O162" s="2082"/>
      <c r="P162" s="2082"/>
      <c r="Q162" s="475"/>
      <c r="R162" s="2106"/>
      <c r="S162" s="475">
        <v>4400000</v>
      </c>
      <c r="T162" s="473" t="s">
        <v>0</v>
      </c>
      <c r="U162" s="2106"/>
      <c r="V162" s="473">
        <v>1</v>
      </c>
      <c r="W162" s="2106" t="s">
        <v>6</v>
      </c>
      <c r="X162" s="2030" t="s">
        <v>1</v>
      </c>
      <c r="Y162" s="554">
        <f t="shared" si="29"/>
        <v>4400</v>
      </c>
      <c r="Z162" s="1898">
        <f>S162*V162</f>
        <v>4400000</v>
      </c>
      <c r="AA162" s="427"/>
      <c r="AB162" s="427"/>
      <c r="AC162" s="192"/>
    </row>
    <row r="163" spans="1:29" s="1926" customFormat="1" ht="22.5" customHeight="1">
      <c r="A163" s="591"/>
      <c r="B163" s="592"/>
      <c r="C163" s="542"/>
      <c r="D163" s="2020"/>
      <c r="E163" s="532" t="s">
        <v>942</v>
      </c>
      <c r="F163" s="549">
        <f>Y163</f>
        <v>800</v>
      </c>
      <c r="G163" s="2029">
        <v>800</v>
      </c>
      <c r="H163" s="534"/>
      <c r="I163" s="557"/>
      <c r="J163" s="2105" t="s">
        <v>2528</v>
      </c>
      <c r="K163" s="2082"/>
      <c r="L163" s="2082"/>
      <c r="M163" s="2082"/>
      <c r="N163" s="2082"/>
      <c r="O163" s="2082"/>
      <c r="P163" s="2082"/>
      <c r="Q163" s="475"/>
      <c r="R163" s="2106"/>
      <c r="S163" s="475">
        <v>200000</v>
      </c>
      <c r="T163" s="473" t="s">
        <v>37</v>
      </c>
      <c r="U163" s="2106"/>
      <c r="V163" s="473">
        <v>4</v>
      </c>
      <c r="W163" s="2106" t="s">
        <v>39</v>
      </c>
      <c r="X163" s="2030" t="s">
        <v>38</v>
      </c>
      <c r="Y163" s="554">
        <f>Z163/1000</f>
        <v>800</v>
      </c>
      <c r="Z163" s="1898">
        <f>S163*V163</f>
        <v>800000</v>
      </c>
      <c r="AA163" s="427"/>
      <c r="AB163" s="427"/>
      <c r="AC163" s="192"/>
    </row>
    <row r="164" spans="1:29" s="300" customFormat="1" ht="22.5" customHeight="1">
      <c r="A164" s="591"/>
      <c r="B164" s="592"/>
      <c r="C164" s="542"/>
      <c r="D164" s="2020"/>
      <c r="E164" s="532" t="s">
        <v>975</v>
      </c>
      <c r="F164" s="549">
        <f>Y164</f>
        <v>2000</v>
      </c>
      <c r="G164" s="2029">
        <v>2000</v>
      </c>
      <c r="H164" s="534"/>
      <c r="I164" s="557"/>
      <c r="J164" s="2105" t="s">
        <v>768</v>
      </c>
      <c r="K164" s="2082"/>
      <c r="L164" s="2082"/>
      <c r="M164" s="2082"/>
      <c r="N164" s="2082"/>
      <c r="O164" s="2082"/>
      <c r="P164" s="2082"/>
      <c r="Q164" s="475"/>
      <c r="R164" s="2106"/>
      <c r="S164" s="475"/>
      <c r="T164" s="473"/>
      <c r="U164" s="2106"/>
      <c r="V164" s="473"/>
      <c r="W164" s="2106"/>
      <c r="X164" s="2030"/>
      <c r="Y164" s="554">
        <f>Z164/1000</f>
        <v>2000</v>
      </c>
      <c r="Z164" s="3476">
        <f>SUM(Z165:Z166)</f>
        <v>2000000</v>
      </c>
      <c r="AA164" s="427"/>
      <c r="AB164" s="427"/>
      <c r="AC164" s="192"/>
    </row>
    <row r="165" spans="1:29" s="1926" customFormat="1" ht="22.5" customHeight="1">
      <c r="A165" s="591"/>
      <c r="B165" s="592"/>
      <c r="C165" s="542"/>
      <c r="D165" s="2020"/>
      <c r="E165" s="532"/>
      <c r="F165" s="549"/>
      <c r="G165" s="2029"/>
      <c r="H165" s="534"/>
      <c r="I165" s="557"/>
      <c r="J165" s="2105" t="s">
        <v>1199</v>
      </c>
      <c r="K165" s="2082"/>
      <c r="L165" s="2082"/>
      <c r="M165" s="2082"/>
      <c r="N165" s="2082"/>
      <c r="O165" s="2082"/>
      <c r="P165" s="2082"/>
      <c r="Q165" s="475"/>
      <c r="R165" s="2106"/>
      <c r="S165" s="475">
        <v>1500000</v>
      </c>
      <c r="T165" s="473" t="s">
        <v>37</v>
      </c>
      <c r="U165" s="2106"/>
      <c r="V165" s="473">
        <v>1</v>
      </c>
      <c r="W165" s="2106" t="s">
        <v>763</v>
      </c>
      <c r="X165" s="2030" t="s">
        <v>38</v>
      </c>
      <c r="Y165" s="554">
        <f>Z165/1000</f>
        <v>1500</v>
      </c>
      <c r="Z165" s="3476">
        <f>S165*V165</f>
        <v>1500000</v>
      </c>
      <c r="AA165" s="427"/>
      <c r="AB165" s="427"/>
      <c r="AC165" s="192"/>
    </row>
    <row r="166" spans="1:29" s="1926" customFormat="1" ht="22.5" customHeight="1">
      <c r="A166" s="591"/>
      <c r="B166" s="592"/>
      <c r="C166" s="542"/>
      <c r="D166" s="611"/>
      <c r="E166" s="612"/>
      <c r="F166" s="549"/>
      <c r="G166" s="613"/>
      <c r="H166" s="534"/>
      <c r="I166" s="2340"/>
      <c r="J166" s="614" t="s">
        <v>1200</v>
      </c>
      <c r="K166" s="2072"/>
      <c r="L166" s="2072"/>
      <c r="M166" s="2072"/>
      <c r="N166" s="2072"/>
      <c r="O166" s="2072"/>
      <c r="P166" s="2072"/>
      <c r="Q166" s="615"/>
      <c r="R166" s="616"/>
      <c r="S166" s="617">
        <v>500000</v>
      </c>
      <c r="T166" s="618" t="s">
        <v>37</v>
      </c>
      <c r="U166" s="618"/>
      <c r="V166" s="618">
        <v>1</v>
      </c>
      <c r="W166" s="618" t="s">
        <v>763</v>
      </c>
      <c r="X166" s="619" t="s">
        <v>1</v>
      </c>
      <c r="Y166" s="554">
        <f>Z166/1000</f>
        <v>500</v>
      </c>
      <c r="Z166" s="1898">
        <f>S166*V166</f>
        <v>500000</v>
      </c>
      <c r="AA166" s="427"/>
      <c r="AB166" s="427"/>
      <c r="AC166" s="192"/>
    </row>
    <row r="167" spans="1:29" s="300" customFormat="1" ht="22.5" customHeight="1">
      <c r="A167" s="540"/>
      <c r="B167" s="592"/>
      <c r="C167" s="542"/>
      <c r="D167" s="3825" t="s">
        <v>321</v>
      </c>
      <c r="E167" s="3826"/>
      <c r="F167" s="598">
        <f>SUM(F168:F173)</f>
        <v>40000</v>
      </c>
      <c r="G167" s="598">
        <f>SUM(G168:G173)</f>
        <v>40000</v>
      </c>
      <c r="H167" s="529">
        <f>F167-G167</f>
        <v>0</v>
      </c>
      <c r="I167" s="557"/>
      <c r="J167" s="538"/>
      <c r="K167" s="2068"/>
      <c r="L167" s="2068"/>
      <c r="M167" s="2068"/>
      <c r="N167" s="2068"/>
      <c r="O167" s="2068"/>
      <c r="P167" s="2068"/>
      <c r="Q167" s="2068"/>
      <c r="R167" s="539"/>
      <c r="S167" s="2068"/>
      <c r="T167" s="2068"/>
      <c r="U167" s="2068"/>
      <c r="V167" s="2068"/>
      <c r="W167" s="2068"/>
      <c r="X167" s="585"/>
      <c r="Y167" s="594"/>
      <c r="Z167" s="3474">
        <v>40000000</v>
      </c>
      <c r="AA167" s="427"/>
      <c r="AB167" s="427"/>
      <c r="AC167" s="192"/>
    </row>
    <row r="168" spans="1:29" s="300" customFormat="1" ht="22.5" customHeight="1">
      <c r="A168" s="591"/>
      <c r="B168" s="592"/>
      <c r="C168" s="542"/>
      <c r="D168" s="506"/>
      <c r="E168" s="602" t="s">
        <v>137</v>
      </c>
      <c r="F168" s="549">
        <f t="shared" ref="F168:F173" si="30">Y168</f>
        <v>3000</v>
      </c>
      <c r="G168" s="603">
        <v>3000</v>
      </c>
      <c r="H168" s="534"/>
      <c r="I168" s="557"/>
      <c r="J168" s="604" t="s">
        <v>322</v>
      </c>
      <c r="K168" s="605"/>
      <c r="L168" s="605"/>
      <c r="M168" s="605"/>
      <c r="N168" s="605"/>
      <c r="O168" s="605"/>
      <c r="P168" s="605"/>
      <c r="Q168" s="606"/>
      <c r="R168" s="607"/>
      <c r="S168" s="608">
        <v>3000000</v>
      </c>
      <c r="T168" s="609" t="s">
        <v>0</v>
      </c>
      <c r="U168" s="609"/>
      <c r="V168" s="609">
        <v>1</v>
      </c>
      <c r="W168" s="609" t="s">
        <v>3</v>
      </c>
      <c r="X168" s="610" t="s">
        <v>1</v>
      </c>
      <c r="Y168" s="554">
        <f t="shared" ref="Y168:Y173" si="31">Z168/1000</f>
        <v>3000</v>
      </c>
      <c r="Z168" s="1898">
        <f>S168*V168</f>
        <v>3000000</v>
      </c>
      <c r="AA168" s="427"/>
      <c r="AB168" s="427"/>
      <c r="AC168" s="192"/>
    </row>
    <row r="169" spans="1:29" s="300" customFormat="1" ht="22.5" customHeight="1">
      <c r="A169" s="591"/>
      <c r="B169" s="592"/>
      <c r="C169" s="542"/>
      <c r="D169" s="2020"/>
      <c r="E169" s="532" t="s">
        <v>95</v>
      </c>
      <c r="F169" s="549">
        <f t="shared" si="30"/>
        <v>2000</v>
      </c>
      <c r="G169" s="2029">
        <v>2000</v>
      </c>
      <c r="H169" s="534"/>
      <c r="I169" s="557"/>
      <c r="J169" s="2105" t="s">
        <v>317</v>
      </c>
      <c r="K169" s="2082"/>
      <c r="L169" s="2082"/>
      <c r="M169" s="2082"/>
      <c r="N169" s="2082"/>
      <c r="O169" s="2082"/>
      <c r="P169" s="2082"/>
      <c r="Q169" s="475">
        <v>4</v>
      </c>
      <c r="R169" s="2106" t="s">
        <v>25</v>
      </c>
      <c r="S169" s="475">
        <v>50000</v>
      </c>
      <c r="T169" s="473" t="s">
        <v>0</v>
      </c>
      <c r="U169" s="2106"/>
      <c r="V169" s="473">
        <v>10</v>
      </c>
      <c r="W169" s="2106" t="s">
        <v>29</v>
      </c>
      <c r="X169" s="2030" t="s">
        <v>1</v>
      </c>
      <c r="Y169" s="554">
        <f t="shared" si="31"/>
        <v>2000</v>
      </c>
      <c r="Z169" s="1898">
        <f>Q169*S169*V169</f>
        <v>2000000</v>
      </c>
      <c r="AA169" s="427"/>
      <c r="AB169" s="427"/>
      <c r="AC169" s="192"/>
    </row>
    <row r="170" spans="1:29" s="300" customFormat="1" ht="22.5" customHeight="1">
      <c r="A170" s="591"/>
      <c r="B170" s="592"/>
      <c r="C170" s="542"/>
      <c r="D170" s="2020"/>
      <c r="E170" s="2023" t="s">
        <v>58</v>
      </c>
      <c r="F170" s="549">
        <f t="shared" si="30"/>
        <v>10000</v>
      </c>
      <c r="G170" s="2029">
        <v>10000</v>
      </c>
      <c r="H170" s="534"/>
      <c r="I170" s="557"/>
      <c r="J170" s="2105" t="s">
        <v>323</v>
      </c>
      <c r="K170" s="2082"/>
      <c r="L170" s="2082"/>
      <c r="M170" s="2082"/>
      <c r="N170" s="2082"/>
      <c r="O170" s="2082"/>
      <c r="P170" s="2082"/>
      <c r="Q170" s="475"/>
      <c r="R170" s="2106"/>
      <c r="S170" s="475">
        <v>500000</v>
      </c>
      <c r="T170" s="473" t="s">
        <v>0</v>
      </c>
      <c r="U170" s="2106"/>
      <c r="V170" s="473">
        <v>20</v>
      </c>
      <c r="W170" s="2106" t="s">
        <v>28</v>
      </c>
      <c r="X170" s="2030" t="s">
        <v>1</v>
      </c>
      <c r="Y170" s="554">
        <f t="shared" si="31"/>
        <v>10000</v>
      </c>
      <c r="Z170" s="1898">
        <f>S170*V170</f>
        <v>10000000</v>
      </c>
      <c r="AA170" s="427"/>
      <c r="AB170" s="427"/>
      <c r="AC170" s="192"/>
    </row>
    <row r="171" spans="1:29" s="300" customFormat="1" ht="22.5" customHeight="1">
      <c r="A171" s="591"/>
      <c r="B171" s="592"/>
      <c r="C171" s="542"/>
      <c r="D171" s="2020"/>
      <c r="E171" s="532" t="s">
        <v>71</v>
      </c>
      <c r="F171" s="549">
        <f t="shared" si="30"/>
        <v>20000</v>
      </c>
      <c r="G171" s="2029">
        <v>20000</v>
      </c>
      <c r="H171" s="534"/>
      <c r="I171" s="557"/>
      <c r="J171" s="2105" t="s">
        <v>324</v>
      </c>
      <c r="K171" s="473"/>
      <c r="L171" s="473"/>
      <c r="M171" s="473"/>
      <c r="N171" s="473"/>
      <c r="O171" s="473"/>
      <c r="P171" s="473"/>
      <c r="Q171" s="2106"/>
      <c r="R171" s="2106"/>
      <c r="S171" s="556">
        <v>20000000</v>
      </c>
      <c r="T171" s="2106" t="s">
        <v>0</v>
      </c>
      <c r="U171" s="2106"/>
      <c r="V171" s="2106">
        <v>1</v>
      </c>
      <c r="W171" s="2106" t="s">
        <v>6</v>
      </c>
      <c r="X171" s="2030" t="s">
        <v>1</v>
      </c>
      <c r="Y171" s="554">
        <f t="shared" si="31"/>
        <v>20000</v>
      </c>
      <c r="Z171" s="1898">
        <f>S171*V171</f>
        <v>20000000</v>
      </c>
      <c r="AA171" s="427"/>
      <c r="AB171" s="427"/>
      <c r="AC171" s="192"/>
    </row>
    <row r="172" spans="1:29" s="300" customFormat="1" ht="22.5" customHeight="1">
      <c r="A172" s="591"/>
      <c r="B172" s="592"/>
      <c r="C172" s="542"/>
      <c r="D172" s="2020"/>
      <c r="E172" s="532" t="s">
        <v>62</v>
      </c>
      <c r="F172" s="549">
        <f t="shared" si="30"/>
        <v>3000</v>
      </c>
      <c r="G172" s="2029">
        <v>3000</v>
      </c>
      <c r="H172" s="534"/>
      <c r="I172" s="557"/>
      <c r="J172" s="2105" t="s">
        <v>325</v>
      </c>
      <c r="K172" s="2082"/>
      <c r="L172" s="2082"/>
      <c r="M172" s="2082"/>
      <c r="N172" s="2082"/>
      <c r="O172" s="2082"/>
      <c r="P172" s="2082"/>
      <c r="Q172" s="475"/>
      <c r="R172" s="2106"/>
      <c r="S172" s="475">
        <v>3000000</v>
      </c>
      <c r="T172" s="473" t="s">
        <v>0</v>
      </c>
      <c r="U172" s="2106"/>
      <c r="V172" s="473">
        <v>1</v>
      </c>
      <c r="W172" s="2106" t="s">
        <v>6</v>
      </c>
      <c r="X172" s="2030" t="s">
        <v>1</v>
      </c>
      <c r="Y172" s="554">
        <f t="shared" si="31"/>
        <v>3000</v>
      </c>
      <c r="Z172" s="1898">
        <f>S172*V172</f>
        <v>3000000</v>
      </c>
      <c r="AA172" s="427"/>
      <c r="AB172" s="427"/>
      <c r="AC172" s="192"/>
    </row>
    <row r="173" spans="1:29" s="300" customFormat="1" ht="22.5" customHeight="1">
      <c r="A173" s="591"/>
      <c r="B173" s="592"/>
      <c r="C173" s="542"/>
      <c r="D173" s="2020"/>
      <c r="E173" s="532" t="s">
        <v>61</v>
      </c>
      <c r="F173" s="549">
        <f t="shared" si="30"/>
        <v>2000</v>
      </c>
      <c r="G173" s="2029">
        <v>2000</v>
      </c>
      <c r="H173" s="534"/>
      <c r="I173" s="557"/>
      <c r="J173" s="2105" t="s">
        <v>326</v>
      </c>
      <c r="K173" s="2082"/>
      <c r="L173" s="2082"/>
      <c r="M173" s="2082"/>
      <c r="N173" s="2082"/>
      <c r="O173" s="2082"/>
      <c r="P173" s="2082"/>
      <c r="Q173" s="556"/>
      <c r="R173" s="2092"/>
      <c r="S173" s="474">
        <v>200000</v>
      </c>
      <c r="T173" s="2106" t="s">
        <v>0</v>
      </c>
      <c r="U173" s="2106"/>
      <c r="V173" s="2106">
        <v>10</v>
      </c>
      <c r="W173" s="2106" t="s">
        <v>3</v>
      </c>
      <c r="X173" s="2030" t="s">
        <v>1</v>
      </c>
      <c r="Y173" s="554">
        <f t="shared" si="31"/>
        <v>2000</v>
      </c>
      <c r="Z173" s="1898">
        <f>S173*V173</f>
        <v>2000000</v>
      </c>
      <c r="AA173" s="427"/>
      <c r="AB173" s="427"/>
      <c r="AC173" s="192"/>
    </row>
    <row r="174" spans="1:29" s="300" customFormat="1" ht="21.95" customHeight="1">
      <c r="A174" s="562"/>
      <c r="B174" s="563"/>
      <c r="C174" s="3924" t="s">
        <v>330</v>
      </c>
      <c r="D174" s="3924"/>
      <c r="E174" s="3826"/>
      <c r="F174" s="528">
        <f>F175+F199</f>
        <v>437500</v>
      </c>
      <c r="G174" s="528">
        <f>G175+G199</f>
        <v>437500</v>
      </c>
      <c r="H174" s="620">
        <f>F174-G174</f>
        <v>0</v>
      </c>
      <c r="I174" s="557"/>
      <c r="J174" s="2025"/>
      <c r="K174" s="2068"/>
      <c r="L174" s="2068"/>
      <c r="M174" s="2068"/>
      <c r="N174" s="2068"/>
      <c r="O174" s="2068"/>
      <c r="P174" s="2068"/>
      <c r="Q174" s="621"/>
      <c r="R174" s="539"/>
      <c r="S174" s="545"/>
      <c r="T174" s="2026"/>
      <c r="U174" s="2026"/>
      <c r="V174" s="2026"/>
      <c r="W174" s="2026"/>
      <c r="X174" s="2028"/>
      <c r="Y174" s="517"/>
      <c r="Z174" s="1898"/>
      <c r="AA174" s="427"/>
      <c r="AB174" s="427"/>
      <c r="AC174" s="192"/>
    </row>
    <row r="175" spans="1:29" s="300" customFormat="1" ht="21.95" customHeight="1">
      <c r="A175" s="562"/>
      <c r="B175" s="563"/>
      <c r="C175" s="473"/>
      <c r="D175" s="3825" t="s">
        <v>1198</v>
      </c>
      <c r="E175" s="3826"/>
      <c r="F175" s="525">
        <f>SUM(F176:F198)</f>
        <v>250000</v>
      </c>
      <c r="G175" s="525">
        <f>SUM(G176:G198)</f>
        <v>250000</v>
      </c>
      <c r="H175" s="620">
        <f>F175-G175</f>
        <v>0</v>
      </c>
      <c r="I175" s="543"/>
      <c r="J175" s="2025"/>
      <c r="K175" s="2068"/>
      <c r="L175" s="2068"/>
      <c r="M175" s="2068"/>
      <c r="N175" s="2068"/>
      <c r="O175" s="2068"/>
      <c r="P175" s="2068"/>
      <c r="Q175" s="2068"/>
      <c r="R175" s="539"/>
      <c r="S175" s="2026"/>
      <c r="T175" s="2026"/>
      <c r="U175" s="2026"/>
      <c r="V175" s="2026"/>
      <c r="W175" s="2026"/>
      <c r="X175" s="2028"/>
      <c r="Y175" s="517"/>
      <c r="Z175" s="2711"/>
      <c r="AA175" s="427"/>
      <c r="AB175" s="427"/>
      <c r="AC175" s="192"/>
    </row>
    <row r="176" spans="1:29" s="300" customFormat="1" ht="21.95" customHeight="1">
      <c r="A176" s="562"/>
      <c r="B176" s="563"/>
      <c r="C176" s="473"/>
      <c r="D176" s="2020"/>
      <c r="E176" s="532" t="s">
        <v>57</v>
      </c>
      <c r="F176" s="2125">
        <f>Y176</f>
        <v>15000</v>
      </c>
      <c r="G176" s="526">
        <v>13000</v>
      </c>
      <c r="H176" s="1364">
        <f>F176-G176</f>
        <v>2000</v>
      </c>
      <c r="I176" s="543"/>
      <c r="J176" s="3589" t="s">
        <v>8</v>
      </c>
      <c r="K176" s="3588"/>
      <c r="L176" s="3588"/>
      <c r="M176" s="3588"/>
      <c r="N176" s="3588"/>
      <c r="O176" s="3588"/>
      <c r="P176" s="3588"/>
      <c r="Q176" s="3109" t="s">
        <v>20</v>
      </c>
      <c r="R176" s="552" t="s">
        <v>20</v>
      </c>
      <c r="S176" s="3108"/>
      <c r="T176" s="3590"/>
      <c r="U176" s="3590"/>
      <c r="V176" s="3590"/>
      <c r="W176" s="3590"/>
      <c r="X176" s="2030"/>
      <c r="Y176" s="3110">
        <f t="shared" ref="Y176:Y198" si="32">Z176/1000</f>
        <v>15000</v>
      </c>
      <c r="Z176" s="1898">
        <f>+Z177+Z178</f>
        <v>15000000</v>
      </c>
      <c r="AA176" s="427"/>
      <c r="AB176" s="427"/>
      <c r="AC176" s="192"/>
    </row>
    <row r="177" spans="1:29" s="300" customFormat="1" ht="21.95" customHeight="1">
      <c r="A177" s="562"/>
      <c r="B177" s="563"/>
      <c r="C177" s="473"/>
      <c r="D177" s="2020"/>
      <c r="E177" s="532"/>
      <c r="F177" s="526"/>
      <c r="G177" s="526"/>
      <c r="H177" s="551"/>
      <c r="I177" s="543"/>
      <c r="J177" s="3589" t="s">
        <v>5323</v>
      </c>
      <c r="K177" s="3588"/>
      <c r="L177" s="3588"/>
      <c r="M177" s="3588"/>
      <c r="N177" s="3588"/>
      <c r="O177" s="3588"/>
      <c r="P177" s="3588"/>
      <c r="Q177" s="3588"/>
      <c r="R177" s="552"/>
      <c r="S177" s="3590">
        <v>10000000</v>
      </c>
      <c r="T177" s="3590" t="s">
        <v>0</v>
      </c>
      <c r="U177" s="3590"/>
      <c r="V177" s="3590">
        <v>1</v>
      </c>
      <c r="W177" s="3590" t="s">
        <v>6</v>
      </c>
      <c r="X177" s="2030" t="s">
        <v>1</v>
      </c>
      <c r="Y177" s="3110">
        <f t="shared" si="32"/>
        <v>10000</v>
      </c>
      <c r="Z177" s="1898">
        <f>S177*V177</f>
        <v>10000000</v>
      </c>
      <c r="AA177" s="427"/>
      <c r="AB177" s="427"/>
      <c r="AC177" s="192"/>
    </row>
    <row r="178" spans="1:29" s="300" customFormat="1" ht="21.95" customHeight="1">
      <c r="A178" s="562"/>
      <c r="B178" s="563"/>
      <c r="C178" s="473"/>
      <c r="D178" s="2020"/>
      <c r="E178" s="532"/>
      <c r="F178" s="526"/>
      <c r="G178" s="526"/>
      <c r="H178" s="551"/>
      <c r="I178" s="543"/>
      <c r="J178" s="3589" t="s">
        <v>5324</v>
      </c>
      <c r="K178" s="3588"/>
      <c r="L178" s="3588"/>
      <c r="M178" s="3588"/>
      <c r="N178" s="3588"/>
      <c r="O178" s="3588"/>
      <c r="P178" s="3588"/>
      <c r="Q178" s="3588"/>
      <c r="R178" s="552"/>
      <c r="S178" s="3590">
        <v>2500000</v>
      </c>
      <c r="T178" s="3590" t="s">
        <v>0</v>
      </c>
      <c r="U178" s="3590"/>
      <c r="V178" s="3590">
        <v>2</v>
      </c>
      <c r="W178" s="3590" t="s">
        <v>6</v>
      </c>
      <c r="X178" s="2030" t="s">
        <v>1</v>
      </c>
      <c r="Y178" s="3110">
        <f t="shared" si="32"/>
        <v>5000</v>
      </c>
      <c r="Z178" s="1898">
        <f>S178*V178</f>
        <v>5000000</v>
      </c>
      <c r="AA178" s="427"/>
      <c r="AB178" s="427"/>
      <c r="AC178" s="192"/>
    </row>
    <row r="179" spans="1:29" s="300" customFormat="1" ht="21.95" customHeight="1">
      <c r="A179" s="562"/>
      <c r="B179" s="563"/>
      <c r="C179" s="473"/>
      <c r="D179" s="2020"/>
      <c r="E179" s="532" t="s">
        <v>80</v>
      </c>
      <c r="F179" s="2125">
        <f>Y179</f>
        <v>500</v>
      </c>
      <c r="G179" s="526">
        <v>500</v>
      </c>
      <c r="H179" s="1364"/>
      <c r="I179" s="543"/>
      <c r="J179" s="3589" t="s">
        <v>241</v>
      </c>
      <c r="K179" s="3588"/>
      <c r="L179" s="3588"/>
      <c r="M179" s="3588"/>
      <c r="N179" s="3588"/>
      <c r="O179" s="3588"/>
      <c r="P179" s="3588"/>
      <c r="Q179" s="3590"/>
      <c r="R179" s="3590"/>
      <c r="S179" s="3109">
        <v>500000</v>
      </c>
      <c r="T179" s="3590" t="s">
        <v>0</v>
      </c>
      <c r="U179" s="3590"/>
      <c r="V179" s="3590">
        <v>1</v>
      </c>
      <c r="W179" s="3590" t="s">
        <v>3</v>
      </c>
      <c r="X179" s="2030" t="s">
        <v>1</v>
      </c>
      <c r="Y179" s="3110">
        <f t="shared" si="32"/>
        <v>500</v>
      </c>
      <c r="Z179" s="1898">
        <f>S179*V179</f>
        <v>500000</v>
      </c>
      <c r="AA179" s="427"/>
      <c r="AB179" s="427"/>
      <c r="AC179" s="192"/>
    </row>
    <row r="180" spans="1:29" s="300" customFormat="1" ht="21.95" customHeight="1">
      <c r="A180" s="562"/>
      <c r="B180" s="563"/>
      <c r="C180" s="473"/>
      <c r="D180" s="2020"/>
      <c r="E180" s="532" t="s">
        <v>95</v>
      </c>
      <c r="F180" s="2125">
        <f>Y180</f>
        <v>53000</v>
      </c>
      <c r="G180" s="526">
        <v>38000</v>
      </c>
      <c r="H180" s="2037">
        <f>F180-G180</f>
        <v>15000</v>
      </c>
      <c r="I180" s="543"/>
      <c r="J180" s="3589" t="s">
        <v>5292</v>
      </c>
      <c r="K180" s="3588"/>
      <c r="L180" s="3588"/>
      <c r="M180" s="3588"/>
      <c r="N180" s="3588"/>
      <c r="O180" s="3588"/>
      <c r="P180" s="3588"/>
      <c r="Q180" s="3590"/>
      <c r="R180" s="3590"/>
      <c r="S180" s="3590"/>
      <c r="T180" s="3590"/>
      <c r="U180" s="3590"/>
      <c r="V180" s="3590"/>
      <c r="W180" s="3590"/>
      <c r="X180" s="2030"/>
      <c r="Y180" s="3110">
        <f t="shared" si="32"/>
        <v>53000</v>
      </c>
      <c r="Z180" s="1898">
        <f>+Z181+Z182+Z183</f>
        <v>53000000</v>
      </c>
      <c r="AA180" s="427"/>
      <c r="AB180" s="427"/>
      <c r="AC180" s="192"/>
    </row>
    <row r="181" spans="1:29" s="300" customFormat="1" ht="21.95" customHeight="1">
      <c r="A181" s="562"/>
      <c r="B181" s="563"/>
      <c r="C181" s="473"/>
      <c r="D181" s="2020"/>
      <c r="E181" s="532"/>
      <c r="F181" s="526"/>
      <c r="G181" s="526"/>
      <c r="H181" s="551"/>
      <c r="I181" s="543"/>
      <c r="J181" s="3589" t="s">
        <v>5325</v>
      </c>
      <c r="K181" s="3588"/>
      <c r="L181" s="3588"/>
      <c r="M181" s="3588"/>
      <c r="N181" s="3588"/>
      <c r="O181" s="3588"/>
      <c r="P181" s="3588"/>
      <c r="Q181" s="3590">
        <v>2</v>
      </c>
      <c r="R181" s="3590" t="s">
        <v>25</v>
      </c>
      <c r="S181" s="3590">
        <v>50000</v>
      </c>
      <c r="T181" s="3590" t="s">
        <v>0</v>
      </c>
      <c r="U181" s="3590"/>
      <c r="V181" s="3590">
        <v>30</v>
      </c>
      <c r="W181" s="3590" t="s">
        <v>3</v>
      </c>
      <c r="X181" s="2030" t="s">
        <v>1</v>
      </c>
      <c r="Y181" s="3110">
        <f t="shared" si="32"/>
        <v>3000</v>
      </c>
      <c r="Z181" s="1898">
        <f>Q181*S181*V181</f>
        <v>3000000</v>
      </c>
      <c r="AA181" s="427"/>
      <c r="AB181" s="427"/>
      <c r="AC181" s="192"/>
    </row>
    <row r="182" spans="1:29" s="300" customFormat="1" ht="21.95" customHeight="1">
      <c r="A182" s="562"/>
      <c r="B182" s="563"/>
      <c r="C182" s="473"/>
      <c r="D182" s="2020"/>
      <c r="E182" s="532"/>
      <c r="F182" s="526"/>
      <c r="G182" s="526"/>
      <c r="H182" s="551"/>
      <c r="I182" s="543"/>
      <c r="J182" s="3589" t="s">
        <v>5326</v>
      </c>
      <c r="K182" s="3588"/>
      <c r="L182" s="3588"/>
      <c r="M182" s="3588"/>
      <c r="N182" s="3588"/>
      <c r="O182" s="3588"/>
      <c r="P182" s="3588"/>
      <c r="Q182" s="3590">
        <v>10</v>
      </c>
      <c r="R182" s="3590" t="s">
        <v>25</v>
      </c>
      <c r="S182" s="3590">
        <v>2000000</v>
      </c>
      <c r="T182" s="3590" t="s">
        <v>0</v>
      </c>
      <c r="U182" s="3590"/>
      <c r="V182" s="3590">
        <v>1</v>
      </c>
      <c r="W182" s="3590" t="s">
        <v>3</v>
      </c>
      <c r="X182" s="2030" t="s">
        <v>1</v>
      </c>
      <c r="Y182" s="3110">
        <f t="shared" si="32"/>
        <v>20000</v>
      </c>
      <c r="Z182" s="1898">
        <f>Q182*S182*V182</f>
        <v>20000000</v>
      </c>
      <c r="AA182" s="427"/>
      <c r="AB182" s="427"/>
      <c r="AC182" s="192"/>
    </row>
    <row r="183" spans="1:29" s="300" customFormat="1" ht="21.95" customHeight="1">
      <c r="A183" s="562"/>
      <c r="B183" s="563"/>
      <c r="C183" s="473"/>
      <c r="D183" s="2020"/>
      <c r="E183" s="532"/>
      <c r="F183" s="526"/>
      <c r="G183" s="526"/>
      <c r="H183" s="551"/>
      <c r="I183" s="543"/>
      <c r="J183" s="3589"/>
      <c r="K183" s="3588"/>
      <c r="L183" s="3588"/>
      <c r="M183" s="3588"/>
      <c r="N183" s="3588"/>
      <c r="O183" s="3588"/>
      <c r="P183" s="3588"/>
      <c r="Q183" s="3590">
        <v>6</v>
      </c>
      <c r="R183" s="3590" t="s">
        <v>25</v>
      </c>
      <c r="S183" s="3590">
        <v>5000000</v>
      </c>
      <c r="T183" s="3590" t="s">
        <v>0</v>
      </c>
      <c r="U183" s="3590"/>
      <c r="V183" s="3590">
        <v>1</v>
      </c>
      <c r="W183" s="3590" t="s">
        <v>3</v>
      </c>
      <c r="X183" s="2030" t="s">
        <v>1</v>
      </c>
      <c r="Y183" s="3110">
        <f t="shared" si="32"/>
        <v>30000</v>
      </c>
      <c r="Z183" s="1898">
        <f>Q183*S183*V183</f>
        <v>30000000</v>
      </c>
      <c r="AA183" s="427"/>
      <c r="AB183" s="427"/>
      <c r="AC183" s="192"/>
    </row>
    <row r="184" spans="1:29" s="300" customFormat="1" ht="21.95" customHeight="1">
      <c r="A184" s="562"/>
      <c r="B184" s="563"/>
      <c r="C184" s="473"/>
      <c r="D184" s="2020"/>
      <c r="E184" s="532" t="s">
        <v>58</v>
      </c>
      <c r="F184" s="2125">
        <f>Y184</f>
        <v>11600</v>
      </c>
      <c r="G184" s="526">
        <v>11600</v>
      </c>
      <c r="H184" s="2037"/>
      <c r="I184" s="543"/>
      <c r="J184" s="3589" t="s">
        <v>8</v>
      </c>
      <c r="K184" s="3588"/>
      <c r="L184" s="3588"/>
      <c r="M184" s="3588"/>
      <c r="N184" s="3588"/>
      <c r="O184" s="3588"/>
      <c r="P184" s="3588"/>
      <c r="Q184" s="3590"/>
      <c r="R184" s="3590"/>
      <c r="S184" s="3590"/>
      <c r="T184" s="3590"/>
      <c r="U184" s="3590"/>
      <c r="V184" s="3590"/>
      <c r="W184" s="3590"/>
      <c r="X184" s="2030"/>
      <c r="Y184" s="3110">
        <f t="shared" si="32"/>
        <v>11600</v>
      </c>
      <c r="Z184" s="1898">
        <f>+Z185+Z186+Z187</f>
        <v>11600000</v>
      </c>
      <c r="AA184" s="427"/>
      <c r="AB184" s="427"/>
      <c r="AC184" s="192"/>
    </row>
    <row r="185" spans="1:29" s="300" customFormat="1" ht="21.95" customHeight="1">
      <c r="A185" s="562"/>
      <c r="B185" s="563"/>
      <c r="C185" s="473"/>
      <c r="D185" s="2020"/>
      <c r="E185" s="532"/>
      <c r="F185" s="526"/>
      <c r="G185" s="526"/>
      <c r="H185" s="551"/>
      <c r="I185" s="543"/>
      <c r="J185" s="3589" t="s">
        <v>333</v>
      </c>
      <c r="K185" s="3588"/>
      <c r="L185" s="3588"/>
      <c r="M185" s="3588"/>
      <c r="N185" s="3588"/>
      <c r="O185" s="3588"/>
      <c r="P185" s="3588"/>
      <c r="Q185" s="3590">
        <v>3</v>
      </c>
      <c r="R185" s="3590" t="s">
        <v>25</v>
      </c>
      <c r="S185" s="3590">
        <v>200000</v>
      </c>
      <c r="T185" s="3590" t="s">
        <v>0</v>
      </c>
      <c r="U185" s="3590"/>
      <c r="V185" s="3590">
        <v>4</v>
      </c>
      <c r="W185" s="3590" t="s">
        <v>3</v>
      </c>
      <c r="X185" s="2030" t="s">
        <v>1</v>
      </c>
      <c r="Y185" s="3110">
        <f t="shared" si="32"/>
        <v>2400</v>
      </c>
      <c r="Z185" s="1898">
        <f>Q185*S185*V185</f>
        <v>2400000</v>
      </c>
      <c r="AA185" s="427"/>
      <c r="AB185" s="427"/>
      <c r="AC185" s="192"/>
    </row>
    <row r="186" spans="1:29" s="300" customFormat="1" ht="21.95" customHeight="1">
      <c r="A186" s="562"/>
      <c r="B186" s="563"/>
      <c r="C186" s="473"/>
      <c r="D186" s="2020"/>
      <c r="E186" s="532"/>
      <c r="F186" s="526"/>
      <c r="G186" s="526"/>
      <c r="H186" s="551"/>
      <c r="I186" s="543"/>
      <c r="J186" s="3589" t="s">
        <v>5327</v>
      </c>
      <c r="K186" s="3588"/>
      <c r="L186" s="3588"/>
      <c r="M186" s="3588"/>
      <c r="N186" s="3588"/>
      <c r="O186" s="3588"/>
      <c r="P186" s="3588"/>
      <c r="Q186" s="3590">
        <v>5</v>
      </c>
      <c r="R186" s="3590" t="s">
        <v>25</v>
      </c>
      <c r="S186" s="3590">
        <v>200000</v>
      </c>
      <c r="T186" s="3590" t="s">
        <v>0</v>
      </c>
      <c r="U186" s="3590"/>
      <c r="V186" s="3590">
        <v>8</v>
      </c>
      <c r="W186" s="3590" t="s">
        <v>3</v>
      </c>
      <c r="X186" s="2030" t="s">
        <v>1</v>
      </c>
      <c r="Y186" s="3110">
        <f t="shared" si="32"/>
        <v>8000</v>
      </c>
      <c r="Z186" s="1898">
        <f>Q186*S186*V186</f>
        <v>8000000</v>
      </c>
      <c r="AA186" s="427"/>
      <c r="AB186" s="427"/>
      <c r="AC186" s="192"/>
    </row>
    <row r="187" spans="1:29" s="300" customFormat="1" ht="21.95" customHeight="1">
      <c r="A187" s="562"/>
      <c r="B187" s="563"/>
      <c r="C187" s="473"/>
      <c r="D187" s="2020"/>
      <c r="E187" s="532"/>
      <c r="F187" s="526"/>
      <c r="G187" s="526"/>
      <c r="H187" s="551"/>
      <c r="I187" s="543"/>
      <c r="J187" s="3589" t="s">
        <v>5328</v>
      </c>
      <c r="K187" s="3588"/>
      <c r="L187" s="3588"/>
      <c r="M187" s="3588"/>
      <c r="N187" s="3588"/>
      <c r="O187" s="3588"/>
      <c r="P187" s="3588"/>
      <c r="Q187" s="3590">
        <v>1</v>
      </c>
      <c r="R187" s="3590" t="s">
        <v>25</v>
      </c>
      <c r="S187" s="3590">
        <v>1200000</v>
      </c>
      <c r="T187" s="3590" t="s">
        <v>0</v>
      </c>
      <c r="U187" s="3590"/>
      <c r="V187" s="3590">
        <v>1</v>
      </c>
      <c r="W187" s="3590" t="s">
        <v>3</v>
      </c>
      <c r="X187" s="2030" t="s">
        <v>1</v>
      </c>
      <c r="Y187" s="3110">
        <f t="shared" si="32"/>
        <v>1200</v>
      </c>
      <c r="Z187" s="1898">
        <f>Q187*S187*V187</f>
        <v>1200000</v>
      </c>
      <c r="AA187" s="427"/>
      <c r="AB187" s="427"/>
      <c r="AC187" s="192"/>
    </row>
    <row r="188" spans="1:29" s="300" customFormat="1" ht="21.95" customHeight="1">
      <c r="A188" s="562"/>
      <c r="B188" s="563"/>
      <c r="C188" s="473"/>
      <c r="D188" s="2020"/>
      <c r="E188" s="532" t="s">
        <v>71</v>
      </c>
      <c r="F188" s="2125">
        <f>Y188</f>
        <v>12500</v>
      </c>
      <c r="G188" s="526">
        <v>10000</v>
      </c>
      <c r="H188" s="2037">
        <f>F188-G188</f>
        <v>2500</v>
      </c>
      <c r="I188" s="543"/>
      <c r="J188" s="3589" t="s">
        <v>5292</v>
      </c>
      <c r="K188" s="3588"/>
      <c r="L188" s="3588"/>
      <c r="M188" s="3588"/>
      <c r="N188" s="3588"/>
      <c r="O188" s="3588"/>
      <c r="P188" s="3588"/>
      <c r="Q188" s="3588"/>
      <c r="R188" s="552"/>
      <c r="S188" s="3108"/>
      <c r="T188" s="3590"/>
      <c r="U188" s="3590"/>
      <c r="V188" s="3590"/>
      <c r="W188" s="3590"/>
      <c r="X188" s="2030" t="s">
        <v>20</v>
      </c>
      <c r="Y188" s="3110">
        <f t="shared" si="32"/>
        <v>12500</v>
      </c>
      <c r="Z188" s="1898">
        <f>+Z189+Z190</f>
        <v>12500000</v>
      </c>
      <c r="AA188" s="427"/>
      <c r="AB188" s="427"/>
      <c r="AC188" s="192"/>
    </row>
    <row r="189" spans="1:29" s="300" customFormat="1" ht="21.95" customHeight="1">
      <c r="A189" s="623"/>
      <c r="B189" s="563"/>
      <c r="C189" s="624"/>
      <c r="D189" s="625"/>
      <c r="E189" s="2023"/>
      <c r="F189" s="526"/>
      <c r="G189" s="526"/>
      <c r="H189" s="551"/>
      <c r="I189" s="543"/>
      <c r="J189" s="3106" t="s">
        <v>5329</v>
      </c>
      <c r="K189" s="3588"/>
      <c r="L189" s="3588"/>
      <c r="M189" s="3588"/>
      <c r="N189" s="3588"/>
      <c r="O189" s="3588"/>
      <c r="P189" s="3588"/>
      <c r="Q189" s="3590"/>
      <c r="R189" s="3590"/>
      <c r="S189" s="3109">
        <v>11000000</v>
      </c>
      <c r="T189" s="3590" t="s">
        <v>0</v>
      </c>
      <c r="U189" s="3590"/>
      <c r="V189" s="3590">
        <v>1</v>
      </c>
      <c r="W189" s="3590" t="s">
        <v>6</v>
      </c>
      <c r="X189" s="2030" t="s">
        <v>1</v>
      </c>
      <c r="Y189" s="3110">
        <f t="shared" si="32"/>
        <v>11000</v>
      </c>
      <c r="Z189" s="1898">
        <f>S189*V189</f>
        <v>11000000</v>
      </c>
      <c r="AA189" s="427"/>
      <c r="AB189" s="427"/>
      <c r="AC189" s="192"/>
    </row>
    <row r="190" spans="1:29" s="300" customFormat="1" ht="21.95" customHeight="1">
      <c r="A190" s="623"/>
      <c r="B190" s="563"/>
      <c r="C190" s="564"/>
      <c r="D190" s="625"/>
      <c r="E190" s="2023"/>
      <c r="F190" s="526"/>
      <c r="G190" s="526"/>
      <c r="H190" s="551"/>
      <c r="I190" s="543"/>
      <c r="J190" s="3106" t="s">
        <v>5330</v>
      </c>
      <c r="K190" s="3588"/>
      <c r="L190" s="3588"/>
      <c r="M190" s="3588"/>
      <c r="N190" s="3588"/>
      <c r="O190" s="3588"/>
      <c r="P190" s="3588"/>
      <c r="Q190" s="3590"/>
      <c r="R190" s="3590"/>
      <c r="S190" s="3109">
        <v>1500000</v>
      </c>
      <c r="T190" s="3590" t="s">
        <v>0</v>
      </c>
      <c r="U190" s="3590"/>
      <c r="V190" s="3590">
        <v>1</v>
      </c>
      <c r="W190" s="3590" t="s">
        <v>6</v>
      </c>
      <c r="X190" s="2030" t="s">
        <v>1</v>
      </c>
      <c r="Y190" s="3110">
        <f t="shared" si="32"/>
        <v>1500</v>
      </c>
      <c r="Z190" s="1898">
        <f>S190*V190</f>
        <v>1500000</v>
      </c>
      <c r="AA190" s="427"/>
      <c r="AB190" s="427"/>
      <c r="AC190" s="192"/>
    </row>
    <row r="191" spans="1:29" s="300" customFormat="1" ht="21.95" customHeight="1">
      <c r="A191" s="562"/>
      <c r="B191" s="563"/>
      <c r="C191" s="473"/>
      <c r="D191" s="2020"/>
      <c r="E191" s="532" t="s">
        <v>262</v>
      </c>
      <c r="F191" s="2125">
        <f>Y191</f>
        <v>5000</v>
      </c>
      <c r="G191" s="526">
        <v>0</v>
      </c>
      <c r="H191" s="2037">
        <f>F191-G191</f>
        <v>5000</v>
      </c>
      <c r="I191" s="543"/>
      <c r="J191" s="3106" t="s">
        <v>5311</v>
      </c>
      <c r="K191" s="3588"/>
      <c r="L191" s="3588"/>
      <c r="M191" s="3588"/>
      <c r="N191" s="3588"/>
      <c r="O191" s="3588"/>
      <c r="P191" s="3588"/>
      <c r="Q191" s="3590"/>
      <c r="R191" s="3590"/>
      <c r="S191" s="3109">
        <v>5000000</v>
      </c>
      <c r="T191" s="3590" t="s">
        <v>5294</v>
      </c>
      <c r="U191" s="3590"/>
      <c r="V191" s="3590">
        <v>1</v>
      </c>
      <c r="W191" s="3590" t="s">
        <v>5305</v>
      </c>
      <c r="X191" s="2030" t="s">
        <v>5296</v>
      </c>
      <c r="Y191" s="3110">
        <f t="shared" si="32"/>
        <v>5000</v>
      </c>
      <c r="Z191" s="1898">
        <f>S191*V191</f>
        <v>5000000</v>
      </c>
      <c r="AA191" s="427"/>
      <c r="AB191" s="427"/>
      <c r="AC191" s="192"/>
    </row>
    <row r="192" spans="1:29" s="300" customFormat="1" ht="21.95" customHeight="1">
      <c r="A192" s="562"/>
      <c r="B192" s="563"/>
      <c r="C192" s="473"/>
      <c r="D192" s="2020"/>
      <c r="E192" s="532" t="s">
        <v>238</v>
      </c>
      <c r="F192" s="2125">
        <f>Y192</f>
        <v>145000</v>
      </c>
      <c r="G192" s="526">
        <v>170000</v>
      </c>
      <c r="H192" s="2037">
        <f>F192-G192</f>
        <v>-25000</v>
      </c>
      <c r="I192" s="543"/>
      <c r="J192" s="3589" t="s">
        <v>8</v>
      </c>
      <c r="K192" s="3588"/>
      <c r="L192" s="3588"/>
      <c r="M192" s="3588"/>
      <c r="N192" s="3588"/>
      <c r="O192" s="3588"/>
      <c r="P192" s="3588"/>
      <c r="Q192" s="3590"/>
      <c r="R192" s="3590"/>
      <c r="S192" s="3109"/>
      <c r="T192" s="3590"/>
      <c r="U192" s="3590"/>
      <c r="V192" s="3590"/>
      <c r="W192" s="3590"/>
      <c r="X192" s="2030"/>
      <c r="Y192" s="3110">
        <f t="shared" si="32"/>
        <v>145000</v>
      </c>
      <c r="Z192" s="1898">
        <f>+Z193+Z194+Z195</f>
        <v>145000000</v>
      </c>
      <c r="AA192" s="427"/>
      <c r="AB192" s="427"/>
      <c r="AC192" s="192"/>
    </row>
    <row r="193" spans="1:29" s="300" customFormat="1" ht="21.95" customHeight="1">
      <c r="A193" s="562"/>
      <c r="B193" s="563"/>
      <c r="C193" s="473"/>
      <c r="D193" s="2020"/>
      <c r="E193" s="532"/>
      <c r="F193" s="526"/>
      <c r="G193" s="526"/>
      <c r="H193" s="551"/>
      <c r="I193" s="543"/>
      <c r="J193" s="3106" t="s">
        <v>331</v>
      </c>
      <c r="K193" s="3588"/>
      <c r="L193" s="3588"/>
      <c r="M193" s="3588"/>
      <c r="N193" s="3588"/>
      <c r="O193" s="3588"/>
      <c r="P193" s="3588"/>
      <c r="Q193" s="3590">
        <v>1</v>
      </c>
      <c r="R193" s="3590" t="s">
        <v>5331</v>
      </c>
      <c r="S193" s="3109">
        <v>40000000</v>
      </c>
      <c r="T193" s="3590" t="s">
        <v>0</v>
      </c>
      <c r="U193" s="3590"/>
      <c r="V193" s="3590">
        <v>1</v>
      </c>
      <c r="W193" s="3590" t="s">
        <v>5332</v>
      </c>
      <c r="X193" s="2030" t="s">
        <v>1</v>
      </c>
      <c r="Y193" s="3110">
        <f t="shared" si="32"/>
        <v>40000</v>
      </c>
      <c r="Z193" s="1898">
        <f>Q193*S193*V193</f>
        <v>40000000</v>
      </c>
      <c r="AA193" s="427"/>
      <c r="AB193" s="427"/>
      <c r="AC193" s="192"/>
    </row>
    <row r="194" spans="1:29" s="300" customFormat="1" ht="21.95" customHeight="1">
      <c r="A194" s="562"/>
      <c r="B194" s="563"/>
      <c r="C194" s="473"/>
      <c r="D194" s="2020"/>
      <c r="E194" s="532"/>
      <c r="F194" s="526"/>
      <c r="G194" s="526"/>
      <c r="H194" s="551"/>
      <c r="I194" s="543"/>
      <c r="J194" s="3106" t="s">
        <v>332</v>
      </c>
      <c r="K194" s="3588"/>
      <c r="L194" s="3588"/>
      <c r="M194" s="3588"/>
      <c r="N194" s="3588"/>
      <c r="O194" s="3588"/>
      <c r="P194" s="3588"/>
      <c r="Q194" s="3590">
        <v>2</v>
      </c>
      <c r="R194" s="3590" t="s">
        <v>5331</v>
      </c>
      <c r="S194" s="3109">
        <v>30000000</v>
      </c>
      <c r="T194" s="3590" t="s">
        <v>0</v>
      </c>
      <c r="U194" s="3590"/>
      <c r="V194" s="3590">
        <v>1</v>
      </c>
      <c r="W194" s="3590" t="s">
        <v>5332</v>
      </c>
      <c r="X194" s="2030" t="s">
        <v>1</v>
      </c>
      <c r="Y194" s="3110">
        <f t="shared" si="32"/>
        <v>60000</v>
      </c>
      <c r="Z194" s="1898">
        <f>Q194*S194*V194</f>
        <v>60000000</v>
      </c>
      <c r="AA194" s="427"/>
      <c r="AB194" s="427"/>
      <c r="AC194" s="192"/>
    </row>
    <row r="195" spans="1:29" s="3387" customFormat="1" ht="21.95" customHeight="1">
      <c r="A195" s="562"/>
      <c r="B195" s="563"/>
      <c r="C195" s="3107"/>
      <c r="D195" s="2020"/>
      <c r="E195" s="532"/>
      <c r="F195" s="526"/>
      <c r="G195" s="526"/>
      <c r="H195" s="551"/>
      <c r="I195" s="543"/>
      <c r="J195" s="3106"/>
      <c r="K195" s="3588"/>
      <c r="L195" s="3588"/>
      <c r="M195" s="3588"/>
      <c r="N195" s="3588"/>
      <c r="O195" s="3588"/>
      <c r="P195" s="3588"/>
      <c r="Q195" s="3590">
        <v>3</v>
      </c>
      <c r="R195" s="3590" t="s">
        <v>5331</v>
      </c>
      <c r="S195" s="3109">
        <v>15000000</v>
      </c>
      <c r="T195" s="3590" t="s">
        <v>0</v>
      </c>
      <c r="U195" s="3590"/>
      <c r="V195" s="3590">
        <v>1</v>
      </c>
      <c r="W195" s="3590" t="s">
        <v>5332</v>
      </c>
      <c r="X195" s="2030" t="s">
        <v>1</v>
      </c>
      <c r="Y195" s="3110">
        <f t="shared" si="32"/>
        <v>45000</v>
      </c>
      <c r="Z195" s="1898">
        <f>Q195*S195*V195</f>
        <v>45000000</v>
      </c>
      <c r="AA195" s="427"/>
      <c r="AB195" s="427"/>
      <c r="AC195" s="192"/>
    </row>
    <row r="196" spans="1:29" s="3387" customFormat="1" ht="21.95" customHeight="1">
      <c r="A196" s="562"/>
      <c r="B196" s="563"/>
      <c r="C196" s="3107"/>
      <c r="D196" s="2020"/>
      <c r="E196" s="532" t="s">
        <v>60</v>
      </c>
      <c r="F196" s="2125">
        <f>Y196</f>
        <v>1000</v>
      </c>
      <c r="G196" s="526">
        <v>500</v>
      </c>
      <c r="H196" s="2037">
        <f>F196-G196</f>
        <v>500</v>
      </c>
      <c r="I196" s="543"/>
      <c r="J196" s="3589" t="s">
        <v>112</v>
      </c>
      <c r="K196" s="3588"/>
      <c r="L196" s="3588"/>
      <c r="M196" s="3588"/>
      <c r="N196" s="3588"/>
      <c r="O196" s="3588"/>
      <c r="P196" s="3588"/>
      <c r="Q196" s="3109"/>
      <c r="R196" s="552"/>
      <c r="S196" s="3590">
        <v>250000</v>
      </c>
      <c r="T196" s="3590" t="s">
        <v>56</v>
      </c>
      <c r="U196" s="3590"/>
      <c r="V196" s="3590">
        <v>4</v>
      </c>
      <c r="W196" s="3590" t="s">
        <v>3</v>
      </c>
      <c r="X196" s="2030" t="s">
        <v>1</v>
      </c>
      <c r="Y196" s="3110">
        <f t="shared" si="32"/>
        <v>1000</v>
      </c>
      <c r="Z196" s="1898">
        <f>S196*V196</f>
        <v>1000000</v>
      </c>
      <c r="AA196" s="427"/>
      <c r="AB196" s="427"/>
      <c r="AC196" s="192"/>
    </row>
    <row r="197" spans="1:29" s="300" customFormat="1" ht="21.95" customHeight="1">
      <c r="A197" s="562"/>
      <c r="B197" s="563"/>
      <c r="C197" s="473"/>
      <c r="D197" s="2020"/>
      <c r="E197" s="2023" t="s">
        <v>62</v>
      </c>
      <c r="F197" s="2125">
        <f>Y197</f>
        <v>4000</v>
      </c>
      <c r="G197" s="526">
        <v>4000</v>
      </c>
      <c r="H197" s="2037"/>
      <c r="I197" s="543"/>
      <c r="J197" s="3589" t="s">
        <v>5333</v>
      </c>
      <c r="K197" s="3588"/>
      <c r="L197" s="3588"/>
      <c r="M197" s="3588"/>
      <c r="N197" s="3588"/>
      <c r="O197" s="3588"/>
      <c r="P197" s="3588"/>
      <c r="Q197" s="3109" t="s">
        <v>20</v>
      </c>
      <c r="R197" s="552" t="s">
        <v>20</v>
      </c>
      <c r="S197" s="3108">
        <v>500000</v>
      </c>
      <c r="T197" s="3590" t="s">
        <v>0</v>
      </c>
      <c r="U197" s="3590"/>
      <c r="V197" s="3590">
        <v>8</v>
      </c>
      <c r="W197" s="3590" t="s">
        <v>3</v>
      </c>
      <c r="X197" s="2030" t="s">
        <v>1</v>
      </c>
      <c r="Y197" s="3110">
        <f t="shared" si="32"/>
        <v>4000</v>
      </c>
      <c r="Z197" s="1898">
        <f>S197*V197</f>
        <v>4000000</v>
      </c>
      <c r="AA197" s="427"/>
      <c r="AB197" s="427"/>
      <c r="AC197" s="192"/>
    </row>
    <row r="198" spans="1:29" s="300" customFormat="1" ht="21.95" customHeight="1">
      <c r="A198" s="562"/>
      <c r="B198" s="563"/>
      <c r="C198" s="564"/>
      <c r="D198" s="2020"/>
      <c r="E198" s="532" t="s">
        <v>61</v>
      </c>
      <c r="F198" s="2125">
        <f>Y198</f>
        <v>2400</v>
      </c>
      <c r="G198" s="526">
        <v>2400</v>
      </c>
      <c r="H198" s="2037"/>
      <c r="I198" s="543"/>
      <c r="J198" s="3589" t="s">
        <v>334</v>
      </c>
      <c r="K198" s="3588"/>
      <c r="L198" s="3588"/>
      <c r="M198" s="3588"/>
      <c r="N198" s="3588"/>
      <c r="O198" s="3588"/>
      <c r="P198" s="3588"/>
      <c r="Q198" s="3590">
        <v>6</v>
      </c>
      <c r="R198" s="3590" t="s">
        <v>25</v>
      </c>
      <c r="S198" s="3590">
        <v>20000</v>
      </c>
      <c r="T198" s="3590" t="s">
        <v>0</v>
      </c>
      <c r="U198" s="3590"/>
      <c r="V198" s="3590">
        <v>20</v>
      </c>
      <c r="W198" s="3590" t="s">
        <v>3</v>
      </c>
      <c r="X198" s="2030" t="s">
        <v>1</v>
      </c>
      <c r="Y198" s="3110">
        <f t="shared" si="32"/>
        <v>2400</v>
      </c>
      <c r="Z198" s="1898">
        <f>Q198*S198*V198</f>
        <v>2400000</v>
      </c>
      <c r="AA198" s="427"/>
      <c r="AB198" s="427"/>
      <c r="AC198" s="192"/>
    </row>
    <row r="199" spans="1:29" s="300" customFormat="1" ht="21.95" customHeight="1">
      <c r="A199" s="562"/>
      <c r="B199" s="563"/>
      <c r="C199" s="473"/>
      <c r="D199" s="3925" t="s">
        <v>335</v>
      </c>
      <c r="E199" s="3925"/>
      <c r="F199" s="525">
        <f>SUM(F200:F213)</f>
        <v>187500</v>
      </c>
      <c r="G199" s="525">
        <f>SUM(G200:G213)</f>
        <v>187500</v>
      </c>
      <c r="H199" s="627">
        <f>F199-G199</f>
        <v>0</v>
      </c>
      <c r="I199" s="543"/>
      <c r="J199" s="2025"/>
      <c r="K199" s="2068"/>
      <c r="L199" s="2068"/>
      <c r="M199" s="2068"/>
      <c r="N199" s="2068"/>
      <c r="O199" s="2068"/>
      <c r="P199" s="2068"/>
      <c r="Q199" s="2068"/>
      <c r="R199" s="539"/>
      <c r="S199" s="2026"/>
      <c r="T199" s="2026"/>
      <c r="U199" s="2026"/>
      <c r="V199" s="2026"/>
      <c r="W199" s="2026"/>
      <c r="X199" s="2028"/>
      <c r="Y199" s="517"/>
      <c r="Z199" s="2711"/>
      <c r="AA199" s="427"/>
      <c r="AB199" s="427"/>
      <c r="AC199" s="192"/>
    </row>
    <row r="200" spans="1:29" s="300" customFormat="1" ht="21.95" customHeight="1">
      <c r="A200" s="562"/>
      <c r="B200" s="563"/>
      <c r="C200" s="473"/>
      <c r="D200" s="2020"/>
      <c r="E200" s="1534" t="s">
        <v>137</v>
      </c>
      <c r="F200" s="2125">
        <f>Y200</f>
        <v>12000</v>
      </c>
      <c r="G200" s="2125">
        <v>12000</v>
      </c>
      <c r="H200" s="949"/>
      <c r="I200" s="1984"/>
      <c r="J200" s="681" t="s">
        <v>338</v>
      </c>
      <c r="K200" s="3583"/>
      <c r="L200" s="3583"/>
      <c r="M200" s="3583"/>
      <c r="N200" s="3583"/>
      <c r="O200" s="3583"/>
      <c r="P200" s="3583"/>
      <c r="Q200" s="1038"/>
      <c r="R200" s="3586"/>
      <c r="S200" s="3164">
        <v>6000000</v>
      </c>
      <c r="T200" s="684" t="s">
        <v>0</v>
      </c>
      <c r="U200" s="684"/>
      <c r="V200" s="684">
        <v>2</v>
      </c>
      <c r="W200" s="684" t="s">
        <v>3</v>
      </c>
      <c r="X200" s="686" t="s">
        <v>1</v>
      </c>
      <c r="Y200" s="871">
        <f t="shared" ref="Y200:Y213" si="33">Z200/1000</f>
        <v>12000</v>
      </c>
      <c r="Z200" s="2233">
        <f>S200*V200</f>
        <v>12000000</v>
      </c>
      <c r="AA200" s="427"/>
      <c r="AB200" s="427"/>
      <c r="AC200" s="192"/>
    </row>
    <row r="201" spans="1:29" s="300" customFormat="1" ht="21.95" customHeight="1">
      <c r="A201" s="562"/>
      <c r="B201" s="563"/>
      <c r="C201" s="473"/>
      <c r="D201" s="2020"/>
      <c r="E201" s="677" t="s">
        <v>80</v>
      </c>
      <c r="F201" s="2125">
        <f>Y201</f>
        <v>6000</v>
      </c>
      <c r="G201" s="2125">
        <v>5000</v>
      </c>
      <c r="H201" s="949">
        <f>F201-G201</f>
        <v>1000</v>
      </c>
      <c r="I201" s="1984"/>
      <c r="J201" s="681" t="s">
        <v>8</v>
      </c>
      <c r="K201" s="3583"/>
      <c r="L201" s="3583"/>
      <c r="M201" s="3583"/>
      <c r="N201" s="3583"/>
      <c r="O201" s="3583"/>
      <c r="P201" s="3583"/>
      <c r="Q201" s="3583"/>
      <c r="R201" s="2127"/>
      <c r="S201" s="3164"/>
      <c r="T201" s="684"/>
      <c r="U201" s="684"/>
      <c r="V201" s="684"/>
      <c r="W201" s="684"/>
      <c r="X201" s="686" t="s">
        <v>20</v>
      </c>
      <c r="Y201" s="871">
        <f t="shared" si="33"/>
        <v>6000</v>
      </c>
      <c r="Z201" s="2233">
        <f>+Z202+Z203</f>
        <v>6000000</v>
      </c>
      <c r="AA201" s="427"/>
      <c r="AB201" s="427"/>
      <c r="AC201" s="192"/>
    </row>
    <row r="202" spans="1:29" s="300" customFormat="1" ht="21.95" customHeight="1">
      <c r="A202" s="562"/>
      <c r="B202" s="563"/>
      <c r="C202" s="473"/>
      <c r="D202" s="2020"/>
      <c r="E202" s="1534"/>
      <c r="F202" s="2125"/>
      <c r="G202" s="2125"/>
      <c r="H202" s="949"/>
      <c r="I202" s="1984"/>
      <c r="J202" s="3585" t="s">
        <v>3676</v>
      </c>
      <c r="K202" s="3583"/>
      <c r="L202" s="3583"/>
      <c r="M202" s="3583"/>
      <c r="N202" s="3583"/>
      <c r="O202" s="3583"/>
      <c r="P202" s="3583"/>
      <c r="Q202" s="684"/>
      <c r="R202" s="684"/>
      <c r="S202" s="684">
        <v>2500000</v>
      </c>
      <c r="T202" s="684" t="s">
        <v>0</v>
      </c>
      <c r="U202" s="684"/>
      <c r="V202" s="684">
        <v>2</v>
      </c>
      <c r="W202" s="684" t="s">
        <v>3</v>
      </c>
      <c r="X202" s="686" t="s">
        <v>1</v>
      </c>
      <c r="Y202" s="871">
        <f t="shared" si="33"/>
        <v>5000</v>
      </c>
      <c r="Z202" s="2233">
        <f>S202*V202</f>
        <v>5000000</v>
      </c>
      <c r="AA202" s="427"/>
      <c r="AB202" s="427"/>
      <c r="AC202" s="192"/>
    </row>
    <row r="203" spans="1:29" s="300" customFormat="1" ht="21.95" customHeight="1">
      <c r="A203" s="562"/>
      <c r="B203" s="563"/>
      <c r="C203" s="473"/>
      <c r="D203" s="2020"/>
      <c r="E203" s="1534"/>
      <c r="F203" s="2125"/>
      <c r="G203" s="2125"/>
      <c r="H203" s="949"/>
      <c r="I203" s="1984"/>
      <c r="J203" s="3585" t="s">
        <v>5134</v>
      </c>
      <c r="K203" s="3583"/>
      <c r="L203" s="3583"/>
      <c r="M203" s="3583"/>
      <c r="N203" s="3583"/>
      <c r="O203" s="3583"/>
      <c r="P203" s="3583"/>
      <c r="Q203" s="684"/>
      <c r="R203" s="684"/>
      <c r="S203" s="684">
        <v>1000000</v>
      </c>
      <c r="T203" s="684" t="s">
        <v>0</v>
      </c>
      <c r="U203" s="684"/>
      <c r="V203" s="684">
        <v>1</v>
      </c>
      <c r="W203" s="684" t="s">
        <v>3</v>
      </c>
      <c r="X203" s="686" t="s">
        <v>1</v>
      </c>
      <c r="Y203" s="871">
        <f t="shared" si="33"/>
        <v>1000</v>
      </c>
      <c r="Z203" s="2233">
        <f>S203*V203</f>
        <v>1000000</v>
      </c>
      <c r="AA203" s="427"/>
      <c r="AB203" s="427"/>
      <c r="AC203" s="192"/>
    </row>
    <row r="204" spans="1:29" s="300" customFormat="1" ht="21.95" customHeight="1">
      <c r="A204" s="562"/>
      <c r="B204" s="563"/>
      <c r="C204" s="473"/>
      <c r="D204" s="2020"/>
      <c r="E204" s="1534" t="s">
        <v>95</v>
      </c>
      <c r="F204" s="2125">
        <f>Y204</f>
        <v>2200</v>
      </c>
      <c r="G204" s="2125">
        <v>3200</v>
      </c>
      <c r="H204" s="949">
        <f>F204-G204</f>
        <v>-1000</v>
      </c>
      <c r="I204" s="1984"/>
      <c r="J204" s="681" t="s">
        <v>317</v>
      </c>
      <c r="K204" s="3583"/>
      <c r="L204" s="3583"/>
      <c r="M204" s="3583"/>
      <c r="N204" s="3583"/>
      <c r="O204" s="3583"/>
      <c r="P204" s="3583"/>
      <c r="Q204" s="684">
        <v>2</v>
      </c>
      <c r="R204" s="684" t="s">
        <v>25</v>
      </c>
      <c r="S204" s="684">
        <v>20000</v>
      </c>
      <c r="T204" s="684" t="s">
        <v>0</v>
      </c>
      <c r="U204" s="684"/>
      <c r="V204" s="684">
        <v>55</v>
      </c>
      <c r="W204" s="684" t="s">
        <v>3</v>
      </c>
      <c r="X204" s="686" t="s">
        <v>1</v>
      </c>
      <c r="Y204" s="871">
        <f t="shared" si="33"/>
        <v>2200</v>
      </c>
      <c r="Z204" s="2233">
        <f>Q204*S204*V204</f>
        <v>2200000</v>
      </c>
      <c r="AA204" s="427"/>
      <c r="AB204" s="427"/>
      <c r="AC204" s="192"/>
    </row>
    <row r="205" spans="1:29" s="300" customFormat="1" ht="21.95" customHeight="1">
      <c r="A205" s="562"/>
      <c r="B205" s="563"/>
      <c r="C205" s="473"/>
      <c r="D205" s="2020"/>
      <c r="E205" s="1534" t="s">
        <v>120</v>
      </c>
      <c r="F205" s="2125">
        <f>Y205</f>
        <v>1500</v>
      </c>
      <c r="G205" s="2125">
        <v>1500</v>
      </c>
      <c r="H205" s="949"/>
      <c r="I205" s="1984"/>
      <c r="J205" s="681" t="s">
        <v>339</v>
      </c>
      <c r="K205" s="3583"/>
      <c r="L205" s="3583"/>
      <c r="M205" s="3583"/>
      <c r="N205" s="3583"/>
      <c r="O205" s="3583"/>
      <c r="P205" s="3583"/>
      <c r="Q205" s="684"/>
      <c r="R205" s="684"/>
      <c r="S205" s="684">
        <v>150000</v>
      </c>
      <c r="T205" s="684" t="s">
        <v>0</v>
      </c>
      <c r="U205" s="684"/>
      <c r="V205" s="684">
        <v>10</v>
      </c>
      <c r="W205" s="684" t="s">
        <v>6</v>
      </c>
      <c r="X205" s="686" t="s">
        <v>1</v>
      </c>
      <c r="Y205" s="871">
        <f t="shared" si="33"/>
        <v>1500</v>
      </c>
      <c r="Z205" s="2233">
        <f>S205*V205</f>
        <v>1500000</v>
      </c>
      <c r="AA205" s="427"/>
      <c r="AB205" s="427"/>
      <c r="AC205" s="192"/>
    </row>
    <row r="206" spans="1:29" s="300" customFormat="1" ht="21.95" customHeight="1">
      <c r="A206" s="562"/>
      <c r="B206" s="563"/>
      <c r="C206" s="473"/>
      <c r="D206" s="2020"/>
      <c r="E206" s="1534" t="s">
        <v>58</v>
      </c>
      <c r="F206" s="2125">
        <f>Y206</f>
        <v>4800</v>
      </c>
      <c r="G206" s="2125">
        <v>4800</v>
      </c>
      <c r="H206" s="949"/>
      <c r="I206" s="1984"/>
      <c r="J206" s="681" t="s">
        <v>8</v>
      </c>
      <c r="K206" s="3583"/>
      <c r="L206" s="3583"/>
      <c r="M206" s="3583"/>
      <c r="N206" s="3583"/>
      <c r="O206" s="3583"/>
      <c r="P206" s="3583"/>
      <c r="Q206" s="3583"/>
      <c r="R206" s="2127"/>
      <c r="S206" s="3164"/>
      <c r="T206" s="684"/>
      <c r="U206" s="684"/>
      <c r="V206" s="684"/>
      <c r="W206" s="684"/>
      <c r="X206" s="686" t="s">
        <v>20</v>
      </c>
      <c r="Y206" s="871">
        <f t="shared" si="33"/>
        <v>4800</v>
      </c>
      <c r="Z206" s="2233">
        <f>+Z207+Z208</f>
        <v>4800000</v>
      </c>
      <c r="AA206" s="427"/>
      <c r="AB206" s="427"/>
      <c r="AC206" s="192"/>
    </row>
    <row r="207" spans="1:29" s="300" customFormat="1" ht="21.95" customHeight="1">
      <c r="A207" s="562"/>
      <c r="B207" s="563"/>
      <c r="C207" s="473"/>
      <c r="D207" s="2020"/>
      <c r="E207" s="1534"/>
      <c r="F207" s="2125"/>
      <c r="G207" s="2125"/>
      <c r="H207" s="949"/>
      <c r="I207" s="1984"/>
      <c r="J207" s="3585" t="s">
        <v>340</v>
      </c>
      <c r="K207" s="3583"/>
      <c r="L207" s="3583"/>
      <c r="M207" s="3583"/>
      <c r="N207" s="3583"/>
      <c r="O207" s="3583"/>
      <c r="P207" s="3583"/>
      <c r="Q207" s="684">
        <v>4</v>
      </c>
      <c r="R207" s="684" t="s">
        <v>25</v>
      </c>
      <c r="S207" s="684">
        <v>200000</v>
      </c>
      <c r="T207" s="684" t="s">
        <v>0</v>
      </c>
      <c r="U207" s="684"/>
      <c r="V207" s="684">
        <v>4</v>
      </c>
      <c r="W207" s="684" t="s">
        <v>3</v>
      </c>
      <c r="X207" s="686" t="s">
        <v>1</v>
      </c>
      <c r="Y207" s="871">
        <f t="shared" si="33"/>
        <v>3200</v>
      </c>
      <c r="Z207" s="2233">
        <f>Q207*S207*V207</f>
        <v>3200000</v>
      </c>
      <c r="AA207" s="427"/>
      <c r="AB207" s="427"/>
      <c r="AC207" s="192"/>
    </row>
    <row r="208" spans="1:29" s="300" customFormat="1" ht="21.95" customHeight="1">
      <c r="A208" s="562"/>
      <c r="B208" s="563"/>
      <c r="C208" s="473"/>
      <c r="D208" s="2020"/>
      <c r="E208" s="1534"/>
      <c r="F208" s="2125"/>
      <c r="G208" s="2125"/>
      <c r="H208" s="949"/>
      <c r="I208" s="1984"/>
      <c r="J208" s="3585" t="s">
        <v>341</v>
      </c>
      <c r="K208" s="3583"/>
      <c r="L208" s="3583"/>
      <c r="M208" s="3583"/>
      <c r="N208" s="3583"/>
      <c r="O208" s="3583"/>
      <c r="P208" s="3583"/>
      <c r="Q208" s="684">
        <v>2</v>
      </c>
      <c r="R208" s="684" t="s">
        <v>25</v>
      </c>
      <c r="S208" s="684">
        <v>200000</v>
      </c>
      <c r="T208" s="684" t="s">
        <v>0</v>
      </c>
      <c r="U208" s="684"/>
      <c r="V208" s="684">
        <v>4</v>
      </c>
      <c r="W208" s="684" t="s">
        <v>3</v>
      </c>
      <c r="X208" s="686" t="s">
        <v>1</v>
      </c>
      <c r="Y208" s="871">
        <f t="shared" si="33"/>
        <v>1600</v>
      </c>
      <c r="Z208" s="2233">
        <f>Q208*S208*V208</f>
        <v>1600000</v>
      </c>
      <c r="AA208" s="427"/>
      <c r="AB208" s="427"/>
      <c r="AC208" s="192"/>
    </row>
    <row r="209" spans="1:29" s="300" customFormat="1" ht="21.95" customHeight="1">
      <c r="A209" s="562"/>
      <c r="B209" s="563"/>
      <c r="C209" s="473"/>
      <c r="D209" s="2020"/>
      <c r="E209" s="1534" t="s">
        <v>238</v>
      </c>
      <c r="F209" s="2125">
        <f>Y209</f>
        <v>158000</v>
      </c>
      <c r="G209" s="2125">
        <v>158000</v>
      </c>
      <c r="H209" s="949"/>
      <c r="I209" s="1984"/>
      <c r="J209" s="681" t="s">
        <v>8</v>
      </c>
      <c r="K209" s="3583"/>
      <c r="L209" s="3583"/>
      <c r="M209" s="3583"/>
      <c r="N209" s="3583"/>
      <c r="O209" s="3583"/>
      <c r="P209" s="3583"/>
      <c r="Q209" s="3583"/>
      <c r="R209" s="2127"/>
      <c r="S209" s="684"/>
      <c r="T209" s="684"/>
      <c r="U209" s="684"/>
      <c r="V209" s="684"/>
      <c r="W209" s="684"/>
      <c r="X209" s="686"/>
      <c r="Y209" s="871">
        <f t="shared" si="33"/>
        <v>158000</v>
      </c>
      <c r="Z209" s="2233">
        <f>+Z210+Z211</f>
        <v>158000000</v>
      </c>
      <c r="AA209" s="427"/>
      <c r="AB209" s="427"/>
      <c r="AC209" s="192"/>
    </row>
    <row r="210" spans="1:29" s="3379" customFormat="1" ht="21.95" customHeight="1">
      <c r="A210" s="562"/>
      <c r="B210" s="563"/>
      <c r="C210" s="3107"/>
      <c r="D210" s="2020"/>
      <c r="E210" s="1534"/>
      <c r="F210" s="2125"/>
      <c r="G210" s="2125"/>
      <c r="H210" s="949"/>
      <c r="I210" s="1984"/>
      <c r="J210" s="3585" t="s">
        <v>336</v>
      </c>
      <c r="K210" s="3583"/>
      <c r="L210" s="3583"/>
      <c r="M210" s="3583"/>
      <c r="N210" s="3583"/>
      <c r="O210" s="3583"/>
      <c r="P210" s="3583"/>
      <c r="Q210" s="684"/>
      <c r="R210" s="684"/>
      <c r="S210" s="684">
        <v>85000000</v>
      </c>
      <c r="T210" s="684" t="s">
        <v>0</v>
      </c>
      <c r="U210" s="684"/>
      <c r="V210" s="684">
        <v>1</v>
      </c>
      <c r="W210" s="684" t="s">
        <v>6</v>
      </c>
      <c r="X210" s="686" t="s">
        <v>1</v>
      </c>
      <c r="Y210" s="871">
        <f t="shared" si="33"/>
        <v>85000</v>
      </c>
      <c r="Z210" s="2233">
        <f>S210*V210</f>
        <v>85000000</v>
      </c>
      <c r="AA210" s="427"/>
      <c r="AB210" s="427"/>
      <c r="AC210" s="192"/>
    </row>
    <row r="211" spans="1:29" s="3379" customFormat="1" ht="21.95" customHeight="1">
      <c r="A211" s="562"/>
      <c r="B211" s="563"/>
      <c r="C211" s="3107"/>
      <c r="D211" s="2020"/>
      <c r="E211" s="1534"/>
      <c r="F211" s="2125"/>
      <c r="G211" s="2125"/>
      <c r="H211" s="949"/>
      <c r="I211" s="1984"/>
      <c r="J211" s="3585" t="s">
        <v>337</v>
      </c>
      <c r="K211" s="3583"/>
      <c r="L211" s="3583"/>
      <c r="M211" s="3583"/>
      <c r="N211" s="3583"/>
      <c r="O211" s="3583"/>
      <c r="P211" s="3583"/>
      <c r="Q211" s="684"/>
      <c r="R211" s="684"/>
      <c r="S211" s="684">
        <v>73000000</v>
      </c>
      <c r="T211" s="684" t="s">
        <v>0</v>
      </c>
      <c r="U211" s="684"/>
      <c r="V211" s="684">
        <v>1</v>
      </c>
      <c r="W211" s="684" t="s">
        <v>3</v>
      </c>
      <c r="X211" s="686" t="s">
        <v>1</v>
      </c>
      <c r="Y211" s="871">
        <f t="shared" si="33"/>
        <v>73000</v>
      </c>
      <c r="Z211" s="2233">
        <f>S211*V211</f>
        <v>73000000</v>
      </c>
      <c r="AA211" s="427"/>
      <c r="AB211" s="427"/>
      <c r="AC211" s="192"/>
    </row>
    <row r="212" spans="1:29" s="3379" customFormat="1" ht="21.95" customHeight="1">
      <c r="A212" s="562"/>
      <c r="B212" s="563"/>
      <c r="C212" s="3107"/>
      <c r="D212" s="2020"/>
      <c r="E212" s="677" t="s">
        <v>60</v>
      </c>
      <c r="F212" s="2125">
        <f>Y212</f>
        <v>1000</v>
      </c>
      <c r="G212" s="2125">
        <v>1000</v>
      </c>
      <c r="H212" s="949"/>
      <c r="I212" s="1984"/>
      <c r="J212" s="681" t="s">
        <v>112</v>
      </c>
      <c r="K212" s="3583"/>
      <c r="L212" s="3583"/>
      <c r="M212" s="3583"/>
      <c r="N212" s="3583"/>
      <c r="O212" s="3583"/>
      <c r="P212" s="3583"/>
      <c r="Q212" s="869"/>
      <c r="R212" s="2127"/>
      <c r="S212" s="684">
        <v>500000</v>
      </c>
      <c r="T212" s="684" t="s">
        <v>56</v>
      </c>
      <c r="U212" s="684"/>
      <c r="V212" s="684">
        <v>2</v>
      </c>
      <c r="W212" s="684" t="s">
        <v>3</v>
      </c>
      <c r="X212" s="686"/>
      <c r="Y212" s="871">
        <f t="shared" si="33"/>
        <v>1000</v>
      </c>
      <c r="Z212" s="2233">
        <f>S212*V212</f>
        <v>1000000</v>
      </c>
      <c r="AA212" s="427"/>
      <c r="AB212" s="427"/>
      <c r="AC212" s="192"/>
    </row>
    <row r="213" spans="1:29" s="3379" customFormat="1" ht="21.95" customHeight="1">
      <c r="A213" s="562"/>
      <c r="B213" s="563"/>
      <c r="C213" s="3107"/>
      <c r="D213" s="2020"/>
      <c r="E213" s="1534" t="s">
        <v>61</v>
      </c>
      <c r="F213" s="2125">
        <f>Y213</f>
        <v>2000</v>
      </c>
      <c r="G213" s="2125">
        <v>2000</v>
      </c>
      <c r="H213" s="949"/>
      <c r="I213" s="1984"/>
      <c r="J213" s="681" t="s">
        <v>239</v>
      </c>
      <c r="K213" s="3583"/>
      <c r="L213" s="3583"/>
      <c r="M213" s="3583"/>
      <c r="N213" s="3583"/>
      <c r="O213" s="3583"/>
      <c r="P213" s="3583"/>
      <c r="Q213" s="684"/>
      <c r="R213" s="684"/>
      <c r="S213" s="684">
        <v>200000</v>
      </c>
      <c r="T213" s="684" t="s">
        <v>0</v>
      </c>
      <c r="U213" s="684"/>
      <c r="V213" s="684">
        <v>10</v>
      </c>
      <c r="W213" s="684" t="s">
        <v>3</v>
      </c>
      <c r="X213" s="686" t="s">
        <v>1</v>
      </c>
      <c r="Y213" s="871">
        <f t="shared" si="33"/>
        <v>2000</v>
      </c>
      <c r="Z213" s="2233">
        <f>S213*V213</f>
        <v>2000000</v>
      </c>
      <c r="AA213" s="427"/>
      <c r="AB213" s="427"/>
      <c r="AC213" s="192"/>
    </row>
    <row r="214" spans="1:29" s="300" customFormat="1" ht="23.45" customHeight="1">
      <c r="A214" s="562"/>
      <c r="B214" s="563"/>
      <c r="C214" s="3924" t="s">
        <v>1203</v>
      </c>
      <c r="D214" s="3924"/>
      <c r="E214" s="3826"/>
      <c r="F214" s="528">
        <f>F215</f>
        <v>400000</v>
      </c>
      <c r="G214" s="528">
        <f>G215</f>
        <v>400000</v>
      </c>
      <c r="H214" s="620">
        <f>F214-G214</f>
        <v>0</v>
      </c>
      <c r="I214" s="557"/>
      <c r="J214" s="2025"/>
      <c r="K214" s="2068"/>
      <c r="L214" s="2068"/>
      <c r="M214" s="2068"/>
      <c r="N214" s="2068"/>
      <c r="O214" s="2068"/>
      <c r="P214" s="2068"/>
      <c r="Q214" s="621"/>
      <c r="R214" s="539"/>
      <c r="S214" s="545"/>
      <c r="T214" s="2026"/>
      <c r="U214" s="2026"/>
      <c r="V214" s="2026"/>
      <c r="W214" s="2026"/>
      <c r="X214" s="2028"/>
      <c r="Y214" s="517"/>
      <c r="Z214" s="2711"/>
      <c r="AA214" s="427"/>
      <c r="AB214" s="427"/>
      <c r="AC214" s="192"/>
    </row>
    <row r="215" spans="1:29" s="300" customFormat="1" ht="23.45" customHeight="1">
      <c r="A215" s="562"/>
      <c r="B215" s="563"/>
      <c r="C215" s="473"/>
      <c r="D215" s="3825" t="s">
        <v>1204</v>
      </c>
      <c r="E215" s="3826"/>
      <c r="F215" s="525">
        <f>SUM(F216:F232)</f>
        <v>400000</v>
      </c>
      <c r="G215" s="525">
        <f>SUM(G216:G232)</f>
        <v>400000</v>
      </c>
      <c r="H215" s="620">
        <f>F215-G215</f>
        <v>0</v>
      </c>
      <c r="I215" s="543"/>
      <c r="J215" s="2025"/>
      <c r="K215" s="2068"/>
      <c r="L215" s="2068"/>
      <c r="M215" s="2068"/>
      <c r="N215" s="2068"/>
      <c r="O215" s="2068"/>
      <c r="P215" s="2068"/>
      <c r="Q215" s="2068"/>
      <c r="R215" s="539"/>
      <c r="S215" s="2026"/>
      <c r="T215" s="2026"/>
      <c r="U215" s="2026"/>
      <c r="V215" s="2026"/>
      <c r="W215" s="2026"/>
      <c r="X215" s="2028"/>
      <c r="Y215" s="517"/>
      <c r="Z215" s="2711"/>
      <c r="AA215" s="427"/>
      <c r="AB215" s="427"/>
      <c r="AC215" s="192"/>
    </row>
    <row r="216" spans="1:29" s="300" customFormat="1" ht="23.45" customHeight="1">
      <c r="A216" s="540"/>
      <c r="B216" s="563"/>
      <c r="C216" s="473"/>
      <c r="D216" s="2020"/>
      <c r="E216" s="532" t="s">
        <v>57</v>
      </c>
      <c r="F216" s="526">
        <f>Y216</f>
        <v>10000</v>
      </c>
      <c r="G216" s="526">
        <v>10000</v>
      </c>
      <c r="H216" s="551"/>
      <c r="I216" s="543"/>
      <c r="J216" s="2105" t="s">
        <v>8</v>
      </c>
      <c r="K216" s="2082"/>
      <c r="L216" s="2082"/>
      <c r="M216" s="2082"/>
      <c r="N216" s="2082"/>
      <c r="O216" s="2082"/>
      <c r="P216" s="2082"/>
      <c r="Q216" s="475" t="s">
        <v>20</v>
      </c>
      <c r="R216" s="552" t="s">
        <v>20</v>
      </c>
      <c r="S216" s="474"/>
      <c r="T216" s="2106"/>
      <c r="U216" s="2106"/>
      <c r="V216" s="2106"/>
      <c r="W216" s="2106"/>
      <c r="X216" s="2030"/>
      <c r="Y216" s="483">
        <f t="shared" ref="Y216:Y232" si="34">Z216/1000</f>
        <v>10000</v>
      </c>
      <c r="Z216" s="1898">
        <f>+Z217+Z218</f>
        <v>10000000</v>
      </c>
      <c r="AA216" s="427"/>
      <c r="AB216" s="427"/>
      <c r="AC216" s="192"/>
    </row>
    <row r="217" spans="1:29" s="629" customFormat="1" ht="23.45" customHeight="1">
      <c r="A217" s="628"/>
      <c r="B217" s="563"/>
      <c r="C217" s="473"/>
      <c r="D217" s="2020"/>
      <c r="E217" s="532"/>
      <c r="F217" s="526"/>
      <c r="G217" s="526"/>
      <c r="H217" s="551"/>
      <c r="I217" s="543"/>
      <c r="J217" s="2105" t="s">
        <v>1199</v>
      </c>
      <c r="K217" s="2082"/>
      <c r="L217" s="2082"/>
      <c r="M217" s="2082"/>
      <c r="N217" s="2082"/>
      <c r="O217" s="2082"/>
      <c r="P217" s="2082"/>
      <c r="Q217" s="2082"/>
      <c r="R217" s="552"/>
      <c r="S217" s="2106">
        <v>8000000</v>
      </c>
      <c r="T217" s="2106" t="s">
        <v>0</v>
      </c>
      <c r="U217" s="2106"/>
      <c r="V217" s="2106">
        <v>1</v>
      </c>
      <c r="W217" s="2106" t="s">
        <v>6</v>
      </c>
      <c r="X217" s="2030" t="s">
        <v>1</v>
      </c>
      <c r="Y217" s="483">
        <f t="shared" si="34"/>
        <v>8000</v>
      </c>
      <c r="Z217" s="1898">
        <f>S217*V217</f>
        <v>8000000</v>
      </c>
      <c r="AA217" s="427"/>
      <c r="AB217" s="427"/>
      <c r="AC217" s="192"/>
    </row>
    <row r="218" spans="1:29" s="629" customFormat="1" ht="23.45" customHeight="1">
      <c r="A218" s="628"/>
      <c r="B218" s="563"/>
      <c r="C218" s="473"/>
      <c r="D218" s="2020"/>
      <c r="E218" s="532"/>
      <c r="F218" s="526"/>
      <c r="G218" s="526"/>
      <c r="H218" s="551"/>
      <c r="I218" s="543"/>
      <c r="J218" s="2105" t="s">
        <v>1200</v>
      </c>
      <c r="K218" s="2082"/>
      <c r="L218" s="2082"/>
      <c r="M218" s="2082"/>
      <c r="N218" s="2082"/>
      <c r="O218" s="2082"/>
      <c r="P218" s="2082"/>
      <c r="Q218" s="2082"/>
      <c r="R218" s="552"/>
      <c r="S218" s="2106">
        <v>2000000</v>
      </c>
      <c r="T218" s="2106" t="s">
        <v>0</v>
      </c>
      <c r="U218" s="2106"/>
      <c r="V218" s="2106">
        <v>1</v>
      </c>
      <c r="W218" s="2106" t="s">
        <v>6</v>
      </c>
      <c r="X218" s="2030" t="s">
        <v>1</v>
      </c>
      <c r="Y218" s="483">
        <f t="shared" si="34"/>
        <v>2000</v>
      </c>
      <c r="Z218" s="1898">
        <f>S218*V218</f>
        <v>2000000</v>
      </c>
      <c r="AA218" s="427"/>
      <c r="AB218" s="427"/>
      <c r="AC218" s="192"/>
    </row>
    <row r="219" spans="1:29" s="629" customFormat="1" ht="23.45" customHeight="1">
      <c r="A219" s="628"/>
      <c r="B219" s="563"/>
      <c r="C219" s="473"/>
      <c r="D219" s="2020"/>
      <c r="E219" s="532" t="s">
        <v>80</v>
      </c>
      <c r="F219" s="526">
        <f>Y219</f>
        <v>500</v>
      </c>
      <c r="G219" s="526">
        <v>500</v>
      </c>
      <c r="H219" s="551"/>
      <c r="I219" s="543"/>
      <c r="J219" s="2105" t="s">
        <v>241</v>
      </c>
      <c r="K219" s="2082"/>
      <c r="L219" s="2082"/>
      <c r="M219" s="2082"/>
      <c r="N219" s="2082"/>
      <c r="O219" s="2082"/>
      <c r="P219" s="2082"/>
      <c r="Q219" s="2106"/>
      <c r="R219" s="2106"/>
      <c r="S219" s="475">
        <v>500000</v>
      </c>
      <c r="T219" s="2106" t="s">
        <v>0</v>
      </c>
      <c r="U219" s="2106"/>
      <c r="V219" s="2106">
        <v>1</v>
      </c>
      <c r="W219" s="2106" t="s">
        <v>3</v>
      </c>
      <c r="X219" s="2030" t="s">
        <v>1</v>
      </c>
      <c r="Y219" s="483">
        <f t="shared" si="34"/>
        <v>500</v>
      </c>
      <c r="Z219" s="1898">
        <f>S219*V219</f>
        <v>500000</v>
      </c>
      <c r="AA219" s="427"/>
      <c r="AB219" s="427"/>
      <c r="AC219" s="192"/>
    </row>
    <row r="220" spans="1:29" s="629" customFormat="1" ht="23.45" customHeight="1">
      <c r="A220" s="628"/>
      <c r="B220" s="563"/>
      <c r="C220" s="473"/>
      <c r="D220" s="2020"/>
      <c r="E220" s="532" t="s">
        <v>95</v>
      </c>
      <c r="F220" s="526">
        <f>Y220</f>
        <v>1000</v>
      </c>
      <c r="G220" s="526">
        <v>1000</v>
      </c>
      <c r="H220" s="551"/>
      <c r="I220" s="543"/>
      <c r="J220" s="2105" t="s">
        <v>317</v>
      </c>
      <c r="K220" s="2082"/>
      <c r="L220" s="2082"/>
      <c r="M220" s="2082"/>
      <c r="N220" s="2082"/>
      <c r="O220" s="2082"/>
      <c r="P220" s="2082"/>
      <c r="Q220" s="2106">
        <v>1</v>
      </c>
      <c r="R220" s="2106" t="s">
        <v>25</v>
      </c>
      <c r="S220" s="2106">
        <v>50000</v>
      </c>
      <c r="T220" s="2106" t="s">
        <v>0</v>
      </c>
      <c r="U220" s="2106"/>
      <c r="V220" s="2106">
        <v>20</v>
      </c>
      <c r="W220" s="2106" t="s">
        <v>3</v>
      </c>
      <c r="X220" s="2030" t="s">
        <v>1</v>
      </c>
      <c r="Y220" s="483">
        <f t="shared" si="34"/>
        <v>1000</v>
      </c>
      <c r="Z220" s="1898">
        <f>Q220*S220*V220</f>
        <v>1000000</v>
      </c>
      <c r="AA220" s="427"/>
      <c r="AB220" s="427"/>
      <c r="AC220" s="192"/>
    </row>
    <row r="221" spans="1:29" s="629" customFormat="1" ht="23.45" customHeight="1">
      <c r="A221" s="628"/>
      <c r="B221" s="563"/>
      <c r="C221" s="473"/>
      <c r="D221" s="2020"/>
      <c r="E221" s="532" t="s">
        <v>58</v>
      </c>
      <c r="F221" s="526">
        <f>Y221</f>
        <v>11000</v>
      </c>
      <c r="G221" s="526">
        <v>11000</v>
      </c>
      <c r="H221" s="551"/>
      <c r="I221" s="543"/>
      <c r="J221" s="2105" t="s">
        <v>8</v>
      </c>
      <c r="K221" s="2082"/>
      <c r="L221" s="2082"/>
      <c r="M221" s="2082"/>
      <c r="N221" s="2082"/>
      <c r="O221" s="2082"/>
      <c r="P221" s="2082"/>
      <c r="Q221" s="2106"/>
      <c r="R221" s="2106"/>
      <c r="S221" s="2106"/>
      <c r="T221" s="2106"/>
      <c r="U221" s="2106"/>
      <c r="V221" s="2106"/>
      <c r="W221" s="2106"/>
      <c r="X221" s="2030"/>
      <c r="Y221" s="483">
        <f t="shared" si="34"/>
        <v>11000</v>
      </c>
      <c r="Z221" s="1898">
        <f>+Z222+Z223+Z224</f>
        <v>11000000</v>
      </c>
      <c r="AA221" s="427"/>
      <c r="AB221" s="427"/>
      <c r="AC221" s="192"/>
    </row>
    <row r="222" spans="1:29" s="629" customFormat="1" ht="23.45" customHeight="1">
      <c r="A222" s="628"/>
      <c r="B222" s="563"/>
      <c r="C222" s="473"/>
      <c r="D222" s="2020"/>
      <c r="E222" s="532"/>
      <c r="F222" s="526"/>
      <c r="G222" s="526"/>
      <c r="H222" s="551"/>
      <c r="I222" s="543"/>
      <c r="J222" s="2105" t="s">
        <v>333</v>
      </c>
      <c r="K222" s="2082"/>
      <c r="L222" s="2082"/>
      <c r="M222" s="2082"/>
      <c r="N222" s="2082"/>
      <c r="O222" s="2082"/>
      <c r="P222" s="2082"/>
      <c r="Q222" s="2106">
        <v>5</v>
      </c>
      <c r="R222" s="2106" t="s">
        <v>25</v>
      </c>
      <c r="S222" s="2106">
        <v>200000</v>
      </c>
      <c r="T222" s="2106" t="s">
        <v>0</v>
      </c>
      <c r="U222" s="2106"/>
      <c r="V222" s="2106">
        <v>2</v>
      </c>
      <c r="W222" s="2106" t="s">
        <v>3</v>
      </c>
      <c r="X222" s="2030" t="s">
        <v>1</v>
      </c>
      <c r="Y222" s="483">
        <f t="shared" si="34"/>
        <v>2000</v>
      </c>
      <c r="Z222" s="1898">
        <f>Q222*S222*V222</f>
        <v>2000000</v>
      </c>
      <c r="AA222" s="427"/>
      <c r="AB222" s="427"/>
      <c r="AC222" s="192"/>
    </row>
    <row r="223" spans="1:29" s="629" customFormat="1" ht="23.45" customHeight="1">
      <c r="A223" s="628"/>
      <c r="B223" s="563"/>
      <c r="C223" s="473"/>
      <c r="D223" s="2020"/>
      <c r="E223" s="532"/>
      <c r="F223" s="526"/>
      <c r="G223" s="526"/>
      <c r="H223" s="551"/>
      <c r="I223" s="543"/>
      <c r="J223" s="2105" t="s">
        <v>1205</v>
      </c>
      <c r="K223" s="2082"/>
      <c r="L223" s="2082"/>
      <c r="M223" s="2082"/>
      <c r="N223" s="2082"/>
      <c r="O223" s="2082"/>
      <c r="P223" s="2082"/>
      <c r="Q223" s="2106">
        <v>5</v>
      </c>
      <c r="R223" s="2106" t="s">
        <v>25</v>
      </c>
      <c r="S223" s="2106">
        <v>250000</v>
      </c>
      <c r="T223" s="2106" t="s">
        <v>0</v>
      </c>
      <c r="U223" s="2106"/>
      <c r="V223" s="2106">
        <v>4</v>
      </c>
      <c r="W223" s="2106" t="s">
        <v>3</v>
      </c>
      <c r="X223" s="2030" t="s">
        <v>1</v>
      </c>
      <c r="Y223" s="483">
        <f t="shared" si="34"/>
        <v>5000</v>
      </c>
      <c r="Z223" s="1898">
        <f>Q223*S223*V223</f>
        <v>5000000</v>
      </c>
      <c r="AA223" s="427"/>
      <c r="AB223" s="427"/>
      <c r="AC223" s="192"/>
    </row>
    <row r="224" spans="1:29" s="629" customFormat="1" ht="23.45" customHeight="1">
      <c r="A224" s="628"/>
      <c r="B224" s="563"/>
      <c r="C224" s="473"/>
      <c r="D224" s="2020"/>
      <c r="E224" s="532"/>
      <c r="F224" s="526"/>
      <c r="G224" s="526"/>
      <c r="H224" s="551"/>
      <c r="I224" s="543"/>
      <c r="J224" s="2105" t="s">
        <v>1664</v>
      </c>
      <c r="K224" s="2082"/>
      <c r="L224" s="2082"/>
      <c r="M224" s="2082"/>
      <c r="N224" s="2082"/>
      <c r="O224" s="2082"/>
      <c r="P224" s="2082"/>
      <c r="Q224" s="2106">
        <v>5</v>
      </c>
      <c r="R224" s="2106" t="s">
        <v>25</v>
      </c>
      <c r="S224" s="2106">
        <v>200000</v>
      </c>
      <c r="T224" s="2106" t="s">
        <v>0</v>
      </c>
      <c r="U224" s="2106"/>
      <c r="V224" s="2106">
        <v>4</v>
      </c>
      <c r="W224" s="2106" t="s">
        <v>3</v>
      </c>
      <c r="X224" s="2030" t="s">
        <v>1</v>
      </c>
      <c r="Y224" s="483">
        <f t="shared" si="34"/>
        <v>4000</v>
      </c>
      <c r="Z224" s="1898">
        <f>Q224*S224*V224</f>
        <v>4000000</v>
      </c>
      <c r="AA224" s="427"/>
      <c r="AB224" s="427"/>
      <c r="AC224" s="192"/>
    </row>
    <row r="225" spans="1:29" s="629" customFormat="1" ht="23.45" customHeight="1">
      <c r="A225" s="628"/>
      <c r="B225" s="563"/>
      <c r="C225" s="473"/>
      <c r="D225" s="2020"/>
      <c r="E225" s="532" t="s">
        <v>71</v>
      </c>
      <c r="F225" s="526">
        <f>Y225</f>
        <v>8000</v>
      </c>
      <c r="G225" s="526">
        <v>8000</v>
      </c>
      <c r="H225" s="551"/>
      <c r="I225" s="543"/>
      <c r="J225" s="2105" t="s">
        <v>1206</v>
      </c>
      <c r="K225" s="2082"/>
      <c r="L225" s="2082"/>
      <c r="M225" s="2082"/>
      <c r="N225" s="2082"/>
      <c r="O225" s="2082"/>
      <c r="P225" s="2082"/>
      <c r="Q225" s="2082"/>
      <c r="R225" s="552"/>
      <c r="S225" s="475">
        <v>4000000</v>
      </c>
      <c r="T225" s="2106" t="s">
        <v>0</v>
      </c>
      <c r="U225" s="2106"/>
      <c r="V225" s="2106">
        <v>2</v>
      </c>
      <c r="W225" s="2106" t="s">
        <v>6</v>
      </c>
      <c r="X225" s="2030" t="s">
        <v>1</v>
      </c>
      <c r="Y225" s="483">
        <f t="shared" si="34"/>
        <v>8000</v>
      </c>
      <c r="Z225" s="1898">
        <f>S225*V225</f>
        <v>8000000</v>
      </c>
      <c r="AA225" s="427"/>
      <c r="AB225" s="427"/>
      <c r="AC225" s="192"/>
    </row>
    <row r="226" spans="1:29" s="629" customFormat="1" ht="23.45" customHeight="1">
      <c r="A226" s="628"/>
      <c r="B226" s="563"/>
      <c r="C226" s="473"/>
      <c r="D226" s="2020"/>
      <c r="E226" s="532" t="s">
        <v>238</v>
      </c>
      <c r="F226" s="526">
        <f>Y226</f>
        <v>366000</v>
      </c>
      <c r="G226" s="526">
        <v>366000</v>
      </c>
      <c r="H226" s="551"/>
      <c r="I226" s="543"/>
      <c r="J226" s="2105" t="s">
        <v>8</v>
      </c>
      <c r="K226" s="2082"/>
      <c r="L226" s="2082"/>
      <c r="M226" s="2082"/>
      <c r="N226" s="2082"/>
      <c r="O226" s="2082"/>
      <c r="P226" s="2082"/>
      <c r="Q226" s="2106"/>
      <c r="R226" s="2106"/>
      <c r="S226" s="475"/>
      <c r="T226" s="2106"/>
      <c r="U226" s="2106"/>
      <c r="V226" s="2106"/>
      <c r="W226" s="2106"/>
      <c r="X226" s="2030"/>
      <c r="Y226" s="483">
        <f t="shared" si="34"/>
        <v>366000</v>
      </c>
      <c r="Z226" s="1898">
        <f>+Z227+Z229+Z230+Z228</f>
        <v>366000000</v>
      </c>
      <c r="AA226" s="427"/>
      <c r="AB226" s="427"/>
      <c r="AC226" s="192"/>
    </row>
    <row r="227" spans="1:29" s="629" customFormat="1" ht="23.45" customHeight="1">
      <c r="A227" s="628"/>
      <c r="B227" s="563"/>
      <c r="C227" s="473"/>
      <c r="D227" s="2020"/>
      <c r="E227" s="532"/>
      <c r="F227" s="526"/>
      <c r="G227" s="526"/>
      <c r="H227" s="551"/>
      <c r="I227" s="543"/>
      <c r="J227" s="472" t="s">
        <v>331</v>
      </c>
      <c r="K227" s="2082"/>
      <c r="L227" s="2082"/>
      <c r="M227" s="2082"/>
      <c r="N227" s="2082"/>
      <c r="O227" s="2082"/>
      <c r="P227" s="2082"/>
      <c r="Q227" s="2106">
        <v>3</v>
      </c>
      <c r="R227" s="2106" t="s">
        <v>1201</v>
      </c>
      <c r="S227" s="475">
        <v>37000000</v>
      </c>
      <c r="T227" s="2106" t="s">
        <v>0</v>
      </c>
      <c r="U227" s="2106"/>
      <c r="V227" s="2106">
        <v>1</v>
      </c>
      <c r="W227" s="2106" t="s">
        <v>51</v>
      </c>
      <c r="X227" s="2030" t="s">
        <v>1</v>
      </c>
      <c r="Y227" s="483">
        <f t="shared" si="34"/>
        <v>111000</v>
      </c>
      <c r="Z227" s="1898">
        <f>Q227*S227*V227</f>
        <v>111000000</v>
      </c>
      <c r="AA227" s="427"/>
      <c r="AB227" s="427"/>
      <c r="AC227" s="192"/>
    </row>
    <row r="228" spans="1:29" s="629" customFormat="1" ht="23.45" customHeight="1">
      <c r="A228" s="628"/>
      <c r="B228" s="563"/>
      <c r="C228" s="473"/>
      <c r="D228" s="2020"/>
      <c r="E228" s="532"/>
      <c r="F228" s="526"/>
      <c r="G228" s="526"/>
      <c r="H228" s="551"/>
      <c r="I228" s="543"/>
      <c r="J228" s="472"/>
      <c r="K228" s="2082"/>
      <c r="L228" s="2082"/>
      <c r="M228" s="2082"/>
      <c r="N228" s="2082"/>
      <c r="O228" s="2082"/>
      <c r="P228" s="2082"/>
      <c r="Q228" s="2106">
        <v>2</v>
      </c>
      <c r="R228" s="2106" t="s">
        <v>1201</v>
      </c>
      <c r="S228" s="475">
        <v>20000000</v>
      </c>
      <c r="T228" s="2106" t="s">
        <v>0</v>
      </c>
      <c r="U228" s="2106"/>
      <c r="V228" s="2106">
        <v>1</v>
      </c>
      <c r="W228" s="2106" t="s">
        <v>51</v>
      </c>
      <c r="X228" s="2030" t="s">
        <v>1</v>
      </c>
      <c r="Y228" s="483">
        <f t="shared" si="34"/>
        <v>40000</v>
      </c>
      <c r="Z228" s="1898">
        <f>Q228*S228*V228</f>
        <v>40000000</v>
      </c>
      <c r="AA228" s="427"/>
      <c r="AB228" s="427"/>
      <c r="AC228" s="192"/>
    </row>
    <row r="229" spans="1:29" s="629" customFormat="1" ht="23.45" customHeight="1">
      <c r="A229" s="628"/>
      <c r="B229" s="563"/>
      <c r="C229" s="473"/>
      <c r="D229" s="2020"/>
      <c r="E229" s="532"/>
      <c r="F229" s="526"/>
      <c r="G229" s="526"/>
      <c r="H229" s="551"/>
      <c r="I229" s="543"/>
      <c r="J229" s="472" t="s">
        <v>332</v>
      </c>
      <c r="K229" s="2082"/>
      <c r="L229" s="2082"/>
      <c r="M229" s="2082"/>
      <c r="N229" s="2082"/>
      <c r="O229" s="2082"/>
      <c r="P229" s="2082"/>
      <c r="Q229" s="2106">
        <v>2</v>
      </c>
      <c r="R229" s="2106" t="s">
        <v>1201</v>
      </c>
      <c r="S229" s="475">
        <v>60000000</v>
      </c>
      <c r="T229" s="2106" t="s">
        <v>0</v>
      </c>
      <c r="U229" s="2106"/>
      <c r="V229" s="2106">
        <v>1</v>
      </c>
      <c r="W229" s="2106" t="s">
        <v>51</v>
      </c>
      <c r="X229" s="2030" t="s">
        <v>1</v>
      </c>
      <c r="Y229" s="483">
        <f t="shared" si="34"/>
        <v>120000</v>
      </c>
      <c r="Z229" s="1898">
        <f>Q229*S229*V229</f>
        <v>120000000</v>
      </c>
      <c r="AA229" s="427"/>
      <c r="AB229" s="427"/>
      <c r="AC229" s="192"/>
    </row>
    <row r="230" spans="1:29" s="629" customFormat="1" ht="23.45" customHeight="1">
      <c r="A230" s="628"/>
      <c r="B230" s="563"/>
      <c r="C230" s="473"/>
      <c r="D230" s="2020"/>
      <c r="E230" s="532"/>
      <c r="F230" s="526"/>
      <c r="G230" s="526"/>
      <c r="H230" s="551"/>
      <c r="I230" s="543"/>
      <c r="J230" s="472" t="s">
        <v>1207</v>
      </c>
      <c r="K230" s="2082"/>
      <c r="L230" s="2082"/>
      <c r="M230" s="2082"/>
      <c r="N230" s="2082"/>
      <c r="O230" s="2082"/>
      <c r="P230" s="2082"/>
      <c r="Q230" s="2106">
        <v>1</v>
      </c>
      <c r="R230" s="2106" t="s">
        <v>1201</v>
      </c>
      <c r="S230" s="475">
        <v>95000000</v>
      </c>
      <c r="T230" s="2106" t="s">
        <v>0</v>
      </c>
      <c r="U230" s="2106"/>
      <c r="V230" s="2106">
        <v>1</v>
      </c>
      <c r="W230" s="2106" t="s">
        <v>51</v>
      </c>
      <c r="X230" s="2030" t="s">
        <v>1</v>
      </c>
      <c r="Y230" s="483">
        <f t="shared" si="34"/>
        <v>95000</v>
      </c>
      <c r="Z230" s="1898">
        <f>Q230*S230*V230</f>
        <v>95000000</v>
      </c>
      <c r="AA230" s="427"/>
      <c r="AB230" s="427"/>
      <c r="AC230" s="192"/>
    </row>
    <row r="231" spans="1:29" s="629" customFormat="1" ht="23.45" customHeight="1">
      <c r="A231" s="628"/>
      <c r="B231" s="563"/>
      <c r="C231" s="564"/>
      <c r="D231" s="2020"/>
      <c r="E231" s="2023" t="s">
        <v>62</v>
      </c>
      <c r="F231" s="526">
        <f>Y231</f>
        <v>2000</v>
      </c>
      <c r="G231" s="526">
        <v>2000</v>
      </c>
      <c r="H231" s="551"/>
      <c r="I231" s="543"/>
      <c r="J231" s="2105" t="s">
        <v>1202</v>
      </c>
      <c r="K231" s="2082"/>
      <c r="L231" s="2082"/>
      <c r="M231" s="2082"/>
      <c r="N231" s="2082"/>
      <c r="O231" s="2082"/>
      <c r="P231" s="2082"/>
      <c r="Q231" s="475" t="s">
        <v>20</v>
      </c>
      <c r="R231" s="552" t="s">
        <v>20</v>
      </c>
      <c r="S231" s="474">
        <v>500000</v>
      </c>
      <c r="T231" s="2106" t="s">
        <v>0</v>
      </c>
      <c r="U231" s="2106"/>
      <c r="V231" s="2106">
        <v>4</v>
      </c>
      <c r="W231" s="2106" t="s">
        <v>3</v>
      </c>
      <c r="X231" s="2030" t="s">
        <v>1</v>
      </c>
      <c r="Y231" s="483">
        <f t="shared" si="34"/>
        <v>2000</v>
      </c>
      <c r="Z231" s="1898">
        <f>S231*V231</f>
        <v>2000000</v>
      </c>
      <c r="AA231" s="427"/>
      <c r="AB231" s="427"/>
      <c r="AC231" s="192"/>
    </row>
    <row r="232" spans="1:29" s="629" customFormat="1" ht="23.45" customHeight="1" thickBot="1">
      <c r="A232" s="628"/>
      <c r="B232" s="563"/>
      <c r="C232" s="624"/>
      <c r="D232" s="2020"/>
      <c r="E232" s="532" t="s">
        <v>61</v>
      </c>
      <c r="F232" s="526">
        <f>Y232</f>
        <v>1500</v>
      </c>
      <c r="G232" s="526">
        <v>1500</v>
      </c>
      <c r="H232" s="551"/>
      <c r="I232" s="543"/>
      <c r="J232" s="2105" t="s">
        <v>334</v>
      </c>
      <c r="K232" s="2082"/>
      <c r="L232" s="2082"/>
      <c r="M232" s="2082"/>
      <c r="N232" s="2082"/>
      <c r="O232" s="2082"/>
      <c r="P232" s="2082"/>
      <c r="Q232" s="2106">
        <v>5</v>
      </c>
      <c r="R232" s="2106" t="s">
        <v>25</v>
      </c>
      <c r="S232" s="2106">
        <v>20000</v>
      </c>
      <c r="T232" s="2106" t="s">
        <v>0</v>
      </c>
      <c r="U232" s="2106"/>
      <c r="V232" s="2106">
        <v>15</v>
      </c>
      <c r="W232" s="2106" t="s">
        <v>3</v>
      </c>
      <c r="X232" s="2030" t="s">
        <v>1</v>
      </c>
      <c r="Y232" s="483">
        <f t="shared" si="34"/>
        <v>1500</v>
      </c>
      <c r="Z232" s="1898">
        <f>Q232*S232*V232</f>
        <v>1500000</v>
      </c>
      <c r="AA232" s="427"/>
      <c r="AB232" s="427"/>
      <c r="AC232" s="192"/>
    </row>
    <row r="233" spans="1:29" s="294" customFormat="1" ht="23.45" customHeight="1" thickBot="1">
      <c r="A233" s="540"/>
      <c r="B233" s="568" t="s">
        <v>1056</v>
      </c>
      <c r="C233" s="569"/>
      <c r="D233" s="570"/>
      <c r="E233" s="571"/>
      <c r="F233" s="572">
        <f>+F234+F274</f>
        <v>5500000</v>
      </c>
      <c r="G233" s="572">
        <f>+G234+G274</f>
        <v>5500000</v>
      </c>
      <c r="H233" s="2341">
        <f>F233-G233</f>
        <v>0</v>
      </c>
      <c r="I233" s="557"/>
      <c r="J233" s="574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6"/>
      <c r="Y233" s="577"/>
      <c r="Z233" s="3470"/>
      <c r="AA233" s="427"/>
      <c r="AB233" s="427"/>
      <c r="AC233" s="192"/>
    </row>
    <row r="234" spans="1:29" s="250" customFormat="1" ht="23.45" customHeight="1">
      <c r="A234" s="628"/>
      <c r="B234" s="2229"/>
      <c r="C234" s="3872" t="s">
        <v>783</v>
      </c>
      <c r="D234" s="3830"/>
      <c r="E234" s="3831"/>
      <c r="F234" s="1988">
        <f>F235+F251+F268</f>
        <v>2500000</v>
      </c>
      <c r="G234" s="1988">
        <f>G235+G251+G268</f>
        <v>2500000</v>
      </c>
      <c r="H234" s="984">
        <f>F234-G234</f>
        <v>0</v>
      </c>
      <c r="I234" s="1984"/>
      <c r="J234" s="1535"/>
      <c r="K234" s="1536"/>
      <c r="L234" s="1536"/>
      <c r="M234" s="1536"/>
      <c r="N234" s="1536"/>
      <c r="O234" s="1536"/>
      <c r="P234" s="1536"/>
      <c r="Q234" s="2230"/>
      <c r="R234" s="1537"/>
      <c r="S234" s="1010"/>
      <c r="T234" s="1084"/>
      <c r="U234" s="1084"/>
      <c r="V234" s="1084"/>
      <c r="W234" s="1084"/>
      <c r="X234" s="1538"/>
      <c r="Y234" s="965"/>
      <c r="Z234" s="3477"/>
      <c r="AA234" s="427"/>
      <c r="AB234" s="427"/>
      <c r="AC234" s="192"/>
    </row>
    <row r="235" spans="1:29" s="250" customFormat="1" ht="23.45" customHeight="1">
      <c r="A235" s="628"/>
      <c r="B235" s="2221"/>
      <c r="C235" s="867"/>
      <c r="D235" s="3840" t="s">
        <v>3386</v>
      </c>
      <c r="E235" s="3904"/>
      <c r="F235" s="2222">
        <f>SUM(F236:F250)</f>
        <v>1000000</v>
      </c>
      <c r="G235" s="2222">
        <f>SUM(G236:G250)</f>
        <v>1000000</v>
      </c>
      <c r="H235" s="1059">
        <f>+F235-G235</f>
        <v>0</v>
      </c>
      <c r="I235" s="1984"/>
      <c r="J235" s="1535"/>
      <c r="K235" s="1536"/>
      <c r="L235" s="1536"/>
      <c r="M235" s="1536"/>
      <c r="N235" s="1536"/>
      <c r="O235" s="1536"/>
      <c r="P235" s="1536"/>
      <c r="Q235" s="1536"/>
      <c r="R235" s="1990"/>
      <c r="S235" s="1084"/>
      <c r="T235" s="1084"/>
      <c r="U235" s="1084"/>
      <c r="V235" s="1084"/>
      <c r="W235" s="1084"/>
      <c r="X235" s="1538"/>
      <c r="Y235" s="965"/>
      <c r="Z235" s="3426"/>
      <c r="AA235" s="427"/>
      <c r="AB235" s="427"/>
      <c r="AC235" s="192"/>
    </row>
    <row r="236" spans="1:29" s="250" customFormat="1" ht="23.45" customHeight="1">
      <c r="A236" s="628"/>
      <c r="B236" s="2221"/>
      <c r="C236" s="867"/>
      <c r="D236" s="692"/>
      <c r="E236" s="1034" t="s">
        <v>3996</v>
      </c>
      <c r="F236" s="2125">
        <f t="shared" ref="F236:F250" si="35">Y236</f>
        <v>60000</v>
      </c>
      <c r="G236" s="2125">
        <v>60000</v>
      </c>
      <c r="H236" s="865"/>
      <c r="I236" s="1984"/>
      <c r="J236" s="2231" t="s">
        <v>4479</v>
      </c>
      <c r="K236" s="3164"/>
      <c r="L236" s="3164"/>
      <c r="M236" s="3164"/>
      <c r="N236" s="3164"/>
      <c r="O236" s="3164"/>
      <c r="P236" s="3164"/>
      <c r="Q236" s="3164"/>
      <c r="R236" s="3164"/>
      <c r="S236" s="3164">
        <v>30000000</v>
      </c>
      <c r="T236" s="3164" t="s">
        <v>4457</v>
      </c>
      <c r="U236" s="3164"/>
      <c r="V236" s="3164">
        <v>2</v>
      </c>
      <c r="W236" s="3164" t="s">
        <v>4464</v>
      </c>
      <c r="X236" s="2171" t="s">
        <v>4480</v>
      </c>
      <c r="Y236" s="871">
        <f t="shared" ref="Y236:Y249" si="36">S236*V236/1000</f>
        <v>60000</v>
      </c>
      <c r="Z236" s="2233">
        <f>SUM(Z241:Z244)</f>
        <v>0</v>
      </c>
      <c r="AA236" s="427"/>
      <c r="AB236" s="427"/>
      <c r="AC236" s="192"/>
    </row>
    <row r="237" spans="1:29" s="250" customFormat="1" ht="23.45" customHeight="1">
      <c r="A237" s="628"/>
      <c r="B237" s="2221"/>
      <c r="C237" s="867"/>
      <c r="D237" s="692"/>
      <c r="E237" s="675" t="s">
        <v>3972</v>
      </c>
      <c r="F237" s="2125">
        <f t="shared" si="35"/>
        <v>5000</v>
      </c>
      <c r="G237" s="2125">
        <v>5000</v>
      </c>
      <c r="H237" s="865"/>
      <c r="I237" s="1984"/>
      <c r="J237" s="2231" t="s">
        <v>4481</v>
      </c>
      <c r="K237" s="3164"/>
      <c r="L237" s="3164"/>
      <c r="M237" s="3164"/>
      <c r="N237" s="3164"/>
      <c r="O237" s="3164"/>
      <c r="P237" s="3164"/>
      <c r="Q237" s="3164"/>
      <c r="R237" s="3164"/>
      <c r="S237" s="3164">
        <v>1000000</v>
      </c>
      <c r="T237" s="3164" t="s">
        <v>4457</v>
      </c>
      <c r="U237" s="3164"/>
      <c r="V237" s="3164">
        <v>5</v>
      </c>
      <c r="W237" s="3164" t="s">
        <v>4458</v>
      </c>
      <c r="X237" s="2171" t="s">
        <v>4443</v>
      </c>
      <c r="Y237" s="871">
        <f t="shared" si="36"/>
        <v>5000</v>
      </c>
      <c r="Z237" s="2233"/>
      <c r="AA237" s="427"/>
      <c r="AB237" s="427"/>
      <c r="AC237" s="192"/>
    </row>
    <row r="238" spans="1:29" s="250" customFormat="1" ht="23.45" customHeight="1">
      <c r="A238" s="628"/>
      <c r="B238" s="2221"/>
      <c r="C238" s="867"/>
      <c r="D238" s="692"/>
      <c r="E238" s="675" t="s">
        <v>3998</v>
      </c>
      <c r="F238" s="2125">
        <f t="shared" si="35"/>
        <v>20000</v>
      </c>
      <c r="G238" s="2125">
        <v>20000</v>
      </c>
      <c r="H238" s="865"/>
      <c r="I238" s="1984"/>
      <c r="J238" s="2231" t="s">
        <v>4432</v>
      </c>
      <c r="K238" s="3164"/>
      <c r="L238" s="3164"/>
      <c r="M238" s="3164"/>
      <c r="N238" s="3164"/>
      <c r="O238" s="3164"/>
      <c r="P238" s="3164"/>
      <c r="Q238" s="3164"/>
      <c r="R238" s="3164"/>
      <c r="S238" s="3164"/>
      <c r="T238" s="3164"/>
      <c r="U238" s="3164"/>
      <c r="V238" s="3164"/>
      <c r="W238" s="3164"/>
      <c r="X238" s="2171"/>
      <c r="Y238" s="871">
        <f>SUM(Y239:Y240)</f>
        <v>20000</v>
      </c>
      <c r="Z238" s="2233"/>
      <c r="AA238" s="427"/>
      <c r="AB238" s="427"/>
      <c r="AC238" s="192"/>
    </row>
    <row r="239" spans="1:29" s="250" customFormat="1" ht="23.45" customHeight="1">
      <c r="A239" s="628"/>
      <c r="B239" s="2221"/>
      <c r="C239" s="867"/>
      <c r="D239" s="692"/>
      <c r="E239" s="675"/>
      <c r="F239" s="2125"/>
      <c r="G239" s="2125"/>
      <c r="H239" s="865"/>
      <c r="I239" s="1984"/>
      <c r="J239" s="2231" t="s">
        <v>5275</v>
      </c>
      <c r="K239" s="3164"/>
      <c r="L239" s="3164"/>
      <c r="M239" s="3164"/>
      <c r="N239" s="3164"/>
      <c r="O239" s="3164"/>
      <c r="P239" s="3164"/>
      <c r="Q239" s="3164"/>
      <c r="R239" s="3164"/>
      <c r="S239" s="3164">
        <v>6000000</v>
      </c>
      <c r="T239" s="3164" t="s">
        <v>4457</v>
      </c>
      <c r="U239" s="3164"/>
      <c r="V239" s="3164">
        <v>3</v>
      </c>
      <c r="W239" s="3164" t="s">
        <v>4482</v>
      </c>
      <c r="X239" s="2171" t="s">
        <v>4443</v>
      </c>
      <c r="Y239" s="871">
        <f t="shared" si="36"/>
        <v>18000</v>
      </c>
      <c r="Z239" s="2233"/>
      <c r="AA239" s="427"/>
      <c r="AB239" s="427"/>
      <c r="AC239" s="192"/>
    </row>
    <row r="240" spans="1:29" s="250" customFormat="1" ht="23.45" customHeight="1">
      <c r="A240" s="628"/>
      <c r="B240" s="2221"/>
      <c r="C240" s="867"/>
      <c r="D240" s="692"/>
      <c r="E240" s="675"/>
      <c r="F240" s="2125"/>
      <c r="G240" s="2125"/>
      <c r="H240" s="865"/>
      <c r="I240" s="1984"/>
      <c r="J240" s="2231" t="s">
        <v>4301</v>
      </c>
      <c r="K240" s="3164"/>
      <c r="L240" s="3164"/>
      <c r="M240" s="3164"/>
      <c r="N240" s="3164"/>
      <c r="O240" s="3164"/>
      <c r="P240" s="3164"/>
      <c r="Q240" s="3164"/>
      <c r="R240" s="3164"/>
      <c r="S240" s="3164">
        <v>200000</v>
      </c>
      <c r="T240" s="3164" t="s">
        <v>4457</v>
      </c>
      <c r="U240" s="3164"/>
      <c r="V240" s="3164">
        <v>10</v>
      </c>
      <c r="W240" s="3164" t="s">
        <v>4446</v>
      </c>
      <c r="X240" s="2171" t="s">
        <v>4443</v>
      </c>
      <c r="Y240" s="871">
        <f t="shared" si="36"/>
        <v>2000</v>
      </c>
      <c r="Z240" s="2233"/>
      <c r="AA240" s="427"/>
      <c r="AB240" s="427"/>
      <c r="AC240" s="192"/>
    </row>
    <row r="241" spans="1:29" s="250" customFormat="1" ht="23.45" customHeight="1">
      <c r="A241" s="628"/>
      <c r="B241" s="2221"/>
      <c r="C241" s="867"/>
      <c r="D241" s="692"/>
      <c r="E241" s="675" t="s">
        <v>3976</v>
      </c>
      <c r="F241" s="2125">
        <f t="shared" si="35"/>
        <v>9000</v>
      </c>
      <c r="G241" s="2125">
        <v>9000</v>
      </c>
      <c r="H241" s="865"/>
      <c r="I241" s="1984"/>
      <c r="J241" s="2231" t="s">
        <v>4432</v>
      </c>
      <c r="K241" s="3164"/>
      <c r="L241" s="3164"/>
      <c r="M241" s="3164"/>
      <c r="N241" s="3164"/>
      <c r="O241" s="3164"/>
      <c r="P241" s="3164"/>
      <c r="Q241" s="3164"/>
      <c r="R241" s="3164"/>
      <c r="S241" s="3164"/>
      <c r="T241" s="3164"/>
      <c r="U241" s="3164"/>
      <c r="V241" s="3164"/>
      <c r="W241" s="3164"/>
      <c r="X241" s="2171"/>
      <c r="Y241" s="871">
        <f>SUM(Y242:Y243)</f>
        <v>9000</v>
      </c>
      <c r="Z241" s="2233">
        <f>Q241*S241*V241</f>
        <v>0</v>
      </c>
      <c r="AA241" s="427"/>
      <c r="AB241" s="427"/>
      <c r="AC241" s="192"/>
    </row>
    <row r="242" spans="1:29" s="250" customFormat="1" ht="23.45" customHeight="1">
      <c r="A242" s="628"/>
      <c r="B242" s="2221"/>
      <c r="C242" s="867"/>
      <c r="D242" s="692"/>
      <c r="E242" s="675"/>
      <c r="F242" s="2125"/>
      <c r="G242" s="2125"/>
      <c r="H242" s="865"/>
      <c r="I242" s="1984"/>
      <c r="J242" s="2231" t="s">
        <v>4565</v>
      </c>
      <c r="K242" s="3164"/>
      <c r="L242" s="3164"/>
      <c r="M242" s="3164"/>
      <c r="N242" s="3164"/>
      <c r="O242" s="3164"/>
      <c r="P242" s="3164"/>
      <c r="Q242" s="3164">
        <v>10</v>
      </c>
      <c r="R242" s="3164" t="s">
        <v>4483</v>
      </c>
      <c r="S242" s="3164">
        <v>200000</v>
      </c>
      <c r="T242" s="3164" t="s">
        <v>4457</v>
      </c>
      <c r="U242" s="3164"/>
      <c r="V242" s="3164">
        <v>4</v>
      </c>
      <c r="W242" s="3164" t="s">
        <v>4458</v>
      </c>
      <c r="X242" s="2171" t="s">
        <v>4443</v>
      </c>
      <c r="Y242" s="871">
        <f>Q242*S242*V242/1000</f>
        <v>8000</v>
      </c>
      <c r="Z242" s="2233"/>
      <c r="AA242" s="427"/>
      <c r="AB242" s="427"/>
      <c r="AC242" s="192"/>
    </row>
    <row r="243" spans="1:29" s="250" customFormat="1" ht="23.45" customHeight="1">
      <c r="A243" s="628"/>
      <c r="B243" s="2221"/>
      <c r="C243" s="867"/>
      <c r="D243" s="692"/>
      <c r="E243" s="675"/>
      <c r="F243" s="2125"/>
      <c r="G243" s="2125"/>
      <c r="H243" s="865"/>
      <c r="I243" s="1984"/>
      <c r="J243" s="2231" t="s">
        <v>5276</v>
      </c>
      <c r="K243" s="3164"/>
      <c r="L243" s="3164"/>
      <c r="M243" s="3164"/>
      <c r="N243" s="3164"/>
      <c r="O243" s="3164"/>
      <c r="P243" s="3164"/>
      <c r="Q243" s="3164"/>
      <c r="R243" s="3164"/>
      <c r="S243" s="3164">
        <v>200000</v>
      </c>
      <c r="T243" s="3164" t="s">
        <v>4457</v>
      </c>
      <c r="U243" s="3164"/>
      <c r="V243" s="3164">
        <v>5</v>
      </c>
      <c r="W243" s="3164" t="s">
        <v>4431</v>
      </c>
      <c r="X243" s="2171" t="s">
        <v>4443</v>
      </c>
      <c r="Y243" s="871">
        <f t="shared" si="36"/>
        <v>1000</v>
      </c>
      <c r="Z243" s="2233"/>
      <c r="AA243" s="427"/>
      <c r="AB243" s="427"/>
      <c r="AC243" s="192"/>
    </row>
    <row r="244" spans="1:29" s="250" customFormat="1" ht="23.45" customHeight="1">
      <c r="A244" s="628"/>
      <c r="B244" s="2221"/>
      <c r="C244" s="867"/>
      <c r="D244" s="692"/>
      <c r="E244" s="675" t="s">
        <v>3982</v>
      </c>
      <c r="F244" s="2125">
        <f t="shared" si="35"/>
        <v>835000</v>
      </c>
      <c r="G244" s="2125">
        <v>835000</v>
      </c>
      <c r="H244" s="865"/>
      <c r="I244" s="1984"/>
      <c r="J244" s="2231" t="s">
        <v>4432</v>
      </c>
      <c r="K244" s="3164"/>
      <c r="L244" s="3164"/>
      <c r="M244" s="3164"/>
      <c r="N244" s="3164"/>
      <c r="O244" s="3164"/>
      <c r="P244" s="3164"/>
      <c r="Q244" s="3164"/>
      <c r="R244" s="3164"/>
      <c r="S244" s="3164"/>
      <c r="T244" s="3164"/>
      <c r="U244" s="3164"/>
      <c r="V244" s="3164"/>
      <c r="W244" s="3164"/>
      <c r="X244" s="2171"/>
      <c r="Y244" s="871">
        <f>SUM(Y245:Y246)</f>
        <v>835000</v>
      </c>
      <c r="Z244" s="2233">
        <f>Q244*S244*V244</f>
        <v>0</v>
      </c>
      <c r="AA244" s="427"/>
      <c r="AB244" s="427"/>
      <c r="AC244" s="192"/>
    </row>
    <row r="245" spans="1:29" s="250" customFormat="1" ht="23.45" customHeight="1">
      <c r="A245" s="628"/>
      <c r="B245" s="2221"/>
      <c r="C245" s="867"/>
      <c r="D245" s="692"/>
      <c r="E245" s="675"/>
      <c r="F245" s="2125"/>
      <c r="G245" s="2125"/>
      <c r="H245" s="865"/>
      <c r="I245" s="1984"/>
      <c r="J245" s="2231" t="s">
        <v>5277</v>
      </c>
      <c r="K245" s="3164"/>
      <c r="L245" s="3164"/>
      <c r="M245" s="3164"/>
      <c r="N245" s="3164"/>
      <c r="O245" s="3164"/>
      <c r="P245" s="3164"/>
      <c r="Q245" s="3164"/>
      <c r="R245" s="3164"/>
      <c r="S245" s="3164">
        <v>100000000</v>
      </c>
      <c r="T245" s="3164" t="s">
        <v>4457</v>
      </c>
      <c r="U245" s="3164"/>
      <c r="V245" s="3164">
        <v>1</v>
      </c>
      <c r="W245" s="3164" t="s">
        <v>4472</v>
      </c>
      <c r="X245" s="2171" t="s">
        <v>4443</v>
      </c>
      <c r="Y245" s="871">
        <f t="shared" ref="Y245:Y246" si="37">S245*V245/1000</f>
        <v>100000</v>
      </c>
      <c r="Z245" s="2233"/>
      <c r="AA245" s="427"/>
      <c r="AB245" s="427"/>
      <c r="AC245" s="192"/>
    </row>
    <row r="246" spans="1:29" s="250" customFormat="1" ht="23.45" customHeight="1">
      <c r="A246" s="628"/>
      <c r="B246" s="2221"/>
      <c r="C246" s="867"/>
      <c r="D246" s="692"/>
      <c r="E246" s="675"/>
      <c r="F246" s="2125"/>
      <c r="G246" s="2125"/>
      <c r="H246" s="865"/>
      <c r="I246" s="1984"/>
      <c r="J246" s="2231" t="s">
        <v>5278</v>
      </c>
      <c r="K246" s="3164"/>
      <c r="L246" s="3164"/>
      <c r="M246" s="3164"/>
      <c r="N246" s="3164"/>
      <c r="O246" s="3164"/>
      <c r="P246" s="3164"/>
      <c r="Q246" s="3164"/>
      <c r="R246" s="3164"/>
      <c r="S246" s="3164">
        <v>735000000</v>
      </c>
      <c r="T246" s="3164" t="s">
        <v>4457</v>
      </c>
      <c r="U246" s="3164"/>
      <c r="V246" s="3164">
        <v>1</v>
      </c>
      <c r="W246" s="3164" t="s">
        <v>4433</v>
      </c>
      <c r="X246" s="2171" t="s">
        <v>4443</v>
      </c>
      <c r="Y246" s="871">
        <f t="shared" si="37"/>
        <v>735000</v>
      </c>
      <c r="Z246" s="2233"/>
      <c r="AA246" s="427"/>
      <c r="AB246" s="427"/>
      <c r="AC246" s="192"/>
    </row>
    <row r="247" spans="1:29" s="250" customFormat="1" ht="23.45" customHeight="1">
      <c r="A247" s="628"/>
      <c r="B247" s="2221"/>
      <c r="C247" s="867"/>
      <c r="D247" s="692"/>
      <c r="E247" s="675" t="s">
        <v>3999</v>
      </c>
      <c r="F247" s="2125">
        <f t="shared" si="35"/>
        <v>12000</v>
      </c>
      <c r="G247" s="2125">
        <v>12000</v>
      </c>
      <c r="H247" s="865"/>
      <c r="I247" s="1984"/>
      <c r="J247" s="2231" t="s">
        <v>4484</v>
      </c>
      <c r="K247" s="3164"/>
      <c r="L247" s="3164"/>
      <c r="M247" s="3164"/>
      <c r="N247" s="3164"/>
      <c r="O247" s="3164"/>
      <c r="P247" s="3164"/>
      <c r="Q247" s="3164"/>
      <c r="R247" s="3164"/>
      <c r="S247" s="3164">
        <v>1000000</v>
      </c>
      <c r="T247" s="3164" t="s">
        <v>4457</v>
      </c>
      <c r="U247" s="3164"/>
      <c r="V247" s="3164">
        <v>12</v>
      </c>
      <c r="W247" s="3164" t="s">
        <v>4485</v>
      </c>
      <c r="X247" s="2171" t="s">
        <v>4443</v>
      </c>
      <c r="Y247" s="871">
        <f t="shared" si="36"/>
        <v>12000</v>
      </c>
      <c r="Z247" s="2233">
        <f>Q247*S247*V247</f>
        <v>0</v>
      </c>
      <c r="AA247" s="427"/>
      <c r="AB247" s="427"/>
      <c r="AC247" s="192"/>
    </row>
    <row r="248" spans="1:29" s="250" customFormat="1" ht="23.45" customHeight="1">
      <c r="A248" s="628"/>
      <c r="B248" s="2221"/>
      <c r="C248" s="867"/>
      <c r="D248" s="692"/>
      <c r="E248" s="675" t="s">
        <v>3989</v>
      </c>
      <c r="F248" s="2125">
        <f>Y248</f>
        <v>5000</v>
      </c>
      <c r="G248" s="2125">
        <v>5000</v>
      </c>
      <c r="H248" s="865"/>
      <c r="I248" s="1984"/>
      <c r="J248" s="2231" t="s">
        <v>4486</v>
      </c>
      <c r="K248" s="3164"/>
      <c r="L248" s="3164"/>
      <c r="M248" s="3164"/>
      <c r="N248" s="3164"/>
      <c r="O248" s="3164"/>
      <c r="P248" s="3164"/>
      <c r="Q248" s="3164"/>
      <c r="R248" s="3164"/>
      <c r="S248" s="3164">
        <v>5000000</v>
      </c>
      <c r="T248" s="3164" t="s">
        <v>4457</v>
      </c>
      <c r="U248" s="3164"/>
      <c r="V248" s="3164">
        <v>1</v>
      </c>
      <c r="W248" s="3164" t="s">
        <v>4431</v>
      </c>
      <c r="X248" s="2171" t="s">
        <v>4443</v>
      </c>
      <c r="Y248" s="871">
        <f>S248*V248/1000</f>
        <v>5000</v>
      </c>
      <c r="Z248" s="2233"/>
      <c r="AA248" s="427"/>
      <c r="AB248" s="427"/>
      <c r="AC248" s="192"/>
    </row>
    <row r="249" spans="1:29" s="250" customFormat="1" ht="23.45" customHeight="1">
      <c r="A249" s="628"/>
      <c r="B249" s="2221"/>
      <c r="C249" s="867"/>
      <c r="D249" s="692"/>
      <c r="E249" s="675" t="s">
        <v>3993</v>
      </c>
      <c r="F249" s="2125">
        <f t="shared" si="35"/>
        <v>4000</v>
      </c>
      <c r="G249" s="2125">
        <v>4000</v>
      </c>
      <c r="H249" s="865"/>
      <c r="I249" s="1984"/>
      <c r="J249" s="2231" t="s">
        <v>4478</v>
      </c>
      <c r="K249" s="3164"/>
      <c r="L249" s="3164"/>
      <c r="M249" s="3164"/>
      <c r="N249" s="3164"/>
      <c r="O249" s="3164"/>
      <c r="P249" s="3164"/>
      <c r="Q249" s="3164"/>
      <c r="R249" s="3164"/>
      <c r="S249" s="3164">
        <v>200000</v>
      </c>
      <c r="T249" s="3164" t="s">
        <v>4457</v>
      </c>
      <c r="U249" s="3164"/>
      <c r="V249" s="3164">
        <v>20</v>
      </c>
      <c r="W249" s="3164" t="s">
        <v>4458</v>
      </c>
      <c r="X249" s="2171" t="s">
        <v>4443</v>
      </c>
      <c r="Y249" s="871">
        <f t="shared" si="36"/>
        <v>4000</v>
      </c>
      <c r="Z249" s="2233">
        <f>Q249*S249*V249</f>
        <v>0</v>
      </c>
      <c r="AA249" s="427"/>
      <c r="AB249" s="427"/>
      <c r="AC249" s="192"/>
    </row>
    <row r="250" spans="1:29" s="250" customFormat="1" ht="23.45" customHeight="1">
      <c r="A250" s="628"/>
      <c r="B250" s="2221"/>
      <c r="C250" s="867"/>
      <c r="D250" s="692"/>
      <c r="E250" s="970" t="s">
        <v>4000</v>
      </c>
      <c r="F250" s="2125">
        <f t="shared" si="35"/>
        <v>50000</v>
      </c>
      <c r="G250" s="2125">
        <v>50000</v>
      </c>
      <c r="H250" s="865"/>
      <c r="I250" s="1984"/>
      <c r="J250" s="2231" t="s">
        <v>4487</v>
      </c>
      <c r="K250" s="3164"/>
      <c r="L250" s="3164"/>
      <c r="M250" s="3164"/>
      <c r="N250" s="3164"/>
      <c r="O250" s="3164"/>
      <c r="P250" s="3164"/>
      <c r="Q250" s="3241">
        <v>2</v>
      </c>
      <c r="R250" s="3241" t="s">
        <v>4488</v>
      </c>
      <c r="S250" s="3241">
        <v>5000</v>
      </c>
      <c r="T250" s="3241" t="s">
        <v>4457</v>
      </c>
      <c r="U250" s="3241"/>
      <c r="V250" s="3241">
        <v>5000</v>
      </c>
      <c r="W250" s="3241" t="s">
        <v>4489</v>
      </c>
      <c r="X250" s="2030" t="s">
        <v>4443</v>
      </c>
      <c r="Y250" s="871">
        <f>Q250*S250*V250/1000</f>
        <v>50000</v>
      </c>
      <c r="Z250" s="2233"/>
      <c r="AA250" s="427"/>
      <c r="AB250" s="427"/>
      <c r="AC250" s="192"/>
    </row>
    <row r="251" spans="1:29" s="250" customFormat="1" ht="21.75" customHeight="1">
      <c r="A251" s="628"/>
      <c r="B251" s="2221"/>
      <c r="C251" s="867"/>
      <c r="D251" s="3840" t="s">
        <v>3387</v>
      </c>
      <c r="E251" s="3904"/>
      <c r="F251" s="1988">
        <f>SUM(F252:F267)</f>
        <v>1370000</v>
      </c>
      <c r="G251" s="1988">
        <f>SUM(G252:G267)</f>
        <v>1370000</v>
      </c>
      <c r="H251" s="984">
        <f>F251-G251</f>
        <v>0</v>
      </c>
      <c r="I251" s="1984"/>
      <c r="J251" s="2245"/>
      <c r="K251" s="1010"/>
      <c r="L251" s="1010"/>
      <c r="M251" s="1010"/>
      <c r="N251" s="1010"/>
      <c r="O251" s="1010"/>
      <c r="P251" s="1010"/>
      <c r="Q251" s="1010"/>
      <c r="R251" s="1010"/>
      <c r="S251" s="1010"/>
      <c r="T251" s="1010"/>
      <c r="U251" s="1010"/>
      <c r="V251" s="1010"/>
      <c r="W251" s="1010"/>
      <c r="X251" s="2342"/>
      <c r="Y251" s="965"/>
      <c r="Z251" s="3426"/>
      <c r="AA251" s="427"/>
      <c r="AB251" s="427"/>
      <c r="AC251" s="192"/>
    </row>
    <row r="252" spans="1:29" s="250" customFormat="1" ht="21.75" customHeight="1">
      <c r="A252" s="628"/>
      <c r="B252" s="2221"/>
      <c r="C252" s="867"/>
      <c r="D252" s="1034"/>
      <c r="E252" s="3587" t="s">
        <v>229</v>
      </c>
      <c r="F252" s="2125">
        <f>Y252</f>
        <v>80000</v>
      </c>
      <c r="G252" s="2125">
        <v>80000</v>
      </c>
      <c r="H252" s="854"/>
      <c r="I252" s="1984"/>
      <c r="J252" s="2231" t="s">
        <v>5292</v>
      </c>
      <c r="K252" s="3164"/>
      <c r="L252" s="3164"/>
      <c r="M252" s="3164"/>
      <c r="N252" s="3164"/>
      <c r="O252" s="3164"/>
      <c r="P252" s="3164"/>
      <c r="Q252" s="3164"/>
      <c r="R252" s="3164"/>
      <c r="S252" s="3164"/>
      <c r="T252" s="3164"/>
      <c r="U252" s="3164"/>
      <c r="V252" s="3164"/>
      <c r="W252" s="3164"/>
      <c r="X252" s="3164"/>
      <c r="Y252" s="871">
        <f>SUM(Y253:Y255)</f>
        <v>80000</v>
      </c>
      <c r="Z252" s="2233"/>
      <c r="AA252" s="427"/>
      <c r="AB252" s="427"/>
      <c r="AC252" s="192"/>
    </row>
    <row r="253" spans="1:29" s="250" customFormat="1" ht="21.75" customHeight="1">
      <c r="A253" s="628"/>
      <c r="B253" s="2221"/>
      <c r="C253" s="867"/>
      <c r="D253" s="675"/>
      <c r="E253" s="3587"/>
      <c r="F253" s="2125"/>
      <c r="G253" s="2125"/>
      <c r="H253" s="865"/>
      <c r="I253" s="1984"/>
      <c r="J253" s="2231" t="s">
        <v>5293</v>
      </c>
      <c r="K253" s="3164"/>
      <c r="L253" s="3164"/>
      <c r="M253" s="3164"/>
      <c r="N253" s="3164"/>
      <c r="O253" s="3164"/>
      <c r="P253" s="3164"/>
      <c r="Q253" s="3164"/>
      <c r="R253" s="3164"/>
      <c r="S253" s="3164">
        <v>14000000</v>
      </c>
      <c r="T253" s="3164" t="s">
        <v>5294</v>
      </c>
      <c r="U253" s="3164"/>
      <c r="V253" s="3164">
        <v>2</v>
      </c>
      <c r="W253" s="3164" t="s">
        <v>5295</v>
      </c>
      <c r="X253" s="3164" t="s">
        <v>5296</v>
      </c>
      <c r="Y253" s="871">
        <f>S253*V253/1000</f>
        <v>28000</v>
      </c>
      <c r="Z253" s="2233"/>
      <c r="AA253" s="427"/>
      <c r="AB253" s="427"/>
      <c r="AC253" s="192"/>
    </row>
    <row r="254" spans="1:29" s="250" customFormat="1" ht="21.75" customHeight="1">
      <c r="A254" s="628"/>
      <c r="B254" s="2221"/>
      <c r="C254" s="867"/>
      <c r="D254" s="675"/>
      <c r="E254" s="3587"/>
      <c r="F254" s="2125"/>
      <c r="G254" s="2125"/>
      <c r="H254" s="865"/>
      <c r="I254" s="1984"/>
      <c r="J254" s="2231" t="s">
        <v>5297</v>
      </c>
      <c r="K254" s="3164"/>
      <c r="L254" s="3164"/>
      <c r="M254" s="3164"/>
      <c r="N254" s="3164"/>
      <c r="O254" s="3164"/>
      <c r="P254" s="3164"/>
      <c r="Q254" s="3164"/>
      <c r="R254" s="3164"/>
      <c r="S254" s="3164">
        <v>20000</v>
      </c>
      <c r="T254" s="3164" t="s">
        <v>5294</v>
      </c>
      <c r="U254" s="3164"/>
      <c r="V254" s="3164">
        <v>1000</v>
      </c>
      <c r="W254" s="3164" t="s">
        <v>5298</v>
      </c>
      <c r="X254" s="3164" t="s">
        <v>5296</v>
      </c>
      <c r="Y254" s="871">
        <f t="shared" ref="Y254:Y267" si="38">S254*V254/1000</f>
        <v>20000</v>
      </c>
      <c r="Z254" s="2233"/>
      <c r="AA254" s="427"/>
      <c r="AB254" s="427"/>
      <c r="AC254" s="192"/>
    </row>
    <row r="255" spans="1:29" s="250" customFormat="1" ht="21.75" customHeight="1">
      <c r="A255" s="628"/>
      <c r="B255" s="2221"/>
      <c r="C255" s="867"/>
      <c r="D255" s="675"/>
      <c r="E255" s="3587"/>
      <c r="F255" s="2125"/>
      <c r="G255" s="2125"/>
      <c r="H255" s="865"/>
      <c r="I255" s="1984"/>
      <c r="J255" s="2231" t="s">
        <v>5299</v>
      </c>
      <c r="K255" s="3164"/>
      <c r="L255" s="3164"/>
      <c r="M255" s="3164"/>
      <c r="N255" s="3164"/>
      <c r="O255" s="3164"/>
      <c r="P255" s="3164"/>
      <c r="Q255" s="3164"/>
      <c r="R255" s="3164"/>
      <c r="S255" s="3164">
        <v>8000000</v>
      </c>
      <c r="T255" s="3164" t="s">
        <v>5294</v>
      </c>
      <c r="U255" s="3164"/>
      <c r="V255" s="3164">
        <v>4</v>
      </c>
      <c r="W255" s="3164" t="s">
        <v>5295</v>
      </c>
      <c r="X255" s="3164" t="s">
        <v>5296</v>
      </c>
      <c r="Y255" s="871">
        <f>S255*V255/1000</f>
        <v>32000</v>
      </c>
      <c r="Z255" s="2233"/>
      <c r="AA255" s="427"/>
      <c r="AB255" s="427"/>
      <c r="AC255" s="192"/>
    </row>
    <row r="256" spans="1:29" s="250" customFormat="1" ht="21.75" customHeight="1">
      <c r="A256" s="628"/>
      <c r="B256" s="2221"/>
      <c r="C256" s="867"/>
      <c r="D256" s="675"/>
      <c r="E256" s="3587" t="s">
        <v>225</v>
      </c>
      <c r="F256" s="2125">
        <f>Y256</f>
        <v>5000</v>
      </c>
      <c r="G256" s="2125">
        <v>5000</v>
      </c>
      <c r="H256" s="865"/>
      <c r="I256" s="1984"/>
      <c r="J256" s="2231" t="s">
        <v>5300</v>
      </c>
      <c r="K256" s="3164"/>
      <c r="L256" s="3164"/>
      <c r="M256" s="3164"/>
      <c r="N256" s="3164"/>
      <c r="O256" s="3164"/>
      <c r="P256" s="3164"/>
      <c r="Q256" s="3164"/>
      <c r="R256" s="3164"/>
      <c r="S256" s="3164">
        <v>500000</v>
      </c>
      <c r="T256" s="3164" t="s">
        <v>5294</v>
      </c>
      <c r="U256" s="3164"/>
      <c r="V256" s="3164">
        <v>10</v>
      </c>
      <c r="W256" s="3164" t="s">
        <v>5301</v>
      </c>
      <c r="X256" s="3164" t="s">
        <v>5296</v>
      </c>
      <c r="Y256" s="871">
        <f t="shared" si="38"/>
        <v>5000</v>
      </c>
      <c r="Z256" s="2233"/>
      <c r="AA256" s="427"/>
      <c r="AB256" s="427"/>
      <c r="AC256" s="192"/>
    </row>
    <row r="257" spans="1:29" s="250" customFormat="1" ht="21.75" customHeight="1">
      <c r="A257" s="628"/>
      <c r="B257" s="2221"/>
      <c r="C257" s="867"/>
      <c r="D257" s="675"/>
      <c r="E257" s="3587" t="s">
        <v>15</v>
      </c>
      <c r="F257" s="2125">
        <f t="shared" ref="F257:F267" si="39">Y257</f>
        <v>15000</v>
      </c>
      <c r="G257" s="2125">
        <v>15000</v>
      </c>
      <c r="H257" s="865"/>
      <c r="I257" s="1984"/>
      <c r="J257" s="2231" t="s">
        <v>5292</v>
      </c>
      <c r="K257" s="3164"/>
      <c r="L257" s="3164"/>
      <c r="M257" s="3164"/>
      <c r="N257" s="3164"/>
      <c r="O257" s="3164"/>
      <c r="P257" s="3164"/>
      <c r="Q257" s="3164"/>
      <c r="R257" s="3164"/>
      <c r="S257" s="3164"/>
      <c r="T257" s="3164"/>
      <c r="U257" s="3164"/>
      <c r="V257" s="3164"/>
      <c r="W257" s="3164"/>
      <c r="X257" s="3164"/>
      <c r="Y257" s="871">
        <f>SUM(Y258:Y259)</f>
        <v>15000</v>
      </c>
      <c r="Z257" s="2233"/>
      <c r="AA257" s="427"/>
      <c r="AB257" s="427"/>
      <c r="AC257" s="192"/>
    </row>
    <row r="258" spans="1:29" s="250" customFormat="1" ht="21.75" customHeight="1">
      <c r="A258" s="628"/>
      <c r="B258" s="2221"/>
      <c r="C258" s="867"/>
      <c r="D258" s="675"/>
      <c r="E258" s="3587"/>
      <c r="F258" s="2125"/>
      <c r="G258" s="2125"/>
      <c r="H258" s="865"/>
      <c r="I258" s="1984"/>
      <c r="J258" s="2231" t="s">
        <v>5314</v>
      </c>
      <c r="K258" s="3164"/>
      <c r="L258" s="3164"/>
      <c r="M258" s="3164"/>
      <c r="N258" s="3164"/>
      <c r="O258" s="3164"/>
      <c r="P258" s="3164"/>
      <c r="Q258" s="3164">
        <v>10</v>
      </c>
      <c r="R258" s="3164" t="s">
        <v>5302</v>
      </c>
      <c r="S258" s="3164">
        <v>200000</v>
      </c>
      <c r="T258" s="3164" t="s">
        <v>5294</v>
      </c>
      <c r="U258" s="3164"/>
      <c r="V258" s="3164">
        <v>5</v>
      </c>
      <c r="W258" s="3164" t="s">
        <v>5303</v>
      </c>
      <c r="X258" s="2171" t="s">
        <v>5296</v>
      </c>
      <c r="Y258" s="871">
        <f>Q258*S258*V258/1000</f>
        <v>10000</v>
      </c>
      <c r="Z258" s="2233"/>
      <c r="AA258" s="427"/>
      <c r="AB258" s="427"/>
      <c r="AC258" s="192"/>
    </row>
    <row r="259" spans="1:29" s="250" customFormat="1" ht="21.75" customHeight="1">
      <c r="A259" s="628"/>
      <c r="B259" s="2221"/>
      <c r="C259" s="867"/>
      <c r="D259" s="675"/>
      <c r="E259" s="3587"/>
      <c r="F259" s="2125"/>
      <c r="G259" s="2125"/>
      <c r="H259" s="865"/>
      <c r="I259" s="1984"/>
      <c r="J259" s="2231" t="s">
        <v>5315</v>
      </c>
      <c r="K259" s="3164"/>
      <c r="L259" s="3164"/>
      <c r="M259" s="3164"/>
      <c r="N259" s="3164"/>
      <c r="O259" s="3164"/>
      <c r="P259" s="3164"/>
      <c r="Q259" s="3164">
        <v>5</v>
      </c>
      <c r="R259" s="3164" t="s">
        <v>5302</v>
      </c>
      <c r="S259" s="3164">
        <v>200000</v>
      </c>
      <c r="T259" s="3164" t="s">
        <v>5294</v>
      </c>
      <c r="U259" s="3164"/>
      <c r="V259" s="3164">
        <v>5</v>
      </c>
      <c r="W259" s="3164" t="s">
        <v>5295</v>
      </c>
      <c r="X259" s="2171" t="s">
        <v>5296</v>
      </c>
      <c r="Y259" s="871">
        <f>Q259*S259*V259/1000</f>
        <v>5000</v>
      </c>
      <c r="Z259" s="2233"/>
      <c r="AA259" s="427"/>
      <c r="AB259" s="427"/>
      <c r="AC259" s="192"/>
    </row>
    <row r="260" spans="1:29" s="250" customFormat="1" ht="21.75" customHeight="1">
      <c r="A260" s="628"/>
      <c r="B260" s="2221"/>
      <c r="C260" s="867"/>
      <c r="D260" s="675"/>
      <c r="E260" s="3587" t="s">
        <v>16</v>
      </c>
      <c r="F260" s="2125">
        <f t="shared" si="39"/>
        <v>810000</v>
      </c>
      <c r="G260" s="2125">
        <v>850000</v>
      </c>
      <c r="H260" s="865">
        <f>F260-G260</f>
        <v>-40000</v>
      </c>
      <c r="I260" s="1984"/>
      <c r="J260" s="2231" t="s">
        <v>5304</v>
      </c>
      <c r="K260" s="3164"/>
      <c r="L260" s="3164"/>
      <c r="M260" s="3164"/>
      <c r="N260" s="3164"/>
      <c r="O260" s="3164"/>
      <c r="P260" s="3164"/>
      <c r="Q260" s="3164"/>
      <c r="R260" s="3164"/>
      <c r="S260" s="3164">
        <v>810000000</v>
      </c>
      <c r="T260" s="3164" t="s">
        <v>5294</v>
      </c>
      <c r="U260" s="3164"/>
      <c r="V260" s="3164">
        <v>1</v>
      </c>
      <c r="W260" s="3164" t="s">
        <v>5305</v>
      </c>
      <c r="X260" s="3164" t="s">
        <v>5296</v>
      </c>
      <c r="Y260" s="871">
        <f t="shared" si="38"/>
        <v>810000</v>
      </c>
      <c r="Z260" s="2233"/>
      <c r="AA260" s="427"/>
      <c r="AB260" s="427"/>
      <c r="AC260" s="192"/>
    </row>
    <row r="261" spans="1:29" s="250" customFormat="1" ht="21.75" customHeight="1">
      <c r="A261" s="628"/>
      <c r="B261" s="2221"/>
      <c r="C261" s="867"/>
      <c r="D261" s="675"/>
      <c r="E261" s="3587" t="s">
        <v>261</v>
      </c>
      <c r="F261" s="2125">
        <f t="shared" si="39"/>
        <v>340000</v>
      </c>
      <c r="G261" s="2125">
        <v>350000</v>
      </c>
      <c r="H261" s="865">
        <f>F261-G261</f>
        <v>-10000</v>
      </c>
      <c r="I261" s="1984"/>
      <c r="J261" s="2231" t="s">
        <v>5306</v>
      </c>
      <c r="K261" s="3164"/>
      <c r="L261" s="3164"/>
      <c r="M261" s="3164"/>
      <c r="N261" s="3164"/>
      <c r="O261" s="3164"/>
      <c r="P261" s="3164"/>
      <c r="Q261" s="3164"/>
      <c r="R261" s="3164"/>
      <c r="S261" s="3164">
        <v>340000000</v>
      </c>
      <c r="T261" s="3164" t="s">
        <v>5294</v>
      </c>
      <c r="U261" s="3164"/>
      <c r="V261" s="3164">
        <v>1</v>
      </c>
      <c r="W261" s="3164" t="s">
        <v>5307</v>
      </c>
      <c r="X261" s="3164" t="s">
        <v>5296</v>
      </c>
      <c r="Y261" s="871">
        <f t="shared" si="38"/>
        <v>340000</v>
      </c>
      <c r="Z261" s="2233"/>
      <c r="AA261" s="427"/>
      <c r="AB261" s="427"/>
      <c r="AC261" s="192"/>
    </row>
    <row r="262" spans="1:29" s="250" customFormat="1" ht="21.75" customHeight="1">
      <c r="A262" s="628"/>
      <c r="B262" s="2221"/>
      <c r="C262" s="867"/>
      <c r="D262" s="675"/>
      <c r="E262" s="3587" t="s">
        <v>17</v>
      </c>
      <c r="F262" s="2125">
        <f t="shared" si="39"/>
        <v>5000</v>
      </c>
      <c r="G262" s="2125">
        <v>5000</v>
      </c>
      <c r="H262" s="865"/>
      <c r="I262" s="1984"/>
      <c r="J262" s="2231" t="s">
        <v>4001</v>
      </c>
      <c r="K262" s="3164"/>
      <c r="L262" s="3164"/>
      <c r="M262" s="3164"/>
      <c r="N262" s="3164"/>
      <c r="O262" s="3164"/>
      <c r="P262" s="3164"/>
      <c r="Q262" s="3164"/>
      <c r="R262" s="3164"/>
      <c r="S262" s="3164">
        <v>2500000</v>
      </c>
      <c r="T262" s="3164" t="s">
        <v>5294</v>
      </c>
      <c r="U262" s="3164"/>
      <c r="V262" s="3164">
        <v>2</v>
      </c>
      <c r="W262" s="3164" t="s">
        <v>5303</v>
      </c>
      <c r="X262" s="3164" t="s">
        <v>5296</v>
      </c>
      <c r="Y262" s="871">
        <f t="shared" si="38"/>
        <v>5000</v>
      </c>
      <c r="Z262" s="2233"/>
      <c r="AA262" s="427"/>
      <c r="AB262" s="427"/>
      <c r="AC262" s="192"/>
    </row>
    <row r="263" spans="1:29" s="250" customFormat="1" ht="21.75" customHeight="1">
      <c r="A263" s="628"/>
      <c r="B263" s="2221"/>
      <c r="C263" s="3163"/>
      <c r="D263" s="675"/>
      <c r="E263" s="3587" t="s">
        <v>905</v>
      </c>
      <c r="F263" s="2125">
        <f t="shared" si="39"/>
        <v>45000</v>
      </c>
      <c r="G263" s="2125">
        <v>45000</v>
      </c>
      <c r="H263" s="865"/>
      <c r="I263" s="1984"/>
      <c r="J263" s="2231" t="s">
        <v>5308</v>
      </c>
      <c r="K263" s="3164"/>
      <c r="L263" s="3164"/>
      <c r="M263" s="3164"/>
      <c r="N263" s="3164"/>
      <c r="O263" s="3164"/>
      <c r="P263" s="3164"/>
      <c r="Q263" s="3164"/>
      <c r="R263" s="3164"/>
      <c r="S263" s="3164">
        <v>15000000</v>
      </c>
      <c r="T263" s="3164" t="s">
        <v>5294</v>
      </c>
      <c r="U263" s="3164"/>
      <c r="V263" s="3164">
        <v>3</v>
      </c>
      <c r="W263" s="3164" t="s">
        <v>5303</v>
      </c>
      <c r="X263" s="3164" t="s">
        <v>5296</v>
      </c>
      <c r="Y263" s="871">
        <f t="shared" si="38"/>
        <v>45000</v>
      </c>
      <c r="Z263" s="2233"/>
      <c r="AA263" s="427"/>
      <c r="AB263" s="427"/>
      <c r="AC263" s="192"/>
    </row>
    <row r="264" spans="1:29" s="250" customFormat="1" ht="21.75" customHeight="1">
      <c r="A264" s="628"/>
      <c r="B264" s="2221"/>
      <c r="C264" s="3163"/>
      <c r="D264" s="675"/>
      <c r="E264" s="3587" t="s">
        <v>73</v>
      </c>
      <c r="F264" s="2125">
        <f t="shared" si="39"/>
        <v>41200</v>
      </c>
      <c r="G264" s="2125">
        <v>10000</v>
      </c>
      <c r="H264" s="865">
        <f>F264-G264</f>
        <v>31200</v>
      </c>
      <c r="I264" s="1984"/>
      <c r="J264" s="2231" t="s">
        <v>5309</v>
      </c>
      <c r="K264" s="3164"/>
      <c r="L264" s="3164"/>
      <c r="M264" s="3164"/>
      <c r="N264" s="3164"/>
      <c r="O264" s="3164"/>
      <c r="P264" s="3164"/>
      <c r="Q264" s="3164"/>
      <c r="R264" s="3164"/>
      <c r="S264" s="3164">
        <v>20600000</v>
      </c>
      <c r="T264" s="3164" t="s">
        <v>5294</v>
      </c>
      <c r="U264" s="3164"/>
      <c r="V264" s="3164">
        <v>2</v>
      </c>
      <c r="W264" s="3164" t="s">
        <v>5310</v>
      </c>
      <c r="X264" s="3164" t="s">
        <v>5296</v>
      </c>
      <c r="Y264" s="871">
        <f t="shared" si="38"/>
        <v>41200</v>
      </c>
      <c r="Z264" s="2233"/>
      <c r="AA264" s="427"/>
      <c r="AB264" s="427"/>
      <c r="AC264" s="192"/>
    </row>
    <row r="265" spans="1:29" s="250" customFormat="1" ht="21.75" customHeight="1">
      <c r="A265" s="628"/>
      <c r="B265" s="2221"/>
      <c r="C265" s="3163"/>
      <c r="D265" s="675"/>
      <c r="E265" s="3587" t="s">
        <v>262</v>
      </c>
      <c r="F265" s="2125">
        <f t="shared" si="39"/>
        <v>8800</v>
      </c>
      <c r="G265" s="2125">
        <v>0</v>
      </c>
      <c r="H265" s="865">
        <f>F265-G265</f>
        <v>8800</v>
      </c>
      <c r="I265" s="1984"/>
      <c r="J265" s="2231" t="s">
        <v>5311</v>
      </c>
      <c r="K265" s="3164"/>
      <c r="L265" s="3164"/>
      <c r="M265" s="3164"/>
      <c r="N265" s="3164"/>
      <c r="O265" s="3164"/>
      <c r="P265" s="3164"/>
      <c r="Q265" s="3164"/>
      <c r="R265" s="3164"/>
      <c r="S265" s="3164">
        <v>2200000</v>
      </c>
      <c r="T265" s="3164" t="s">
        <v>5294</v>
      </c>
      <c r="U265" s="3164"/>
      <c r="V265" s="3164">
        <v>4</v>
      </c>
      <c r="W265" s="3164" t="s">
        <v>5310</v>
      </c>
      <c r="X265" s="3164" t="s">
        <v>5296</v>
      </c>
      <c r="Y265" s="871">
        <f t="shared" si="38"/>
        <v>8800</v>
      </c>
      <c r="Z265" s="2233"/>
      <c r="AA265" s="427"/>
      <c r="AB265" s="427"/>
      <c r="AC265" s="192"/>
    </row>
    <row r="266" spans="1:29" s="250" customFormat="1" ht="21.75" customHeight="1">
      <c r="A266" s="628"/>
      <c r="B266" s="2221"/>
      <c r="C266" s="867"/>
      <c r="D266" s="675"/>
      <c r="E266" s="3587" t="s">
        <v>264</v>
      </c>
      <c r="F266" s="2125">
        <f t="shared" si="39"/>
        <v>10000</v>
      </c>
      <c r="G266" s="2125">
        <v>0</v>
      </c>
      <c r="H266" s="865">
        <f>F266-G266</f>
        <v>10000</v>
      </c>
      <c r="I266" s="1984"/>
      <c r="J266" s="2231" t="s">
        <v>5312</v>
      </c>
      <c r="K266" s="3164"/>
      <c r="L266" s="3164"/>
      <c r="M266" s="3164"/>
      <c r="N266" s="3164"/>
      <c r="O266" s="3164"/>
      <c r="P266" s="3164"/>
      <c r="Q266" s="3164"/>
      <c r="R266" s="3164"/>
      <c r="S266" s="3164">
        <v>10000000</v>
      </c>
      <c r="T266" s="3164" t="s">
        <v>5294</v>
      </c>
      <c r="U266" s="3164"/>
      <c r="V266" s="3164">
        <v>1</v>
      </c>
      <c r="W266" s="3164" t="s">
        <v>5305</v>
      </c>
      <c r="X266" s="3164" t="s">
        <v>5296</v>
      </c>
      <c r="Y266" s="871">
        <f t="shared" si="38"/>
        <v>10000</v>
      </c>
      <c r="Z266" s="2233"/>
      <c r="AA266" s="427"/>
      <c r="AB266" s="427"/>
      <c r="AC266" s="192"/>
    </row>
    <row r="267" spans="1:29" s="250" customFormat="1" ht="21.75" customHeight="1">
      <c r="A267" s="628"/>
      <c r="B267" s="2221"/>
      <c r="C267" s="867"/>
      <c r="D267" s="675"/>
      <c r="E267" s="3587" t="s">
        <v>14</v>
      </c>
      <c r="F267" s="2125">
        <f t="shared" si="39"/>
        <v>10000</v>
      </c>
      <c r="G267" s="2125">
        <v>10000</v>
      </c>
      <c r="H267" s="865"/>
      <c r="I267" s="1984"/>
      <c r="J267" s="2231" t="s">
        <v>5313</v>
      </c>
      <c r="K267" s="3164"/>
      <c r="L267" s="3164"/>
      <c r="M267" s="3164"/>
      <c r="N267" s="3164"/>
      <c r="O267" s="3164"/>
      <c r="P267" s="3164"/>
      <c r="Q267" s="3164"/>
      <c r="R267" s="3164"/>
      <c r="S267" s="3164">
        <v>200000</v>
      </c>
      <c r="T267" s="3164" t="s">
        <v>5294</v>
      </c>
      <c r="U267" s="3164"/>
      <c r="V267" s="3164">
        <v>50</v>
      </c>
      <c r="W267" s="3164" t="s">
        <v>5303</v>
      </c>
      <c r="X267" s="3164" t="s">
        <v>5296</v>
      </c>
      <c r="Y267" s="871">
        <f t="shared" si="38"/>
        <v>10000</v>
      </c>
      <c r="Z267" s="2233"/>
      <c r="AA267" s="427"/>
      <c r="AB267" s="427"/>
      <c r="AC267" s="192"/>
    </row>
    <row r="268" spans="1:29" s="250" customFormat="1" ht="21.75" customHeight="1">
      <c r="A268" s="628"/>
      <c r="B268" s="2221"/>
      <c r="C268" s="867"/>
      <c r="D268" s="3840" t="s">
        <v>788</v>
      </c>
      <c r="E268" s="3904"/>
      <c r="F268" s="1988">
        <f>SUM(F269:F273)</f>
        <v>130000</v>
      </c>
      <c r="G268" s="1988">
        <f>SUM(G269:G273)</f>
        <v>130000</v>
      </c>
      <c r="H268" s="984">
        <f>F268-G268</f>
        <v>0</v>
      </c>
      <c r="I268" s="2343"/>
      <c r="J268" s="2245"/>
      <c r="K268" s="1010"/>
      <c r="L268" s="1010"/>
      <c r="M268" s="1010"/>
      <c r="N268" s="1010"/>
      <c r="O268" s="1010"/>
      <c r="P268" s="1010"/>
      <c r="Q268" s="1010"/>
      <c r="R268" s="1010"/>
      <c r="S268" s="1010"/>
      <c r="T268" s="1010"/>
      <c r="U268" s="1010"/>
      <c r="V268" s="1010"/>
      <c r="W268" s="1010"/>
      <c r="X268" s="1010"/>
      <c r="Y268" s="965"/>
      <c r="Z268" s="3426"/>
      <c r="AA268" s="427"/>
      <c r="AB268" s="427"/>
      <c r="AC268" s="192"/>
    </row>
    <row r="269" spans="1:29" s="250" customFormat="1" ht="21.75" customHeight="1">
      <c r="A269" s="628"/>
      <c r="B269" s="2221"/>
      <c r="C269" s="867"/>
      <c r="D269" s="1034"/>
      <c r="E269" s="3617" t="s">
        <v>3972</v>
      </c>
      <c r="F269" s="2125">
        <f>Y269</f>
        <v>2000</v>
      </c>
      <c r="G269" s="2125">
        <v>2000</v>
      </c>
      <c r="H269" s="865"/>
      <c r="I269" s="1984"/>
      <c r="J269" s="2231" t="s">
        <v>4002</v>
      </c>
      <c r="K269" s="3164"/>
      <c r="L269" s="3164"/>
      <c r="M269" s="3164"/>
      <c r="N269" s="3164"/>
      <c r="O269" s="3164"/>
      <c r="P269" s="3164"/>
      <c r="Q269" s="3164"/>
      <c r="R269" s="3164"/>
      <c r="S269" s="3164">
        <v>2000000</v>
      </c>
      <c r="T269" s="3164" t="s">
        <v>3969</v>
      </c>
      <c r="U269" s="3164"/>
      <c r="V269" s="3164">
        <v>1</v>
      </c>
      <c r="W269" s="3164" t="s">
        <v>3966</v>
      </c>
      <c r="X269" s="3164" t="s">
        <v>3971</v>
      </c>
      <c r="Y269" s="871">
        <f>S269*V269/1000</f>
        <v>2000</v>
      </c>
      <c r="Z269" s="2233"/>
      <c r="AA269" s="427"/>
      <c r="AB269" s="427"/>
      <c r="AC269" s="192"/>
    </row>
    <row r="270" spans="1:29" s="250" customFormat="1" ht="21.75" customHeight="1">
      <c r="A270" s="628"/>
      <c r="B270" s="2221"/>
      <c r="C270" s="867"/>
      <c r="D270" s="675"/>
      <c r="E270" s="675" t="s">
        <v>3976</v>
      </c>
      <c r="F270" s="2125">
        <f>Y270</f>
        <v>4000</v>
      </c>
      <c r="G270" s="2125">
        <v>4000</v>
      </c>
      <c r="H270" s="865"/>
      <c r="I270" s="1984"/>
      <c r="J270" s="3700" t="s">
        <v>4003</v>
      </c>
      <c r="K270" s="3164"/>
      <c r="L270" s="3164"/>
      <c r="M270" s="3164"/>
      <c r="N270" s="3164"/>
      <c r="O270" s="3164"/>
      <c r="P270" s="3164"/>
      <c r="Q270" s="3164">
        <v>4</v>
      </c>
      <c r="R270" s="3164" t="s">
        <v>3975</v>
      </c>
      <c r="S270" s="3164">
        <v>200000</v>
      </c>
      <c r="T270" s="3164" t="s">
        <v>3969</v>
      </c>
      <c r="U270" s="3164"/>
      <c r="V270" s="3164">
        <v>5</v>
      </c>
      <c r="W270" s="3164" t="s">
        <v>3970</v>
      </c>
      <c r="X270" s="3164" t="s">
        <v>3971</v>
      </c>
      <c r="Y270" s="871">
        <f>Q270*S270*V270/1000</f>
        <v>4000</v>
      </c>
      <c r="Z270" s="2233"/>
      <c r="AA270" s="427"/>
      <c r="AB270" s="427"/>
      <c r="AC270" s="192"/>
    </row>
    <row r="271" spans="1:29" s="250" customFormat="1" ht="21.75" customHeight="1">
      <c r="A271" s="628"/>
      <c r="B271" s="2221"/>
      <c r="C271" s="867"/>
      <c r="D271" s="675"/>
      <c r="E271" s="675" t="s">
        <v>3982</v>
      </c>
      <c r="F271" s="2125">
        <f t="shared" ref="F271:F273" si="40">Y271</f>
        <v>120000</v>
      </c>
      <c r="G271" s="2125">
        <v>120000</v>
      </c>
      <c r="H271" s="865"/>
      <c r="I271" s="1984"/>
      <c r="J271" s="3700" t="s">
        <v>4004</v>
      </c>
      <c r="K271" s="3164"/>
      <c r="L271" s="3164"/>
      <c r="M271" s="3164"/>
      <c r="N271" s="3164"/>
      <c r="O271" s="3164"/>
      <c r="P271" s="3164"/>
      <c r="Q271" s="3164"/>
      <c r="R271" s="3164"/>
      <c r="S271" s="3164">
        <v>120000000</v>
      </c>
      <c r="T271" s="3164" t="s">
        <v>3969</v>
      </c>
      <c r="U271" s="3164"/>
      <c r="V271" s="3164">
        <v>1</v>
      </c>
      <c r="W271" s="3164" t="s">
        <v>3997</v>
      </c>
      <c r="X271" s="3164" t="s">
        <v>3971</v>
      </c>
      <c r="Y271" s="871">
        <f>S271*V271/1000</f>
        <v>120000</v>
      </c>
      <c r="Z271" s="2233"/>
      <c r="AA271" s="427"/>
      <c r="AB271" s="427"/>
      <c r="AC271" s="192"/>
    </row>
    <row r="272" spans="1:29" s="250" customFormat="1" ht="21.75" customHeight="1">
      <c r="A272" s="628"/>
      <c r="B272" s="2221"/>
      <c r="C272" s="867"/>
      <c r="D272" s="675"/>
      <c r="E272" s="1083" t="s">
        <v>3989</v>
      </c>
      <c r="F272" s="2125">
        <f t="shared" si="40"/>
        <v>3000</v>
      </c>
      <c r="G272" s="2125">
        <v>3000</v>
      </c>
      <c r="H272" s="865"/>
      <c r="I272" s="1984"/>
      <c r="J272" s="2231" t="s">
        <v>4005</v>
      </c>
      <c r="K272" s="3164"/>
      <c r="L272" s="3164"/>
      <c r="M272" s="3164"/>
      <c r="N272" s="3164"/>
      <c r="O272" s="3164"/>
      <c r="P272" s="3164"/>
      <c r="Q272" s="3164"/>
      <c r="R272" s="3164"/>
      <c r="S272" s="3164">
        <v>3000000</v>
      </c>
      <c r="T272" s="3164" t="s">
        <v>3969</v>
      </c>
      <c r="U272" s="3164"/>
      <c r="V272" s="3164">
        <v>1</v>
      </c>
      <c r="W272" s="3164" t="s">
        <v>3970</v>
      </c>
      <c r="X272" s="3164" t="s">
        <v>3971</v>
      </c>
      <c r="Y272" s="871">
        <f t="shared" ref="Y272" si="41">S272*V272/1000</f>
        <v>3000</v>
      </c>
      <c r="Z272" s="2233"/>
      <c r="AA272" s="427"/>
      <c r="AB272" s="427"/>
      <c r="AC272" s="192"/>
    </row>
    <row r="273" spans="1:29" s="250" customFormat="1" ht="21.75" customHeight="1">
      <c r="A273" s="628"/>
      <c r="B273" s="2221"/>
      <c r="C273" s="867"/>
      <c r="D273" s="970"/>
      <c r="E273" s="970" t="s">
        <v>3993</v>
      </c>
      <c r="F273" s="2125">
        <f t="shared" si="40"/>
        <v>1000</v>
      </c>
      <c r="G273" s="2125">
        <v>1000</v>
      </c>
      <c r="H273" s="865"/>
      <c r="I273" s="1984"/>
      <c r="J273" s="1235" t="s">
        <v>3994</v>
      </c>
      <c r="K273" s="3164"/>
      <c r="L273" s="3164"/>
      <c r="M273" s="3164"/>
      <c r="N273" s="3164"/>
      <c r="O273" s="3164"/>
      <c r="P273" s="3164"/>
      <c r="Q273" s="3164"/>
      <c r="R273" s="3164"/>
      <c r="S273" s="3164">
        <v>100000</v>
      </c>
      <c r="T273" s="3164" t="s">
        <v>3969</v>
      </c>
      <c r="U273" s="3164"/>
      <c r="V273" s="3164">
        <v>10</v>
      </c>
      <c r="W273" s="3164" t="s">
        <v>3970</v>
      </c>
      <c r="X273" s="3164" t="s">
        <v>3971</v>
      </c>
      <c r="Y273" s="871">
        <f>S273*V273/1000</f>
        <v>1000</v>
      </c>
      <c r="Z273" s="2233"/>
      <c r="AA273" s="427"/>
      <c r="AB273" s="427"/>
      <c r="AC273" s="192"/>
    </row>
    <row r="274" spans="1:29" s="191" customFormat="1" ht="21.75" customHeight="1">
      <c r="A274" s="2302"/>
      <c r="B274" s="2129"/>
      <c r="C274" s="3836" t="s">
        <v>3388</v>
      </c>
      <c r="D274" s="3821"/>
      <c r="E274" s="3822"/>
      <c r="F274" s="528">
        <f>F275+F312+F291+F342+F357+F374+F389+F393+F378+F400+F405</f>
        <v>3000000</v>
      </c>
      <c r="G274" s="528">
        <f>G275+G312+G291+G342+G357+G374+G389+G393+G378+G400+G405</f>
        <v>3000000</v>
      </c>
      <c r="H274" s="529">
        <f>F274-G274</f>
        <v>0</v>
      </c>
      <c r="I274" s="543"/>
      <c r="J274" s="2025"/>
      <c r="K274" s="2068"/>
      <c r="L274" s="2068"/>
      <c r="M274" s="2068"/>
      <c r="N274" s="2068"/>
      <c r="O274" s="2068"/>
      <c r="P274" s="2068"/>
      <c r="Q274" s="621"/>
      <c r="R274" s="539"/>
      <c r="S274" s="545"/>
      <c r="T274" s="2026"/>
      <c r="U274" s="2026"/>
      <c r="V274" s="2026"/>
      <c r="W274" s="2026"/>
      <c r="X274" s="2028"/>
      <c r="Y274" s="517"/>
      <c r="Z274" s="1898"/>
      <c r="AA274" s="427"/>
      <c r="AB274" s="427"/>
      <c r="AC274" s="192"/>
    </row>
    <row r="275" spans="1:29" s="191" customFormat="1" ht="21.75" customHeight="1">
      <c r="A275" s="2302"/>
      <c r="B275" s="2129"/>
      <c r="C275" s="564"/>
      <c r="D275" s="3825" t="s">
        <v>2335</v>
      </c>
      <c r="E275" s="3826"/>
      <c r="F275" s="528">
        <f>SUM(F276:F290)</f>
        <v>330000</v>
      </c>
      <c r="G275" s="528">
        <f>SUM(G276:G290)</f>
        <v>330000</v>
      </c>
      <c r="H275" s="529">
        <f>F275-G275</f>
        <v>0</v>
      </c>
      <c r="I275" s="543"/>
      <c r="J275" s="538"/>
      <c r="K275" s="2068"/>
      <c r="L275" s="2068"/>
      <c r="M275" s="2068"/>
      <c r="N275" s="2068"/>
      <c r="O275" s="2068"/>
      <c r="P275" s="2068"/>
      <c r="Q275" s="2068"/>
      <c r="R275" s="539"/>
      <c r="S275" s="2068"/>
      <c r="T275" s="2068"/>
      <c r="U275" s="2068"/>
      <c r="V275" s="2068"/>
      <c r="W275" s="2068"/>
      <c r="X275" s="585"/>
      <c r="Y275" s="2124"/>
      <c r="Z275" s="3472"/>
      <c r="AA275" s="427"/>
      <c r="AB275" s="427"/>
      <c r="AC275" s="192"/>
    </row>
    <row r="276" spans="1:29" s="191" customFormat="1" ht="21.75" customHeight="1">
      <c r="A276" s="2302"/>
      <c r="B276" s="2129"/>
      <c r="C276" s="542"/>
      <c r="D276" s="624"/>
      <c r="E276" s="2013" t="s">
        <v>4570</v>
      </c>
      <c r="F276" s="526">
        <f t="shared" ref="F276" si="42">Y276</f>
        <v>1000</v>
      </c>
      <c r="G276" s="526">
        <v>1000</v>
      </c>
      <c r="H276" s="534"/>
      <c r="I276" s="3129"/>
      <c r="J276" s="2344" t="s">
        <v>4550</v>
      </c>
      <c r="K276" s="3108"/>
      <c r="L276" s="3108"/>
      <c r="M276" s="3108"/>
      <c r="N276" s="3108"/>
      <c r="O276" s="3108"/>
      <c r="P276" s="3108"/>
      <c r="Q276" s="3108"/>
      <c r="R276" s="3108"/>
      <c r="S276" s="3108">
        <v>1000000</v>
      </c>
      <c r="T276" s="3108" t="s">
        <v>4551</v>
      </c>
      <c r="U276" s="3108"/>
      <c r="V276" s="3108">
        <v>1</v>
      </c>
      <c r="W276" s="3108" t="s">
        <v>4552</v>
      </c>
      <c r="X276" s="2345" t="s">
        <v>4553</v>
      </c>
      <c r="Y276" s="3110">
        <f t="shared" ref="Y276" si="43">S276*V276/1000</f>
        <v>1000</v>
      </c>
      <c r="Z276" s="1898"/>
      <c r="AA276" s="427"/>
      <c r="AB276" s="427"/>
      <c r="AC276" s="192"/>
    </row>
    <row r="277" spans="1:29" s="1872" customFormat="1" ht="21.75" customHeight="1">
      <c r="A277" s="2302"/>
      <c r="B277" s="541"/>
      <c r="C277" s="564"/>
      <c r="D277" s="2020"/>
      <c r="E277" s="2050" t="s">
        <v>4571</v>
      </c>
      <c r="F277" s="2031">
        <f>Y277</f>
        <v>1350</v>
      </c>
      <c r="G277" s="2031">
        <v>1350</v>
      </c>
      <c r="H277" s="534"/>
      <c r="I277" s="3129"/>
      <c r="J277" s="3179" t="s">
        <v>4554</v>
      </c>
      <c r="K277" s="3180"/>
      <c r="L277" s="3180"/>
      <c r="M277" s="3180"/>
      <c r="N277" s="3180"/>
      <c r="O277" s="3180"/>
      <c r="P277" s="3180"/>
      <c r="Q277" s="3108">
        <v>1</v>
      </c>
      <c r="R277" s="3108" t="s">
        <v>4555</v>
      </c>
      <c r="S277" s="3108">
        <v>150000</v>
      </c>
      <c r="T277" s="3108" t="s">
        <v>4551</v>
      </c>
      <c r="U277" s="3108"/>
      <c r="V277" s="3108">
        <v>9</v>
      </c>
      <c r="W277" s="3108" t="s">
        <v>4556</v>
      </c>
      <c r="X277" s="2345" t="s">
        <v>4553</v>
      </c>
      <c r="Y277" s="3110">
        <f>Q277*S277*V277/1000</f>
        <v>1350</v>
      </c>
      <c r="Z277" s="1898"/>
      <c r="AA277" s="427"/>
      <c r="AB277" s="427"/>
      <c r="AC277" s="192"/>
    </row>
    <row r="278" spans="1:29" s="1872" customFormat="1" ht="21.75" customHeight="1">
      <c r="A278" s="2302"/>
      <c r="B278" s="541"/>
      <c r="C278" s="564"/>
      <c r="D278" s="2020"/>
      <c r="E278" s="2050" t="s">
        <v>4572</v>
      </c>
      <c r="F278" s="2031">
        <f>Y278</f>
        <v>100000</v>
      </c>
      <c r="G278" s="2031">
        <v>100000</v>
      </c>
      <c r="H278" s="534"/>
      <c r="I278" s="3129"/>
      <c r="J278" s="3179" t="s">
        <v>4557</v>
      </c>
      <c r="K278" s="3180"/>
      <c r="L278" s="3180"/>
      <c r="M278" s="3180"/>
      <c r="N278" s="3180"/>
      <c r="O278" s="3180"/>
      <c r="P278" s="3180"/>
      <c r="Q278" s="3108"/>
      <c r="R278" s="3108"/>
      <c r="S278" s="3108"/>
      <c r="T278" s="3108"/>
      <c r="U278" s="3108"/>
      <c r="V278" s="3108"/>
      <c r="W278" s="3108"/>
      <c r="X278" s="2345"/>
      <c r="Y278" s="3110">
        <f>+Y279+Y280+Y281+Y282+Y283+Y284</f>
        <v>100000</v>
      </c>
      <c r="Z278" s="1898"/>
      <c r="AA278" s="427"/>
      <c r="AB278" s="427"/>
      <c r="AC278" s="192"/>
    </row>
    <row r="279" spans="1:29" s="1872" customFormat="1" ht="21.75" customHeight="1">
      <c r="A279" s="2302"/>
      <c r="B279" s="541"/>
      <c r="C279" s="564"/>
      <c r="D279" s="2020"/>
      <c r="E279" s="2050"/>
      <c r="F279" s="2031"/>
      <c r="G279" s="2031"/>
      <c r="H279" s="658"/>
      <c r="I279" s="3129"/>
      <c r="J279" s="3179" t="s">
        <v>4558</v>
      </c>
      <c r="K279" s="3180"/>
      <c r="L279" s="3180"/>
      <c r="M279" s="3180"/>
      <c r="N279" s="3180"/>
      <c r="O279" s="3180"/>
      <c r="P279" s="3180"/>
      <c r="Q279" s="3108"/>
      <c r="R279" s="3108"/>
      <c r="S279" s="3108">
        <v>20000000</v>
      </c>
      <c r="T279" s="3108" t="s">
        <v>4551</v>
      </c>
      <c r="U279" s="3108"/>
      <c r="V279" s="3108">
        <v>2</v>
      </c>
      <c r="W279" s="3108" t="s">
        <v>4559</v>
      </c>
      <c r="X279" s="2345" t="s">
        <v>4553</v>
      </c>
      <c r="Y279" s="3110">
        <f t="shared" ref="Y279:Y284" si="44">S279*V279/1000</f>
        <v>40000</v>
      </c>
      <c r="Z279" s="1898"/>
      <c r="AA279" s="427"/>
      <c r="AB279" s="427"/>
      <c r="AC279" s="192"/>
    </row>
    <row r="280" spans="1:29" s="1872" customFormat="1" ht="21.75" customHeight="1">
      <c r="A280" s="2302"/>
      <c r="B280" s="541"/>
      <c r="C280" s="564"/>
      <c r="D280" s="2020"/>
      <c r="E280" s="2050"/>
      <c r="F280" s="2031"/>
      <c r="G280" s="2031"/>
      <c r="H280" s="658"/>
      <c r="I280" s="3129"/>
      <c r="J280" s="3179" t="s">
        <v>4560</v>
      </c>
      <c r="K280" s="3180"/>
      <c r="L280" s="3180"/>
      <c r="M280" s="3180"/>
      <c r="N280" s="3180"/>
      <c r="O280" s="3180"/>
      <c r="P280" s="3180"/>
      <c r="Q280" s="3108"/>
      <c r="R280" s="3108"/>
      <c r="S280" s="3108">
        <v>2500000</v>
      </c>
      <c r="T280" s="3108" t="s">
        <v>4551</v>
      </c>
      <c r="U280" s="3108"/>
      <c r="V280" s="3108">
        <v>8</v>
      </c>
      <c r="W280" s="3108" t="s">
        <v>4559</v>
      </c>
      <c r="X280" s="2345" t="s">
        <v>4553</v>
      </c>
      <c r="Y280" s="3110">
        <f t="shared" si="44"/>
        <v>20000</v>
      </c>
      <c r="Z280" s="1898"/>
      <c r="AA280" s="427"/>
      <c r="AB280" s="427"/>
      <c r="AC280" s="192"/>
    </row>
    <row r="281" spans="1:29" s="1872" customFormat="1" ht="21.75" customHeight="1">
      <c r="A281" s="2302"/>
      <c r="B281" s="541"/>
      <c r="C281" s="564"/>
      <c r="D281" s="2020"/>
      <c r="E281" s="2050"/>
      <c r="F281" s="2031"/>
      <c r="G281" s="2031"/>
      <c r="H281" s="658"/>
      <c r="I281" s="3129"/>
      <c r="J281" s="3179" t="s">
        <v>4561</v>
      </c>
      <c r="K281" s="3180"/>
      <c r="L281" s="3180"/>
      <c r="M281" s="3180"/>
      <c r="N281" s="3180"/>
      <c r="O281" s="3180"/>
      <c r="P281" s="3180"/>
      <c r="Q281" s="3108"/>
      <c r="R281" s="3108"/>
      <c r="S281" s="3108">
        <v>1000000</v>
      </c>
      <c r="T281" s="3108" t="s">
        <v>4551</v>
      </c>
      <c r="U281" s="3108"/>
      <c r="V281" s="3108">
        <v>4</v>
      </c>
      <c r="W281" s="3108" t="s">
        <v>4559</v>
      </c>
      <c r="X281" s="2345" t="s">
        <v>4553</v>
      </c>
      <c r="Y281" s="3110">
        <f t="shared" si="44"/>
        <v>4000</v>
      </c>
      <c r="Z281" s="1898"/>
      <c r="AA281" s="427"/>
      <c r="AB281" s="427"/>
      <c r="AC281" s="192"/>
    </row>
    <row r="282" spans="1:29" s="191" customFormat="1" ht="21.75" customHeight="1">
      <c r="A282" s="2302"/>
      <c r="B282" s="2129"/>
      <c r="C282" s="564"/>
      <c r="D282" s="2020"/>
      <c r="E282" s="2050"/>
      <c r="F282" s="2031"/>
      <c r="G282" s="2031"/>
      <c r="H282" s="658"/>
      <c r="I282" s="3129"/>
      <c r="J282" s="3179" t="s">
        <v>4562</v>
      </c>
      <c r="K282" s="3180"/>
      <c r="L282" s="3180"/>
      <c r="M282" s="3180"/>
      <c r="N282" s="3180"/>
      <c r="O282" s="3180"/>
      <c r="P282" s="3180"/>
      <c r="Q282" s="3108"/>
      <c r="R282" s="3108"/>
      <c r="S282" s="3108">
        <v>500000</v>
      </c>
      <c r="T282" s="3108" t="s">
        <v>4551</v>
      </c>
      <c r="U282" s="3108"/>
      <c r="V282" s="3108">
        <v>2</v>
      </c>
      <c r="W282" s="3108" t="s">
        <v>4559</v>
      </c>
      <c r="X282" s="2345" t="s">
        <v>4553</v>
      </c>
      <c r="Y282" s="3110">
        <f t="shared" si="44"/>
        <v>1000</v>
      </c>
      <c r="Z282" s="1898"/>
      <c r="AA282" s="427"/>
      <c r="AB282" s="427"/>
      <c r="AC282" s="192"/>
    </row>
    <row r="283" spans="1:29" s="191" customFormat="1" ht="21.75" customHeight="1">
      <c r="A283" s="2302"/>
      <c r="B283" s="2129"/>
      <c r="C283" s="564"/>
      <c r="D283" s="2020"/>
      <c r="E283" s="2050"/>
      <c r="F283" s="2031"/>
      <c r="G283" s="2031"/>
      <c r="H283" s="658"/>
      <c r="I283" s="3129"/>
      <c r="J283" s="3179" t="s">
        <v>4563</v>
      </c>
      <c r="K283" s="3180"/>
      <c r="L283" s="3180"/>
      <c r="M283" s="3180"/>
      <c r="N283" s="3180"/>
      <c r="O283" s="3180"/>
      <c r="P283" s="3180"/>
      <c r="Q283" s="3108"/>
      <c r="R283" s="3108"/>
      <c r="S283" s="3108">
        <v>7000000</v>
      </c>
      <c r="T283" s="3108" t="s">
        <v>4551</v>
      </c>
      <c r="U283" s="3108"/>
      <c r="V283" s="3108">
        <v>3</v>
      </c>
      <c r="W283" s="3108" t="s">
        <v>4559</v>
      </c>
      <c r="X283" s="2345" t="s">
        <v>4553</v>
      </c>
      <c r="Y283" s="3110">
        <f t="shared" si="44"/>
        <v>21000</v>
      </c>
      <c r="Z283" s="1898"/>
      <c r="AA283" s="427"/>
      <c r="AB283" s="427"/>
      <c r="AC283" s="192"/>
    </row>
    <row r="284" spans="1:29" s="191" customFormat="1" ht="21.75" customHeight="1">
      <c r="A284" s="2302"/>
      <c r="B284" s="2129"/>
      <c r="C284" s="564"/>
      <c r="D284" s="2020"/>
      <c r="E284" s="2050"/>
      <c r="F284" s="2031"/>
      <c r="G284" s="2031"/>
      <c r="H284" s="658"/>
      <c r="I284" s="3129"/>
      <c r="J284" s="3179" t="s">
        <v>4564</v>
      </c>
      <c r="K284" s="3180"/>
      <c r="L284" s="3180"/>
      <c r="M284" s="3180"/>
      <c r="N284" s="3180"/>
      <c r="O284" s="3180"/>
      <c r="P284" s="3180"/>
      <c r="Q284" s="3108"/>
      <c r="R284" s="3108"/>
      <c r="S284" s="3108">
        <v>7000000</v>
      </c>
      <c r="T284" s="3108" t="s">
        <v>4551</v>
      </c>
      <c r="U284" s="3108"/>
      <c r="V284" s="3108">
        <v>2</v>
      </c>
      <c r="W284" s="3108" t="s">
        <v>4559</v>
      </c>
      <c r="X284" s="2345" t="s">
        <v>4553</v>
      </c>
      <c r="Y284" s="3110">
        <f t="shared" si="44"/>
        <v>14000</v>
      </c>
      <c r="Z284" s="1898"/>
      <c r="AA284" s="427"/>
      <c r="AB284" s="427"/>
      <c r="AC284" s="192"/>
    </row>
    <row r="285" spans="1:29" s="191" customFormat="1" ht="21.75" customHeight="1">
      <c r="A285" s="2302"/>
      <c r="B285" s="2129"/>
      <c r="C285" s="564"/>
      <c r="D285" s="2020"/>
      <c r="E285" s="2050" t="s">
        <v>4573</v>
      </c>
      <c r="F285" s="2031">
        <f>Y285</f>
        <v>3200</v>
      </c>
      <c r="G285" s="2031">
        <v>3200</v>
      </c>
      <c r="H285" s="534"/>
      <c r="I285" s="3129"/>
      <c r="J285" s="3179" t="s">
        <v>4557</v>
      </c>
      <c r="K285" s="3180"/>
      <c r="L285" s="3180"/>
      <c r="M285" s="3180"/>
      <c r="N285" s="3180"/>
      <c r="O285" s="3180"/>
      <c r="P285" s="3180"/>
      <c r="Q285" s="3108"/>
      <c r="R285" s="3108"/>
      <c r="S285" s="3108"/>
      <c r="T285" s="3108"/>
      <c r="U285" s="3108"/>
      <c r="V285" s="3108"/>
      <c r="W285" s="3108"/>
      <c r="X285" s="2345"/>
      <c r="Y285" s="3110">
        <f>Y286+Y287</f>
        <v>3200</v>
      </c>
      <c r="Z285" s="1898"/>
      <c r="AA285" s="427"/>
      <c r="AB285" s="427"/>
      <c r="AC285" s="192"/>
    </row>
    <row r="286" spans="1:29" s="191" customFormat="1" ht="21.75" customHeight="1">
      <c r="A286" s="2302"/>
      <c r="B286" s="2129"/>
      <c r="C286" s="564"/>
      <c r="D286" s="2020"/>
      <c r="E286" s="2050"/>
      <c r="F286" s="2031"/>
      <c r="G286" s="2031"/>
      <c r="H286" s="2346"/>
      <c r="I286" s="3129"/>
      <c r="J286" s="3179" t="s">
        <v>4565</v>
      </c>
      <c r="K286" s="3180"/>
      <c r="L286" s="3180"/>
      <c r="M286" s="3180"/>
      <c r="N286" s="3180"/>
      <c r="O286" s="3180"/>
      <c r="P286" s="3180"/>
      <c r="Q286" s="3108">
        <v>7</v>
      </c>
      <c r="R286" s="3108" t="s">
        <v>4555</v>
      </c>
      <c r="S286" s="3108">
        <v>200000</v>
      </c>
      <c r="T286" s="3108" t="s">
        <v>4551</v>
      </c>
      <c r="U286" s="3108"/>
      <c r="V286" s="3108">
        <v>1</v>
      </c>
      <c r="W286" s="3108" t="s">
        <v>4566</v>
      </c>
      <c r="X286" s="2345" t="s">
        <v>4553</v>
      </c>
      <c r="Y286" s="3110">
        <f t="shared" ref="Y286:Y287" si="45">Q286*S286*V286/1000</f>
        <v>1400</v>
      </c>
      <c r="Z286" s="1898"/>
      <c r="AA286" s="427"/>
      <c r="AB286" s="427"/>
      <c r="AC286" s="192"/>
    </row>
    <row r="287" spans="1:29" s="191" customFormat="1" ht="21.75" customHeight="1">
      <c r="A287" s="2302"/>
      <c r="B287" s="2129"/>
      <c r="C287" s="564"/>
      <c r="D287" s="2020"/>
      <c r="E287" s="2050"/>
      <c r="F287" s="2031"/>
      <c r="G287" s="2031"/>
      <c r="H287" s="2346"/>
      <c r="I287" s="3129"/>
      <c r="J287" s="3703" t="s">
        <v>6133</v>
      </c>
      <c r="K287" s="3180"/>
      <c r="L287" s="3180"/>
      <c r="M287" s="3180"/>
      <c r="N287" s="3180"/>
      <c r="O287" s="3180"/>
      <c r="P287" s="3180"/>
      <c r="Q287" s="3108">
        <v>1</v>
      </c>
      <c r="R287" s="3108" t="s">
        <v>4555</v>
      </c>
      <c r="S287" s="3108">
        <v>300000</v>
      </c>
      <c r="T287" s="3108" t="s">
        <v>4551</v>
      </c>
      <c r="U287" s="3108"/>
      <c r="V287" s="3108">
        <v>6</v>
      </c>
      <c r="W287" s="3108" t="s">
        <v>4566</v>
      </c>
      <c r="X287" s="2345" t="s">
        <v>4553</v>
      </c>
      <c r="Y287" s="3110">
        <f t="shared" si="45"/>
        <v>1800</v>
      </c>
      <c r="Z287" s="1898"/>
      <c r="AA287" s="427"/>
      <c r="AB287" s="427"/>
      <c r="AC287" s="192"/>
    </row>
    <row r="288" spans="1:29" s="191" customFormat="1" ht="21.75" customHeight="1">
      <c r="A288" s="2302"/>
      <c r="B288" s="2129"/>
      <c r="C288" s="564"/>
      <c r="D288" s="2020"/>
      <c r="E288" s="2050" t="s">
        <v>4574</v>
      </c>
      <c r="F288" s="2031">
        <f>Y288</f>
        <v>220000</v>
      </c>
      <c r="G288" s="2031">
        <v>220000</v>
      </c>
      <c r="H288" s="534"/>
      <c r="I288" s="3129"/>
      <c r="J288" s="3179" t="s">
        <v>4567</v>
      </c>
      <c r="K288" s="3180"/>
      <c r="L288" s="3180"/>
      <c r="M288" s="3180"/>
      <c r="N288" s="3180"/>
      <c r="O288" s="3180"/>
      <c r="P288" s="3180"/>
      <c r="Q288" s="3108"/>
      <c r="R288" s="3108"/>
      <c r="S288" s="3108">
        <v>220000000</v>
      </c>
      <c r="T288" s="3108" t="s">
        <v>4551</v>
      </c>
      <c r="U288" s="3108"/>
      <c r="V288" s="3108">
        <v>1</v>
      </c>
      <c r="W288" s="3108" t="s">
        <v>4566</v>
      </c>
      <c r="X288" s="2345" t="s">
        <v>4553</v>
      </c>
      <c r="Y288" s="3110">
        <f t="shared" ref="Y288" si="46">S288*V288/1000</f>
        <v>220000</v>
      </c>
      <c r="Z288" s="1898"/>
      <c r="AA288" s="427"/>
      <c r="AB288" s="427"/>
      <c r="AC288" s="192"/>
    </row>
    <row r="289" spans="1:29" s="191" customFormat="1" ht="21.75" customHeight="1">
      <c r="A289" s="2302"/>
      <c r="B289" s="2129"/>
      <c r="C289" s="564"/>
      <c r="D289" s="2020"/>
      <c r="E289" s="2050" t="s">
        <v>4575</v>
      </c>
      <c r="F289" s="2031">
        <f>Y289</f>
        <v>1750</v>
      </c>
      <c r="G289" s="2031">
        <v>1750</v>
      </c>
      <c r="H289" s="534"/>
      <c r="I289" s="3129"/>
      <c r="J289" s="3179" t="s">
        <v>4568</v>
      </c>
      <c r="K289" s="3180"/>
      <c r="L289" s="3180"/>
      <c r="M289" s="3180"/>
      <c r="N289" s="3180"/>
      <c r="O289" s="3180"/>
      <c r="P289" s="3180"/>
      <c r="Q289" s="3108"/>
      <c r="R289" s="3108"/>
      <c r="S289" s="3108">
        <v>1750000</v>
      </c>
      <c r="T289" s="3108" t="s">
        <v>4551</v>
      </c>
      <c r="U289" s="3108"/>
      <c r="V289" s="3108">
        <v>1</v>
      </c>
      <c r="W289" s="3108" t="s">
        <v>4566</v>
      </c>
      <c r="X289" s="2345" t="s">
        <v>4553</v>
      </c>
      <c r="Y289" s="3110">
        <f>S289*V289/1000</f>
        <v>1750</v>
      </c>
      <c r="Z289" s="1898"/>
      <c r="AA289" s="427"/>
      <c r="AB289" s="427"/>
      <c r="AC289" s="192"/>
    </row>
    <row r="290" spans="1:29" s="191" customFormat="1" ht="21.75" customHeight="1">
      <c r="A290" s="2302"/>
      <c r="B290" s="2129"/>
      <c r="C290" s="564"/>
      <c r="D290" s="2020"/>
      <c r="E290" s="2050" t="s">
        <v>4576</v>
      </c>
      <c r="F290" s="2031">
        <f>Y290</f>
        <v>2700</v>
      </c>
      <c r="G290" s="2031">
        <v>2700</v>
      </c>
      <c r="H290" s="2346"/>
      <c r="I290" s="3129"/>
      <c r="J290" s="3179" t="s">
        <v>4569</v>
      </c>
      <c r="K290" s="3180"/>
      <c r="L290" s="3180"/>
      <c r="M290" s="3180"/>
      <c r="N290" s="3180"/>
      <c r="O290" s="3180"/>
      <c r="P290" s="3180"/>
      <c r="Q290" s="3108">
        <v>10</v>
      </c>
      <c r="R290" s="3108" t="s">
        <v>4555</v>
      </c>
      <c r="S290" s="3108">
        <v>15000</v>
      </c>
      <c r="T290" s="3108" t="s">
        <v>4551</v>
      </c>
      <c r="U290" s="3108"/>
      <c r="V290" s="3108">
        <v>18</v>
      </c>
      <c r="W290" s="3108" t="s">
        <v>4566</v>
      </c>
      <c r="X290" s="2345" t="s">
        <v>4553</v>
      </c>
      <c r="Y290" s="3110">
        <f>Q290*S290*V290/1000</f>
        <v>2700</v>
      </c>
      <c r="Z290" s="1898"/>
      <c r="AA290" s="427"/>
      <c r="AB290" s="427"/>
      <c r="AC290" s="192"/>
    </row>
    <row r="291" spans="1:29" s="191" customFormat="1" ht="23.1" customHeight="1">
      <c r="A291" s="2302"/>
      <c r="B291" s="2129"/>
      <c r="C291" s="564"/>
      <c r="D291" s="3825" t="s">
        <v>2064</v>
      </c>
      <c r="E291" s="3826"/>
      <c r="F291" s="528">
        <f>SUM(F292:F311)</f>
        <v>170000</v>
      </c>
      <c r="G291" s="528">
        <f>SUM(G292:G311)</f>
        <v>170000</v>
      </c>
      <c r="H291" s="529">
        <f>F291-G291</f>
        <v>0</v>
      </c>
      <c r="I291" s="543"/>
      <c r="J291" s="538"/>
      <c r="K291" s="2068"/>
      <c r="L291" s="2068"/>
      <c r="M291" s="2068"/>
      <c r="N291" s="2068"/>
      <c r="O291" s="2068"/>
      <c r="P291" s="2068"/>
      <c r="Q291" s="2068"/>
      <c r="R291" s="539"/>
      <c r="S291" s="2068"/>
      <c r="T291" s="2068"/>
      <c r="U291" s="2068"/>
      <c r="V291" s="2068"/>
      <c r="W291" s="2068"/>
      <c r="X291" s="585"/>
      <c r="Y291" s="2124"/>
      <c r="Z291" s="1898"/>
      <c r="AA291" s="427"/>
      <c r="AB291" s="427"/>
      <c r="AC291" s="192"/>
    </row>
    <row r="292" spans="1:29" s="191" customFormat="1" ht="23.1" customHeight="1">
      <c r="A292" s="2302"/>
      <c r="B292" s="2129"/>
      <c r="C292" s="542"/>
      <c r="D292" s="624"/>
      <c r="E292" s="588" t="s">
        <v>792</v>
      </c>
      <c r="F292" s="2031">
        <f>Y292</f>
        <v>8050</v>
      </c>
      <c r="G292" s="2031">
        <v>8050</v>
      </c>
      <c r="H292" s="658"/>
      <c r="I292" s="543"/>
      <c r="J292" s="3591" t="s">
        <v>5107</v>
      </c>
      <c r="K292" s="3592"/>
      <c r="L292" s="3592"/>
      <c r="M292" s="3592"/>
      <c r="N292" s="3592"/>
      <c r="O292" s="3592"/>
      <c r="P292" s="3592"/>
      <c r="Q292" s="3108"/>
      <c r="R292" s="3108"/>
      <c r="S292" s="3108"/>
      <c r="T292" s="3108"/>
      <c r="U292" s="3108"/>
      <c r="V292" s="3108"/>
      <c r="W292" s="3108"/>
      <c r="X292" s="2345"/>
      <c r="Y292" s="3110">
        <f>+Y293+Y294+Y295</f>
        <v>8050</v>
      </c>
      <c r="Z292" s="1898"/>
      <c r="AA292" s="427"/>
      <c r="AB292" s="427"/>
      <c r="AC292" s="192"/>
    </row>
    <row r="293" spans="1:29" s="191" customFormat="1" ht="23.1" customHeight="1">
      <c r="A293" s="2302"/>
      <c r="B293" s="2129"/>
      <c r="C293" s="542"/>
      <c r="D293" s="624"/>
      <c r="E293" s="588"/>
      <c r="F293" s="2031"/>
      <c r="G293" s="2031"/>
      <c r="H293" s="658"/>
      <c r="I293" s="543"/>
      <c r="J293" s="3591" t="s">
        <v>5144</v>
      </c>
      <c r="K293" s="3592"/>
      <c r="L293" s="3592"/>
      <c r="M293" s="3592"/>
      <c r="N293" s="3592"/>
      <c r="O293" s="3592"/>
      <c r="P293" s="3592"/>
      <c r="Q293" s="3108"/>
      <c r="R293" s="3108"/>
      <c r="S293" s="3108">
        <v>5000000</v>
      </c>
      <c r="T293" s="3108" t="s">
        <v>5135</v>
      </c>
      <c r="U293" s="3108"/>
      <c r="V293" s="3108">
        <v>1</v>
      </c>
      <c r="W293" s="3108" t="s">
        <v>5105</v>
      </c>
      <c r="X293" s="2345" t="s">
        <v>5100</v>
      </c>
      <c r="Y293" s="3110">
        <f>S293*V293/1000</f>
        <v>5000</v>
      </c>
      <c r="Z293" s="1898"/>
      <c r="AA293" s="427"/>
      <c r="AB293" s="427"/>
      <c r="AC293" s="192"/>
    </row>
    <row r="294" spans="1:29" s="191" customFormat="1" ht="23.1" customHeight="1">
      <c r="A294" s="2302"/>
      <c r="B294" s="2129"/>
      <c r="C294" s="542"/>
      <c r="D294" s="624"/>
      <c r="E294" s="588"/>
      <c r="F294" s="2031"/>
      <c r="G294" s="2031"/>
      <c r="H294" s="658"/>
      <c r="I294" s="543"/>
      <c r="J294" s="3591" t="s">
        <v>5145</v>
      </c>
      <c r="K294" s="3592"/>
      <c r="L294" s="3592"/>
      <c r="M294" s="3592"/>
      <c r="N294" s="3592"/>
      <c r="O294" s="3592"/>
      <c r="P294" s="3592"/>
      <c r="Q294" s="3108"/>
      <c r="R294" s="3108"/>
      <c r="S294" s="3108">
        <v>1000000</v>
      </c>
      <c r="T294" s="3108" t="s">
        <v>5135</v>
      </c>
      <c r="U294" s="3108"/>
      <c r="V294" s="3108">
        <v>3</v>
      </c>
      <c r="W294" s="3108" t="s">
        <v>5105</v>
      </c>
      <c r="X294" s="2345" t="s">
        <v>5100</v>
      </c>
      <c r="Y294" s="3110">
        <f>S294*V294/1000</f>
        <v>3000</v>
      </c>
      <c r="Z294" s="1898"/>
      <c r="AA294" s="427"/>
      <c r="AB294" s="427"/>
      <c r="AC294" s="192"/>
    </row>
    <row r="295" spans="1:29" s="191" customFormat="1" ht="23.1" customHeight="1">
      <c r="A295" s="2302"/>
      <c r="B295" s="2129"/>
      <c r="C295" s="542"/>
      <c r="D295" s="624"/>
      <c r="E295" s="588"/>
      <c r="F295" s="2031"/>
      <c r="G295" s="2031"/>
      <c r="H295" s="658"/>
      <c r="I295" s="543"/>
      <c r="J295" s="3591" t="s">
        <v>5146</v>
      </c>
      <c r="K295" s="3592"/>
      <c r="L295" s="3592"/>
      <c r="M295" s="3592"/>
      <c r="N295" s="3592"/>
      <c r="O295" s="3592"/>
      <c r="P295" s="3592"/>
      <c r="Q295" s="3108"/>
      <c r="R295" s="3108"/>
      <c r="S295" s="3108">
        <v>50000</v>
      </c>
      <c r="T295" s="3108" t="s">
        <v>5135</v>
      </c>
      <c r="U295" s="3108"/>
      <c r="V295" s="3108">
        <v>1</v>
      </c>
      <c r="W295" s="3108" t="s">
        <v>5105</v>
      </c>
      <c r="X295" s="2345" t="s">
        <v>5100</v>
      </c>
      <c r="Y295" s="3110">
        <f>S295*V295/1000</f>
        <v>50</v>
      </c>
      <c r="Z295" s="1898"/>
      <c r="AA295" s="427"/>
      <c r="AB295" s="427"/>
      <c r="AC295" s="192"/>
    </row>
    <row r="296" spans="1:29" s="191" customFormat="1" ht="23.1" customHeight="1">
      <c r="A296" s="2302"/>
      <c r="B296" s="2129"/>
      <c r="C296" s="564"/>
      <c r="D296" s="2020"/>
      <c r="E296" s="2050" t="s">
        <v>225</v>
      </c>
      <c r="F296" s="2031">
        <f>Y296</f>
        <v>1350</v>
      </c>
      <c r="G296" s="2031">
        <v>9350</v>
      </c>
      <c r="H296" s="534">
        <f>F296-G296</f>
        <v>-8000</v>
      </c>
      <c r="I296" s="543"/>
      <c r="J296" s="3591" t="s">
        <v>5147</v>
      </c>
      <c r="K296" s="3592"/>
      <c r="L296" s="3592"/>
      <c r="M296" s="3592"/>
      <c r="N296" s="3592"/>
      <c r="O296" s="3592"/>
      <c r="P296" s="3592"/>
      <c r="Q296" s="3108">
        <v>1</v>
      </c>
      <c r="R296" s="3108" t="s">
        <v>5148</v>
      </c>
      <c r="S296" s="3108">
        <v>150000</v>
      </c>
      <c r="T296" s="3108" t="s">
        <v>5135</v>
      </c>
      <c r="U296" s="3108"/>
      <c r="V296" s="3108">
        <v>9</v>
      </c>
      <c r="W296" s="3108" t="s">
        <v>5149</v>
      </c>
      <c r="X296" s="2345" t="s">
        <v>5100</v>
      </c>
      <c r="Y296" s="3110">
        <f>Q296*S296*V296/1000</f>
        <v>1350</v>
      </c>
      <c r="Z296" s="1898"/>
      <c r="AA296" s="427"/>
      <c r="AB296" s="427"/>
      <c r="AC296" s="192"/>
    </row>
    <row r="297" spans="1:29" s="191" customFormat="1" ht="23.1" customHeight="1">
      <c r="A297" s="2302"/>
      <c r="B297" s="2129"/>
      <c r="C297" s="564"/>
      <c r="D297" s="2020"/>
      <c r="E297" s="2050" t="s">
        <v>15</v>
      </c>
      <c r="F297" s="2031">
        <f>Y297</f>
        <v>30050</v>
      </c>
      <c r="G297" s="2031">
        <v>30050</v>
      </c>
      <c r="H297" s="3594"/>
      <c r="I297" s="543"/>
      <c r="J297" s="3591" t="s">
        <v>5107</v>
      </c>
      <c r="K297" s="3592"/>
      <c r="L297" s="3592"/>
      <c r="M297" s="3592"/>
      <c r="N297" s="3592"/>
      <c r="O297" s="3592"/>
      <c r="P297" s="3592"/>
      <c r="Q297" s="3108"/>
      <c r="R297" s="3108"/>
      <c r="S297" s="3108"/>
      <c r="T297" s="3108"/>
      <c r="U297" s="3108"/>
      <c r="V297" s="3108"/>
      <c r="W297" s="3108"/>
      <c r="X297" s="2345"/>
      <c r="Y297" s="3110">
        <f>+Y298+Y299+Y300+Y301</f>
        <v>30050</v>
      </c>
      <c r="Z297" s="1898"/>
      <c r="AA297" s="427"/>
      <c r="AB297" s="427"/>
      <c r="AC297" s="192"/>
    </row>
    <row r="298" spans="1:29" s="191" customFormat="1" ht="23.1" customHeight="1">
      <c r="A298" s="2302"/>
      <c r="B298" s="2129"/>
      <c r="C298" s="564"/>
      <c r="D298" s="2020"/>
      <c r="E298" s="3595"/>
      <c r="F298" s="2031"/>
      <c r="G298" s="2347"/>
      <c r="H298" s="658"/>
      <c r="I298" s="543"/>
      <c r="J298" s="3591" t="s">
        <v>5150</v>
      </c>
      <c r="K298" s="3592"/>
      <c r="L298" s="3592"/>
      <c r="M298" s="3592"/>
      <c r="N298" s="3592"/>
      <c r="O298" s="3592"/>
      <c r="P298" s="3592"/>
      <c r="Q298" s="3108"/>
      <c r="R298" s="3108"/>
      <c r="S298" s="3108">
        <v>5000000</v>
      </c>
      <c r="T298" s="3108" t="s">
        <v>5135</v>
      </c>
      <c r="U298" s="3108"/>
      <c r="V298" s="3108">
        <v>5</v>
      </c>
      <c r="W298" s="3108" t="s">
        <v>5137</v>
      </c>
      <c r="X298" s="2345" t="s">
        <v>5100</v>
      </c>
      <c r="Y298" s="3110">
        <f>S298*V298/1000</f>
        <v>25000</v>
      </c>
      <c r="Z298" s="1898"/>
      <c r="AA298" s="427"/>
      <c r="AB298" s="427"/>
      <c r="AC298" s="192"/>
    </row>
    <row r="299" spans="1:29" s="191" customFormat="1" ht="23.1" customHeight="1">
      <c r="A299" s="2302"/>
      <c r="B299" s="2129"/>
      <c r="C299" s="564"/>
      <c r="D299" s="2020"/>
      <c r="E299" s="2050"/>
      <c r="F299" s="2031"/>
      <c r="G299" s="2031"/>
      <c r="H299" s="658"/>
      <c r="I299" s="543"/>
      <c r="J299" s="3591" t="s">
        <v>5151</v>
      </c>
      <c r="K299" s="3592"/>
      <c r="L299" s="3592"/>
      <c r="M299" s="3592"/>
      <c r="N299" s="3592"/>
      <c r="O299" s="3592"/>
      <c r="P299" s="3592"/>
      <c r="Q299" s="3108">
        <v>2</v>
      </c>
      <c r="R299" s="3108" t="s">
        <v>5148</v>
      </c>
      <c r="S299" s="3108">
        <v>60000</v>
      </c>
      <c r="T299" s="3108" t="s">
        <v>5135</v>
      </c>
      <c r="U299" s="3108"/>
      <c r="V299" s="3108">
        <v>20</v>
      </c>
      <c r="W299" s="3108" t="s">
        <v>5105</v>
      </c>
      <c r="X299" s="2345" t="s">
        <v>5100</v>
      </c>
      <c r="Y299" s="3110">
        <f t="shared" ref="Y299:Y301" si="47">Q299*S299*V299/1000</f>
        <v>2400</v>
      </c>
      <c r="Z299" s="1898"/>
      <c r="AA299" s="427"/>
      <c r="AB299" s="427"/>
      <c r="AC299" s="192"/>
    </row>
    <row r="300" spans="1:29" s="191" customFormat="1" ht="23.1" customHeight="1">
      <c r="A300" s="2302"/>
      <c r="B300" s="2129"/>
      <c r="C300" s="564"/>
      <c r="D300" s="2020"/>
      <c r="E300" s="2050"/>
      <c r="F300" s="2031"/>
      <c r="G300" s="2031"/>
      <c r="H300" s="2346"/>
      <c r="I300" s="543"/>
      <c r="J300" s="3591" t="s">
        <v>5152</v>
      </c>
      <c r="K300" s="3592"/>
      <c r="L300" s="3592"/>
      <c r="M300" s="3592"/>
      <c r="N300" s="3592"/>
      <c r="O300" s="3592"/>
      <c r="P300" s="3592"/>
      <c r="Q300" s="3108">
        <v>2</v>
      </c>
      <c r="R300" s="3108" t="s">
        <v>5148</v>
      </c>
      <c r="S300" s="3108">
        <v>50000</v>
      </c>
      <c r="T300" s="3108" t="s">
        <v>5135</v>
      </c>
      <c r="U300" s="3108"/>
      <c r="V300" s="3108">
        <v>20</v>
      </c>
      <c r="W300" s="3108" t="s">
        <v>5105</v>
      </c>
      <c r="X300" s="2345" t="s">
        <v>5100</v>
      </c>
      <c r="Y300" s="3110">
        <f t="shared" si="47"/>
        <v>2000</v>
      </c>
      <c r="Z300" s="1898"/>
      <c r="AA300" s="427"/>
      <c r="AB300" s="427"/>
      <c r="AC300" s="192"/>
    </row>
    <row r="301" spans="1:29" s="191" customFormat="1" ht="23.1" customHeight="1">
      <c r="A301" s="2302"/>
      <c r="B301" s="2129"/>
      <c r="C301" s="564"/>
      <c r="D301" s="2020"/>
      <c r="E301" s="2050"/>
      <c r="F301" s="2031"/>
      <c r="G301" s="2031"/>
      <c r="H301" s="2346"/>
      <c r="I301" s="543"/>
      <c r="J301" s="3591" t="s">
        <v>5153</v>
      </c>
      <c r="K301" s="3592"/>
      <c r="L301" s="3592"/>
      <c r="M301" s="3592"/>
      <c r="N301" s="3592"/>
      <c r="O301" s="3592"/>
      <c r="P301" s="3592"/>
      <c r="Q301" s="3108">
        <v>2</v>
      </c>
      <c r="R301" s="3108" t="s">
        <v>5148</v>
      </c>
      <c r="S301" s="3108">
        <v>65000</v>
      </c>
      <c r="T301" s="3108" t="s">
        <v>5135</v>
      </c>
      <c r="U301" s="3108"/>
      <c r="V301" s="3108">
        <v>5</v>
      </c>
      <c r="W301" s="3108" t="s">
        <v>5105</v>
      </c>
      <c r="X301" s="2345" t="s">
        <v>5100</v>
      </c>
      <c r="Y301" s="3110">
        <f t="shared" si="47"/>
        <v>650</v>
      </c>
      <c r="Z301" s="1898"/>
      <c r="AA301" s="427"/>
      <c r="AB301" s="427"/>
      <c r="AC301" s="192"/>
    </row>
    <row r="302" spans="1:29" s="191" customFormat="1" ht="23.1" customHeight="1">
      <c r="A302" s="2302"/>
      <c r="B302" s="2129"/>
      <c r="C302" s="564"/>
      <c r="D302" s="2020"/>
      <c r="E302" s="2050" t="s">
        <v>16</v>
      </c>
      <c r="F302" s="2031">
        <f>Y302</f>
        <v>103750</v>
      </c>
      <c r="G302" s="2031">
        <v>114750</v>
      </c>
      <c r="H302" s="534">
        <f>F302-G302</f>
        <v>-11000</v>
      </c>
      <c r="I302" s="543"/>
      <c r="J302" s="3591" t="s">
        <v>5107</v>
      </c>
      <c r="K302" s="3592"/>
      <c r="L302" s="3592"/>
      <c r="M302" s="3592"/>
      <c r="N302" s="3592"/>
      <c r="O302" s="3592"/>
      <c r="P302" s="3592"/>
      <c r="Q302" s="3108"/>
      <c r="R302" s="3108"/>
      <c r="S302" s="3108"/>
      <c r="T302" s="3108"/>
      <c r="U302" s="3108"/>
      <c r="V302" s="3108"/>
      <c r="W302" s="3108"/>
      <c r="X302" s="2345"/>
      <c r="Y302" s="3110">
        <f>+Y303+Y304+Y306+Y307+Y308+Y305</f>
        <v>103750</v>
      </c>
      <c r="Z302" s="1898"/>
      <c r="AA302" s="427"/>
      <c r="AB302" s="427"/>
      <c r="AC302" s="192"/>
    </row>
    <row r="303" spans="1:29" s="191" customFormat="1" ht="23.1" customHeight="1">
      <c r="A303" s="2302"/>
      <c r="B303" s="2129"/>
      <c r="C303" s="564"/>
      <c r="D303" s="2020"/>
      <c r="E303" s="3595"/>
      <c r="F303" s="2031"/>
      <c r="G303" s="2347"/>
      <c r="H303" s="2346"/>
      <c r="I303" s="543"/>
      <c r="J303" s="3591" t="s">
        <v>5154</v>
      </c>
      <c r="K303" s="3592"/>
      <c r="L303" s="3592"/>
      <c r="M303" s="3592"/>
      <c r="N303" s="3592"/>
      <c r="O303" s="3592"/>
      <c r="P303" s="3592"/>
      <c r="Q303" s="3108"/>
      <c r="R303" s="3108"/>
      <c r="S303" s="3108">
        <v>2000000</v>
      </c>
      <c r="T303" s="3108" t="s">
        <v>5135</v>
      </c>
      <c r="U303" s="3108"/>
      <c r="V303" s="3108">
        <v>10</v>
      </c>
      <c r="W303" s="3108" t="s">
        <v>5105</v>
      </c>
      <c r="X303" s="2345" t="s">
        <v>5100</v>
      </c>
      <c r="Y303" s="3110">
        <f t="shared" ref="Y303:Y308" si="48">S303*V303/1000</f>
        <v>20000</v>
      </c>
      <c r="Z303" s="1898"/>
      <c r="AA303" s="427"/>
      <c r="AB303" s="427"/>
      <c r="AC303" s="192"/>
    </row>
    <row r="304" spans="1:29" s="191" customFormat="1" ht="23.1" customHeight="1">
      <c r="A304" s="2302"/>
      <c r="B304" s="2129"/>
      <c r="C304" s="564"/>
      <c r="D304" s="2020"/>
      <c r="E304" s="2050"/>
      <c r="F304" s="2031"/>
      <c r="G304" s="2031"/>
      <c r="H304" s="658"/>
      <c r="I304" s="543"/>
      <c r="J304" s="3591" t="s">
        <v>5155</v>
      </c>
      <c r="K304" s="3592"/>
      <c r="L304" s="3592"/>
      <c r="M304" s="3592"/>
      <c r="N304" s="3592"/>
      <c r="O304" s="3592"/>
      <c r="P304" s="3592"/>
      <c r="Q304" s="3108"/>
      <c r="R304" s="3108"/>
      <c r="S304" s="3108">
        <v>20000000</v>
      </c>
      <c r="T304" s="3108" t="s">
        <v>5135</v>
      </c>
      <c r="U304" s="3108"/>
      <c r="V304" s="3108">
        <v>1</v>
      </c>
      <c r="W304" s="3108" t="s">
        <v>5105</v>
      </c>
      <c r="X304" s="2345" t="s">
        <v>5100</v>
      </c>
      <c r="Y304" s="3110">
        <f t="shared" si="48"/>
        <v>20000</v>
      </c>
      <c r="Z304" s="1898"/>
      <c r="AA304" s="427"/>
      <c r="AB304" s="427"/>
      <c r="AC304" s="192"/>
    </row>
    <row r="305" spans="1:29" s="191" customFormat="1" ht="23.1" customHeight="1">
      <c r="A305" s="2302"/>
      <c r="B305" s="2129"/>
      <c r="C305" s="564"/>
      <c r="D305" s="2020"/>
      <c r="E305" s="2050"/>
      <c r="F305" s="2031"/>
      <c r="G305" s="2031"/>
      <c r="H305" s="2346"/>
      <c r="I305" s="543"/>
      <c r="J305" s="3591" t="s">
        <v>5156</v>
      </c>
      <c r="K305" s="3592"/>
      <c r="L305" s="3592"/>
      <c r="M305" s="3592"/>
      <c r="N305" s="3592"/>
      <c r="O305" s="3592"/>
      <c r="P305" s="3592"/>
      <c r="Q305" s="3108"/>
      <c r="R305" s="3108"/>
      <c r="S305" s="3108">
        <v>5000000</v>
      </c>
      <c r="T305" s="3108" t="s">
        <v>5135</v>
      </c>
      <c r="U305" s="3108"/>
      <c r="V305" s="3108">
        <v>3</v>
      </c>
      <c r="W305" s="3108" t="s">
        <v>5105</v>
      </c>
      <c r="X305" s="2345" t="s">
        <v>5100</v>
      </c>
      <c r="Y305" s="3110">
        <f t="shared" si="48"/>
        <v>15000</v>
      </c>
      <c r="Z305" s="1898"/>
      <c r="AA305" s="427"/>
      <c r="AB305" s="427"/>
      <c r="AC305" s="192"/>
    </row>
    <row r="306" spans="1:29" s="191" customFormat="1" ht="23.1" customHeight="1">
      <c r="A306" s="2302"/>
      <c r="B306" s="2129"/>
      <c r="C306" s="564"/>
      <c r="D306" s="2020"/>
      <c r="E306" s="2050"/>
      <c r="F306" s="2031"/>
      <c r="G306" s="2031"/>
      <c r="H306" s="2346"/>
      <c r="I306" s="543"/>
      <c r="J306" s="3591" t="s">
        <v>5157</v>
      </c>
      <c r="K306" s="3592"/>
      <c r="L306" s="3592"/>
      <c r="M306" s="3592"/>
      <c r="N306" s="3592"/>
      <c r="O306" s="3592"/>
      <c r="P306" s="3592"/>
      <c r="Q306" s="3108"/>
      <c r="R306" s="3108"/>
      <c r="S306" s="3108">
        <v>31000000</v>
      </c>
      <c r="T306" s="3108" t="s">
        <v>5135</v>
      </c>
      <c r="U306" s="3108"/>
      <c r="V306" s="3108">
        <v>1</v>
      </c>
      <c r="W306" s="3108" t="s">
        <v>5105</v>
      </c>
      <c r="X306" s="2345" t="s">
        <v>5100</v>
      </c>
      <c r="Y306" s="3110">
        <f t="shared" si="48"/>
        <v>31000</v>
      </c>
      <c r="Z306" s="1898"/>
      <c r="AA306" s="427"/>
      <c r="AB306" s="427"/>
      <c r="AC306" s="192"/>
    </row>
    <row r="307" spans="1:29" s="191" customFormat="1" ht="23.1" customHeight="1">
      <c r="A307" s="2302"/>
      <c r="B307" s="2129"/>
      <c r="C307" s="564"/>
      <c r="D307" s="2020"/>
      <c r="E307" s="2050"/>
      <c r="F307" s="2031"/>
      <c r="G307" s="2031"/>
      <c r="H307" s="2346"/>
      <c r="I307" s="543"/>
      <c r="J307" s="3591" t="s">
        <v>5158</v>
      </c>
      <c r="K307" s="3592"/>
      <c r="L307" s="3592"/>
      <c r="M307" s="3592"/>
      <c r="N307" s="3592"/>
      <c r="O307" s="3592"/>
      <c r="P307" s="3592"/>
      <c r="Q307" s="3108"/>
      <c r="R307" s="3108"/>
      <c r="S307" s="3108">
        <v>3000000</v>
      </c>
      <c r="T307" s="3108" t="s">
        <v>5135</v>
      </c>
      <c r="U307" s="3108"/>
      <c r="V307" s="3108">
        <v>1</v>
      </c>
      <c r="W307" s="3108" t="s">
        <v>5105</v>
      </c>
      <c r="X307" s="2345" t="s">
        <v>5100</v>
      </c>
      <c r="Y307" s="3110">
        <f t="shared" si="48"/>
        <v>3000</v>
      </c>
      <c r="Z307" s="1898"/>
      <c r="AA307" s="427"/>
      <c r="AB307" s="427"/>
      <c r="AC307" s="192"/>
    </row>
    <row r="308" spans="1:29" s="191" customFormat="1" ht="23.1" customHeight="1">
      <c r="A308" s="2302"/>
      <c r="B308" s="2129"/>
      <c r="C308" s="564"/>
      <c r="D308" s="2020"/>
      <c r="E308" s="2050"/>
      <c r="F308" s="2031"/>
      <c r="G308" s="2031"/>
      <c r="H308" s="2346"/>
      <c r="I308" s="543"/>
      <c r="J308" s="3591" t="s">
        <v>5159</v>
      </c>
      <c r="K308" s="3592"/>
      <c r="L308" s="3592"/>
      <c r="M308" s="3592"/>
      <c r="N308" s="3592"/>
      <c r="O308" s="3592"/>
      <c r="P308" s="3592"/>
      <c r="Q308" s="3108"/>
      <c r="R308" s="3108"/>
      <c r="S308" s="3108">
        <v>2950000</v>
      </c>
      <c r="T308" s="3108" t="s">
        <v>5135</v>
      </c>
      <c r="U308" s="3108"/>
      <c r="V308" s="3108">
        <v>5</v>
      </c>
      <c r="W308" s="3108" t="s">
        <v>5105</v>
      </c>
      <c r="X308" s="2345" t="s">
        <v>5100</v>
      </c>
      <c r="Y308" s="3110">
        <f t="shared" si="48"/>
        <v>14750</v>
      </c>
      <c r="Z308" s="1898"/>
      <c r="AA308" s="427"/>
      <c r="AB308" s="427"/>
      <c r="AC308" s="192"/>
    </row>
    <row r="309" spans="1:29" s="191" customFormat="1" ht="23.1" customHeight="1">
      <c r="A309" s="2302"/>
      <c r="B309" s="2129"/>
      <c r="C309" s="564"/>
      <c r="D309" s="2020"/>
      <c r="E309" s="2050" t="s">
        <v>262</v>
      </c>
      <c r="F309" s="2031">
        <f t="shared" ref="F309:F311" si="49">Y309</f>
        <v>21400</v>
      </c>
      <c r="G309" s="2031">
        <v>1400</v>
      </c>
      <c r="H309" s="534">
        <f>F309-G309</f>
        <v>20000</v>
      </c>
      <c r="I309" s="543"/>
      <c r="J309" s="3591" t="s">
        <v>5160</v>
      </c>
      <c r="K309" s="3592"/>
      <c r="L309" s="3592"/>
      <c r="M309" s="3592"/>
      <c r="N309" s="3592"/>
      <c r="O309" s="3592"/>
      <c r="P309" s="3592"/>
      <c r="Q309" s="3108">
        <v>20</v>
      </c>
      <c r="R309" s="3108" t="s">
        <v>5148</v>
      </c>
      <c r="S309" s="3108">
        <v>20000</v>
      </c>
      <c r="T309" s="3108" t="s">
        <v>5135</v>
      </c>
      <c r="U309" s="3108"/>
      <c r="V309" s="3108">
        <v>53.5</v>
      </c>
      <c r="W309" s="3108" t="s">
        <v>5105</v>
      </c>
      <c r="X309" s="2345" t="s">
        <v>5100</v>
      </c>
      <c r="Y309" s="3110">
        <f t="shared" ref="Y309" si="50">Q309*S309*V309/1000</f>
        <v>21400</v>
      </c>
      <c r="Z309" s="1898"/>
      <c r="AA309" s="427"/>
      <c r="AB309" s="427"/>
      <c r="AC309" s="192"/>
    </row>
    <row r="310" spans="1:29" s="191" customFormat="1" ht="23.1" customHeight="1">
      <c r="A310" s="2302"/>
      <c r="B310" s="2129"/>
      <c r="C310" s="564"/>
      <c r="D310" s="2020"/>
      <c r="E310" s="2050" t="s">
        <v>73</v>
      </c>
      <c r="F310" s="2031">
        <f t="shared" si="49"/>
        <v>4000</v>
      </c>
      <c r="G310" s="2031">
        <v>4000</v>
      </c>
      <c r="H310" s="470"/>
      <c r="I310" s="543"/>
      <c r="J310" s="3591" t="s">
        <v>5161</v>
      </c>
      <c r="K310" s="3592"/>
      <c r="L310" s="3592"/>
      <c r="M310" s="3592"/>
      <c r="N310" s="3592"/>
      <c r="O310" s="3592"/>
      <c r="P310" s="3592"/>
      <c r="Q310" s="3108"/>
      <c r="R310" s="3108"/>
      <c r="S310" s="3108">
        <v>1000000</v>
      </c>
      <c r="T310" s="3108" t="s">
        <v>5135</v>
      </c>
      <c r="U310" s="3108"/>
      <c r="V310" s="3108">
        <v>4</v>
      </c>
      <c r="W310" s="3108" t="s">
        <v>5105</v>
      </c>
      <c r="X310" s="2345" t="s">
        <v>5100</v>
      </c>
      <c r="Y310" s="3110">
        <f>S310*V310/1000</f>
        <v>4000</v>
      </c>
      <c r="Z310" s="1898"/>
      <c r="AA310" s="427"/>
      <c r="AB310" s="427"/>
      <c r="AC310" s="192"/>
    </row>
    <row r="311" spans="1:29" s="191" customFormat="1" ht="23.1" customHeight="1">
      <c r="A311" s="2302"/>
      <c r="B311" s="2129"/>
      <c r="C311" s="564"/>
      <c r="D311" s="2020"/>
      <c r="E311" s="2050" t="s">
        <v>14</v>
      </c>
      <c r="F311" s="722">
        <f t="shared" si="49"/>
        <v>1399.9999999999995</v>
      </c>
      <c r="G311" s="2031">
        <v>2400</v>
      </c>
      <c r="H311" s="579">
        <f>F311-G311</f>
        <v>-1000.0000000000005</v>
      </c>
      <c r="I311" s="543"/>
      <c r="J311" s="3591" t="s">
        <v>5162</v>
      </c>
      <c r="K311" s="3592"/>
      <c r="L311" s="3592"/>
      <c r="M311" s="3592"/>
      <c r="N311" s="3592"/>
      <c r="O311" s="3592"/>
      <c r="P311" s="3592"/>
      <c r="Q311" s="3108">
        <v>10</v>
      </c>
      <c r="R311" s="3108" t="s">
        <v>5148</v>
      </c>
      <c r="S311" s="3108">
        <v>15000</v>
      </c>
      <c r="T311" s="3108" t="s">
        <v>5135</v>
      </c>
      <c r="U311" s="3108"/>
      <c r="V311" s="3108">
        <v>9.3333333333333304</v>
      </c>
      <c r="W311" s="3108" t="s">
        <v>5105</v>
      </c>
      <c r="X311" s="2345" t="s">
        <v>5100</v>
      </c>
      <c r="Y311" s="3110">
        <f>Q311*S311*V311/1000</f>
        <v>1399.9999999999995</v>
      </c>
      <c r="Z311" s="1898"/>
      <c r="AA311" s="427"/>
      <c r="AB311" s="427"/>
      <c r="AC311" s="192"/>
    </row>
    <row r="312" spans="1:29" s="191" customFormat="1" ht="23.1" customHeight="1">
      <c r="A312" s="2302"/>
      <c r="B312" s="2129"/>
      <c r="C312" s="564"/>
      <c r="D312" s="3825" t="s">
        <v>4055</v>
      </c>
      <c r="E312" s="3826"/>
      <c r="F312" s="528">
        <f>SUM(F313:F341)</f>
        <v>280000</v>
      </c>
      <c r="G312" s="528">
        <f>SUM(G313:G341)</f>
        <v>280000</v>
      </c>
      <c r="H312" s="529">
        <f t="shared" ref="H312" si="51">F312-G312</f>
        <v>0</v>
      </c>
      <c r="I312" s="543"/>
      <c r="J312" s="538"/>
      <c r="K312" s="2068"/>
      <c r="L312" s="2068"/>
      <c r="M312" s="2068"/>
      <c r="N312" s="2068"/>
      <c r="O312" s="2068"/>
      <c r="P312" s="2068"/>
      <c r="Q312" s="2068"/>
      <c r="R312" s="539"/>
      <c r="S312" s="2068"/>
      <c r="T312" s="2068"/>
      <c r="U312" s="2068"/>
      <c r="V312" s="2068"/>
      <c r="W312" s="2068"/>
      <c r="X312" s="585"/>
      <c r="Y312" s="2124"/>
      <c r="Z312" s="1898"/>
      <c r="AA312" s="427"/>
      <c r="AB312" s="427"/>
      <c r="AC312" s="192"/>
    </row>
    <row r="313" spans="1:29" s="191" customFormat="1" ht="23.1" customHeight="1">
      <c r="A313" s="2302"/>
      <c r="B313" s="2129"/>
      <c r="C313" s="564"/>
      <c r="D313" s="2020"/>
      <c r="E313" s="484" t="s">
        <v>65</v>
      </c>
      <c r="F313" s="2016">
        <f t="shared" ref="F313:F315" si="52">Y313</f>
        <v>45000</v>
      </c>
      <c r="G313" s="2031">
        <v>45000</v>
      </c>
      <c r="H313" s="658"/>
      <c r="I313" s="543"/>
      <c r="J313" s="3596" t="s">
        <v>5224</v>
      </c>
      <c r="K313" s="2078"/>
      <c r="L313" s="2078"/>
      <c r="M313" s="2078"/>
      <c r="N313" s="2078"/>
      <c r="O313" s="2078"/>
      <c r="P313" s="2078"/>
      <c r="Q313" s="608"/>
      <c r="R313" s="3108"/>
      <c r="S313" s="3108">
        <v>3750000</v>
      </c>
      <c r="T313" s="3108" t="s">
        <v>5135</v>
      </c>
      <c r="U313" s="3108"/>
      <c r="V313" s="3108">
        <v>12</v>
      </c>
      <c r="W313" s="3108" t="s">
        <v>5149</v>
      </c>
      <c r="X313" s="2345" t="s">
        <v>5100</v>
      </c>
      <c r="Y313" s="3110">
        <f>S313*V313/1000</f>
        <v>45000</v>
      </c>
      <c r="Z313" s="3441"/>
      <c r="AA313" s="427"/>
      <c r="AB313" s="427"/>
      <c r="AC313" s="192"/>
    </row>
    <row r="314" spans="1:29" s="191" customFormat="1" ht="23.1" customHeight="1">
      <c r="A314" s="2302"/>
      <c r="B314" s="2129"/>
      <c r="C314" s="473"/>
      <c r="D314" s="2020"/>
      <c r="E314" s="2013" t="s">
        <v>905</v>
      </c>
      <c r="F314" s="2016">
        <f t="shared" si="52"/>
        <v>10000</v>
      </c>
      <c r="G314" s="2031">
        <v>10000</v>
      </c>
      <c r="H314" s="658"/>
      <c r="I314" s="543"/>
      <c r="J314" s="3591" t="s">
        <v>5225</v>
      </c>
      <c r="K314" s="3592"/>
      <c r="L314" s="3592"/>
      <c r="M314" s="3592"/>
      <c r="N314" s="3592"/>
      <c r="O314" s="3592"/>
      <c r="P314" s="3592"/>
      <c r="Q314" s="3108"/>
      <c r="R314" s="3108"/>
      <c r="S314" s="3108">
        <v>2500000</v>
      </c>
      <c r="T314" s="3108" t="s">
        <v>5135</v>
      </c>
      <c r="U314" s="3108"/>
      <c r="V314" s="3108">
        <v>4</v>
      </c>
      <c r="W314" s="3108" t="s">
        <v>5105</v>
      </c>
      <c r="X314" s="2345" t="s">
        <v>5100</v>
      </c>
      <c r="Y314" s="3110">
        <f>S314*V314/1000</f>
        <v>10000</v>
      </c>
      <c r="Z314" s="3441"/>
      <c r="AA314" s="427"/>
      <c r="AB314" s="427"/>
      <c r="AC314" s="192"/>
    </row>
    <row r="315" spans="1:29" s="191" customFormat="1" ht="23.1" customHeight="1">
      <c r="A315" s="2302"/>
      <c r="B315" s="2129"/>
      <c r="C315" s="542"/>
      <c r="D315" s="624"/>
      <c r="E315" s="745" t="s">
        <v>772</v>
      </c>
      <c r="F315" s="2016">
        <f t="shared" si="52"/>
        <v>20000</v>
      </c>
      <c r="G315" s="2031">
        <v>20000</v>
      </c>
      <c r="H315" s="658"/>
      <c r="I315" s="543"/>
      <c r="J315" s="3591" t="s">
        <v>5107</v>
      </c>
      <c r="K315" s="3592"/>
      <c r="L315" s="3592"/>
      <c r="M315" s="3592"/>
      <c r="N315" s="3592"/>
      <c r="O315" s="3592"/>
      <c r="P315" s="3592"/>
      <c r="Q315" s="3108"/>
      <c r="R315" s="3108"/>
      <c r="S315" s="3108"/>
      <c r="T315" s="3108"/>
      <c r="U315" s="3108"/>
      <c r="V315" s="3108"/>
      <c r="W315" s="3108"/>
      <c r="X315" s="2345"/>
      <c r="Y315" s="3110">
        <f>+Y316+Y317</f>
        <v>20000</v>
      </c>
      <c r="Z315" s="3441"/>
      <c r="AA315" s="427"/>
      <c r="AB315" s="427"/>
      <c r="AC315" s="192"/>
    </row>
    <row r="316" spans="1:29" s="191" customFormat="1" ht="23.1" customHeight="1">
      <c r="A316" s="2302"/>
      <c r="B316" s="2129"/>
      <c r="C316" s="542"/>
      <c r="D316" s="624"/>
      <c r="E316" s="745"/>
      <c r="F316" s="3292"/>
      <c r="G316" s="2031"/>
      <c r="H316" s="658"/>
      <c r="I316" s="543"/>
      <c r="J316" s="3591" t="s">
        <v>5226</v>
      </c>
      <c r="K316" s="3592"/>
      <c r="L316" s="3592"/>
      <c r="M316" s="3592"/>
      <c r="N316" s="3592"/>
      <c r="O316" s="3592"/>
      <c r="P316" s="3592"/>
      <c r="Q316" s="3108"/>
      <c r="R316" s="3108"/>
      <c r="S316" s="3108">
        <v>15000000</v>
      </c>
      <c r="T316" s="3108" t="s">
        <v>5135</v>
      </c>
      <c r="U316" s="3108"/>
      <c r="V316" s="3108">
        <v>1</v>
      </c>
      <c r="W316" s="3108" t="s">
        <v>5105</v>
      </c>
      <c r="X316" s="2345" t="s">
        <v>5100</v>
      </c>
      <c r="Y316" s="3110">
        <f>S316*V316/1000</f>
        <v>15000</v>
      </c>
      <c r="Z316" s="3441"/>
      <c r="AA316" s="427"/>
      <c r="AB316" s="427"/>
      <c r="AC316" s="192"/>
    </row>
    <row r="317" spans="1:29" s="191" customFormat="1" ht="23.1" customHeight="1">
      <c r="A317" s="2302"/>
      <c r="B317" s="2129"/>
      <c r="C317" s="542"/>
      <c r="D317" s="624"/>
      <c r="E317" s="745"/>
      <c r="F317" s="3292"/>
      <c r="G317" s="2031"/>
      <c r="H317" s="658"/>
      <c r="I317" s="543"/>
      <c r="J317" s="3591" t="s">
        <v>5227</v>
      </c>
      <c r="K317" s="3592"/>
      <c r="L317" s="3592"/>
      <c r="M317" s="3592"/>
      <c r="N317" s="3592"/>
      <c r="O317" s="3592"/>
      <c r="P317" s="3592"/>
      <c r="Q317" s="3108"/>
      <c r="R317" s="3108"/>
      <c r="S317" s="3108">
        <v>5000000</v>
      </c>
      <c r="T317" s="3108" t="s">
        <v>5135</v>
      </c>
      <c r="U317" s="3108"/>
      <c r="V317" s="3108">
        <v>1</v>
      </c>
      <c r="W317" s="3108" t="s">
        <v>5105</v>
      </c>
      <c r="X317" s="2345" t="s">
        <v>5100</v>
      </c>
      <c r="Y317" s="3110">
        <f>S317*V317/1000</f>
        <v>5000</v>
      </c>
      <c r="Z317" s="3441"/>
      <c r="AA317" s="427"/>
      <c r="AB317" s="427"/>
      <c r="AC317" s="192"/>
    </row>
    <row r="318" spans="1:29" s="191" customFormat="1" ht="23.1" customHeight="1">
      <c r="A318" s="2302"/>
      <c r="B318" s="2129"/>
      <c r="C318" s="542"/>
      <c r="D318" s="624"/>
      <c r="E318" s="2013" t="s">
        <v>264</v>
      </c>
      <c r="F318" s="2016">
        <f t="shared" ref="F318:F319" si="53">Y318</f>
        <v>2000</v>
      </c>
      <c r="G318" s="2031">
        <v>2000</v>
      </c>
      <c r="H318" s="658"/>
      <c r="I318" s="543"/>
      <c r="J318" s="2344" t="s">
        <v>5228</v>
      </c>
      <c r="K318" s="3108"/>
      <c r="L318" s="3108"/>
      <c r="M318" s="3108"/>
      <c r="N318" s="3108"/>
      <c r="O318" s="3108"/>
      <c r="P318" s="3108"/>
      <c r="Q318" s="3108"/>
      <c r="R318" s="3108"/>
      <c r="S318" s="3108">
        <v>1000000</v>
      </c>
      <c r="T318" s="3108" t="s">
        <v>5135</v>
      </c>
      <c r="U318" s="3108"/>
      <c r="V318" s="3108">
        <v>2</v>
      </c>
      <c r="W318" s="3108" t="s">
        <v>5229</v>
      </c>
      <c r="X318" s="2345" t="s">
        <v>5100</v>
      </c>
      <c r="Y318" s="3110">
        <f t="shared" ref="Y318" si="54">S318*V318/1000</f>
        <v>2000</v>
      </c>
      <c r="Z318" s="3441"/>
      <c r="AA318" s="427"/>
      <c r="AB318" s="427"/>
      <c r="AC318" s="192"/>
    </row>
    <row r="319" spans="1:29" s="191" customFormat="1" ht="23.1" customHeight="1">
      <c r="A319" s="2302"/>
      <c r="B319" s="2129"/>
      <c r="C319" s="564"/>
      <c r="D319" s="2020"/>
      <c r="E319" s="2013" t="s">
        <v>225</v>
      </c>
      <c r="F319" s="2016">
        <f t="shared" si="53"/>
        <v>15300</v>
      </c>
      <c r="G319" s="2031">
        <v>13800</v>
      </c>
      <c r="H319" s="534">
        <f t="shared" ref="H319" si="55">F319-G319</f>
        <v>1500</v>
      </c>
      <c r="I319" s="543"/>
      <c r="J319" s="3591" t="s">
        <v>5107</v>
      </c>
      <c r="K319" s="3592"/>
      <c r="L319" s="3592"/>
      <c r="M319" s="3592"/>
      <c r="N319" s="3592"/>
      <c r="O319" s="3592"/>
      <c r="P319" s="3592"/>
      <c r="Q319" s="3108"/>
      <c r="R319" s="3108"/>
      <c r="S319" s="3108"/>
      <c r="T319" s="3108"/>
      <c r="U319" s="3108"/>
      <c r="V319" s="3108"/>
      <c r="W319" s="3108"/>
      <c r="X319" s="2345"/>
      <c r="Y319" s="3110">
        <f>+Y320+Y321</f>
        <v>15300</v>
      </c>
      <c r="Z319" s="3478"/>
      <c r="AA319" s="427"/>
      <c r="AB319" s="427"/>
      <c r="AC319" s="192"/>
    </row>
    <row r="320" spans="1:29" s="191" customFormat="1" ht="23.1" customHeight="1">
      <c r="A320" s="2302"/>
      <c r="B320" s="2129"/>
      <c r="C320" s="564"/>
      <c r="D320" s="2020"/>
      <c r="E320" s="2347"/>
      <c r="F320" s="3597"/>
      <c r="G320" s="2347"/>
      <c r="H320" s="3594"/>
      <c r="I320" s="543"/>
      <c r="J320" s="3591" t="s">
        <v>5230</v>
      </c>
      <c r="K320" s="3592"/>
      <c r="L320" s="3592"/>
      <c r="M320" s="3592"/>
      <c r="N320" s="3592"/>
      <c r="O320" s="3592"/>
      <c r="P320" s="3592"/>
      <c r="Q320" s="3108">
        <v>2</v>
      </c>
      <c r="R320" s="3108" t="s">
        <v>5148</v>
      </c>
      <c r="S320" s="3108">
        <v>30000</v>
      </c>
      <c r="T320" s="3108" t="s">
        <v>5135</v>
      </c>
      <c r="U320" s="3108"/>
      <c r="V320" s="3108">
        <v>30</v>
      </c>
      <c r="W320" s="3108" t="s">
        <v>5149</v>
      </c>
      <c r="X320" s="2345" t="s">
        <v>5100</v>
      </c>
      <c r="Y320" s="3110">
        <f>Q320*S320*V320/1000</f>
        <v>1800</v>
      </c>
      <c r="Z320" s="3441"/>
      <c r="AA320" s="427"/>
      <c r="AB320" s="427"/>
      <c r="AC320" s="192"/>
    </row>
    <row r="321" spans="1:29" s="1872" customFormat="1" ht="23.1" customHeight="1">
      <c r="A321" s="2302"/>
      <c r="B321" s="541"/>
      <c r="C321" s="564"/>
      <c r="D321" s="2020"/>
      <c r="E321" s="2013"/>
      <c r="F321" s="3292"/>
      <c r="G321" s="2031"/>
      <c r="H321" s="658"/>
      <c r="I321" s="543"/>
      <c r="J321" s="3591" t="s">
        <v>5231</v>
      </c>
      <c r="K321" s="3592"/>
      <c r="L321" s="3592"/>
      <c r="M321" s="3592"/>
      <c r="N321" s="3592"/>
      <c r="O321" s="3592"/>
      <c r="P321" s="3592"/>
      <c r="Q321" s="3108">
        <v>3</v>
      </c>
      <c r="R321" s="3108" t="s">
        <v>5148</v>
      </c>
      <c r="S321" s="3108">
        <v>4500000</v>
      </c>
      <c r="T321" s="3108" t="s">
        <v>5135</v>
      </c>
      <c r="U321" s="3108"/>
      <c r="V321" s="3108">
        <v>1</v>
      </c>
      <c r="W321" s="3108" t="s">
        <v>5105</v>
      </c>
      <c r="X321" s="2345" t="s">
        <v>5100</v>
      </c>
      <c r="Y321" s="3110">
        <f>Q321*S321*V321/1000</f>
        <v>13500</v>
      </c>
      <c r="Z321" s="3441"/>
      <c r="AA321" s="427"/>
      <c r="AB321" s="427"/>
      <c r="AC321" s="192"/>
    </row>
    <row r="322" spans="1:29" s="191" customFormat="1" ht="23.1" customHeight="1">
      <c r="A322" s="2302"/>
      <c r="B322" s="2129"/>
      <c r="C322" s="564"/>
      <c r="D322" s="2020"/>
      <c r="E322" s="745" t="s">
        <v>773</v>
      </c>
      <c r="F322" s="2016">
        <f t="shared" ref="F322:F323" si="56">Y322</f>
        <v>600</v>
      </c>
      <c r="G322" s="2031">
        <v>600</v>
      </c>
      <c r="H322" s="658"/>
      <c r="I322" s="543"/>
      <c r="J322" s="3591" t="s">
        <v>5232</v>
      </c>
      <c r="K322" s="3592"/>
      <c r="L322" s="3592"/>
      <c r="M322" s="3592"/>
      <c r="N322" s="3592"/>
      <c r="O322" s="3592"/>
      <c r="P322" s="3592"/>
      <c r="Q322" s="3108"/>
      <c r="R322" s="3108"/>
      <c r="S322" s="3108">
        <v>30000</v>
      </c>
      <c r="T322" s="3108" t="s">
        <v>5135</v>
      </c>
      <c r="U322" s="3108"/>
      <c r="V322" s="3108">
        <v>20</v>
      </c>
      <c r="W322" s="3108" t="s">
        <v>5233</v>
      </c>
      <c r="X322" s="2345" t="s">
        <v>5100</v>
      </c>
      <c r="Y322" s="3110">
        <f>S322*V322/1000</f>
        <v>600</v>
      </c>
      <c r="Z322" s="3441"/>
      <c r="AA322" s="427"/>
      <c r="AB322" s="427"/>
      <c r="AC322" s="192"/>
    </row>
    <row r="323" spans="1:29" s="1872" customFormat="1" ht="23.1" customHeight="1">
      <c r="A323" s="2302"/>
      <c r="B323" s="541"/>
      <c r="C323" s="564"/>
      <c r="D323" s="2020"/>
      <c r="E323" s="2013" t="s">
        <v>15</v>
      </c>
      <c r="F323" s="2016">
        <f t="shared" si="56"/>
        <v>22400</v>
      </c>
      <c r="G323" s="2031">
        <v>22400</v>
      </c>
      <c r="H323" s="658"/>
      <c r="I323" s="543"/>
      <c r="J323" s="3591" t="s">
        <v>5107</v>
      </c>
      <c r="K323" s="3592"/>
      <c r="L323" s="3592"/>
      <c r="M323" s="3592"/>
      <c r="N323" s="3592"/>
      <c r="O323" s="3592"/>
      <c r="P323" s="3592"/>
      <c r="Q323" s="3108"/>
      <c r="R323" s="3108"/>
      <c r="S323" s="3108"/>
      <c r="T323" s="3108"/>
      <c r="U323" s="3108"/>
      <c r="V323" s="3108"/>
      <c r="W323" s="3108"/>
      <c r="X323" s="2345"/>
      <c r="Y323" s="3110">
        <f>+Y324+Y325+Y326+Y327+Y328</f>
        <v>22400</v>
      </c>
      <c r="Z323" s="3441"/>
      <c r="AA323" s="427"/>
      <c r="AB323" s="427"/>
      <c r="AC323" s="192"/>
    </row>
    <row r="324" spans="1:29" s="1872" customFormat="1" ht="23.1" customHeight="1">
      <c r="A324" s="2302"/>
      <c r="B324" s="541"/>
      <c r="C324" s="564"/>
      <c r="D324" s="2020"/>
      <c r="E324" s="2347"/>
      <c r="F324" s="3292"/>
      <c r="G324" s="2347"/>
      <c r="H324" s="2346"/>
      <c r="I324" s="543"/>
      <c r="J324" s="3591" t="s">
        <v>5234</v>
      </c>
      <c r="K324" s="3592"/>
      <c r="L324" s="3592"/>
      <c r="M324" s="3592"/>
      <c r="N324" s="3592"/>
      <c r="O324" s="3592"/>
      <c r="P324" s="3592"/>
      <c r="Q324" s="3108"/>
      <c r="R324" s="3108"/>
      <c r="S324" s="3108">
        <v>150000</v>
      </c>
      <c r="T324" s="3108" t="s">
        <v>5135</v>
      </c>
      <c r="U324" s="3108"/>
      <c r="V324" s="3108">
        <v>40</v>
      </c>
      <c r="W324" s="3108" t="s">
        <v>5137</v>
      </c>
      <c r="X324" s="2345" t="s">
        <v>5100</v>
      </c>
      <c r="Y324" s="3110">
        <f>S324*V324/1000</f>
        <v>6000</v>
      </c>
      <c r="Z324" s="3441"/>
      <c r="AA324" s="427"/>
      <c r="AB324" s="427"/>
      <c r="AC324" s="192"/>
    </row>
    <row r="325" spans="1:29" s="1872" customFormat="1" ht="23.1" customHeight="1">
      <c r="A325" s="2302"/>
      <c r="B325" s="541"/>
      <c r="C325" s="564"/>
      <c r="D325" s="2020"/>
      <c r="E325" s="2013"/>
      <c r="F325" s="3292"/>
      <c r="G325" s="2031"/>
      <c r="H325" s="2346"/>
      <c r="I325" s="543"/>
      <c r="J325" s="3591" t="s">
        <v>5235</v>
      </c>
      <c r="K325" s="3592"/>
      <c r="L325" s="3592"/>
      <c r="M325" s="3592"/>
      <c r="N325" s="3592"/>
      <c r="O325" s="3592"/>
      <c r="P325" s="3592"/>
      <c r="Q325" s="3108"/>
      <c r="R325" s="3108"/>
      <c r="S325" s="3108">
        <v>150000</v>
      </c>
      <c r="T325" s="3108" t="s">
        <v>5135</v>
      </c>
      <c r="U325" s="3108"/>
      <c r="V325" s="3108">
        <v>60</v>
      </c>
      <c r="W325" s="3108" t="s">
        <v>5137</v>
      </c>
      <c r="X325" s="2345" t="s">
        <v>5100</v>
      </c>
      <c r="Y325" s="3110">
        <f>S325*V325/1000</f>
        <v>9000</v>
      </c>
      <c r="Z325" s="3441"/>
      <c r="AA325" s="427"/>
      <c r="AB325" s="427"/>
      <c r="AC325" s="192"/>
    </row>
    <row r="326" spans="1:29" s="1872" customFormat="1" ht="23.1" customHeight="1">
      <c r="A326" s="2302"/>
      <c r="B326" s="541"/>
      <c r="C326" s="564"/>
      <c r="D326" s="2020"/>
      <c r="E326" s="2013"/>
      <c r="F326" s="3292"/>
      <c r="G326" s="2031"/>
      <c r="H326" s="2346"/>
      <c r="I326" s="543"/>
      <c r="J326" s="3591" t="s">
        <v>5236</v>
      </c>
      <c r="K326" s="3592"/>
      <c r="L326" s="3592"/>
      <c r="M326" s="3592"/>
      <c r="N326" s="3592"/>
      <c r="O326" s="3592"/>
      <c r="P326" s="3592"/>
      <c r="Q326" s="3108"/>
      <c r="R326" s="3108"/>
      <c r="S326" s="3108">
        <v>100000</v>
      </c>
      <c r="T326" s="3108" t="s">
        <v>5135</v>
      </c>
      <c r="U326" s="3108"/>
      <c r="V326" s="3108">
        <v>30</v>
      </c>
      <c r="W326" s="3108" t="s">
        <v>5137</v>
      </c>
      <c r="X326" s="2345" t="s">
        <v>5100</v>
      </c>
      <c r="Y326" s="3110">
        <f>S326*V326/1000</f>
        <v>3000</v>
      </c>
      <c r="Z326" s="3441"/>
      <c r="AA326" s="427"/>
      <c r="AB326" s="427"/>
      <c r="AC326" s="192"/>
    </row>
    <row r="327" spans="1:29" s="191" customFormat="1" ht="23.1" customHeight="1">
      <c r="A327" s="2302"/>
      <c r="B327" s="2129"/>
      <c r="C327" s="564"/>
      <c r="D327" s="2020"/>
      <c r="E327" s="2013"/>
      <c r="F327" s="3292"/>
      <c r="G327" s="2031"/>
      <c r="H327" s="2346"/>
      <c r="I327" s="543"/>
      <c r="J327" s="3591" t="s">
        <v>5237</v>
      </c>
      <c r="K327" s="3592"/>
      <c r="L327" s="3592"/>
      <c r="M327" s="3592"/>
      <c r="N327" s="3592"/>
      <c r="O327" s="3592"/>
      <c r="P327" s="3592"/>
      <c r="Q327" s="3108">
        <v>7</v>
      </c>
      <c r="R327" s="3108" t="s">
        <v>5148</v>
      </c>
      <c r="S327" s="3108">
        <v>200000</v>
      </c>
      <c r="T327" s="3108" t="s">
        <v>5135</v>
      </c>
      <c r="U327" s="3108"/>
      <c r="V327" s="3108">
        <v>1</v>
      </c>
      <c r="W327" s="3108" t="s">
        <v>5105</v>
      </c>
      <c r="X327" s="2345" t="s">
        <v>5100</v>
      </c>
      <c r="Y327" s="3110">
        <f t="shared" ref="Y327:Y328" si="57">Q327*S327*V327/1000</f>
        <v>1400</v>
      </c>
      <c r="Z327" s="3441"/>
      <c r="AA327" s="427"/>
      <c r="AB327" s="427"/>
      <c r="AC327" s="192"/>
    </row>
    <row r="328" spans="1:29" s="191" customFormat="1" ht="23.1" customHeight="1">
      <c r="A328" s="2302"/>
      <c r="B328" s="2129"/>
      <c r="C328" s="564"/>
      <c r="D328" s="2020"/>
      <c r="E328" s="2013"/>
      <c r="F328" s="3292"/>
      <c r="G328" s="2031"/>
      <c r="H328" s="2346"/>
      <c r="I328" s="543"/>
      <c r="J328" s="3591" t="s">
        <v>5238</v>
      </c>
      <c r="K328" s="3592"/>
      <c r="L328" s="3592"/>
      <c r="M328" s="3592"/>
      <c r="N328" s="3592"/>
      <c r="O328" s="3592"/>
      <c r="P328" s="3592"/>
      <c r="Q328" s="3108">
        <v>6</v>
      </c>
      <c r="R328" s="3108" t="s">
        <v>5148</v>
      </c>
      <c r="S328" s="3108">
        <v>500000</v>
      </c>
      <c r="T328" s="3108" t="s">
        <v>5135</v>
      </c>
      <c r="U328" s="3108"/>
      <c r="V328" s="3108">
        <v>1</v>
      </c>
      <c r="W328" s="3108" t="s">
        <v>5105</v>
      </c>
      <c r="X328" s="2345" t="s">
        <v>5100</v>
      </c>
      <c r="Y328" s="3110">
        <f t="shared" si="57"/>
        <v>3000</v>
      </c>
      <c r="Z328" s="3441"/>
      <c r="AA328" s="427"/>
      <c r="AB328" s="427"/>
      <c r="AC328" s="192"/>
    </row>
    <row r="329" spans="1:29" s="191" customFormat="1" ht="19.5" customHeight="1">
      <c r="A329" s="2302"/>
      <c r="B329" s="2129"/>
      <c r="C329" s="564"/>
      <c r="D329" s="2020"/>
      <c r="E329" s="2013" t="s">
        <v>16</v>
      </c>
      <c r="F329" s="2016">
        <f t="shared" ref="F329" si="58">Y329</f>
        <v>135000</v>
      </c>
      <c r="G329" s="2031">
        <v>140000</v>
      </c>
      <c r="H329" s="534">
        <f t="shared" ref="H329" si="59">F329-G329</f>
        <v>-5000</v>
      </c>
      <c r="I329" s="543"/>
      <c r="J329" s="3591" t="s">
        <v>5107</v>
      </c>
      <c r="K329" s="3592"/>
      <c r="L329" s="3592"/>
      <c r="M329" s="3592"/>
      <c r="N329" s="3592"/>
      <c r="O329" s="3592"/>
      <c r="P329" s="3592"/>
      <c r="Q329" s="3108"/>
      <c r="R329" s="3108"/>
      <c r="S329" s="3108"/>
      <c r="T329" s="3108"/>
      <c r="U329" s="3108"/>
      <c r="V329" s="3108"/>
      <c r="W329" s="3108"/>
      <c r="X329" s="2345"/>
      <c r="Y329" s="3110">
        <f>+Y330+Y331+Y332+Y333+Y334</f>
        <v>135000</v>
      </c>
      <c r="Z329" s="3478"/>
      <c r="AA329" s="427"/>
      <c r="AB329" s="427"/>
      <c r="AC329" s="192"/>
    </row>
    <row r="330" spans="1:29" s="191" customFormat="1" ht="19.5" customHeight="1">
      <c r="A330" s="2302"/>
      <c r="B330" s="2129"/>
      <c r="C330" s="564"/>
      <c r="D330" s="2020"/>
      <c r="E330" s="2347"/>
      <c r="F330" s="3292"/>
      <c r="G330" s="2347"/>
      <c r="H330" s="2346"/>
      <c r="I330" s="543"/>
      <c r="J330" s="3591" t="s">
        <v>5239</v>
      </c>
      <c r="K330" s="3592"/>
      <c r="L330" s="3592"/>
      <c r="M330" s="3592"/>
      <c r="N330" s="3592"/>
      <c r="O330" s="3592"/>
      <c r="P330" s="3592"/>
      <c r="Q330" s="3108"/>
      <c r="R330" s="3108"/>
      <c r="S330" s="3108">
        <v>55000000</v>
      </c>
      <c r="T330" s="3108" t="s">
        <v>5135</v>
      </c>
      <c r="U330" s="3108"/>
      <c r="V330" s="3108">
        <v>1</v>
      </c>
      <c r="W330" s="3108" t="s">
        <v>5105</v>
      </c>
      <c r="X330" s="2345" t="s">
        <v>5100</v>
      </c>
      <c r="Y330" s="3110">
        <f t="shared" ref="Y330:Y334" si="60">S330*V330/1000</f>
        <v>55000</v>
      </c>
      <c r="Z330" s="3441"/>
      <c r="AA330" s="427"/>
      <c r="AB330" s="427"/>
      <c r="AC330" s="192"/>
    </row>
    <row r="331" spans="1:29" s="1872" customFormat="1" ht="19.5" customHeight="1">
      <c r="A331" s="2302"/>
      <c r="B331" s="541"/>
      <c r="C331" s="564"/>
      <c r="D331" s="2020"/>
      <c r="E331" s="2013"/>
      <c r="F331" s="3292"/>
      <c r="G331" s="2031"/>
      <c r="H331" s="2346"/>
      <c r="I331" s="543"/>
      <c r="J331" s="3591" t="s">
        <v>5240</v>
      </c>
      <c r="K331" s="3592"/>
      <c r="L331" s="3592"/>
      <c r="M331" s="3592"/>
      <c r="N331" s="3592"/>
      <c r="O331" s="3592"/>
      <c r="P331" s="3592"/>
      <c r="Q331" s="3108"/>
      <c r="R331" s="3108"/>
      <c r="S331" s="3108">
        <v>20000000</v>
      </c>
      <c r="T331" s="3108" t="s">
        <v>5135</v>
      </c>
      <c r="U331" s="3108"/>
      <c r="V331" s="3108">
        <v>1</v>
      </c>
      <c r="W331" s="3108" t="s">
        <v>5105</v>
      </c>
      <c r="X331" s="2345" t="s">
        <v>5100</v>
      </c>
      <c r="Y331" s="3110">
        <f t="shared" si="60"/>
        <v>20000</v>
      </c>
      <c r="Z331" s="3441"/>
      <c r="AA331" s="427"/>
      <c r="AB331" s="427"/>
      <c r="AC331" s="192"/>
    </row>
    <row r="332" spans="1:29" s="191" customFormat="1" ht="19.5" customHeight="1">
      <c r="A332" s="2302"/>
      <c r="B332" s="2129"/>
      <c r="C332" s="564"/>
      <c r="D332" s="2020"/>
      <c r="E332" s="2013"/>
      <c r="F332" s="3292"/>
      <c r="G332" s="2031"/>
      <c r="H332" s="2346"/>
      <c r="I332" s="543"/>
      <c r="J332" s="3591" t="s">
        <v>5241</v>
      </c>
      <c r="K332" s="3592"/>
      <c r="L332" s="3592"/>
      <c r="M332" s="3592"/>
      <c r="N332" s="3592"/>
      <c r="O332" s="3592"/>
      <c r="P332" s="3592"/>
      <c r="Q332" s="3108"/>
      <c r="R332" s="3108"/>
      <c r="S332" s="3108">
        <v>20000000</v>
      </c>
      <c r="T332" s="3108" t="s">
        <v>5135</v>
      </c>
      <c r="U332" s="3108"/>
      <c r="V332" s="3108">
        <v>1</v>
      </c>
      <c r="W332" s="3108" t="s">
        <v>5105</v>
      </c>
      <c r="X332" s="2345" t="s">
        <v>5100</v>
      </c>
      <c r="Y332" s="3110">
        <f t="shared" si="60"/>
        <v>20000</v>
      </c>
      <c r="Z332" s="3441"/>
      <c r="AA332" s="427"/>
      <c r="AB332" s="427"/>
      <c r="AC332" s="192"/>
    </row>
    <row r="333" spans="1:29" s="1872" customFormat="1" ht="19.5" customHeight="1">
      <c r="A333" s="2302"/>
      <c r="B333" s="541"/>
      <c r="C333" s="564"/>
      <c r="D333" s="2020"/>
      <c r="E333" s="2013"/>
      <c r="F333" s="3292"/>
      <c r="G333" s="2031"/>
      <c r="H333" s="2346"/>
      <c r="I333" s="543"/>
      <c r="J333" s="3591" t="s">
        <v>5242</v>
      </c>
      <c r="K333" s="3592"/>
      <c r="L333" s="3592"/>
      <c r="M333" s="3592"/>
      <c r="N333" s="3592"/>
      <c r="O333" s="3592"/>
      <c r="P333" s="3592"/>
      <c r="Q333" s="3108"/>
      <c r="R333" s="3108"/>
      <c r="S333" s="3108">
        <v>30000000</v>
      </c>
      <c r="T333" s="3108" t="s">
        <v>5135</v>
      </c>
      <c r="U333" s="3108"/>
      <c r="V333" s="3108">
        <v>1</v>
      </c>
      <c r="W333" s="3108" t="s">
        <v>5105</v>
      </c>
      <c r="X333" s="2345" t="s">
        <v>5100</v>
      </c>
      <c r="Y333" s="3110">
        <f t="shared" si="60"/>
        <v>30000</v>
      </c>
      <c r="Z333" s="3441"/>
      <c r="AA333" s="427"/>
      <c r="AB333" s="427"/>
      <c r="AC333" s="192"/>
    </row>
    <row r="334" spans="1:29" s="1872" customFormat="1" ht="19.5" customHeight="1">
      <c r="A334" s="2302"/>
      <c r="B334" s="541"/>
      <c r="C334" s="564"/>
      <c r="D334" s="2020"/>
      <c r="E334" s="2013"/>
      <c r="F334" s="3292"/>
      <c r="G334" s="2031"/>
      <c r="H334" s="2346"/>
      <c r="I334" s="543"/>
      <c r="J334" s="3591" t="s">
        <v>5243</v>
      </c>
      <c r="K334" s="3592"/>
      <c r="L334" s="3592"/>
      <c r="M334" s="3592"/>
      <c r="N334" s="3592"/>
      <c r="O334" s="3592"/>
      <c r="P334" s="3592"/>
      <c r="Q334" s="3108"/>
      <c r="R334" s="3108"/>
      <c r="S334" s="3108">
        <v>10000000</v>
      </c>
      <c r="T334" s="3108" t="s">
        <v>5135</v>
      </c>
      <c r="U334" s="3108"/>
      <c r="V334" s="3108">
        <v>1</v>
      </c>
      <c r="W334" s="3108" t="s">
        <v>5105</v>
      </c>
      <c r="X334" s="2345" t="s">
        <v>5100</v>
      </c>
      <c r="Y334" s="3110">
        <f t="shared" si="60"/>
        <v>10000</v>
      </c>
      <c r="Z334" s="3441"/>
      <c r="AA334" s="427"/>
      <c r="AB334" s="427"/>
      <c r="AC334" s="192"/>
    </row>
    <row r="335" spans="1:29" s="1872" customFormat="1" ht="22.5" customHeight="1">
      <c r="A335" s="2302"/>
      <c r="B335" s="541"/>
      <c r="C335" s="564"/>
      <c r="D335" s="2020"/>
      <c r="E335" s="2013" t="s">
        <v>262</v>
      </c>
      <c r="F335" s="2016">
        <f t="shared" ref="F335:F337" si="61">Y335</f>
        <v>4600</v>
      </c>
      <c r="G335" s="2031">
        <v>4600</v>
      </c>
      <c r="H335" s="658"/>
      <c r="I335" s="543"/>
      <c r="J335" s="3591" t="s">
        <v>5244</v>
      </c>
      <c r="K335" s="3592"/>
      <c r="L335" s="3592"/>
      <c r="M335" s="3592"/>
      <c r="N335" s="3592"/>
      <c r="O335" s="3592"/>
      <c r="P335" s="3592"/>
      <c r="Q335" s="3108"/>
      <c r="R335" s="3108"/>
      <c r="S335" s="3108">
        <v>460000</v>
      </c>
      <c r="T335" s="3108" t="s">
        <v>5135</v>
      </c>
      <c r="U335" s="3108"/>
      <c r="V335" s="3108">
        <v>10</v>
      </c>
      <c r="W335" s="3108" t="s">
        <v>5149</v>
      </c>
      <c r="X335" s="2345" t="s">
        <v>5100</v>
      </c>
      <c r="Y335" s="3110">
        <f>S335*V335/1000</f>
        <v>4600</v>
      </c>
      <c r="Z335" s="3441"/>
      <c r="AA335" s="427"/>
      <c r="AB335" s="427"/>
      <c r="AC335" s="192"/>
    </row>
    <row r="336" spans="1:29" s="3105" customFormat="1" ht="22.5" customHeight="1">
      <c r="A336" s="2302"/>
      <c r="B336" s="3380"/>
      <c r="C336" s="564"/>
      <c r="D336" s="2020"/>
      <c r="E336" s="2013" t="s">
        <v>17</v>
      </c>
      <c r="F336" s="2016">
        <f t="shared" si="61"/>
        <v>3600</v>
      </c>
      <c r="G336" s="2031">
        <v>3600</v>
      </c>
      <c r="H336" s="658"/>
      <c r="I336" s="543"/>
      <c r="J336" s="3591" t="s">
        <v>5245</v>
      </c>
      <c r="K336" s="3592"/>
      <c r="L336" s="3592"/>
      <c r="M336" s="3592"/>
      <c r="N336" s="3592"/>
      <c r="O336" s="3592"/>
      <c r="P336" s="3592"/>
      <c r="Q336" s="3108"/>
      <c r="R336" s="3108"/>
      <c r="S336" s="3108">
        <v>600000</v>
      </c>
      <c r="T336" s="3108" t="s">
        <v>5135</v>
      </c>
      <c r="U336" s="3108"/>
      <c r="V336" s="3108">
        <v>6</v>
      </c>
      <c r="W336" s="3108" t="s">
        <v>5105</v>
      </c>
      <c r="X336" s="2345" t="s">
        <v>5100</v>
      </c>
      <c r="Y336" s="3110">
        <f>S336*V336/1000</f>
        <v>3600</v>
      </c>
      <c r="Z336" s="3441"/>
      <c r="AA336" s="427"/>
      <c r="AB336" s="427"/>
      <c r="AC336" s="192"/>
    </row>
    <row r="337" spans="1:29" s="1872" customFormat="1" ht="22.5" customHeight="1">
      <c r="A337" s="2302"/>
      <c r="B337" s="541"/>
      <c r="C337" s="564"/>
      <c r="D337" s="2020"/>
      <c r="E337" s="2013" t="s">
        <v>73</v>
      </c>
      <c r="F337" s="2016">
        <f t="shared" si="61"/>
        <v>14000</v>
      </c>
      <c r="G337" s="2031">
        <v>14000</v>
      </c>
      <c r="H337" s="658"/>
      <c r="I337" s="543"/>
      <c r="J337" s="3591" t="s">
        <v>5107</v>
      </c>
      <c r="K337" s="3592"/>
      <c r="L337" s="3592"/>
      <c r="M337" s="3592"/>
      <c r="N337" s="3592"/>
      <c r="O337" s="3592"/>
      <c r="P337" s="3592"/>
      <c r="Q337" s="3108"/>
      <c r="R337" s="3108"/>
      <c r="S337" s="3108"/>
      <c r="T337" s="3108"/>
      <c r="U337" s="3108"/>
      <c r="V337" s="3108"/>
      <c r="W337" s="3108"/>
      <c r="X337" s="2345"/>
      <c r="Y337" s="3110">
        <f>+Y338+Y339</f>
        <v>14000</v>
      </c>
      <c r="Z337" s="3441"/>
      <c r="AA337" s="427"/>
      <c r="AB337" s="427"/>
      <c r="AC337" s="192"/>
    </row>
    <row r="338" spans="1:29" s="191" customFormat="1" ht="22.5" customHeight="1">
      <c r="A338" s="2302"/>
      <c r="B338" s="2129"/>
      <c r="C338" s="564"/>
      <c r="D338" s="2020"/>
      <c r="E338" s="2013"/>
      <c r="F338" s="3292"/>
      <c r="G338" s="2031"/>
      <c r="H338" s="658"/>
      <c r="I338" s="543"/>
      <c r="J338" s="3591" t="s">
        <v>5246</v>
      </c>
      <c r="K338" s="3592"/>
      <c r="L338" s="3592"/>
      <c r="M338" s="3592"/>
      <c r="N338" s="3592"/>
      <c r="O338" s="3592"/>
      <c r="P338" s="3592"/>
      <c r="Q338" s="3108"/>
      <c r="R338" s="3108"/>
      <c r="S338" s="3108">
        <v>4000000</v>
      </c>
      <c r="T338" s="3108" t="s">
        <v>5135</v>
      </c>
      <c r="U338" s="3108"/>
      <c r="V338" s="3108">
        <v>1</v>
      </c>
      <c r="W338" s="3108" t="s">
        <v>5105</v>
      </c>
      <c r="X338" s="2345" t="s">
        <v>5100</v>
      </c>
      <c r="Y338" s="3110">
        <f>S338*V338/1000</f>
        <v>4000</v>
      </c>
      <c r="Z338" s="3441"/>
      <c r="AA338" s="427"/>
      <c r="AB338" s="427"/>
      <c r="AC338" s="192"/>
    </row>
    <row r="339" spans="1:29" s="191" customFormat="1" ht="22.5" customHeight="1">
      <c r="A339" s="2302"/>
      <c r="B339" s="2129"/>
      <c r="C339" s="564"/>
      <c r="D339" s="2020"/>
      <c r="E339" s="2013"/>
      <c r="F339" s="3292"/>
      <c r="G339" s="2031"/>
      <c r="H339" s="2346"/>
      <c r="I339" s="543"/>
      <c r="J339" s="3591" t="s">
        <v>5247</v>
      </c>
      <c r="K339" s="3592"/>
      <c r="L339" s="3592"/>
      <c r="M339" s="3592"/>
      <c r="N339" s="3592"/>
      <c r="O339" s="3592"/>
      <c r="P339" s="3592"/>
      <c r="Q339" s="3108"/>
      <c r="R339" s="3108"/>
      <c r="S339" s="3108">
        <v>10000000</v>
      </c>
      <c r="T339" s="3108" t="s">
        <v>5135</v>
      </c>
      <c r="U339" s="3108"/>
      <c r="V339" s="3108">
        <v>1</v>
      </c>
      <c r="W339" s="3108" t="s">
        <v>5105</v>
      </c>
      <c r="X339" s="2345" t="s">
        <v>5100</v>
      </c>
      <c r="Y339" s="3110">
        <f>S339*V339/1000</f>
        <v>10000</v>
      </c>
      <c r="Z339" s="3441"/>
      <c r="AA339" s="427"/>
      <c r="AB339" s="427"/>
      <c r="AC339" s="192"/>
    </row>
    <row r="340" spans="1:29" s="191" customFormat="1" ht="22.5" customHeight="1">
      <c r="A340" s="2302"/>
      <c r="B340" s="2129"/>
      <c r="C340" s="564"/>
      <c r="D340" s="2020"/>
      <c r="E340" s="2013" t="s">
        <v>14</v>
      </c>
      <c r="F340" s="2016">
        <f t="shared" ref="F340" si="62">Y340</f>
        <v>4000</v>
      </c>
      <c r="G340" s="2031">
        <v>4000</v>
      </c>
      <c r="H340" s="2346"/>
      <c r="I340" s="543"/>
      <c r="J340" s="3591" t="s">
        <v>5248</v>
      </c>
      <c r="K340" s="3592"/>
      <c r="L340" s="3592"/>
      <c r="M340" s="3592"/>
      <c r="N340" s="3592"/>
      <c r="O340" s="3592"/>
      <c r="P340" s="3592"/>
      <c r="Q340" s="3108">
        <v>10</v>
      </c>
      <c r="R340" s="3108" t="s">
        <v>5148</v>
      </c>
      <c r="S340" s="3108">
        <v>20000</v>
      </c>
      <c r="T340" s="3108" t="s">
        <v>5135</v>
      </c>
      <c r="U340" s="3108"/>
      <c r="V340" s="3108">
        <v>20</v>
      </c>
      <c r="W340" s="3108" t="s">
        <v>5105</v>
      </c>
      <c r="X340" s="2345" t="s">
        <v>5100</v>
      </c>
      <c r="Y340" s="3110">
        <f>Q340*S340*V340/1000</f>
        <v>4000</v>
      </c>
      <c r="Z340" s="3441"/>
      <c r="AA340" s="427"/>
      <c r="AB340" s="427"/>
      <c r="AC340" s="192"/>
    </row>
    <row r="341" spans="1:29" s="191" customFormat="1" ht="22.5" customHeight="1">
      <c r="A341" s="2302"/>
      <c r="B341" s="2129"/>
      <c r="C341" s="564"/>
      <c r="D341" s="2020"/>
      <c r="E341" s="493" t="s">
        <v>22</v>
      </c>
      <c r="F341" s="2016">
        <f t="shared" ref="F341:F343" si="63">Y341</f>
        <v>3500</v>
      </c>
      <c r="G341" s="2031">
        <v>0</v>
      </c>
      <c r="H341" s="990">
        <f t="shared" ref="H341" si="64">F341-G341</f>
        <v>3500</v>
      </c>
      <c r="I341" s="543"/>
      <c r="J341" s="3591" t="s">
        <v>5249</v>
      </c>
      <c r="K341" s="3592"/>
      <c r="L341" s="3592"/>
      <c r="M341" s="3592"/>
      <c r="N341" s="3592"/>
      <c r="O341" s="3592"/>
      <c r="P341" s="3592"/>
      <c r="Q341" s="3108"/>
      <c r="R341" s="3108"/>
      <c r="S341" s="3108">
        <v>3500000</v>
      </c>
      <c r="T341" s="3108" t="s">
        <v>5135</v>
      </c>
      <c r="U341" s="3108"/>
      <c r="V341" s="3108">
        <v>1</v>
      </c>
      <c r="W341" s="3108" t="s">
        <v>5105</v>
      </c>
      <c r="X341" s="2345" t="s">
        <v>5100</v>
      </c>
      <c r="Y341" s="3110">
        <v>3500</v>
      </c>
      <c r="Z341" s="3441"/>
      <c r="AA341" s="427"/>
      <c r="AB341" s="427"/>
      <c r="AC341" s="192"/>
    </row>
    <row r="342" spans="1:29" s="191" customFormat="1" ht="22.5" customHeight="1">
      <c r="A342" s="2302"/>
      <c r="B342" s="2129"/>
      <c r="C342" s="564"/>
      <c r="D342" s="3825" t="s">
        <v>2067</v>
      </c>
      <c r="E342" s="3826"/>
      <c r="F342" s="528">
        <f>SUM(F343:F356)</f>
        <v>120000</v>
      </c>
      <c r="G342" s="528">
        <f>SUM(G343:G356)</f>
        <v>120000</v>
      </c>
      <c r="H342" s="529">
        <f t="shared" ref="H342" si="65">F342-G342</f>
        <v>0</v>
      </c>
      <c r="I342" s="543"/>
      <c r="J342" s="538"/>
      <c r="K342" s="2068"/>
      <c r="L342" s="2068"/>
      <c r="M342" s="2068"/>
      <c r="N342" s="2068"/>
      <c r="O342" s="2068"/>
      <c r="P342" s="2068"/>
      <c r="Q342" s="2068"/>
      <c r="R342" s="539"/>
      <c r="S342" s="2068"/>
      <c r="T342" s="2068"/>
      <c r="U342" s="2068"/>
      <c r="V342" s="2068"/>
      <c r="W342" s="2068"/>
      <c r="X342" s="585"/>
      <c r="Y342" s="2124"/>
      <c r="Z342" s="1898"/>
      <c r="AA342" s="427"/>
      <c r="AB342" s="427"/>
      <c r="AC342" s="192"/>
    </row>
    <row r="343" spans="1:29" s="191" customFormat="1" ht="22.5" customHeight="1">
      <c r="A343" s="2302"/>
      <c r="B343" s="2129"/>
      <c r="C343" s="542"/>
      <c r="D343" s="624"/>
      <c r="E343" s="2013" t="s">
        <v>975</v>
      </c>
      <c r="F343" s="2016">
        <f t="shared" si="63"/>
        <v>2000</v>
      </c>
      <c r="G343" s="2031">
        <v>2000</v>
      </c>
      <c r="H343" s="658"/>
      <c r="I343" s="543"/>
      <c r="J343" s="2344" t="s">
        <v>2068</v>
      </c>
      <c r="K343" s="474"/>
      <c r="L343" s="474"/>
      <c r="M343" s="474"/>
      <c r="N343" s="474"/>
      <c r="O343" s="474"/>
      <c r="P343" s="474"/>
      <c r="Q343" s="474"/>
      <c r="R343" s="474"/>
      <c r="S343" s="474">
        <v>2000000</v>
      </c>
      <c r="T343" s="474" t="s">
        <v>2059</v>
      </c>
      <c r="U343" s="474"/>
      <c r="V343" s="474">
        <v>1</v>
      </c>
      <c r="W343" s="474" t="s">
        <v>938</v>
      </c>
      <c r="X343" s="2345" t="s">
        <v>2060</v>
      </c>
      <c r="Y343" s="483">
        <f>S343*V343/1000</f>
        <v>2000</v>
      </c>
      <c r="Z343" s="1898"/>
      <c r="AA343" s="427"/>
      <c r="AB343" s="427"/>
      <c r="AC343" s="192"/>
    </row>
    <row r="344" spans="1:29" s="191" customFormat="1" ht="22.5" customHeight="1">
      <c r="A344" s="2302"/>
      <c r="B344" s="2129"/>
      <c r="C344" s="542"/>
      <c r="D344" s="624"/>
      <c r="E344" s="588" t="s">
        <v>2069</v>
      </c>
      <c r="F344" s="2031">
        <f>Y344</f>
        <v>1200</v>
      </c>
      <c r="G344" s="2031">
        <v>1200</v>
      </c>
      <c r="H344" s="658"/>
      <c r="I344" s="543"/>
      <c r="J344" s="2344" t="s">
        <v>2070</v>
      </c>
      <c r="K344" s="474"/>
      <c r="L344" s="474"/>
      <c r="M344" s="474"/>
      <c r="N344" s="474"/>
      <c r="O344" s="474"/>
      <c r="P344" s="474"/>
      <c r="Q344" s="474"/>
      <c r="R344" s="474"/>
      <c r="S344" s="474">
        <v>2000</v>
      </c>
      <c r="T344" s="474" t="s">
        <v>2059</v>
      </c>
      <c r="U344" s="474"/>
      <c r="V344" s="474">
        <v>600</v>
      </c>
      <c r="W344" s="474" t="s">
        <v>785</v>
      </c>
      <c r="X344" s="2345" t="s">
        <v>2060</v>
      </c>
      <c r="Y344" s="483">
        <f>S344*V344/1000</f>
        <v>1200</v>
      </c>
      <c r="Z344" s="1898"/>
      <c r="AA344" s="427"/>
      <c r="AB344" s="427"/>
      <c r="AC344" s="192"/>
    </row>
    <row r="345" spans="1:29" s="191" customFormat="1" ht="22.5" customHeight="1">
      <c r="A345" s="2302"/>
      <c r="B345" s="2129"/>
      <c r="C345" s="542"/>
      <c r="D345" s="624"/>
      <c r="E345" s="588" t="s">
        <v>792</v>
      </c>
      <c r="F345" s="2031">
        <f>Y345</f>
        <v>500</v>
      </c>
      <c r="G345" s="2031">
        <v>500</v>
      </c>
      <c r="H345" s="658"/>
      <c r="I345" s="543"/>
      <c r="J345" s="2344" t="s">
        <v>2071</v>
      </c>
      <c r="K345" s="474"/>
      <c r="L345" s="474"/>
      <c r="M345" s="474"/>
      <c r="N345" s="474"/>
      <c r="O345" s="474"/>
      <c r="P345" s="474"/>
      <c r="Q345" s="474"/>
      <c r="R345" s="474"/>
      <c r="S345" s="474">
        <v>500000</v>
      </c>
      <c r="T345" s="474" t="s">
        <v>2059</v>
      </c>
      <c r="U345" s="474"/>
      <c r="V345" s="474">
        <v>1</v>
      </c>
      <c r="W345" s="474" t="s">
        <v>938</v>
      </c>
      <c r="X345" s="2345" t="s">
        <v>2060</v>
      </c>
      <c r="Y345" s="483">
        <f>S345*V345/1000</f>
        <v>500</v>
      </c>
      <c r="Z345" s="1898"/>
      <c r="AA345" s="427"/>
      <c r="AB345" s="427"/>
      <c r="AC345" s="192"/>
    </row>
    <row r="346" spans="1:29" s="191" customFormat="1" ht="22.5" customHeight="1">
      <c r="A346" s="2302"/>
      <c r="B346" s="2129"/>
      <c r="C346" s="564"/>
      <c r="D346" s="2020"/>
      <c r="E346" s="2013" t="s">
        <v>928</v>
      </c>
      <c r="F346" s="2016">
        <f t="shared" ref="F346" si="66">Y346</f>
        <v>900</v>
      </c>
      <c r="G346" s="2031">
        <v>900</v>
      </c>
      <c r="H346" s="658"/>
      <c r="I346" s="543"/>
      <c r="J346" s="2344" t="s">
        <v>776</v>
      </c>
      <c r="K346" s="474"/>
      <c r="L346" s="474"/>
      <c r="M346" s="474"/>
      <c r="N346" s="474"/>
      <c r="O346" s="474"/>
      <c r="P346" s="474"/>
      <c r="Q346" s="474">
        <v>2</v>
      </c>
      <c r="R346" s="474" t="s">
        <v>3389</v>
      </c>
      <c r="S346" s="474">
        <v>15000</v>
      </c>
      <c r="T346" s="474" t="s">
        <v>2059</v>
      </c>
      <c r="U346" s="474"/>
      <c r="V346" s="474">
        <v>30</v>
      </c>
      <c r="W346" s="474" t="s">
        <v>938</v>
      </c>
      <c r="X346" s="2345" t="s">
        <v>2060</v>
      </c>
      <c r="Y346" s="483">
        <f>Q346*S346*V346/1000</f>
        <v>900</v>
      </c>
      <c r="Z346" s="1898"/>
      <c r="AA346" s="427"/>
      <c r="AB346" s="427"/>
      <c r="AC346" s="192"/>
    </row>
    <row r="347" spans="1:29" s="191" customFormat="1" ht="22.5" customHeight="1">
      <c r="A347" s="2302"/>
      <c r="B347" s="2129"/>
      <c r="C347" s="473"/>
      <c r="D347" s="2020"/>
      <c r="E347" s="588" t="s">
        <v>2072</v>
      </c>
      <c r="F347" s="2031">
        <f>Y347</f>
        <v>4500</v>
      </c>
      <c r="G347" s="2031">
        <v>4500</v>
      </c>
      <c r="H347" s="658"/>
      <c r="I347" s="543"/>
      <c r="J347" s="2079" t="s">
        <v>2073</v>
      </c>
      <c r="K347" s="2080"/>
      <c r="L347" s="2080"/>
      <c r="M347" s="2080"/>
      <c r="N347" s="2080"/>
      <c r="O347" s="2080"/>
      <c r="P347" s="2080"/>
      <c r="Q347" s="474">
        <v>2</v>
      </c>
      <c r="R347" s="474" t="s">
        <v>3389</v>
      </c>
      <c r="S347" s="474">
        <v>150000</v>
      </c>
      <c r="T347" s="474" t="s">
        <v>2059</v>
      </c>
      <c r="U347" s="474"/>
      <c r="V347" s="474">
        <v>15</v>
      </c>
      <c r="W347" s="474" t="s">
        <v>938</v>
      </c>
      <c r="X347" s="2345" t="s">
        <v>2060</v>
      </c>
      <c r="Y347" s="483">
        <f>Q347*S347*V347/1000</f>
        <v>4500</v>
      </c>
      <c r="Z347" s="1898"/>
      <c r="AA347" s="427"/>
      <c r="AB347" s="427"/>
      <c r="AC347" s="192"/>
    </row>
    <row r="348" spans="1:29" s="191" customFormat="1" ht="22.5" customHeight="1">
      <c r="A348" s="2302"/>
      <c r="B348" s="2129"/>
      <c r="C348" s="542"/>
      <c r="D348" s="624"/>
      <c r="E348" s="2013" t="s">
        <v>2074</v>
      </c>
      <c r="F348" s="2016">
        <f>Y348</f>
        <v>11250</v>
      </c>
      <c r="G348" s="2031">
        <v>11250</v>
      </c>
      <c r="H348" s="658"/>
      <c r="I348" s="543"/>
      <c r="J348" s="2344" t="s">
        <v>2075</v>
      </c>
      <c r="K348" s="474"/>
      <c r="L348" s="474"/>
      <c r="M348" s="474"/>
      <c r="N348" s="474"/>
      <c r="O348" s="474"/>
      <c r="P348" s="474"/>
      <c r="Q348" s="474"/>
      <c r="R348" s="474"/>
      <c r="S348" s="474">
        <v>450000</v>
      </c>
      <c r="T348" s="474" t="s">
        <v>2059</v>
      </c>
      <c r="U348" s="474"/>
      <c r="V348" s="474">
        <v>25</v>
      </c>
      <c r="W348" s="474" t="s">
        <v>2056</v>
      </c>
      <c r="X348" s="2345" t="s">
        <v>2060</v>
      </c>
      <c r="Y348" s="483">
        <f>S348*V348/1000</f>
        <v>11250</v>
      </c>
      <c r="Z348" s="1898"/>
      <c r="AA348" s="427"/>
      <c r="AB348" s="427"/>
      <c r="AC348" s="192"/>
    </row>
    <row r="349" spans="1:29" s="191" customFormat="1" ht="22.5" customHeight="1">
      <c r="A349" s="2302"/>
      <c r="B349" s="2129"/>
      <c r="C349" s="542"/>
      <c r="D349" s="624"/>
      <c r="E349" s="2013" t="s">
        <v>1098</v>
      </c>
      <c r="F349" s="2016">
        <f t="shared" ref="F349" si="67">Y349</f>
        <v>85000</v>
      </c>
      <c r="G349" s="2031">
        <v>85000</v>
      </c>
      <c r="H349" s="658"/>
      <c r="I349" s="543"/>
      <c r="J349" s="2344" t="s">
        <v>768</v>
      </c>
      <c r="K349" s="474"/>
      <c r="L349" s="474"/>
      <c r="M349" s="474"/>
      <c r="N349" s="474"/>
      <c r="O349" s="474"/>
      <c r="P349" s="474"/>
      <c r="Q349" s="474"/>
      <c r="R349" s="474"/>
      <c r="S349" s="474"/>
      <c r="T349" s="474"/>
      <c r="U349" s="474"/>
      <c r="V349" s="474"/>
      <c r="W349" s="474"/>
      <c r="X349" s="2345"/>
      <c r="Y349" s="483">
        <f>+Y350+Y351</f>
        <v>85000</v>
      </c>
      <c r="Z349" s="1898"/>
      <c r="AA349" s="427"/>
      <c r="AB349" s="427"/>
      <c r="AC349" s="192"/>
    </row>
    <row r="350" spans="1:29" s="191" customFormat="1" ht="22.5" customHeight="1">
      <c r="A350" s="2302"/>
      <c r="B350" s="2129"/>
      <c r="C350" s="542"/>
      <c r="D350" s="624"/>
      <c r="E350" s="2347"/>
      <c r="F350" s="2016"/>
      <c r="G350" s="2031"/>
      <c r="H350" s="658"/>
      <c r="I350" s="543"/>
      <c r="J350" s="2344" t="s">
        <v>2076</v>
      </c>
      <c r="K350" s="474"/>
      <c r="L350" s="474"/>
      <c r="M350" s="474"/>
      <c r="N350" s="474"/>
      <c r="O350" s="474"/>
      <c r="P350" s="474"/>
      <c r="Q350" s="474"/>
      <c r="R350" s="474"/>
      <c r="S350" s="474">
        <v>75000000</v>
      </c>
      <c r="T350" s="474" t="s">
        <v>2059</v>
      </c>
      <c r="U350" s="474"/>
      <c r="V350" s="474">
        <v>1</v>
      </c>
      <c r="W350" s="474" t="s">
        <v>938</v>
      </c>
      <c r="X350" s="2345" t="s">
        <v>2060</v>
      </c>
      <c r="Y350" s="483">
        <f>S350*V350/1000</f>
        <v>75000</v>
      </c>
      <c r="Z350" s="1898"/>
      <c r="AA350" s="427"/>
      <c r="AB350" s="427"/>
      <c r="AC350" s="192"/>
    </row>
    <row r="351" spans="1:29" s="191" customFormat="1" ht="22.5" customHeight="1">
      <c r="A351" s="2302"/>
      <c r="B351" s="2129"/>
      <c r="C351" s="564"/>
      <c r="D351" s="2020"/>
      <c r="E351" s="2013"/>
      <c r="F351" s="2016"/>
      <c r="G351" s="2031"/>
      <c r="H351" s="658"/>
      <c r="I351" s="543"/>
      <c r="J351" s="2344" t="s">
        <v>2077</v>
      </c>
      <c r="K351" s="474"/>
      <c r="L351" s="474"/>
      <c r="M351" s="474"/>
      <c r="N351" s="474"/>
      <c r="O351" s="474"/>
      <c r="P351" s="474"/>
      <c r="Q351" s="474"/>
      <c r="R351" s="474"/>
      <c r="S351" s="474">
        <v>10000000</v>
      </c>
      <c r="T351" s="474" t="s">
        <v>2059</v>
      </c>
      <c r="U351" s="474"/>
      <c r="V351" s="474">
        <v>1</v>
      </c>
      <c r="W351" s="474" t="s">
        <v>901</v>
      </c>
      <c r="X351" s="2345" t="s">
        <v>2060</v>
      </c>
      <c r="Y351" s="483">
        <f>S351*V351/1000</f>
        <v>10000</v>
      </c>
      <c r="Z351" s="1898"/>
      <c r="AA351" s="427"/>
      <c r="AB351" s="427"/>
      <c r="AC351" s="192"/>
    </row>
    <row r="352" spans="1:29" s="191" customFormat="1" ht="22.5" customHeight="1">
      <c r="A352" s="2302"/>
      <c r="B352" s="2129"/>
      <c r="C352" s="473"/>
      <c r="D352" s="2020"/>
      <c r="E352" s="588" t="s">
        <v>2078</v>
      </c>
      <c r="F352" s="2031">
        <f>Y352</f>
        <v>300</v>
      </c>
      <c r="G352" s="2031">
        <v>300</v>
      </c>
      <c r="H352" s="658"/>
      <c r="I352" s="543"/>
      <c r="J352" s="2079" t="s">
        <v>2079</v>
      </c>
      <c r="K352" s="2080"/>
      <c r="L352" s="2080"/>
      <c r="M352" s="2080"/>
      <c r="N352" s="2080"/>
      <c r="O352" s="2080"/>
      <c r="P352" s="2080"/>
      <c r="Q352" s="474"/>
      <c r="R352" s="474"/>
      <c r="S352" s="474">
        <v>3000</v>
      </c>
      <c r="T352" s="474" t="s">
        <v>2059</v>
      </c>
      <c r="U352" s="474"/>
      <c r="V352" s="474">
        <v>100</v>
      </c>
      <c r="W352" s="474" t="s">
        <v>2080</v>
      </c>
      <c r="X352" s="2345" t="s">
        <v>2060</v>
      </c>
      <c r="Y352" s="483">
        <f>S352*V352/1000</f>
        <v>300</v>
      </c>
      <c r="Z352" s="1898"/>
      <c r="AA352" s="427"/>
      <c r="AB352" s="427"/>
      <c r="AC352" s="192"/>
    </row>
    <row r="353" spans="1:29" s="191" customFormat="1" ht="22.5" customHeight="1">
      <c r="A353" s="2302"/>
      <c r="B353" s="2129"/>
      <c r="C353" s="564"/>
      <c r="D353" s="2020"/>
      <c r="E353" s="2050" t="s">
        <v>943</v>
      </c>
      <c r="F353" s="2031">
        <f>Y353</f>
        <v>13350</v>
      </c>
      <c r="G353" s="2031">
        <v>13350</v>
      </c>
      <c r="H353" s="658"/>
      <c r="I353" s="543"/>
      <c r="J353" s="2079" t="s">
        <v>768</v>
      </c>
      <c r="K353" s="2080"/>
      <c r="L353" s="2080"/>
      <c r="M353" s="2080"/>
      <c r="N353" s="2080"/>
      <c r="O353" s="2080"/>
      <c r="P353" s="2080"/>
      <c r="Q353" s="474"/>
      <c r="R353" s="474"/>
      <c r="S353" s="474"/>
      <c r="T353" s="474"/>
      <c r="U353" s="474"/>
      <c r="V353" s="474"/>
      <c r="W353" s="474"/>
      <c r="X353" s="2345"/>
      <c r="Y353" s="483">
        <f>+Y354+Y355</f>
        <v>13350</v>
      </c>
      <c r="Z353" s="1898"/>
      <c r="AA353" s="427"/>
      <c r="AB353" s="427"/>
      <c r="AC353" s="192"/>
    </row>
    <row r="354" spans="1:29" s="191" customFormat="1" ht="22.5" customHeight="1">
      <c r="A354" s="2302"/>
      <c r="B354" s="2129"/>
      <c r="C354" s="564"/>
      <c r="D354" s="2020"/>
      <c r="E354" s="2050"/>
      <c r="F354" s="2031"/>
      <c r="G354" s="2031"/>
      <c r="H354" s="2346"/>
      <c r="I354" s="543"/>
      <c r="J354" s="2079" t="s">
        <v>2081</v>
      </c>
      <c r="K354" s="2080"/>
      <c r="L354" s="2080"/>
      <c r="M354" s="2080"/>
      <c r="N354" s="2080"/>
      <c r="O354" s="2080"/>
      <c r="P354" s="2080"/>
      <c r="Q354" s="474"/>
      <c r="R354" s="474"/>
      <c r="S354" s="474">
        <v>400000</v>
      </c>
      <c r="T354" s="474" t="s">
        <v>37</v>
      </c>
      <c r="U354" s="474"/>
      <c r="V354" s="474">
        <v>25</v>
      </c>
      <c r="W354" s="474" t="s">
        <v>39</v>
      </c>
      <c r="X354" s="2345" t="s">
        <v>38</v>
      </c>
      <c r="Y354" s="483">
        <f>S354*V354/1000</f>
        <v>10000</v>
      </c>
      <c r="Z354" s="1898"/>
      <c r="AA354" s="427"/>
      <c r="AB354" s="427"/>
      <c r="AC354" s="192"/>
    </row>
    <row r="355" spans="1:29" s="191" customFormat="1" ht="22.5" customHeight="1">
      <c r="A355" s="2302"/>
      <c r="B355" s="2129"/>
      <c r="C355" s="564"/>
      <c r="D355" s="2020"/>
      <c r="E355" s="2050"/>
      <c r="F355" s="2031"/>
      <c r="G355" s="2031"/>
      <c r="H355" s="2346"/>
      <c r="I355" s="543"/>
      <c r="J355" s="2079" t="s">
        <v>2082</v>
      </c>
      <c r="K355" s="2080"/>
      <c r="L355" s="2080"/>
      <c r="M355" s="2080"/>
      <c r="N355" s="2080"/>
      <c r="O355" s="2080"/>
      <c r="P355" s="2080"/>
      <c r="Q355" s="474"/>
      <c r="R355" s="474"/>
      <c r="S355" s="474">
        <v>3350000</v>
      </c>
      <c r="T355" s="474" t="s">
        <v>37</v>
      </c>
      <c r="U355" s="474"/>
      <c r="V355" s="474">
        <v>1</v>
      </c>
      <c r="W355" s="474" t="s">
        <v>39</v>
      </c>
      <c r="X355" s="2345" t="s">
        <v>38</v>
      </c>
      <c r="Y355" s="483">
        <f>S355*V355/1000</f>
        <v>3350</v>
      </c>
      <c r="Z355" s="1898"/>
      <c r="AA355" s="427"/>
      <c r="AB355" s="427"/>
      <c r="AC355" s="192"/>
    </row>
    <row r="356" spans="1:29" s="191" customFormat="1" ht="22.5" customHeight="1">
      <c r="A356" s="2302"/>
      <c r="B356" s="2129"/>
      <c r="C356" s="564"/>
      <c r="D356" s="2020"/>
      <c r="E356" s="2050" t="s">
        <v>942</v>
      </c>
      <c r="F356" s="2031">
        <f>Y356</f>
        <v>1000</v>
      </c>
      <c r="G356" s="2031">
        <v>1000</v>
      </c>
      <c r="H356" s="658"/>
      <c r="I356" s="543"/>
      <c r="J356" s="2079" t="s">
        <v>2066</v>
      </c>
      <c r="K356" s="2080"/>
      <c r="L356" s="2080"/>
      <c r="M356" s="2080"/>
      <c r="N356" s="2080"/>
      <c r="O356" s="2080"/>
      <c r="P356" s="2080"/>
      <c r="Q356" s="474">
        <v>10</v>
      </c>
      <c r="R356" s="474" t="s">
        <v>3389</v>
      </c>
      <c r="S356" s="474">
        <v>20000</v>
      </c>
      <c r="T356" s="474" t="s">
        <v>37</v>
      </c>
      <c r="U356" s="474"/>
      <c r="V356" s="474">
        <v>5</v>
      </c>
      <c r="W356" s="474" t="s">
        <v>39</v>
      </c>
      <c r="X356" s="2345" t="s">
        <v>38</v>
      </c>
      <c r="Y356" s="483">
        <f>Q356*S356*V356/1000</f>
        <v>1000</v>
      </c>
      <c r="Z356" s="1898"/>
      <c r="AA356" s="427"/>
      <c r="AB356" s="427"/>
      <c r="AC356" s="192"/>
    </row>
    <row r="357" spans="1:29" s="191" customFormat="1" ht="22.5" customHeight="1">
      <c r="A357" s="2302"/>
      <c r="B357" s="2129"/>
      <c r="C357" s="564"/>
      <c r="D357" s="3825" t="s">
        <v>2083</v>
      </c>
      <c r="E357" s="3826"/>
      <c r="F357" s="528">
        <f>SUM(F358:F373)</f>
        <v>250000</v>
      </c>
      <c r="G357" s="528">
        <f>SUM(G358:G373)</f>
        <v>250000</v>
      </c>
      <c r="H357" s="529">
        <f>F357-G357</f>
        <v>0</v>
      </c>
      <c r="I357" s="543"/>
      <c r="J357" s="538"/>
      <c r="K357" s="2068"/>
      <c r="L357" s="2068"/>
      <c r="M357" s="2068"/>
      <c r="N357" s="2068"/>
      <c r="O357" s="2068"/>
      <c r="P357" s="2068"/>
      <c r="Q357" s="2068"/>
      <c r="R357" s="539"/>
      <c r="S357" s="2068"/>
      <c r="T357" s="2068"/>
      <c r="U357" s="2068"/>
      <c r="V357" s="2068"/>
      <c r="W357" s="2068"/>
      <c r="X357" s="585"/>
      <c r="Y357" s="2124"/>
      <c r="Z357" s="1898"/>
      <c r="AA357" s="427"/>
      <c r="AB357" s="427"/>
      <c r="AC357" s="192"/>
    </row>
    <row r="358" spans="1:29" s="191" customFormat="1" ht="22.5" customHeight="1">
      <c r="A358" s="2302"/>
      <c r="B358" s="2129"/>
      <c r="C358" s="564"/>
      <c r="D358" s="2020"/>
      <c r="E358" s="484" t="s">
        <v>964</v>
      </c>
      <c r="F358" s="487">
        <f t="shared" ref="F358:F369" si="68">Y358</f>
        <v>30000</v>
      </c>
      <c r="G358" s="1659">
        <v>30000</v>
      </c>
      <c r="H358" s="658"/>
      <c r="I358" s="543"/>
      <c r="J358" s="2344" t="s">
        <v>771</v>
      </c>
      <c r="K358" s="3108"/>
      <c r="L358" s="3108"/>
      <c r="M358" s="3108"/>
      <c r="N358" s="3108"/>
      <c r="O358" s="3108"/>
      <c r="P358" s="3108"/>
      <c r="Q358" s="3108"/>
      <c r="R358" s="3108"/>
      <c r="S358" s="3108">
        <v>2500000</v>
      </c>
      <c r="T358" s="3108" t="s">
        <v>2059</v>
      </c>
      <c r="U358" s="3108"/>
      <c r="V358" s="3108">
        <v>12</v>
      </c>
      <c r="W358" s="3108" t="s">
        <v>774</v>
      </c>
      <c r="X358" s="2345" t="s">
        <v>2060</v>
      </c>
      <c r="Y358" s="3110">
        <f>S358*V358/1000</f>
        <v>30000</v>
      </c>
      <c r="Z358" s="1898"/>
      <c r="AA358" s="427"/>
      <c r="AB358" s="427"/>
      <c r="AC358" s="192"/>
    </row>
    <row r="359" spans="1:29" s="191" customFormat="1" ht="22.5" customHeight="1">
      <c r="A359" s="2302"/>
      <c r="B359" s="2129"/>
      <c r="C359" s="542"/>
      <c r="D359" s="624"/>
      <c r="E359" s="675" t="s">
        <v>975</v>
      </c>
      <c r="F359" s="2016">
        <f t="shared" si="68"/>
        <v>1000</v>
      </c>
      <c r="G359" s="2031">
        <v>1000</v>
      </c>
      <c r="H359" s="658"/>
      <c r="I359" s="543"/>
      <c r="J359" s="2344" t="s">
        <v>2084</v>
      </c>
      <c r="K359" s="3108"/>
      <c r="L359" s="3108"/>
      <c r="M359" s="3108"/>
      <c r="N359" s="3108"/>
      <c r="O359" s="3108"/>
      <c r="P359" s="3108"/>
      <c r="Q359" s="3108"/>
      <c r="R359" s="3108"/>
      <c r="S359" s="3108">
        <v>20000</v>
      </c>
      <c r="T359" s="3108" t="s">
        <v>2059</v>
      </c>
      <c r="U359" s="3108"/>
      <c r="V359" s="3108">
        <v>50</v>
      </c>
      <c r="W359" s="3108" t="s">
        <v>2085</v>
      </c>
      <c r="X359" s="2345" t="s">
        <v>2060</v>
      </c>
      <c r="Y359" s="3110">
        <f>S359*V359/1000</f>
        <v>1000</v>
      </c>
      <c r="Z359" s="1898"/>
      <c r="AA359" s="427"/>
      <c r="AB359" s="427"/>
      <c r="AC359" s="192"/>
    </row>
    <row r="360" spans="1:29" s="191" customFormat="1" ht="22.5" customHeight="1">
      <c r="A360" s="2302"/>
      <c r="B360" s="2129"/>
      <c r="C360" s="542"/>
      <c r="D360" s="624"/>
      <c r="E360" s="3134" t="s">
        <v>792</v>
      </c>
      <c r="F360" s="2031">
        <f>Y360</f>
        <v>850</v>
      </c>
      <c r="G360" s="2031">
        <v>850</v>
      </c>
      <c r="H360" s="534"/>
      <c r="I360" s="543"/>
      <c r="J360" s="3207" t="s">
        <v>768</v>
      </c>
      <c r="K360" s="3180"/>
      <c r="L360" s="3180"/>
      <c r="M360" s="3180"/>
      <c r="N360" s="3180"/>
      <c r="O360" s="3180"/>
      <c r="P360" s="3180"/>
      <c r="Q360" s="3108"/>
      <c r="R360" s="3108"/>
      <c r="S360" s="3108"/>
      <c r="T360" s="3108"/>
      <c r="U360" s="3108"/>
      <c r="V360" s="3108"/>
      <c r="W360" s="3108"/>
      <c r="X360" s="2345"/>
      <c r="Y360" s="3110">
        <f>+Y361+Y362</f>
        <v>850</v>
      </c>
      <c r="Z360" s="1898"/>
      <c r="AA360" s="427"/>
      <c r="AB360" s="427"/>
      <c r="AC360" s="192"/>
    </row>
    <row r="361" spans="1:29" s="191" customFormat="1" ht="22.5" customHeight="1">
      <c r="A361" s="2302"/>
      <c r="B361" s="2129"/>
      <c r="C361" s="542"/>
      <c r="D361" s="624"/>
      <c r="E361" s="3134"/>
      <c r="F361" s="2031"/>
      <c r="G361" s="2031"/>
      <c r="H361" s="658"/>
      <c r="I361" s="543"/>
      <c r="J361" s="3207" t="s">
        <v>2065</v>
      </c>
      <c r="K361" s="3180"/>
      <c r="L361" s="3180"/>
      <c r="M361" s="3180"/>
      <c r="N361" s="3180"/>
      <c r="O361" s="3180"/>
      <c r="P361" s="3180"/>
      <c r="Q361" s="3108"/>
      <c r="R361" s="3108"/>
      <c r="S361" s="3108">
        <v>350000</v>
      </c>
      <c r="T361" s="3108" t="s">
        <v>37</v>
      </c>
      <c r="U361" s="3108"/>
      <c r="V361" s="3108">
        <v>1</v>
      </c>
      <c r="W361" s="3108" t="s">
        <v>39</v>
      </c>
      <c r="X361" s="2345" t="s">
        <v>38</v>
      </c>
      <c r="Y361" s="3110">
        <f>S361*V361/1000</f>
        <v>350</v>
      </c>
      <c r="Z361" s="1898"/>
      <c r="AA361" s="427"/>
      <c r="AB361" s="427"/>
      <c r="AC361" s="192"/>
    </row>
    <row r="362" spans="1:29" s="191" customFormat="1" ht="22.5" customHeight="1">
      <c r="A362" s="2302"/>
      <c r="B362" s="2129"/>
      <c r="C362" s="542"/>
      <c r="D362" s="624"/>
      <c r="E362" s="3134"/>
      <c r="F362" s="2031"/>
      <c r="G362" s="2031"/>
      <c r="H362" s="658"/>
      <c r="I362" s="543"/>
      <c r="J362" s="3207" t="s">
        <v>2086</v>
      </c>
      <c r="K362" s="3180"/>
      <c r="L362" s="3180"/>
      <c r="M362" s="3180"/>
      <c r="N362" s="3180"/>
      <c r="O362" s="3180"/>
      <c r="P362" s="3180"/>
      <c r="Q362" s="3108"/>
      <c r="R362" s="3108"/>
      <c r="S362" s="3108">
        <v>100000</v>
      </c>
      <c r="T362" s="3108" t="s">
        <v>37</v>
      </c>
      <c r="U362" s="3108"/>
      <c r="V362" s="3108">
        <v>5</v>
      </c>
      <c r="W362" s="3108" t="s">
        <v>39</v>
      </c>
      <c r="X362" s="2345" t="s">
        <v>38</v>
      </c>
      <c r="Y362" s="3110">
        <f>S362*V362/1000</f>
        <v>500</v>
      </c>
      <c r="Z362" s="1898"/>
      <c r="AA362" s="427"/>
      <c r="AB362" s="427"/>
      <c r="AC362" s="192"/>
    </row>
    <row r="363" spans="1:29" s="191" customFormat="1" ht="22.5" customHeight="1">
      <c r="A363" s="2302"/>
      <c r="B363" s="2129"/>
      <c r="C363" s="564"/>
      <c r="D363" s="2020"/>
      <c r="E363" s="675" t="s">
        <v>928</v>
      </c>
      <c r="F363" s="2016">
        <f t="shared" si="68"/>
        <v>400</v>
      </c>
      <c r="G363" s="2031">
        <v>400</v>
      </c>
      <c r="H363" s="534"/>
      <c r="I363" s="543"/>
      <c r="J363" s="2344" t="s">
        <v>776</v>
      </c>
      <c r="K363" s="3108"/>
      <c r="L363" s="3108"/>
      <c r="M363" s="3108"/>
      <c r="N363" s="3108"/>
      <c r="O363" s="3108"/>
      <c r="P363" s="3108"/>
      <c r="Q363" s="3108">
        <v>2</v>
      </c>
      <c r="R363" s="3108" t="s">
        <v>3389</v>
      </c>
      <c r="S363" s="3108">
        <v>20000</v>
      </c>
      <c r="T363" s="3108" t="s">
        <v>2059</v>
      </c>
      <c r="U363" s="3108"/>
      <c r="V363" s="3108">
        <v>10</v>
      </c>
      <c r="W363" s="3108" t="s">
        <v>938</v>
      </c>
      <c r="X363" s="2345" t="s">
        <v>2060</v>
      </c>
      <c r="Y363" s="3110">
        <f>Q363*S363*V363/1000</f>
        <v>400</v>
      </c>
      <c r="Z363" s="1898"/>
      <c r="AA363" s="427"/>
      <c r="AB363" s="427"/>
      <c r="AC363" s="192"/>
    </row>
    <row r="364" spans="1:29" s="191" customFormat="1" ht="22.5" customHeight="1">
      <c r="A364" s="2302"/>
      <c r="B364" s="2129"/>
      <c r="C364" s="564"/>
      <c r="D364" s="2020"/>
      <c r="E364" s="3134" t="s">
        <v>773</v>
      </c>
      <c r="F364" s="2031">
        <f>Y364</f>
        <v>150</v>
      </c>
      <c r="G364" s="2031">
        <v>150</v>
      </c>
      <c r="H364" s="658"/>
      <c r="I364" s="543"/>
      <c r="J364" s="3207" t="s">
        <v>2062</v>
      </c>
      <c r="K364" s="3180"/>
      <c r="L364" s="3180"/>
      <c r="M364" s="3180"/>
      <c r="N364" s="3180"/>
      <c r="O364" s="3180"/>
      <c r="P364" s="3180"/>
      <c r="Q364" s="3108"/>
      <c r="R364" s="3108"/>
      <c r="S364" s="3108">
        <v>30000</v>
      </c>
      <c r="T364" s="3108" t="s">
        <v>37</v>
      </c>
      <c r="U364" s="3108"/>
      <c r="V364" s="3108">
        <v>5</v>
      </c>
      <c r="W364" s="3108" t="s">
        <v>3360</v>
      </c>
      <c r="X364" s="2345" t="s">
        <v>38</v>
      </c>
      <c r="Y364" s="3110">
        <f>S364*V364/1000</f>
        <v>150</v>
      </c>
      <c r="Z364" s="1898"/>
      <c r="AA364" s="427"/>
      <c r="AB364" s="427"/>
      <c r="AC364" s="192"/>
    </row>
    <row r="365" spans="1:29" s="191" customFormat="1" ht="22.5" customHeight="1">
      <c r="A365" s="2302"/>
      <c r="B365" s="2129"/>
      <c r="C365" s="473"/>
      <c r="D365" s="2020"/>
      <c r="E365" s="3134" t="s">
        <v>2072</v>
      </c>
      <c r="F365" s="2031">
        <f>Y365</f>
        <v>2000</v>
      </c>
      <c r="G365" s="2031">
        <v>2000</v>
      </c>
      <c r="H365" s="658"/>
      <c r="I365" s="543"/>
      <c r="J365" s="3207" t="s">
        <v>2087</v>
      </c>
      <c r="K365" s="3180"/>
      <c r="L365" s="3180"/>
      <c r="M365" s="3180"/>
      <c r="N365" s="3180"/>
      <c r="O365" s="3180"/>
      <c r="P365" s="3180"/>
      <c r="Q365" s="3108">
        <v>2</v>
      </c>
      <c r="R365" s="3108" t="s">
        <v>3389</v>
      </c>
      <c r="S365" s="3108">
        <v>200000</v>
      </c>
      <c r="T365" s="3108" t="s">
        <v>2059</v>
      </c>
      <c r="U365" s="3108"/>
      <c r="V365" s="3108">
        <v>5</v>
      </c>
      <c r="W365" s="3108" t="s">
        <v>938</v>
      </c>
      <c r="X365" s="2345" t="s">
        <v>2060</v>
      </c>
      <c r="Y365" s="3110">
        <f>Q365*S365*V365/1000</f>
        <v>2000</v>
      </c>
      <c r="Z365" s="1898"/>
      <c r="AA365" s="427"/>
      <c r="AB365" s="427"/>
      <c r="AC365" s="192"/>
    </row>
    <row r="366" spans="1:29" s="191" customFormat="1" ht="22.5" customHeight="1">
      <c r="A366" s="2302"/>
      <c r="B366" s="2129"/>
      <c r="C366" s="542"/>
      <c r="D366" s="624"/>
      <c r="E366" s="675" t="s">
        <v>2529</v>
      </c>
      <c r="F366" s="2016">
        <f>Y366</f>
        <v>32700</v>
      </c>
      <c r="G366" s="2031">
        <v>32700</v>
      </c>
      <c r="H366" s="534"/>
      <c r="I366" s="543"/>
      <c r="J366" s="3207" t="s">
        <v>768</v>
      </c>
      <c r="K366" s="3180"/>
      <c r="L366" s="3180"/>
      <c r="M366" s="3180"/>
      <c r="N366" s="3180"/>
      <c r="O366" s="3180"/>
      <c r="P366" s="3180"/>
      <c r="Q366" s="3108"/>
      <c r="R366" s="3108"/>
      <c r="S366" s="3108"/>
      <c r="T366" s="3108"/>
      <c r="U366" s="3108"/>
      <c r="V366" s="3108"/>
      <c r="W366" s="3108"/>
      <c r="X366" s="2345"/>
      <c r="Y366" s="3110">
        <f>+Y367+Y368</f>
        <v>32700</v>
      </c>
      <c r="Z366" s="1898"/>
      <c r="AA366" s="427"/>
      <c r="AB366" s="427"/>
      <c r="AC366" s="192"/>
    </row>
    <row r="367" spans="1:29" s="191" customFormat="1" ht="22.5" customHeight="1">
      <c r="A367" s="2302"/>
      <c r="B367" s="2129"/>
      <c r="C367" s="542"/>
      <c r="D367" s="624"/>
      <c r="E367" s="675"/>
      <c r="F367" s="2016"/>
      <c r="G367" s="2031"/>
      <c r="H367" s="658"/>
      <c r="I367" s="543"/>
      <c r="J367" s="2344" t="s">
        <v>2088</v>
      </c>
      <c r="K367" s="3108"/>
      <c r="L367" s="3108"/>
      <c r="M367" s="3108"/>
      <c r="N367" s="3108"/>
      <c r="O367" s="3108"/>
      <c r="P367" s="3108"/>
      <c r="Q367" s="3108"/>
      <c r="R367" s="3108"/>
      <c r="S367" s="3108">
        <v>100000</v>
      </c>
      <c r="T367" s="3108" t="s">
        <v>2059</v>
      </c>
      <c r="U367" s="3108"/>
      <c r="V367" s="3108">
        <v>5</v>
      </c>
      <c r="W367" s="3108" t="s">
        <v>938</v>
      </c>
      <c r="X367" s="2345" t="s">
        <v>2060</v>
      </c>
      <c r="Y367" s="3110">
        <f>S367*V367/1000</f>
        <v>500</v>
      </c>
      <c r="Z367" s="1898"/>
      <c r="AA367" s="427"/>
      <c r="AB367" s="427"/>
      <c r="AC367" s="192"/>
    </row>
    <row r="368" spans="1:29" s="191" customFormat="1" ht="22.5" customHeight="1">
      <c r="A368" s="2302"/>
      <c r="B368" s="2129"/>
      <c r="C368" s="542"/>
      <c r="D368" s="624"/>
      <c r="E368" s="675"/>
      <c r="F368" s="2016"/>
      <c r="G368" s="2031"/>
      <c r="H368" s="658"/>
      <c r="I368" s="543"/>
      <c r="J368" s="2344" t="s">
        <v>2089</v>
      </c>
      <c r="K368" s="3108"/>
      <c r="L368" s="3108"/>
      <c r="M368" s="3108"/>
      <c r="N368" s="3108"/>
      <c r="O368" s="3108"/>
      <c r="P368" s="3108"/>
      <c r="Q368" s="3108"/>
      <c r="R368" s="3108"/>
      <c r="S368" s="3108">
        <v>4600000</v>
      </c>
      <c r="T368" s="3108" t="s">
        <v>2059</v>
      </c>
      <c r="U368" s="3108"/>
      <c r="V368" s="3108">
        <v>7</v>
      </c>
      <c r="W368" s="3108" t="s">
        <v>938</v>
      </c>
      <c r="X368" s="2345" t="s">
        <v>2060</v>
      </c>
      <c r="Y368" s="3110">
        <f>S368*V368/1000</f>
        <v>32200</v>
      </c>
      <c r="Z368" s="1898"/>
      <c r="AA368" s="427"/>
      <c r="AB368" s="427"/>
      <c r="AC368" s="192"/>
    </row>
    <row r="369" spans="1:29" s="191" customFormat="1" ht="22.5" customHeight="1">
      <c r="A369" s="2302"/>
      <c r="B369" s="2129"/>
      <c r="C369" s="542"/>
      <c r="D369" s="624"/>
      <c r="E369" s="675" t="s">
        <v>1098</v>
      </c>
      <c r="F369" s="2016">
        <f t="shared" si="68"/>
        <v>182000</v>
      </c>
      <c r="G369" s="2031">
        <v>182000</v>
      </c>
      <c r="H369" s="534"/>
      <c r="I369" s="543"/>
      <c r="J369" s="2344" t="s">
        <v>768</v>
      </c>
      <c r="K369" s="3108"/>
      <c r="L369" s="3108"/>
      <c r="M369" s="3108"/>
      <c r="N369" s="3108"/>
      <c r="O369" s="3108"/>
      <c r="P369" s="3108"/>
      <c r="Q369" s="3108"/>
      <c r="R369" s="3108"/>
      <c r="S369" s="3108"/>
      <c r="T369" s="3108"/>
      <c r="U369" s="3108"/>
      <c r="V369" s="3108"/>
      <c r="W369" s="3108"/>
      <c r="X369" s="2345"/>
      <c r="Y369" s="3110">
        <f>+Y370+Y371+Y372</f>
        <v>182000</v>
      </c>
      <c r="Z369" s="1898"/>
      <c r="AA369" s="427"/>
      <c r="AB369" s="427"/>
      <c r="AC369" s="192"/>
    </row>
    <row r="370" spans="1:29" s="191" customFormat="1" ht="22.5" customHeight="1">
      <c r="A370" s="2302"/>
      <c r="B370" s="2129"/>
      <c r="C370" s="542"/>
      <c r="D370" s="624"/>
      <c r="E370" s="3262"/>
      <c r="F370" s="2016"/>
      <c r="G370" s="2031"/>
      <c r="H370" s="658"/>
      <c r="I370" s="543"/>
      <c r="J370" s="2344" t="s">
        <v>2090</v>
      </c>
      <c r="K370" s="3108"/>
      <c r="L370" s="3108"/>
      <c r="M370" s="3108"/>
      <c r="N370" s="3108"/>
      <c r="O370" s="3108"/>
      <c r="P370" s="3108"/>
      <c r="Q370" s="3108"/>
      <c r="R370" s="3108"/>
      <c r="S370" s="3108">
        <v>35000000</v>
      </c>
      <c r="T370" s="3108" t="s">
        <v>2059</v>
      </c>
      <c r="U370" s="3108"/>
      <c r="V370" s="3108">
        <v>2</v>
      </c>
      <c r="W370" s="3108" t="s">
        <v>938</v>
      </c>
      <c r="X370" s="2345" t="s">
        <v>2060</v>
      </c>
      <c r="Y370" s="3110">
        <f>S370*V370/1000</f>
        <v>70000</v>
      </c>
      <c r="Z370" s="1898"/>
      <c r="AA370" s="427"/>
      <c r="AB370" s="427"/>
      <c r="AC370" s="192"/>
    </row>
    <row r="371" spans="1:29" s="191" customFormat="1" ht="22.5" customHeight="1">
      <c r="A371" s="2302"/>
      <c r="B371" s="2129"/>
      <c r="C371" s="564"/>
      <c r="D371" s="2020"/>
      <c r="E371" s="675"/>
      <c r="F371" s="2016"/>
      <c r="G371" s="2031"/>
      <c r="H371" s="658"/>
      <c r="I371" s="543"/>
      <c r="J371" s="2344" t="s">
        <v>2091</v>
      </c>
      <c r="K371" s="3108"/>
      <c r="L371" s="3108"/>
      <c r="M371" s="3108"/>
      <c r="N371" s="3108"/>
      <c r="O371" s="3108"/>
      <c r="P371" s="3108"/>
      <c r="Q371" s="3108"/>
      <c r="R371" s="3108"/>
      <c r="S371" s="3108">
        <v>35000000</v>
      </c>
      <c r="T371" s="3108" t="s">
        <v>2059</v>
      </c>
      <c r="U371" s="3108"/>
      <c r="V371" s="3108">
        <v>2</v>
      </c>
      <c r="W371" s="3108" t="s">
        <v>938</v>
      </c>
      <c r="X371" s="2345" t="s">
        <v>2060</v>
      </c>
      <c r="Y371" s="3110">
        <f>S371*V371/1000</f>
        <v>70000</v>
      </c>
      <c r="Z371" s="1898"/>
      <c r="AA371" s="427"/>
      <c r="AB371" s="427"/>
      <c r="AC371" s="192"/>
    </row>
    <row r="372" spans="1:29" s="191" customFormat="1" ht="22.5" customHeight="1">
      <c r="A372" s="2302"/>
      <c r="B372" s="2129"/>
      <c r="C372" s="564"/>
      <c r="D372" s="2020"/>
      <c r="E372" s="675"/>
      <c r="F372" s="2016"/>
      <c r="G372" s="2031"/>
      <c r="H372" s="658"/>
      <c r="I372" s="543"/>
      <c r="J372" s="2344" t="s">
        <v>2092</v>
      </c>
      <c r="K372" s="3108"/>
      <c r="L372" s="3108"/>
      <c r="M372" s="3108"/>
      <c r="N372" s="3108"/>
      <c r="O372" s="3108"/>
      <c r="P372" s="3108"/>
      <c r="Q372" s="3108"/>
      <c r="R372" s="3108"/>
      <c r="S372" s="3108">
        <v>42000000</v>
      </c>
      <c r="T372" s="3108" t="s">
        <v>2059</v>
      </c>
      <c r="U372" s="3108"/>
      <c r="V372" s="3108">
        <v>1</v>
      </c>
      <c r="W372" s="3108" t="s">
        <v>938</v>
      </c>
      <c r="X372" s="2345" t="s">
        <v>2060</v>
      </c>
      <c r="Y372" s="3110">
        <f>S372*V372/1000</f>
        <v>42000</v>
      </c>
      <c r="Z372" s="1898"/>
      <c r="AA372" s="427"/>
      <c r="AB372" s="427"/>
      <c r="AC372" s="192"/>
    </row>
    <row r="373" spans="1:29" s="191" customFormat="1" ht="22.5" customHeight="1">
      <c r="A373" s="2302"/>
      <c r="B373" s="2129"/>
      <c r="C373" s="564"/>
      <c r="D373" s="2020"/>
      <c r="E373" s="692" t="s">
        <v>942</v>
      </c>
      <c r="F373" s="2031">
        <f>Y373</f>
        <v>900</v>
      </c>
      <c r="G373" s="2031">
        <v>900</v>
      </c>
      <c r="H373" s="534"/>
      <c r="I373" s="543"/>
      <c r="J373" s="3207" t="s">
        <v>2066</v>
      </c>
      <c r="K373" s="3180"/>
      <c r="L373" s="3180"/>
      <c r="M373" s="3180"/>
      <c r="N373" s="3180"/>
      <c r="O373" s="3180"/>
      <c r="P373" s="3180"/>
      <c r="Q373" s="3108">
        <v>10</v>
      </c>
      <c r="R373" s="3108" t="s">
        <v>3389</v>
      </c>
      <c r="S373" s="3108">
        <v>15000</v>
      </c>
      <c r="T373" s="3108" t="s">
        <v>37</v>
      </c>
      <c r="U373" s="3108"/>
      <c r="V373" s="3108">
        <v>6</v>
      </c>
      <c r="W373" s="3108" t="s">
        <v>39</v>
      </c>
      <c r="X373" s="2345" t="s">
        <v>38</v>
      </c>
      <c r="Y373" s="3110">
        <f>Q373*S373*V373/1000</f>
        <v>900</v>
      </c>
      <c r="Z373" s="1898"/>
      <c r="AA373" s="427"/>
      <c r="AB373" s="427"/>
      <c r="AC373" s="192"/>
    </row>
    <row r="374" spans="1:29" s="191" customFormat="1" ht="21" customHeight="1">
      <c r="A374" s="2302"/>
      <c r="B374" s="2129"/>
      <c r="C374" s="564"/>
      <c r="D374" s="3825" t="s">
        <v>2093</v>
      </c>
      <c r="E374" s="3826"/>
      <c r="F374" s="528">
        <f>SUM(F375:F377)</f>
        <v>50000</v>
      </c>
      <c r="G374" s="528">
        <f>SUM(G375:G377)</f>
        <v>50000</v>
      </c>
      <c r="H374" s="529">
        <f>F374-G374</f>
        <v>0</v>
      </c>
      <c r="I374" s="543"/>
      <c r="J374" s="538"/>
      <c r="K374" s="2068"/>
      <c r="L374" s="2068"/>
      <c r="M374" s="2068"/>
      <c r="N374" s="2068"/>
      <c r="O374" s="2068"/>
      <c r="P374" s="2068"/>
      <c r="Q374" s="2068"/>
      <c r="R374" s="539"/>
      <c r="S374" s="2068"/>
      <c r="T374" s="2068"/>
      <c r="U374" s="2068"/>
      <c r="V374" s="2068"/>
      <c r="W374" s="2068"/>
      <c r="X374" s="585"/>
      <c r="Y374" s="2124"/>
      <c r="Z374" s="1898"/>
      <c r="AA374" s="427"/>
      <c r="AB374" s="427"/>
      <c r="AC374" s="192"/>
    </row>
    <row r="375" spans="1:29" s="191" customFormat="1" ht="21" customHeight="1">
      <c r="A375" s="2302"/>
      <c r="B375" s="2129"/>
      <c r="C375" s="473"/>
      <c r="D375" s="2020"/>
      <c r="E375" s="588" t="s">
        <v>2072</v>
      </c>
      <c r="F375" s="2031">
        <f>Y375</f>
        <v>1400</v>
      </c>
      <c r="G375" s="2031">
        <v>1400</v>
      </c>
      <c r="H375" s="534"/>
      <c r="I375" s="543"/>
      <c r="J375" s="2079" t="s">
        <v>2094</v>
      </c>
      <c r="K375" s="2080"/>
      <c r="L375" s="2080"/>
      <c r="M375" s="2080"/>
      <c r="N375" s="2080"/>
      <c r="O375" s="2080"/>
      <c r="P375" s="2080"/>
      <c r="Q375" s="474">
        <v>7</v>
      </c>
      <c r="R375" s="474" t="s">
        <v>3389</v>
      </c>
      <c r="S375" s="474">
        <v>200000</v>
      </c>
      <c r="T375" s="474" t="s">
        <v>2059</v>
      </c>
      <c r="U375" s="474"/>
      <c r="V375" s="474">
        <v>1</v>
      </c>
      <c r="W375" s="474" t="s">
        <v>938</v>
      </c>
      <c r="X375" s="2345" t="s">
        <v>2060</v>
      </c>
      <c r="Y375" s="483">
        <f>Q375*S375*V375/1000</f>
        <v>1400</v>
      </c>
      <c r="Z375" s="1898"/>
      <c r="AA375" s="427"/>
      <c r="AB375" s="427"/>
      <c r="AC375" s="192"/>
    </row>
    <row r="376" spans="1:29" s="191" customFormat="1" ht="21" customHeight="1">
      <c r="A376" s="2302"/>
      <c r="B376" s="2129"/>
      <c r="C376" s="542"/>
      <c r="D376" s="624"/>
      <c r="E376" s="2013" t="s">
        <v>1098</v>
      </c>
      <c r="F376" s="2016">
        <f t="shared" ref="F376" si="69">Y376</f>
        <v>47600</v>
      </c>
      <c r="G376" s="2031">
        <v>47600</v>
      </c>
      <c r="H376" s="534"/>
      <c r="I376" s="543"/>
      <c r="J376" s="2344" t="s">
        <v>2095</v>
      </c>
      <c r="K376" s="474"/>
      <c r="L376" s="474"/>
      <c r="M376" s="474"/>
      <c r="N376" s="474"/>
      <c r="O376" s="474"/>
      <c r="P376" s="474"/>
      <c r="Q376" s="474"/>
      <c r="R376" s="474"/>
      <c r="S376" s="474">
        <v>47600000</v>
      </c>
      <c r="T376" s="474" t="s">
        <v>2059</v>
      </c>
      <c r="U376" s="474"/>
      <c r="V376" s="474">
        <v>1</v>
      </c>
      <c r="W376" s="474" t="s">
        <v>901</v>
      </c>
      <c r="X376" s="2345" t="s">
        <v>2060</v>
      </c>
      <c r="Y376" s="483">
        <f>S376*V376/1000</f>
        <v>47600</v>
      </c>
      <c r="Z376" s="1898"/>
      <c r="AA376" s="427"/>
      <c r="AB376" s="427"/>
      <c r="AC376" s="192"/>
    </row>
    <row r="377" spans="1:29" s="191" customFormat="1" ht="21" customHeight="1">
      <c r="A377" s="2302"/>
      <c r="B377" s="2129"/>
      <c r="C377" s="564"/>
      <c r="D377" s="2020"/>
      <c r="E377" s="493" t="s">
        <v>942</v>
      </c>
      <c r="F377" s="2016">
        <f>Y377</f>
        <v>1000</v>
      </c>
      <c r="G377" s="722">
        <v>1000</v>
      </c>
      <c r="H377" s="534"/>
      <c r="I377" s="543"/>
      <c r="J377" s="2344" t="s">
        <v>2096</v>
      </c>
      <c r="K377" s="474"/>
      <c r="L377" s="474"/>
      <c r="M377" s="474"/>
      <c r="N377" s="474"/>
      <c r="O377" s="474"/>
      <c r="P377" s="474"/>
      <c r="Q377" s="474">
        <v>10</v>
      </c>
      <c r="R377" s="474" t="s">
        <v>3389</v>
      </c>
      <c r="S377" s="474">
        <v>20000</v>
      </c>
      <c r="T377" s="474" t="s">
        <v>2059</v>
      </c>
      <c r="U377" s="474"/>
      <c r="V377" s="474">
        <v>5</v>
      </c>
      <c r="W377" s="474" t="s">
        <v>938</v>
      </c>
      <c r="X377" s="2345" t="s">
        <v>2060</v>
      </c>
      <c r="Y377" s="483">
        <f>Q377*S377*V377/1000</f>
        <v>1000</v>
      </c>
      <c r="Z377" s="1898"/>
      <c r="AA377" s="427"/>
      <c r="AB377" s="427"/>
      <c r="AC377" s="192"/>
    </row>
    <row r="378" spans="1:29" s="191" customFormat="1" ht="21" customHeight="1">
      <c r="A378" s="2302"/>
      <c r="B378" s="2129"/>
      <c r="C378" s="564"/>
      <c r="D378" s="3825" t="s">
        <v>777</v>
      </c>
      <c r="E378" s="3826"/>
      <c r="F378" s="528">
        <f>SUM(F379:F388)</f>
        <v>200000</v>
      </c>
      <c r="G378" s="528">
        <f>SUM(G379:G388)</f>
        <v>200000</v>
      </c>
      <c r="H378" s="529">
        <f>F378-G378</f>
        <v>0</v>
      </c>
      <c r="I378" s="543"/>
      <c r="J378" s="538"/>
      <c r="K378" s="2068"/>
      <c r="L378" s="2068"/>
      <c r="M378" s="2068"/>
      <c r="N378" s="2068"/>
      <c r="O378" s="2068"/>
      <c r="P378" s="2068"/>
      <c r="Q378" s="2068"/>
      <c r="R378" s="539"/>
      <c r="S378" s="2068"/>
      <c r="T378" s="2068"/>
      <c r="U378" s="2068"/>
      <c r="V378" s="2068"/>
      <c r="W378" s="2068"/>
      <c r="X378" s="585"/>
      <c r="Y378" s="2124"/>
      <c r="Z378" s="1898"/>
      <c r="AA378" s="427"/>
      <c r="AB378" s="427"/>
      <c r="AC378" s="192"/>
    </row>
    <row r="379" spans="1:29" s="191" customFormat="1" ht="21" customHeight="1">
      <c r="A379" s="2302"/>
      <c r="B379" s="2129"/>
      <c r="C379" s="473"/>
      <c r="D379" s="588"/>
      <c r="E379" s="692" t="s">
        <v>264</v>
      </c>
      <c r="F379" s="678">
        <f>Y379</f>
        <v>2000</v>
      </c>
      <c r="G379" s="678">
        <v>2000</v>
      </c>
      <c r="H379" s="865"/>
      <c r="I379" s="1984"/>
      <c r="J379" s="2231" t="s">
        <v>224</v>
      </c>
      <c r="K379" s="3164"/>
      <c r="L379" s="3164"/>
      <c r="M379" s="3164"/>
      <c r="N379" s="3164"/>
      <c r="O379" s="3164"/>
      <c r="P379" s="3164"/>
      <c r="Q379" s="3164"/>
      <c r="R379" s="3164"/>
      <c r="S379" s="3164"/>
      <c r="T379" s="3164"/>
      <c r="U379" s="3164"/>
      <c r="V379" s="3164"/>
      <c r="W379" s="3164"/>
      <c r="X379" s="2171"/>
      <c r="Y379" s="871">
        <f>SUM(Y380:Y381)</f>
        <v>2000</v>
      </c>
      <c r="Z379" s="3479"/>
      <c r="AA379" s="427"/>
      <c r="AB379" s="427"/>
      <c r="AC379" s="192"/>
    </row>
    <row r="380" spans="1:29" s="191" customFormat="1" ht="21" customHeight="1">
      <c r="A380" s="2302"/>
      <c r="B380" s="2129"/>
      <c r="C380" s="473"/>
      <c r="D380" s="588"/>
      <c r="E380" s="3270"/>
      <c r="F380" s="678"/>
      <c r="G380" s="678"/>
      <c r="H380" s="3263"/>
      <c r="I380" s="1984"/>
      <c r="J380" s="2231" t="s">
        <v>5542</v>
      </c>
      <c r="K380" s="3164"/>
      <c r="L380" s="3164"/>
      <c r="M380" s="3164"/>
      <c r="N380" s="3164"/>
      <c r="O380" s="3164"/>
      <c r="P380" s="3164"/>
      <c r="Q380" s="3164"/>
      <c r="R380" s="3164"/>
      <c r="S380" s="3164">
        <v>100000</v>
      </c>
      <c r="T380" s="3164" t="s">
        <v>2059</v>
      </c>
      <c r="U380" s="3164"/>
      <c r="V380" s="3164">
        <v>10</v>
      </c>
      <c r="W380" s="3164" t="s">
        <v>774</v>
      </c>
      <c r="X380" s="2171" t="s">
        <v>2060</v>
      </c>
      <c r="Y380" s="871">
        <f>S380*V380/1000</f>
        <v>1000</v>
      </c>
      <c r="Z380" s="3441"/>
      <c r="AA380" s="427"/>
      <c r="AB380" s="427"/>
      <c r="AC380" s="192"/>
    </row>
    <row r="381" spans="1:29" s="191" customFormat="1" ht="21" customHeight="1">
      <c r="A381" s="2302"/>
      <c r="B381" s="2129"/>
      <c r="C381" s="3107"/>
      <c r="D381" s="588"/>
      <c r="E381" s="692"/>
      <c r="F381" s="678"/>
      <c r="G381" s="678"/>
      <c r="H381" s="3263"/>
      <c r="I381" s="1984"/>
      <c r="J381" s="2231" t="s">
        <v>5543</v>
      </c>
      <c r="K381" s="3164"/>
      <c r="L381" s="3164"/>
      <c r="M381" s="3164"/>
      <c r="N381" s="3164"/>
      <c r="O381" s="3164"/>
      <c r="P381" s="3164"/>
      <c r="Q381" s="3164"/>
      <c r="R381" s="3164"/>
      <c r="S381" s="3164">
        <v>1000000</v>
      </c>
      <c r="T381" s="3164" t="s">
        <v>2059</v>
      </c>
      <c r="U381" s="3164"/>
      <c r="V381" s="3164">
        <v>1</v>
      </c>
      <c r="W381" s="3164" t="s">
        <v>253</v>
      </c>
      <c r="X381" s="2171" t="s">
        <v>2060</v>
      </c>
      <c r="Y381" s="871">
        <f>S381*V381/1000</f>
        <v>1000</v>
      </c>
      <c r="Z381" s="3479"/>
      <c r="AA381" s="427"/>
      <c r="AB381" s="427"/>
      <c r="AC381" s="192"/>
    </row>
    <row r="382" spans="1:29" s="191" customFormat="1" ht="21" customHeight="1">
      <c r="A382" s="2302"/>
      <c r="B382" s="2129"/>
      <c r="C382" s="473"/>
      <c r="D382" s="588"/>
      <c r="E382" s="692" t="s">
        <v>778</v>
      </c>
      <c r="F382" s="678">
        <f>Y382</f>
        <v>10000</v>
      </c>
      <c r="G382" s="678">
        <v>10000</v>
      </c>
      <c r="H382" s="865"/>
      <c r="I382" s="1984"/>
      <c r="J382" s="2231" t="s">
        <v>4429</v>
      </c>
      <c r="K382" s="3164"/>
      <c r="L382" s="3164"/>
      <c r="M382" s="3164"/>
      <c r="N382" s="3164"/>
      <c r="O382" s="3164"/>
      <c r="P382" s="3164"/>
      <c r="Q382" s="3164"/>
      <c r="R382" s="3164"/>
      <c r="S382" s="3164">
        <v>10000000</v>
      </c>
      <c r="T382" s="3164" t="s">
        <v>2059</v>
      </c>
      <c r="U382" s="3164"/>
      <c r="V382" s="3164">
        <v>1</v>
      </c>
      <c r="W382" s="3164" t="s">
        <v>3390</v>
      </c>
      <c r="X382" s="2171" t="s">
        <v>2060</v>
      </c>
      <c r="Y382" s="871">
        <f>S382*V382/1000</f>
        <v>10000</v>
      </c>
      <c r="Z382" s="3479"/>
      <c r="AA382" s="427"/>
      <c r="AB382" s="427"/>
      <c r="AC382" s="192"/>
    </row>
    <row r="383" spans="1:29" s="191" customFormat="1" ht="21" customHeight="1">
      <c r="A383" s="2302"/>
      <c r="B383" s="2129"/>
      <c r="C383" s="3107"/>
      <c r="D383" s="588"/>
      <c r="E383" s="692" t="s">
        <v>431</v>
      </c>
      <c r="F383" s="678">
        <f>Y383</f>
        <v>9000</v>
      </c>
      <c r="G383" s="678">
        <v>9000</v>
      </c>
      <c r="H383" s="865"/>
      <c r="I383" s="1984"/>
      <c r="J383" s="2231" t="s">
        <v>224</v>
      </c>
      <c r="K383" s="3164"/>
      <c r="L383" s="3164"/>
      <c r="M383" s="3164"/>
      <c r="N383" s="3164"/>
      <c r="O383" s="3164"/>
      <c r="P383" s="3164"/>
      <c r="Q383" s="3164"/>
      <c r="R383" s="3164"/>
      <c r="S383" s="3164"/>
      <c r="T383" s="3164"/>
      <c r="U383" s="3164"/>
      <c r="V383" s="3164"/>
      <c r="W383" s="3164"/>
      <c r="X383" s="2171"/>
      <c r="Y383" s="871">
        <f>SUM(Y384:Y386)</f>
        <v>9000</v>
      </c>
      <c r="Z383" s="3479"/>
      <c r="AA383" s="427"/>
      <c r="AB383" s="427"/>
      <c r="AC383" s="192"/>
    </row>
    <row r="384" spans="1:29" s="191" customFormat="1" ht="21" customHeight="1">
      <c r="A384" s="2302"/>
      <c r="B384" s="2129"/>
      <c r="C384" s="542"/>
      <c r="D384" s="624"/>
      <c r="E384" s="3270"/>
      <c r="F384" s="678"/>
      <c r="G384" s="678"/>
      <c r="H384" s="3263"/>
      <c r="I384" s="1984"/>
      <c r="J384" s="2231" t="s">
        <v>5544</v>
      </c>
      <c r="K384" s="3164"/>
      <c r="L384" s="3164"/>
      <c r="M384" s="3164"/>
      <c r="N384" s="3164"/>
      <c r="O384" s="3164"/>
      <c r="P384" s="3164"/>
      <c r="Q384" s="3164"/>
      <c r="R384" s="3164"/>
      <c r="S384" s="3164">
        <v>1000000</v>
      </c>
      <c r="T384" s="3164" t="s">
        <v>2059</v>
      </c>
      <c r="U384" s="3164"/>
      <c r="V384" s="3164">
        <v>1</v>
      </c>
      <c r="W384" s="3164" t="s">
        <v>253</v>
      </c>
      <c r="X384" s="2171" t="s">
        <v>2060</v>
      </c>
      <c r="Y384" s="871">
        <f>S384*V384/1000</f>
        <v>1000</v>
      </c>
      <c r="Z384" s="3479"/>
      <c r="AA384" s="427"/>
      <c r="AB384" s="427"/>
      <c r="AC384" s="192"/>
    </row>
    <row r="385" spans="1:29" s="191" customFormat="1" ht="21" customHeight="1">
      <c r="A385" s="2302"/>
      <c r="B385" s="2129"/>
      <c r="C385" s="542"/>
      <c r="D385" s="624"/>
      <c r="E385" s="692"/>
      <c r="F385" s="678"/>
      <c r="G385" s="678"/>
      <c r="H385" s="3263"/>
      <c r="I385" s="1984"/>
      <c r="J385" s="2231" t="s">
        <v>5545</v>
      </c>
      <c r="K385" s="3164"/>
      <c r="L385" s="3164"/>
      <c r="M385" s="3164"/>
      <c r="N385" s="3164"/>
      <c r="O385" s="3164"/>
      <c r="P385" s="3164"/>
      <c r="Q385" s="3164"/>
      <c r="R385" s="3164"/>
      <c r="S385" s="3164">
        <v>2000000</v>
      </c>
      <c r="T385" s="3164" t="s">
        <v>2059</v>
      </c>
      <c r="U385" s="3164"/>
      <c r="V385" s="3164">
        <v>2</v>
      </c>
      <c r="W385" s="3164" t="s">
        <v>779</v>
      </c>
      <c r="X385" s="2171" t="s">
        <v>2060</v>
      </c>
      <c r="Y385" s="871">
        <f>S385*V385/1000</f>
        <v>4000</v>
      </c>
      <c r="Z385" s="3383"/>
      <c r="AA385" s="427"/>
      <c r="AB385" s="427"/>
      <c r="AC385" s="192"/>
    </row>
    <row r="386" spans="1:29" s="191" customFormat="1" ht="21" customHeight="1">
      <c r="A386" s="2302"/>
      <c r="B386" s="2129"/>
      <c r="C386" s="542"/>
      <c r="D386" s="624"/>
      <c r="E386" s="692"/>
      <c r="F386" s="678"/>
      <c r="G386" s="678"/>
      <c r="H386" s="3263"/>
      <c r="I386" s="1984"/>
      <c r="J386" s="2231" t="s">
        <v>5546</v>
      </c>
      <c r="K386" s="3164"/>
      <c r="L386" s="3164"/>
      <c r="M386" s="3164"/>
      <c r="N386" s="3164"/>
      <c r="O386" s="3164"/>
      <c r="P386" s="3164"/>
      <c r="Q386" s="3164"/>
      <c r="R386" s="3164"/>
      <c r="S386" s="3164">
        <v>2000000</v>
      </c>
      <c r="T386" s="3164" t="s">
        <v>2059</v>
      </c>
      <c r="U386" s="3164"/>
      <c r="V386" s="3164">
        <v>2</v>
      </c>
      <c r="W386" s="3164" t="s">
        <v>779</v>
      </c>
      <c r="X386" s="2171" t="s">
        <v>2060</v>
      </c>
      <c r="Y386" s="871">
        <f>S386*V386/1000</f>
        <v>4000</v>
      </c>
      <c r="Z386" s="3383"/>
      <c r="AA386" s="427"/>
      <c r="AB386" s="427"/>
      <c r="AC386" s="192"/>
    </row>
    <row r="387" spans="1:29" s="191" customFormat="1" ht="21" customHeight="1">
      <c r="A387" s="2302"/>
      <c r="B387" s="2129"/>
      <c r="C387" s="542"/>
      <c r="D387" s="624"/>
      <c r="E387" s="692" t="s">
        <v>4944</v>
      </c>
      <c r="F387" s="678">
        <f>Y387</f>
        <v>178000</v>
      </c>
      <c r="G387" s="678">
        <v>178000</v>
      </c>
      <c r="H387" s="865"/>
      <c r="I387" s="1984"/>
      <c r="J387" s="2231" t="s">
        <v>4945</v>
      </c>
      <c r="K387" s="3164"/>
      <c r="L387" s="3164"/>
      <c r="M387" s="3164"/>
      <c r="N387" s="3164"/>
      <c r="O387" s="3164"/>
      <c r="P387" s="3164"/>
      <c r="Q387" s="3164">
        <v>2</v>
      </c>
      <c r="R387" s="3164" t="s">
        <v>4946</v>
      </c>
      <c r="S387" s="3164">
        <v>44500000</v>
      </c>
      <c r="T387" s="3164" t="s">
        <v>2059</v>
      </c>
      <c r="U387" s="3164"/>
      <c r="V387" s="3164">
        <v>2</v>
      </c>
      <c r="W387" s="3164" t="s">
        <v>253</v>
      </c>
      <c r="X387" s="2171" t="s">
        <v>2060</v>
      </c>
      <c r="Y387" s="871">
        <f>Q387*S387*V387/1000</f>
        <v>178000</v>
      </c>
      <c r="Z387" s="3383"/>
      <c r="AA387" s="427"/>
      <c r="AB387" s="427"/>
      <c r="AC387" s="192"/>
    </row>
    <row r="388" spans="1:29" s="191" customFormat="1" ht="21" customHeight="1">
      <c r="A388" s="2302"/>
      <c r="B388" s="2129"/>
      <c r="C388" s="564"/>
      <c r="D388" s="2020"/>
      <c r="E388" s="692" t="s">
        <v>384</v>
      </c>
      <c r="F388" s="678">
        <f>Y388</f>
        <v>1000</v>
      </c>
      <c r="G388" s="678">
        <v>1000</v>
      </c>
      <c r="H388" s="865"/>
      <c r="I388" s="1984"/>
      <c r="J388" s="681" t="s">
        <v>965</v>
      </c>
      <c r="K388" s="684"/>
      <c r="L388" s="3016"/>
      <c r="M388" s="3016"/>
      <c r="N388" s="3016"/>
      <c r="O388" s="3164"/>
      <c r="P388" s="3164"/>
      <c r="Q388" s="3164"/>
      <c r="R388" s="3164"/>
      <c r="S388" s="684">
        <v>1000000</v>
      </c>
      <c r="T388" s="3164" t="s">
        <v>2059</v>
      </c>
      <c r="U388" s="684"/>
      <c r="V388" s="684">
        <v>1</v>
      </c>
      <c r="W388" s="979" t="s">
        <v>4943</v>
      </c>
      <c r="X388" s="2171" t="s">
        <v>2060</v>
      </c>
      <c r="Y388" s="871">
        <f>S388*V388/1000</f>
        <v>1000</v>
      </c>
      <c r="Z388" s="3383"/>
      <c r="AA388" s="427"/>
      <c r="AB388" s="427"/>
      <c r="AC388" s="192"/>
    </row>
    <row r="389" spans="1:29" s="191" customFormat="1" ht="21" customHeight="1">
      <c r="A389" s="2302"/>
      <c r="B389" s="2129"/>
      <c r="C389" s="564"/>
      <c r="D389" s="3825" t="s">
        <v>2097</v>
      </c>
      <c r="E389" s="3826"/>
      <c r="F389" s="528">
        <f>SUM(F390:F392)</f>
        <v>300000</v>
      </c>
      <c r="G389" s="528">
        <f>SUM(G390:G392)</f>
        <v>300000</v>
      </c>
      <c r="H389" s="529">
        <f>F389-G389</f>
        <v>0</v>
      </c>
      <c r="I389" s="543"/>
      <c r="J389" s="538"/>
      <c r="K389" s="2068"/>
      <c r="L389" s="2068"/>
      <c r="M389" s="2068"/>
      <c r="N389" s="2068"/>
      <c r="O389" s="2068"/>
      <c r="P389" s="2068"/>
      <c r="Q389" s="2068"/>
      <c r="R389" s="539"/>
      <c r="S389" s="2068"/>
      <c r="T389" s="2068"/>
      <c r="U389" s="2068"/>
      <c r="V389" s="2068"/>
      <c r="W389" s="2068"/>
      <c r="X389" s="585"/>
      <c r="Y389" s="2124"/>
      <c r="Z389" s="1898"/>
      <c r="AA389" s="427"/>
      <c r="AB389" s="427"/>
      <c r="AC389" s="192"/>
    </row>
    <row r="390" spans="1:29" s="191" customFormat="1" ht="21" customHeight="1">
      <c r="A390" s="2302"/>
      <c r="B390" s="2129"/>
      <c r="C390" s="473"/>
      <c r="D390" s="2020"/>
      <c r="E390" s="588" t="s">
        <v>2072</v>
      </c>
      <c r="F390" s="2031">
        <f>Y390</f>
        <v>1400</v>
      </c>
      <c r="G390" s="2031">
        <v>1400</v>
      </c>
      <c r="H390" s="534"/>
      <c r="I390" s="543"/>
      <c r="J390" s="2079" t="s">
        <v>2094</v>
      </c>
      <c r="K390" s="2080"/>
      <c r="L390" s="2080"/>
      <c r="M390" s="2080"/>
      <c r="N390" s="2080"/>
      <c r="O390" s="2080"/>
      <c r="P390" s="2080"/>
      <c r="Q390" s="474">
        <v>7</v>
      </c>
      <c r="R390" s="474" t="s">
        <v>3389</v>
      </c>
      <c r="S390" s="474">
        <v>200000</v>
      </c>
      <c r="T390" s="474" t="s">
        <v>2059</v>
      </c>
      <c r="U390" s="474"/>
      <c r="V390" s="474">
        <v>1</v>
      </c>
      <c r="W390" s="474" t="s">
        <v>938</v>
      </c>
      <c r="X390" s="2345" t="s">
        <v>2060</v>
      </c>
      <c r="Y390" s="483">
        <f>Q390*S390*V390/1000</f>
        <v>1400</v>
      </c>
      <c r="Z390" s="1898"/>
      <c r="AA390" s="427"/>
      <c r="AB390" s="427"/>
      <c r="AC390" s="192"/>
    </row>
    <row r="391" spans="1:29" s="191" customFormat="1" ht="21" customHeight="1">
      <c r="A391" s="2302"/>
      <c r="B391" s="2129"/>
      <c r="C391" s="542"/>
      <c r="D391" s="624"/>
      <c r="E391" s="2013" t="s">
        <v>1098</v>
      </c>
      <c r="F391" s="2016">
        <f t="shared" ref="F391" si="70">Y391</f>
        <v>296600</v>
      </c>
      <c r="G391" s="2031">
        <v>296600</v>
      </c>
      <c r="H391" s="534"/>
      <c r="I391" s="543"/>
      <c r="J391" s="2344" t="s">
        <v>2095</v>
      </c>
      <c r="K391" s="474"/>
      <c r="L391" s="474"/>
      <c r="M391" s="474"/>
      <c r="N391" s="474"/>
      <c r="O391" s="474"/>
      <c r="P391" s="474"/>
      <c r="Q391" s="474"/>
      <c r="R391" s="474"/>
      <c r="S391" s="474">
        <v>296600000</v>
      </c>
      <c r="T391" s="474" t="s">
        <v>2059</v>
      </c>
      <c r="U391" s="474"/>
      <c r="V391" s="474">
        <v>1</v>
      </c>
      <c r="W391" s="474" t="s">
        <v>901</v>
      </c>
      <c r="X391" s="2345" t="s">
        <v>2060</v>
      </c>
      <c r="Y391" s="483">
        <f>S391*V391/1000</f>
        <v>296600</v>
      </c>
      <c r="Z391" s="1898"/>
      <c r="AA391" s="427"/>
      <c r="AB391" s="427"/>
      <c r="AC391" s="192"/>
    </row>
    <row r="392" spans="1:29" s="191" customFormat="1" ht="21" customHeight="1">
      <c r="A392" s="2302"/>
      <c r="B392" s="2129"/>
      <c r="C392" s="564"/>
      <c r="D392" s="2020"/>
      <c r="E392" s="493" t="s">
        <v>942</v>
      </c>
      <c r="F392" s="2016">
        <f>Y392</f>
        <v>2000</v>
      </c>
      <c r="G392" s="722">
        <v>2000</v>
      </c>
      <c r="H392" s="534"/>
      <c r="I392" s="543"/>
      <c r="J392" s="2344" t="s">
        <v>2096</v>
      </c>
      <c r="K392" s="474"/>
      <c r="L392" s="474"/>
      <c r="M392" s="474"/>
      <c r="N392" s="474"/>
      <c r="O392" s="474"/>
      <c r="P392" s="474"/>
      <c r="Q392" s="474">
        <v>10</v>
      </c>
      <c r="R392" s="474" t="s">
        <v>3389</v>
      </c>
      <c r="S392" s="474">
        <v>20000</v>
      </c>
      <c r="T392" s="474" t="s">
        <v>2059</v>
      </c>
      <c r="U392" s="474"/>
      <c r="V392" s="474">
        <v>10</v>
      </c>
      <c r="W392" s="474" t="s">
        <v>938</v>
      </c>
      <c r="X392" s="2345" t="s">
        <v>2060</v>
      </c>
      <c r="Y392" s="483">
        <f>Q392*S392*V392/1000</f>
        <v>2000</v>
      </c>
      <c r="Z392" s="1898"/>
      <c r="AA392" s="427"/>
      <c r="AB392" s="427"/>
      <c r="AC392" s="192"/>
    </row>
    <row r="393" spans="1:29" s="191" customFormat="1" ht="21" customHeight="1">
      <c r="A393" s="2302"/>
      <c r="B393" s="2129"/>
      <c r="C393" s="564"/>
      <c r="D393" s="3825" t="s">
        <v>2098</v>
      </c>
      <c r="E393" s="3826"/>
      <c r="F393" s="528">
        <f>SUM(F394:F399)</f>
        <v>800000</v>
      </c>
      <c r="G393" s="528">
        <f>SUM(G394:G399)</f>
        <v>800000</v>
      </c>
      <c r="H393" s="529">
        <f>F393-G393</f>
        <v>0</v>
      </c>
      <c r="I393" s="543"/>
      <c r="J393" s="538"/>
      <c r="K393" s="2068"/>
      <c r="L393" s="2068"/>
      <c r="M393" s="2068"/>
      <c r="N393" s="2068"/>
      <c r="O393" s="2068"/>
      <c r="P393" s="2068"/>
      <c r="Q393" s="2068"/>
      <c r="R393" s="539"/>
      <c r="S393" s="2068"/>
      <c r="T393" s="2068"/>
      <c r="U393" s="2068"/>
      <c r="V393" s="2068"/>
      <c r="W393" s="2068"/>
      <c r="X393" s="585"/>
      <c r="Y393" s="2124"/>
      <c r="Z393" s="1898"/>
      <c r="AA393" s="427"/>
      <c r="AB393" s="427"/>
      <c r="AC393" s="192"/>
    </row>
    <row r="394" spans="1:29" s="191" customFormat="1" ht="21" customHeight="1">
      <c r="A394" s="2302"/>
      <c r="B394" s="2129"/>
      <c r="C394" s="564"/>
      <c r="D394" s="2020"/>
      <c r="E394" s="1350" t="s">
        <v>964</v>
      </c>
      <c r="F394" s="1659">
        <f t="shared" ref="F394:F398" si="71">Y394</f>
        <v>30000</v>
      </c>
      <c r="G394" s="1659">
        <v>30000</v>
      </c>
      <c r="H394" s="534"/>
      <c r="I394" s="543"/>
      <c r="J394" s="2344" t="s">
        <v>771</v>
      </c>
      <c r="K394" s="474"/>
      <c r="L394" s="474"/>
      <c r="M394" s="474"/>
      <c r="N394" s="474"/>
      <c r="O394" s="474"/>
      <c r="P394" s="474"/>
      <c r="Q394" s="474"/>
      <c r="R394" s="474"/>
      <c r="S394" s="474">
        <v>2500000</v>
      </c>
      <c r="T394" s="474" t="s">
        <v>2059</v>
      </c>
      <c r="U394" s="474"/>
      <c r="V394" s="474">
        <v>12</v>
      </c>
      <c r="W394" s="474" t="s">
        <v>774</v>
      </c>
      <c r="X394" s="2345" t="s">
        <v>2060</v>
      </c>
      <c r="Y394" s="483">
        <f>S394*V394/1000</f>
        <v>30000</v>
      </c>
      <c r="Z394" s="1898"/>
      <c r="AA394" s="427"/>
      <c r="AB394" s="427"/>
      <c r="AC394" s="192"/>
    </row>
    <row r="395" spans="1:29" s="191" customFormat="1" ht="21" customHeight="1">
      <c r="A395" s="2302"/>
      <c r="B395" s="2129"/>
      <c r="C395" s="542"/>
      <c r="D395" s="624"/>
      <c r="E395" s="2050" t="s">
        <v>934</v>
      </c>
      <c r="F395" s="2031">
        <f t="shared" si="71"/>
        <v>4000</v>
      </c>
      <c r="G395" s="2031">
        <v>4000</v>
      </c>
      <c r="H395" s="534"/>
      <c r="I395" s="543"/>
      <c r="J395" s="2344" t="s">
        <v>2099</v>
      </c>
      <c r="K395" s="474"/>
      <c r="L395" s="474"/>
      <c r="M395" s="474"/>
      <c r="N395" s="474"/>
      <c r="O395" s="474"/>
      <c r="P395" s="474"/>
      <c r="Q395" s="474"/>
      <c r="R395" s="474"/>
      <c r="S395" s="474">
        <v>400000</v>
      </c>
      <c r="T395" s="474" t="s">
        <v>2059</v>
      </c>
      <c r="U395" s="474"/>
      <c r="V395" s="474">
        <v>10</v>
      </c>
      <c r="W395" s="474" t="s">
        <v>774</v>
      </c>
      <c r="X395" s="2345" t="s">
        <v>2060</v>
      </c>
      <c r="Y395" s="483">
        <f>S395*V395/1000</f>
        <v>4000</v>
      </c>
      <c r="Z395" s="1898"/>
      <c r="AA395" s="427"/>
      <c r="AB395" s="427"/>
      <c r="AC395" s="192"/>
    </row>
    <row r="396" spans="1:29" s="191" customFormat="1" ht="21" customHeight="1">
      <c r="A396" s="2302"/>
      <c r="B396" s="2129"/>
      <c r="C396" s="564"/>
      <c r="D396" s="2020"/>
      <c r="E396" s="2050" t="s">
        <v>928</v>
      </c>
      <c r="F396" s="2031">
        <f t="shared" si="71"/>
        <v>4800</v>
      </c>
      <c r="G396" s="2031">
        <v>4800</v>
      </c>
      <c r="H396" s="534"/>
      <c r="I396" s="543"/>
      <c r="J396" s="2344" t="s">
        <v>776</v>
      </c>
      <c r="K396" s="474"/>
      <c r="L396" s="474"/>
      <c r="M396" s="474"/>
      <c r="N396" s="474"/>
      <c r="O396" s="474"/>
      <c r="P396" s="474"/>
      <c r="Q396" s="474">
        <v>2</v>
      </c>
      <c r="R396" s="474" t="s">
        <v>3389</v>
      </c>
      <c r="S396" s="474">
        <v>200000</v>
      </c>
      <c r="T396" s="474" t="s">
        <v>2059</v>
      </c>
      <c r="U396" s="474"/>
      <c r="V396" s="474">
        <v>12</v>
      </c>
      <c r="W396" s="474" t="s">
        <v>774</v>
      </c>
      <c r="X396" s="2345" t="s">
        <v>2060</v>
      </c>
      <c r="Y396" s="483">
        <f>Q396*S396*V396/1000</f>
        <v>4800</v>
      </c>
      <c r="Z396" s="1898"/>
      <c r="AA396" s="427"/>
      <c r="AB396" s="427"/>
      <c r="AC396" s="192"/>
    </row>
    <row r="397" spans="1:29" s="191" customFormat="1" ht="21" customHeight="1">
      <c r="A397" s="2302"/>
      <c r="B397" s="2129"/>
      <c r="C397" s="542"/>
      <c r="D397" s="624"/>
      <c r="E397" s="2050" t="s">
        <v>786</v>
      </c>
      <c r="F397" s="2031">
        <f t="shared" si="71"/>
        <v>7200</v>
      </c>
      <c r="G397" s="2031">
        <v>7200</v>
      </c>
      <c r="H397" s="534"/>
      <c r="I397" s="543"/>
      <c r="J397" s="2344" t="s">
        <v>1313</v>
      </c>
      <c r="K397" s="474"/>
      <c r="L397" s="474"/>
      <c r="M397" s="474"/>
      <c r="N397" s="474"/>
      <c r="O397" s="474"/>
      <c r="P397" s="474"/>
      <c r="Q397" s="474"/>
      <c r="R397" s="474"/>
      <c r="S397" s="474">
        <v>600000</v>
      </c>
      <c r="T397" s="474" t="s">
        <v>2059</v>
      </c>
      <c r="U397" s="474"/>
      <c r="V397" s="474">
        <v>12</v>
      </c>
      <c r="W397" s="474" t="s">
        <v>774</v>
      </c>
      <c r="X397" s="2345" t="s">
        <v>2060</v>
      </c>
      <c r="Y397" s="483">
        <f>S397*V397/1000</f>
        <v>7200</v>
      </c>
      <c r="Z397" s="1898"/>
      <c r="AA397" s="427"/>
      <c r="AB397" s="427"/>
      <c r="AC397" s="192"/>
    </row>
    <row r="398" spans="1:29" s="191" customFormat="1" ht="21" customHeight="1">
      <c r="A398" s="2302"/>
      <c r="B398" s="2129"/>
      <c r="C398" s="542"/>
      <c r="D398" s="624"/>
      <c r="E398" s="2050" t="s">
        <v>1098</v>
      </c>
      <c r="F398" s="2031">
        <f t="shared" si="71"/>
        <v>750000</v>
      </c>
      <c r="G398" s="2031">
        <v>750000</v>
      </c>
      <c r="H398" s="534"/>
      <c r="I398" s="543"/>
      <c r="J398" s="2344" t="s">
        <v>2100</v>
      </c>
      <c r="K398" s="474"/>
      <c r="L398" s="474"/>
      <c r="M398" s="474"/>
      <c r="N398" s="474"/>
      <c r="O398" s="474"/>
      <c r="P398" s="474"/>
      <c r="Q398" s="474"/>
      <c r="R398" s="474"/>
      <c r="S398" s="474">
        <v>250000000</v>
      </c>
      <c r="T398" s="474" t="s">
        <v>2059</v>
      </c>
      <c r="U398" s="474"/>
      <c r="V398" s="474">
        <v>3</v>
      </c>
      <c r="W398" s="474" t="s">
        <v>3390</v>
      </c>
      <c r="X398" s="2345" t="s">
        <v>2060</v>
      </c>
      <c r="Y398" s="483">
        <f>S398*V398/1000</f>
        <v>750000</v>
      </c>
      <c r="Z398" s="1898"/>
      <c r="AA398" s="427"/>
      <c r="AB398" s="427"/>
      <c r="AC398" s="192"/>
    </row>
    <row r="399" spans="1:29" s="191" customFormat="1" ht="21" customHeight="1">
      <c r="A399" s="2302"/>
      <c r="B399" s="2129"/>
      <c r="C399" s="564"/>
      <c r="D399" s="2020"/>
      <c r="E399" s="493" t="s">
        <v>942</v>
      </c>
      <c r="F399" s="2016">
        <f>Y399</f>
        <v>4000</v>
      </c>
      <c r="G399" s="722">
        <v>4000</v>
      </c>
      <c r="H399" s="534"/>
      <c r="I399" s="543"/>
      <c r="J399" s="2344" t="s">
        <v>2096</v>
      </c>
      <c r="K399" s="474"/>
      <c r="L399" s="474"/>
      <c r="M399" s="474"/>
      <c r="N399" s="474"/>
      <c r="O399" s="474"/>
      <c r="P399" s="474"/>
      <c r="Q399" s="474">
        <v>10</v>
      </c>
      <c r="R399" s="474" t="s">
        <v>3389</v>
      </c>
      <c r="S399" s="474">
        <v>20000</v>
      </c>
      <c r="T399" s="474" t="s">
        <v>2059</v>
      </c>
      <c r="U399" s="474"/>
      <c r="V399" s="474">
        <v>20</v>
      </c>
      <c r="W399" s="474" t="s">
        <v>938</v>
      </c>
      <c r="X399" s="2345" t="s">
        <v>2060</v>
      </c>
      <c r="Y399" s="483">
        <f>Q399*S399*V399/1000</f>
        <v>4000</v>
      </c>
      <c r="Z399" s="1898"/>
      <c r="AA399" s="427"/>
      <c r="AB399" s="427"/>
      <c r="AC399" s="192"/>
    </row>
    <row r="400" spans="1:29" s="191" customFormat="1" ht="21" customHeight="1">
      <c r="A400" s="2302"/>
      <c r="B400" s="2129"/>
      <c r="C400" s="564"/>
      <c r="D400" s="3825" t="s">
        <v>2101</v>
      </c>
      <c r="E400" s="3826"/>
      <c r="F400" s="528">
        <f>SUM(F401:F404)</f>
        <v>200000</v>
      </c>
      <c r="G400" s="528">
        <f>SUM(G401:G404)</f>
        <v>200000</v>
      </c>
      <c r="H400" s="529">
        <f>F400-G400</f>
        <v>0</v>
      </c>
      <c r="I400" s="543"/>
      <c r="J400" s="538"/>
      <c r="K400" s="2068"/>
      <c r="L400" s="2068"/>
      <c r="M400" s="2068"/>
      <c r="N400" s="2068"/>
      <c r="O400" s="2068"/>
      <c r="P400" s="2068"/>
      <c r="Q400" s="2068"/>
      <c r="R400" s="539"/>
      <c r="S400" s="2068"/>
      <c r="T400" s="2068"/>
      <c r="U400" s="2068"/>
      <c r="V400" s="2068"/>
      <c r="W400" s="2068"/>
      <c r="X400" s="585"/>
      <c r="Y400" s="2124"/>
      <c r="Z400" s="1898"/>
      <c r="AA400" s="427"/>
      <c r="AB400" s="427"/>
      <c r="AC400" s="192"/>
    </row>
    <row r="401" spans="1:29" s="191" customFormat="1" ht="21" customHeight="1">
      <c r="A401" s="2302"/>
      <c r="B401" s="2129"/>
      <c r="C401" s="564"/>
      <c r="D401" s="2020"/>
      <c r="E401" s="1350" t="s">
        <v>264</v>
      </c>
      <c r="F401" s="1659">
        <f t="shared" ref="F401" si="72">Y401</f>
        <v>8600</v>
      </c>
      <c r="G401" s="1659">
        <v>2000</v>
      </c>
      <c r="H401" s="3598">
        <f>F401-G401</f>
        <v>6600</v>
      </c>
      <c r="I401" s="543"/>
      <c r="J401" s="2344" t="s">
        <v>775</v>
      </c>
      <c r="K401" s="3108"/>
      <c r="L401" s="3108"/>
      <c r="M401" s="3108"/>
      <c r="N401" s="3108"/>
      <c r="O401" s="3108"/>
      <c r="P401" s="3108"/>
      <c r="Q401" s="3108"/>
      <c r="R401" s="3108"/>
      <c r="S401" s="3108">
        <v>4300000</v>
      </c>
      <c r="T401" s="3108" t="s">
        <v>2059</v>
      </c>
      <c r="U401" s="3108"/>
      <c r="V401" s="3108">
        <v>2</v>
      </c>
      <c r="W401" s="3108" t="s">
        <v>253</v>
      </c>
      <c r="X401" s="2345" t="s">
        <v>2060</v>
      </c>
      <c r="Y401" s="3110">
        <f>S401*V401/1000</f>
        <v>8600</v>
      </c>
      <c r="Z401" s="3441"/>
      <c r="AA401" s="427"/>
      <c r="AB401" s="427"/>
      <c r="AC401" s="192"/>
    </row>
    <row r="402" spans="1:29" s="191" customFormat="1" ht="21" customHeight="1">
      <c r="A402" s="2302"/>
      <c r="B402" s="2129"/>
      <c r="C402" s="3107"/>
      <c r="D402" s="2020"/>
      <c r="E402" s="2050" t="s">
        <v>906</v>
      </c>
      <c r="F402" s="2031">
        <f t="shared" ref="F402" si="73">Y402</f>
        <v>175500</v>
      </c>
      <c r="G402" s="2031">
        <v>198000</v>
      </c>
      <c r="H402" s="534">
        <f t="shared" ref="H402:H404" si="74">F402-G402</f>
        <v>-22500</v>
      </c>
      <c r="I402" s="543"/>
      <c r="J402" s="2344" t="s">
        <v>2102</v>
      </c>
      <c r="K402" s="3108"/>
      <c r="L402" s="3108"/>
      <c r="M402" s="3108"/>
      <c r="N402" s="3108"/>
      <c r="O402" s="3108"/>
      <c r="P402" s="3108"/>
      <c r="Q402" s="3108"/>
      <c r="R402" s="3108"/>
      <c r="S402" s="3108">
        <v>35100000</v>
      </c>
      <c r="T402" s="3108" t="s">
        <v>2059</v>
      </c>
      <c r="U402" s="3108"/>
      <c r="V402" s="3108">
        <v>5</v>
      </c>
      <c r="W402" s="3108" t="s">
        <v>3390</v>
      </c>
      <c r="X402" s="2345" t="s">
        <v>2060</v>
      </c>
      <c r="Y402" s="3110">
        <f>S402*V402/1000</f>
        <v>175500</v>
      </c>
      <c r="Z402" s="3441"/>
      <c r="AA402" s="427"/>
      <c r="AB402" s="427"/>
      <c r="AC402" s="192"/>
    </row>
    <row r="403" spans="1:29" s="191" customFormat="1" ht="21" customHeight="1">
      <c r="A403" s="2302"/>
      <c r="B403" s="2129"/>
      <c r="C403" s="3107"/>
      <c r="D403" s="2020"/>
      <c r="E403" s="2050" t="s">
        <v>5710</v>
      </c>
      <c r="F403" s="2031">
        <f t="shared" ref="F403:F404" si="75">Y403</f>
        <v>15000</v>
      </c>
      <c r="G403" s="2031">
        <v>0</v>
      </c>
      <c r="H403" s="534">
        <f t="shared" si="74"/>
        <v>15000</v>
      </c>
      <c r="I403" s="543"/>
      <c r="J403" s="2344" t="s">
        <v>2095</v>
      </c>
      <c r="K403" s="3108"/>
      <c r="L403" s="3108"/>
      <c r="M403" s="3108"/>
      <c r="N403" s="3108"/>
      <c r="O403" s="3108"/>
      <c r="P403" s="3108"/>
      <c r="Q403" s="3108"/>
      <c r="R403" s="3108"/>
      <c r="S403" s="3108">
        <v>15000000</v>
      </c>
      <c r="T403" s="3108" t="s">
        <v>2059</v>
      </c>
      <c r="U403" s="3108"/>
      <c r="V403" s="3108">
        <v>1</v>
      </c>
      <c r="W403" s="3108" t="s">
        <v>240</v>
      </c>
      <c r="X403" s="2345" t="s">
        <v>2060</v>
      </c>
      <c r="Y403" s="3110">
        <f>S403*V403/1000</f>
        <v>15000</v>
      </c>
      <c r="Z403" s="3441"/>
      <c r="AA403" s="427"/>
      <c r="AB403" s="427"/>
      <c r="AC403" s="192"/>
    </row>
    <row r="404" spans="1:29" s="191" customFormat="1" ht="21" customHeight="1">
      <c r="A404" s="2302"/>
      <c r="B404" s="2129"/>
      <c r="C404" s="542"/>
      <c r="D404" s="624"/>
      <c r="E404" s="2050" t="s">
        <v>5711</v>
      </c>
      <c r="F404" s="2031">
        <f t="shared" si="75"/>
        <v>900</v>
      </c>
      <c r="G404" s="2031">
        <v>0</v>
      </c>
      <c r="H404" s="534">
        <f t="shared" si="74"/>
        <v>900</v>
      </c>
      <c r="I404" s="543"/>
      <c r="J404" s="681" t="s">
        <v>965</v>
      </c>
      <c r="K404" s="684"/>
      <c r="L404" s="3583"/>
      <c r="M404" s="3583"/>
      <c r="N404" s="3583"/>
      <c r="O404" s="3164"/>
      <c r="P404" s="3164"/>
      <c r="Q404" s="3164"/>
      <c r="R404" s="3164"/>
      <c r="S404" s="684">
        <v>900000</v>
      </c>
      <c r="T404" s="3164" t="s">
        <v>2059</v>
      </c>
      <c r="U404" s="684"/>
      <c r="V404" s="684">
        <v>1</v>
      </c>
      <c r="W404" s="979" t="s">
        <v>39</v>
      </c>
      <c r="X404" s="2171" t="s">
        <v>2060</v>
      </c>
      <c r="Y404" s="871">
        <f>S404*V404/1000</f>
        <v>900</v>
      </c>
      <c r="Z404" s="3383"/>
      <c r="AA404" s="427"/>
      <c r="AB404" s="427"/>
      <c r="AC404" s="192"/>
    </row>
    <row r="405" spans="1:29" s="191" customFormat="1" ht="21" customHeight="1">
      <c r="A405" s="628"/>
      <c r="B405" s="2221"/>
      <c r="C405" s="968"/>
      <c r="D405" s="3840" t="s">
        <v>2061</v>
      </c>
      <c r="E405" s="3904"/>
      <c r="F405" s="1988">
        <f>SUM(F406:F426)</f>
        <v>300000</v>
      </c>
      <c r="G405" s="1988">
        <f>SUM(G406:G426)</f>
        <v>300000</v>
      </c>
      <c r="H405" s="984">
        <f>F405-G405</f>
        <v>0</v>
      </c>
      <c r="I405" s="1984"/>
      <c r="J405" s="1989"/>
      <c r="K405" s="1536"/>
      <c r="L405" s="1536"/>
      <c r="M405" s="1536"/>
      <c r="N405" s="1536"/>
      <c r="O405" s="1536"/>
      <c r="P405" s="1536"/>
      <c r="Q405" s="1536"/>
      <c r="R405" s="1990"/>
      <c r="S405" s="1536"/>
      <c r="T405" s="1536"/>
      <c r="U405" s="1536"/>
      <c r="V405" s="1536"/>
      <c r="W405" s="1536"/>
      <c r="X405" s="1422"/>
      <c r="Y405" s="1991"/>
      <c r="Z405" s="2233"/>
      <c r="AA405" s="427"/>
      <c r="AB405" s="427"/>
      <c r="AC405" s="192"/>
    </row>
    <row r="406" spans="1:29" s="191" customFormat="1" ht="21" customHeight="1">
      <c r="A406" s="628"/>
      <c r="B406" s="2221"/>
      <c r="C406" s="870"/>
      <c r="D406" s="851"/>
      <c r="E406" s="1240" t="s">
        <v>4156</v>
      </c>
      <c r="F406" s="1198">
        <v>46000</v>
      </c>
      <c r="G406" s="1198">
        <v>46000</v>
      </c>
      <c r="H406" s="3271"/>
      <c r="I406" s="1984"/>
      <c r="J406" s="2231" t="s">
        <v>4158</v>
      </c>
      <c r="K406" s="3164"/>
      <c r="L406" s="3164"/>
      <c r="M406" s="3164"/>
      <c r="N406" s="3164"/>
      <c r="O406" s="3164"/>
      <c r="P406" s="3164"/>
      <c r="Q406" s="3164"/>
      <c r="R406" s="3164"/>
      <c r="S406" s="3164"/>
      <c r="T406" s="3164"/>
      <c r="U406" s="3164"/>
      <c r="V406" s="3164"/>
      <c r="W406" s="3164"/>
      <c r="X406" s="2171"/>
      <c r="Y406" s="871">
        <f>+Y407+Y408+Y409+Y410</f>
        <v>46000</v>
      </c>
      <c r="Z406" s="2233"/>
      <c r="AA406" s="427"/>
      <c r="AB406" s="427"/>
      <c r="AC406" s="192"/>
    </row>
    <row r="407" spans="1:29" s="191" customFormat="1" ht="21" customHeight="1">
      <c r="A407" s="628"/>
      <c r="B407" s="2221"/>
      <c r="C407" s="870"/>
      <c r="D407" s="851"/>
      <c r="E407" s="3270"/>
      <c r="F407" s="678"/>
      <c r="G407" s="678"/>
      <c r="H407" s="688"/>
      <c r="I407" s="1984"/>
      <c r="J407" s="2231" t="s">
        <v>5279</v>
      </c>
      <c r="K407" s="3164"/>
      <c r="L407" s="3164"/>
      <c r="M407" s="3164"/>
      <c r="N407" s="3164"/>
      <c r="O407" s="3164"/>
      <c r="P407" s="3164"/>
      <c r="Q407" s="3164"/>
      <c r="R407" s="3164"/>
      <c r="S407" s="3164">
        <v>40000</v>
      </c>
      <c r="T407" s="3164" t="s">
        <v>4153</v>
      </c>
      <c r="U407" s="3164"/>
      <c r="V407" s="3164">
        <v>500</v>
      </c>
      <c r="W407" s="3164" t="s">
        <v>4188</v>
      </c>
      <c r="X407" s="2171" t="s">
        <v>4155</v>
      </c>
      <c r="Y407" s="871">
        <f>S407*V407/1000</f>
        <v>20000</v>
      </c>
      <c r="Z407" s="2233"/>
      <c r="AA407" s="427"/>
      <c r="AB407" s="427"/>
      <c r="AC407" s="192"/>
    </row>
    <row r="408" spans="1:29" s="191" customFormat="1" ht="21" customHeight="1">
      <c r="A408" s="628"/>
      <c r="B408" s="2221"/>
      <c r="C408" s="870"/>
      <c r="D408" s="851"/>
      <c r="E408" s="692"/>
      <c r="F408" s="678"/>
      <c r="G408" s="678"/>
      <c r="H408" s="688"/>
      <c r="I408" s="1984"/>
      <c r="J408" s="2231" t="s">
        <v>5280</v>
      </c>
      <c r="K408" s="3164"/>
      <c r="L408" s="3164"/>
      <c r="M408" s="3164"/>
      <c r="N408" s="3164"/>
      <c r="O408" s="3164"/>
      <c r="P408" s="3164"/>
      <c r="Q408" s="3164"/>
      <c r="R408" s="3164"/>
      <c r="S408" s="3164">
        <v>20000</v>
      </c>
      <c r="T408" s="3164" t="s">
        <v>4153</v>
      </c>
      <c r="U408" s="3164"/>
      <c r="V408" s="3164">
        <v>250</v>
      </c>
      <c r="W408" s="3164" t="s">
        <v>4188</v>
      </c>
      <c r="X408" s="2171" t="s">
        <v>4155</v>
      </c>
      <c r="Y408" s="871">
        <f>S408*V408/1000</f>
        <v>5000</v>
      </c>
      <c r="Z408" s="2233"/>
      <c r="AA408" s="427"/>
      <c r="AB408" s="427"/>
      <c r="AC408" s="192"/>
    </row>
    <row r="409" spans="1:29" s="191" customFormat="1" ht="21" customHeight="1">
      <c r="A409" s="628"/>
      <c r="B409" s="2221"/>
      <c r="C409" s="870"/>
      <c r="D409" s="851"/>
      <c r="E409" s="692"/>
      <c r="F409" s="678"/>
      <c r="G409" s="678"/>
      <c r="H409" s="688"/>
      <c r="I409" s="1984"/>
      <c r="J409" s="2231" t="s">
        <v>5281</v>
      </c>
      <c r="K409" s="3164"/>
      <c r="L409" s="3164"/>
      <c r="M409" s="3164"/>
      <c r="N409" s="3164"/>
      <c r="O409" s="3164"/>
      <c r="P409" s="3164"/>
      <c r="Q409" s="3164">
        <v>2</v>
      </c>
      <c r="R409" s="3164" t="s">
        <v>4189</v>
      </c>
      <c r="S409" s="3164">
        <v>50000</v>
      </c>
      <c r="T409" s="3164" t="s">
        <v>4153</v>
      </c>
      <c r="U409" s="3164"/>
      <c r="V409" s="3164">
        <v>200</v>
      </c>
      <c r="W409" s="3164" t="s">
        <v>4188</v>
      </c>
      <c r="X409" s="2171" t="s">
        <v>4155</v>
      </c>
      <c r="Y409" s="871">
        <f>Q409*S409*V409/1000</f>
        <v>20000</v>
      </c>
      <c r="Z409" s="2233"/>
      <c r="AA409" s="427"/>
      <c r="AB409" s="427"/>
      <c r="AC409" s="192"/>
    </row>
    <row r="410" spans="1:29" s="191" customFormat="1" ht="21" customHeight="1">
      <c r="A410" s="628"/>
      <c r="B410" s="2221"/>
      <c r="C410" s="870"/>
      <c r="D410" s="851"/>
      <c r="E410" s="692"/>
      <c r="F410" s="678"/>
      <c r="G410" s="678"/>
      <c r="H410" s="688"/>
      <c r="I410" s="1984"/>
      <c r="J410" s="2231" t="s">
        <v>5282</v>
      </c>
      <c r="K410" s="3164"/>
      <c r="L410" s="3164"/>
      <c r="M410" s="3164"/>
      <c r="N410" s="3164"/>
      <c r="O410" s="3164"/>
      <c r="P410" s="3164"/>
      <c r="Q410" s="3164">
        <v>10</v>
      </c>
      <c r="R410" s="3164" t="s">
        <v>4190</v>
      </c>
      <c r="S410" s="3164">
        <v>100000</v>
      </c>
      <c r="T410" s="3164" t="s">
        <v>4153</v>
      </c>
      <c r="U410" s="3164"/>
      <c r="V410" s="3164">
        <v>1</v>
      </c>
      <c r="W410" s="3164" t="s">
        <v>4191</v>
      </c>
      <c r="X410" s="2171" t="s">
        <v>4155</v>
      </c>
      <c r="Y410" s="871">
        <f>Q410*S410*V410/1000</f>
        <v>1000</v>
      </c>
      <c r="Z410" s="2233"/>
      <c r="AA410" s="427"/>
      <c r="AB410" s="427"/>
      <c r="AC410" s="192"/>
    </row>
    <row r="411" spans="1:29" s="250" customFormat="1" ht="21" customHeight="1">
      <c r="A411" s="628"/>
      <c r="B411" s="2221"/>
      <c r="C411" s="968"/>
      <c r="D411" s="676"/>
      <c r="E411" s="692" t="s">
        <v>4192</v>
      </c>
      <c r="F411" s="678">
        <v>40500</v>
      </c>
      <c r="G411" s="678">
        <v>40500</v>
      </c>
      <c r="H411" s="688"/>
      <c r="I411" s="1984"/>
      <c r="J411" s="2231" t="s">
        <v>4158</v>
      </c>
      <c r="K411" s="3164"/>
      <c r="L411" s="3164"/>
      <c r="M411" s="3164"/>
      <c r="N411" s="3164"/>
      <c r="O411" s="3164"/>
      <c r="P411" s="3164"/>
      <c r="Q411" s="3164"/>
      <c r="R411" s="3164"/>
      <c r="S411" s="3164"/>
      <c r="T411" s="3164"/>
      <c r="U411" s="3164"/>
      <c r="V411" s="3164"/>
      <c r="W411" s="3164"/>
      <c r="X411" s="2171"/>
      <c r="Y411" s="871">
        <f>+Y413+Y414+Y415</f>
        <v>30500</v>
      </c>
      <c r="Z411" s="2233"/>
      <c r="AA411" s="427"/>
      <c r="AB411" s="427"/>
      <c r="AC411" s="192"/>
    </row>
    <row r="412" spans="1:29" s="250" customFormat="1" ht="21" customHeight="1">
      <c r="A412" s="628"/>
      <c r="B412" s="2221"/>
      <c r="C412" s="968"/>
      <c r="D412" s="676"/>
      <c r="E412" s="692"/>
      <c r="F412" s="678"/>
      <c r="G412" s="678"/>
      <c r="H412" s="688"/>
      <c r="I412" s="1984"/>
      <c r="J412" s="2231" t="s">
        <v>5283</v>
      </c>
      <c r="K412" s="3164"/>
      <c r="L412" s="3164"/>
      <c r="M412" s="3164"/>
      <c r="N412" s="3164"/>
      <c r="O412" s="3164"/>
      <c r="P412" s="3164"/>
      <c r="Q412" s="3164"/>
      <c r="R412" s="3164"/>
      <c r="S412" s="3164">
        <v>10000000</v>
      </c>
      <c r="T412" s="3164" t="s">
        <v>4153</v>
      </c>
      <c r="U412" s="3164"/>
      <c r="V412" s="3164">
        <v>1</v>
      </c>
      <c r="W412" s="3164" t="s">
        <v>4187</v>
      </c>
      <c r="X412" s="2171" t="s">
        <v>4155</v>
      </c>
      <c r="Y412" s="871">
        <v>10000</v>
      </c>
      <c r="Z412" s="2233"/>
      <c r="AA412" s="427"/>
      <c r="AB412" s="427"/>
      <c r="AC412" s="192"/>
    </row>
    <row r="413" spans="1:29" s="250" customFormat="1" ht="21" customHeight="1">
      <c r="A413" s="628"/>
      <c r="B413" s="2221"/>
      <c r="C413" s="968"/>
      <c r="D413" s="676"/>
      <c r="E413" s="3270"/>
      <c r="F413" s="678"/>
      <c r="G413" s="678"/>
      <c r="H413" s="688"/>
      <c r="I413" s="1984"/>
      <c r="J413" s="2231" t="s">
        <v>5284</v>
      </c>
      <c r="K413" s="3164"/>
      <c r="L413" s="3164"/>
      <c r="M413" s="3164"/>
      <c r="N413" s="3164"/>
      <c r="O413" s="3164"/>
      <c r="P413" s="3164"/>
      <c r="Q413" s="3164"/>
      <c r="R413" s="3164"/>
      <c r="S413" s="3164">
        <v>3000000</v>
      </c>
      <c r="T413" s="3164" t="s">
        <v>4153</v>
      </c>
      <c r="U413" s="3164"/>
      <c r="V413" s="3164">
        <v>3</v>
      </c>
      <c r="W413" s="3164" t="s">
        <v>4188</v>
      </c>
      <c r="X413" s="2171" t="s">
        <v>4155</v>
      </c>
      <c r="Y413" s="871">
        <f>S413*V413/1000</f>
        <v>9000</v>
      </c>
      <c r="Z413" s="2233"/>
      <c r="AA413" s="427"/>
      <c r="AB413" s="427"/>
      <c r="AC413" s="192"/>
    </row>
    <row r="414" spans="1:29" s="250" customFormat="1" ht="21" customHeight="1">
      <c r="A414" s="628"/>
      <c r="B414" s="2221"/>
      <c r="C414" s="968"/>
      <c r="D414" s="676"/>
      <c r="E414" s="3270"/>
      <c r="F414" s="678"/>
      <c r="G414" s="3262"/>
      <c r="H414" s="3265"/>
      <c r="I414" s="1984"/>
      <c r="J414" s="2231" t="s">
        <v>5285</v>
      </c>
      <c r="K414" s="3164"/>
      <c r="L414" s="3164"/>
      <c r="M414" s="3164"/>
      <c r="N414" s="3164"/>
      <c r="O414" s="3164"/>
      <c r="P414" s="3164"/>
      <c r="Q414" s="3164"/>
      <c r="R414" s="3164"/>
      <c r="S414" s="3164">
        <v>5500000</v>
      </c>
      <c r="T414" s="3164" t="s">
        <v>4153</v>
      </c>
      <c r="U414" s="3164"/>
      <c r="V414" s="3164">
        <v>3</v>
      </c>
      <c r="W414" s="3164" t="s">
        <v>4188</v>
      </c>
      <c r="X414" s="2171" t="s">
        <v>4155</v>
      </c>
      <c r="Y414" s="871">
        <f>S414*V414/1000</f>
        <v>16500</v>
      </c>
      <c r="Z414" s="2233"/>
      <c r="AA414" s="427"/>
      <c r="AB414" s="427"/>
      <c r="AC414" s="192"/>
    </row>
    <row r="415" spans="1:29" s="250" customFormat="1" ht="21" customHeight="1">
      <c r="A415" s="628"/>
      <c r="B415" s="2221"/>
      <c r="C415" s="968"/>
      <c r="D415" s="676"/>
      <c r="E415" s="692"/>
      <c r="F415" s="678"/>
      <c r="G415" s="678"/>
      <c r="H415" s="688"/>
      <c r="I415" s="1984"/>
      <c r="J415" s="2231" t="s">
        <v>5286</v>
      </c>
      <c r="K415" s="3164"/>
      <c r="L415" s="3164"/>
      <c r="M415" s="3164"/>
      <c r="N415" s="3164"/>
      <c r="O415" s="3164"/>
      <c r="P415" s="3164"/>
      <c r="Q415" s="3164">
        <v>5</v>
      </c>
      <c r="R415" s="3164" t="s">
        <v>4161</v>
      </c>
      <c r="S415" s="3164">
        <v>200000</v>
      </c>
      <c r="T415" s="3164" t="s">
        <v>4153</v>
      </c>
      <c r="U415" s="3164"/>
      <c r="V415" s="3164">
        <v>5</v>
      </c>
      <c r="W415" s="3164" t="s">
        <v>4162</v>
      </c>
      <c r="X415" s="2171" t="s">
        <v>4155</v>
      </c>
      <c r="Y415" s="871">
        <f>Q415*S415*V415/1000</f>
        <v>5000</v>
      </c>
      <c r="Z415" s="2233"/>
      <c r="AA415" s="427"/>
      <c r="AB415" s="427"/>
      <c r="AC415" s="192"/>
    </row>
    <row r="416" spans="1:29" s="250" customFormat="1" ht="19.149999999999999" customHeight="1">
      <c r="A416" s="628"/>
      <c r="B416" s="2221"/>
      <c r="C416" s="968"/>
      <c r="D416" s="676"/>
      <c r="E416" s="692" t="s">
        <v>4163</v>
      </c>
      <c r="F416" s="678">
        <f>Y416</f>
        <v>190000</v>
      </c>
      <c r="G416" s="678">
        <v>190000</v>
      </c>
      <c r="H416" s="688"/>
      <c r="I416" s="1984"/>
      <c r="J416" s="2231" t="s">
        <v>4158</v>
      </c>
      <c r="K416" s="3164"/>
      <c r="L416" s="3164"/>
      <c r="M416" s="3164"/>
      <c r="N416" s="3164"/>
      <c r="O416" s="3164"/>
      <c r="P416" s="3164"/>
      <c r="Q416" s="3164"/>
      <c r="R416" s="3164"/>
      <c r="S416" s="3164"/>
      <c r="T416" s="3164"/>
      <c r="U416" s="3164"/>
      <c r="V416" s="3164"/>
      <c r="W416" s="3164"/>
      <c r="X416" s="2171"/>
      <c r="Y416" s="871">
        <f>+Y417+Y418</f>
        <v>190000</v>
      </c>
      <c r="Z416" s="2233"/>
      <c r="AA416" s="427"/>
      <c r="AB416" s="427"/>
      <c r="AC416" s="192"/>
    </row>
    <row r="417" spans="1:29" s="250" customFormat="1" ht="19.149999999999999" customHeight="1">
      <c r="A417" s="628"/>
      <c r="B417" s="2221"/>
      <c r="C417" s="968"/>
      <c r="D417" s="676"/>
      <c r="E417" s="3270"/>
      <c r="F417" s="678"/>
      <c r="G417" s="678"/>
      <c r="H417" s="688"/>
      <c r="I417" s="1984"/>
      <c r="J417" s="2231" t="s">
        <v>5287</v>
      </c>
      <c r="K417" s="3164"/>
      <c r="L417" s="3164"/>
      <c r="M417" s="3164"/>
      <c r="N417" s="3164"/>
      <c r="O417" s="3164"/>
      <c r="P417" s="3164"/>
      <c r="Q417" s="3164"/>
      <c r="R417" s="3164"/>
      <c r="S417" s="3164">
        <v>40000000</v>
      </c>
      <c r="T417" s="3164" t="s">
        <v>4153</v>
      </c>
      <c r="U417" s="3164"/>
      <c r="V417" s="3164">
        <v>3</v>
      </c>
      <c r="W417" s="3164" t="s">
        <v>4193</v>
      </c>
      <c r="X417" s="2171" t="s">
        <v>4155</v>
      </c>
      <c r="Y417" s="871">
        <f>S417*V417/1000</f>
        <v>120000</v>
      </c>
      <c r="Z417" s="2233"/>
      <c r="AA417" s="427"/>
      <c r="AB417" s="427"/>
      <c r="AC417" s="192"/>
    </row>
    <row r="418" spans="1:29" s="250" customFormat="1" ht="19.149999999999999" customHeight="1">
      <c r="A418" s="628"/>
      <c r="B418" s="2221"/>
      <c r="C418" s="968"/>
      <c r="D418" s="676"/>
      <c r="E418" s="692"/>
      <c r="F418" s="678"/>
      <c r="G418" s="678"/>
      <c r="H418" s="688"/>
      <c r="I418" s="1984"/>
      <c r="J418" s="2231" t="s">
        <v>5288</v>
      </c>
      <c r="K418" s="3164"/>
      <c r="L418" s="3164"/>
      <c r="M418" s="3164"/>
      <c r="N418" s="3164"/>
      <c r="O418" s="3164"/>
      <c r="P418" s="3164"/>
      <c r="Q418" s="3164"/>
      <c r="R418" s="3164"/>
      <c r="S418" s="3164">
        <v>70000000</v>
      </c>
      <c r="T418" s="3164" t="s">
        <v>4153</v>
      </c>
      <c r="U418" s="3164"/>
      <c r="V418" s="3164">
        <v>1</v>
      </c>
      <c r="W418" s="3164" t="s">
        <v>4162</v>
      </c>
      <c r="X418" s="2171" t="s">
        <v>4155</v>
      </c>
      <c r="Y418" s="871">
        <f>S418*V418/1000</f>
        <v>70000</v>
      </c>
      <c r="Z418" s="2233"/>
      <c r="AA418" s="427"/>
      <c r="AB418" s="427"/>
      <c r="AC418" s="192"/>
    </row>
    <row r="419" spans="1:29" s="250" customFormat="1" ht="19.149999999999999" customHeight="1">
      <c r="A419" s="628"/>
      <c r="B419" s="2221"/>
      <c r="C419" s="968"/>
      <c r="D419" s="676"/>
      <c r="E419" s="692" t="s">
        <v>4194</v>
      </c>
      <c r="F419" s="678">
        <v>3000</v>
      </c>
      <c r="G419" s="678">
        <v>3000</v>
      </c>
      <c r="H419" s="688"/>
      <c r="I419" s="1984"/>
      <c r="J419" s="2231" t="s">
        <v>4195</v>
      </c>
      <c r="K419" s="3164"/>
      <c r="L419" s="3164"/>
      <c r="M419" s="3164"/>
      <c r="N419" s="3164"/>
      <c r="O419" s="3164"/>
      <c r="P419" s="3164"/>
      <c r="Q419" s="3164">
        <v>10</v>
      </c>
      <c r="R419" s="3164" t="s">
        <v>4161</v>
      </c>
      <c r="S419" s="3164">
        <v>20000</v>
      </c>
      <c r="T419" s="3164" t="s">
        <v>4153</v>
      </c>
      <c r="U419" s="3164"/>
      <c r="V419" s="3164">
        <v>15</v>
      </c>
      <c r="W419" s="3164" t="s">
        <v>4162</v>
      </c>
      <c r="X419" s="2171" t="s">
        <v>4155</v>
      </c>
      <c r="Y419" s="871">
        <f>Q419*S419*V419/1000</f>
        <v>3000</v>
      </c>
      <c r="Z419" s="2233"/>
      <c r="AA419" s="427"/>
      <c r="AB419" s="427"/>
      <c r="AC419" s="192"/>
    </row>
    <row r="420" spans="1:29" s="250" customFormat="1" ht="19.149999999999999" customHeight="1">
      <c r="A420" s="628"/>
      <c r="B420" s="2221"/>
      <c r="C420" s="968"/>
      <c r="D420" s="676"/>
      <c r="E420" s="692" t="s">
        <v>4196</v>
      </c>
      <c r="F420" s="678">
        <v>1500</v>
      </c>
      <c r="G420" s="678">
        <v>1500</v>
      </c>
      <c r="H420" s="688"/>
      <c r="I420" s="1984"/>
      <c r="J420" s="2231" t="s">
        <v>4197</v>
      </c>
      <c r="K420" s="3164"/>
      <c r="L420" s="3164"/>
      <c r="M420" s="3164"/>
      <c r="N420" s="3164"/>
      <c r="O420" s="3164"/>
      <c r="P420" s="3164"/>
      <c r="Q420" s="3164"/>
      <c r="R420" s="3164"/>
      <c r="S420" s="3164">
        <v>150000</v>
      </c>
      <c r="T420" s="3164" t="s">
        <v>4153</v>
      </c>
      <c r="U420" s="3164"/>
      <c r="V420" s="3164">
        <v>10</v>
      </c>
      <c r="W420" s="3164" t="s">
        <v>4198</v>
      </c>
      <c r="X420" s="2171" t="s">
        <v>4155</v>
      </c>
      <c r="Y420" s="871">
        <f>S420*V420/1000</f>
        <v>1500</v>
      </c>
      <c r="Z420" s="2233"/>
      <c r="AA420" s="427"/>
      <c r="AB420" s="427"/>
      <c r="AC420" s="192"/>
    </row>
    <row r="421" spans="1:29" s="250" customFormat="1" ht="19.149999999999999" customHeight="1">
      <c r="A421" s="628"/>
      <c r="B421" s="2221"/>
      <c r="C421" s="968"/>
      <c r="D421" s="676"/>
      <c r="E421" s="692" t="s">
        <v>4199</v>
      </c>
      <c r="F421" s="678">
        <v>17400</v>
      </c>
      <c r="G421" s="678">
        <v>17400</v>
      </c>
      <c r="H421" s="688"/>
      <c r="I421" s="1984"/>
      <c r="J421" s="2231" t="s">
        <v>4158</v>
      </c>
      <c r="K421" s="3164"/>
      <c r="L421" s="3164"/>
      <c r="M421" s="3164"/>
      <c r="N421" s="3164"/>
      <c r="O421" s="3164"/>
      <c r="P421" s="3164"/>
      <c r="Q421" s="3164"/>
      <c r="R421" s="3164"/>
      <c r="S421" s="3164"/>
      <c r="T421" s="3164"/>
      <c r="U421" s="3164"/>
      <c r="V421" s="3164"/>
      <c r="W421" s="3164"/>
      <c r="X421" s="2171"/>
      <c r="Y421" s="871">
        <f>Y422+Y423</f>
        <v>17400</v>
      </c>
      <c r="Z421" s="2233"/>
      <c r="AA421" s="427"/>
      <c r="AB421" s="427"/>
      <c r="AC421" s="192"/>
    </row>
    <row r="422" spans="1:29" s="250" customFormat="1" ht="19.149999999999999" customHeight="1">
      <c r="A422" s="628"/>
      <c r="B422" s="2221"/>
      <c r="C422" s="968"/>
      <c r="D422" s="676"/>
      <c r="E422" s="692"/>
      <c r="F422" s="678"/>
      <c r="G422" s="678"/>
      <c r="H422" s="688"/>
      <c r="I422" s="1984"/>
      <c r="J422" s="2231" t="s">
        <v>5289</v>
      </c>
      <c r="K422" s="3164"/>
      <c r="L422" s="3164"/>
      <c r="M422" s="3164"/>
      <c r="N422" s="3164"/>
      <c r="O422" s="3164"/>
      <c r="P422" s="3164"/>
      <c r="Q422" s="3164">
        <v>4</v>
      </c>
      <c r="R422" s="3164" t="s">
        <v>4161</v>
      </c>
      <c r="S422" s="3164">
        <v>3000000</v>
      </c>
      <c r="T422" s="3164" t="s">
        <v>4153</v>
      </c>
      <c r="U422" s="3164"/>
      <c r="V422" s="3164">
        <v>1</v>
      </c>
      <c r="W422" s="3164" t="s">
        <v>4162</v>
      </c>
      <c r="X422" s="2171" t="s">
        <v>4155</v>
      </c>
      <c r="Y422" s="871">
        <f>Q422*S422*V422/1000</f>
        <v>12000</v>
      </c>
      <c r="Z422" s="2233"/>
      <c r="AA422" s="427"/>
      <c r="AB422" s="427"/>
      <c r="AC422" s="192"/>
    </row>
    <row r="423" spans="1:29" s="250" customFormat="1" ht="19.149999999999999" customHeight="1">
      <c r="A423" s="628"/>
      <c r="B423" s="2221"/>
      <c r="C423" s="968"/>
      <c r="D423" s="676"/>
      <c r="E423" s="692"/>
      <c r="F423" s="678"/>
      <c r="G423" s="678"/>
      <c r="H423" s="688"/>
      <c r="I423" s="1984"/>
      <c r="J423" s="2231" t="s">
        <v>5290</v>
      </c>
      <c r="K423" s="3164"/>
      <c r="L423" s="3164"/>
      <c r="M423" s="3164"/>
      <c r="N423" s="3164"/>
      <c r="O423" s="3164"/>
      <c r="P423" s="3164"/>
      <c r="Q423" s="3164">
        <v>3</v>
      </c>
      <c r="R423" s="3164" t="s">
        <v>4161</v>
      </c>
      <c r="S423" s="3164">
        <v>300000</v>
      </c>
      <c r="T423" s="3164" t="s">
        <v>4153</v>
      </c>
      <c r="U423" s="3164"/>
      <c r="V423" s="3164">
        <v>6</v>
      </c>
      <c r="W423" s="3164" t="s">
        <v>4162</v>
      </c>
      <c r="X423" s="2171" t="s">
        <v>4155</v>
      </c>
      <c r="Y423" s="871">
        <f>Q423*S423*V423/1000</f>
        <v>5400</v>
      </c>
      <c r="Z423" s="2233"/>
      <c r="AA423" s="427"/>
      <c r="AB423" s="427"/>
      <c r="AC423" s="192"/>
    </row>
    <row r="424" spans="1:29" s="250" customFormat="1" ht="19.149999999999999" customHeight="1">
      <c r="A424" s="628"/>
      <c r="B424" s="2221"/>
      <c r="C424" s="968"/>
      <c r="D424" s="676"/>
      <c r="E424" s="692" t="s">
        <v>4157</v>
      </c>
      <c r="F424" s="678">
        <v>1600</v>
      </c>
      <c r="G424" s="678">
        <v>1600</v>
      </c>
      <c r="H424" s="688"/>
      <c r="I424" s="1984"/>
      <c r="J424" s="2231" t="s">
        <v>4158</v>
      </c>
      <c r="K424" s="3164"/>
      <c r="L424" s="3164"/>
      <c r="M424" s="3164"/>
      <c r="N424" s="3164"/>
      <c r="O424" s="3164"/>
      <c r="P424" s="3164"/>
      <c r="Q424" s="3164"/>
      <c r="R424" s="3164"/>
      <c r="S424" s="3164"/>
      <c r="T424" s="3164"/>
      <c r="U424" s="3164"/>
      <c r="V424" s="3164"/>
      <c r="W424" s="3164"/>
      <c r="X424" s="2171"/>
      <c r="Y424" s="871">
        <f>Y425+Y426</f>
        <v>1600</v>
      </c>
      <c r="Z424" s="2233"/>
      <c r="AA424" s="427"/>
      <c r="AB424" s="427"/>
      <c r="AC424" s="192"/>
    </row>
    <row r="425" spans="1:29" s="250" customFormat="1" ht="19.149999999999999" customHeight="1">
      <c r="A425" s="628"/>
      <c r="B425" s="2221"/>
      <c r="C425" s="968"/>
      <c r="D425" s="676"/>
      <c r="E425" s="692"/>
      <c r="F425" s="678"/>
      <c r="G425" s="678"/>
      <c r="H425" s="688"/>
      <c r="I425" s="1984"/>
      <c r="J425" s="2231" t="s">
        <v>5291</v>
      </c>
      <c r="K425" s="3164"/>
      <c r="L425" s="3164"/>
      <c r="M425" s="3164"/>
      <c r="N425" s="3164"/>
      <c r="O425" s="3164"/>
      <c r="P425" s="3164"/>
      <c r="Q425" s="3164"/>
      <c r="R425" s="3164"/>
      <c r="S425" s="3164">
        <v>400000</v>
      </c>
      <c r="T425" s="3164" t="s">
        <v>4153</v>
      </c>
      <c r="U425" s="3164"/>
      <c r="V425" s="3164">
        <v>1</v>
      </c>
      <c r="W425" s="3164" t="s">
        <v>4162</v>
      </c>
      <c r="X425" s="2171" t="s">
        <v>4155</v>
      </c>
      <c r="Y425" s="871">
        <f>S425*V425/1000</f>
        <v>400</v>
      </c>
      <c r="Z425" s="2233"/>
      <c r="AA425" s="427"/>
      <c r="AB425" s="427"/>
      <c r="AC425" s="192"/>
    </row>
    <row r="426" spans="1:29" s="250" customFormat="1" ht="19.149999999999999" customHeight="1" thickBot="1">
      <c r="A426" s="628"/>
      <c r="B426" s="2221"/>
      <c r="C426" s="968"/>
      <c r="D426" s="676"/>
      <c r="E426" s="3237"/>
      <c r="F426" s="2040"/>
      <c r="G426" s="2040"/>
      <c r="H426" s="929"/>
      <c r="I426" s="1984"/>
      <c r="J426" s="2231" t="s">
        <v>1562</v>
      </c>
      <c r="K426" s="3164"/>
      <c r="L426" s="3164"/>
      <c r="M426" s="3164"/>
      <c r="N426" s="3164"/>
      <c r="O426" s="3164"/>
      <c r="P426" s="3164"/>
      <c r="Q426" s="3164"/>
      <c r="R426" s="3164"/>
      <c r="S426" s="3164">
        <v>100000</v>
      </c>
      <c r="T426" s="3164" t="s">
        <v>4153</v>
      </c>
      <c r="U426" s="3164"/>
      <c r="V426" s="3164">
        <v>12</v>
      </c>
      <c r="W426" s="3164" t="s">
        <v>4154</v>
      </c>
      <c r="X426" s="2171" t="s">
        <v>4155</v>
      </c>
      <c r="Y426" s="871">
        <f>S426*V426/1000</f>
        <v>1200</v>
      </c>
      <c r="Z426" s="2233"/>
      <c r="AA426" s="427"/>
      <c r="AB426" s="427"/>
      <c r="AC426" s="192"/>
    </row>
    <row r="427" spans="1:29" s="250" customFormat="1" ht="19.149999999999999" customHeight="1" thickBot="1">
      <c r="A427" s="540"/>
      <c r="B427" s="568" t="s">
        <v>946</v>
      </c>
      <c r="C427" s="569"/>
      <c r="D427" s="570"/>
      <c r="E427" s="571"/>
      <c r="F427" s="572">
        <f>+F428+F462+F539+F576</f>
        <v>1249999.999999996</v>
      </c>
      <c r="G427" s="572">
        <f>+G428+G462+G539+G576</f>
        <v>1249999.999999996</v>
      </c>
      <c r="H427" s="573">
        <f>F427-G427</f>
        <v>0</v>
      </c>
      <c r="I427" s="543"/>
      <c r="J427" s="574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7"/>
      <c r="Z427" s="3473" t="e">
        <f>+Z428+Z462+Z539+Z576</f>
        <v>#REF!</v>
      </c>
      <c r="AA427" s="427"/>
      <c r="AB427" s="427"/>
      <c r="AC427" s="192"/>
    </row>
    <row r="428" spans="1:29" s="250" customFormat="1" ht="19.149999999999999" customHeight="1">
      <c r="A428" s="540"/>
      <c r="B428" s="541"/>
      <c r="C428" s="3935" t="s">
        <v>947</v>
      </c>
      <c r="D428" s="3936"/>
      <c r="E428" s="3937"/>
      <c r="F428" s="2319">
        <f>+F429+F460</f>
        <v>129999.999999996</v>
      </c>
      <c r="G428" s="2319">
        <f>+G429+G460</f>
        <v>129999.999999996</v>
      </c>
      <c r="H428" s="1332">
        <f>F428-G428</f>
        <v>0</v>
      </c>
      <c r="I428" s="543"/>
      <c r="J428" s="580"/>
      <c r="K428" s="2072"/>
      <c r="L428" s="2072"/>
      <c r="M428" s="2072"/>
      <c r="N428" s="2072"/>
      <c r="O428" s="2072"/>
      <c r="P428" s="2072"/>
      <c r="Q428" s="2072"/>
      <c r="R428" s="2348"/>
      <c r="S428" s="2072"/>
      <c r="T428" s="2072"/>
      <c r="U428" s="2072"/>
      <c r="V428" s="2072"/>
      <c r="W428" s="2072"/>
      <c r="X428" s="2072"/>
      <c r="Y428" s="2349"/>
      <c r="Z428" s="3480" t="e">
        <f>+#REF!+Z460</f>
        <v>#REF!</v>
      </c>
      <c r="AA428" s="427"/>
      <c r="AB428" s="427"/>
      <c r="AC428" s="192"/>
    </row>
    <row r="429" spans="1:29" s="250" customFormat="1" ht="19.149999999999999" customHeight="1">
      <c r="A429" s="540"/>
      <c r="B429" s="541"/>
      <c r="C429" s="2093"/>
      <c r="D429" s="3825" t="s">
        <v>1208</v>
      </c>
      <c r="E429" s="3826"/>
      <c r="F429" s="525">
        <f>SUM(F430:F459)</f>
        <v>124999.999999996</v>
      </c>
      <c r="G429" s="525">
        <f>SUM(G430:G459)</f>
        <v>124999.999999996</v>
      </c>
      <c r="H429" s="627">
        <f>F429-G429</f>
        <v>0</v>
      </c>
      <c r="I429" s="543"/>
      <c r="J429" s="538"/>
      <c r="K429" s="2068"/>
      <c r="L429" s="2068"/>
      <c r="M429" s="2068"/>
      <c r="N429" s="2068"/>
      <c r="O429" s="2068"/>
      <c r="P429" s="2068"/>
      <c r="Q429" s="2068"/>
      <c r="R429" s="539"/>
      <c r="S429" s="2068"/>
      <c r="T429" s="2068"/>
      <c r="U429" s="2068"/>
      <c r="V429" s="2068"/>
      <c r="W429" s="2068"/>
      <c r="X429" s="2068"/>
      <c r="Y429" s="600"/>
      <c r="Z429" s="3474">
        <f>+Z430+Z433+Z434+Z435+Z439+Z440+Z443+Z446+Z449+Z450+Z455+Z456+Z459</f>
        <v>124999999.99999601</v>
      </c>
      <c r="AA429" s="427"/>
      <c r="AB429" s="427"/>
      <c r="AC429" s="192"/>
    </row>
    <row r="430" spans="1:29" s="250" customFormat="1" ht="19.149999999999999" customHeight="1">
      <c r="A430" s="540"/>
      <c r="B430" s="541"/>
      <c r="C430" s="542"/>
      <c r="D430" s="548"/>
      <c r="E430" s="2023" t="s">
        <v>916</v>
      </c>
      <c r="F430" s="526">
        <f>Y430</f>
        <v>3200</v>
      </c>
      <c r="G430" s="2326">
        <v>3200</v>
      </c>
      <c r="H430" s="551"/>
      <c r="I430" s="543"/>
      <c r="J430" s="2105" t="s">
        <v>768</v>
      </c>
      <c r="K430" s="2106"/>
      <c r="L430" s="2082"/>
      <c r="M430" s="2082"/>
      <c r="N430" s="2082"/>
      <c r="O430" s="2082"/>
      <c r="P430" s="2082"/>
      <c r="Q430" s="556"/>
      <c r="R430" s="2092"/>
      <c r="S430" s="474"/>
      <c r="T430" s="2106"/>
      <c r="U430" s="2106"/>
      <c r="V430" s="2106"/>
      <c r="W430" s="2106"/>
      <c r="X430" s="2106"/>
      <c r="Y430" s="483">
        <f t="shared" ref="Y430:Y459" si="76">(Z430)/1000</f>
        <v>3200</v>
      </c>
      <c r="Z430" s="1898">
        <f>SUM(Z431:Z432)</f>
        <v>3200000</v>
      </c>
      <c r="AA430" s="427"/>
      <c r="AB430" s="427"/>
      <c r="AC430" s="192"/>
    </row>
    <row r="431" spans="1:29" s="250" customFormat="1" ht="19.149999999999999" customHeight="1">
      <c r="A431" s="540"/>
      <c r="B431" s="541"/>
      <c r="C431" s="542"/>
      <c r="D431" s="548"/>
      <c r="E431" s="2023"/>
      <c r="F431" s="526"/>
      <c r="G431" s="2326"/>
      <c r="H431" s="551"/>
      <c r="I431" s="543"/>
      <c r="J431" s="2105" t="s">
        <v>1209</v>
      </c>
      <c r="K431" s="2106"/>
      <c r="L431" s="2082"/>
      <c r="M431" s="2082"/>
      <c r="N431" s="2082"/>
      <c r="O431" s="2082"/>
      <c r="P431" s="2082"/>
      <c r="Q431" s="556"/>
      <c r="R431" s="2092"/>
      <c r="S431" s="474">
        <v>250000</v>
      </c>
      <c r="T431" s="2106" t="s">
        <v>37</v>
      </c>
      <c r="U431" s="2106"/>
      <c r="V431" s="2106">
        <v>8</v>
      </c>
      <c r="W431" s="2106" t="s">
        <v>824</v>
      </c>
      <c r="X431" s="2106" t="s">
        <v>38</v>
      </c>
      <c r="Y431" s="483">
        <f t="shared" si="76"/>
        <v>2000</v>
      </c>
      <c r="Z431" s="1898">
        <f>S431*V431</f>
        <v>2000000</v>
      </c>
      <c r="AA431" s="427"/>
      <c r="AB431" s="427"/>
      <c r="AC431" s="192"/>
    </row>
    <row r="432" spans="1:29" s="250" customFormat="1" ht="19.149999999999999" customHeight="1">
      <c r="A432" s="540"/>
      <c r="B432" s="541"/>
      <c r="C432" s="542"/>
      <c r="D432" s="548"/>
      <c r="E432" s="2023"/>
      <c r="F432" s="526"/>
      <c r="G432" s="2326"/>
      <c r="H432" s="551"/>
      <c r="I432" s="543"/>
      <c r="J432" s="2105" t="s">
        <v>1210</v>
      </c>
      <c r="K432" s="2106"/>
      <c r="L432" s="2082"/>
      <c r="M432" s="2082"/>
      <c r="N432" s="2082"/>
      <c r="O432" s="2082"/>
      <c r="P432" s="2082"/>
      <c r="Q432" s="556">
        <v>1</v>
      </c>
      <c r="R432" s="2092" t="s">
        <v>1211</v>
      </c>
      <c r="S432" s="474">
        <v>100000</v>
      </c>
      <c r="T432" s="2106" t="s">
        <v>37</v>
      </c>
      <c r="U432" s="2106"/>
      <c r="V432" s="2106">
        <v>12</v>
      </c>
      <c r="W432" s="2106" t="s">
        <v>830</v>
      </c>
      <c r="X432" s="2106" t="s">
        <v>38</v>
      </c>
      <c r="Y432" s="483">
        <f t="shared" si="76"/>
        <v>1200</v>
      </c>
      <c r="Z432" s="1898">
        <f>Q432*S432*V432</f>
        <v>1200000</v>
      </c>
      <c r="AA432" s="427"/>
      <c r="AB432" s="427"/>
      <c r="AC432" s="192"/>
    </row>
    <row r="433" spans="1:29" s="294" customFormat="1" ht="19.149999999999999" customHeight="1">
      <c r="A433" s="540"/>
      <c r="B433" s="541"/>
      <c r="C433" s="542"/>
      <c r="D433" s="548"/>
      <c r="E433" s="2023" t="s">
        <v>1212</v>
      </c>
      <c r="F433" s="526">
        <f>Y433</f>
        <v>2400</v>
      </c>
      <c r="G433" s="2326">
        <v>2400</v>
      </c>
      <c r="H433" s="551"/>
      <c r="I433" s="543"/>
      <c r="J433" s="2105" t="s">
        <v>1213</v>
      </c>
      <c r="K433" s="2106"/>
      <c r="L433" s="2082"/>
      <c r="M433" s="2082"/>
      <c r="N433" s="2082"/>
      <c r="O433" s="2082"/>
      <c r="P433" s="2082"/>
      <c r="Q433" s="556"/>
      <c r="R433" s="2092"/>
      <c r="S433" s="474">
        <v>200000</v>
      </c>
      <c r="T433" s="2106" t="s">
        <v>37</v>
      </c>
      <c r="U433" s="2106"/>
      <c r="V433" s="2106">
        <v>12</v>
      </c>
      <c r="W433" s="2106" t="s">
        <v>830</v>
      </c>
      <c r="X433" s="2106" t="s">
        <v>38</v>
      </c>
      <c r="Y433" s="483">
        <f t="shared" si="76"/>
        <v>2400</v>
      </c>
      <c r="Z433" s="1898">
        <f>S433*V433</f>
        <v>2400000</v>
      </c>
      <c r="AA433" s="427"/>
      <c r="AB433" s="427"/>
      <c r="AC433" s="192"/>
    </row>
    <row r="434" spans="1:29" s="294" customFormat="1" ht="19.149999999999999" customHeight="1">
      <c r="A434" s="540"/>
      <c r="B434" s="541"/>
      <c r="C434" s="542"/>
      <c r="D434" s="548"/>
      <c r="E434" s="2023" t="s">
        <v>1214</v>
      </c>
      <c r="F434" s="526">
        <f>Y434</f>
        <v>1500</v>
      </c>
      <c r="G434" s="2326">
        <v>1500</v>
      </c>
      <c r="H434" s="551"/>
      <c r="I434" s="543"/>
      <c r="J434" s="2105" t="s">
        <v>1215</v>
      </c>
      <c r="K434" s="2106"/>
      <c r="L434" s="2082"/>
      <c r="M434" s="2082"/>
      <c r="N434" s="2082"/>
      <c r="O434" s="2082"/>
      <c r="P434" s="2082"/>
      <c r="Q434" s="556"/>
      <c r="R434" s="2092"/>
      <c r="S434" s="474">
        <v>300000</v>
      </c>
      <c r="T434" s="2106" t="s">
        <v>37</v>
      </c>
      <c r="U434" s="2106"/>
      <c r="V434" s="2106">
        <v>5</v>
      </c>
      <c r="W434" s="2106" t="s">
        <v>39</v>
      </c>
      <c r="X434" s="2106" t="s">
        <v>38</v>
      </c>
      <c r="Y434" s="483">
        <f t="shared" si="76"/>
        <v>1500</v>
      </c>
      <c r="Z434" s="1898">
        <f>S434*V434</f>
        <v>1500000</v>
      </c>
      <c r="AA434" s="427"/>
      <c r="AB434" s="427"/>
      <c r="AC434" s="192"/>
    </row>
    <row r="435" spans="1:29" s="523" customFormat="1" ht="19.149999999999999" customHeight="1">
      <c r="A435" s="540"/>
      <c r="B435" s="541"/>
      <c r="C435" s="542"/>
      <c r="D435" s="548"/>
      <c r="E435" s="2023" t="s">
        <v>934</v>
      </c>
      <c r="F435" s="526">
        <f>Y435</f>
        <v>6000</v>
      </c>
      <c r="G435" s="2326">
        <v>6000</v>
      </c>
      <c r="H435" s="551"/>
      <c r="I435" s="543"/>
      <c r="J435" s="2105" t="s">
        <v>768</v>
      </c>
      <c r="K435" s="2106"/>
      <c r="L435" s="2082"/>
      <c r="M435" s="2082"/>
      <c r="N435" s="2082"/>
      <c r="O435" s="2082"/>
      <c r="P435" s="2082"/>
      <c r="Q435" s="556"/>
      <c r="R435" s="2092"/>
      <c r="S435" s="474"/>
      <c r="T435" s="2106"/>
      <c r="U435" s="2106"/>
      <c r="V435" s="2106"/>
      <c r="W435" s="2106"/>
      <c r="X435" s="2106"/>
      <c r="Y435" s="483">
        <f t="shared" si="76"/>
        <v>6000</v>
      </c>
      <c r="Z435" s="1898">
        <f>SUM(Z436:Z438)</f>
        <v>6000000</v>
      </c>
      <c r="AA435" s="427"/>
      <c r="AB435" s="427"/>
      <c r="AC435" s="192"/>
    </row>
    <row r="436" spans="1:29" s="523" customFormat="1" ht="19.149999999999999" customHeight="1">
      <c r="A436" s="540"/>
      <c r="B436" s="541"/>
      <c r="C436" s="542"/>
      <c r="D436" s="548"/>
      <c r="E436" s="2023"/>
      <c r="F436" s="526"/>
      <c r="G436" s="2326"/>
      <c r="H436" s="551"/>
      <c r="I436" s="543"/>
      <c r="J436" s="2105" t="s">
        <v>1216</v>
      </c>
      <c r="K436" s="2106"/>
      <c r="L436" s="2082"/>
      <c r="M436" s="2082"/>
      <c r="N436" s="2082"/>
      <c r="O436" s="2082"/>
      <c r="P436" s="2082"/>
      <c r="Q436" s="556">
        <v>5</v>
      </c>
      <c r="R436" s="2092" t="s">
        <v>1217</v>
      </c>
      <c r="S436" s="474">
        <v>30000</v>
      </c>
      <c r="T436" s="2106" t="s">
        <v>37</v>
      </c>
      <c r="U436" s="2106"/>
      <c r="V436" s="2106">
        <v>12</v>
      </c>
      <c r="W436" s="2106" t="s">
        <v>830</v>
      </c>
      <c r="X436" s="2106" t="s">
        <v>38</v>
      </c>
      <c r="Y436" s="483">
        <f t="shared" si="76"/>
        <v>1800</v>
      </c>
      <c r="Z436" s="1898">
        <f>Q436*S436*V436</f>
        <v>1800000</v>
      </c>
      <c r="AA436" s="427"/>
      <c r="AB436" s="427"/>
      <c r="AC436" s="192"/>
    </row>
    <row r="437" spans="1:29" s="523" customFormat="1" ht="19.149999999999999" customHeight="1">
      <c r="A437" s="540"/>
      <c r="B437" s="541"/>
      <c r="C437" s="542"/>
      <c r="D437" s="548"/>
      <c r="E437" s="2023"/>
      <c r="F437" s="526"/>
      <c r="G437" s="2326"/>
      <c r="H437" s="551"/>
      <c r="I437" s="543"/>
      <c r="J437" s="2105" t="s">
        <v>1218</v>
      </c>
      <c r="K437" s="2106"/>
      <c r="L437" s="2082"/>
      <c r="M437" s="2082"/>
      <c r="N437" s="2082"/>
      <c r="O437" s="2082"/>
      <c r="P437" s="2082"/>
      <c r="Q437" s="556">
        <v>5</v>
      </c>
      <c r="R437" s="2092" t="s">
        <v>1219</v>
      </c>
      <c r="S437" s="474">
        <v>30000</v>
      </c>
      <c r="T437" s="2106" t="s">
        <v>37</v>
      </c>
      <c r="U437" s="2106"/>
      <c r="V437" s="2106">
        <v>12</v>
      </c>
      <c r="W437" s="2106" t="s">
        <v>830</v>
      </c>
      <c r="X437" s="2106" t="s">
        <v>38</v>
      </c>
      <c r="Y437" s="483">
        <f t="shared" si="76"/>
        <v>1800</v>
      </c>
      <c r="Z437" s="1898">
        <f>Q437*S437*V437</f>
        <v>1800000</v>
      </c>
      <c r="AA437" s="427"/>
      <c r="AB437" s="427"/>
      <c r="AC437" s="192"/>
    </row>
    <row r="438" spans="1:29" s="523" customFormat="1" ht="19.149999999999999" customHeight="1">
      <c r="A438" s="540"/>
      <c r="B438" s="541"/>
      <c r="C438" s="542"/>
      <c r="D438" s="548"/>
      <c r="E438" s="2023"/>
      <c r="F438" s="526"/>
      <c r="G438" s="2326"/>
      <c r="H438" s="551"/>
      <c r="I438" s="543"/>
      <c r="J438" s="2105" t="s">
        <v>1220</v>
      </c>
      <c r="K438" s="2106"/>
      <c r="L438" s="2082"/>
      <c r="M438" s="2082"/>
      <c r="N438" s="2082"/>
      <c r="O438" s="2082"/>
      <c r="P438" s="2082"/>
      <c r="Q438" s="556"/>
      <c r="R438" s="2092"/>
      <c r="S438" s="474">
        <v>200000</v>
      </c>
      <c r="T438" s="2106" t="s">
        <v>37</v>
      </c>
      <c r="U438" s="2106"/>
      <c r="V438" s="2106">
        <v>12</v>
      </c>
      <c r="W438" s="2106" t="s">
        <v>830</v>
      </c>
      <c r="X438" s="2106" t="s">
        <v>38</v>
      </c>
      <c r="Y438" s="483">
        <f t="shared" si="76"/>
        <v>2400</v>
      </c>
      <c r="Z438" s="1898">
        <f>S438*V438</f>
        <v>2400000</v>
      </c>
      <c r="AA438" s="427"/>
      <c r="AB438" s="427"/>
      <c r="AC438" s="192"/>
    </row>
    <row r="439" spans="1:29" s="523" customFormat="1" ht="19.149999999999999" customHeight="1">
      <c r="A439" s="540"/>
      <c r="B439" s="541"/>
      <c r="C439" s="542"/>
      <c r="D439" s="624"/>
      <c r="E439" s="2023" t="s">
        <v>1221</v>
      </c>
      <c r="F439" s="526">
        <f>Y439</f>
        <v>6000</v>
      </c>
      <c r="G439" s="2326">
        <v>6000</v>
      </c>
      <c r="H439" s="551"/>
      <c r="I439" s="543"/>
      <c r="J439" s="2105" t="s">
        <v>1222</v>
      </c>
      <c r="K439" s="2106"/>
      <c r="L439" s="2082"/>
      <c r="M439" s="2082"/>
      <c r="N439" s="2082"/>
      <c r="O439" s="2082"/>
      <c r="P439" s="2082"/>
      <c r="Q439" s="556"/>
      <c r="R439" s="2092"/>
      <c r="S439" s="474">
        <v>500000</v>
      </c>
      <c r="T439" s="2106" t="s">
        <v>37</v>
      </c>
      <c r="U439" s="2106"/>
      <c r="V439" s="2106">
        <v>12</v>
      </c>
      <c r="W439" s="2106" t="s">
        <v>830</v>
      </c>
      <c r="X439" s="2106" t="s">
        <v>38</v>
      </c>
      <c r="Y439" s="483">
        <f t="shared" si="76"/>
        <v>6000</v>
      </c>
      <c r="Z439" s="1898">
        <f>S439*V439</f>
        <v>6000000</v>
      </c>
      <c r="AA439" s="427"/>
      <c r="AB439" s="427"/>
      <c r="AC439" s="192"/>
    </row>
    <row r="440" spans="1:29" s="523" customFormat="1" ht="19.149999999999999" customHeight="1">
      <c r="A440" s="540"/>
      <c r="B440" s="541"/>
      <c r="C440" s="542"/>
      <c r="D440" s="624"/>
      <c r="E440" s="2023" t="s">
        <v>928</v>
      </c>
      <c r="F440" s="526">
        <f>Y440</f>
        <v>12000</v>
      </c>
      <c r="G440" s="2326">
        <v>12000</v>
      </c>
      <c r="H440" s="551"/>
      <c r="I440" s="543"/>
      <c r="J440" s="2105" t="s">
        <v>768</v>
      </c>
      <c r="K440" s="2106"/>
      <c r="L440" s="2082"/>
      <c r="M440" s="2082"/>
      <c r="N440" s="2082"/>
      <c r="O440" s="2082"/>
      <c r="P440" s="2082"/>
      <c r="Q440" s="556"/>
      <c r="R440" s="2092"/>
      <c r="S440" s="474"/>
      <c r="T440" s="2106"/>
      <c r="U440" s="2106"/>
      <c r="V440" s="2106"/>
      <c r="W440" s="2106"/>
      <c r="X440" s="2106"/>
      <c r="Y440" s="483">
        <f t="shared" si="76"/>
        <v>12000</v>
      </c>
      <c r="Z440" s="1898">
        <f>SUM(Z441:Z442)</f>
        <v>12000000</v>
      </c>
      <c r="AA440" s="427"/>
      <c r="AB440" s="427"/>
      <c r="AC440" s="192"/>
    </row>
    <row r="441" spans="1:29" s="523" customFormat="1" ht="19.149999999999999" customHeight="1">
      <c r="A441" s="540"/>
      <c r="B441" s="541"/>
      <c r="C441" s="542"/>
      <c r="D441" s="548"/>
      <c r="E441" s="2023"/>
      <c r="F441" s="526"/>
      <c r="G441" s="2326"/>
      <c r="H441" s="551"/>
      <c r="I441" s="543"/>
      <c r="J441" s="2105" t="s">
        <v>1223</v>
      </c>
      <c r="K441" s="2106"/>
      <c r="L441" s="2082"/>
      <c r="M441" s="2082"/>
      <c r="N441" s="2082"/>
      <c r="O441" s="556">
        <v>10</v>
      </c>
      <c r="P441" s="2092" t="s">
        <v>1224</v>
      </c>
      <c r="Q441" s="556">
        <v>2</v>
      </c>
      <c r="R441" s="2092" t="s">
        <v>25</v>
      </c>
      <c r="S441" s="474">
        <v>30000</v>
      </c>
      <c r="T441" s="2106" t="s">
        <v>37</v>
      </c>
      <c r="U441" s="2106"/>
      <c r="V441" s="2106">
        <v>12</v>
      </c>
      <c r="W441" s="2106" t="s">
        <v>830</v>
      </c>
      <c r="X441" s="2106" t="s">
        <v>38</v>
      </c>
      <c r="Y441" s="483">
        <f t="shared" si="76"/>
        <v>7200</v>
      </c>
      <c r="Z441" s="1898">
        <f>O441*Q441*S441*V441</f>
        <v>7200000</v>
      </c>
      <c r="AA441" s="427"/>
      <c r="AB441" s="427"/>
      <c r="AC441" s="192"/>
    </row>
    <row r="442" spans="1:29" s="523" customFormat="1" ht="19.149999999999999" customHeight="1">
      <c r="A442" s="540"/>
      <c r="B442" s="541"/>
      <c r="C442" s="542"/>
      <c r="D442" s="548"/>
      <c r="E442" s="2023"/>
      <c r="F442" s="526"/>
      <c r="G442" s="2326"/>
      <c r="H442" s="551"/>
      <c r="I442" s="543"/>
      <c r="J442" s="2105" t="s">
        <v>1225</v>
      </c>
      <c r="K442" s="2106"/>
      <c r="L442" s="2082"/>
      <c r="M442" s="2082"/>
      <c r="N442" s="2082"/>
      <c r="O442" s="2082"/>
      <c r="P442" s="2082"/>
      <c r="Q442" s="556">
        <v>2</v>
      </c>
      <c r="R442" s="2092" t="s">
        <v>25</v>
      </c>
      <c r="S442" s="474">
        <v>200000</v>
      </c>
      <c r="T442" s="2106" t="s">
        <v>37</v>
      </c>
      <c r="U442" s="2106"/>
      <c r="V442" s="2106">
        <v>12</v>
      </c>
      <c r="W442" s="2106" t="s">
        <v>830</v>
      </c>
      <c r="X442" s="2106" t="s">
        <v>38</v>
      </c>
      <c r="Y442" s="483">
        <f t="shared" si="76"/>
        <v>4800</v>
      </c>
      <c r="Z442" s="1898">
        <f>Q442*S442*V442</f>
        <v>4800000</v>
      </c>
      <c r="AA442" s="427"/>
      <c r="AB442" s="427"/>
      <c r="AC442" s="192"/>
    </row>
    <row r="443" spans="1:29" s="523" customFormat="1" ht="19.149999999999999" customHeight="1">
      <c r="A443" s="540"/>
      <c r="B443" s="541"/>
      <c r="C443" s="542"/>
      <c r="D443" s="548"/>
      <c r="E443" s="2023" t="s">
        <v>936</v>
      </c>
      <c r="F443" s="526">
        <f>Y443</f>
        <v>12000</v>
      </c>
      <c r="G443" s="2326">
        <v>12000</v>
      </c>
      <c r="H443" s="551"/>
      <c r="I443" s="543"/>
      <c r="J443" s="2105" t="s">
        <v>768</v>
      </c>
      <c r="K443" s="2106"/>
      <c r="L443" s="2082"/>
      <c r="M443" s="2082"/>
      <c r="N443" s="2082"/>
      <c r="O443" s="2082"/>
      <c r="P443" s="2082"/>
      <c r="Q443" s="556"/>
      <c r="R443" s="2092"/>
      <c r="S443" s="474"/>
      <c r="T443" s="2106"/>
      <c r="U443" s="2106"/>
      <c r="V443" s="2106"/>
      <c r="W443" s="2106"/>
      <c r="X443" s="2106"/>
      <c r="Y443" s="483">
        <f>(Z443)/1000</f>
        <v>12000</v>
      </c>
      <c r="Z443" s="1898">
        <f>SUM(Z444:Z445)</f>
        <v>12000000</v>
      </c>
      <c r="AA443" s="427"/>
      <c r="AB443" s="427"/>
      <c r="AC443" s="192"/>
    </row>
    <row r="444" spans="1:29" s="523" customFormat="1" ht="19.149999999999999" customHeight="1">
      <c r="A444" s="540"/>
      <c r="B444" s="541"/>
      <c r="C444" s="542"/>
      <c r="D444" s="548"/>
      <c r="E444" s="2023"/>
      <c r="F444" s="526"/>
      <c r="G444" s="2326"/>
      <c r="H444" s="551"/>
      <c r="I444" s="543"/>
      <c r="J444" s="2105" t="s">
        <v>1226</v>
      </c>
      <c r="K444" s="2106"/>
      <c r="L444" s="2082"/>
      <c r="M444" s="2082"/>
      <c r="N444" s="2082"/>
      <c r="O444" s="556"/>
      <c r="P444" s="2092"/>
      <c r="Q444" s="556"/>
      <c r="R444" s="2092"/>
      <c r="S444" s="474">
        <v>500000</v>
      </c>
      <c r="T444" s="2106" t="s">
        <v>37</v>
      </c>
      <c r="U444" s="2106"/>
      <c r="V444" s="2106">
        <v>12</v>
      </c>
      <c r="W444" s="2106" t="s">
        <v>830</v>
      </c>
      <c r="X444" s="2106" t="s">
        <v>38</v>
      </c>
      <c r="Y444" s="483">
        <f>(Z444)/1000</f>
        <v>6000</v>
      </c>
      <c r="Z444" s="1898">
        <f>+S444*V444</f>
        <v>6000000</v>
      </c>
      <c r="AA444" s="427"/>
      <c r="AB444" s="427"/>
      <c r="AC444" s="192"/>
    </row>
    <row r="445" spans="1:29" s="523" customFormat="1" ht="19.149999999999999" customHeight="1">
      <c r="A445" s="540"/>
      <c r="B445" s="541"/>
      <c r="C445" s="542"/>
      <c r="D445" s="548"/>
      <c r="E445" s="2023"/>
      <c r="F445" s="526"/>
      <c r="G445" s="2326"/>
      <c r="H445" s="551"/>
      <c r="I445" s="543"/>
      <c r="J445" s="2105" t="s">
        <v>1227</v>
      </c>
      <c r="K445" s="2106"/>
      <c r="L445" s="2082"/>
      <c r="M445" s="2082"/>
      <c r="N445" s="2082"/>
      <c r="O445" s="2082"/>
      <c r="P445" s="2082"/>
      <c r="Q445" s="556"/>
      <c r="R445" s="2092"/>
      <c r="S445" s="474">
        <v>500000</v>
      </c>
      <c r="T445" s="2106" t="s">
        <v>37</v>
      </c>
      <c r="U445" s="2106"/>
      <c r="V445" s="2106">
        <v>12</v>
      </c>
      <c r="W445" s="2106" t="s">
        <v>830</v>
      </c>
      <c r="X445" s="2106" t="s">
        <v>38</v>
      </c>
      <c r="Y445" s="483">
        <f>(Z445)/1000</f>
        <v>6000</v>
      </c>
      <c r="Z445" s="1898">
        <f>+S445*V445</f>
        <v>6000000</v>
      </c>
      <c r="AA445" s="427"/>
      <c r="AB445" s="427"/>
      <c r="AC445" s="192"/>
    </row>
    <row r="446" spans="1:29" s="523" customFormat="1" ht="19.149999999999999" customHeight="1">
      <c r="A446" s="540"/>
      <c r="B446" s="541"/>
      <c r="C446" s="542"/>
      <c r="D446" s="624"/>
      <c r="E446" s="2023" t="s">
        <v>931</v>
      </c>
      <c r="F446" s="526">
        <f>Y446</f>
        <v>6600</v>
      </c>
      <c r="G446" s="2326">
        <v>6600</v>
      </c>
      <c r="H446" s="551"/>
      <c r="I446" s="543"/>
      <c r="J446" s="2105" t="s">
        <v>768</v>
      </c>
      <c r="K446" s="2106"/>
      <c r="L446" s="2082"/>
      <c r="M446" s="2082"/>
      <c r="N446" s="2082"/>
      <c r="O446" s="2082"/>
      <c r="P446" s="2082"/>
      <c r="Q446" s="556"/>
      <c r="R446" s="2092"/>
      <c r="S446" s="474"/>
      <c r="T446" s="2106"/>
      <c r="U446" s="2106"/>
      <c r="V446" s="2106"/>
      <c r="W446" s="2106"/>
      <c r="X446" s="2106"/>
      <c r="Y446" s="483">
        <f t="shared" si="76"/>
        <v>6600</v>
      </c>
      <c r="Z446" s="1898">
        <f>SUM(Z447:Z448)</f>
        <v>6600000</v>
      </c>
      <c r="AA446" s="427"/>
      <c r="AB446" s="427"/>
      <c r="AC446" s="192"/>
    </row>
    <row r="447" spans="1:29" s="523" customFormat="1" ht="19.149999999999999" customHeight="1">
      <c r="A447" s="540"/>
      <c r="B447" s="541"/>
      <c r="C447" s="542"/>
      <c r="D447" s="548"/>
      <c r="E447" s="2023"/>
      <c r="F447" s="526"/>
      <c r="G447" s="2326"/>
      <c r="H447" s="551"/>
      <c r="I447" s="543"/>
      <c r="J447" s="2105" t="s">
        <v>1228</v>
      </c>
      <c r="K447" s="2106"/>
      <c r="L447" s="2082"/>
      <c r="M447" s="2082"/>
      <c r="N447" s="2082"/>
      <c r="O447" s="2082"/>
      <c r="P447" s="2082"/>
      <c r="Q447" s="556">
        <v>5</v>
      </c>
      <c r="R447" s="2092" t="s">
        <v>25</v>
      </c>
      <c r="S447" s="474">
        <v>150000</v>
      </c>
      <c r="T447" s="2106" t="s">
        <v>37</v>
      </c>
      <c r="U447" s="2106"/>
      <c r="V447" s="2106">
        <v>4</v>
      </c>
      <c r="W447" s="2106" t="s">
        <v>39</v>
      </c>
      <c r="X447" s="2106" t="s">
        <v>38</v>
      </c>
      <c r="Y447" s="483">
        <f t="shared" si="76"/>
        <v>3000</v>
      </c>
      <c r="Z447" s="1898">
        <f>Q447*S447*V447</f>
        <v>3000000</v>
      </c>
      <c r="AA447" s="427"/>
      <c r="AB447" s="427"/>
      <c r="AC447" s="192"/>
    </row>
    <row r="448" spans="1:29" s="523" customFormat="1" ht="19.149999999999999" customHeight="1">
      <c r="A448" s="540"/>
      <c r="B448" s="541"/>
      <c r="C448" s="542"/>
      <c r="D448" s="548"/>
      <c r="E448" s="2023"/>
      <c r="F448" s="526"/>
      <c r="G448" s="2326"/>
      <c r="H448" s="551"/>
      <c r="I448" s="543"/>
      <c r="J448" s="2105" t="s">
        <v>1229</v>
      </c>
      <c r="K448" s="2106"/>
      <c r="L448" s="2082"/>
      <c r="M448" s="2082"/>
      <c r="N448" s="2082"/>
      <c r="O448" s="2082"/>
      <c r="P448" s="2082"/>
      <c r="Q448" s="556">
        <v>100</v>
      </c>
      <c r="R448" s="2092" t="s">
        <v>1230</v>
      </c>
      <c r="S448" s="474">
        <v>3000</v>
      </c>
      <c r="T448" s="2106" t="s">
        <v>37</v>
      </c>
      <c r="U448" s="2106"/>
      <c r="V448" s="2106">
        <v>12</v>
      </c>
      <c r="W448" s="2106" t="s">
        <v>830</v>
      </c>
      <c r="X448" s="2106" t="s">
        <v>38</v>
      </c>
      <c r="Y448" s="483">
        <f t="shared" si="76"/>
        <v>3600</v>
      </c>
      <c r="Z448" s="1898">
        <f>Q448*S448*V448</f>
        <v>3600000</v>
      </c>
      <c r="AA448" s="427"/>
      <c r="AB448" s="427"/>
      <c r="AC448" s="192"/>
    </row>
    <row r="449" spans="1:29" s="523" customFormat="1" ht="19.149999999999999" customHeight="1">
      <c r="A449" s="540"/>
      <c r="B449" s="541"/>
      <c r="C449" s="542"/>
      <c r="D449" s="548"/>
      <c r="E449" s="2023" t="s">
        <v>1098</v>
      </c>
      <c r="F449" s="526">
        <f>Y449</f>
        <v>14744</v>
      </c>
      <c r="G449" s="2326">
        <v>14744</v>
      </c>
      <c r="H449" s="551"/>
      <c r="I449" s="543"/>
      <c r="J449" s="2105" t="s">
        <v>1231</v>
      </c>
      <c r="K449" s="2106"/>
      <c r="L449" s="2082"/>
      <c r="M449" s="2082"/>
      <c r="N449" s="2082"/>
      <c r="O449" s="2082"/>
      <c r="P449" s="2082"/>
      <c r="Q449" s="556"/>
      <c r="R449" s="2092"/>
      <c r="S449" s="474">
        <v>14744000</v>
      </c>
      <c r="T449" s="2106" t="s">
        <v>37</v>
      </c>
      <c r="U449" s="2106"/>
      <c r="V449" s="2106">
        <v>1</v>
      </c>
      <c r="W449" s="2106" t="s">
        <v>763</v>
      </c>
      <c r="X449" s="2106" t="s">
        <v>38</v>
      </c>
      <c r="Y449" s="483">
        <f>(Z449)/1000</f>
        <v>14744</v>
      </c>
      <c r="Z449" s="1898">
        <f>+S449*V449</f>
        <v>14744000</v>
      </c>
      <c r="AA449" s="427"/>
      <c r="AB449" s="427"/>
      <c r="AC449" s="192"/>
    </row>
    <row r="450" spans="1:29" s="523" customFormat="1" ht="19.149999999999999" customHeight="1">
      <c r="A450" s="540"/>
      <c r="B450" s="541"/>
      <c r="C450" s="542"/>
      <c r="D450" s="548"/>
      <c r="E450" s="2023" t="s">
        <v>671</v>
      </c>
      <c r="F450" s="526">
        <f>Y450</f>
        <v>52056</v>
      </c>
      <c r="G450" s="2326">
        <v>52056</v>
      </c>
      <c r="H450" s="551"/>
      <c r="I450" s="543"/>
      <c r="J450" s="2105" t="s">
        <v>768</v>
      </c>
      <c r="K450" s="2106"/>
      <c r="L450" s="2082"/>
      <c r="M450" s="2082"/>
      <c r="N450" s="2082"/>
      <c r="O450" s="2082"/>
      <c r="P450" s="2082"/>
      <c r="Q450" s="556"/>
      <c r="R450" s="2092"/>
      <c r="S450" s="474"/>
      <c r="T450" s="2106"/>
      <c r="U450" s="2106"/>
      <c r="V450" s="2106"/>
      <c r="W450" s="2106"/>
      <c r="X450" s="2106"/>
      <c r="Y450" s="483">
        <f t="shared" si="76"/>
        <v>52056</v>
      </c>
      <c r="Z450" s="1898">
        <f>SUM(Z451:Z454)</f>
        <v>52056000</v>
      </c>
      <c r="AA450" s="427"/>
      <c r="AB450" s="427"/>
      <c r="AC450" s="192"/>
    </row>
    <row r="451" spans="1:29" s="523" customFormat="1" ht="19.149999999999999" customHeight="1">
      <c r="A451" s="540"/>
      <c r="B451" s="541"/>
      <c r="C451" s="542"/>
      <c r="D451" s="548"/>
      <c r="E451" s="2023"/>
      <c r="F451" s="526"/>
      <c r="G451" s="2326"/>
      <c r="H451" s="551"/>
      <c r="I451" s="543"/>
      <c r="J451" s="2105" t="s">
        <v>1232</v>
      </c>
      <c r="K451" s="2106"/>
      <c r="L451" s="2082"/>
      <c r="M451" s="2082"/>
      <c r="N451" s="2082"/>
      <c r="O451" s="2082"/>
      <c r="P451" s="2082"/>
      <c r="Q451" s="556"/>
      <c r="R451" s="2092"/>
      <c r="S451" s="474">
        <v>2350000</v>
      </c>
      <c r="T451" s="2106" t="s">
        <v>37</v>
      </c>
      <c r="U451" s="2106"/>
      <c r="V451" s="2106">
        <v>12</v>
      </c>
      <c r="W451" s="2106" t="s">
        <v>830</v>
      </c>
      <c r="X451" s="2106" t="s">
        <v>38</v>
      </c>
      <c r="Y451" s="483">
        <f t="shared" si="76"/>
        <v>28200</v>
      </c>
      <c r="Z451" s="1898">
        <f>S451*V451</f>
        <v>28200000</v>
      </c>
      <c r="AA451" s="427"/>
      <c r="AB451" s="427"/>
      <c r="AC451" s="192"/>
    </row>
    <row r="452" spans="1:29" s="523" customFormat="1" ht="19.149999999999999" customHeight="1">
      <c r="A452" s="540"/>
      <c r="B452" s="541"/>
      <c r="C452" s="542"/>
      <c r="D452" s="548"/>
      <c r="E452" s="2023"/>
      <c r="F452" s="526"/>
      <c r="G452" s="2326"/>
      <c r="H452" s="551"/>
      <c r="I452" s="543"/>
      <c r="J452" s="2105" t="s">
        <v>1233</v>
      </c>
      <c r="K452" s="2106"/>
      <c r="L452" s="2082"/>
      <c r="M452" s="2082"/>
      <c r="N452" s="2082"/>
      <c r="O452" s="2082"/>
      <c r="P452" s="2082"/>
      <c r="Q452" s="556">
        <v>2</v>
      </c>
      <c r="R452" s="2092" t="s">
        <v>25</v>
      </c>
      <c r="S452" s="474">
        <v>400000</v>
      </c>
      <c r="T452" s="2106" t="s">
        <v>37</v>
      </c>
      <c r="U452" s="2106"/>
      <c r="V452" s="2106">
        <v>12</v>
      </c>
      <c r="W452" s="2106" t="s">
        <v>830</v>
      </c>
      <c r="X452" s="2106" t="s">
        <v>38</v>
      </c>
      <c r="Y452" s="483">
        <f t="shared" si="76"/>
        <v>9600</v>
      </c>
      <c r="Z452" s="1898">
        <f>Q452*S452*V452</f>
        <v>9600000</v>
      </c>
      <c r="AA452" s="427"/>
      <c r="AB452" s="427"/>
      <c r="AC452" s="192"/>
    </row>
    <row r="453" spans="1:29" s="523" customFormat="1" ht="19.149999999999999" customHeight="1">
      <c r="A453" s="540"/>
      <c r="B453" s="541"/>
      <c r="C453" s="542"/>
      <c r="D453" s="548"/>
      <c r="E453" s="2023"/>
      <c r="F453" s="526"/>
      <c r="G453" s="2326"/>
      <c r="H453" s="551"/>
      <c r="I453" s="543"/>
      <c r="J453" s="2105" t="s">
        <v>1234</v>
      </c>
      <c r="K453" s="2106"/>
      <c r="L453" s="2082"/>
      <c r="M453" s="2082"/>
      <c r="N453" s="2082"/>
      <c r="O453" s="2082"/>
      <c r="P453" s="2082"/>
      <c r="Q453" s="556">
        <v>1</v>
      </c>
      <c r="R453" s="2092" t="s">
        <v>1235</v>
      </c>
      <c r="S453" s="474">
        <v>800000</v>
      </c>
      <c r="T453" s="2106" t="s">
        <v>37</v>
      </c>
      <c r="U453" s="2106"/>
      <c r="V453" s="2106">
        <v>12</v>
      </c>
      <c r="W453" s="2106" t="s">
        <v>830</v>
      </c>
      <c r="X453" s="2106" t="s">
        <v>38</v>
      </c>
      <c r="Y453" s="483">
        <f t="shared" si="76"/>
        <v>9600</v>
      </c>
      <c r="Z453" s="1898">
        <f>Q453*S453*V453</f>
        <v>9600000</v>
      </c>
      <c r="AA453" s="427"/>
      <c r="AB453" s="427"/>
      <c r="AC453" s="192"/>
    </row>
    <row r="454" spans="1:29" s="523" customFormat="1" ht="19.149999999999999" customHeight="1">
      <c r="A454" s="540"/>
      <c r="B454" s="541"/>
      <c r="C454" s="542"/>
      <c r="D454" s="548"/>
      <c r="E454" s="2023"/>
      <c r="F454" s="526"/>
      <c r="G454" s="2326"/>
      <c r="H454" s="551"/>
      <c r="I454" s="543"/>
      <c r="J454" s="2105" t="s">
        <v>1236</v>
      </c>
      <c r="K454" s="2106"/>
      <c r="L454" s="2082"/>
      <c r="M454" s="2082"/>
      <c r="N454" s="2082"/>
      <c r="O454" s="2082"/>
      <c r="P454" s="2082"/>
      <c r="Q454" s="556">
        <v>1</v>
      </c>
      <c r="R454" s="2092" t="s">
        <v>1235</v>
      </c>
      <c r="S454" s="474">
        <v>388000</v>
      </c>
      <c r="T454" s="2106" t="s">
        <v>37</v>
      </c>
      <c r="U454" s="2106"/>
      <c r="V454" s="2106">
        <v>12</v>
      </c>
      <c r="W454" s="2106" t="s">
        <v>830</v>
      </c>
      <c r="X454" s="2106" t="s">
        <v>38</v>
      </c>
      <c r="Y454" s="483">
        <f t="shared" si="76"/>
        <v>4656</v>
      </c>
      <c r="Z454" s="1898">
        <f>Q454*S454*V454</f>
        <v>4656000</v>
      </c>
      <c r="AA454" s="427"/>
      <c r="AB454" s="427"/>
      <c r="AC454" s="192"/>
    </row>
    <row r="455" spans="1:29" s="523" customFormat="1" ht="19.149999999999999" customHeight="1">
      <c r="A455" s="540"/>
      <c r="B455" s="541"/>
      <c r="C455" s="542"/>
      <c r="D455" s="548"/>
      <c r="E455" s="2023" t="s">
        <v>756</v>
      </c>
      <c r="F455" s="526">
        <f>Y455</f>
        <v>3699.999999996</v>
      </c>
      <c r="G455" s="2326">
        <v>3699.999999996</v>
      </c>
      <c r="H455" s="551"/>
      <c r="I455" s="543"/>
      <c r="J455" s="2105" t="s">
        <v>1237</v>
      </c>
      <c r="K455" s="2106"/>
      <c r="L455" s="2082"/>
      <c r="M455" s="2082"/>
      <c r="N455" s="2082"/>
      <c r="O455" s="2082"/>
      <c r="P455" s="2082"/>
      <c r="Q455" s="556"/>
      <c r="R455" s="2092"/>
      <c r="S455" s="474">
        <v>308333.33333300002</v>
      </c>
      <c r="T455" s="2106" t="s">
        <v>37</v>
      </c>
      <c r="U455" s="2106"/>
      <c r="V455" s="2106">
        <v>12</v>
      </c>
      <c r="W455" s="2106" t="s">
        <v>830</v>
      </c>
      <c r="X455" s="2106" t="s">
        <v>38</v>
      </c>
      <c r="Y455" s="483">
        <f t="shared" si="76"/>
        <v>3699.999999996</v>
      </c>
      <c r="Z455" s="1898">
        <f>S455*V455</f>
        <v>3699999.999996</v>
      </c>
      <c r="AA455" s="427"/>
      <c r="AB455" s="427"/>
      <c r="AC455" s="192"/>
    </row>
    <row r="456" spans="1:29" s="523" customFormat="1" ht="19.149999999999999" customHeight="1">
      <c r="A456" s="540"/>
      <c r="B456" s="541"/>
      <c r="C456" s="1910"/>
      <c r="D456" s="548"/>
      <c r="E456" s="2023" t="s">
        <v>952</v>
      </c>
      <c r="F456" s="526">
        <f>Y456</f>
        <v>1800</v>
      </c>
      <c r="G456" s="2326">
        <v>1800</v>
      </c>
      <c r="H456" s="551"/>
      <c r="I456" s="543"/>
      <c r="J456" s="2105" t="s">
        <v>768</v>
      </c>
      <c r="K456" s="2106"/>
      <c r="L456" s="2082"/>
      <c r="M456" s="2082"/>
      <c r="N456" s="2082"/>
      <c r="O456" s="2082"/>
      <c r="P456" s="2082"/>
      <c r="Q456" s="556"/>
      <c r="R456" s="2106"/>
      <c r="S456" s="474"/>
      <c r="T456" s="2106"/>
      <c r="U456" s="2106"/>
      <c r="V456" s="2106"/>
      <c r="W456" s="2106"/>
      <c r="X456" s="2106"/>
      <c r="Y456" s="483">
        <f t="shared" si="76"/>
        <v>1800</v>
      </c>
      <c r="Z456" s="1898">
        <f>SUM(Z457:Z458)</f>
        <v>1800000</v>
      </c>
      <c r="AA456" s="427"/>
      <c r="AB456" s="427"/>
      <c r="AC456" s="192"/>
    </row>
    <row r="457" spans="1:29" s="523" customFormat="1" ht="19.149999999999999" customHeight="1">
      <c r="A457" s="540"/>
      <c r="B457" s="541"/>
      <c r="C457" s="542"/>
      <c r="D457" s="548"/>
      <c r="E457" s="2023"/>
      <c r="F457" s="526"/>
      <c r="G457" s="2326"/>
      <c r="H457" s="551"/>
      <c r="I457" s="543"/>
      <c r="J457" s="2105" t="s">
        <v>1238</v>
      </c>
      <c r="K457" s="2106"/>
      <c r="L457" s="2082"/>
      <c r="M457" s="2082"/>
      <c r="N457" s="2082"/>
      <c r="O457" s="2082"/>
      <c r="P457" s="2082"/>
      <c r="Q457" s="556"/>
      <c r="R457" s="2092"/>
      <c r="S457" s="474">
        <v>50000</v>
      </c>
      <c r="T457" s="2106" t="s">
        <v>37</v>
      </c>
      <c r="U457" s="2106"/>
      <c r="V457" s="2106">
        <v>12</v>
      </c>
      <c r="W457" s="2106" t="s">
        <v>830</v>
      </c>
      <c r="X457" s="2106" t="s">
        <v>38</v>
      </c>
      <c r="Y457" s="483">
        <f t="shared" si="76"/>
        <v>600</v>
      </c>
      <c r="Z457" s="1898">
        <f>+S457*V457</f>
        <v>600000</v>
      </c>
      <c r="AA457" s="427"/>
      <c r="AB457" s="427"/>
      <c r="AC457" s="192"/>
    </row>
    <row r="458" spans="1:29" s="523" customFormat="1" ht="19.149999999999999" customHeight="1">
      <c r="A458" s="540"/>
      <c r="B458" s="541"/>
      <c r="C458" s="542"/>
      <c r="D458" s="548"/>
      <c r="E458" s="2023"/>
      <c r="F458" s="526"/>
      <c r="G458" s="2326"/>
      <c r="H458" s="551"/>
      <c r="I458" s="543"/>
      <c r="J458" s="2105" t="s">
        <v>1239</v>
      </c>
      <c r="K458" s="2106"/>
      <c r="L458" s="2082"/>
      <c r="M458" s="2082"/>
      <c r="N458" s="2082"/>
      <c r="O458" s="2082"/>
      <c r="P458" s="2082"/>
      <c r="Q458" s="556">
        <v>1</v>
      </c>
      <c r="R458" s="2092" t="s">
        <v>1240</v>
      </c>
      <c r="S458" s="474">
        <v>100000</v>
      </c>
      <c r="T458" s="2106" t="s">
        <v>37</v>
      </c>
      <c r="U458" s="2106"/>
      <c r="V458" s="2106">
        <v>12</v>
      </c>
      <c r="W458" s="2106" t="s">
        <v>830</v>
      </c>
      <c r="X458" s="2106" t="s">
        <v>38</v>
      </c>
      <c r="Y458" s="483">
        <f t="shared" si="76"/>
        <v>1200</v>
      </c>
      <c r="Z458" s="1898">
        <f>Q458*S458*V458</f>
        <v>1200000</v>
      </c>
      <c r="AA458" s="427"/>
      <c r="AB458" s="427"/>
      <c r="AC458" s="192"/>
    </row>
    <row r="459" spans="1:29" s="523" customFormat="1" ht="19.149999999999999" customHeight="1">
      <c r="A459" s="540"/>
      <c r="B459" s="541"/>
      <c r="C459" s="542"/>
      <c r="D459" s="548"/>
      <c r="E459" s="2023" t="s">
        <v>942</v>
      </c>
      <c r="F459" s="526">
        <f>Y459</f>
        <v>3000</v>
      </c>
      <c r="G459" s="2326">
        <v>3000</v>
      </c>
      <c r="H459" s="551"/>
      <c r="I459" s="543"/>
      <c r="J459" s="2105" t="s">
        <v>1241</v>
      </c>
      <c r="K459" s="2106"/>
      <c r="L459" s="2082"/>
      <c r="M459" s="2082"/>
      <c r="N459" s="2082"/>
      <c r="O459" s="2082"/>
      <c r="P459" s="2082"/>
      <c r="Q459" s="556">
        <v>5</v>
      </c>
      <c r="R459" s="2092" t="s">
        <v>25</v>
      </c>
      <c r="S459" s="474">
        <v>100000</v>
      </c>
      <c r="T459" s="2106" t="s">
        <v>37</v>
      </c>
      <c r="U459" s="2106"/>
      <c r="V459" s="2106">
        <v>6</v>
      </c>
      <c r="W459" s="2106" t="s">
        <v>39</v>
      </c>
      <c r="X459" s="2106" t="s">
        <v>38</v>
      </c>
      <c r="Y459" s="483">
        <f t="shared" si="76"/>
        <v>3000</v>
      </c>
      <c r="Z459" s="1898">
        <f>Q459*S459*V459</f>
        <v>3000000</v>
      </c>
      <c r="AA459" s="427"/>
      <c r="AB459" s="427"/>
      <c r="AC459" s="192"/>
    </row>
    <row r="460" spans="1:29" s="523" customFormat="1" ht="19.149999999999999" customHeight="1">
      <c r="A460" s="540"/>
      <c r="B460" s="541"/>
      <c r="C460" s="542"/>
      <c r="D460" s="3825" t="s">
        <v>778</v>
      </c>
      <c r="E460" s="3826"/>
      <c r="F460" s="528">
        <f>+F461</f>
        <v>5000</v>
      </c>
      <c r="G460" s="2351">
        <f>SUM(G461)</f>
        <v>5000</v>
      </c>
      <c r="H460" s="627">
        <f>F460-G460</f>
        <v>0</v>
      </c>
      <c r="I460" s="543"/>
      <c r="J460" s="2025"/>
      <c r="K460" s="2026"/>
      <c r="L460" s="2068"/>
      <c r="M460" s="2068"/>
      <c r="N460" s="2068"/>
      <c r="O460" s="2068"/>
      <c r="P460" s="2068"/>
      <c r="Q460" s="2322"/>
      <c r="R460" s="2027"/>
      <c r="S460" s="545"/>
      <c r="T460" s="2026"/>
      <c r="U460" s="2026"/>
      <c r="V460" s="2026"/>
      <c r="W460" s="2026"/>
      <c r="X460" s="2026"/>
      <c r="Y460" s="600"/>
      <c r="Z460" s="2711">
        <f>+Z461</f>
        <v>5000000</v>
      </c>
      <c r="AA460" s="427"/>
      <c r="AB460" s="427"/>
      <c r="AC460" s="192"/>
    </row>
    <row r="461" spans="1:29" s="523" customFormat="1" ht="19.149999999999999" customHeight="1">
      <c r="A461" s="540"/>
      <c r="B461" s="541"/>
      <c r="C461" s="542"/>
      <c r="D461" s="548"/>
      <c r="E461" s="1370" t="s">
        <v>2728</v>
      </c>
      <c r="F461" s="526">
        <f>Y461</f>
        <v>5000</v>
      </c>
      <c r="G461" s="2326">
        <v>5000</v>
      </c>
      <c r="H461" s="627"/>
      <c r="I461" s="543"/>
      <c r="J461" s="2105" t="s">
        <v>976</v>
      </c>
      <c r="K461" s="2106"/>
      <c r="L461" s="2082"/>
      <c r="M461" s="2082"/>
      <c r="N461" s="2082"/>
      <c r="O461" s="2082"/>
      <c r="P461" s="2082"/>
      <c r="Q461" s="556"/>
      <c r="R461" s="2092"/>
      <c r="S461" s="474">
        <v>5000000</v>
      </c>
      <c r="T461" s="2106" t="s">
        <v>37</v>
      </c>
      <c r="U461" s="2106"/>
      <c r="V461" s="2106">
        <v>1</v>
      </c>
      <c r="W461" s="2106" t="s">
        <v>763</v>
      </c>
      <c r="X461" s="2106" t="s">
        <v>38</v>
      </c>
      <c r="Y461" s="483">
        <f>(Z461)/1000</f>
        <v>5000</v>
      </c>
      <c r="Z461" s="1898">
        <f>S461*V461</f>
        <v>5000000</v>
      </c>
      <c r="AA461" s="427"/>
      <c r="AB461" s="427"/>
      <c r="AC461" s="192"/>
    </row>
    <row r="462" spans="1:29" s="523" customFormat="1" ht="20.45" customHeight="1">
      <c r="A462" s="540"/>
      <c r="B462" s="541"/>
      <c r="C462" s="3821" t="s">
        <v>3391</v>
      </c>
      <c r="D462" s="3821"/>
      <c r="E462" s="3822"/>
      <c r="F462" s="525">
        <f>F463+F477+F486+F494+F523+F505+F515</f>
        <v>600000</v>
      </c>
      <c r="G462" s="525">
        <f>G463+G477+G486+G494+G523+G505+G515</f>
        <v>600000</v>
      </c>
      <c r="H462" s="627">
        <f>F462-G462</f>
        <v>0</v>
      </c>
      <c r="I462" s="543"/>
      <c r="J462" s="538"/>
      <c r="K462" s="2068"/>
      <c r="L462" s="2068"/>
      <c r="M462" s="2068"/>
      <c r="N462" s="2068"/>
      <c r="O462" s="2068"/>
      <c r="P462" s="2068"/>
      <c r="Q462" s="2068"/>
      <c r="R462" s="2068"/>
      <c r="S462" s="2068"/>
      <c r="T462" s="2068"/>
      <c r="U462" s="2068"/>
      <c r="V462" s="2068"/>
      <c r="W462" s="2068"/>
      <c r="X462" s="2068"/>
      <c r="Y462" s="600"/>
      <c r="Z462" s="3472" t="e">
        <f>+Z463+#REF!+Z477+Z486+Z494+#REF!+Z515+Z523</f>
        <v>#REF!</v>
      </c>
      <c r="AA462" s="427"/>
      <c r="AB462" s="427"/>
      <c r="AC462" s="192"/>
    </row>
    <row r="463" spans="1:29" s="523" customFormat="1" ht="20.45" customHeight="1">
      <c r="A463" s="540"/>
      <c r="B463" s="541"/>
      <c r="C463" s="1910"/>
      <c r="D463" s="3825" t="s">
        <v>977</v>
      </c>
      <c r="E463" s="3826"/>
      <c r="F463" s="525">
        <f>SUM(F464:F476)</f>
        <v>150000</v>
      </c>
      <c r="G463" s="525">
        <f>SUM(G464:G476)</f>
        <v>150000</v>
      </c>
      <c r="H463" s="627">
        <f>F463-G463</f>
        <v>0</v>
      </c>
      <c r="I463" s="543"/>
      <c r="J463" s="538"/>
      <c r="K463" s="2068"/>
      <c r="L463" s="2068"/>
      <c r="M463" s="2068"/>
      <c r="N463" s="2068"/>
      <c r="O463" s="2068"/>
      <c r="P463" s="2068"/>
      <c r="Q463" s="2068"/>
      <c r="R463" s="539"/>
      <c r="S463" s="2068"/>
      <c r="T463" s="2068"/>
      <c r="U463" s="2068"/>
      <c r="V463" s="2068"/>
      <c r="W463" s="2068"/>
      <c r="X463" s="2068"/>
      <c r="Y463" s="600"/>
      <c r="Z463" s="3474">
        <f>+Z475+Z464+Z469+Z472+Z470+Z471+Z476</f>
        <v>150000000</v>
      </c>
      <c r="AA463" s="427"/>
      <c r="AB463" s="427"/>
      <c r="AC463" s="192"/>
    </row>
    <row r="464" spans="1:29" s="523" customFormat="1" ht="20.45" customHeight="1">
      <c r="A464" s="540"/>
      <c r="B464" s="541"/>
      <c r="C464" s="542"/>
      <c r="D464" s="624"/>
      <c r="E464" s="2023" t="s">
        <v>964</v>
      </c>
      <c r="F464" s="526">
        <f>Y464</f>
        <v>30928.799999999999</v>
      </c>
      <c r="G464" s="1918">
        <v>30928.799999999999</v>
      </c>
      <c r="H464" s="551"/>
      <c r="I464" s="543"/>
      <c r="J464" s="2105" t="s">
        <v>768</v>
      </c>
      <c r="K464" s="2082"/>
      <c r="L464" s="2082"/>
      <c r="M464" s="2082"/>
      <c r="N464" s="2082"/>
      <c r="O464" s="2082"/>
      <c r="P464" s="2082"/>
      <c r="Q464" s="2082"/>
      <c r="R464" s="552"/>
      <c r="S464" s="2082"/>
      <c r="T464" s="2082"/>
      <c r="U464" s="2082"/>
      <c r="V464" s="2082"/>
      <c r="W464" s="2082"/>
      <c r="X464" s="2106"/>
      <c r="Y464" s="483">
        <f t="shared" ref="Y464:Y476" si="77">(Z464)/1000</f>
        <v>30928.799999999999</v>
      </c>
      <c r="Z464" s="1898">
        <f>SUM(Z465:Z468)</f>
        <v>30928800</v>
      </c>
      <c r="AA464" s="427"/>
      <c r="AB464" s="427"/>
      <c r="AC464" s="192"/>
    </row>
    <row r="465" spans="1:29" s="523" customFormat="1" ht="20.45" customHeight="1">
      <c r="A465" s="540"/>
      <c r="B465" s="541"/>
      <c r="C465" s="542"/>
      <c r="D465" s="624"/>
      <c r="E465" s="2023"/>
      <c r="F465" s="526"/>
      <c r="G465" s="1918"/>
      <c r="H465" s="551"/>
      <c r="I465" s="543"/>
      <c r="J465" s="2105" t="s">
        <v>274</v>
      </c>
      <c r="K465" s="2082"/>
      <c r="L465" s="2082"/>
      <c r="M465" s="2082"/>
      <c r="N465" s="2082"/>
      <c r="O465" s="2082"/>
      <c r="P465" s="2082"/>
      <c r="Q465" s="556">
        <v>1</v>
      </c>
      <c r="R465" s="2092" t="s">
        <v>25</v>
      </c>
      <c r="S465" s="474">
        <v>1834000</v>
      </c>
      <c r="T465" s="2106" t="s">
        <v>0</v>
      </c>
      <c r="U465" s="2106"/>
      <c r="V465" s="2106">
        <v>12</v>
      </c>
      <c r="W465" s="2106" t="s">
        <v>972</v>
      </c>
      <c r="X465" s="2106" t="s">
        <v>38</v>
      </c>
      <c r="Y465" s="483">
        <f t="shared" si="77"/>
        <v>22008</v>
      </c>
      <c r="Z465" s="1898">
        <f>Q465*S465*V465</f>
        <v>22008000</v>
      </c>
      <c r="AA465" s="427"/>
      <c r="AB465" s="427"/>
      <c r="AC465" s="192"/>
    </row>
    <row r="466" spans="1:29" s="294" customFormat="1" ht="20.45" customHeight="1">
      <c r="A466" s="540"/>
      <c r="B466" s="541"/>
      <c r="C466" s="542"/>
      <c r="D466" s="624"/>
      <c r="E466" s="2023"/>
      <c r="F466" s="526"/>
      <c r="G466" s="1918"/>
      <c r="H466" s="551"/>
      <c r="I466" s="543"/>
      <c r="J466" s="2105" t="s">
        <v>275</v>
      </c>
      <c r="K466" s="2082"/>
      <c r="L466" s="2082"/>
      <c r="M466" s="2082"/>
      <c r="N466" s="2082"/>
      <c r="O466" s="2082"/>
      <c r="P466" s="2082"/>
      <c r="Q466" s="556">
        <v>1</v>
      </c>
      <c r="R466" s="2092" t="s">
        <v>25</v>
      </c>
      <c r="S466" s="474">
        <v>350000</v>
      </c>
      <c r="T466" s="2106" t="s">
        <v>0</v>
      </c>
      <c r="U466" s="2106"/>
      <c r="V466" s="2106">
        <v>12</v>
      </c>
      <c r="W466" s="2106" t="s">
        <v>972</v>
      </c>
      <c r="X466" s="2106" t="s">
        <v>38</v>
      </c>
      <c r="Y466" s="483">
        <f t="shared" si="77"/>
        <v>4200</v>
      </c>
      <c r="Z466" s="1898">
        <f>Q466*S466*V466</f>
        <v>4200000</v>
      </c>
      <c r="AA466" s="427"/>
      <c r="AB466" s="427"/>
      <c r="AC466" s="192"/>
    </row>
    <row r="467" spans="1:29" s="294" customFormat="1" ht="20.45" customHeight="1">
      <c r="A467" s="540"/>
      <c r="B467" s="541"/>
      <c r="C467" s="542"/>
      <c r="D467" s="624"/>
      <c r="E467" s="2023"/>
      <c r="F467" s="526"/>
      <c r="G467" s="1918"/>
      <c r="H467" s="551"/>
      <c r="I467" s="543"/>
      <c r="J467" s="2105" t="s">
        <v>276</v>
      </c>
      <c r="K467" s="2082"/>
      <c r="L467" s="2082"/>
      <c r="M467" s="2082"/>
      <c r="N467" s="2082"/>
      <c r="O467" s="556"/>
      <c r="P467" s="2092"/>
      <c r="Q467" s="556">
        <v>1</v>
      </c>
      <c r="R467" s="2092" t="s">
        <v>25</v>
      </c>
      <c r="S467" s="474">
        <v>26208000</v>
      </c>
      <c r="T467" s="2106" t="s">
        <v>0</v>
      </c>
      <c r="U467" s="2106"/>
      <c r="V467" s="2106">
        <v>10</v>
      </c>
      <c r="W467" s="2106" t="s">
        <v>957</v>
      </c>
      <c r="X467" s="2106" t="s">
        <v>38</v>
      </c>
      <c r="Y467" s="483">
        <f t="shared" si="77"/>
        <v>2620.8000000000002</v>
      </c>
      <c r="Z467" s="1898">
        <f>Q467*S467*V467%</f>
        <v>2620800</v>
      </c>
      <c r="AA467" s="427"/>
      <c r="AB467" s="427"/>
      <c r="AC467" s="192"/>
    </row>
    <row r="468" spans="1:29" s="294" customFormat="1" ht="20.45" customHeight="1">
      <c r="A468" s="540"/>
      <c r="B468" s="541"/>
      <c r="C468" s="542"/>
      <c r="D468" s="624"/>
      <c r="E468" s="2023"/>
      <c r="F468" s="526"/>
      <c r="G468" s="1918"/>
      <c r="H468" s="551"/>
      <c r="I468" s="543"/>
      <c r="J468" s="2105" t="s">
        <v>277</v>
      </c>
      <c r="K468" s="2082"/>
      <c r="L468" s="2082"/>
      <c r="M468" s="2082"/>
      <c r="N468" s="2082"/>
      <c r="O468" s="2082"/>
      <c r="P468" s="2082"/>
      <c r="Q468" s="556">
        <v>1</v>
      </c>
      <c r="R468" s="2092" t="s">
        <v>25</v>
      </c>
      <c r="S468" s="474">
        <v>70000</v>
      </c>
      <c r="T468" s="2106" t="s">
        <v>0</v>
      </c>
      <c r="U468" s="2106"/>
      <c r="V468" s="2106">
        <v>30</v>
      </c>
      <c r="W468" s="2106" t="s">
        <v>3370</v>
      </c>
      <c r="X468" s="2106" t="s">
        <v>38</v>
      </c>
      <c r="Y468" s="483">
        <f t="shared" si="77"/>
        <v>2100</v>
      </c>
      <c r="Z468" s="1898">
        <f>Q468*S468*V468</f>
        <v>2100000</v>
      </c>
      <c r="AA468" s="427"/>
      <c r="AB468" s="427"/>
      <c r="AC468" s="192"/>
    </row>
    <row r="469" spans="1:29" s="294" customFormat="1" ht="20.45" customHeight="1">
      <c r="A469" s="540"/>
      <c r="B469" s="541"/>
      <c r="C469" s="1910"/>
      <c r="D469" s="624"/>
      <c r="E469" s="2023" t="s">
        <v>975</v>
      </c>
      <c r="F469" s="526">
        <f>Y469</f>
        <v>971.2</v>
      </c>
      <c r="G469" s="2326">
        <v>971.2</v>
      </c>
      <c r="H469" s="551"/>
      <c r="I469" s="543"/>
      <c r="J469" s="2105" t="s">
        <v>979</v>
      </c>
      <c r="K469" s="2082"/>
      <c r="L469" s="2082"/>
      <c r="M469" s="2082"/>
      <c r="N469" s="2082"/>
      <c r="O469" s="2082"/>
      <c r="P469" s="2082"/>
      <c r="Q469" s="556"/>
      <c r="R469" s="2092"/>
      <c r="S469" s="474">
        <v>971200</v>
      </c>
      <c r="T469" s="2106" t="s">
        <v>0</v>
      </c>
      <c r="U469" s="2106"/>
      <c r="V469" s="2106">
        <v>1</v>
      </c>
      <c r="W469" s="2106" t="s">
        <v>763</v>
      </c>
      <c r="X469" s="2106" t="s">
        <v>38</v>
      </c>
      <c r="Y469" s="483">
        <f t="shared" si="77"/>
        <v>971.2</v>
      </c>
      <c r="Z469" s="1898">
        <f>S469*V469</f>
        <v>971200</v>
      </c>
      <c r="AA469" s="427"/>
      <c r="AB469" s="427"/>
      <c r="AC469" s="192"/>
    </row>
    <row r="470" spans="1:29" s="294" customFormat="1" ht="20.45" customHeight="1">
      <c r="A470" s="540"/>
      <c r="B470" s="541"/>
      <c r="C470" s="542"/>
      <c r="D470" s="548"/>
      <c r="E470" s="2023" t="s">
        <v>934</v>
      </c>
      <c r="F470" s="526">
        <f>Y470</f>
        <v>600</v>
      </c>
      <c r="G470" s="2326">
        <v>600</v>
      </c>
      <c r="H470" s="551"/>
      <c r="I470" s="543"/>
      <c r="J470" s="2105" t="s">
        <v>951</v>
      </c>
      <c r="K470" s="2082"/>
      <c r="L470" s="2082"/>
      <c r="M470" s="2082"/>
      <c r="N470" s="2082"/>
      <c r="O470" s="2082"/>
      <c r="P470" s="2082"/>
      <c r="Q470" s="556"/>
      <c r="R470" s="2092"/>
      <c r="S470" s="474">
        <v>600000</v>
      </c>
      <c r="T470" s="2106" t="s">
        <v>37</v>
      </c>
      <c r="U470" s="2106"/>
      <c r="V470" s="2106">
        <v>1</v>
      </c>
      <c r="W470" s="2106" t="s">
        <v>763</v>
      </c>
      <c r="X470" s="2106" t="s">
        <v>38</v>
      </c>
      <c r="Y470" s="483">
        <f t="shared" si="77"/>
        <v>600</v>
      </c>
      <c r="Z470" s="1898">
        <f>S470*V470</f>
        <v>600000</v>
      </c>
      <c r="AA470" s="427"/>
      <c r="AB470" s="427"/>
      <c r="AC470" s="192"/>
    </row>
    <row r="471" spans="1:29" s="294" customFormat="1" ht="20.45" customHeight="1">
      <c r="A471" s="540"/>
      <c r="B471" s="541"/>
      <c r="C471" s="542"/>
      <c r="D471" s="548"/>
      <c r="E471" s="2023" t="s">
        <v>928</v>
      </c>
      <c r="F471" s="526">
        <f>Y471</f>
        <v>1800</v>
      </c>
      <c r="G471" s="2326">
        <v>1800</v>
      </c>
      <c r="H471" s="551"/>
      <c r="I471" s="543"/>
      <c r="J471" s="2105" t="s">
        <v>960</v>
      </c>
      <c r="K471" s="2106"/>
      <c r="L471" s="2082"/>
      <c r="M471" s="2082"/>
      <c r="N471" s="2082"/>
      <c r="O471" s="556">
        <v>5</v>
      </c>
      <c r="P471" s="2092" t="s">
        <v>31</v>
      </c>
      <c r="Q471" s="556">
        <v>1</v>
      </c>
      <c r="R471" s="2092" t="s">
        <v>142</v>
      </c>
      <c r="S471" s="474">
        <v>30000</v>
      </c>
      <c r="T471" s="2106" t="s">
        <v>0</v>
      </c>
      <c r="U471" s="2106"/>
      <c r="V471" s="2106">
        <v>12</v>
      </c>
      <c r="W471" s="2106" t="s">
        <v>830</v>
      </c>
      <c r="X471" s="2106" t="s">
        <v>38</v>
      </c>
      <c r="Y471" s="483">
        <f t="shared" si="77"/>
        <v>1800</v>
      </c>
      <c r="Z471" s="1898">
        <f>O471*Q471*S471*V471</f>
        <v>1800000</v>
      </c>
      <c r="AA471" s="427"/>
      <c r="AB471" s="427"/>
      <c r="AC471" s="192"/>
    </row>
    <row r="472" spans="1:29" s="294" customFormat="1" ht="20.45" customHeight="1">
      <c r="A472" s="562"/>
      <c r="B472" s="563"/>
      <c r="C472" s="2352"/>
      <c r="D472" s="2013"/>
      <c r="E472" s="532" t="s">
        <v>931</v>
      </c>
      <c r="F472" s="526">
        <f>Y472</f>
        <v>4200</v>
      </c>
      <c r="G472" s="1918">
        <v>4200</v>
      </c>
      <c r="H472" s="551"/>
      <c r="I472" s="543"/>
      <c r="J472" s="2105" t="s">
        <v>768</v>
      </c>
      <c r="K472" s="2082"/>
      <c r="L472" s="2082"/>
      <c r="M472" s="2082"/>
      <c r="N472" s="2082"/>
      <c r="O472" s="2082"/>
      <c r="P472" s="2082"/>
      <c r="Q472" s="556"/>
      <c r="R472" s="2092"/>
      <c r="S472" s="474"/>
      <c r="T472" s="2106"/>
      <c r="U472" s="2106"/>
      <c r="V472" s="2106"/>
      <c r="W472" s="2106"/>
      <c r="X472" s="2106"/>
      <c r="Y472" s="483">
        <f t="shared" si="77"/>
        <v>4200</v>
      </c>
      <c r="Z472" s="1898">
        <f>+Z473+Z474</f>
        <v>4200000</v>
      </c>
      <c r="AA472" s="427"/>
      <c r="AB472" s="427"/>
      <c r="AC472" s="192"/>
    </row>
    <row r="473" spans="1:29" s="294" customFormat="1" ht="20.45" customHeight="1">
      <c r="A473" s="562"/>
      <c r="B473" s="563"/>
      <c r="C473" s="1911"/>
      <c r="D473" s="2013"/>
      <c r="E473" s="2023"/>
      <c r="F473" s="526"/>
      <c r="G473" s="1918"/>
      <c r="H473" s="551"/>
      <c r="I473" s="543"/>
      <c r="J473" s="2105" t="s">
        <v>958</v>
      </c>
      <c r="K473" s="2082"/>
      <c r="L473" s="2082"/>
      <c r="M473" s="2082"/>
      <c r="N473" s="2082"/>
      <c r="O473" s="2082"/>
      <c r="P473" s="2082"/>
      <c r="Q473" s="556">
        <v>6</v>
      </c>
      <c r="R473" s="2092" t="s">
        <v>142</v>
      </c>
      <c r="S473" s="474">
        <v>200000</v>
      </c>
      <c r="T473" s="2106" t="s">
        <v>0</v>
      </c>
      <c r="U473" s="2106"/>
      <c r="V473" s="2106">
        <v>2</v>
      </c>
      <c r="W473" s="2106" t="s">
        <v>39</v>
      </c>
      <c r="X473" s="2106" t="s">
        <v>38</v>
      </c>
      <c r="Y473" s="483">
        <f t="shared" si="77"/>
        <v>2400</v>
      </c>
      <c r="Z473" s="1898">
        <f>Q473*S473*V473</f>
        <v>2400000</v>
      </c>
      <c r="AA473" s="427"/>
      <c r="AB473" s="427"/>
      <c r="AC473" s="192"/>
    </row>
    <row r="474" spans="1:29" s="294" customFormat="1" ht="20.45" customHeight="1">
      <c r="A474" s="562"/>
      <c r="B474" s="563"/>
      <c r="C474" s="1911"/>
      <c r="D474" s="2013"/>
      <c r="E474" s="2023"/>
      <c r="F474" s="526"/>
      <c r="G474" s="1918"/>
      <c r="H474" s="551"/>
      <c r="I474" s="543"/>
      <c r="J474" s="2105" t="s">
        <v>959</v>
      </c>
      <c r="K474" s="2082"/>
      <c r="L474" s="2082"/>
      <c r="M474" s="2082"/>
      <c r="N474" s="2082"/>
      <c r="O474" s="2082"/>
      <c r="P474" s="2082"/>
      <c r="Q474" s="556">
        <v>6</v>
      </c>
      <c r="R474" s="2092" t="s">
        <v>142</v>
      </c>
      <c r="S474" s="474">
        <v>150000</v>
      </c>
      <c r="T474" s="2106" t="s">
        <v>0</v>
      </c>
      <c r="U474" s="2106"/>
      <c r="V474" s="2106">
        <v>2</v>
      </c>
      <c r="W474" s="2106" t="s">
        <v>39</v>
      </c>
      <c r="X474" s="2106" t="s">
        <v>38</v>
      </c>
      <c r="Y474" s="483">
        <f t="shared" si="77"/>
        <v>1800</v>
      </c>
      <c r="Z474" s="1898">
        <f>Q474*S474*V474</f>
        <v>1800000</v>
      </c>
      <c r="AA474" s="427"/>
      <c r="AB474" s="427"/>
      <c r="AC474" s="192"/>
    </row>
    <row r="475" spans="1:29" s="294" customFormat="1" ht="20.45" customHeight="1">
      <c r="A475" s="562"/>
      <c r="B475" s="563"/>
      <c r="C475" s="1911"/>
      <c r="D475" s="2013"/>
      <c r="E475" s="532" t="s">
        <v>728</v>
      </c>
      <c r="F475" s="526">
        <f>Y475</f>
        <v>110000</v>
      </c>
      <c r="G475" s="1918">
        <v>110000</v>
      </c>
      <c r="H475" s="551"/>
      <c r="I475" s="543"/>
      <c r="J475" s="2105" t="s">
        <v>978</v>
      </c>
      <c r="K475" s="2082"/>
      <c r="L475" s="2082"/>
      <c r="M475" s="2082"/>
      <c r="N475" s="2082"/>
      <c r="O475" s="2082"/>
      <c r="P475" s="2082"/>
      <c r="Q475" s="556"/>
      <c r="R475" s="2092"/>
      <c r="S475" s="474">
        <v>10000000</v>
      </c>
      <c r="T475" s="2106" t="s">
        <v>0</v>
      </c>
      <c r="U475" s="2106"/>
      <c r="V475" s="2106">
        <v>11</v>
      </c>
      <c r="W475" s="2106" t="s">
        <v>51</v>
      </c>
      <c r="X475" s="2106" t="s">
        <v>38</v>
      </c>
      <c r="Y475" s="483">
        <f t="shared" si="77"/>
        <v>110000</v>
      </c>
      <c r="Z475" s="1898">
        <f>S475*V475</f>
        <v>110000000</v>
      </c>
      <c r="AA475" s="427"/>
      <c r="AB475" s="427"/>
      <c r="AC475" s="192"/>
    </row>
    <row r="476" spans="1:29" s="294" customFormat="1" ht="20.45" customHeight="1">
      <c r="A476" s="540"/>
      <c r="B476" s="541"/>
      <c r="C476" s="542"/>
      <c r="D476" s="548"/>
      <c r="E476" s="2023" t="s">
        <v>942</v>
      </c>
      <c r="F476" s="526">
        <f>Y476</f>
        <v>1500</v>
      </c>
      <c r="G476" s="2326">
        <v>1500</v>
      </c>
      <c r="H476" s="551"/>
      <c r="I476" s="543"/>
      <c r="J476" s="2105" t="s">
        <v>965</v>
      </c>
      <c r="K476" s="2106"/>
      <c r="L476" s="2082"/>
      <c r="M476" s="2082"/>
      <c r="N476" s="2082"/>
      <c r="O476" s="2082"/>
      <c r="P476" s="2082"/>
      <c r="Q476" s="556">
        <v>10</v>
      </c>
      <c r="R476" s="2092" t="s">
        <v>142</v>
      </c>
      <c r="S476" s="474">
        <v>30000</v>
      </c>
      <c r="T476" s="2106" t="s">
        <v>0</v>
      </c>
      <c r="U476" s="2106"/>
      <c r="V476" s="2106">
        <v>5</v>
      </c>
      <c r="W476" s="2106" t="s">
        <v>39</v>
      </c>
      <c r="X476" s="2106" t="s">
        <v>38</v>
      </c>
      <c r="Y476" s="483">
        <f t="shared" si="77"/>
        <v>1500</v>
      </c>
      <c r="Z476" s="1898">
        <f>Q476*S476*V476</f>
        <v>1500000</v>
      </c>
      <c r="AA476" s="427"/>
      <c r="AB476" s="427"/>
      <c r="AC476" s="192"/>
    </row>
    <row r="477" spans="1:29" s="294" customFormat="1" ht="20.45" customHeight="1">
      <c r="A477" s="540"/>
      <c r="B477" s="541"/>
      <c r="C477" s="1910"/>
      <c r="D477" s="3825" t="s">
        <v>347</v>
      </c>
      <c r="E477" s="3826"/>
      <c r="F477" s="525">
        <f>SUM(F478:F485)</f>
        <v>60000</v>
      </c>
      <c r="G477" s="525">
        <f>SUM(G478:G485)</f>
        <v>60000</v>
      </c>
      <c r="H477" s="627">
        <f>F477-G477</f>
        <v>0</v>
      </c>
      <c r="I477" s="543"/>
      <c r="J477" s="538"/>
      <c r="K477" s="2068"/>
      <c r="L477" s="2068"/>
      <c r="M477" s="2068"/>
      <c r="N477" s="2068"/>
      <c r="O477" s="2068"/>
      <c r="P477" s="2068"/>
      <c r="Q477" s="2068"/>
      <c r="R477" s="539"/>
      <c r="S477" s="2068"/>
      <c r="T477" s="2068"/>
      <c r="U477" s="2068"/>
      <c r="V477" s="2068"/>
      <c r="W477" s="2068"/>
      <c r="X477" s="585"/>
      <c r="Y477" s="600"/>
      <c r="Z477" s="3474"/>
      <c r="AA477" s="427"/>
      <c r="AB477" s="427"/>
      <c r="AC477" s="192"/>
    </row>
    <row r="478" spans="1:29" ht="20.45" customHeight="1">
      <c r="A478" s="540"/>
      <c r="B478" s="541"/>
      <c r="C478" s="1910"/>
      <c r="D478" s="624"/>
      <c r="E478" s="532" t="s">
        <v>57</v>
      </c>
      <c r="F478" s="526">
        <f>Y478</f>
        <v>1500</v>
      </c>
      <c r="G478" s="2326">
        <v>1500</v>
      </c>
      <c r="H478" s="551"/>
      <c r="I478" s="543"/>
      <c r="J478" s="2105" t="s">
        <v>349</v>
      </c>
      <c r="K478" s="2082"/>
      <c r="L478" s="2082"/>
      <c r="M478" s="2082"/>
      <c r="N478" s="2082"/>
      <c r="O478" s="2082"/>
      <c r="P478" s="2082"/>
      <c r="Q478" s="556"/>
      <c r="R478" s="2092"/>
      <c r="S478" s="474">
        <v>1500000</v>
      </c>
      <c r="T478" s="2106" t="s">
        <v>0</v>
      </c>
      <c r="U478" s="2106"/>
      <c r="V478" s="2106">
        <v>1</v>
      </c>
      <c r="W478" s="2106" t="s">
        <v>6</v>
      </c>
      <c r="X478" s="2030" t="s">
        <v>1</v>
      </c>
      <c r="Y478" s="483">
        <f t="shared" ref="Y478:Y485" si="78">Z478/1000</f>
        <v>1500</v>
      </c>
      <c r="Z478" s="1898">
        <f>S478*V478</f>
        <v>1500000</v>
      </c>
      <c r="AA478" s="427"/>
      <c r="AB478" s="427"/>
      <c r="AC478" s="192"/>
    </row>
    <row r="479" spans="1:29" ht="20.45" customHeight="1">
      <c r="A479" s="540"/>
      <c r="B479" s="541"/>
      <c r="C479" s="1910"/>
      <c r="D479" s="624"/>
      <c r="E479" s="2023" t="s">
        <v>80</v>
      </c>
      <c r="F479" s="526">
        <f>Y479</f>
        <v>1000</v>
      </c>
      <c r="G479" s="2326">
        <v>1000</v>
      </c>
      <c r="H479" s="551"/>
      <c r="I479" s="543"/>
      <c r="J479" s="2105" t="s">
        <v>345</v>
      </c>
      <c r="K479" s="2082"/>
      <c r="L479" s="2082"/>
      <c r="M479" s="2082"/>
      <c r="N479" s="2082"/>
      <c r="O479" s="2082"/>
      <c r="P479" s="2082"/>
      <c r="Q479" s="556"/>
      <c r="R479" s="2092"/>
      <c r="S479" s="474">
        <v>1000000</v>
      </c>
      <c r="T479" s="2106" t="s">
        <v>0</v>
      </c>
      <c r="U479" s="2106"/>
      <c r="V479" s="2106">
        <v>1</v>
      </c>
      <c r="W479" s="2106" t="s">
        <v>6</v>
      </c>
      <c r="X479" s="2030" t="s">
        <v>1</v>
      </c>
      <c r="Y479" s="483">
        <f t="shared" si="78"/>
        <v>1000</v>
      </c>
      <c r="Z479" s="1898">
        <f>S479*V479</f>
        <v>1000000</v>
      </c>
      <c r="AA479" s="427"/>
      <c r="AB479" s="427"/>
      <c r="AC479" s="192"/>
    </row>
    <row r="480" spans="1:29" ht="20.45" customHeight="1">
      <c r="A480" s="540"/>
      <c r="B480" s="541"/>
      <c r="C480" s="542"/>
      <c r="D480" s="548"/>
      <c r="E480" s="2023" t="s">
        <v>95</v>
      </c>
      <c r="F480" s="526">
        <f>Y480</f>
        <v>1800</v>
      </c>
      <c r="G480" s="2326">
        <v>1800</v>
      </c>
      <c r="H480" s="551"/>
      <c r="I480" s="543"/>
      <c r="J480" s="2105" t="s">
        <v>346</v>
      </c>
      <c r="K480" s="2106"/>
      <c r="L480" s="2082"/>
      <c r="M480" s="2082"/>
      <c r="N480" s="2082"/>
      <c r="O480" s="556">
        <v>5</v>
      </c>
      <c r="P480" s="2092" t="s">
        <v>1928</v>
      </c>
      <c r="Q480" s="556">
        <v>1</v>
      </c>
      <c r="R480" s="2092" t="s">
        <v>142</v>
      </c>
      <c r="S480" s="474">
        <v>30000</v>
      </c>
      <c r="T480" s="2106" t="s">
        <v>0</v>
      </c>
      <c r="U480" s="2106"/>
      <c r="V480" s="2106">
        <v>12</v>
      </c>
      <c r="W480" s="2106" t="s">
        <v>2</v>
      </c>
      <c r="X480" s="2030" t="s">
        <v>1</v>
      </c>
      <c r="Y480" s="483">
        <f t="shared" si="78"/>
        <v>1800</v>
      </c>
      <c r="Z480" s="1898">
        <f>O480*Q480*S480*V480</f>
        <v>1800000</v>
      </c>
      <c r="AA480" s="427"/>
      <c r="AB480" s="427"/>
      <c r="AC480" s="192"/>
    </row>
    <row r="481" spans="1:29" ht="20.45" customHeight="1">
      <c r="A481" s="562"/>
      <c r="B481" s="563"/>
      <c r="C481" s="2352"/>
      <c r="D481" s="2013"/>
      <c r="E481" s="532" t="s">
        <v>58</v>
      </c>
      <c r="F481" s="526">
        <f>Y481</f>
        <v>4200</v>
      </c>
      <c r="G481" s="1918">
        <v>4200</v>
      </c>
      <c r="H481" s="551"/>
      <c r="I481" s="543"/>
      <c r="J481" s="2105" t="s">
        <v>8</v>
      </c>
      <c r="K481" s="2082"/>
      <c r="L481" s="2082"/>
      <c r="M481" s="2082"/>
      <c r="N481" s="2082"/>
      <c r="O481" s="2082"/>
      <c r="P481" s="2082"/>
      <c r="Q481" s="556"/>
      <c r="R481" s="2092"/>
      <c r="S481" s="474"/>
      <c r="T481" s="2106"/>
      <c r="U481" s="2106"/>
      <c r="V481" s="2106"/>
      <c r="W481" s="2106"/>
      <c r="X481" s="2030"/>
      <c r="Y481" s="483">
        <f t="shared" si="78"/>
        <v>4200</v>
      </c>
      <c r="Z481" s="1898">
        <f>+Z482+Z483</f>
        <v>4200000</v>
      </c>
      <c r="AA481" s="427"/>
      <c r="AB481" s="427"/>
      <c r="AC481" s="192"/>
    </row>
    <row r="482" spans="1:29" s="294" customFormat="1" ht="20.45" customHeight="1">
      <c r="A482" s="562"/>
      <c r="B482" s="563"/>
      <c r="C482" s="1911"/>
      <c r="D482" s="2013"/>
      <c r="E482" s="2023"/>
      <c r="F482" s="526"/>
      <c r="G482" s="1918"/>
      <c r="H482" s="551"/>
      <c r="I482" s="543"/>
      <c r="J482" s="2105" t="s">
        <v>343</v>
      </c>
      <c r="K482" s="2082"/>
      <c r="L482" s="2082"/>
      <c r="M482" s="2082"/>
      <c r="N482" s="2082"/>
      <c r="O482" s="2082"/>
      <c r="P482" s="2082"/>
      <c r="Q482" s="556">
        <v>6</v>
      </c>
      <c r="R482" s="2092" t="s">
        <v>142</v>
      </c>
      <c r="S482" s="474">
        <v>200000</v>
      </c>
      <c r="T482" s="2106" t="s">
        <v>0</v>
      </c>
      <c r="U482" s="2106"/>
      <c r="V482" s="2106">
        <v>2</v>
      </c>
      <c r="W482" s="2106" t="s">
        <v>3</v>
      </c>
      <c r="X482" s="2030" t="s">
        <v>1</v>
      </c>
      <c r="Y482" s="483">
        <f t="shared" si="78"/>
        <v>2400</v>
      </c>
      <c r="Z482" s="1898">
        <f>Q482*S482*V482</f>
        <v>2400000</v>
      </c>
      <c r="AA482" s="427"/>
      <c r="AB482" s="427"/>
      <c r="AC482" s="192"/>
    </row>
    <row r="483" spans="1:29" ht="20.45" customHeight="1">
      <c r="A483" s="562"/>
      <c r="B483" s="563"/>
      <c r="C483" s="1911"/>
      <c r="D483" s="2013"/>
      <c r="E483" s="2023"/>
      <c r="F483" s="526"/>
      <c r="G483" s="1918"/>
      <c r="H483" s="551"/>
      <c r="I483" s="543"/>
      <c r="J483" s="2105" t="s">
        <v>344</v>
      </c>
      <c r="K483" s="2082"/>
      <c r="L483" s="2082"/>
      <c r="M483" s="2082"/>
      <c r="N483" s="2082"/>
      <c r="O483" s="2082"/>
      <c r="P483" s="2082"/>
      <c r="Q483" s="556">
        <v>6</v>
      </c>
      <c r="R483" s="2092" t="s">
        <v>142</v>
      </c>
      <c r="S483" s="474">
        <v>150000</v>
      </c>
      <c r="T483" s="2106" t="s">
        <v>0</v>
      </c>
      <c r="U483" s="2106"/>
      <c r="V483" s="2106">
        <v>2</v>
      </c>
      <c r="W483" s="2106" t="s">
        <v>3</v>
      </c>
      <c r="X483" s="2030" t="s">
        <v>1</v>
      </c>
      <c r="Y483" s="483">
        <f t="shared" si="78"/>
        <v>1800</v>
      </c>
      <c r="Z483" s="1898">
        <f>Q483*S483*V483</f>
        <v>1800000</v>
      </c>
      <c r="AA483" s="427"/>
      <c r="AB483" s="427"/>
      <c r="AC483" s="192"/>
    </row>
    <row r="484" spans="1:29" ht="20.45" customHeight="1">
      <c r="A484" s="562"/>
      <c r="B484" s="563"/>
      <c r="C484" s="2352"/>
      <c r="D484" s="2050"/>
      <c r="E484" s="2023" t="s">
        <v>238</v>
      </c>
      <c r="F484" s="526">
        <f>Y484</f>
        <v>50000</v>
      </c>
      <c r="G484" s="1918">
        <v>50000</v>
      </c>
      <c r="H484" s="551"/>
      <c r="I484" s="543"/>
      <c r="J484" s="2105" t="s">
        <v>348</v>
      </c>
      <c r="K484" s="2082"/>
      <c r="L484" s="2082"/>
      <c r="M484" s="2082"/>
      <c r="N484" s="2082"/>
      <c r="O484" s="2082"/>
      <c r="P484" s="2082"/>
      <c r="Q484" s="556"/>
      <c r="R484" s="2092"/>
      <c r="S484" s="474">
        <v>10000000</v>
      </c>
      <c r="T484" s="2106" t="s">
        <v>0</v>
      </c>
      <c r="U484" s="2106"/>
      <c r="V484" s="2106">
        <v>5</v>
      </c>
      <c r="W484" s="2106" t="s">
        <v>74</v>
      </c>
      <c r="X484" s="2030" t="s">
        <v>1</v>
      </c>
      <c r="Y484" s="483">
        <f t="shared" si="78"/>
        <v>50000</v>
      </c>
      <c r="Z484" s="1898">
        <f>S484*V484</f>
        <v>50000000</v>
      </c>
      <c r="AA484" s="427"/>
      <c r="AB484" s="427"/>
      <c r="AC484" s="192"/>
    </row>
    <row r="485" spans="1:29" ht="20.45" customHeight="1">
      <c r="A485" s="540"/>
      <c r="B485" s="541"/>
      <c r="C485" s="542"/>
      <c r="D485" s="548"/>
      <c r="E485" s="2023" t="s">
        <v>61</v>
      </c>
      <c r="F485" s="526">
        <f>Y485</f>
        <v>1500</v>
      </c>
      <c r="G485" s="2326">
        <v>1500</v>
      </c>
      <c r="H485" s="551"/>
      <c r="I485" s="543"/>
      <c r="J485" s="2105" t="s">
        <v>350</v>
      </c>
      <c r="K485" s="2106"/>
      <c r="L485" s="2082"/>
      <c r="M485" s="2082"/>
      <c r="N485" s="2082"/>
      <c r="O485" s="2082"/>
      <c r="P485" s="2082"/>
      <c r="Q485" s="556">
        <v>5</v>
      </c>
      <c r="R485" s="2092" t="s">
        <v>142</v>
      </c>
      <c r="S485" s="474">
        <v>30000</v>
      </c>
      <c r="T485" s="2106" t="s">
        <v>0</v>
      </c>
      <c r="U485" s="2106"/>
      <c r="V485" s="2106">
        <v>10</v>
      </c>
      <c r="W485" s="2106" t="s">
        <v>3</v>
      </c>
      <c r="X485" s="2030" t="s">
        <v>1</v>
      </c>
      <c r="Y485" s="483">
        <f t="shared" si="78"/>
        <v>1500</v>
      </c>
      <c r="Z485" s="1898">
        <f>Q485*S485*V485</f>
        <v>1500000</v>
      </c>
      <c r="AA485" s="427"/>
      <c r="AB485" s="427"/>
      <c r="AC485" s="192"/>
    </row>
    <row r="486" spans="1:29" ht="20.45" customHeight="1">
      <c r="A486" s="540"/>
      <c r="B486" s="541"/>
      <c r="C486" s="1910"/>
      <c r="D486" s="3825" t="s">
        <v>948</v>
      </c>
      <c r="E486" s="3826"/>
      <c r="F486" s="525">
        <f>SUM(F487:F493)</f>
        <v>110000</v>
      </c>
      <c r="G486" s="525">
        <f>SUM(G487:G493)</f>
        <v>110000</v>
      </c>
      <c r="H486" s="627">
        <f>F486-G486</f>
        <v>0</v>
      </c>
      <c r="I486" s="543"/>
      <c r="J486" s="538"/>
      <c r="K486" s="2068"/>
      <c r="L486" s="2068"/>
      <c r="M486" s="2068"/>
      <c r="N486" s="2068"/>
      <c r="O486" s="2068"/>
      <c r="P486" s="2068"/>
      <c r="Q486" s="2068"/>
      <c r="R486" s="539"/>
      <c r="S486" s="2068"/>
      <c r="T486" s="2068"/>
      <c r="U486" s="2068"/>
      <c r="V486" s="2068"/>
      <c r="W486" s="2068"/>
      <c r="X486" s="2068"/>
      <c r="Y486" s="600"/>
      <c r="Z486" s="3474">
        <f>+Z492+Z487+Z489+Z488+Z493</f>
        <v>110000000</v>
      </c>
      <c r="AA486" s="427"/>
      <c r="AB486" s="427"/>
      <c r="AC486" s="192"/>
    </row>
    <row r="487" spans="1:29" ht="20.45" customHeight="1">
      <c r="A487" s="540"/>
      <c r="B487" s="541"/>
      <c r="C487" s="1910"/>
      <c r="D487" s="624"/>
      <c r="E487" s="532" t="s">
        <v>975</v>
      </c>
      <c r="F487" s="526">
        <f>Y487</f>
        <v>600</v>
      </c>
      <c r="G487" s="2326">
        <v>600</v>
      </c>
      <c r="H487" s="551"/>
      <c r="I487" s="543"/>
      <c r="J487" s="2105" t="s">
        <v>3392</v>
      </c>
      <c r="K487" s="2082"/>
      <c r="L487" s="2082"/>
      <c r="M487" s="2082"/>
      <c r="N487" s="2082"/>
      <c r="O487" s="2082"/>
      <c r="P487" s="2082"/>
      <c r="Q487" s="556"/>
      <c r="R487" s="2092"/>
      <c r="S487" s="474">
        <v>600000</v>
      </c>
      <c r="T487" s="2106" t="s">
        <v>37</v>
      </c>
      <c r="U487" s="2106"/>
      <c r="V487" s="2106">
        <v>1</v>
      </c>
      <c r="W487" s="2106" t="s">
        <v>763</v>
      </c>
      <c r="X487" s="2106" t="s">
        <v>38</v>
      </c>
      <c r="Y487" s="483">
        <f t="shared" ref="Y487:Y493" si="79">(Z487)/1000</f>
        <v>600</v>
      </c>
      <c r="Z487" s="1898">
        <f>S487*V487</f>
        <v>600000</v>
      </c>
      <c r="AA487" s="427"/>
      <c r="AB487" s="427"/>
      <c r="AC487" s="192"/>
    </row>
    <row r="488" spans="1:29" ht="20.45" customHeight="1">
      <c r="A488" s="540"/>
      <c r="B488" s="541"/>
      <c r="C488" s="542"/>
      <c r="D488" s="548"/>
      <c r="E488" s="2023" t="s">
        <v>928</v>
      </c>
      <c r="F488" s="526">
        <f>Y488</f>
        <v>5400</v>
      </c>
      <c r="G488" s="2326">
        <v>5400</v>
      </c>
      <c r="H488" s="551"/>
      <c r="I488" s="543"/>
      <c r="J488" s="2105" t="s">
        <v>960</v>
      </c>
      <c r="K488" s="2106"/>
      <c r="L488" s="2082"/>
      <c r="M488" s="2082"/>
      <c r="N488" s="2082"/>
      <c r="O488" s="556">
        <v>15</v>
      </c>
      <c r="P488" s="2092" t="s">
        <v>1928</v>
      </c>
      <c r="Q488" s="556">
        <v>1</v>
      </c>
      <c r="R488" s="2092" t="s">
        <v>873</v>
      </c>
      <c r="S488" s="474">
        <v>30000</v>
      </c>
      <c r="T488" s="2106" t="s">
        <v>37</v>
      </c>
      <c r="U488" s="2106"/>
      <c r="V488" s="2106">
        <v>12</v>
      </c>
      <c r="W488" s="2106" t="s">
        <v>830</v>
      </c>
      <c r="X488" s="2106" t="s">
        <v>38</v>
      </c>
      <c r="Y488" s="483">
        <f t="shared" si="79"/>
        <v>5400</v>
      </c>
      <c r="Z488" s="1898">
        <f>O488*Q488*S488*V488</f>
        <v>5400000</v>
      </c>
      <c r="AA488" s="427"/>
      <c r="AB488" s="427"/>
      <c r="AC488" s="192"/>
    </row>
    <row r="489" spans="1:29" ht="20.45" customHeight="1">
      <c r="A489" s="562"/>
      <c r="B489" s="563"/>
      <c r="C489" s="2352"/>
      <c r="D489" s="2013"/>
      <c r="E489" s="532" t="s">
        <v>931</v>
      </c>
      <c r="F489" s="526">
        <f>Y489</f>
        <v>2000</v>
      </c>
      <c r="G489" s="1918">
        <v>2000</v>
      </c>
      <c r="H489" s="551"/>
      <c r="I489" s="543"/>
      <c r="J489" s="2105" t="s">
        <v>768</v>
      </c>
      <c r="K489" s="2082"/>
      <c r="L489" s="2082"/>
      <c r="M489" s="2082"/>
      <c r="N489" s="2082"/>
      <c r="O489" s="2082"/>
      <c r="P489" s="2082"/>
      <c r="Q489" s="556"/>
      <c r="R489" s="2092"/>
      <c r="S489" s="474"/>
      <c r="T489" s="2106"/>
      <c r="U489" s="2106"/>
      <c r="V489" s="2106"/>
      <c r="W489" s="2106"/>
      <c r="X489" s="2106"/>
      <c r="Y489" s="483">
        <f t="shared" si="79"/>
        <v>2000</v>
      </c>
      <c r="Z489" s="1898">
        <f>+Z490+Z491</f>
        <v>2000000</v>
      </c>
      <c r="AA489" s="427"/>
      <c r="AB489" s="427"/>
      <c r="AC489" s="192"/>
    </row>
    <row r="490" spans="1:29" ht="20.45" customHeight="1">
      <c r="A490" s="562"/>
      <c r="B490" s="563"/>
      <c r="C490" s="1911"/>
      <c r="D490" s="2013"/>
      <c r="E490" s="2023"/>
      <c r="F490" s="526"/>
      <c r="G490" s="1918"/>
      <c r="H490" s="551"/>
      <c r="I490" s="543"/>
      <c r="J490" s="2105" t="s">
        <v>958</v>
      </c>
      <c r="K490" s="2082"/>
      <c r="L490" s="2082"/>
      <c r="M490" s="2082"/>
      <c r="N490" s="2082"/>
      <c r="O490" s="2082"/>
      <c r="P490" s="2082"/>
      <c r="Q490" s="556">
        <v>4</v>
      </c>
      <c r="R490" s="2092" t="s">
        <v>873</v>
      </c>
      <c r="S490" s="474">
        <v>200000</v>
      </c>
      <c r="T490" s="2106" t="s">
        <v>37</v>
      </c>
      <c r="U490" s="2106"/>
      <c r="V490" s="2106">
        <v>1</v>
      </c>
      <c r="W490" s="2106" t="s">
        <v>39</v>
      </c>
      <c r="X490" s="2106" t="s">
        <v>38</v>
      </c>
      <c r="Y490" s="483">
        <f t="shared" si="79"/>
        <v>800</v>
      </c>
      <c r="Z490" s="1898">
        <f>Q490*S490*V490</f>
        <v>800000</v>
      </c>
      <c r="AA490" s="427"/>
      <c r="AB490" s="427"/>
      <c r="AC490" s="192"/>
    </row>
    <row r="491" spans="1:29" ht="20.45" customHeight="1">
      <c r="A491" s="562"/>
      <c r="B491" s="563"/>
      <c r="C491" s="1911"/>
      <c r="D491" s="2013"/>
      <c r="E491" s="2023"/>
      <c r="F491" s="526"/>
      <c r="G491" s="1918"/>
      <c r="H491" s="551"/>
      <c r="I491" s="543"/>
      <c r="J491" s="2105" t="s">
        <v>959</v>
      </c>
      <c r="K491" s="2082"/>
      <c r="L491" s="2082"/>
      <c r="M491" s="2082"/>
      <c r="N491" s="2082"/>
      <c r="O491" s="2082"/>
      <c r="P491" s="2082"/>
      <c r="Q491" s="556">
        <v>4</v>
      </c>
      <c r="R491" s="2092" t="s">
        <v>873</v>
      </c>
      <c r="S491" s="474">
        <v>150000</v>
      </c>
      <c r="T491" s="2106" t="s">
        <v>37</v>
      </c>
      <c r="U491" s="2106"/>
      <c r="V491" s="2106">
        <v>2</v>
      </c>
      <c r="W491" s="2106" t="s">
        <v>39</v>
      </c>
      <c r="X491" s="2106" t="s">
        <v>38</v>
      </c>
      <c r="Y491" s="483">
        <f t="shared" si="79"/>
        <v>1200</v>
      </c>
      <c r="Z491" s="1898">
        <f>Q491*S491*V491</f>
        <v>1200000</v>
      </c>
      <c r="AA491" s="427"/>
      <c r="AB491" s="427"/>
      <c r="AC491" s="192"/>
    </row>
    <row r="492" spans="1:29" s="294" customFormat="1" ht="20.45" customHeight="1">
      <c r="A492" s="562"/>
      <c r="B492" s="563"/>
      <c r="C492" s="2352"/>
      <c r="D492" s="2050"/>
      <c r="E492" s="2023" t="s">
        <v>728</v>
      </c>
      <c r="F492" s="526">
        <f>Y492</f>
        <v>100000</v>
      </c>
      <c r="G492" s="1918">
        <v>100000</v>
      </c>
      <c r="H492" s="551"/>
      <c r="I492" s="543"/>
      <c r="J492" s="2105" t="s">
        <v>949</v>
      </c>
      <c r="K492" s="2082"/>
      <c r="L492" s="2082"/>
      <c r="M492" s="2082"/>
      <c r="N492" s="2082"/>
      <c r="O492" s="2082"/>
      <c r="P492" s="2082"/>
      <c r="Q492" s="556"/>
      <c r="R492" s="2092"/>
      <c r="S492" s="474">
        <v>10000000</v>
      </c>
      <c r="T492" s="2106" t="s">
        <v>0</v>
      </c>
      <c r="U492" s="2106"/>
      <c r="V492" s="2106">
        <v>10</v>
      </c>
      <c r="W492" s="2106" t="s">
        <v>51</v>
      </c>
      <c r="X492" s="2106" t="s">
        <v>38</v>
      </c>
      <c r="Y492" s="483">
        <f t="shared" si="79"/>
        <v>100000</v>
      </c>
      <c r="Z492" s="1898">
        <f>S492*V492</f>
        <v>100000000</v>
      </c>
      <c r="AA492" s="427"/>
      <c r="AB492" s="427"/>
      <c r="AC492" s="192"/>
    </row>
    <row r="493" spans="1:29" ht="20.45" customHeight="1">
      <c r="A493" s="540"/>
      <c r="B493" s="541"/>
      <c r="C493" s="542"/>
      <c r="D493" s="548"/>
      <c r="E493" s="2023" t="s">
        <v>942</v>
      </c>
      <c r="F493" s="526">
        <f>Y493</f>
        <v>2000</v>
      </c>
      <c r="G493" s="2326">
        <v>2000</v>
      </c>
      <c r="H493" s="551"/>
      <c r="I493" s="543"/>
      <c r="J493" s="2105" t="s">
        <v>3393</v>
      </c>
      <c r="K493" s="2106"/>
      <c r="L493" s="2082"/>
      <c r="M493" s="2082"/>
      <c r="N493" s="2082"/>
      <c r="O493" s="2082"/>
      <c r="P493" s="2082"/>
      <c r="Q493" s="556">
        <v>10</v>
      </c>
      <c r="R493" s="2092" t="s">
        <v>873</v>
      </c>
      <c r="S493" s="474">
        <v>20000</v>
      </c>
      <c r="T493" s="2106" t="s">
        <v>37</v>
      </c>
      <c r="U493" s="2106"/>
      <c r="V493" s="2106">
        <v>10</v>
      </c>
      <c r="W493" s="2106" t="s">
        <v>39</v>
      </c>
      <c r="X493" s="2106" t="s">
        <v>38</v>
      </c>
      <c r="Y493" s="483">
        <f t="shared" si="79"/>
        <v>2000</v>
      </c>
      <c r="Z493" s="1898">
        <f>Q493*S493*V493</f>
        <v>2000000</v>
      </c>
      <c r="AA493" s="427"/>
      <c r="AB493" s="427"/>
      <c r="AC493" s="192"/>
    </row>
    <row r="494" spans="1:29" s="294" customFormat="1" ht="20.45" customHeight="1">
      <c r="A494" s="2081"/>
      <c r="B494" s="541"/>
      <c r="C494" s="2294"/>
      <c r="D494" s="3837" t="s">
        <v>342</v>
      </c>
      <c r="E494" s="3838"/>
      <c r="F494" s="525">
        <f>SUM(F495:F504)</f>
        <v>80000</v>
      </c>
      <c r="G494" s="525">
        <f>SUM(G495:G504)</f>
        <v>80000</v>
      </c>
      <c r="H494" s="627">
        <f>F494-G494</f>
        <v>0</v>
      </c>
      <c r="I494" s="543"/>
      <c r="J494" s="538"/>
      <c r="K494" s="2068"/>
      <c r="L494" s="2068"/>
      <c r="M494" s="2068"/>
      <c r="N494" s="2068"/>
      <c r="O494" s="2068"/>
      <c r="P494" s="2068"/>
      <c r="Q494" s="2068"/>
      <c r="R494" s="539"/>
      <c r="S494" s="2068"/>
      <c r="T494" s="2068"/>
      <c r="U494" s="2068"/>
      <c r="V494" s="2068"/>
      <c r="W494" s="2068"/>
      <c r="X494" s="585"/>
      <c r="Y494" s="600"/>
      <c r="Z494" s="3474">
        <f>+Z495+Z496+Z497+Z500</f>
        <v>3600000</v>
      </c>
      <c r="AA494" s="427"/>
      <c r="AB494" s="427"/>
      <c r="AC494" s="192"/>
    </row>
    <row r="495" spans="1:29" ht="20.45" customHeight="1">
      <c r="A495" s="540"/>
      <c r="B495" s="541"/>
      <c r="C495" s="542"/>
      <c r="D495" s="548"/>
      <c r="E495" s="2023" t="s">
        <v>384</v>
      </c>
      <c r="F495" s="526">
        <v>1000</v>
      </c>
      <c r="G495" s="2326">
        <v>1000</v>
      </c>
      <c r="H495" s="551"/>
      <c r="I495" s="543"/>
      <c r="J495" s="2105" t="s">
        <v>985</v>
      </c>
      <c r="K495" s="2106" t="s">
        <v>2530</v>
      </c>
      <c r="L495" s="2082"/>
      <c r="M495" s="2082"/>
      <c r="N495" s="2082"/>
      <c r="O495" s="2082"/>
      <c r="P495" s="2082"/>
      <c r="Q495" s="556">
        <v>10</v>
      </c>
      <c r="R495" s="2092" t="s">
        <v>873</v>
      </c>
      <c r="S495" s="474">
        <v>20000</v>
      </c>
      <c r="T495" s="2106" t="s">
        <v>37</v>
      </c>
      <c r="U495" s="2106"/>
      <c r="V495" s="2106">
        <v>5</v>
      </c>
      <c r="W495" s="2106" t="s">
        <v>39</v>
      </c>
      <c r="X495" s="2106" t="s">
        <v>38</v>
      </c>
      <c r="Y495" s="483">
        <f t="shared" ref="Y495" si="80">(Z495)/1000</f>
        <v>1000</v>
      </c>
      <c r="Z495" s="1898">
        <f>Q495*S495*V495</f>
        <v>1000000</v>
      </c>
      <c r="AA495" s="427"/>
      <c r="AB495" s="427"/>
      <c r="AC495" s="192"/>
    </row>
    <row r="496" spans="1:29" ht="20.45" customHeight="1">
      <c r="A496" s="540"/>
      <c r="B496" s="541"/>
      <c r="C496" s="542"/>
      <c r="D496" s="548"/>
      <c r="E496" s="2023" t="s">
        <v>80</v>
      </c>
      <c r="F496" s="526">
        <f>Y496</f>
        <v>400</v>
      </c>
      <c r="G496" s="2326">
        <v>400</v>
      </c>
      <c r="H496" s="551"/>
      <c r="I496" s="543"/>
      <c r="J496" s="2105" t="s">
        <v>345</v>
      </c>
      <c r="K496" s="2082"/>
      <c r="L496" s="2082"/>
      <c r="M496" s="2082"/>
      <c r="N496" s="2082"/>
      <c r="O496" s="2082"/>
      <c r="P496" s="2082"/>
      <c r="Q496" s="556"/>
      <c r="R496" s="2092"/>
      <c r="S496" s="474">
        <v>400000</v>
      </c>
      <c r="T496" s="2106" t="s">
        <v>0</v>
      </c>
      <c r="U496" s="2106"/>
      <c r="V496" s="2106">
        <v>1</v>
      </c>
      <c r="W496" s="2106" t="s">
        <v>6</v>
      </c>
      <c r="X496" s="2030" t="s">
        <v>1</v>
      </c>
      <c r="Y496" s="483">
        <f t="shared" ref="Y496:Y504" si="81">Z496/1000</f>
        <v>400</v>
      </c>
      <c r="Z496" s="1898">
        <f>S496*V496</f>
        <v>400000</v>
      </c>
      <c r="AA496" s="427"/>
      <c r="AB496" s="427"/>
      <c r="AC496" s="192"/>
    </row>
    <row r="497" spans="1:29" ht="20.45" customHeight="1">
      <c r="A497" s="562"/>
      <c r="B497" s="563"/>
      <c r="C497" s="2352"/>
      <c r="D497" s="2013"/>
      <c r="E497" s="2023" t="s">
        <v>95</v>
      </c>
      <c r="F497" s="526">
        <f>Y497</f>
        <v>400</v>
      </c>
      <c r="G497" s="2326">
        <v>400</v>
      </c>
      <c r="H497" s="551"/>
      <c r="I497" s="543"/>
      <c r="J497" s="2105" t="s">
        <v>346</v>
      </c>
      <c r="K497" s="2106"/>
      <c r="L497" s="2082"/>
      <c r="M497" s="2082"/>
      <c r="N497" s="2082"/>
      <c r="O497" s="556">
        <v>2</v>
      </c>
      <c r="P497" s="2092" t="s">
        <v>1928</v>
      </c>
      <c r="Q497" s="556">
        <v>1</v>
      </c>
      <c r="R497" s="2092" t="s">
        <v>142</v>
      </c>
      <c r="S497" s="474">
        <v>20000</v>
      </c>
      <c r="T497" s="2106" t="s">
        <v>0</v>
      </c>
      <c r="U497" s="2106"/>
      <c r="V497" s="2106">
        <v>10</v>
      </c>
      <c r="W497" s="2106" t="s">
        <v>2</v>
      </c>
      <c r="X497" s="2030" t="s">
        <v>1</v>
      </c>
      <c r="Y497" s="483">
        <f t="shared" si="81"/>
        <v>400</v>
      </c>
      <c r="Z497" s="1898">
        <f>O497*Q497*S497*V497</f>
        <v>400000</v>
      </c>
      <c r="AA497" s="427"/>
      <c r="AB497" s="427"/>
      <c r="AC497" s="192"/>
    </row>
    <row r="498" spans="1:29" s="294" customFormat="1" ht="20.45" customHeight="1">
      <c r="A498" s="562"/>
      <c r="B498" s="563"/>
      <c r="C498" s="1911"/>
      <c r="D498" s="2013"/>
      <c r="E498" s="532" t="s">
        <v>58</v>
      </c>
      <c r="F498" s="526">
        <f>Y498</f>
        <v>4200</v>
      </c>
      <c r="G498" s="1918">
        <v>4200</v>
      </c>
      <c r="H498" s="551"/>
      <c r="I498" s="543"/>
      <c r="J498" s="2105" t="s">
        <v>8</v>
      </c>
      <c r="K498" s="2082"/>
      <c r="L498" s="2082"/>
      <c r="M498" s="2082"/>
      <c r="N498" s="2082"/>
      <c r="O498" s="2082"/>
      <c r="P498" s="2082"/>
      <c r="Q498" s="556"/>
      <c r="R498" s="2092"/>
      <c r="S498" s="474"/>
      <c r="T498" s="2106"/>
      <c r="U498" s="2106"/>
      <c r="V498" s="2106"/>
      <c r="W498" s="2106"/>
      <c r="X498" s="2030"/>
      <c r="Y498" s="483">
        <f t="shared" si="81"/>
        <v>4200</v>
      </c>
      <c r="Z498" s="1898">
        <f>+Z499+Z500</f>
        <v>4200000</v>
      </c>
      <c r="AA498" s="427"/>
      <c r="AB498" s="427"/>
      <c r="AC498" s="192"/>
    </row>
    <row r="499" spans="1:29" s="294" customFormat="1" ht="20.45" customHeight="1">
      <c r="A499" s="562"/>
      <c r="B499" s="563"/>
      <c r="C499" s="1911"/>
      <c r="D499" s="2013"/>
      <c r="E499" s="2023"/>
      <c r="F499" s="526"/>
      <c r="G499" s="1918"/>
      <c r="H499" s="551"/>
      <c r="I499" s="543"/>
      <c r="J499" s="2105" t="s">
        <v>343</v>
      </c>
      <c r="K499" s="2082"/>
      <c r="L499" s="2082"/>
      <c r="M499" s="2082"/>
      <c r="N499" s="2082"/>
      <c r="O499" s="2082"/>
      <c r="P499" s="2082"/>
      <c r="Q499" s="556">
        <v>6</v>
      </c>
      <c r="R499" s="2092" t="s">
        <v>142</v>
      </c>
      <c r="S499" s="474">
        <v>200000</v>
      </c>
      <c r="T499" s="2106" t="s">
        <v>0</v>
      </c>
      <c r="U499" s="2106"/>
      <c r="V499" s="2106">
        <v>2</v>
      </c>
      <c r="W499" s="2106" t="s">
        <v>3</v>
      </c>
      <c r="X499" s="2030" t="s">
        <v>1</v>
      </c>
      <c r="Y499" s="483">
        <f t="shared" si="81"/>
        <v>2400</v>
      </c>
      <c r="Z499" s="1898">
        <f>Q499*S499*V499</f>
        <v>2400000</v>
      </c>
      <c r="AA499" s="427"/>
      <c r="AB499" s="427"/>
      <c r="AC499" s="192"/>
    </row>
    <row r="500" spans="1:29" ht="20.45" customHeight="1">
      <c r="A500" s="2353"/>
      <c r="B500" s="563"/>
      <c r="C500" s="2352"/>
      <c r="D500" s="2013"/>
      <c r="E500" s="2023"/>
      <c r="F500" s="526"/>
      <c r="G500" s="1918"/>
      <c r="H500" s="551"/>
      <c r="I500" s="543"/>
      <c r="J500" s="2105" t="s">
        <v>344</v>
      </c>
      <c r="K500" s="2082"/>
      <c r="L500" s="2082"/>
      <c r="M500" s="2082"/>
      <c r="N500" s="2082"/>
      <c r="O500" s="2082"/>
      <c r="P500" s="2082"/>
      <c r="Q500" s="556">
        <v>6</v>
      </c>
      <c r="R500" s="2092" t="s">
        <v>142</v>
      </c>
      <c r="S500" s="474">
        <v>150000</v>
      </c>
      <c r="T500" s="2106" t="s">
        <v>0</v>
      </c>
      <c r="U500" s="2106"/>
      <c r="V500" s="2106">
        <v>2</v>
      </c>
      <c r="W500" s="2106" t="s">
        <v>3</v>
      </c>
      <c r="X500" s="2030" t="s">
        <v>1</v>
      </c>
      <c r="Y500" s="483">
        <f t="shared" si="81"/>
        <v>1800</v>
      </c>
      <c r="Z500" s="1898">
        <f>Q500*S500*V500</f>
        <v>1800000</v>
      </c>
      <c r="AA500" s="427"/>
      <c r="AB500" s="427"/>
      <c r="AC500" s="192"/>
    </row>
    <row r="501" spans="1:29" ht="20.45" customHeight="1">
      <c r="A501" s="2353"/>
      <c r="B501" s="563"/>
      <c r="C501" s="2352"/>
      <c r="D501" s="2013"/>
      <c r="E501" s="532" t="s">
        <v>238</v>
      </c>
      <c r="F501" s="526">
        <f>Y501</f>
        <v>74000</v>
      </c>
      <c r="G501" s="1918">
        <v>74000</v>
      </c>
      <c r="H501" s="551"/>
      <c r="I501" s="543"/>
      <c r="J501" s="2105" t="s">
        <v>8</v>
      </c>
      <c r="K501" s="2082"/>
      <c r="L501" s="2082"/>
      <c r="M501" s="2082"/>
      <c r="N501" s="2082"/>
      <c r="O501" s="2082"/>
      <c r="P501" s="2082"/>
      <c r="Q501" s="556"/>
      <c r="R501" s="2092"/>
      <c r="S501" s="474"/>
      <c r="T501" s="2106"/>
      <c r="U501" s="2106"/>
      <c r="V501" s="2106"/>
      <c r="W501" s="2106"/>
      <c r="X501" s="2030"/>
      <c r="Y501" s="483">
        <f t="shared" si="81"/>
        <v>74000</v>
      </c>
      <c r="Z501" s="1898">
        <f>+Z502+Z503+Z504</f>
        <v>74000000</v>
      </c>
      <c r="AA501" s="427"/>
      <c r="AB501" s="427"/>
      <c r="AC501" s="192"/>
    </row>
    <row r="502" spans="1:29" ht="20.45" customHeight="1">
      <c r="A502" s="2353"/>
      <c r="B502" s="563"/>
      <c r="C502" s="2352"/>
      <c r="D502" s="2013"/>
      <c r="E502" s="532"/>
      <c r="F502" s="526"/>
      <c r="G502" s="1918"/>
      <c r="H502" s="551"/>
      <c r="I502" s="543"/>
      <c r="J502" s="2105" t="s">
        <v>1665</v>
      </c>
      <c r="K502" s="2082"/>
      <c r="L502" s="2082"/>
      <c r="M502" s="2082"/>
      <c r="N502" s="2082"/>
      <c r="O502" s="2082"/>
      <c r="P502" s="2082"/>
      <c r="Q502" s="556"/>
      <c r="R502" s="2092"/>
      <c r="S502" s="474">
        <v>1000000</v>
      </c>
      <c r="T502" s="2106" t="s">
        <v>0</v>
      </c>
      <c r="U502" s="2106"/>
      <c r="V502" s="2106">
        <v>24</v>
      </c>
      <c r="W502" s="2106" t="s">
        <v>74</v>
      </c>
      <c r="X502" s="2030" t="s">
        <v>1</v>
      </c>
      <c r="Y502" s="483">
        <f t="shared" si="81"/>
        <v>24000</v>
      </c>
      <c r="Z502" s="1898">
        <f>S502*V502</f>
        <v>24000000</v>
      </c>
      <c r="AA502" s="427"/>
      <c r="AB502" s="427"/>
      <c r="AC502" s="192"/>
    </row>
    <row r="503" spans="1:29" ht="20.45" customHeight="1">
      <c r="A503" s="2353"/>
      <c r="B503" s="563"/>
      <c r="C503" s="2352"/>
      <c r="D503" s="2013"/>
      <c r="E503" s="532"/>
      <c r="F503" s="526"/>
      <c r="G503" s="1918"/>
      <c r="H503" s="551"/>
      <c r="I503" s="543"/>
      <c r="J503" s="2105" t="s">
        <v>1666</v>
      </c>
      <c r="K503" s="2082"/>
      <c r="L503" s="2082"/>
      <c r="M503" s="2082"/>
      <c r="N503" s="2082"/>
      <c r="O503" s="2082"/>
      <c r="P503" s="2082"/>
      <c r="Q503" s="556"/>
      <c r="R503" s="2092"/>
      <c r="S503" s="474">
        <v>2000000</v>
      </c>
      <c r="T503" s="2106" t="s">
        <v>0</v>
      </c>
      <c r="U503" s="2106"/>
      <c r="V503" s="2106">
        <v>10</v>
      </c>
      <c r="W503" s="2106" t="s">
        <v>74</v>
      </c>
      <c r="X503" s="2030" t="s">
        <v>1</v>
      </c>
      <c r="Y503" s="483">
        <f t="shared" si="81"/>
        <v>20000</v>
      </c>
      <c r="Z503" s="1898">
        <f>S503*V503</f>
        <v>20000000</v>
      </c>
      <c r="AA503" s="427"/>
      <c r="AB503" s="427"/>
      <c r="AC503" s="192"/>
    </row>
    <row r="504" spans="1:29" ht="20.45" customHeight="1">
      <c r="A504" s="2353"/>
      <c r="B504" s="563"/>
      <c r="C504" s="2352"/>
      <c r="D504" s="493"/>
      <c r="E504" s="612"/>
      <c r="F504" s="2354"/>
      <c r="G504" s="1919"/>
      <c r="H504" s="1332"/>
      <c r="I504" s="543"/>
      <c r="J504" s="2105" t="s">
        <v>1667</v>
      </c>
      <c r="K504" s="2082"/>
      <c r="L504" s="2082"/>
      <c r="M504" s="2082"/>
      <c r="N504" s="2082"/>
      <c r="O504" s="2082"/>
      <c r="P504" s="2082"/>
      <c r="Q504" s="556"/>
      <c r="R504" s="2092"/>
      <c r="S504" s="474">
        <v>5000000</v>
      </c>
      <c r="T504" s="2106" t="s">
        <v>0</v>
      </c>
      <c r="U504" s="2106"/>
      <c r="V504" s="2106">
        <v>6</v>
      </c>
      <c r="W504" s="2106" t="s">
        <v>74</v>
      </c>
      <c r="X504" s="2030" t="s">
        <v>1</v>
      </c>
      <c r="Y504" s="483">
        <f t="shared" si="81"/>
        <v>30000</v>
      </c>
      <c r="Z504" s="1898">
        <f>S504*V504</f>
        <v>30000000</v>
      </c>
      <c r="AA504" s="427"/>
      <c r="AB504" s="427"/>
      <c r="AC504" s="192"/>
    </row>
    <row r="505" spans="1:29" ht="21" customHeight="1">
      <c r="A505" s="540"/>
      <c r="B505" s="541"/>
      <c r="C505" s="1910"/>
      <c r="D505" s="3825" t="s">
        <v>1242</v>
      </c>
      <c r="E505" s="3826"/>
      <c r="F505" s="528">
        <f>SUM(F506:F514)</f>
        <v>120000</v>
      </c>
      <c r="G505" s="528">
        <f>SUM(G506:G514)</f>
        <v>120000</v>
      </c>
      <c r="H505" s="627">
        <f>F505-G505</f>
        <v>0</v>
      </c>
      <c r="I505" s="543"/>
      <c r="J505" s="538"/>
      <c r="K505" s="2068"/>
      <c r="L505" s="2068"/>
      <c r="M505" s="2068"/>
      <c r="N505" s="2068"/>
      <c r="O505" s="2068"/>
      <c r="P505" s="2068"/>
      <c r="Q505" s="2068"/>
      <c r="R505" s="539"/>
      <c r="S505" s="2068"/>
      <c r="T505" s="2068"/>
      <c r="U505" s="2068"/>
      <c r="V505" s="2068"/>
      <c r="W505" s="2068"/>
      <c r="X505" s="2068"/>
      <c r="Y505" s="517"/>
      <c r="Z505" s="3474" t="e">
        <f>+#REF!</f>
        <v>#REF!</v>
      </c>
      <c r="AA505" s="427"/>
      <c r="AB505" s="427"/>
      <c r="AC505" s="192"/>
    </row>
    <row r="506" spans="1:29" ht="21" customHeight="1">
      <c r="A506" s="540"/>
      <c r="B506" s="541"/>
      <c r="C506" s="1910"/>
      <c r="D506" s="624"/>
      <c r="E506" s="2023" t="s">
        <v>934</v>
      </c>
      <c r="F506" s="526">
        <f>Y506</f>
        <v>2000</v>
      </c>
      <c r="G506" s="2326">
        <v>2000</v>
      </c>
      <c r="H506" s="551"/>
      <c r="I506" s="543"/>
      <c r="J506" s="2105" t="s">
        <v>951</v>
      </c>
      <c r="K506" s="2082"/>
      <c r="L506" s="2082"/>
      <c r="M506" s="2082"/>
      <c r="N506" s="2082"/>
      <c r="O506" s="2082"/>
      <c r="P506" s="2082"/>
      <c r="Q506" s="556"/>
      <c r="R506" s="2092"/>
      <c r="S506" s="474">
        <v>2000000</v>
      </c>
      <c r="T506" s="2106" t="s">
        <v>37</v>
      </c>
      <c r="U506" s="2106"/>
      <c r="V506" s="2106">
        <v>1</v>
      </c>
      <c r="W506" s="2106" t="s">
        <v>763</v>
      </c>
      <c r="X506" s="2106" t="s">
        <v>38</v>
      </c>
      <c r="Y506" s="483">
        <f>(Z506)/1000</f>
        <v>2000</v>
      </c>
      <c r="Z506" s="1898">
        <f>S506*V506</f>
        <v>2000000</v>
      </c>
      <c r="AA506" s="427"/>
      <c r="AB506" s="427"/>
      <c r="AC506" s="192"/>
    </row>
    <row r="507" spans="1:29" ht="21" customHeight="1">
      <c r="A507" s="540"/>
      <c r="B507" s="541"/>
      <c r="C507" s="542"/>
      <c r="D507" s="548"/>
      <c r="E507" s="2023" t="s">
        <v>928</v>
      </c>
      <c r="F507" s="526">
        <f>Y507</f>
        <v>1500</v>
      </c>
      <c r="G507" s="2326">
        <v>1500</v>
      </c>
      <c r="H507" s="551"/>
      <c r="I507" s="543"/>
      <c r="J507" s="2105" t="s">
        <v>960</v>
      </c>
      <c r="K507" s="2106"/>
      <c r="L507" s="2082"/>
      <c r="M507" s="2082"/>
      <c r="N507" s="2082"/>
      <c r="O507" s="556">
        <v>5</v>
      </c>
      <c r="P507" s="2092" t="s">
        <v>1928</v>
      </c>
      <c r="Q507" s="556">
        <v>1</v>
      </c>
      <c r="R507" s="2092" t="s">
        <v>873</v>
      </c>
      <c r="S507" s="474">
        <v>25000</v>
      </c>
      <c r="T507" s="2106" t="s">
        <v>37</v>
      </c>
      <c r="U507" s="2106"/>
      <c r="V507" s="2106">
        <v>12</v>
      </c>
      <c r="W507" s="2106" t="s">
        <v>830</v>
      </c>
      <c r="X507" s="2106" t="s">
        <v>38</v>
      </c>
      <c r="Y507" s="483">
        <f>(Z507)/1000</f>
        <v>1500</v>
      </c>
      <c r="Z507" s="1898">
        <f>O507*Q507*S507*V507</f>
        <v>1500000</v>
      </c>
      <c r="AA507" s="427"/>
      <c r="AB507" s="427"/>
      <c r="AC507" s="192"/>
    </row>
    <row r="508" spans="1:29" ht="21" customHeight="1">
      <c r="A508" s="562"/>
      <c r="B508" s="563"/>
      <c r="C508" s="2352"/>
      <c r="D508" s="2013"/>
      <c r="E508" s="532" t="s">
        <v>931</v>
      </c>
      <c r="F508" s="526">
        <f>Y508</f>
        <v>6000</v>
      </c>
      <c r="G508" s="1918">
        <v>6000</v>
      </c>
      <c r="H508" s="551"/>
      <c r="I508" s="543"/>
      <c r="J508" s="2105" t="s">
        <v>1246</v>
      </c>
      <c r="K508" s="2082"/>
      <c r="L508" s="2082"/>
      <c r="M508" s="2082"/>
      <c r="N508" s="2082"/>
      <c r="O508" s="2082"/>
      <c r="P508" s="2082"/>
      <c r="Q508" s="556">
        <v>6</v>
      </c>
      <c r="R508" s="2092" t="s">
        <v>873</v>
      </c>
      <c r="S508" s="474">
        <v>200000</v>
      </c>
      <c r="T508" s="2106" t="s">
        <v>37</v>
      </c>
      <c r="U508" s="2106"/>
      <c r="V508" s="2106">
        <v>5</v>
      </c>
      <c r="W508" s="2106" t="s">
        <v>39</v>
      </c>
      <c r="X508" s="2106" t="s">
        <v>38</v>
      </c>
      <c r="Y508" s="483">
        <f>(Z508)/1000</f>
        <v>6000</v>
      </c>
      <c r="Z508" s="1898">
        <f>Q508*S508*V508</f>
        <v>6000000</v>
      </c>
      <c r="AA508" s="427"/>
      <c r="AB508" s="427"/>
      <c r="AC508" s="192"/>
    </row>
    <row r="509" spans="1:29" ht="21" customHeight="1">
      <c r="A509" s="540"/>
      <c r="B509" s="541"/>
      <c r="C509" s="542"/>
      <c r="D509" s="548"/>
      <c r="E509" s="2023" t="s">
        <v>1098</v>
      </c>
      <c r="F509" s="526">
        <f>Y509</f>
        <v>105000</v>
      </c>
      <c r="G509" s="2326">
        <v>105000</v>
      </c>
      <c r="H509" s="551"/>
      <c r="I509" s="543"/>
      <c r="J509" s="2105" t="s">
        <v>768</v>
      </c>
      <c r="K509" s="2082"/>
      <c r="L509" s="2082"/>
      <c r="M509" s="2082"/>
      <c r="N509" s="2082"/>
      <c r="O509" s="2082"/>
      <c r="P509" s="2082"/>
      <c r="Q509" s="556"/>
      <c r="R509" s="2092"/>
      <c r="S509" s="474"/>
      <c r="T509" s="2106"/>
      <c r="U509" s="2106"/>
      <c r="V509" s="2106"/>
      <c r="W509" s="2106"/>
      <c r="X509" s="2106"/>
      <c r="Y509" s="483">
        <f t="shared" ref="Y509:Y514" si="82">(Z509)/1000</f>
        <v>105000</v>
      </c>
      <c r="Z509" s="1898">
        <f>+Z510+Z511</f>
        <v>105000000</v>
      </c>
      <c r="AA509" s="427"/>
      <c r="AB509" s="427"/>
      <c r="AC509" s="192"/>
    </row>
    <row r="510" spans="1:29" ht="21" customHeight="1">
      <c r="A510" s="540"/>
      <c r="B510" s="541"/>
      <c r="C510" s="542"/>
      <c r="D510" s="548"/>
      <c r="E510" s="2023"/>
      <c r="F510" s="526"/>
      <c r="G510" s="2326"/>
      <c r="H510" s="551"/>
      <c r="I510" s="543"/>
      <c r="J510" s="2105" t="s">
        <v>1243</v>
      </c>
      <c r="K510" s="2082"/>
      <c r="L510" s="2082"/>
      <c r="M510" s="2082"/>
      <c r="N510" s="2082"/>
      <c r="O510" s="2082"/>
      <c r="P510" s="2082"/>
      <c r="Q510" s="556"/>
      <c r="R510" s="2092"/>
      <c r="S510" s="474">
        <v>75000000</v>
      </c>
      <c r="T510" s="2106" t="s">
        <v>37</v>
      </c>
      <c r="U510" s="2106"/>
      <c r="V510" s="2106">
        <v>1</v>
      </c>
      <c r="W510" s="2106" t="s">
        <v>51</v>
      </c>
      <c r="X510" s="2106" t="s">
        <v>38</v>
      </c>
      <c r="Y510" s="483">
        <f t="shared" si="82"/>
        <v>75000</v>
      </c>
      <c r="Z510" s="1898">
        <f>S510*V510</f>
        <v>75000000</v>
      </c>
      <c r="AA510" s="427"/>
      <c r="AB510" s="427"/>
      <c r="AC510" s="192"/>
    </row>
    <row r="511" spans="1:29" s="523" customFormat="1" ht="21" customHeight="1">
      <c r="A511" s="540"/>
      <c r="B511" s="541"/>
      <c r="C511" s="542"/>
      <c r="D511" s="548"/>
      <c r="E511" s="2023"/>
      <c r="F511" s="526"/>
      <c r="G511" s="2326"/>
      <c r="H511" s="551"/>
      <c r="I511" s="543"/>
      <c r="J511" s="2105" t="s">
        <v>1244</v>
      </c>
      <c r="K511" s="2082"/>
      <c r="L511" s="2082"/>
      <c r="M511" s="2082"/>
      <c r="N511" s="2082"/>
      <c r="O511" s="2082"/>
      <c r="P511" s="2082"/>
      <c r="Q511" s="556"/>
      <c r="R511" s="2092"/>
      <c r="S511" s="474">
        <v>30000000</v>
      </c>
      <c r="T511" s="2106" t="s">
        <v>37</v>
      </c>
      <c r="U511" s="2106"/>
      <c r="V511" s="2106">
        <v>1</v>
      </c>
      <c r="W511" s="2106" t="s">
        <v>763</v>
      </c>
      <c r="X511" s="2106" t="s">
        <v>38</v>
      </c>
      <c r="Y511" s="483">
        <f t="shared" si="82"/>
        <v>30000</v>
      </c>
      <c r="Z511" s="1898">
        <f>S511*V511</f>
        <v>30000000</v>
      </c>
      <c r="AA511" s="427"/>
      <c r="AB511" s="427"/>
      <c r="AC511" s="192"/>
    </row>
    <row r="512" spans="1:29" s="523" customFormat="1" ht="21" customHeight="1">
      <c r="A512" s="562"/>
      <c r="B512" s="563"/>
      <c r="C512" s="2352"/>
      <c r="D512" s="2013"/>
      <c r="E512" s="532" t="s">
        <v>671</v>
      </c>
      <c r="F512" s="526">
        <f t="shared" ref="F512:F514" si="83">Y512</f>
        <v>3000</v>
      </c>
      <c r="G512" s="1918">
        <v>3000</v>
      </c>
      <c r="H512" s="551"/>
      <c r="I512" s="543"/>
      <c r="J512" s="2105" t="s">
        <v>1245</v>
      </c>
      <c r="K512" s="2082"/>
      <c r="L512" s="2082"/>
      <c r="M512" s="2082"/>
      <c r="N512" s="2082"/>
      <c r="O512" s="2082"/>
      <c r="P512" s="2082"/>
      <c r="Q512" s="556"/>
      <c r="R512" s="2092"/>
      <c r="S512" s="474">
        <v>3000000</v>
      </c>
      <c r="T512" s="2106" t="s">
        <v>37</v>
      </c>
      <c r="U512" s="2106"/>
      <c r="V512" s="2106">
        <v>1</v>
      </c>
      <c r="W512" s="2106" t="s">
        <v>763</v>
      </c>
      <c r="X512" s="2106" t="s">
        <v>38</v>
      </c>
      <c r="Y512" s="483">
        <f>(Z512)/1000</f>
        <v>3000</v>
      </c>
      <c r="Z512" s="1898">
        <f>S512*V512</f>
        <v>3000000</v>
      </c>
      <c r="AA512" s="427"/>
      <c r="AB512" s="427"/>
      <c r="AC512" s="192"/>
    </row>
    <row r="513" spans="1:29" s="523" customFormat="1" ht="21" customHeight="1">
      <c r="A513" s="540"/>
      <c r="B513" s="541"/>
      <c r="C513" s="542"/>
      <c r="D513" s="548"/>
      <c r="E513" s="2023" t="s">
        <v>943</v>
      </c>
      <c r="F513" s="526">
        <f t="shared" si="83"/>
        <v>1300</v>
      </c>
      <c r="G513" s="2326">
        <v>1300</v>
      </c>
      <c r="H513" s="551"/>
      <c r="I513" s="543"/>
      <c r="J513" s="2105" t="s">
        <v>1247</v>
      </c>
      <c r="K513" s="2106"/>
      <c r="L513" s="2082"/>
      <c r="M513" s="2082"/>
      <c r="N513" s="2082"/>
      <c r="O513" s="2082"/>
      <c r="P513" s="2082"/>
      <c r="Q513" s="556"/>
      <c r="R513" s="2092"/>
      <c r="S513" s="474">
        <v>1300000</v>
      </c>
      <c r="T513" s="2106" t="s">
        <v>37</v>
      </c>
      <c r="U513" s="2106"/>
      <c r="V513" s="2106">
        <v>1</v>
      </c>
      <c r="W513" s="2106" t="s">
        <v>39</v>
      </c>
      <c r="X513" s="2106" t="s">
        <v>38</v>
      </c>
      <c r="Y513" s="483">
        <f t="shared" si="82"/>
        <v>1300</v>
      </c>
      <c r="Z513" s="1898">
        <f>S513*V513</f>
        <v>1300000</v>
      </c>
      <c r="AA513" s="427"/>
      <c r="AB513" s="427"/>
      <c r="AC513" s="192"/>
    </row>
    <row r="514" spans="1:29" ht="21" customHeight="1">
      <c r="A514" s="540"/>
      <c r="B514" s="541"/>
      <c r="C514" s="542"/>
      <c r="D514" s="548"/>
      <c r="E514" s="2023" t="s">
        <v>942</v>
      </c>
      <c r="F514" s="526">
        <f t="shared" si="83"/>
        <v>1200</v>
      </c>
      <c r="G514" s="2326">
        <v>1200</v>
      </c>
      <c r="H514" s="551"/>
      <c r="I514" s="543"/>
      <c r="J514" s="2105" t="s">
        <v>965</v>
      </c>
      <c r="K514" s="2106"/>
      <c r="L514" s="2082"/>
      <c r="M514" s="2082"/>
      <c r="N514" s="2082"/>
      <c r="O514" s="2082"/>
      <c r="P514" s="2082"/>
      <c r="Q514" s="556">
        <v>5</v>
      </c>
      <c r="R514" s="2092" t="s">
        <v>873</v>
      </c>
      <c r="S514" s="474">
        <v>20000</v>
      </c>
      <c r="T514" s="2106" t="s">
        <v>37</v>
      </c>
      <c r="U514" s="2106"/>
      <c r="V514" s="2106">
        <v>12</v>
      </c>
      <c r="W514" s="2106" t="s">
        <v>39</v>
      </c>
      <c r="X514" s="2106" t="s">
        <v>38</v>
      </c>
      <c r="Y514" s="483">
        <f t="shared" si="82"/>
        <v>1200</v>
      </c>
      <c r="Z514" s="1898">
        <f>Q514*S514*V514</f>
        <v>1200000</v>
      </c>
      <c r="AA514" s="427"/>
      <c r="AB514" s="427"/>
      <c r="AC514" s="192"/>
    </row>
    <row r="515" spans="1:29" s="523" customFormat="1" ht="21" customHeight="1">
      <c r="A515" s="540"/>
      <c r="B515" s="541"/>
      <c r="C515" s="1910"/>
      <c r="D515" s="3825" t="s">
        <v>980</v>
      </c>
      <c r="E515" s="3826"/>
      <c r="F515" s="525">
        <f>SUM(F516:F522)</f>
        <v>30000</v>
      </c>
      <c r="G515" s="525">
        <f>SUM(G516:G522)</f>
        <v>30000</v>
      </c>
      <c r="H515" s="627">
        <f>F515-G515</f>
        <v>0</v>
      </c>
      <c r="I515" s="543"/>
      <c r="J515" s="538"/>
      <c r="K515" s="2068"/>
      <c r="L515" s="2068"/>
      <c r="M515" s="2068"/>
      <c r="N515" s="2068"/>
      <c r="O515" s="2068"/>
      <c r="P515" s="2068"/>
      <c r="Q515" s="2068"/>
      <c r="R515" s="539"/>
      <c r="S515" s="2068"/>
      <c r="T515" s="2068"/>
      <c r="U515" s="2068"/>
      <c r="V515" s="2068"/>
      <c r="W515" s="2068"/>
      <c r="X515" s="2068"/>
      <c r="Y515" s="600"/>
      <c r="Z515" s="3474">
        <f>SUM(Z516:Z522)</f>
        <v>30000000</v>
      </c>
      <c r="AA515" s="427"/>
      <c r="AB515" s="427"/>
      <c r="AC515" s="192"/>
    </row>
    <row r="516" spans="1:29" s="523" customFormat="1" ht="21" customHeight="1">
      <c r="A516" s="540"/>
      <c r="B516" s="541"/>
      <c r="C516" s="1910"/>
      <c r="D516" s="624"/>
      <c r="E516" s="2023" t="s">
        <v>975</v>
      </c>
      <c r="F516" s="526">
        <f t="shared" ref="F516:F522" si="84">Y516</f>
        <v>2300</v>
      </c>
      <c r="G516" s="2326">
        <v>2300</v>
      </c>
      <c r="H516" s="551"/>
      <c r="I516" s="543"/>
      <c r="J516" s="2105" t="s">
        <v>981</v>
      </c>
      <c r="K516" s="2106"/>
      <c r="L516" s="2082"/>
      <c r="M516" s="2082"/>
      <c r="N516" s="2082"/>
      <c r="O516" s="2082"/>
      <c r="P516" s="2082"/>
      <c r="Q516" s="556"/>
      <c r="R516" s="2092"/>
      <c r="S516" s="474">
        <v>2300000</v>
      </c>
      <c r="T516" s="2106" t="s">
        <v>37</v>
      </c>
      <c r="U516" s="2106"/>
      <c r="V516" s="2106">
        <v>1</v>
      </c>
      <c r="W516" s="2106" t="s">
        <v>763</v>
      </c>
      <c r="X516" s="2106" t="s">
        <v>38</v>
      </c>
      <c r="Y516" s="483">
        <f t="shared" ref="Y516:Y522" si="85">(Z516)/1000</f>
        <v>2300</v>
      </c>
      <c r="Z516" s="1898">
        <f>S516*V516</f>
        <v>2300000</v>
      </c>
      <c r="AA516" s="427"/>
      <c r="AB516" s="427"/>
      <c r="AC516" s="192"/>
    </row>
    <row r="517" spans="1:29" s="523" customFormat="1" ht="21" customHeight="1">
      <c r="A517" s="540"/>
      <c r="B517" s="541"/>
      <c r="C517" s="542"/>
      <c r="D517" s="548"/>
      <c r="E517" s="2023" t="s">
        <v>934</v>
      </c>
      <c r="F517" s="526">
        <f t="shared" si="84"/>
        <v>1200</v>
      </c>
      <c r="G517" s="2326">
        <v>1200</v>
      </c>
      <c r="H517" s="551"/>
      <c r="I517" s="543"/>
      <c r="J517" s="2105" t="s">
        <v>984</v>
      </c>
      <c r="K517" s="2082"/>
      <c r="L517" s="2082"/>
      <c r="M517" s="2082"/>
      <c r="N517" s="2082"/>
      <c r="O517" s="2082"/>
      <c r="P517" s="2082"/>
      <c r="Q517" s="556"/>
      <c r="R517" s="2092"/>
      <c r="S517" s="474">
        <v>1200000</v>
      </c>
      <c r="T517" s="2106" t="s">
        <v>37</v>
      </c>
      <c r="U517" s="2106"/>
      <c r="V517" s="2106">
        <v>1</v>
      </c>
      <c r="W517" s="2106" t="s">
        <v>763</v>
      </c>
      <c r="X517" s="2106" t="s">
        <v>38</v>
      </c>
      <c r="Y517" s="483">
        <f t="shared" si="85"/>
        <v>1200</v>
      </c>
      <c r="Z517" s="1898">
        <f>S517*V517</f>
        <v>1200000</v>
      </c>
      <c r="AA517" s="427"/>
      <c r="AB517" s="427"/>
      <c r="AC517" s="192"/>
    </row>
    <row r="518" spans="1:29" ht="21" customHeight="1">
      <c r="A518" s="562"/>
      <c r="B518" s="563"/>
      <c r="C518" s="1911"/>
      <c r="D518" s="2013"/>
      <c r="E518" s="2023" t="s">
        <v>931</v>
      </c>
      <c r="F518" s="526">
        <f t="shared" si="84"/>
        <v>7500</v>
      </c>
      <c r="G518" s="1918">
        <v>7500</v>
      </c>
      <c r="H518" s="551"/>
      <c r="I518" s="543"/>
      <c r="J518" s="2105" t="s">
        <v>983</v>
      </c>
      <c r="K518" s="2082"/>
      <c r="L518" s="2082"/>
      <c r="M518" s="2082"/>
      <c r="N518" s="2082"/>
      <c r="O518" s="2082"/>
      <c r="P518" s="2082"/>
      <c r="Q518" s="556">
        <v>10</v>
      </c>
      <c r="R518" s="2092" t="s">
        <v>873</v>
      </c>
      <c r="S518" s="474">
        <v>150000</v>
      </c>
      <c r="T518" s="2106" t="s">
        <v>37</v>
      </c>
      <c r="U518" s="2106"/>
      <c r="V518" s="2106">
        <v>5</v>
      </c>
      <c r="W518" s="2106" t="s">
        <v>39</v>
      </c>
      <c r="X518" s="2106" t="s">
        <v>38</v>
      </c>
      <c r="Y518" s="483">
        <f t="shared" si="85"/>
        <v>7500</v>
      </c>
      <c r="Z518" s="1898">
        <f>Q518*S518*V518</f>
        <v>7500000</v>
      </c>
      <c r="AA518" s="427"/>
      <c r="AB518" s="427"/>
      <c r="AC518" s="192"/>
    </row>
    <row r="519" spans="1:29" s="523" customFormat="1" ht="21" customHeight="1">
      <c r="A519" s="540"/>
      <c r="B519" s="541"/>
      <c r="C519" s="542"/>
      <c r="D519" s="548"/>
      <c r="E519" s="2023" t="s">
        <v>1098</v>
      </c>
      <c r="F519" s="526">
        <f t="shared" si="84"/>
        <v>8500</v>
      </c>
      <c r="G519" s="2326">
        <v>8500</v>
      </c>
      <c r="H519" s="551"/>
      <c r="I519" s="543"/>
      <c r="J519" s="2105" t="s">
        <v>982</v>
      </c>
      <c r="K519" s="2082"/>
      <c r="L519" s="2082"/>
      <c r="M519" s="2082"/>
      <c r="N519" s="2082"/>
      <c r="O519" s="2082"/>
      <c r="P519" s="2082"/>
      <c r="Q519" s="556"/>
      <c r="R519" s="2092"/>
      <c r="S519" s="474">
        <v>8500000</v>
      </c>
      <c r="T519" s="2106" t="s">
        <v>37</v>
      </c>
      <c r="U519" s="2106"/>
      <c r="V519" s="2106">
        <v>1</v>
      </c>
      <c r="W519" s="2106" t="s">
        <v>763</v>
      </c>
      <c r="X519" s="2106" t="s">
        <v>38</v>
      </c>
      <c r="Y519" s="483">
        <f t="shared" si="85"/>
        <v>8500</v>
      </c>
      <c r="Z519" s="1898">
        <f>S519*V519</f>
        <v>8500000</v>
      </c>
      <c r="AA519" s="427"/>
      <c r="AB519" s="427"/>
      <c r="AC519" s="192"/>
    </row>
    <row r="520" spans="1:29" s="523" customFormat="1" ht="21" customHeight="1">
      <c r="A520" s="540"/>
      <c r="B520" s="541"/>
      <c r="C520" s="542"/>
      <c r="D520" s="548"/>
      <c r="E520" s="2023" t="s">
        <v>17</v>
      </c>
      <c r="F520" s="526">
        <f t="shared" si="84"/>
        <v>700</v>
      </c>
      <c r="G520" s="2326">
        <v>700</v>
      </c>
      <c r="H520" s="551"/>
      <c r="I520" s="543"/>
      <c r="J520" s="2105" t="s">
        <v>953</v>
      </c>
      <c r="K520" s="2106"/>
      <c r="L520" s="2082"/>
      <c r="M520" s="2082"/>
      <c r="N520" s="2082"/>
      <c r="O520" s="2082"/>
      <c r="P520" s="2082"/>
      <c r="Q520" s="556"/>
      <c r="R520" s="2106"/>
      <c r="S520" s="474">
        <v>100000</v>
      </c>
      <c r="T520" s="2106" t="s">
        <v>37</v>
      </c>
      <c r="U520" s="2106"/>
      <c r="V520" s="2106">
        <v>7</v>
      </c>
      <c r="W520" s="2106" t="s">
        <v>39</v>
      </c>
      <c r="X520" s="2106" t="s">
        <v>38</v>
      </c>
      <c r="Y520" s="483">
        <f t="shared" si="85"/>
        <v>700</v>
      </c>
      <c r="Z520" s="1898">
        <f>S520*V520</f>
        <v>700000</v>
      </c>
      <c r="AA520" s="427"/>
      <c r="AB520" s="427"/>
      <c r="AC520" s="192"/>
    </row>
    <row r="521" spans="1:29" s="300" customFormat="1" ht="21" customHeight="1">
      <c r="A521" s="540"/>
      <c r="B521" s="541"/>
      <c r="C521" s="542"/>
      <c r="D521" s="548"/>
      <c r="E521" s="2023" t="s">
        <v>943</v>
      </c>
      <c r="F521" s="526">
        <f t="shared" si="84"/>
        <v>8000</v>
      </c>
      <c r="G521" s="2326">
        <v>8000</v>
      </c>
      <c r="H521" s="551"/>
      <c r="I521" s="543"/>
      <c r="J521" s="2105" t="s">
        <v>3394</v>
      </c>
      <c r="K521" s="2106"/>
      <c r="L521" s="2082"/>
      <c r="M521" s="2082"/>
      <c r="N521" s="2082"/>
      <c r="O521" s="2082"/>
      <c r="P521" s="2082"/>
      <c r="Q521" s="556"/>
      <c r="R521" s="2092"/>
      <c r="S521" s="474">
        <v>8000000</v>
      </c>
      <c r="T521" s="2106" t="s">
        <v>37</v>
      </c>
      <c r="U521" s="2106"/>
      <c r="V521" s="2106">
        <v>1</v>
      </c>
      <c r="W521" s="2106" t="s">
        <v>39</v>
      </c>
      <c r="X521" s="2106" t="s">
        <v>38</v>
      </c>
      <c r="Y521" s="483">
        <f t="shared" si="85"/>
        <v>8000</v>
      </c>
      <c r="Z521" s="1898">
        <f>S521*V521</f>
        <v>8000000</v>
      </c>
      <c r="AA521" s="427"/>
      <c r="AB521" s="427"/>
      <c r="AC521" s="192"/>
    </row>
    <row r="522" spans="1:29" s="300" customFormat="1" ht="21" customHeight="1">
      <c r="A522" s="540"/>
      <c r="B522" s="541"/>
      <c r="C522" s="542"/>
      <c r="D522" s="548"/>
      <c r="E522" s="2023" t="s">
        <v>942</v>
      </c>
      <c r="F522" s="526">
        <f t="shared" si="84"/>
        <v>1800</v>
      </c>
      <c r="G522" s="2326">
        <v>1800</v>
      </c>
      <c r="H522" s="551"/>
      <c r="I522" s="543"/>
      <c r="J522" s="2105" t="s">
        <v>985</v>
      </c>
      <c r="K522" s="2106"/>
      <c r="L522" s="2082"/>
      <c r="M522" s="2082"/>
      <c r="N522" s="2082"/>
      <c r="O522" s="2082"/>
      <c r="P522" s="2082"/>
      <c r="Q522" s="556">
        <v>10</v>
      </c>
      <c r="R522" s="2092" t="s">
        <v>873</v>
      </c>
      <c r="S522" s="474">
        <v>30000</v>
      </c>
      <c r="T522" s="2106" t="s">
        <v>37</v>
      </c>
      <c r="U522" s="2106"/>
      <c r="V522" s="2106">
        <v>6</v>
      </c>
      <c r="W522" s="2106" t="s">
        <v>39</v>
      </c>
      <c r="X522" s="2106" t="s">
        <v>38</v>
      </c>
      <c r="Y522" s="483">
        <f t="shared" si="85"/>
        <v>1800</v>
      </c>
      <c r="Z522" s="1898">
        <f>Q522*S522*V522</f>
        <v>1800000</v>
      </c>
      <c r="AA522" s="427"/>
      <c r="AB522" s="427"/>
      <c r="AC522" s="192"/>
    </row>
    <row r="523" spans="1:29" s="300" customFormat="1" ht="21" customHeight="1">
      <c r="A523" s="540"/>
      <c r="B523" s="541"/>
      <c r="C523" s="542"/>
      <c r="D523" s="3938" t="s">
        <v>2531</v>
      </c>
      <c r="E523" s="3939"/>
      <c r="F523" s="525">
        <f>SUM(F524:F538)</f>
        <v>50000</v>
      </c>
      <c r="G523" s="525">
        <f>SUM(G524:G538)</f>
        <v>50000</v>
      </c>
      <c r="H523" s="2355">
        <f t="shared" ref="H523" si="86">F523-G523</f>
        <v>0</v>
      </c>
      <c r="I523" s="543"/>
      <c r="J523" s="538"/>
      <c r="K523" s="2068"/>
      <c r="L523" s="2068"/>
      <c r="M523" s="2068"/>
      <c r="N523" s="2068"/>
      <c r="O523" s="2068"/>
      <c r="P523" s="2068"/>
      <c r="Q523" s="2068"/>
      <c r="R523" s="539"/>
      <c r="S523" s="2068"/>
      <c r="T523" s="2068"/>
      <c r="U523" s="2068"/>
      <c r="V523" s="2068"/>
      <c r="W523" s="2068"/>
      <c r="X523" s="2068"/>
      <c r="Y523" s="600"/>
      <c r="Z523" s="3474">
        <f>+Z535+Z524+Z525+Z528+Z534+Z526+Z527+Z537+Z538</f>
        <v>42000000</v>
      </c>
      <c r="AA523" s="427"/>
      <c r="AB523" s="427"/>
      <c r="AC523" s="192"/>
    </row>
    <row r="524" spans="1:29" s="300" customFormat="1" ht="21" customHeight="1">
      <c r="A524" s="540"/>
      <c r="B524" s="541"/>
      <c r="C524" s="542"/>
      <c r="D524" s="1592"/>
      <c r="E524" s="2023" t="s">
        <v>278</v>
      </c>
      <c r="F524" s="2356">
        <v>4800</v>
      </c>
      <c r="G524" s="2356">
        <v>4800</v>
      </c>
      <c r="H524" s="1881"/>
      <c r="I524" s="543"/>
      <c r="J524" s="2105" t="s">
        <v>2532</v>
      </c>
      <c r="K524" s="2082"/>
      <c r="L524" s="2082"/>
      <c r="M524" s="2082"/>
      <c r="N524" s="2082"/>
      <c r="O524" s="2082"/>
      <c r="P524" s="2082"/>
      <c r="Q524" s="556">
        <v>1</v>
      </c>
      <c r="R524" s="2092" t="s">
        <v>2533</v>
      </c>
      <c r="S524" s="474">
        <v>800000</v>
      </c>
      <c r="T524" s="2106" t="s">
        <v>0</v>
      </c>
      <c r="U524" s="2106"/>
      <c r="V524" s="2106">
        <v>6</v>
      </c>
      <c r="W524" s="2106" t="s">
        <v>972</v>
      </c>
      <c r="X524" s="2092" t="s">
        <v>38</v>
      </c>
      <c r="Y524" s="483">
        <f t="shared" ref="Y524:Y538" si="87">(Z524)/1000</f>
        <v>4800</v>
      </c>
      <c r="Z524" s="1898">
        <f>Q524*S524*V524</f>
        <v>4800000</v>
      </c>
      <c r="AA524" s="427"/>
      <c r="AB524" s="427"/>
      <c r="AC524" s="192"/>
    </row>
    <row r="525" spans="1:29" s="300" customFormat="1" ht="21" customHeight="1">
      <c r="A525" s="540"/>
      <c r="B525" s="541"/>
      <c r="C525" s="1910"/>
      <c r="D525" s="624"/>
      <c r="E525" s="2023" t="s">
        <v>3474</v>
      </c>
      <c r="F525" s="2326">
        <v>1500</v>
      </c>
      <c r="G525" s="2326">
        <v>1500</v>
      </c>
      <c r="H525" s="1881"/>
      <c r="I525" s="543"/>
      <c r="J525" s="2105" t="s">
        <v>1310</v>
      </c>
      <c r="K525" s="2106"/>
      <c r="L525" s="2082"/>
      <c r="M525" s="2082"/>
      <c r="N525" s="2082"/>
      <c r="O525" s="2082"/>
      <c r="P525" s="2082"/>
      <c r="Q525" s="556">
        <v>1</v>
      </c>
      <c r="R525" s="2092" t="s">
        <v>871</v>
      </c>
      <c r="S525" s="474">
        <v>1500000</v>
      </c>
      <c r="T525" s="2106" t="s">
        <v>37</v>
      </c>
      <c r="U525" s="2106"/>
      <c r="V525" s="2106">
        <v>1</v>
      </c>
      <c r="W525" s="2106" t="s">
        <v>763</v>
      </c>
      <c r="X525" s="2092" t="s">
        <v>38</v>
      </c>
      <c r="Y525" s="483">
        <f t="shared" si="87"/>
        <v>1500</v>
      </c>
      <c r="Z525" s="1898">
        <f>S525*V525</f>
        <v>1500000</v>
      </c>
      <c r="AA525" s="427"/>
      <c r="AB525" s="427"/>
      <c r="AC525" s="192"/>
    </row>
    <row r="526" spans="1:29" s="300" customFormat="1" ht="21" customHeight="1">
      <c r="A526" s="540"/>
      <c r="B526" s="541"/>
      <c r="C526" s="542"/>
      <c r="D526" s="624"/>
      <c r="E526" s="2023" t="s">
        <v>3475</v>
      </c>
      <c r="F526" s="1918">
        <v>4440</v>
      </c>
      <c r="G526" s="1918">
        <v>4440</v>
      </c>
      <c r="H526" s="626"/>
      <c r="I526" s="557"/>
      <c r="J526" s="2105" t="s">
        <v>2534</v>
      </c>
      <c r="K526" s="2082"/>
      <c r="L526" s="2082"/>
      <c r="M526" s="2082"/>
      <c r="N526" s="2082"/>
      <c r="O526" s="556"/>
      <c r="P526" s="2092"/>
      <c r="Q526" s="556">
        <v>1</v>
      </c>
      <c r="R526" s="2092" t="s">
        <v>871</v>
      </c>
      <c r="S526" s="474">
        <v>4440000</v>
      </c>
      <c r="T526" s="2106" t="s">
        <v>37</v>
      </c>
      <c r="U526" s="2106"/>
      <c r="V526" s="2106">
        <v>1</v>
      </c>
      <c r="W526" s="2106" t="s">
        <v>763</v>
      </c>
      <c r="X526" s="2092" t="s">
        <v>38</v>
      </c>
      <c r="Y526" s="483">
        <f t="shared" si="87"/>
        <v>4440</v>
      </c>
      <c r="Z526" s="1898">
        <f>Q526*S526*V526</f>
        <v>4440000</v>
      </c>
      <c r="AA526" s="427"/>
      <c r="AB526" s="427"/>
      <c r="AC526" s="192"/>
    </row>
    <row r="527" spans="1:29" s="300" customFormat="1" ht="21" customHeight="1">
      <c r="A527" s="540"/>
      <c r="B527" s="541"/>
      <c r="C527" s="542"/>
      <c r="D527" s="624"/>
      <c r="E527" s="2023" t="s">
        <v>3476</v>
      </c>
      <c r="F527" s="2326">
        <v>5400</v>
      </c>
      <c r="G527" s="2326">
        <v>5400</v>
      </c>
      <c r="H527" s="626"/>
      <c r="I527" s="557"/>
      <c r="J527" s="2105" t="s">
        <v>2535</v>
      </c>
      <c r="K527" s="2082"/>
      <c r="L527" s="2082"/>
      <c r="M527" s="2082"/>
      <c r="N527" s="2082"/>
      <c r="O527" s="556"/>
      <c r="P527" s="2092"/>
      <c r="Q527" s="556">
        <v>1</v>
      </c>
      <c r="R527" s="2092" t="s">
        <v>2533</v>
      </c>
      <c r="S527" s="474">
        <v>450000</v>
      </c>
      <c r="T527" s="2106" t="s">
        <v>0</v>
      </c>
      <c r="U527" s="2106"/>
      <c r="V527" s="2106">
        <v>12</v>
      </c>
      <c r="W527" s="2106" t="s">
        <v>830</v>
      </c>
      <c r="X527" s="2092" t="s">
        <v>38</v>
      </c>
      <c r="Y527" s="483">
        <f>(Z527)/1000</f>
        <v>5400</v>
      </c>
      <c r="Z527" s="1898">
        <f>Q527*S527*V527</f>
        <v>5400000</v>
      </c>
      <c r="AA527" s="427"/>
      <c r="AB527" s="427"/>
      <c r="AC527" s="192"/>
    </row>
    <row r="528" spans="1:29" s="300" customFormat="1" ht="21" customHeight="1">
      <c r="A528" s="540"/>
      <c r="B528" s="541"/>
      <c r="C528" s="542"/>
      <c r="D528" s="2013"/>
      <c r="E528" s="2023" t="s">
        <v>3477</v>
      </c>
      <c r="F528" s="2326">
        <v>2160</v>
      </c>
      <c r="G528" s="2326">
        <v>2160</v>
      </c>
      <c r="H528" s="626"/>
      <c r="I528" s="557"/>
      <c r="J528" s="2105" t="s">
        <v>2536</v>
      </c>
      <c r="K528" s="2082"/>
      <c r="L528" s="2082"/>
      <c r="M528" s="2082"/>
      <c r="N528" s="2082"/>
      <c r="O528" s="2082"/>
      <c r="P528" s="2082"/>
      <c r="Q528" s="556">
        <v>2</v>
      </c>
      <c r="R528" s="2092" t="s">
        <v>929</v>
      </c>
      <c r="S528" s="474">
        <v>120000</v>
      </c>
      <c r="T528" s="2106" t="s">
        <v>37</v>
      </c>
      <c r="U528" s="2106"/>
      <c r="V528" s="2106">
        <v>9</v>
      </c>
      <c r="W528" s="2106" t="s">
        <v>830</v>
      </c>
      <c r="X528" s="2092" t="s">
        <v>38</v>
      </c>
      <c r="Y528" s="483">
        <f t="shared" si="87"/>
        <v>2160</v>
      </c>
      <c r="Z528" s="1898">
        <f>Q528*S528*V528</f>
        <v>2160000</v>
      </c>
      <c r="AA528" s="427"/>
      <c r="AB528" s="427"/>
      <c r="AC528" s="192"/>
    </row>
    <row r="529" spans="1:29" ht="21" customHeight="1">
      <c r="A529" s="540"/>
      <c r="B529" s="541"/>
      <c r="C529" s="542"/>
      <c r="D529" s="2013"/>
      <c r="E529" s="2023" t="s">
        <v>379</v>
      </c>
      <c r="F529" s="2326">
        <v>1000</v>
      </c>
      <c r="G529" s="2326">
        <v>1000</v>
      </c>
      <c r="H529" s="626"/>
      <c r="I529" s="557"/>
      <c r="J529" s="2105" t="s">
        <v>2537</v>
      </c>
      <c r="K529" s="2082"/>
      <c r="L529" s="2082"/>
      <c r="M529" s="2082"/>
      <c r="N529" s="2082"/>
      <c r="O529" s="2082"/>
      <c r="P529" s="2082"/>
      <c r="Q529" s="556">
        <v>1</v>
      </c>
      <c r="R529" s="2092" t="s">
        <v>1928</v>
      </c>
      <c r="S529" s="474">
        <v>1000000</v>
      </c>
      <c r="T529" s="2106" t="s">
        <v>0</v>
      </c>
      <c r="U529" s="2106"/>
      <c r="V529" s="2106">
        <v>1</v>
      </c>
      <c r="W529" s="2106" t="s">
        <v>763</v>
      </c>
      <c r="X529" s="2092" t="s">
        <v>38</v>
      </c>
      <c r="Y529" s="483">
        <f t="shared" si="87"/>
        <v>1000</v>
      </c>
      <c r="Z529" s="1898">
        <f>Q529*S529*V529</f>
        <v>1000000</v>
      </c>
      <c r="AA529" s="427"/>
      <c r="AB529" s="427"/>
      <c r="AC529" s="192"/>
    </row>
    <row r="530" spans="1:29" ht="21" customHeight="1">
      <c r="A530" s="540"/>
      <c r="B530" s="541"/>
      <c r="C530" s="542"/>
      <c r="D530" s="2013"/>
      <c r="E530" s="2023" t="s">
        <v>380</v>
      </c>
      <c r="F530" s="2326">
        <v>4000</v>
      </c>
      <c r="G530" s="2326">
        <v>4000</v>
      </c>
      <c r="H530" s="626"/>
      <c r="I530" s="557"/>
      <c r="J530" s="2105" t="s">
        <v>768</v>
      </c>
      <c r="K530" s="2082"/>
      <c r="L530" s="2082"/>
      <c r="M530" s="2082"/>
      <c r="N530" s="2082"/>
      <c r="O530" s="2082"/>
      <c r="P530" s="2082"/>
      <c r="Q530" s="556"/>
      <c r="R530" s="2092"/>
      <c r="S530" s="474"/>
      <c r="T530" s="2106"/>
      <c r="U530" s="2106"/>
      <c r="V530" s="2106"/>
      <c r="W530" s="2106"/>
      <c r="X530" s="2092"/>
      <c r="Y530" s="483">
        <f t="shared" si="87"/>
        <v>4000</v>
      </c>
      <c r="Z530" s="1898">
        <f>Z531+Z532</f>
        <v>4000000</v>
      </c>
      <c r="AA530" s="427"/>
      <c r="AB530" s="427"/>
      <c r="AC530" s="192"/>
    </row>
    <row r="531" spans="1:29" ht="21" customHeight="1">
      <c r="A531" s="540"/>
      <c r="B531" s="541"/>
      <c r="C531" s="542"/>
      <c r="D531" s="2013"/>
      <c r="E531" s="2023"/>
      <c r="F531" s="2357"/>
      <c r="G531" s="2357"/>
      <c r="H531" s="626"/>
      <c r="I531" s="557"/>
      <c r="J531" s="3702" t="s">
        <v>6134</v>
      </c>
      <c r="K531" s="3701"/>
      <c r="L531" s="3701"/>
      <c r="M531" s="3701"/>
      <c r="N531" s="2082"/>
      <c r="O531" s="2082"/>
      <c r="P531" s="2082"/>
      <c r="Q531" s="556">
        <v>5</v>
      </c>
      <c r="R531" s="2092" t="s">
        <v>873</v>
      </c>
      <c r="S531" s="474">
        <v>200000</v>
      </c>
      <c r="T531" s="2106" t="s">
        <v>0</v>
      </c>
      <c r="U531" s="2106"/>
      <c r="V531" s="2106">
        <v>1</v>
      </c>
      <c r="W531" s="2106" t="s">
        <v>39</v>
      </c>
      <c r="X531" s="2092" t="s">
        <v>38</v>
      </c>
      <c r="Y531" s="483">
        <f t="shared" si="87"/>
        <v>1000</v>
      </c>
      <c r="Z531" s="1898">
        <f>Q531*S531*V531</f>
        <v>1000000</v>
      </c>
      <c r="AA531" s="427"/>
      <c r="AB531" s="427"/>
      <c r="AC531" s="192"/>
    </row>
    <row r="532" spans="1:29" ht="21" customHeight="1">
      <c r="A532" s="540"/>
      <c r="B532" s="541"/>
      <c r="C532" s="542"/>
      <c r="D532" s="2013"/>
      <c r="E532" s="532"/>
      <c r="F532" s="2357"/>
      <c r="G532" s="2357"/>
      <c r="H532" s="626"/>
      <c r="I532" s="557"/>
      <c r="J532" s="3702" t="s">
        <v>6135</v>
      </c>
      <c r="K532" s="3701"/>
      <c r="L532" s="3701"/>
      <c r="M532" s="3701"/>
      <c r="N532" s="2082"/>
      <c r="O532" s="2082"/>
      <c r="P532" s="2082"/>
      <c r="Q532" s="556">
        <v>1</v>
      </c>
      <c r="R532" s="2092" t="s">
        <v>873</v>
      </c>
      <c r="S532" s="474">
        <v>500000</v>
      </c>
      <c r="T532" s="2106" t="s">
        <v>37</v>
      </c>
      <c r="U532" s="2106"/>
      <c r="V532" s="2106">
        <v>6</v>
      </c>
      <c r="W532" s="2106" t="s">
        <v>39</v>
      </c>
      <c r="X532" s="2092" t="s">
        <v>38</v>
      </c>
      <c r="Y532" s="483">
        <f t="shared" si="87"/>
        <v>3000</v>
      </c>
      <c r="Z532" s="1898">
        <f>Q532*S532*V532</f>
        <v>3000000</v>
      </c>
      <c r="AA532" s="427"/>
      <c r="AB532" s="427"/>
      <c r="AC532" s="192"/>
    </row>
    <row r="533" spans="1:29" ht="21" customHeight="1">
      <c r="A533" s="540"/>
      <c r="B533" s="541"/>
      <c r="C533" s="542"/>
      <c r="D533" s="2013"/>
      <c r="E533" s="2023" t="s">
        <v>3478</v>
      </c>
      <c r="F533" s="2326">
        <v>2500</v>
      </c>
      <c r="G533" s="2326">
        <v>2500</v>
      </c>
      <c r="H533" s="626"/>
      <c r="I533" s="557"/>
      <c r="J533" s="2105" t="s">
        <v>2538</v>
      </c>
      <c r="K533" s="2082"/>
      <c r="L533" s="2082"/>
      <c r="M533" s="2082"/>
      <c r="N533" s="2082"/>
      <c r="O533" s="2082"/>
      <c r="P533" s="2082"/>
      <c r="Q533" s="556">
        <v>1</v>
      </c>
      <c r="R533" s="2092" t="s">
        <v>871</v>
      </c>
      <c r="S533" s="474">
        <v>500000</v>
      </c>
      <c r="T533" s="2106" t="s">
        <v>0</v>
      </c>
      <c r="U533" s="2106"/>
      <c r="V533" s="2106">
        <v>5</v>
      </c>
      <c r="W533" s="2106" t="s">
        <v>39</v>
      </c>
      <c r="X533" s="2092" t="s">
        <v>38</v>
      </c>
      <c r="Y533" s="483">
        <f t="shared" si="87"/>
        <v>2500</v>
      </c>
      <c r="Z533" s="1898">
        <f>Q533*S533*V533</f>
        <v>2500000</v>
      </c>
      <c r="AA533" s="427"/>
      <c r="AB533" s="427"/>
      <c r="AC533" s="192"/>
    </row>
    <row r="534" spans="1:29" ht="21" customHeight="1">
      <c r="A534" s="540"/>
      <c r="B534" s="541"/>
      <c r="C534" s="542"/>
      <c r="D534" s="2013"/>
      <c r="E534" s="2023" t="s">
        <v>3479</v>
      </c>
      <c r="F534" s="2326">
        <v>1200</v>
      </c>
      <c r="G534" s="2326">
        <v>1200</v>
      </c>
      <c r="H534" s="626"/>
      <c r="I534" s="2082"/>
      <c r="J534" s="2105" t="s">
        <v>2539</v>
      </c>
      <c r="K534" s="2106"/>
      <c r="L534" s="2082"/>
      <c r="M534" s="2082"/>
      <c r="N534" s="475"/>
      <c r="O534" s="2082"/>
      <c r="P534" s="2082"/>
      <c r="Q534" s="556">
        <v>2</v>
      </c>
      <c r="R534" s="2092" t="s">
        <v>1928</v>
      </c>
      <c r="S534" s="474">
        <v>300000</v>
      </c>
      <c r="T534" s="2106" t="s">
        <v>37</v>
      </c>
      <c r="U534" s="2106"/>
      <c r="V534" s="2106">
        <v>2</v>
      </c>
      <c r="W534" s="2106" t="s">
        <v>674</v>
      </c>
      <c r="X534" s="2092" t="s">
        <v>38</v>
      </c>
      <c r="Y534" s="483">
        <f t="shared" si="87"/>
        <v>1200</v>
      </c>
      <c r="Z534" s="1898">
        <f>Q534*S534*V534</f>
        <v>1200000</v>
      </c>
      <c r="AA534" s="427"/>
      <c r="AB534" s="427"/>
      <c r="AC534" s="192"/>
    </row>
    <row r="535" spans="1:29" ht="21" customHeight="1">
      <c r="A535" s="540"/>
      <c r="B535" s="541"/>
      <c r="C535" s="542"/>
      <c r="D535" s="1457"/>
      <c r="E535" s="532" t="s">
        <v>261</v>
      </c>
      <c r="F535" s="2326">
        <v>20000</v>
      </c>
      <c r="G535" s="2326">
        <v>20000</v>
      </c>
      <c r="H535" s="626"/>
      <c r="I535" s="557"/>
      <c r="J535" s="2105" t="s">
        <v>2540</v>
      </c>
      <c r="K535" s="2082"/>
      <c r="L535" s="2082"/>
      <c r="M535" s="2082"/>
      <c r="N535" s="2082"/>
      <c r="O535" s="2082"/>
      <c r="P535" s="2082"/>
      <c r="Q535" s="475">
        <v>1</v>
      </c>
      <c r="R535" s="552" t="s">
        <v>873</v>
      </c>
      <c r="S535" s="474">
        <v>5000000</v>
      </c>
      <c r="T535" s="2106" t="s">
        <v>37</v>
      </c>
      <c r="U535" s="2106"/>
      <c r="V535" s="2106">
        <v>4</v>
      </c>
      <c r="W535" s="2106" t="s">
        <v>824</v>
      </c>
      <c r="X535" s="2092" t="s">
        <v>38</v>
      </c>
      <c r="Y535" s="483">
        <f t="shared" si="87"/>
        <v>20000</v>
      </c>
      <c r="Z535" s="1898">
        <f>Q535*S535*V535</f>
        <v>20000000</v>
      </c>
      <c r="AA535" s="427"/>
      <c r="AB535" s="427"/>
      <c r="AC535" s="192"/>
    </row>
    <row r="536" spans="1:29" ht="21" customHeight="1">
      <c r="A536" s="540"/>
      <c r="B536" s="541"/>
      <c r="C536" s="542"/>
      <c r="D536" s="1457"/>
      <c r="E536" s="2023" t="s">
        <v>952</v>
      </c>
      <c r="F536" s="2326">
        <v>500</v>
      </c>
      <c r="G536" s="2326">
        <v>500</v>
      </c>
      <c r="H536" s="626"/>
      <c r="I536" s="557"/>
      <c r="J536" s="2105" t="s">
        <v>2541</v>
      </c>
      <c r="K536" s="2082"/>
      <c r="L536" s="2082"/>
      <c r="M536" s="2082"/>
      <c r="N536" s="2082"/>
      <c r="O536" s="2082"/>
      <c r="P536" s="2082"/>
      <c r="Q536" s="475">
        <v>1</v>
      </c>
      <c r="R536" s="552" t="s">
        <v>871</v>
      </c>
      <c r="S536" s="474">
        <v>100000</v>
      </c>
      <c r="T536" s="2106" t="s">
        <v>37</v>
      </c>
      <c r="U536" s="2106"/>
      <c r="V536" s="2106">
        <v>5</v>
      </c>
      <c r="W536" s="2106" t="s">
        <v>39</v>
      </c>
      <c r="X536" s="2092" t="s">
        <v>38</v>
      </c>
      <c r="Y536" s="483">
        <f t="shared" si="87"/>
        <v>500</v>
      </c>
      <c r="Z536" s="1898">
        <f>S536*V536</f>
        <v>500000</v>
      </c>
      <c r="AA536" s="427"/>
      <c r="AB536" s="427"/>
      <c r="AC536" s="192"/>
    </row>
    <row r="537" spans="1:29" ht="21" customHeight="1">
      <c r="A537" s="540"/>
      <c r="B537" s="541"/>
      <c r="C537" s="542"/>
      <c r="D537" s="624"/>
      <c r="E537" s="2023" t="s">
        <v>451</v>
      </c>
      <c r="F537" s="2326">
        <v>1500</v>
      </c>
      <c r="G537" s="2326">
        <v>1500</v>
      </c>
      <c r="H537" s="626"/>
      <c r="I537" s="557"/>
      <c r="J537" s="2105" t="s">
        <v>2542</v>
      </c>
      <c r="K537" s="2106"/>
      <c r="L537" s="2082"/>
      <c r="M537" s="2082"/>
      <c r="N537" s="2082"/>
      <c r="O537" s="2082"/>
      <c r="P537" s="2082"/>
      <c r="Q537" s="556">
        <v>1</v>
      </c>
      <c r="R537" s="2106" t="s">
        <v>1928</v>
      </c>
      <c r="S537" s="474">
        <v>300000</v>
      </c>
      <c r="T537" s="2106" t="s">
        <v>37</v>
      </c>
      <c r="U537" s="2106"/>
      <c r="V537" s="2106">
        <v>5</v>
      </c>
      <c r="W537" s="2106" t="s">
        <v>39</v>
      </c>
      <c r="X537" s="2092" t="s">
        <v>38</v>
      </c>
      <c r="Y537" s="483">
        <f t="shared" si="87"/>
        <v>1500</v>
      </c>
      <c r="Z537" s="1898">
        <f>Q537*S537*V537</f>
        <v>1500000</v>
      </c>
      <c r="AA537" s="427"/>
      <c r="AB537" s="427"/>
      <c r="AC537" s="192"/>
    </row>
    <row r="538" spans="1:29" ht="21" customHeight="1">
      <c r="A538" s="540"/>
      <c r="B538" s="541"/>
      <c r="C538" s="542"/>
      <c r="D538" s="1331"/>
      <c r="E538" s="2023" t="s">
        <v>384</v>
      </c>
      <c r="F538" s="2358">
        <v>1000</v>
      </c>
      <c r="G538" s="2358">
        <v>1000</v>
      </c>
      <c r="H538" s="626"/>
      <c r="I538" s="557"/>
      <c r="J538" s="2105" t="s">
        <v>2543</v>
      </c>
      <c r="K538" s="2082"/>
      <c r="L538" s="2082"/>
      <c r="M538" s="2082"/>
      <c r="N538" s="2082"/>
      <c r="O538" s="2082"/>
      <c r="P538" s="2082"/>
      <c r="Q538" s="556">
        <v>5</v>
      </c>
      <c r="R538" s="2092" t="s">
        <v>873</v>
      </c>
      <c r="S538" s="474">
        <v>20000</v>
      </c>
      <c r="T538" s="2106" t="s">
        <v>37</v>
      </c>
      <c r="U538" s="2106"/>
      <c r="V538" s="2106">
        <v>10</v>
      </c>
      <c r="W538" s="2106" t="s">
        <v>39</v>
      </c>
      <c r="X538" s="2092" t="s">
        <v>38</v>
      </c>
      <c r="Y538" s="483">
        <f t="shared" si="87"/>
        <v>1000</v>
      </c>
      <c r="Z538" s="1898">
        <f>Q538*S538*V538</f>
        <v>1000000</v>
      </c>
      <c r="AA538" s="427"/>
      <c r="AB538" s="427"/>
      <c r="AC538" s="192"/>
    </row>
    <row r="539" spans="1:29" ht="21" customHeight="1">
      <c r="A539" s="540"/>
      <c r="B539" s="541"/>
      <c r="C539" s="3940" t="s">
        <v>950</v>
      </c>
      <c r="D539" s="3941"/>
      <c r="E539" s="3942"/>
      <c r="F539" s="525">
        <f>+F540+F565</f>
        <v>170000</v>
      </c>
      <c r="G539" s="525">
        <f>G540+G565</f>
        <v>170000</v>
      </c>
      <c r="H539" s="627">
        <f>F539-G539</f>
        <v>0</v>
      </c>
      <c r="I539" s="543"/>
      <c r="J539" s="538"/>
      <c r="K539" s="2068"/>
      <c r="L539" s="2068"/>
      <c r="M539" s="2068"/>
      <c r="N539" s="2068"/>
      <c r="O539" s="2068"/>
      <c r="P539" s="2068"/>
      <c r="Q539" s="2068"/>
      <c r="R539" s="2068"/>
      <c r="S539" s="2068"/>
      <c r="T539" s="2068"/>
      <c r="U539" s="2068"/>
      <c r="V539" s="2068"/>
      <c r="W539" s="2068"/>
      <c r="X539" s="2068"/>
      <c r="Y539" s="600"/>
      <c r="Z539" s="3472" t="e">
        <f>+Z540+Z565</f>
        <v>#REF!</v>
      </c>
      <c r="AA539" s="427"/>
      <c r="AB539" s="427"/>
      <c r="AC539" s="192"/>
    </row>
    <row r="540" spans="1:29" ht="21" customHeight="1">
      <c r="A540" s="540"/>
      <c r="B540" s="541"/>
      <c r="C540" s="542"/>
      <c r="D540" s="3837" t="s">
        <v>3395</v>
      </c>
      <c r="E540" s="3838"/>
      <c r="F540" s="525">
        <f>SUM(F541:F564)</f>
        <v>105000</v>
      </c>
      <c r="G540" s="525">
        <f>SUM(G541:G564)</f>
        <v>105000</v>
      </c>
      <c r="H540" s="627">
        <f>F540-G540</f>
        <v>0</v>
      </c>
      <c r="I540" s="543"/>
      <c r="J540" s="538"/>
      <c r="K540" s="2068"/>
      <c r="L540" s="2068"/>
      <c r="M540" s="2068"/>
      <c r="N540" s="2068"/>
      <c r="O540" s="2068"/>
      <c r="P540" s="2068"/>
      <c r="Q540" s="2068"/>
      <c r="R540" s="539"/>
      <c r="S540" s="2068"/>
      <c r="T540" s="2068"/>
      <c r="U540" s="2068"/>
      <c r="V540" s="2068"/>
      <c r="W540" s="2068"/>
      <c r="X540" s="2068"/>
      <c r="Y540" s="600"/>
      <c r="Z540" s="3474" t="e">
        <f>+Z555+Z541+Z549+Z545+Z548+#REF!+Z544+Z558+Z560+#REF!</f>
        <v>#REF!</v>
      </c>
      <c r="AA540" s="427"/>
      <c r="AB540" s="427"/>
      <c r="AC540" s="192"/>
    </row>
    <row r="541" spans="1:29" ht="21" customHeight="1">
      <c r="A541" s="540"/>
      <c r="B541" s="541"/>
      <c r="C541" s="542"/>
      <c r="D541" s="624"/>
      <c r="E541" s="2023" t="s">
        <v>57</v>
      </c>
      <c r="F541" s="526">
        <f>Y541</f>
        <v>4000</v>
      </c>
      <c r="G541" s="2326">
        <v>4000</v>
      </c>
      <c r="H541" s="551"/>
      <c r="I541" s="2082"/>
      <c r="J541" s="2105" t="s">
        <v>2144</v>
      </c>
      <c r="K541" s="2106"/>
      <c r="L541" s="2082"/>
      <c r="M541" s="2082"/>
      <c r="N541" s="2082"/>
      <c r="O541" s="2082"/>
      <c r="P541" s="2082"/>
      <c r="Q541" s="556"/>
      <c r="R541" s="2092"/>
      <c r="S541" s="474">
        <v>4000000</v>
      </c>
      <c r="T541" s="2106" t="s">
        <v>0</v>
      </c>
      <c r="U541" s="2106"/>
      <c r="V541" s="2106">
        <v>1</v>
      </c>
      <c r="W541" s="2106" t="s">
        <v>763</v>
      </c>
      <c r="X541" s="2030" t="s">
        <v>1</v>
      </c>
      <c r="Y541" s="483">
        <f t="shared" ref="Y541:Y564" si="88">(Z541)/1000</f>
        <v>4000</v>
      </c>
      <c r="Z541" s="1898">
        <f>S541*V541</f>
        <v>4000000</v>
      </c>
      <c r="AA541" s="427"/>
      <c r="AB541" s="427"/>
      <c r="AC541" s="192"/>
    </row>
    <row r="542" spans="1:29" ht="21" customHeight="1">
      <c r="A542" s="540"/>
      <c r="B542" s="541"/>
      <c r="C542" s="542"/>
      <c r="D542" s="624"/>
      <c r="E542" s="2023" t="s">
        <v>792</v>
      </c>
      <c r="F542" s="526">
        <f>Y542</f>
        <v>150</v>
      </c>
      <c r="G542" s="2326">
        <v>150</v>
      </c>
      <c r="H542" s="551"/>
      <c r="I542" s="543"/>
      <c r="J542" s="2105" t="s">
        <v>2334</v>
      </c>
      <c r="K542" s="2082"/>
      <c r="L542" s="2082"/>
      <c r="M542" s="2082"/>
      <c r="N542" s="2082"/>
      <c r="O542" s="556"/>
      <c r="P542" s="2092"/>
      <c r="Q542" s="556" t="s">
        <v>2560</v>
      </c>
      <c r="R542" s="2092" t="s">
        <v>832</v>
      </c>
      <c r="S542" s="474">
        <v>150000</v>
      </c>
      <c r="T542" s="2106" t="s">
        <v>37</v>
      </c>
      <c r="U542" s="2106"/>
      <c r="V542" s="2106">
        <v>1</v>
      </c>
      <c r="W542" s="2106" t="s">
        <v>763</v>
      </c>
      <c r="X542" s="2106" t="s">
        <v>38</v>
      </c>
      <c r="Y542" s="483">
        <f t="shared" si="88"/>
        <v>150</v>
      </c>
      <c r="Z542" s="1898">
        <f>S542*V542</f>
        <v>150000</v>
      </c>
      <c r="AA542" s="427"/>
      <c r="AB542" s="427"/>
      <c r="AC542" s="192"/>
    </row>
    <row r="543" spans="1:29" ht="21" customHeight="1">
      <c r="A543" s="540"/>
      <c r="B543" s="541"/>
      <c r="C543" s="542"/>
      <c r="D543" s="624"/>
      <c r="E543" s="2023" t="s">
        <v>95</v>
      </c>
      <c r="F543" s="526">
        <f>Y543</f>
        <v>3000</v>
      </c>
      <c r="G543" s="1918">
        <v>3000</v>
      </c>
      <c r="H543" s="551"/>
      <c r="I543" s="2082"/>
      <c r="J543" s="2105" t="s">
        <v>8</v>
      </c>
      <c r="K543" s="2082"/>
      <c r="L543" s="2082"/>
      <c r="M543" s="2082"/>
      <c r="N543" s="2082"/>
      <c r="O543" s="556"/>
      <c r="P543" s="2092"/>
      <c r="Q543" s="556"/>
      <c r="R543" s="2092"/>
      <c r="S543" s="474"/>
      <c r="T543" s="2106"/>
      <c r="U543" s="2106"/>
      <c r="V543" s="2106"/>
      <c r="W543" s="2106"/>
      <c r="X543" s="2030"/>
      <c r="Y543" s="483">
        <f t="shared" si="88"/>
        <v>3000</v>
      </c>
      <c r="Z543" s="1898">
        <f>+Z544+Z545</f>
        <v>3000000</v>
      </c>
      <c r="AA543" s="427"/>
      <c r="AB543" s="427"/>
      <c r="AC543" s="192"/>
    </row>
    <row r="544" spans="1:29" ht="22.5" customHeight="1">
      <c r="A544" s="540"/>
      <c r="B544" s="541"/>
      <c r="C544" s="542"/>
      <c r="D544" s="548"/>
      <c r="E544" s="2023"/>
      <c r="F544" s="526"/>
      <c r="G544" s="1918"/>
      <c r="H544" s="551"/>
      <c r="I544" s="2082"/>
      <c r="J544" s="2105" t="s">
        <v>2655</v>
      </c>
      <c r="K544" s="2082"/>
      <c r="L544" s="2082"/>
      <c r="M544" s="2082"/>
      <c r="N544" s="2082"/>
      <c r="O544" s="556"/>
      <c r="P544" s="2092"/>
      <c r="Q544" s="556">
        <v>2</v>
      </c>
      <c r="R544" s="2092" t="s">
        <v>142</v>
      </c>
      <c r="S544" s="474">
        <v>25000</v>
      </c>
      <c r="T544" s="2106" t="s">
        <v>0</v>
      </c>
      <c r="U544" s="2106"/>
      <c r="V544" s="2106">
        <v>40</v>
      </c>
      <c r="W544" s="2106" t="s">
        <v>3</v>
      </c>
      <c r="X544" s="2030" t="s">
        <v>1</v>
      </c>
      <c r="Y544" s="483">
        <f t="shared" si="88"/>
        <v>2000</v>
      </c>
      <c r="Z544" s="1898">
        <f>S544*V544*Q544</f>
        <v>2000000</v>
      </c>
      <c r="AA544" s="427"/>
      <c r="AB544" s="427"/>
      <c r="AC544" s="192"/>
    </row>
    <row r="545" spans="1:29" s="294" customFormat="1" ht="22.5" customHeight="1">
      <c r="A545" s="540"/>
      <c r="B545" s="541"/>
      <c r="C545" s="542"/>
      <c r="D545" s="624"/>
      <c r="E545" s="2023"/>
      <c r="F545" s="526"/>
      <c r="G545" s="1918"/>
      <c r="H545" s="551"/>
      <c r="I545" s="2082"/>
      <c r="J545" s="2105" t="s">
        <v>706</v>
      </c>
      <c r="K545" s="2082"/>
      <c r="L545" s="2082"/>
      <c r="M545" s="2082"/>
      <c r="N545" s="2082"/>
      <c r="O545" s="556"/>
      <c r="P545" s="2092"/>
      <c r="Q545" s="556">
        <v>1</v>
      </c>
      <c r="R545" s="2092" t="s">
        <v>142</v>
      </c>
      <c r="S545" s="474">
        <v>1000000</v>
      </c>
      <c r="T545" s="2106" t="s">
        <v>0</v>
      </c>
      <c r="U545" s="2106"/>
      <c r="V545" s="2106">
        <v>1</v>
      </c>
      <c r="W545" s="2106" t="s">
        <v>3</v>
      </c>
      <c r="X545" s="2030" t="s">
        <v>1</v>
      </c>
      <c r="Y545" s="483">
        <f t="shared" si="88"/>
        <v>1000</v>
      </c>
      <c r="Z545" s="1898">
        <f>S545*V545</f>
        <v>1000000</v>
      </c>
      <c r="AA545" s="427"/>
      <c r="AB545" s="427"/>
      <c r="AC545" s="192"/>
    </row>
    <row r="546" spans="1:29" s="294" customFormat="1" ht="18.95" customHeight="1">
      <c r="A546" s="540"/>
      <c r="B546" s="541"/>
      <c r="C546" s="542"/>
      <c r="D546" s="624"/>
      <c r="E546" s="2023" t="s">
        <v>2277</v>
      </c>
      <c r="F546" s="526">
        <f>Y546</f>
        <v>500</v>
      </c>
      <c r="G546" s="2326">
        <v>500</v>
      </c>
      <c r="H546" s="551"/>
      <c r="I546" s="2082"/>
      <c r="J546" s="2105" t="s">
        <v>2544</v>
      </c>
      <c r="K546" s="2106"/>
      <c r="L546" s="2082"/>
      <c r="M546" s="2082"/>
      <c r="N546" s="2082"/>
      <c r="O546" s="2082"/>
      <c r="P546" s="2082"/>
      <c r="Q546" s="556"/>
      <c r="R546" s="2092"/>
      <c r="S546" s="474">
        <v>500000</v>
      </c>
      <c r="T546" s="2106" t="s">
        <v>0</v>
      </c>
      <c r="U546" s="2106"/>
      <c r="V546" s="2106">
        <v>1</v>
      </c>
      <c r="W546" s="2106" t="s">
        <v>763</v>
      </c>
      <c r="X546" s="2030" t="s">
        <v>1</v>
      </c>
      <c r="Y546" s="483">
        <f t="shared" si="88"/>
        <v>500</v>
      </c>
      <c r="Z546" s="1898">
        <f>S546*V546</f>
        <v>500000</v>
      </c>
      <c r="AA546" s="427"/>
      <c r="AB546" s="427"/>
      <c r="AC546" s="192"/>
    </row>
    <row r="547" spans="1:29" ht="18.95" customHeight="1">
      <c r="A547" s="540"/>
      <c r="B547" s="541"/>
      <c r="C547" s="542"/>
      <c r="D547" s="624"/>
      <c r="E547" s="532" t="s">
        <v>931</v>
      </c>
      <c r="F547" s="526">
        <f>Y547</f>
        <v>19600</v>
      </c>
      <c r="G547" s="1918">
        <v>19600</v>
      </c>
      <c r="H547" s="551"/>
      <c r="I547" s="543"/>
      <c r="J547" s="2105" t="s">
        <v>768</v>
      </c>
      <c r="K547" s="2082"/>
      <c r="L547" s="2082"/>
      <c r="M547" s="2082"/>
      <c r="N547" s="2082"/>
      <c r="O547" s="2082"/>
      <c r="P547" s="2082"/>
      <c r="Q547" s="556"/>
      <c r="R547" s="2092"/>
      <c r="S547" s="474"/>
      <c r="T547" s="2106"/>
      <c r="U547" s="2106"/>
      <c r="V547" s="2106"/>
      <c r="W547" s="2106"/>
      <c r="X547" s="2106"/>
      <c r="Y547" s="483">
        <f t="shared" si="88"/>
        <v>19600</v>
      </c>
      <c r="Z547" s="1898">
        <f>SUM(Z548:Z553)</f>
        <v>19600000</v>
      </c>
      <c r="AA547" s="427"/>
      <c r="AB547" s="427"/>
      <c r="AC547" s="192"/>
    </row>
    <row r="548" spans="1:29" ht="18.95" customHeight="1">
      <c r="A548" s="540"/>
      <c r="B548" s="541"/>
      <c r="C548" s="542"/>
      <c r="D548" s="548"/>
      <c r="E548" s="2023"/>
      <c r="F548" s="526"/>
      <c r="G548" s="1918"/>
      <c r="H548" s="551"/>
      <c r="I548" s="543"/>
      <c r="J548" s="2105" t="s">
        <v>2545</v>
      </c>
      <c r="K548" s="2082"/>
      <c r="L548" s="2082"/>
      <c r="M548" s="2082"/>
      <c r="N548" s="2082"/>
      <c r="O548" s="2082"/>
      <c r="P548" s="2082"/>
      <c r="Q548" s="556"/>
      <c r="R548" s="2092"/>
      <c r="S548" s="474">
        <v>250000</v>
      </c>
      <c r="T548" s="2106" t="s">
        <v>0</v>
      </c>
      <c r="U548" s="2106"/>
      <c r="V548" s="2106">
        <v>22</v>
      </c>
      <c r="W548" s="2106" t="s">
        <v>39</v>
      </c>
      <c r="X548" s="2106" t="s">
        <v>38</v>
      </c>
      <c r="Y548" s="483">
        <f t="shared" si="88"/>
        <v>5500</v>
      </c>
      <c r="Z548" s="1898">
        <f>S548*V548</f>
        <v>5500000</v>
      </c>
      <c r="AA548" s="427"/>
      <c r="AB548" s="427"/>
      <c r="AC548" s="192"/>
    </row>
    <row r="549" spans="1:29" ht="18.95" customHeight="1">
      <c r="A549" s="562"/>
      <c r="B549" s="563"/>
      <c r="C549" s="2352"/>
      <c r="D549" s="2013"/>
      <c r="E549" s="2023"/>
      <c r="F549" s="526"/>
      <c r="G549" s="1918"/>
      <c r="H549" s="551"/>
      <c r="I549" s="543"/>
      <c r="J549" s="2105" t="s">
        <v>2546</v>
      </c>
      <c r="K549" s="2082"/>
      <c r="L549" s="2082"/>
      <c r="M549" s="2082"/>
      <c r="N549" s="2082"/>
      <c r="O549" s="2082"/>
      <c r="P549" s="2082"/>
      <c r="Q549" s="556">
        <v>5</v>
      </c>
      <c r="R549" s="2092" t="s">
        <v>142</v>
      </c>
      <c r="S549" s="474">
        <v>300000</v>
      </c>
      <c r="T549" s="2106" t="s">
        <v>0</v>
      </c>
      <c r="U549" s="2106"/>
      <c r="V549" s="2106">
        <v>4</v>
      </c>
      <c r="W549" s="2106" t="s">
        <v>39</v>
      </c>
      <c r="X549" s="2106" t="s">
        <v>38</v>
      </c>
      <c r="Y549" s="483">
        <f t="shared" si="88"/>
        <v>6000</v>
      </c>
      <c r="Z549" s="1898">
        <f>Q549*S549*V549</f>
        <v>6000000</v>
      </c>
      <c r="AA549" s="427"/>
      <c r="AB549" s="427"/>
      <c r="AC549" s="192"/>
    </row>
    <row r="550" spans="1:29" s="294" customFormat="1" ht="18.95" customHeight="1">
      <c r="A550" s="562"/>
      <c r="B550" s="563"/>
      <c r="C550" s="1911"/>
      <c r="D550" s="2013"/>
      <c r="E550" s="2023"/>
      <c r="F550" s="526"/>
      <c r="G550" s="1918"/>
      <c r="H550" s="551"/>
      <c r="I550" s="543"/>
      <c r="J550" s="2105" t="s">
        <v>2547</v>
      </c>
      <c r="K550" s="2082"/>
      <c r="L550" s="2082"/>
      <c r="M550" s="2082"/>
      <c r="N550" s="2082"/>
      <c r="O550" s="2082"/>
      <c r="P550" s="2082"/>
      <c r="Q550" s="556">
        <v>1</v>
      </c>
      <c r="R550" s="2092" t="s">
        <v>142</v>
      </c>
      <c r="S550" s="474">
        <v>200000</v>
      </c>
      <c r="T550" s="2106" t="s">
        <v>0</v>
      </c>
      <c r="U550" s="2106"/>
      <c r="V550" s="2106">
        <v>2</v>
      </c>
      <c r="W550" s="2106" t="s">
        <v>39</v>
      </c>
      <c r="X550" s="2106" t="s">
        <v>38</v>
      </c>
      <c r="Y550" s="483">
        <f t="shared" si="88"/>
        <v>400</v>
      </c>
      <c r="Z550" s="1898">
        <f>Q550*S550*V550</f>
        <v>400000</v>
      </c>
      <c r="AA550" s="427"/>
      <c r="AB550" s="427"/>
      <c r="AC550" s="192"/>
    </row>
    <row r="551" spans="1:29" ht="18.95" customHeight="1">
      <c r="A551" s="562"/>
      <c r="B551" s="563"/>
      <c r="C551" s="1911"/>
      <c r="D551" s="2013"/>
      <c r="E551" s="2023"/>
      <c r="F551" s="526"/>
      <c r="G551" s="1918"/>
      <c r="H551" s="551"/>
      <c r="I551" s="543"/>
      <c r="J551" s="2105" t="s">
        <v>2548</v>
      </c>
      <c r="K551" s="2082"/>
      <c r="L551" s="2082"/>
      <c r="M551" s="2082"/>
      <c r="N551" s="2082"/>
      <c r="O551" s="2082"/>
      <c r="P551" s="2082"/>
      <c r="Q551" s="556">
        <v>3</v>
      </c>
      <c r="R551" s="2092" t="s">
        <v>142</v>
      </c>
      <c r="S551" s="474">
        <v>300000</v>
      </c>
      <c r="T551" s="2106" t="s">
        <v>0</v>
      </c>
      <c r="U551" s="2106"/>
      <c r="V551" s="2106">
        <v>3</v>
      </c>
      <c r="W551" s="2106" t="s">
        <v>39</v>
      </c>
      <c r="X551" s="2106" t="s">
        <v>38</v>
      </c>
      <c r="Y551" s="483">
        <f t="shared" si="88"/>
        <v>2700</v>
      </c>
      <c r="Z551" s="1898">
        <f>Q551*S551*V551</f>
        <v>2700000</v>
      </c>
      <c r="AA551" s="427"/>
      <c r="AB551" s="427"/>
      <c r="AC551" s="192"/>
    </row>
    <row r="552" spans="1:29" ht="18.95" customHeight="1">
      <c r="A552" s="562"/>
      <c r="B552" s="563"/>
      <c r="C552" s="2352"/>
      <c r="D552" s="2013"/>
      <c r="E552" s="2023"/>
      <c r="F552" s="526"/>
      <c r="G552" s="1918"/>
      <c r="H552" s="551"/>
      <c r="I552" s="543"/>
      <c r="J552" s="2105" t="s">
        <v>2549</v>
      </c>
      <c r="K552" s="2082"/>
      <c r="L552" s="2082"/>
      <c r="M552" s="2082"/>
      <c r="N552" s="2082"/>
      <c r="O552" s="2082"/>
      <c r="P552" s="2082"/>
      <c r="Q552" s="556">
        <v>40</v>
      </c>
      <c r="R552" s="2092" t="s">
        <v>3396</v>
      </c>
      <c r="S552" s="474">
        <v>10000</v>
      </c>
      <c r="T552" s="2106" t="s">
        <v>0</v>
      </c>
      <c r="U552" s="2106"/>
      <c r="V552" s="2106">
        <v>10</v>
      </c>
      <c r="W552" s="2106" t="s">
        <v>1429</v>
      </c>
      <c r="X552" s="2106" t="s">
        <v>38</v>
      </c>
      <c r="Y552" s="483">
        <f t="shared" si="88"/>
        <v>4000</v>
      </c>
      <c r="Z552" s="1898">
        <f>Q552*S552*V552</f>
        <v>4000000</v>
      </c>
      <c r="AA552" s="427"/>
      <c r="AB552" s="427"/>
      <c r="AC552" s="192"/>
    </row>
    <row r="553" spans="1:29" ht="18.95" customHeight="1">
      <c r="A553" s="562"/>
      <c r="B553" s="563"/>
      <c r="C553" s="2352"/>
      <c r="D553" s="2013"/>
      <c r="E553" s="2023"/>
      <c r="F553" s="526"/>
      <c r="G553" s="1918"/>
      <c r="H553" s="551"/>
      <c r="I553" s="543"/>
      <c r="J553" s="2105" t="s">
        <v>2550</v>
      </c>
      <c r="K553" s="2082"/>
      <c r="L553" s="2082"/>
      <c r="M553" s="2082"/>
      <c r="N553" s="2082"/>
      <c r="O553" s="2082"/>
      <c r="P553" s="2082"/>
      <c r="Q553" s="556">
        <v>5</v>
      </c>
      <c r="R553" s="2092" t="s">
        <v>142</v>
      </c>
      <c r="S553" s="474">
        <v>200000</v>
      </c>
      <c r="T553" s="2106" t="s">
        <v>0</v>
      </c>
      <c r="U553" s="2106"/>
      <c r="V553" s="2106">
        <v>1</v>
      </c>
      <c r="W553" s="2106" t="s">
        <v>39</v>
      </c>
      <c r="X553" s="2106" t="s">
        <v>38</v>
      </c>
      <c r="Y553" s="483">
        <f t="shared" si="88"/>
        <v>1000</v>
      </c>
      <c r="Z553" s="1898">
        <f>Q553*S553*V553</f>
        <v>1000000</v>
      </c>
      <c r="AA553" s="427"/>
      <c r="AB553" s="427"/>
      <c r="AC553" s="192"/>
    </row>
    <row r="554" spans="1:29" ht="18.95" customHeight="1">
      <c r="A554" s="540"/>
      <c r="B554" s="541"/>
      <c r="C554" s="542"/>
      <c r="D554" s="624"/>
      <c r="E554" s="2023" t="s">
        <v>1098</v>
      </c>
      <c r="F554" s="526">
        <f>Y554</f>
        <v>7400</v>
      </c>
      <c r="G554" s="2326">
        <v>7400</v>
      </c>
      <c r="H554" s="551"/>
      <c r="I554" s="543"/>
      <c r="J554" s="2105" t="s">
        <v>768</v>
      </c>
      <c r="K554" s="2106"/>
      <c r="L554" s="2082"/>
      <c r="M554" s="2082"/>
      <c r="N554" s="2082"/>
      <c r="O554" s="2082"/>
      <c r="P554" s="2082"/>
      <c r="Q554" s="556"/>
      <c r="R554" s="2092"/>
      <c r="S554" s="474"/>
      <c r="T554" s="2106"/>
      <c r="U554" s="2106"/>
      <c r="V554" s="2106"/>
      <c r="W554" s="2106"/>
      <c r="X554" s="2106"/>
      <c r="Y554" s="483">
        <f t="shared" si="88"/>
        <v>7400</v>
      </c>
      <c r="Z554" s="1898">
        <f>SUM(Z555:Z556)</f>
        <v>7400000</v>
      </c>
      <c r="AA554" s="427"/>
      <c r="AB554" s="427"/>
      <c r="AC554" s="192"/>
    </row>
    <row r="555" spans="1:29" ht="18.95" customHeight="1">
      <c r="A555" s="562"/>
      <c r="B555" s="563"/>
      <c r="C555" s="2352"/>
      <c r="D555" s="2013"/>
      <c r="E555" s="532"/>
      <c r="F555" s="526"/>
      <c r="G555" s="2326"/>
      <c r="H555" s="551"/>
      <c r="I555" s="543"/>
      <c r="J555" s="2105" t="s">
        <v>2551</v>
      </c>
      <c r="K555" s="2106"/>
      <c r="L555" s="2082"/>
      <c r="M555" s="2082"/>
      <c r="N555" s="2082"/>
      <c r="O555" s="2082"/>
      <c r="P555" s="2082"/>
      <c r="Q555" s="556"/>
      <c r="R555" s="2092"/>
      <c r="S555" s="474">
        <v>400000</v>
      </c>
      <c r="T555" s="2106" t="s">
        <v>0</v>
      </c>
      <c r="U555" s="2106"/>
      <c r="V555" s="2106">
        <v>1</v>
      </c>
      <c r="W555" s="2106" t="s">
        <v>763</v>
      </c>
      <c r="X555" s="2106" t="s">
        <v>38</v>
      </c>
      <c r="Y555" s="483">
        <f t="shared" si="88"/>
        <v>400</v>
      </c>
      <c r="Z555" s="1898">
        <f>S555*V555</f>
        <v>400000</v>
      </c>
      <c r="AA555" s="427"/>
      <c r="AB555" s="427"/>
      <c r="AC555" s="192"/>
    </row>
    <row r="556" spans="1:29" ht="18.95" customHeight="1">
      <c r="A556" s="562"/>
      <c r="B556" s="563"/>
      <c r="C556" s="2352"/>
      <c r="D556" s="2013"/>
      <c r="E556" s="532"/>
      <c r="F556" s="526"/>
      <c r="G556" s="2326"/>
      <c r="H556" s="551"/>
      <c r="I556" s="543"/>
      <c r="J556" s="2105" t="s">
        <v>2469</v>
      </c>
      <c r="K556" s="2106"/>
      <c r="L556" s="2082"/>
      <c r="M556" s="2082"/>
      <c r="N556" s="2082"/>
      <c r="O556" s="2082"/>
      <c r="P556" s="2082"/>
      <c r="Q556" s="556"/>
      <c r="R556" s="2092"/>
      <c r="S556" s="474">
        <v>7000000</v>
      </c>
      <c r="T556" s="2106" t="s">
        <v>0</v>
      </c>
      <c r="U556" s="2106"/>
      <c r="V556" s="2106">
        <v>1</v>
      </c>
      <c r="W556" s="2106" t="s">
        <v>763</v>
      </c>
      <c r="X556" s="2106" t="s">
        <v>38</v>
      </c>
      <c r="Y556" s="483">
        <f t="shared" si="88"/>
        <v>7000</v>
      </c>
      <c r="Z556" s="1898">
        <f>S556*V556</f>
        <v>7000000</v>
      </c>
      <c r="AA556" s="427"/>
      <c r="AB556" s="427"/>
      <c r="AC556" s="192"/>
    </row>
    <row r="557" spans="1:29" ht="18.95" customHeight="1">
      <c r="A557" s="562"/>
      <c r="B557" s="563"/>
      <c r="C557" s="2352"/>
      <c r="D557" s="2013"/>
      <c r="E557" s="532" t="s">
        <v>728</v>
      </c>
      <c r="F557" s="526">
        <f>Y557</f>
        <v>60000</v>
      </c>
      <c r="G557" s="1918">
        <v>60000</v>
      </c>
      <c r="H557" s="551"/>
      <c r="I557" s="543"/>
      <c r="J557" s="2105" t="s">
        <v>2552</v>
      </c>
      <c r="K557" s="2082"/>
      <c r="L557" s="2082"/>
      <c r="M557" s="2082"/>
      <c r="N557" s="2082"/>
      <c r="O557" s="2082"/>
      <c r="P557" s="2082"/>
      <c r="Q557" s="556"/>
      <c r="R557" s="2092"/>
      <c r="S557" s="474">
        <v>2000000</v>
      </c>
      <c r="T557" s="2106" t="s">
        <v>0</v>
      </c>
      <c r="U557" s="2106"/>
      <c r="V557" s="2106">
        <v>30</v>
      </c>
      <c r="W557" s="2106" t="s">
        <v>51</v>
      </c>
      <c r="X557" s="2106" t="s">
        <v>38</v>
      </c>
      <c r="Y557" s="483">
        <f t="shared" si="88"/>
        <v>60000</v>
      </c>
      <c r="Z557" s="1898">
        <f>S557*V557</f>
        <v>60000000</v>
      </c>
      <c r="AA557" s="427"/>
      <c r="AB557" s="427"/>
      <c r="AC557" s="192"/>
    </row>
    <row r="558" spans="1:29" s="294" customFormat="1" ht="18.95" customHeight="1">
      <c r="A558" s="540"/>
      <c r="B558" s="541"/>
      <c r="C558" s="542"/>
      <c r="D558" s="624"/>
      <c r="E558" s="2023" t="s">
        <v>943</v>
      </c>
      <c r="F558" s="526">
        <f>Y558</f>
        <v>8850</v>
      </c>
      <c r="G558" s="2326">
        <v>8850</v>
      </c>
      <c r="H558" s="551"/>
      <c r="I558" s="543"/>
      <c r="J558" s="2105" t="s">
        <v>768</v>
      </c>
      <c r="K558" s="2106"/>
      <c r="L558" s="2082"/>
      <c r="M558" s="2082"/>
      <c r="N558" s="2082"/>
      <c r="O558" s="2082"/>
      <c r="P558" s="2082"/>
      <c r="Q558" s="556"/>
      <c r="R558" s="2092"/>
      <c r="S558" s="474"/>
      <c r="T558" s="2106"/>
      <c r="U558" s="2106"/>
      <c r="V558" s="2106"/>
      <c r="W558" s="2106"/>
      <c r="X558" s="2106"/>
      <c r="Y558" s="483">
        <f t="shared" si="88"/>
        <v>8850</v>
      </c>
      <c r="Z558" s="1898">
        <f>SUM(Z559:Z563)</f>
        <v>8850000</v>
      </c>
      <c r="AA558" s="427"/>
      <c r="AB558" s="427"/>
      <c r="AC558" s="192"/>
    </row>
    <row r="559" spans="1:29" s="1925" customFormat="1" ht="18.95" customHeight="1">
      <c r="A559" s="540"/>
      <c r="B559" s="541"/>
      <c r="C559" s="542"/>
      <c r="D559" s="624"/>
      <c r="E559" s="2023"/>
      <c r="F559" s="526"/>
      <c r="G559" s="2326"/>
      <c r="H559" s="551"/>
      <c r="I559" s="543"/>
      <c r="J559" s="2105" t="s">
        <v>2553</v>
      </c>
      <c r="K559" s="2106"/>
      <c r="L559" s="2082"/>
      <c r="M559" s="2082"/>
      <c r="N559" s="2082"/>
      <c r="O559" s="2082"/>
      <c r="P559" s="2082"/>
      <c r="Q559" s="556"/>
      <c r="R559" s="2092"/>
      <c r="S559" s="474">
        <v>150000</v>
      </c>
      <c r="T559" s="2106" t="s">
        <v>0</v>
      </c>
      <c r="U559" s="2106"/>
      <c r="V559" s="2106">
        <v>40</v>
      </c>
      <c r="W559" s="2106" t="s">
        <v>39</v>
      </c>
      <c r="X559" s="2106" t="s">
        <v>38</v>
      </c>
      <c r="Y559" s="483">
        <f t="shared" si="88"/>
        <v>6000</v>
      </c>
      <c r="Z559" s="1898">
        <f>S559*V559</f>
        <v>6000000</v>
      </c>
      <c r="AA559" s="427"/>
      <c r="AB559" s="427"/>
      <c r="AC559" s="192"/>
    </row>
    <row r="560" spans="1:29" ht="18.95" customHeight="1">
      <c r="A560" s="540"/>
      <c r="B560" s="541"/>
      <c r="C560" s="542"/>
      <c r="D560" s="624"/>
      <c r="E560" s="2023"/>
      <c r="F560" s="526"/>
      <c r="G560" s="2326"/>
      <c r="H560" s="551"/>
      <c r="I560" s="543"/>
      <c r="J560" s="2105" t="s">
        <v>2554</v>
      </c>
      <c r="K560" s="2106"/>
      <c r="L560" s="2082"/>
      <c r="M560" s="2082"/>
      <c r="N560" s="2082"/>
      <c r="O560" s="2082"/>
      <c r="P560" s="2082"/>
      <c r="Q560" s="556"/>
      <c r="R560" s="2092"/>
      <c r="S560" s="474">
        <v>300000</v>
      </c>
      <c r="T560" s="2106" t="s">
        <v>0</v>
      </c>
      <c r="U560" s="2106"/>
      <c r="V560" s="2106">
        <v>1</v>
      </c>
      <c r="W560" s="2106" t="s">
        <v>39</v>
      </c>
      <c r="X560" s="2106" t="s">
        <v>38</v>
      </c>
      <c r="Y560" s="483">
        <f t="shared" si="88"/>
        <v>300</v>
      </c>
      <c r="Z560" s="1898">
        <f>S560*V560</f>
        <v>300000</v>
      </c>
      <c r="AA560" s="427"/>
      <c r="AB560" s="427"/>
      <c r="AC560" s="192"/>
    </row>
    <row r="561" spans="1:29" ht="18.95" customHeight="1">
      <c r="A561" s="540"/>
      <c r="B561" s="541"/>
      <c r="C561" s="542"/>
      <c r="D561" s="624"/>
      <c r="E561" s="2023"/>
      <c r="F561" s="526"/>
      <c r="G561" s="2326"/>
      <c r="H561" s="551"/>
      <c r="I561" s="543"/>
      <c r="J561" s="2105" t="s">
        <v>2555</v>
      </c>
      <c r="K561" s="2106"/>
      <c r="L561" s="2082"/>
      <c r="M561" s="2082"/>
      <c r="N561" s="2082"/>
      <c r="O561" s="2082"/>
      <c r="P561" s="2082"/>
      <c r="Q561" s="556"/>
      <c r="R561" s="2092"/>
      <c r="S561" s="474">
        <v>700000</v>
      </c>
      <c r="T561" s="2106" t="s">
        <v>0</v>
      </c>
      <c r="U561" s="2106"/>
      <c r="V561" s="2106">
        <v>1</v>
      </c>
      <c r="W561" s="2106" t="s">
        <v>39</v>
      </c>
      <c r="X561" s="2106" t="s">
        <v>38</v>
      </c>
      <c r="Y561" s="483">
        <f t="shared" si="88"/>
        <v>700</v>
      </c>
      <c r="Z561" s="1898">
        <f>S561*V561</f>
        <v>700000</v>
      </c>
      <c r="AA561" s="427"/>
      <c r="AB561" s="427"/>
      <c r="AC561" s="192"/>
    </row>
    <row r="562" spans="1:29" ht="18.95" customHeight="1">
      <c r="A562" s="540"/>
      <c r="B562" s="541"/>
      <c r="C562" s="542"/>
      <c r="D562" s="624"/>
      <c r="E562" s="2023"/>
      <c r="F562" s="526"/>
      <c r="G562" s="2326"/>
      <c r="H562" s="551"/>
      <c r="I562" s="543"/>
      <c r="J562" s="2105" t="s">
        <v>2556</v>
      </c>
      <c r="K562" s="2106"/>
      <c r="L562" s="2082"/>
      <c r="M562" s="2082"/>
      <c r="N562" s="2082"/>
      <c r="O562" s="2082"/>
      <c r="P562" s="2082"/>
      <c r="Q562" s="556"/>
      <c r="R562" s="2092"/>
      <c r="S562" s="474">
        <v>1000000</v>
      </c>
      <c r="T562" s="2106" t="s">
        <v>0</v>
      </c>
      <c r="U562" s="2106"/>
      <c r="V562" s="2106">
        <v>1</v>
      </c>
      <c r="W562" s="2106" t="s">
        <v>39</v>
      </c>
      <c r="X562" s="2106" t="s">
        <v>38</v>
      </c>
      <c r="Y562" s="483">
        <f t="shared" si="88"/>
        <v>1000</v>
      </c>
      <c r="Z562" s="1898">
        <f>S562*V562</f>
        <v>1000000</v>
      </c>
      <c r="AA562" s="427"/>
      <c r="AB562" s="427"/>
      <c r="AC562" s="192"/>
    </row>
    <row r="563" spans="1:29" ht="18.95" customHeight="1">
      <c r="A563" s="540"/>
      <c r="B563" s="541"/>
      <c r="C563" s="542"/>
      <c r="D563" s="624"/>
      <c r="E563" s="2023"/>
      <c r="F563" s="526"/>
      <c r="G563" s="2326"/>
      <c r="H563" s="551"/>
      <c r="I563" s="543"/>
      <c r="J563" s="2105" t="s">
        <v>2557</v>
      </c>
      <c r="K563" s="2106"/>
      <c r="L563" s="2082"/>
      <c r="M563" s="2082"/>
      <c r="N563" s="2082"/>
      <c r="O563" s="2082"/>
      <c r="P563" s="2082"/>
      <c r="Q563" s="556"/>
      <c r="R563" s="2092"/>
      <c r="S563" s="474">
        <v>850000</v>
      </c>
      <c r="T563" s="2106" t="s">
        <v>0</v>
      </c>
      <c r="U563" s="2106"/>
      <c r="V563" s="2106">
        <v>1</v>
      </c>
      <c r="W563" s="2106" t="s">
        <v>39</v>
      </c>
      <c r="X563" s="2106" t="s">
        <v>38</v>
      </c>
      <c r="Y563" s="483">
        <f t="shared" si="88"/>
        <v>850</v>
      </c>
      <c r="Z563" s="1898">
        <f>S563*V563</f>
        <v>850000</v>
      </c>
      <c r="AA563" s="427"/>
      <c r="AB563" s="427"/>
      <c r="AC563" s="192"/>
    </row>
    <row r="564" spans="1:29" s="294" customFormat="1" ht="18.95" customHeight="1">
      <c r="A564" s="540"/>
      <c r="B564" s="541"/>
      <c r="C564" s="542"/>
      <c r="D564" s="624"/>
      <c r="E564" s="2023" t="s">
        <v>942</v>
      </c>
      <c r="F564" s="526">
        <f>Y564</f>
        <v>1500</v>
      </c>
      <c r="G564" s="2326">
        <v>1500</v>
      </c>
      <c r="H564" s="551"/>
      <c r="I564" s="543"/>
      <c r="J564" s="2105" t="s">
        <v>2558</v>
      </c>
      <c r="K564" s="2082"/>
      <c r="L564" s="2082"/>
      <c r="M564" s="2082"/>
      <c r="N564" s="2082"/>
      <c r="O564" s="2082"/>
      <c r="P564" s="2082"/>
      <c r="Q564" s="556">
        <v>5</v>
      </c>
      <c r="R564" s="2092" t="s">
        <v>142</v>
      </c>
      <c r="S564" s="474">
        <v>20000</v>
      </c>
      <c r="T564" s="2106" t="s">
        <v>0</v>
      </c>
      <c r="U564" s="2106"/>
      <c r="V564" s="2106">
        <v>15</v>
      </c>
      <c r="W564" s="2106" t="s">
        <v>3</v>
      </c>
      <c r="X564" s="2106" t="s">
        <v>38</v>
      </c>
      <c r="Y564" s="483">
        <f t="shared" si="88"/>
        <v>1500</v>
      </c>
      <c r="Z564" s="1898">
        <f>Q564*S564*V564</f>
        <v>1500000</v>
      </c>
      <c r="AA564" s="427"/>
      <c r="AB564" s="427"/>
      <c r="AC564" s="192"/>
    </row>
    <row r="565" spans="1:29" s="1925" customFormat="1" ht="18.95" customHeight="1">
      <c r="A565" s="540"/>
      <c r="B565" s="541"/>
      <c r="C565" s="542"/>
      <c r="D565" s="3837" t="s">
        <v>3397</v>
      </c>
      <c r="E565" s="3838"/>
      <c r="F565" s="525">
        <f>SUM(F566:F575)</f>
        <v>65000</v>
      </c>
      <c r="G565" s="525">
        <f>SUM(G566:G575)</f>
        <v>65000</v>
      </c>
      <c r="H565" s="627">
        <f>F565-G565</f>
        <v>0</v>
      </c>
      <c r="I565" s="543"/>
      <c r="J565" s="538"/>
      <c r="K565" s="2068"/>
      <c r="L565" s="2068"/>
      <c r="M565" s="2068"/>
      <c r="N565" s="2068"/>
      <c r="O565" s="2068"/>
      <c r="P565" s="2068"/>
      <c r="Q565" s="2068"/>
      <c r="R565" s="539"/>
      <c r="S565" s="2068"/>
      <c r="T565" s="2068"/>
      <c r="U565" s="2068"/>
      <c r="V565" s="2068"/>
      <c r="W565" s="2068"/>
      <c r="X565" s="2068"/>
      <c r="Y565" s="600"/>
      <c r="Z565" s="3474" t="e">
        <f>+#REF!+Z566+Z570+Z574+#REF!+#REF!+Z573+#REF!+#REF!</f>
        <v>#REF!</v>
      </c>
      <c r="AA565" s="427"/>
      <c r="AB565" s="427"/>
      <c r="AC565" s="192"/>
    </row>
    <row r="566" spans="1:29" s="294" customFormat="1" ht="18.95" customHeight="1">
      <c r="A566" s="540"/>
      <c r="B566" s="541"/>
      <c r="C566" s="542"/>
      <c r="D566" s="2295"/>
      <c r="E566" s="1457" t="s">
        <v>954</v>
      </c>
      <c r="F566" s="633">
        <f>Y566</f>
        <v>27700</v>
      </c>
      <c r="G566" s="633">
        <v>27700</v>
      </c>
      <c r="H566" s="551"/>
      <c r="I566" s="543"/>
      <c r="J566" s="2105" t="s">
        <v>2559</v>
      </c>
      <c r="K566" s="2082"/>
      <c r="L566" s="2082"/>
      <c r="M566" s="2082"/>
      <c r="N566" s="2082"/>
      <c r="O566" s="2082"/>
      <c r="P566" s="2082"/>
      <c r="Q566" s="556">
        <v>1</v>
      </c>
      <c r="R566" s="2092" t="s">
        <v>25</v>
      </c>
      <c r="S566" s="474">
        <v>2770000</v>
      </c>
      <c r="T566" s="2106" t="s">
        <v>0</v>
      </c>
      <c r="U566" s="2106"/>
      <c r="V566" s="2106">
        <v>10</v>
      </c>
      <c r="W566" s="2106" t="s">
        <v>972</v>
      </c>
      <c r="X566" s="2106" t="s">
        <v>38</v>
      </c>
      <c r="Y566" s="483">
        <f t="shared" ref="Y566:Y575" si="89">(Z566)/1000</f>
        <v>27700</v>
      </c>
      <c r="Z566" s="1898">
        <f>Q566*S566*V566</f>
        <v>27700000</v>
      </c>
      <c r="AA566" s="427"/>
      <c r="AB566" s="427"/>
      <c r="AC566" s="192"/>
    </row>
    <row r="567" spans="1:29" s="294" customFormat="1" ht="18.95" customHeight="1">
      <c r="A567" s="540"/>
      <c r="B567" s="541"/>
      <c r="C567" s="542"/>
      <c r="D567" s="624"/>
      <c r="E567" s="2023" t="s">
        <v>57</v>
      </c>
      <c r="F567" s="633">
        <f>Y567</f>
        <v>1800</v>
      </c>
      <c r="G567" s="2326">
        <v>1800</v>
      </c>
      <c r="H567" s="551"/>
      <c r="I567" s="2082"/>
      <c r="J567" s="2105" t="s">
        <v>2144</v>
      </c>
      <c r="K567" s="2106"/>
      <c r="L567" s="2082"/>
      <c r="M567" s="2082"/>
      <c r="N567" s="2082"/>
      <c r="O567" s="2082"/>
      <c r="P567" s="2082"/>
      <c r="Q567" s="556"/>
      <c r="R567" s="2092"/>
      <c r="S567" s="474">
        <v>1800000</v>
      </c>
      <c r="T567" s="2106" t="s">
        <v>37</v>
      </c>
      <c r="U567" s="2106"/>
      <c r="V567" s="2106">
        <v>1</v>
      </c>
      <c r="W567" s="2106" t="s">
        <v>763</v>
      </c>
      <c r="X567" s="2106" t="s">
        <v>38</v>
      </c>
      <c r="Y567" s="483">
        <f t="shared" si="89"/>
        <v>1800</v>
      </c>
      <c r="Z567" s="1898">
        <f>S567*V567</f>
        <v>1800000</v>
      </c>
      <c r="AA567" s="427"/>
      <c r="AB567" s="427"/>
      <c r="AC567" s="192"/>
    </row>
    <row r="568" spans="1:29" s="294" customFormat="1" ht="18.95" customHeight="1">
      <c r="A568" s="540"/>
      <c r="B568" s="541"/>
      <c r="C568" s="542"/>
      <c r="D568" s="624"/>
      <c r="E568" s="2023" t="s">
        <v>928</v>
      </c>
      <c r="F568" s="526">
        <f>Y568</f>
        <v>500</v>
      </c>
      <c r="G568" s="1918">
        <v>500</v>
      </c>
      <c r="H568" s="551"/>
      <c r="I568" s="543"/>
      <c r="J568" s="2105" t="s">
        <v>960</v>
      </c>
      <c r="K568" s="2082"/>
      <c r="L568" s="2082"/>
      <c r="M568" s="2082"/>
      <c r="N568" s="2082"/>
      <c r="O568" s="556"/>
      <c r="P568" s="2092"/>
      <c r="Q568" s="556">
        <v>2</v>
      </c>
      <c r="R568" s="2092" t="s">
        <v>142</v>
      </c>
      <c r="S568" s="474">
        <v>25000</v>
      </c>
      <c r="T568" s="2106" t="s">
        <v>0</v>
      </c>
      <c r="U568" s="2106"/>
      <c r="V568" s="2106">
        <v>10</v>
      </c>
      <c r="W568" s="2106" t="s">
        <v>39</v>
      </c>
      <c r="X568" s="2106" t="s">
        <v>38</v>
      </c>
      <c r="Y568" s="483">
        <f t="shared" si="89"/>
        <v>500</v>
      </c>
      <c r="Z568" s="1898">
        <f>Q568*S568*V568</f>
        <v>500000</v>
      </c>
      <c r="AA568" s="427"/>
      <c r="AB568" s="427"/>
      <c r="AC568" s="192"/>
    </row>
    <row r="569" spans="1:29" s="1925" customFormat="1" ht="18.95" customHeight="1">
      <c r="A569" s="540"/>
      <c r="B569" s="541"/>
      <c r="C569" s="542"/>
      <c r="D569" s="624"/>
      <c r="E569" s="2023" t="s">
        <v>931</v>
      </c>
      <c r="F569" s="526">
        <f>Y569</f>
        <v>6050</v>
      </c>
      <c r="G569" s="1918">
        <v>6050</v>
      </c>
      <c r="H569" s="551"/>
      <c r="I569" s="543"/>
      <c r="J569" s="2105" t="s">
        <v>768</v>
      </c>
      <c r="K569" s="2082"/>
      <c r="L569" s="2082"/>
      <c r="M569" s="2082"/>
      <c r="N569" s="2082"/>
      <c r="O569" s="2082"/>
      <c r="P569" s="2082"/>
      <c r="Q569" s="556"/>
      <c r="R569" s="2092"/>
      <c r="S569" s="474"/>
      <c r="T569" s="2106"/>
      <c r="U569" s="2106"/>
      <c r="V569" s="2106"/>
      <c r="W569" s="2106"/>
      <c r="X569" s="2106"/>
      <c r="Y569" s="483">
        <f t="shared" si="89"/>
        <v>6050</v>
      </c>
      <c r="Z569" s="1898">
        <f>SUM(Z570:Z572)</f>
        <v>6050000</v>
      </c>
      <c r="AA569" s="427"/>
      <c r="AB569" s="427"/>
      <c r="AC569" s="192"/>
    </row>
    <row r="570" spans="1:29" s="294" customFormat="1" ht="18.95" customHeight="1">
      <c r="A570" s="540"/>
      <c r="B570" s="541"/>
      <c r="C570" s="542"/>
      <c r="D570" s="548"/>
      <c r="E570" s="2023"/>
      <c r="F570" s="526"/>
      <c r="G570" s="1918"/>
      <c r="H570" s="551"/>
      <c r="I570" s="543"/>
      <c r="J570" s="2105" t="s">
        <v>2561</v>
      </c>
      <c r="K570" s="2082"/>
      <c r="L570" s="2082"/>
      <c r="M570" s="2082"/>
      <c r="N570" s="2082"/>
      <c r="O570" s="2082"/>
      <c r="P570" s="2082"/>
      <c r="Q570" s="556">
        <v>3</v>
      </c>
      <c r="R570" s="2092" t="s">
        <v>142</v>
      </c>
      <c r="S570" s="474">
        <v>200000</v>
      </c>
      <c r="T570" s="2106" t="s">
        <v>0</v>
      </c>
      <c r="U570" s="2106"/>
      <c r="V570" s="2106">
        <v>3</v>
      </c>
      <c r="W570" s="2106" t="s">
        <v>39</v>
      </c>
      <c r="X570" s="2106" t="s">
        <v>38</v>
      </c>
      <c r="Y570" s="483">
        <f t="shared" si="89"/>
        <v>1800</v>
      </c>
      <c r="Z570" s="1898">
        <f>Q570*S570*V570</f>
        <v>1800000</v>
      </c>
      <c r="AA570" s="427"/>
      <c r="AB570" s="427"/>
      <c r="AC570" s="192"/>
    </row>
    <row r="571" spans="1:29" s="294" customFormat="1" ht="18.95" customHeight="1">
      <c r="A571" s="540"/>
      <c r="B571" s="541"/>
      <c r="C571" s="542"/>
      <c r="D571" s="548"/>
      <c r="E571" s="2023"/>
      <c r="F571" s="526"/>
      <c r="G571" s="1918"/>
      <c r="H571" s="551"/>
      <c r="I571" s="543"/>
      <c r="J571" s="2105" t="s">
        <v>2562</v>
      </c>
      <c r="K571" s="2082"/>
      <c r="L571" s="2082"/>
      <c r="M571" s="2082"/>
      <c r="N571" s="2082"/>
      <c r="O571" s="2082"/>
      <c r="P571" s="2082"/>
      <c r="Q571" s="556">
        <v>3</v>
      </c>
      <c r="R571" s="2092" t="s">
        <v>142</v>
      </c>
      <c r="S571" s="474">
        <v>250000</v>
      </c>
      <c r="T571" s="2106" t="s">
        <v>0</v>
      </c>
      <c r="U571" s="2106"/>
      <c r="V571" s="2106">
        <v>5</v>
      </c>
      <c r="W571" s="2106" t="s">
        <v>39</v>
      </c>
      <c r="X571" s="2106" t="s">
        <v>38</v>
      </c>
      <c r="Y571" s="483">
        <f t="shared" si="89"/>
        <v>3750</v>
      </c>
      <c r="Z571" s="1898">
        <f>Q571*S571*V571</f>
        <v>3750000</v>
      </c>
      <c r="AA571" s="427"/>
      <c r="AB571" s="427"/>
      <c r="AC571" s="192"/>
    </row>
    <row r="572" spans="1:29" s="294" customFormat="1" ht="18.95" customHeight="1">
      <c r="A572" s="540"/>
      <c r="B572" s="541"/>
      <c r="C572" s="542"/>
      <c r="D572" s="548"/>
      <c r="E572" s="2023"/>
      <c r="F572" s="526"/>
      <c r="G572" s="1918"/>
      <c r="H572" s="551"/>
      <c r="I572" s="543"/>
      <c r="J572" s="2105" t="s">
        <v>2563</v>
      </c>
      <c r="K572" s="2082"/>
      <c r="L572" s="2082"/>
      <c r="M572" s="2082"/>
      <c r="N572" s="2082"/>
      <c r="O572" s="2082"/>
      <c r="P572" s="2082"/>
      <c r="Q572" s="556">
        <v>2</v>
      </c>
      <c r="R572" s="2092" t="s">
        <v>142</v>
      </c>
      <c r="S572" s="474">
        <v>250000</v>
      </c>
      <c r="T572" s="2106" t="s">
        <v>0</v>
      </c>
      <c r="U572" s="2106"/>
      <c r="V572" s="2106">
        <v>1</v>
      </c>
      <c r="W572" s="2106" t="s">
        <v>39</v>
      </c>
      <c r="X572" s="2106" t="s">
        <v>38</v>
      </c>
      <c r="Y572" s="483">
        <f t="shared" si="89"/>
        <v>500</v>
      </c>
      <c r="Z572" s="1898">
        <f>Q572*S572*V572</f>
        <v>500000</v>
      </c>
      <c r="AA572" s="427"/>
      <c r="AB572" s="427"/>
      <c r="AC572" s="192"/>
    </row>
    <row r="573" spans="1:29" s="294" customFormat="1" ht="18.95" customHeight="1">
      <c r="A573" s="540"/>
      <c r="B573" s="541"/>
      <c r="C573" s="542"/>
      <c r="D573" s="548"/>
      <c r="E573" s="1457" t="s">
        <v>2564</v>
      </c>
      <c r="F573" s="633">
        <f>Y573</f>
        <v>27000</v>
      </c>
      <c r="G573" s="633">
        <v>27000</v>
      </c>
      <c r="H573" s="551"/>
      <c r="I573" s="543"/>
      <c r="J573" s="2105" t="s">
        <v>2565</v>
      </c>
      <c r="K573" s="2082"/>
      <c r="L573" s="2082"/>
      <c r="M573" s="2082"/>
      <c r="N573" s="2082"/>
      <c r="O573" s="2082"/>
      <c r="P573" s="2082"/>
      <c r="Q573" s="2082"/>
      <c r="R573" s="552"/>
      <c r="S573" s="474">
        <v>9000000</v>
      </c>
      <c r="T573" s="2106" t="s">
        <v>37</v>
      </c>
      <c r="U573" s="2106"/>
      <c r="V573" s="2106">
        <v>3</v>
      </c>
      <c r="W573" s="2106" t="s">
        <v>51</v>
      </c>
      <c r="X573" s="2106" t="s">
        <v>38</v>
      </c>
      <c r="Y573" s="483">
        <f t="shared" si="89"/>
        <v>27000</v>
      </c>
      <c r="Z573" s="1898">
        <f>S573*V573</f>
        <v>27000000</v>
      </c>
      <c r="AA573" s="427"/>
      <c r="AB573" s="427"/>
      <c r="AC573" s="192"/>
    </row>
    <row r="574" spans="1:29" s="294" customFormat="1" ht="18.95" customHeight="1">
      <c r="A574" s="562"/>
      <c r="B574" s="563"/>
      <c r="C574" s="2352"/>
      <c r="D574" s="2050"/>
      <c r="E574" s="1457" t="s">
        <v>943</v>
      </c>
      <c r="F574" s="633">
        <f>Y574</f>
        <v>1200</v>
      </c>
      <c r="G574" s="633">
        <v>1200</v>
      </c>
      <c r="H574" s="551"/>
      <c r="I574" s="543"/>
      <c r="J574" s="2105" t="s">
        <v>2566</v>
      </c>
      <c r="K574" s="2082"/>
      <c r="L574" s="2082"/>
      <c r="M574" s="2082"/>
      <c r="N574" s="2082"/>
      <c r="O574" s="2082"/>
      <c r="P574" s="2082"/>
      <c r="Q574" s="2082"/>
      <c r="R574" s="552"/>
      <c r="S574" s="474">
        <v>400000</v>
      </c>
      <c r="T574" s="2106" t="s">
        <v>37</v>
      </c>
      <c r="U574" s="2106"/>
      <c r="V574" s="2106">
        <v>3</v>
      </c>
      <c r="W574" s="2106" t="s">
        <v>51</v>
      </c>
      <c r="X574" s="2106" t="s">
        <v>38</v>
      </c>
      <c r="Y574" s="483">
        <f t="shared" si="89"/>
        <v>1200</v>
      </c>
      <c r="Z574" s="1898">
        <f>S574*V574</f>
        <v>1200000</v>
      </c>
      <c r="AA574" s="427"/>
      <c r="AB574" s="427"/>
      <c r="AC574" s="192"/>
    </row>
    <row r="575" spans="1:29" ht="18.95" customHeight="1">
      <c r="A575" s="562"/>
      <c r="B575" s="563"/>
      <c r="C575" s="1911"/>
      <c r="D575" s="2050"/>
      <c r="E575" s="2023" t="s">
        <v>942</v>
      </c>
      <c r="F575" s="526">
        <f>Y575</f>
        <v>750</v>
      </c>
      <c r="G575" s="2326">
        <v>750</v>
      </c>
      <c r="H575" s="551"/>
      <c r="I575" s="543"/>
      <c r="J575" s="2105" t="s">
        <v>2567</v>
      </c>
      <c r="K575" s="2082"/>
      <c r="L575" s="2082"/>
      <c r="M575" s="2082"/>
      <c r="N575" s="2082"/>
      <c r="O575" s="2082"/>
      <c r="P575" s="2082"/>
      <c r="Q575" s="556">
        <v>5</v>
      </c>
      <c r="R575" s="2092" t="s">
        <v>142</v>
      </c>
      <c r="S575" s="474">
        <v>10000</v>
      </c>
      <c r="T575" s="2106" t="s">
        <v>0</v>
      </c>
      <c r="U575" s="2106"/>
      <c r="V575" s="2106">
        <v>15</v>
      </c>
      <c r="W575" s="2106" t="s">
        <v>3</v>
      </c>
      <c r="X575" s="2106" t="s">
        <v>38</v>
      </c>
      <c r="Y575" s="483">
        <f t="shared" si="89"/>
        <v>750</v>
      </c>
      <c r="Z575" s="1898">
        <f>Q575*S575*V575</f>
        <v>750000</v>
      </c>
      <c r="AA575" s="427"/>
      <c r="AB575" s="427"/>
      <c r="AC575" s="192"/>
    </row>
    <row r="576" spans="1:29" ht="18.95" customHeight="1">
      <c r="A576" s="540"/>
      <c r="B576" s="541"/>
      <c r="C576" s="3836" t="s">
        <v>961</v>
      </c>
      <c r="D576" s="3821"/>
      <c r="E576" s="3822"/>
      <c r="F576" s="525">
        <f>+F577+F592+F601+F609</f>
        <v>350000</v>
      </c>
      <c r="G576" s="525">
        <f>+G577+G592+G601+G609</f>
        <v>350000</v>
      </c>
      <c r="H576" s="627">
        <f>F576-G576</f>
        <v>0</v>
      </c>
      <c r="I576" s="543"/>
      <c r="J576" s="538"/>
      <c r="K576" s="2068"/>
      <c r="L576" s="2068"/>
      <c r="M576" s="2068"/>
      <c r="N576" s="2068"/>
      <c r="O576" s="2068"/>
      <c r="P576" s="2068"/>
      <c r="Q576" s="2068"/>
      <c r="R576" s="2068"/>
      <c r="S576" s="2068"/>
      <c r="T576" s="2068"/>
      <c r="U576" s="2068"/>
      <c r="V576" s="2068"/>
      <c r="W576" s="2068"/>
      <c r="X576" s="2068"/>
      <c r="Y576" s="600"/>
      <c r="Z576" s="3472" t="e">
        <f>+Z577+Z592+Z601+#REF!</f>
        <v>#REF!</v>
      </c>
      <c r="AA576" s="427"/>
      <c r="AB576" s="427"/>
      <c r="AC576" s="192"/>
    </row>
    <row r="577" spans="1:29" s="294" customFormat="1" ht="18.95" customHeight="1">
      <c r="A577" s="540"/>
      <c r="B577" s="541"/>
      <c r="C577" s="542"/>
      <c r="D577" s="3837" t="s">
        <v>962</v>
      </c>
      <c r="E577" s="3838"/>
      <c r="F577" s="525">
        <f>SUM(F578:F591)</f>
        <v>100000</v>
      </c>
      <c r="G577" s="525">
        <f>SUM(G578:G591)</f>
        <v>100000</v>
      </c>
      <c r="H577" s="627">
        <f>F577-G577</f>
        <v>0</v>
      </c>
      <c r="I577" s="543"/>
      <c r="J577" s="538"/>
      <c r="K577" s="2068"/>
      <c r="L577" s="2068"/>
      <c r="M577" s="2068"/>
      <c r="N577" s="2068"/>
      <c r="O577" s="2068"/>
      <c r="P577" s="2068"/>
      <c r="Q577" s="2068"/>
      <c r="R577" s="539"/>
      <c r="S577" s="2068"/>
      <c r="T577" s="2068"/>
      <c r="U577" s="2068"/>
      <c r="V577" s="2068"/>
      <c r="W577" s="2068"/>
      <c r="X577" s="2068"/>
      <c r="Y577" s="600"/>
      <c r="Z577" s="3474">
        <f>+Z589+Z578+Z583+Z586+Z584+Z585+Z590+Z591</f>
        <v>100000000</v>
      </c>
      <c r="AA577" s="427"/>
      <c r="AB577" s="427"/>
      <c r="AC577" s="192"/>
    </row>
    <row r="578" spans="1:29" s="294" customFormat="1" ht="18.95" customHeight="1">
      <c r="A578" s="540"/>
      <c r="B578" s="541"/>
      <c r="C578" s="542"/>
      <c r="D578" s="624"/>
      <c r="E578" s="2023" t="s">
        <v>964</v>
      </c>
      <c r="F578" s="526">
        <f>Y578</f>
        <v>26160</v>
      </c>
      <c r="G578" s="1918">
        <v>26160</v>
      </c>
      <c r="H578" s="551"/>
      <c r="I578" s="543"/>
      <c r="J578" s="2105" t="s">
        <v>768</v>
      </c>
      <c r="K578" s="2082"/>
      <c r="L578" s="2082"/>
      <c r="M578" s="2082"/>
      <c r="N578" s="2082"/>
      <c r="O578" s="2082"/>
      <c r="P578" s="2082"/>
      <c r="Q578" s="2082"/>
      <c r="R578" s="552"/>
      <c r="S578" s="2082"/>
      <c r="T578" s="2082"/>
      <c r="U578" s="2082"/>
      <c r="V578" s="2082"/>
      <c r="W578" s="2082"/>
      <c r="X578" s="2106"/>
      <c r="Y578" s="483">
        <f t="shared" ref="Y578:Y591" si="90">(Z578)/1000</f>
        <v>26160</v>
      </c>
      <c r="Z578" s="1898">
        <f>SUM(Z579:Z582)</f>
        <v>26160000</v>
      </c>
      <c r="AA578" s="427"/>
      <c r="AB578" s="427"/>
      <c r="AC578" s="192"/>
    </row>
    <row r="579" spans="1:29" ht="18.95" customHeight="1">
      <c r="A579" s="540"/>
      <c r="B579" s="541"/>
      <c r="C579" s="542"/>
      <c r="D579" s="624"/>
      <c r="E579" s="2023"/>
      <c r="F579" s="526"/>
      <c r="G579" s="1918"/>
      <c r="H579" s="551"/>
      <c r="I579" s="543"/>
      <c r="J579" s="2105" t="s">
        <v>761</v>
      </c>
      <c r="K579" s="2082"/>
      <c r="L579" s="2082"/>
      <c r="M579" s="2082"/>
      <c r="N579" s="2082"/>
      <c r="O579" s="2082"/>
      <c r="P579" s="2082"/>
      <c r="Q579" s="556">
        <v>1</v>
      </c>
      <c r="R579" s="2092" t="s">
        <v>25</v>
      </c>
      <c r="S579" s="474">
        <v>1830000</v>
      </c>
      <c r="T579" s="2106" t="s">
        <v>0</v>
      </c>
      <c r="U579" s="2106"/>
      <c r="V579" s="2106">
        <v>10</v>
      </c>
      <c r="W579" s="2106" t="s">
        <v>972</v>
      </c>
      <c r="X579" s="2106" t="s">
        <v>38</v>
      </c>
      <c r="Y579" s="483">
        <f t="shared" si="90"/>
        <v>18300</v>
      </c>
      <c r="Z579" s="1898">
        <f>Q579*S579*V579</f>
        <v>18300000</v>
      </c>
      <c r="AA579" s="427"/>
      <c r="AB579" s="427"/>
      <c r="AC579" s="192"/>
    </row>
    <row r="580" spans="1:29" ht="18.95" customHeight="1">
      <c r="A580" s="540"/>
      <c r="B580" s="541"/>
      <c r="C580" s="542"/>
      <c r="D580" s="624"/>
      <c r="E580" s="2023"/>
      <c r="F580" s="526"/>
      <c r="G580" s="1918"/>
      <c r="H580" s="551"/>
      <c r="I580" s="543"/>
      <c r="J580" s="2105" t="s">
        <v>3398</v>
      </c>
      <c r="K580" s="2082"/>
      <c r="L580" s="2082"/>
      <c r="M580" s="2082"/>
      <c r="N580" s="2082"/>
      <c r="O580" s="2082"/>
      <c r="P580" s="2082"/>
      <c r="Q580" s="556">
        <v>1</v>
      </c>
      <c r="R580" s="2092" t="s">
        <v>25</v>
      </c>
      <c r="S580" s="474">
        <v>350000</v>
      </c>
      <c r="T580" s="2106" t="s">
        <v>0</v>
      </c>
      <c r="U580" s="2106"/>
      <c r="V580" s="2106">
        <v>10</v>
      </c>
      <c r="W580" s="2106" t="s">
        <v>972</v>
      </c>
      <c r="X580" s="2106" t="s">
        <v>38</v>
      </c>
      <c r="Y580" s="483">
        <f t="shared" si="90"/>
        <v>3500</v>
      </c>
      <c r="Z580" s="1898">
        <f>Q580*S580*V580</f>
        <v>3500000</v>
      </c>
      <c r="AA580" s="427"/>
      <c r="AB580" s="427"/>
      <c r="AC580" s="192"/>
    </row>
    <row r="581" spans="1:29" ht="18.95" customHeight="1">
      <c r="A581" s="540"/>
      <c r="B581" s="541"/>
      <c r="C581" s="542"/>
      <c r="D581" s="624"/>
      <c r="E581" s="2023"/>
      <c r="F581" s="526"/>
      <c r="G581" s="1918"/>
      <c r="H581" s="551"/>
      <c r="I581" s="543"/>
      <c r="J581" s="2105" t="s">
        <v>955</v>
      </c>
      <c r="K581" s="2082"/>
      <c r="L581" s="2082"/>
      <c r="M581" s="2082"/>
      <c r="N581" s="2082"/>
      <c r="O581" s="2082"/>
      <c r="P581" s="2082"/>
      <c r="Q581" s="556">
        <v>1</v>
      </c>
      <c r="R581" s="2092" t="s">
        <v>25</v>
      </c>
      <c r="S581" s="474">
        <v>2180000</v>
      </c>
      <c r="T581" s="2106" t="s">
        <v>0</v>
      </c>
      <c r="U581" s="2106"/>
      <c r="V581" s="2106">
        <v>1</v>
      </c>
      <c r="W581" s="2106" t="s">
        <v>972</v>
      </c>
      <c r="X581" s="2106" t="s">
        <v>38</v>
      </c>
      <c r="Y581" s="483">
        <f t="shared" si="90"/>
        <v>2180</v>
      </c>
      <c r="Z581" s="1898">
        <f>Q581*S581*V581</f>
        <v>2180000</v>
      </c>
      <c r="AA581" s="427"/>
      <c r="AB581" s="427"/>
      <c r="AC581" s="192"/>
    </row>
    <row r="582" spans="1:29" s="294" customFormat="1" ht="18.95" customHeight="1">
      <c r="A582" s="540"/>
      <c r="B582" s="541"/>
      <c r="C582" s="542"/>
      <c r="D582" s="624"/>
      <c r="E582" s="2023"/>
      <c r="F582" s="526"/>
      <c r="G582" s="1918"/>
      <c r="H582" s="551"/>
      <c r="I582" s="543"/>
      <c r="J582" s="2105" t="s">
        <v>956</v>
      </c>
      <c r="K582" s="2082"/>
      <c r="L582" s="2082"/>
      <c r="M582" s="2082"/>
      <c r="N582" s="2082"/>
      <c r="O582" s="556"/>
      <c r="P582" s="2092"/>
      <c r="Q582" s="556">
        <v>1</v>
      </c>
      <c r="R582" s="2092" t="s">
        <v>25</v>
      </c>
      <c r="S582" s="474">
        <v>21800000</v>
      </c>
      <c r="T582" s="2106" t="s">
        <v>0</v>
      </c>
      <c r="U582" s="2106"/>
      <c r="V582" s="2106">
        <v>10</v>
      </c>
      <c r="W582" s="2106" t="s">
        <v>957</v>
      </c>
      <c r="X582" s="2106" t="s">
        <v>38</v>
      </c>
      <c r="Y582" s="483">
        <f t="shared" si="90"/>
        <v>2180</v>
      </c>
      <c r="Z582" s="1898">
        <f>Q582*S582*V582%</f>
        <v>2180000</v>
      </c>
      <c r="AA582" s="427"/>
      <c r="AB582" s="427"/>
      <c r="AC582" s="192"/>
    </row>
    <row r="583" spans="1:29" s="294" customFormat="1" ht="18.95" customHeight="1">
      <c r="A583" s="540"/>
      <c r="B583" s="541"/>
      <c r="C583" s="1910"/>
      <c r="D583" s="624"/>
      <c r="E583" s="2023" t="s">
        <v>975</v>
      </c>
      <c r="F583" s="526">
        <f>Y583</f>
        <v>2000</v>
      </c>
      <c r="G583" s="2326">
        <v>2000</v>
      </c>
      <c r="H583" s="551"/>
      <c r="I583" s="543"/>
      <c r="J583" s="2105" t="s">
        <v>3392</v>
      </c>
      <c r="K583" s="2082"/>
      <c r="L583" s="2082"/>
      <c r="M583" s="2082"/>
      <c r="N583" s="2082"/>
      <c r="O583" s="2082"/>
      <c r="P583" s="2082"/>
      <c r="Q583" s="556"/>
      <c r="R583" s="2092"/>
      <c r="S583" s="474">
        <v>2000000</v>
      </c>
      <c r="T583" s="2106" t="s">
        <v>0</v>
      </c>
      <c r="U583" s="2106"/>
      <c r="V583" s="2106">
        <v>1</v>
      </c>
      <c r="W583" s="2106" t="s">
        <v>763</v>
      </c>
      <c r="X583" s="2106" t="s">
        <v>38</v>
      </c>
      <c r="Y583" s="483">
        <f t="shared" si="90"/>
        <v>2000</v>
      </c>
      <c r="Z583" s="1898">
        <f>S583*V583</f>
        <v>2000000</v>
      </c>
      <c r="AA583" s="427"/>
      <c r="AB583" s="427"/>
      <c r="AC583" s="192"/>
    </row>
    <row r="584" spans="1:29" s="294" customFormat="1" ht="18.95" customHeight="1">
      <c r="A584" s="540"/>
      <c r="B584" s="541"/>
      <c r="C584" s="542"/>
      <c r="D584" s="548"/>
      <c r="E584" s="2023" t="s">
        <v>934</v>
      </c>
      <c r="F584" s="526">
        <f>Y584</f>
        <v>1040</v>
      </c>
      <c r="G584" s="2326">
        <v>1040</v>
      </c>
      <c r="H584" s="551"/>
      <c r="I584" s="543"/>
      <c r="J584" s="2105" t="s">
        <v>951</v>
      </c>
      <c r="K584" s="2082"/>
      <c r="L584" s="2082"/>
      <c r="M584" s="2082"/>
      <c r="N584" s="2082"/>
      <c r="O584" s="556"/>
      <c r="P584" s="2092"/>
      <c r="Q584" s="556" t="s">
        <v>20</v>
      </c>
      <c r="R584" s="2092" t="s">
        <v>20</v>
      </c>
      <c r="S584" s="474">
        <v>1040000</v>
      </c>
      <c r="T584" s="2106" t="s">
        <v>0</v>
      </c>
      <c r="U584" s="2106"/>
      <c r="V584" s="2106">
        <v>1</v>
      </c>
      <c r="W584" s="2106" t="s">
        <v>763</v>
      </c>
      <c r="X584" s="2106" t="s">
        <v>38</v>
      </c>
      <c r="Y584" s="483">
        <f t="shared" si="90"/>
        <v>1040</v>
      </c>
      <c r="Z584" s="1898">
        <f>S584*V584</f>
        <v>1040000</v>
      </c>
      <c r="AA584" s="427"/>
      <c r="AB584" s="427"/>
      <c r="AC584" s="192"/>
    </row>
    <row r="585" spans="1:29" s="294" customFormat="1" ht="18.95" customHeight="1">
      <c r="A585" s="540"/>
      <c r="B585" s="541"/>
      <c r="C585" s="542"/>
      <c r="D585" s="548"/>
      <c r="E585" s="2023" t="s">
        <v>928</v>
      </c>
      <c r="F585" s="526">
        <f>Y585</f>
        <v>3600</v>
      </c>
      <c r="G585" s="2326">
        <v>3600</v>
      </c>
      <c r="H585" s="551"/>
      <c r="I585" s="543"/>
      <c r="J585" s="2105" t="s">
        <v>960</v>
      </c>
      <c r="K585" s="2106"/>
      <c r="L585" s="2082"/>
      <c r="M585" s="2082"/>
      <c r="N585" s="2082"/>
      <c r="O585" s="556">
        <v>10</v>
      </c>
      <c r="P585" s="2092" t="s">
        <v>31</v>
      </c>
      <c r="Q585" s="556">
        <v>1</v>
      </c>
      <c r="R585" s="2092" t="s">
        <v>142</v>
      </c>
      <c r="S585" s="474">
        <v>30000</v>
      </c>
      <c r="T585" s="2106" t="s">
        <v>0</v>
      </c>
      <c r="U585" s="2106"/>
      <c r="V585" s="2106">
        <v>12</v>
      </c>
      <c r="W585" s="2106" t="s">
        <v>830</v>
      </c>
      <c r="X585" s="2106" t="s">
        <v>38</v>
      </c>
      <c r="Y585" s="483">
        <f t="shared" si="90"/>
        <v>3600</v>
      </c>
      <c r="Z585" s="1898">
        <f>O585*Q585*S585*V585</f>
        <v>3600000</v>
      </c>
      <c r="AA585" s="427"/>
      <c r="AB585" s="427"/>
      <c r="AC585" s="192"/>
    </row>
    <row r="586" spans="1:29" s="294" customFormat="1" ht="18.95" customHeight="1">
      <c r="A586" s="562"/>
      <c r="B586" s="563"/>
      <c r="C586" s="2352"/>
      <c r="D586" s="2013"/>
      <c r="E586" s="532" t="s">
        <v>931</v>
      </c>
      <c r="F586" s="526">
        <f>Y586</f>
        <v>5000</v>
      </c>
      <c r="G586" s="1918">
        <v>5000</v>
      </c>
      <c r="H586" s="551"/>
      <c r="I586" s="543"/>
      <c r="J586" s="2105" t="s">
        <v>768</v>
      </c>
      <c r="K586" s="2082"/>
      <c r="L586" s="2082"/>
      <c r="M586" s="2082"/>
      <c r="N586" s="2082"/>
      <c r="O586" s="2082"/>
      <c r="P586" s="2082"/>
      <c r="Q586" s="556"/>
      <c r="R586" s="2092"/>
      <c r="S586" s="474"/>
      <c r="T586" s="2106"/>
      <c r="U586" s="2106"/>
      <c r="V586" s="2106"/>
      <c r="W586" s="2106"/>
      <c r="X586" s="2106"/>
      <c r="Y586" s="483">
        <f t="shared" si="90"/>
        <v>5000</v>
      </c>
      <c r="Z586" s="1898">
        <f>+Z587+Z588</f>
        <v>5000000</v>
      </c>
      <c r="AA586" s="427"/>
      <c r="AB586" s="427"/>
      <c r="AC586" s="192"/>
    </row>
    <row r="587" spans="1:29" s="294" customFormat="1" ht="18.95" customHeight="1">
      <c r="A587" s="562"/>
      <c r="B587" s="563"/>
      <c r="C587" s="1911"/>
      <c r="D587" s="2013"/>
      <c r="E587" s="2023"/>
      <c r="F587" s="526"/>
      <c r="G587" s="1918"/>
      <c r="H587" s="551"/>
      <c r="I587" s="543"/>
      <c r="J587" s="2105" t="s">
        <v>958</v>
      </c>
      <c r="K587" s="2082"/>
      <c r="L587" s="2082"/>
      <c r="M587" s="2082"/>
      <c r="N587" s="2082"/>
      <c r="O587" s="2082"/>
      <c r="P587" s="2082"/>
      <c r="Q587" s="556">
        <v>5</v>
      </c>
      <c r="R587" s="2092" t="s">
        <v>142</v>
      </c>
      <c r="S587" s="474">
        <v>200000</v>
      </c>
      <c r="T587" s="2106" t="s">
        <v>0</v>
      </c>
      <c r="U587" s="2106"/>
      <c r="V587" s="2106">
        <v>2</v>
      </c>
      <c r="W587" s="2106" t="s">
        <v>39</v>
      </c>
      <c r="X587" s="2106" t="s">
        <v>38</v>
      </c>
      <c r="Y587" s="483">
        <f t="shared" si="90"/>
        <v>2000</v>
      </c>
      <c r="Z587" s="1898">
        <f>Q587*S587*V587</f>
        <v>2000000</v>
      </c>
      <c r="AA587" s="427"/>
      <c r="AB587" s="427"/>
      <c r="AC587" s="192"/>
    </row>
    <row r="588" spans="1:29" s="294" customFormat="1" ht="18.95" customHeight="1">
      <c r="A588" s="562"/>
      <c r="B588" s="563"/>
      <c r="C588" s="1911"/>
      <c r="D588" s="2013"/>
      <c r="E588" s="2023"/>
      <c r="F588" s="526"/>
      <c r="G588" s="1918"/>
      <c r="H588" s="551"/>
      <c r="I588" s="543"/>
      <c r="J588" s="2105" t="s">
        <v>959</v>
      </c>
      <c r="K588" s="2082"/>
      <c r="L588" s="2082"/>
      <c r="M588" s="2082"/>
      <c r="N588" s="2082"/>
      <c r="O588" s="2082"/>
      <c r="P588" s="2082"/>
      <c r="Q588" s="556">
        <v>5</v>
      </c>
      <c r="R588" s="2092" t="s">
        <v>142</v>
      </c>
      <c r="S588" s="474">
        <v>200000</v>
      </c>
      <c r="T588" s="2106" t="s">
        <v>0</v>
      </c>
      <c r="U588" s="2106"/>
      <c r="V588" s="2106">
        <v>3</v>
      </c>
      <c r="W588" s="2106" t="s">
        <v>39</v>
      </c>
      <c r="X588" s="2106" t="s">
        <v>38</v>
      </c>
      <c r="Y588" s="483">
        <f t="shared" si="90"/>
        <v>3000</v>
      </c>
      <c r="Z588" s="1898">
        <f>Q588*S588*V588</f>
        <v>3000000</v>
      </c>
      <c r="AA588" s="427"/>
      <c r="AB588" s="427"/>
      <c r="AC588" s="192"/>
    </row>
    <row r="589" spans="1:29" s="294" customFormat="1" ht="18.95" customHeight="1">
      <c r="A589" s="562"/>
      <c r="B589" s="563"/>
      <c r="C589" s="2352"/>
      <c r="D589" s="2013"/>
      <c r="E589" s="532" t="s">
        <v>728</v>
      </c>
      <c r="F589" s="526">
        <f>Y589</f>
        <v>60000</v>
      </c>
      <c r="G589" s="1918">
        <v>60000</v>
      </c>
      <c r="H589" s="551"/>
      <c r="I589" s="543"/>
      <c r="J589" s="2105" t="s">
        <v>963</v>
      </c>
      <c r="K589" s="2082"/>
      <c r="L589" s="2082"/>
      <c r="M589" s="2082"/>
      <c r="N589" s="2082"/>
      <c r="O589" s="2082"/>
      <c r="P589" s="2082"/>
      <c r="Q589" s="556"/>
      <c r="R589" s="2092"/>
      <c r="S589" s="474">
        <v>20000000</v>
      </c>
      <c r="T589" s="2106" t="s">
        <v>0</v>
      </c>
      <c r="U589" s="2106"/>
      <c r="V589" s="2106">
        <v>3</v>
      </c>
      <c r="W589" s="2106" t="s">
        <v>51</v>
      </c>
      <c r="X589" s="2106" t="s">
        <v>38</v>
      </c>
      <c r="Y589" s="483">
        <f t="shared" si="90"/>
        <v>60000</v>
      </c>
      <c r="Z589" s="1898">
        <f>S589*V589</f>
        <v>60000000</v>
      </c>
      <c r="AA589" s="427"/>
      <c r="AB589" s="427"/>
      <c r="AC589" s="192"/>
    </row>
    <row r="590" spans="1:29" s="294" customFormat="1" ht="18.95" customHeight="1">
      <c r="A590" s="540"/>
      <c r="B590" s="541"/>
      <c r="C590" s="542"/>
      <c r="D590" s="548"/>
      <c r="E590" s="2023" t="s">
        <v>952</v>
      </c>
      <c r="F590" s="526">
        <f>Y590</f>
        <v>200</v>
      </c>
      <c r="G590" s="2326">
        <v>200</v>
      </c>
      <c r="H590" s="551"/>
      <c r="I590" s="543"/>
      <c r="J590" s="2105" t="s">
        <v>953</v>
      </c>
      <c r="K590" s="2106"/>
      <c r="L590" s="2082"/>
      <c r="M590" s="2082"/>
      <c r="N590" s="2082"/>
      <c r="O590" s="2082"/>
      <c r="P590" s="2082"/>
      <c r="Q590" s="556"/>
      <c r="R590" s="2106"/>
      <c r="S590" s="474">
        <v>100000</v>
      </c>
      <c r="T590" s="2106" t="s">
        <v>0</v>
      </c>
      <c r="U590" s="2106"/>
      <c r="V590" s="2106">
        <v>2</v>
      </c>
      <c r="W590" s="2106" t="s">
        <v>39</v>
      </c>
      <c r="X590" s="2106" t="s">
        <v>38</v>
      </c>
      <c r="Y590" s="483">
        <f t="shared" si="90"/>
        <v>200</v>
      </c>
      <c r="Z590" s="1898">
        <f>S590*V590</f>
        <v>200000</v>
      </c>
      <c r="AA590" s="427"/>
      <c r="AB590" s="427"/>
      <c r="AC590" s="192"/>
    </row>
    <row r="591" spans="1:29" s="294" customFormat="1" ht="18.95" customHeight="1">
      <c r="A591" s="540"/>
      <c r="B591" s="541"/>
      <c r="C591" s="542"/>
      <c r="D591" s="548"/>
      <c r="E591" s="2023" t="s">
        <v>942</v>
      </c>
      <c r="F591" s="526">
        <f>Y591</f>
        <v>2000</v>
      </c>
      <c r="G591" s="2326">
        <v>2000</v>
      </c>
      <c r="H591" s="551"/>
      <c r="I591" s="543"/>
      <c r="J591" s="2105" t="s">
        <v>965</v>
      </c>
      <c r="K591" s="2106"/>
      <c r="L591" s="2082"/>
      <c r="M591" s="2082"/>
      <c r="N591" s="2082"/>
      <c r="O591" s="2082"/>
      <c r="P591" s="2082"/>
      <c r="Q591" s="556">
        <v>10</v>
      </c>
      <c r="R591" s="2092" t="s">
        <v>142</v>
      </c>
      <c r="S591" s="474">
        <v>20000</v>
      </c>
      <c r="T591" s="2106" t="s">
        <v>0</v>
      </c>
      <c r="U591" s="2106"/>
      <c r="V591" s="2106">
        <v>10</v>
      </c>
      <c r="W591" s="2106" t="s">
        <v>39</v>
      </c>
      <c r="X591" s="2106" t="s">
        <v>38</v>
      </c>
      <c r="Y591" s="483">
        <f t="shared" si="90"/>
        <v>2000</v>
      </c>
      <c r="Z591" s="1898">
        <f>Q591*S591*V591</f>
        <v>2000000</v>
      </c>
      <c r="AA591" s="427"/>
      <c r="AB591" s="427"/>
      <c r="AC591" s="192"/>
    </row>
    <row r="592" spans="1:29" ht="21.95" customHeight="1">
      <c r="A592" s="540"/>
      <c r="B592" s="541"/>
      <c r="C592" s="542"/>
      <c r="D592" s="3837" t="s">
        <v>966</v>
      </c>
      <c r="E592" s="3838"/>
      <c r="F592" s="525">
        <f>SUM(F593:F600)</f>
        <v>50000</v>
      </c>
      <c r="G592" s="525">
        <f>SUM(G593:G600)</f>
        <v>50000</v>
      </c>
      <c r="H592" s="627">
        <f>F592-G592</f>
        <v>0</v>
      </c>
      <c r="I592" s="543"/>
      <c r="J592" s="538"/>
      <c r="K592" s="2068"/>
      <c r="L592" s="2068"/>
      <c r="M592" s="2068"/>
      <c r="N592" s="2068"/>
      <c r="O592" s="2068"/>
      <c r="P592" s="2068"/>
      <c r="Q592" s="2068"/>
      <c r="R592" s="539"/>
      <c r="S592" s="2068"/>
      <c r="T592" s="2068"/>
      <c r="U592" s="2068"/>
      <c r="V592" s="2068"/>
      <c r="W592" s="2068"/>
      <c r="X592" s="2068"/>
      <c r="Y592" s="600"/>
      <c r="Z592" s="3474" t="e">
        <f>+#REF!+#REF!+Z597+Z593+Z594+#REF!+#REF!</f>
        <v>#REF!</v>
      </c>
      <c r="AA592" s="427"/>
      <c r="AB592" s="427"/>
      <c r="AC592" s="192"/>
    </row>
    <row r="593" spans="1:29" ht="21.95" customHeight="1">
      <c r="A593" s="540"/>
      <c r="B593" s="541"/>
      <c r="C593" s="542"/>
      <c r="D593" s="548"/>
      <c r="E593" s="677" t="s">
        <v>264</v>
      </c>
      <c r="F593" s="2125">
        <f>Y593</f>
        <v>700</v>
      </c>
      <c r="G593" s="2326">
        <v>700</v>
      </c>
      <c r="H593" s="551"/>
      <c r="I593" s="543"/>
      <c r="J593" s="3240" t="s">
        <v>4444</v>
      </c>
      <c r="K593" s="3236"/>
      <c r="L593" s="3236"/>
      <c r="M593" s="3236"/>
      <c r="N593" s="3236"/>
      <c r="O593" s="556"/>
      <c r="P593" s="3225"/>
      <c r="Q593" s="556" t="s">
        <v>20</v>
      </c>
      <c r="R593" s="3225" t="s">
        <v>20</v>
      </c>
      <c r="S593" s="3108">
        <v>700000</v>
      </c>
      <c r="T593" s="3241" t="s">
        <v>0</v>
      </c>
      <c r="U593" s="3241"/>
      <c r="V593" s="3241">
        <v>1</v>
      </c>
      <c r="W593" s="3241" t="s">
        <v>4433</v>
      </c>
      <c r="X593" s="3241" t="s">
        <v>4443</v>
      </c>
      <c r="Y593" s="3110">
        <f t="shared" ref="Y593:Y600" si="91">(Z593)/1000</f>
        <v>700</v>
      </c>
      <c r="Z593" s="1898">
        <f>S593*V593</f>
        <v>700000</v>
      </c>
      <c r="AA593" s="427"/>
      <c r="AB593" s="427"/>
      <c r="AC593" s="192"/>
    </row>
    <row r="594" spans="1:29" ht="21.95" customHeight="1">
      <c r="A594" s="540"/>
      <c r="B594" s="541"/>
      <c r="C594" s="542"/>
      <c r="D594" s="548"/>
      <c r="E594" s="677" t="s">
        <v>225</v>
      </c>
      <c r="F594" s="2125">
        <f>Y594</f>
        <v>2100</v>
      </c>
      <c r="G594" s="2326">
        <v>2100</v>
      </c>
      <c r="H594" s="551"/>
      <c r="I594" s="543"/>
      <c r="J594" s="3240" t="s">
        <v>4445</v>
      </c>
      <c r="K594" s="3241"/>
      <c r="L594" s="3236"/>
      <c r="M594" s="3236"/>
      <c r="N594" s="3236"/>
      <c r="O594" s="556">
        <v>5</v>
      </c>
      <c r="P594" s="3225" t="s">
        <v>31</v>
      </c>
      <c r="Q594" s="556">
        <v>2</v>
      </c>
      <c r="R594" s="3225" t="s">
        <v>142</v>
      </c>
      <c r="S594" s="3108">
        <v>30000</v>
      </c>
      <c r="T594" s="3241" t="s">
        <v>0</v>
      </c>
      <c r="U594" s="3241"/>
      <c r="V594" s="3241">
        <v>7</v>
      </c>
      <c r="W594" s="3241" t="s">
        <v>4446</v>
      </c>
      <c r="X594" s="3241" t="s">
        <v>4443</v>
      </c>
      <c r="Y594" s="3110">
        <f t="shared" si="91"/>
        <v>2100</v>
      </c>
      <c r="Z594" s="1898">
        <f>O594*Q594*S594*V594</f>
        <v>2100000</v>
      </c>
      <c r="AA594" s="427"/>
      <c r="AB594" s="427"/>
      <c r="AC594" s="192"/>
    </row>
    <row r="595" spans="1:29" ht="21.95" customHeight="1">
      <c r="A595" s="540"/>
      <c r="B595" s="3153"/>
      <c r="C595" s="542"/>
      <c r="D595" s="548"/>
      <c r="E595" s="677" t="s">
        <v>380</v>
      </c>
      <c r="F595" s="2125">
        <f>Y595</f>
        <v>4400</v>
      </c>
      <c r="G595" s="1918">
        <v>4400</v>
      </c>
      <c r="H595" s="551"/>
      <c r="I595" s="543"/>
      <c r="J595" s="3240" t="s">
        <v>4432</v>
      </c>
      <c r="K595" s="3236"/>
      <c r="L595" s="3236"/>
      <c r="M595" s="3236"/>
      <c r="N595" s="3236"/>
      <c r="O595" s="3236"/>
      <c r="P595" s="3236"/>
      <c r="Q595" s="556"/>
      <c r="R595" s="3225"/>
      <c r="S595" s="3108"/>
      <c r="T595" s="3241"/>
      <c r="U595" s="3241"/>
      <c r="V595" s="3241"/>
      <c r="W595" s="3241"/>
      <c r="X595" s="3241"/>
      <c r="Y595" s="3110">
        <f t="shared" si="91"/>
        <v>4400</v>
      </c>
      <c r="Z595" s="1898">
        <f>+Z596+Z597</f>
        <v>4400000</v>
      </c>
      <c r="AA595" s="427"/>
      <c r="AB595" s="427"/>
      <c r="AC595" s="192"/>
    </row>
    <row r="596" spans="1:29" ht="21.95" customHeight="1">
      <c r="A596" s="540"/>
      <c r="B596" s="3153"/>
      <c r="C596" s="542"/>
      <c r="D596" s="548"/>
      <c r="E596" s="677"/>
      <c r="F596" s="2125"/>
      <c r="G596" s="1918"/>
      <c r="H596" s="551"/>
      <c r="I596" s="543"/>
      <c r="J596" s="3240" t="s">
        <v>4447</v>
      </c>
      <c r="K596" s="3236"/>
      <c r="L596" s="3236"/>
      <c r="M596" s="3236"/>
      <c r="N596" s="3236"/>
      <c r="O596" s="3236"/>
      <c r="P596" s="3236"/>
      <c r="Q596" s="556">
        <v>5</v>
      </c>
      <c r="R596" s="3225" t="s">
        <v>142</v>
      </c>
      <c r="S596" s="3108">
        <v>200000</v>
      </c>
      <c r="T596" s="3241" t="s">
        <v>0</v>
      </c>
      <c r="U596" s="3241"/>
      <c r="V596" s="3241">
        <v>2</v>
      </c>
      <c r="W596" s="3241" t="s">
        <v>4431</v>
      </c>
      <c r="X596" s="3241" t="s">
        <v>4443</v>
      </c>
      <c r="Y596" s="3110">
        <f t="shared" si="91"/>
        <v>2000</v>
      </c>
      <c r="Z596" s="1898">
        <f>Q596*S596*V596</f>
        <v>2000000</v>
      </c>
      <c r="AA596" s="427"/>
      <c r="AB596" s="427"/>
      <c r="AC596" s="192"/>
    </row>
    <row r="597" spans="1:29" s="294" customFormat="1" ht="21.95" customHeight="1">
      <c r="A597" s="562"/>
      <c r="B597" s="563"/>
      <c r="C597" s="2352"/>
      <c r="D597" s="2013"/>
      <c r="E597" s="677"/>
      <c r="F597" s="2125"/>
      <c r="G597" s="1918"/>
      <c r="H597" s="551"/>
      <c r="I597" s="543"/>
      <c r="J597" s="3240" t="s">
        <v>4448</v>
      </c>
      <c r="K597" s="3236"/>
      <c r="L597" s="3236"/>
      <c r="M597" s="3236"/>
      <c r="N597" s="3236"/>
      <c r="O597" s="3236"/>
      <c r="P597" s="3236"/>
      <c r="Q597" s="556">
        <v>4</v>
      </c>
      <c r="R597" s="3225" t="s">
        <v>142</v>
      </c>
      <c r="S597" s="3108">
        <v>200000</v>
      </c>
      <c r="T597" s="3241" t="s">
        <v>0</v>
      </c>
      <c r="U597" s="3241"/>
      <c r="V597" s="3241">
        <v>3</v>
      </c>
      <c r="W597" s="3241" t="s">
        <v>4431</v>
      </c>
      <c r="X597" s="3241" t="s">
        <v>4443</v>
      </c>
      <c r="Y597" s="3110">
        <f t="shared" si="91"/>
        <v>2400</v>
      </c>
      <c r="Z597" s="1898">
        <f>Q597*S597*V597</f>
        <v>2400000</v>
      </c>
      <c r="AA597" s="427"/>
      <c r="AB597" s="427"/>
      <c r="AC597" s="192"/>
    </row>
    <row r="598" spans="1:29" s="294" customFormat="1" ht="21.95" customHeight="1">
      <c r="A598" s="562"/>
      <c r="B598" s="563"/>
      <c r="C598" s="1911"/>
      <c r="D598" s="2013"/>
      <c r="E598" s="1534" t="s">
        <v>261</v>
      </c>
      <c r="F598" s="2125">
        <f>Y598</f>
        <v>40000</v>
      </c>
      <c r="G598" s="1918">
        <v>40000</v>
      </c>
      <c r="H598" s="551"/>
      <c r="I598" s="543"/>
      <c r="J598" s="3240" t="s">
        <v>4449</v>
      </c>
      <c r="K598" s="3236"/>
      <c r="L598" s="3236"/>
      <c r="M598" s="3236"/>
      <c r="N598" s="3236"/>
      <c r="O598" s="3236"/>
      <c r="P598" s="3236"/>
      <c r="Q598" s="556"/>
      <c r="R598" s="3225"/>
      <c r="S598" s="3108">
        <v>40000000</v>
      </c>
      <c r="T598" s="3241" t="s">
        <v>0</v>
      </c>
      <c r="U598" s="3241"/>
      <c r="V598" s="3241">
        <v>1</v>
      </c>
      <c r="W598" s="3241" t="s">
        <v>4430</v>
      </c>
      <c r="X598" s="3241" t="s">
        <v>4443</v>
      </c>
      <c r="Y598" s="3110">
        <f t="shared" si="91"/>
        <v>40000</v>
      </c>
      <c r="Z598" s="1898">
        <f>S598*V598</f>
        <v>40000000</v>
      </c>
      <c r="AA598" s="427"/>
      <c r="AB598" s="427"/>
      <c r="AC598" s="192"/>
    </row>
    <row r="599" spans="1:29" s="294" customFormat="1" ht="21.95" customHeight="1">
      <c r="A599" s="562"/>
      <c r="B599" s="563"/>
      <c r="C599" s="1911"/>
      <c r="D599" s="2013"/>
      <c r="E599" s="677" t="s">
        <v>952</v>
      </c>
      <c r="F599" s="2125">
        <f>Y599</f>
        <v>800</v>
      </c>
      <c r="G599" s="2326">
        <v>800</v>
      </c>
      <c r="H599" s="551"/>
      <c r="I599" s="543"/>
      <c r="J599" s="3240" t="s">
        <v>4450</v>
      </c>
      <c r="K599" s="3241"/>
      <c r="L599" s="3236"/>
      <c r="M599" s="3236"/>
      <c r="N599" s="3236"/>
      <c r="O599" s="3236"/>
      <c r="P599" s="3236"/>
      <c r="Q599" s="556"/>
      <c r="R599" s="3241"/>
      <c r="S599" s="3108">
        <v>200000</v>
      </c>
      <c r="T599" s="3241" t="s">
        <v>0</v>
      </c>
      <c r="U599" s="3241"/>
      <c r="V599" s="3241">
        <v>4</v>
      </c>
      <c r="W599" s="3241" t="s">
        <v>4431</v>
      </c>
      <c r="X599" s="3241" t="s">
        <v>4443</v>
      </c>
      <c r="Y599" s="3110">
        <f t="shared" si="91"/>
        <v>800</v>
      </c>
      <c r="Z599" s="1898">
        <f>S599*V599</f>
        <v>800000</v>
      </c>
      <c r="AA599" s="427"/>
      <c r="AB599" s="427"/>
      <c r="AC599" s="192"/>
    </row>
    <row r="600" spans="1:29" s="3105" customFormat="1" ht="21.95" customHeight="1">
      <c r="A600" s="562"/>
      <c r="B600" s="563"/>
      <c r="C600" s="2352"/>
      <c r="D600" s="2013"/>
      <c r="E600" s="677" t="s">
        <v>384</v>
      </c>
      <c r="F600" s="2125">
        <f>Y600</f>
        <v>2000</v>
      </c>
      <c r="G600" s="2326">
        <v>2000</v>
      </c>
      <c r="H600" s="551"/>
      <c r="I600" s="543"/>
      <c r="J600" s="3240" t="s">
        <v>4451</v>
      </c>
      <c r="K600" s="3241"/>
      <c r="L600" s="3236"/>
      <c r="M600" s="3236"/>
      <c r="N600" s="3236"/>
      <c r="O600" s="3236"/>
      <c r="P600" s="3236"/>
      <c r="Q600" s="556">
        <v>10</v>
      </c>
      <c r="R600" s="3225" t="s">
        <v>142</v>
      </c>
      <c r="S600" s="3108">
        <v>20000</v>
      </c>
      <c r="T600" s="3241" t="s">
        <v>0</v>
      </c>
      <c r="U600" s="3241"/>
      <c r="V600" s="3241">
        <v>10</v>
      </c>
      <c r="W600" s="3241" t="s">
        <v>4431</v>
      </c>
      <c r="X600" s="3241" t="s">
        <v>4443</v>
      </c>
      <c r="Y600" s="3110">
        <f t="shared" si="91"/>
        <v>2000</v>
      </c>
      <c r="Z600" s="1898">
        <f>Q600*S600*V600</f>
        <v>2000000</v>
      </c>
      <c r="AA600" s="427"/>
      <c r="AB600" s="427"/>
      <c r="AC600" s="192"/>
    </row>
    <row r="601" spans="1:29" ht="21.95" customHeight="1">
      <c r="A601" s="540"/>
      <c r="B601" s="541"/>
      <c r="C601" s="542"/>
      <c r="D601" s="3938" t="s">
        <v>6123</v>
      </c>
      <c r="E601" s="3838"/>
      <c r="F601" s="525">
        <f>SUM(F602:F608)</f>
        <v>100000</v>
      </c>
      <c r="G601" s="525">
        <f>SUM(G602:G608)</f>
        <v>100000</v>
      </c>
      <c r="H601" s="1320">
        <f t="shared" ref="H601" si="92">F601-G601</f>
        <v>0</v>
      </c>
      <c r="I601" s="543"/>
      <c r="J601" s="538"/>
      <c r="K601" s="2068"/>
      <c r="L601" s="2068"/>
      <c r="M601" s="2068"/>
      <c r="N601" s="2068"/>
      <c r="O601" s="2068"/>
      <c r="P601" s="2068"/>
      <c r="Q601" s="2068"/>
      <c r="R601" s="539"/>
      <c r="S601" s="2068"/>
      <c r="T601" s="2068"/>
      <c r="U601" s="2068"/>
      <c r="V601" s="2068"/>
      <c r="W601" s="2068"/>
      <c r="X601" s="2068"/>
      <c r="Y601" s="600"/>
      <c r="Z601" s="3474" t="e">
        <f>+#REF!+Z602+Z603+#REF!+Z608+Z604+Z605+#REF!+Z609</f>
        <v>#REF!</v>
      </c>
      <c r="AA601" s="427"/>
      <c r="AB601" s="427"/>
      <c r="AC601" s="192"/>
    </row>
    <row r="602" spans="1:29" ht="21.95" customHeight="1">
      <c r="A602" s="540"/>
      <c r="B602" s="541"/>
      <c r="C602" s="542"/>
      <c r="D602" s="2295"/>
      <c r="E602" s="2023" t="s">
        <v>261</v>
      </c>
      <c r="F602" s="526">
        <f t="shared" ref="F602:F608" si="93">Y602</f>
        <v>50000</v>
      </c>
      <c r="G602" s="526">
        <v>50000</v>
      </c>
      <c r="H602" s="1320"/>
      <c r="I602" s="557"/>
      <c r="J602" s="2105" t="s">
        <v>2568</v>
      </c>
      <c r="K602" s="2082"/>
      <c r="L602" s="2082"/>
      <c r="M602" s="2082"/>
      <c r="N602" s="2082"/>
      <c r="O602" s="2082"/>
      <c r="P602" s="2082"/>
      <c r="Q602" s="556">
        <v>1</v>
      </c>
      <c r="R602" s="2092" t="s">
        <v>695</v>
      </c>
      <c r="S602" s="474">
        <v>50000000</v>
      </c>
      <c r="T602" s="2106" t="s">
        <v>0</v>
      </c>
      <c r="U602" s="2106"/>
      <c r="V602" s="2106">
        <v>1</v>
      </c>
      <c r="W602" s="2106" t="s">
        <v>901</v>
      </c>
      <c r="X602" s="2106" t="s">
        <v>38</v>
      </c>
      <c r="Y602" s="483">
        <f t="shared" ref="Y602:Y608" si="94">(Z602)/1000</f>
        <v>50000</v>
      </c>
      <c r="Z602" s="1898">
        <f>Q602*S602*V602</f>
        <v>50000000</v>
      </c>
      <c r="AA602" s="427"/>
      <c r="AB602" s="427"/>
      <c r="AC602" s="192"/>
    </row>
    <row r="603" spans="1:29" ht="21.95" customHeight="1">
      <c r="A603" s="540"/>
      <c r="B603" s="541"/>
      <c r="C603" s="542"/>
      <c r="D603" s="548"/>
      <c r="E603" s="2023" t="s">
        <v>3908</v>
      </c>
      <c r="F603" s="526">
        <f t="shared" si="93"/>
        <v>40000</v>
      </c>
      <c r="G603" s="526">
        <v>40000</v>
      </c>
      <c r="H603" s="551"/>
      <c r="I603" s="2082"/>
      <c r="J603" s="2105" t="s">
        <v>2569</v>
      </c>
      <c r="K603" s="2106"/>
      <c r="L603" s="2082"/>
      <c r="M603" s="2082"/>
      <c r="N603" s="2082"/>
      <c r="O603" s="2082"/>
      <c r="P603" s="2082"/>
      <c r="Q603" s="556">
        <v>1</v>
      </c>
      <c r="R603" s="2092" t="s">
        <v>695</v>
      </c>
      <c r="S603" s="474">
        <v>40000000</v>
      </c>
      <c r="T603" s="2106" t="s">
        <v>37</v>
      </c>
      <c r="U603" s="2106"/>
      <c r="V603" s="2106">
        <v>1</v>
      </c>
      <c r="W603" s="2106" t="s">
        <v>763</v>
      </c>
      <c r="X603" s="2106" t="s">
        <v>38</v>
      </c>
      <c r="Y603" s="483">
        <f t="shared" si="94"/>
        <v>40000</v>
      </c>
      <c r="Z603" s="1898">
        <f>S603*V603</f>
        <v>40000000</v>
      </c>
      <c r="AA603" s="427"/>
      <c r="AB603" s="427"/>
      <c r="AC603" s="192"/>
    </row>
    <row r="604" spans="1:29" ht="21.95" customHeight="1">
      <c r="A604" s="540"/>
      <c r="B604" s="541"/>
      <c r="C604" s="542"/>
      <c r="D604" s="548"/>
      <c r="E604" s="2023" t="s">
        <v>3909</v>
      </c>
      <c r="F604" s="526">
        <f t="shared" si="93"/>
        <v>960</v>
      </c>
      <c r="G604" s="526">
        <v>960</v>
      </c>
      <c r="H604" s="551"/>
      <c r="I604" s="557"/>
      <c r="J604" s="2105" t="s">
        <v>960</v>
      </c>
      <c r="K604" s="2082"/>
      <c r="L604" s="2082"/>
      <c r="M604" s="2082"/>
      <c r="N604" s="2082"/>
      <c r="O604" s="556"/>
      <c r="P604" s="2092"/>
      <c r="Q604" s="556">
        <v>4</v>
      </c>
      <c r="R604" s="2092" t="s">
        <v>1928</v>
      </c>
      <c r="S604" s="474">
        <v>30000</v>
      </c>
      <c r="T604" s="2106" t="s">
        <v>37</v>
      </c>
      <c r="U604" s="2106"/>
      <c r="V604" s="2106">
        <v>8</v>
      </c>
      <c r="W604" s="2106" t="s">
        <v>830</v>
      </c>
      <c r="X604" s="2106" t="s">
        <v>38</v>
      </c>
      <c r="Y604" s="483">
        <f t="shared" si="94"/>
        <v>960</v>
      </c>
      <c r="Z604" s="1898">
        <f t="shared" ref="Z604:Z608" si="95">Q604*S604*V604</f>
        <v>960000</v>
      </c>
      <c r="AA604" s="427"/>
      <c r="AB604" s="427"/>
      <c r="AC604" s="192"/>
    </row>
    <row r="605" spans="1:29" s="294" customFormat="1" ht="21.95" customHeight="1">
      <c r="A605" s="540"/>
      <c r="B605" s="541"/>
      <c r="C605" s="542"/>
      <c r="D605" s="548"/>
      <c r="E605" s="2023" t="s">
        <v>3910</v>
      </c>
      <c r="F605" s="526">
        <f t="shared" si="93"/>
        <v>5000</v>
      </c>
      <c r="G605" s="633">
        <v>5000</v>
      </c>
      <c r="H605" s="551"/>
      <c r="I605" s="557"/>
      <c r="J605" s="2105" t="s">
        <v>2570</v>
      </c>
      <c r="K605" s="2082"/>
      <c r="L605" s="2082"/>
      <c r="M605" s="2082"/>
      <c r="N605" s="2082"/>
      <c r="O605" s="556"/>
      <c r="P605" s="2092"/>
      <c r="Q605" s="556">
        <v>5</v>
      </c>
      <c r="R605" s="2092" t="s">
        <v>873</v>
      </c>
      <c r="S605" s="474">
        <v>200000</v>
      </c>
      <c r="T605" s="2106" t="s">
        <v>0</v>
      </c>
      <c r="U605" s="2106"/>
      <c r="V605" s="2106">
        <v>5</v>
      </c>
      <c r="W605" s="2106" t="s">
        <v>39</v>
      </c>
      <c r="X605" s="2106" t="s">
        <v>38</v>
      </c>
      <c r="Y605" s="483">
        <f t="shared" si="94"/>
        <v>5000</v>
      </c>
      <c r="Z605" s="1898">
        <f t="shared" si="95"/>
        <v>5000000</v>
      </c>
      <c r="AA605" s="427"/>
      <c r="AB605" s="427"/>
      <c r="AC605" s="192"/>
    </row>
    <row r="606" spans="1:29" s="1920" customFormat="1" ht="21.95" customHeight="1">
      <c r="A606" s="562"/>
      <c r="B606" s="563"/>
      <c r="C606" s="1911"/>
      <c r="D606" s="692"/>
      <c r="E606" s="2023" t="s">
        <v>3911</v>
      </c>
      <c r="F606" s="526">
        <f t="shared" si="93"/>
        <v>400</v>
      </c>
      <c r="G606" s="633">
        <v>400</v>
      </c>
      <c r="H606" s="551"/>
      <c r="I606" s="2359"/>
      <c r="J606" s="681" t="s">
        <v>2571</v>
      </c>
      <c r="K606" s="682"/>
      <c r="L606" s="682"/>
      <c r="M606" s="682"/>
      <c r="N606" s="682"/>
      <c r="O606" s="682"/>
      <c r="P606" s="682"/>
      <c r="Q606" s="1038">
        <v>1</v>
      </c>
      <c r="R606" s="685" t="s">
        <v>695</v>
      </c>
      <c r="S606" s="868">
        <v>400000</v>
      </c>
      <c r="T606" s="684" t="s">
        <v>0</v>
      </c>
      <c r="U606" s="684"/>
      <c r="V606" s="684">
        <v>1</v>
      </c>
      <c r="W606" s="684" t="s">
        <v>763</v>
      </c>
      <c r="X606" s="684" t="s">
        <v>38</v>
      </c>
      <c r="Y606" s="871">
        <f t="shared" si="94"/>
        <v>400</v>
      </c>
      <c r="Z606" s="2233">
        <f t="shared" si="95"/>
        <v>400000</v>
      </c>
      <c r="AA606" s="427"/>
      <c r="AB606" s="427"/>
      <c r="AC606" s="192"/>
    </row>
    <row r="607" spans="1:29" s="294" customFormat="1" ht="21.95" customHeight="1">
      <c r="A607" s="540"/>
      <c r="B607" s="541"/>
      <c r="C607" s="542"/>
      <c r="D607" s="2050"/>
      <c r="E607" s="2023" t="s">
        <v>3912</v>
      </c>
      <c r="F607" s="526">
        <f t="shared" si="93"/>
        <v>1640</v>
      </c>
      <c r="G607" s="633">
        <v>1640</v>
      </c>
      <c r="H607" s="551"/>
      <c r="I607" s="557"/>
      <c r="J607" s="2105" t="s">
        <v>2572</v>
      </c>
      <c r="K607" s="2082" t="s">
        <v>2573</v>
      </c>
      <c r="L607" s="2082"/>
      <c r="M607" s="2082"/>
      <c r="N607" s="2082"/>
      <c r="O607" s="2082"/>
      <c r="P607" s="2082"/>
      <c r="Q607" s="556">
        <v>2</v>
      </c>
      <c r="R607" s="2092" t="s">
        <v>695</v>
      </c>
      <c r="S607" s="474">
        <v>820000</v>
      </c>
      <c r="T607" s="2106" t="s">
        <v>0</v>
      </c>
      <c r="U607" s="2106"/>
      <c r="V607" s="2106">
        <v>1</v>
      </c>
      <c r="W607" s="2106" t="s">
        <v>763</v>
      </c>
      <c r="X607" s="2106" t="s">
        <v>38</v>
      </c>
      <c r="Y607" s="483">
        <f t="shared" si="94"/>
        <v>1640</v>
      </c>
      <c r="Z607" s="1898">
        <f t="shared" si="95"/>
        <v>1640000</v>
      </c>
      <c r="AA607" s="427"/>
      <c r="AB607" s="427"/>
      <c r="AC607" s="192"/>
    </row>
    <row r="608" spans="1:29" s="1920" customFormat="1" ht="21.95" customHeight="1">
      <c r="A608" s="540"/>
      <c r="B608" s="541"/>
      <c r="C608" s="542"/>
      <c r="D608" s="2013"/>
      <c r="E608" s="2023" t="s">
        <v>3913</v>
      </c>
      <c r="F608" s="526">
        <f t="shared" si="93"/>
        <v>2000</v>
      </c>
      <c r="G608" s="633">
        <v>2000</v>
      </c>
      <c r="H608" s="551"/>
      <c r="I608" s="2082"/>
      <c r="J608" s="2105" t="s">
        <v>2574</v>
      </c>
      <c r="K608" s="2106"/>
      <c r="L608" s="2082"/>
      <c r="M608" s="2082"/>
      <c r="N608" s="475"/>
      <c r="O608" s="2082"/>
      <c r="P608" s="2082"/>
      <c r="Q608" s="556">
        <v>10</v>
      </c>
      <c r="R608" s="2092" t="s">
        <v>873</v>
      </c>
      <c r="S608" s="474">
        <v>20000</v>
      </c>
      <c r="T608" s="2106" t="s">
        <v>37</v>
      </c>
      <c r="U608" s="2106"/>
      <c r="V608" s="2106">
        <v>10</v>
      </c>
      <c r="W608" s="2106" t="s">
        <v>39</v>
      </c>
      <c r="X608" s="2092" t="s">
        <v>38</v>
      </c>
      <c r="Y608" s="483">
        <f t="shared" si="94"/>
        <v>2000</v>
      </c>
      <c r="Z608" s="1898">
        <f t="shared" si="95"/>
        <v>2000000</v>
      </c>
      <c r="AA608" s="427"/>
      <c r="AB608" s="427"/>
      <c r="AC608" s="192"/>
    </row>
    <row r="609" spans="1:29" s="1920" customFormat="1" ht="21.95" customHeight="1">
      <c r="A609" s="540"/>
      <c r="B609" s="541"/>
      <c r="C609" s="542"/>
      <c r="D609" s="3943" t="s">
        <v>351</v>
      </c>
      <c r="E609" s="3838"/>
      <c r="F609" s="525">
        <f>SUM(F610:F631)</f>
        <v>100000</v>
      </c>
      <c r="G609" s="525">
        <f>SUM(G610:G631)</f>
        <v>100000</v>
      </c>
      <c r="H609" s="627">
        <f>AB619</f>
        <v>0</v>
      </c>
      <c r="I609" s="543"/>
      <c r="J609" s="538"/>
      <c r="K609" s="2068"/>
      <c r="L609" s="2068"/>
      <c r="M609" s="2068"/>
      <c r="N609" s="2068"/>
      <c r="O609" s="2068"/>
      <c r="P609" s="2068"/>
      <c r="Q609" s="2068"/>
      <c r="R609" s="539"/>
      <c r="S609" s="2068"/>
      <c r="T609" s="2068"/>
      <c r="U609" s="2068"/>
      <c r="V609" s="2068"/>
      <c r="W609" s="2068"/>
      <c r="X609" s="585"/>
      <c r="Y609" s="600"/>
      <c r="Z609" s="3474" t="e">
        <f>+Z623+Z612+Z613+#REF!+Z615+Z614+Z627+#REF!</f>
        <v>#REF!</v>
      </c>
      <c r="AA609" s="427"/>
      <c r="AB609" s="427"/>
      <c r="AC609" s="192"/>
    </row>
    <row r="610" spans="1:29" ht="21.95" customHeight="1">
      <c r="A610" s="540"/>
      <c r="B610" s="541"/>
      <c r="C610" s="1910"/>
      <c r="D610" s="1592"/>
      <c r="E610" s="2507" t="s">
        <v>991</v>
      </c>
      <c r="F610" s="2381">
        <f>Y610</f>
        <v>60000</v>
      </c>
      <c r="G610" s="2381">
        <v>60000</v>
      </c>
      <c r="H610" s="949"/>
      <c r="I610" s="1984"/>
      <c r="J610" s="681" t="s">
        <v>3399</v>
      </c>
      <c r="K610" s="3016"/>
      <c r="L610" s="3016"/>
      <c r="M610" s="3016"/>
      <c r="N610" s="3016"/>
      <c r="O610" s="3016"/>
      <c r="P610" s="3016"/>
      <c r="Q610" s="1038"/>
      <c r="R610" s="3229"/>
      <c r="S610" s="3164">
        <v>20000000</v>
      </c>
      <c r="T610" s="684" t="s">
        <v>0</v>
      </c>
      <c r="U610" s="684"/>
      <c r="V610" s="684">
        <v>3</v>
      </c>
      <c r="W610" s="684" t="s">
        <v>51</v>
      </c>
      <c r="X610" s="686" t="s">
        <v>1</v>
      </c>
      <c r="Y610" s="871">
        <f t="shared" ref="Y610:Y631" si="96">Z610/1000</f>
        <v>60000</v>
      </c>
      <c r="Z610" s="2233">
        <f>S610*V610</f>
        <v>60000000</v>
      </c>
      <c r="AA610" s="427"/>
      <c r="AB610" s="427"/>
      <c r="AC610" s="192"/>
    </row>
    <row r="611" spans="1:29" ht="21.95" customHeight="1">
      <c r="A611" s="540"/>
      <c r="B611" s="541"/>
      <c r="C611" s="542"/>
      <c r="D611" s="1457"/>
      <c r="E611" s="1456" t="s">
        <v>255</v>
      </c>
      <c r="F611" s="2381">
        <f>Y611</f>
        <v>500</v>
      </c>
      <c r="G611" s="2381">
        <v>500</v>
      </c>
      <c r="H611" s="949"/>
      <c r="I611" s="1984"/>
      <c r="J611" s="681" t="s">
        <v>3400</v>
      </c>
      <c r="K611" s="3016"/>
      <c r="L611" s="3016"/>
      <c r="M611" s="3016"/>
      <c r="N611" s="3016"/>
      <c r="O611" s="3016"/>
      <c r="P611" s="3016"/>
      <c r="Q611" s="1038"/>
      <c r="R611" s="3229"/>
      <c r="S611" s="3164">
        <v>500000</v>
      </c>
      <c r="T611" s="684" t="s">
        <v>0</v>
      </c>
      <c r="U611" s="684"/>
      <c r="V611" s="684">
        <v>1</v>
      </c>
      <c r="W611" s="684" t="s">
        <v>39</v>
      </c>
      <c r="X611" s="686" t="s">
        <v>1</v>
      </c>
      <c r="Y611" s="871">
        <f t="shared" si="96"/>
        <v>500</v>
      </c>
      <c r="Z611" s="2233">
        <f>S611*V611</f>
        <v>500000</v>
      </c>
      <c r="AA611" s="427"/>
      <c r="AB611" s="427"/>
      <c r="AC611" s="192"/>
    </row>
    <row r="612" spans="1:29" ht="21.95" customHeight="1">
      <c r="A612" s="540"/>
      <c r="B612" s="541"/>
      <c r="C612" s="542"/>
      <c r="D612" s="624"/>
      <c r="E612" s="677" t="s">
        <v>57</v>
      </c>
      <c r="F612" s="2125">
        <f>Y612</f>
        <v>8100</v>
      </c>
      <c r="G612" s="3272">
        <v>8100</v>
      </c>
      <c r="H612" s="949"/>
      <c r="I612" s="1984"/>
      <c r="J612" s="681" t="s">
        <v>224</v>
      </c>
      <c r="K612" s="3016"/>
      <c r="L612" s="3016"/>
      <c r="M612" s="3016"/>
      <c r="N612" s="3016"/>
      <c r="O612" s="3016"/>
      <c r="P612" s="3016"/>
      <c r="Q612" s="1038"/>
      <c r="R612" s="3229"/>
      <c r="S612" s="3164"/>
      <c r="T612" s="684"/>
      <c r="U612" s="684"/>
      <c r="V612" s="684"/>
      <c r="W612" s="684"/>
      <c r="X612" s="686"/>
      <c r="Y612" s="871">
        <f t="shared" si="96"/>
        <v>8100</v>
      </c>
      <c r="Z612" s="2233">
        <f>SUM(Z613:Z616)</f>
        <v>8100000</v>
      </c>
      <c r="AA612" s="427"/>
      <c r="AB612" s="427"/>
      <c r="AC612" s="192"/>
    </row>
    <row r="613" spans="1:29" s="294" customFormat="1" ht="21.95" customHeight="1">
      <c r="A613" s="540"/>
      <c r="B613" s="541"/>
      <c r="C613" s="542"/>
      <c r="D613" s="2013"/>
      <c r="E613" s="677"/>
      <c r="F613" s="2125"/>
      <c r="G613" s="3272"/>
      <c r="H613" s="949"/>
      <c r="I613" s="1984"/>
      <c r="J613" s="681" t="s">
        <v>4434</v>
      </c>
      <c r="K613" s="3016"/>
      <c r="L613" s="3016"/>
      <c r="M613" s="3016"/>
      <c r="N613" s="3016"/>
      <c r="O613" s="3016"/>
      <c r="P613" s="3016"/>
      <c r="Q613" s="1038"/>
      <c r="R613" s="3229"/>
      <c r="S613" s="3164">
        <v>1500000</v>
      </c>
      <c r="T613" s="684" t="s">
        <v>0</v>
      </c>
      <c r="U613" s="684"/>
      <c r="V613" s="684">
        <v>1</v>
      </c>
      <c r="W613" s="684" t="s">
        <v>226</v>
      </c>
      <c r="X613" s="686" t="s">
        <v>1</v>
      </c>
      <c r="Y613" s="871">
        <f t="shared" si="96"/>
        <v>1500</v>
      </c>
      <c r="Z613" s="2233">
        <f>S613*V613</f>
        <v>1500000</v>
      </c>
      <c r="AA613" s="427"/>
      <c r="AB613" s="427"/>
      <c r="AC613" s="192"/>
    </row>
    <row r="614" spans="1:29" s="294" customFormat="1" ht="21.95" customHeight="1">
      <c r="A614" s="562"/>
      <c r="B614" s="563"/>
      <c r="C614" s="2352"/>
      <c r="D614" s="624"/>
      <c r="E614" s="677"/>
      <c r="F614" s="2125"/>
      <c r="G614" s="3272"/>
      <c r="H614" s="949"/>
      <c r="I614" s="1984"/>
      <c r="J614" s="681" t="s">
        <v>4435</v>
      </c>
      <c r="K614" s="3016"/>
      <c r="L614" s="3016"/>
      <c r="M614" s="3016"/>
      <c r="N614" s="3016"/>
      <c r="O614" s="3016"/>
      <c r="P614" s="3016"/>
      <c r="Q614" s="1038"/>
      <c r="R614" s="3229"/>
      <c r="S614" s="3164">
        <v>4000000</v>
      </c>
      <c r="T614" s="684" t="s">
        <v>0</v>
      </c>
      <c r="U614" s="684"/>
      <c r="V614" s="684">
        <v>1</v>
      </c>
      <c r="W614" s="684" t="s">
        <v>226</v>
      </c>
      <c r="X614" s="686" t="s">
        <v>1</v>
      </c>
      <c r="Y614" s="871">
        <f t="shared" si="96"/>
        <v>4000</v>
      </c>
      <c r="Z614" s="2233">
        <f>S614*V614</f>
        <v>4000000</v>
      </c>
      <c r="AA614" s="427"/>
      <c r="AB614" s="427"/>
      <c r="AC614" s="192"/>
    </row>
    <row r="615" spans="1:29" ht="21.95" customHeight="1">
      <c r="A615" s="562"/>
      <c r="B615" s="563"/>
      <c r="C615" s="1911"/>
      <c r="D615" s="2013"/>
      <c r="E615" s="677"/>
      <c r="F615" s="2125"/>
      <c r="G615" s="3272"/>
      <c r="H615" s="949"/>
      <c r="I615" s="1984"/>
      <c r="J615" s="681" t="s">
        <v>4436</v>
      </c>
      <c r="K615" s="3016"/>
      <c r="L615" s="3016"/>
      <c r="M615" s="3016"/>
      <c r="N615" s="3016"/>
      <c r="O615" s="3016"/>
      <c r="P615" s="3016"/>
      <c r="Q615" s="1038"/>
      <c r="R615" s="3229"/>
      <c r="S615" s="3164">
        <v>2000000</v>
      </c>
      <c r="T615" s="684" t="s">
        <v>0</v>
      </c>
      <c r="U615" s="684"/>
      <c r="V615" s="684">
        <v>1</v>
      </c>
      <c r="W615" s="684" t="s">
        <v>226</v>
      </c>
      <c r="X615" s="686" t="s">
        <v>1</v>
      </c>
      <c r="Y615" s="871">
        <f t="shared" si="96"/>
        <v>2000</v>
      </c>
      <c r="Z615" s="2233">
        <f>S615*V615</f>
        <v>2000000</v>
      </c>
      <c r="AA615" s="427"/>
      <c r="AB615" s="427"/>
      <c r="AC615" s="192"/>
    </row>
    <row r="616" spans="1:29" ht="21.95" customHeight="1">
      <c r="A616" s="562"/>
      <c r="B616" s="563"/>
      <c r="C616" s="1911"/>
      <c r="D616" s="2013"/>
      <c r="E616" s="677"/>
      <c r="F616" s="2125"/>
      <c r="G616" s="3272"/>
      <c r="H616" s="949"/>
      <c r="I616" s="1984"/>
      <c r="J616" s="681" t="s">
        <v>4437</v>
      </c>
      <c r="K616" s="3016"/>
      <c r="L616" s="3016"/>
      <c r="M616" s="3016"/>
      <c r="N616" s="3016"/>
      <c r="O616" s="3016"/>
      <c r="P616" s="3016"/>
      <c r="Q616" s="1038"/>
      <c r="R616" s="3229"/>
      <c r="S616" s="3164">
        <v>200000</v>
      </c>
      <c r="T616" s="684" t="s">
        <v>0</v>
      </c>
      <c r="U616" s="684"/>
      <c r="V616" s="684">
        <v>3</v>
      </c>
      <c r="W616" s="684" t="s">
        <v>226</v>
      </c>
      <c r="X616" s="686" t="s">
        <v>1</v>
      </c>
      <c r="Y616" s="871">
        <f t="shared" si="96"/>
        <v>600</v>
      </c>
      <c r="Z616" s="2233">
        <f>S616*V616</f>
        <v>600000</v>
      </c>
      <c r="AA616" s="427"/>
      <c r="AB616" s="427"/>
      <c r="AC616" s="192"/>
    </row>
    <row r="617" spans="1:29" ht="21.95" customHeight="1">
      <c r="A617" s="562"/>
      <c r="B617" s="563"/>
      <c r="C617" s="2352"/>
      <c r="D617" s="2013"/>
      <c r="E617" s="677" t="s">
        <v>95</v>
      </c>
      <c r="F617" s="2125">
        <f>Y617</f>
        <v>1400</v>
      </c>
      <c r="G617" s="2126">
        <v>1400</v>
      </c>
      <c r="H617" s="949"/>
      <c r="I617" s="1984"/>
      <c r="J617" s="681" t="s">
        <v>346</v>
      </c>
      <c r="K617" s="3016"/>
      <c r="L617" s="3016"/>
      <c r="M617" s="3016"/>
      <c r="N617" s="3016"/>
      <c r="O617" s="3273"/>
      <c r="P617" s="3273"/>
      <c r="Q617" s="1038">
        <v>2</v>
      </c>
      <c r="R617" s="3229" t="s">
        <v>267</v>
      </c>
      <c r="S617" s="3164">
        <v>25000</v>
      </c>
      <c r="T617" s="684" t="s">
        <v>0</v>
      </c>
      <c r="U617" s="684"/>
      <c r="V617" s="684">
        <v>28</v>
      </c>
      <c r="W617" s="684" t="s">
        <v>39</v>
      </c>
      <c r="X617" s="686" t="s">
        <v>1</v>
      </c>
      <c r="Y617" s="871">
        <f t="shared" si="96"/>
        <v>1400</v>
      </c>
      <c r="Z617" s="2233">
        <f>Q617*S617*V617</f>
        <v>1400000</v>
      </c>
      <c r="AA617" s="427"/>
      <c r="AB617" s="427"/>
      <c r="AC617" s="192"/>
    </row>
    <row r="618" spans="1:29" ht="21.95" customHeight="1">
      <c r="A618" s="562"/>
      <c r="B618" s="563"/>
      <c r="C618" s="2352"/>
      <c r="D618" s="2013"/>
      <c r="E618" s="677" t="s">
        <v>58</v>
      </c>
      <c r="F618" s="2125">
        <f>Y618</f>
        <v>13000</v>
      </c>
      <c r="G618" s="2126">
        <v>13000</v>
      </c>
      <c r="H618" s="949"/>
      <c r="I618" s="1984"/>
      <c r="J618" s="681" t="s">
        <v>8</v>
      </c>
      <c r="K618" s="3016"/>
      <c r="L618" s="3016"/>
      <c r="M618" s="3016"/>
      <c r="N618" s="3016"/>
      <c r="O618" s="3016"/>
      <c r="P618" s="3016"/>
      <c r="Q618" s="1038"/>
      <c r="R618" s="3229"/>
      <c r="S618" s="3164"/>
      <c r="T618" s="684"/>
      <c r="U618" s="684"/>
      <c r="V618" s="684"/>
      <c r="W618" s="684"/>
      <c r="X618" s="686"/>
      <c r="Y618" s="871">
        <f t="shared" si="96"/>
        <v>13000</v>
      </c>
      <c r="Z618" s="2233">
        <f>SUM(Z619:Z623)</f>
        <v>13000000</v>
      </c>
      <c r="AA618" s="427"/>
      <c r="AB618" s="427"/>
      <c r="AC618" s="192"/>
    </row>
    <row r="619" spans="1:29" ht="21.95" customHeight="1">
      <c r="A619" s="562"/>
      <c r="B619" s="563"/>
      <c r="C619" s="2352"/>
      <c r="D619" s="2013"/>
      <c r="E619" s="677"/>
      <c r="F619" s="2125"/>
      <c r="G619" s="2126"/>
      <c r="H619" s="949"/>
      <c r="I619" s="1984"/>
      <c r="J619" s="681" t="s">
        <v>3401</v>
      </c>
      <c r="K619" s="3016"/>
      <c r="L619" s="3016"/>
      <c r="M619" s="3016"/>
      <c r="N619" s="3016"/>
      <c r="O619" s="3016"/>
      <c r="P619" s="3016"/>
      <c r="Q619" s="1038">
        <v>1</v>
      </c>
      <c r="R619" s="3229" t="s">
        <v>142</v>
      </c>
      <c r="S619" s="3164">
        <v>500000</v>
      </c>
      <c r="T619" s="684" t="s">
        <v>0</v>
      </c>
      <c r="U619" s="684"/>
      <c r="V619" s="684">
        <v>2</v>
      </c>
      <c r="W619" s="684" t="s">
        <v>3</v>
      </c>
      <c r="X619" s="686" t="s">
        <v>1</v>
      </c>
      <c r="Y619" s="871">
        <f t="shared" si="96"/>
        <v>1000</v>
      </c>
      <c r="Z619" s="2233">
        <f t="shared" ref="Z619:Z623" si="97">Q619*S619*V619</f>
        <v>1000000</v>
      </c>
      <c r="AA619" s="427"/>
      <c r="AB619" s="427"/>
      <c r="AC619" s="192"/>
    </row>
    <row r="620" spans="1:29" ht="21.95" customHeight="1">
      <c r="A620" s="562"/>
      <c r="B620" s="563"/>
      <c r="C620" s="2352"/>
      <c r="D620" s="2013"/>
      <c r="E620" s="677"/>
      <c r="F620" s="2125"/>
      <c r="G620" s="2126"/>
      <c r="H620" s="949"/>
      <c r="I620" s="1984"/>
      <c r="J620" s="681" t="s">
        <v>3402</v>
      </c>
      <c r="K620" s="3016"/>
      <c r="L620" s="3016"/>
      <c r="M620" s="3016"/>
      <c r="N620" s="3016"/>
      <c r="O620" s="3016"/>
      <c r="P620" s="3016"/>
      <c r="Q620" s="1038">
        <v>5</v>
      </c>
      <c r="R620" s="3229" t="s">
        <v>142</v>
      </c>
      <c r="S620" s="3164">
        <v>200000</v>
      </c>
      <c r="T620" s="684" t="s">
        <v>0</v>
      </c>
      <c r="U620" s="684"/>
      <c r="V620" s="684">
        <v>4</v>
      </c>
      <c r="W620" s="684" t="s">
        <v>3</v>
      </c>
      <c r="X620" s="686" t="s">
        <v>1</v>
      </c>
      <c r="Y620" s="871">
        <f t="shared" si="96"/>
        <v>4000</v>
      </c>
      <c r="Z620" s="2233">
        <f t="shared" si="97"/>
        <v>4000000</v>
      </c>
      <c r="AA620" s="427"/>
      <c r="AB620" s="427"/>
      <c r="AC620" s="192"/>
    </row>
    <row r="621" spans="1:29" ht="21.95" customHeight="1">
      <c r="A621" s="562"/>
      <c r="B621" s="563"/>
      <c r="C621" s="2352"/>
      <c r="D621" s="2013"/>
      <c r="E621" s="677"/>
      <c r="F621" s="2125"/>
      <c r="G621" s="2126"/>
      <c r="H621" s="949"/>
      <c r="I621" s="1984"/>
      <c r="J621" s="681" t="s">
        <v>3403</v>
      </c>
      <c r="K621" s="3016"/>
      <c r="L621" s="3016"/>
      <c r="M621" s="3016"/>
      <c r="N621" s="3016"/>
      <c r="O621" s="3016"/>
      <c r="P621" s="3016"/>
      <c r="Q621" s="1038">
        <v>5</v>
      </c>
      <c r="R621" s="3229" t="s">
        <v>142</v>
      </c>
      <c r="S621" s="3164">
        <v>100000</v>
      </c>
      <c r="T621" s="684" t="s">
        <v>0</v>
      </c>
      <c r="U621" s="684"/>
      <c r="V621" s="684">
        <v>8</v>
      </c>
      <c r="W621" s="684" t="s">
        <v>3</v>
      </c>
      <c r="X621" s="686" t="s">
        <v>1</v>
      </c>
      <c r="Y621" s="871">
        <f t="shared" si="96"/>
        <v>4000</v>
      </c>
      <c r="Z621" s="2233">
        <f t="shared" si="97"/>
        <v>4000000</v>
      </c>
      <c r="AA621" s="427"/>
      <c r="AB621" s="427"/>
      <c r="AC621" s="192"/>
    </row>
    <row r="622" spans="1:29" ht="21.95" customHeight="1">
      <c r="A622" s="562"/>
      <c r="B622" s="563"/>
      <c r="C622" s="2352"/>
      <c r="D622" s="2013"/>
      <c r="E622" s="677"/>
      <c r="F622" s="2125"/>
      <c r="G622" s="2126"/>
      <c r="H622" s="949"/>
      <c r="I622" s="1984"/>
      <c r="J622" s="681" t="s">
        <v>4438</v>
      </c>
      <c r="K622" s="3016"/>
      <c r="L622" s="3016"/>
      <c r="M622" s="3016"/>
      <c r="N622" s="3016"/>
      <c r="O622" s="3016"/>
      <c r="P622" s="3016"/>
      <c r="Q622" s="1038">
        <v>200</v>
      </c>
      <c r="R622" s="3229" t="s">
        <v>414</v>
      </c>
      <c r="S622" s="3164">
        <v>1000</v>
      </c>
      <c r="T622" s="684" t="s">
        <v>0</v>
      </c>
      <c r="U622" s="684"/>
      <c r="V622" s="684">
        <v>10</v>
      </c>
      <c r="W622" s="684" t="s">
        <v>3</v>
      </c>
      <c r="X622" s="686" t="s">
        <v>1</v>
      </c>
      <c r="Y622" s="871">
        <f t="shared" si="96"/>
        <v>2000</v>
      </c>
      <c r="Z622" s="2233">
        <f t="shared" si="97"/>
        <v>2000000</v>
      </c>
      <c r="AA622" s="427"/>
      <c r="AB622" s="427"/>
      <c r="AC622" s="192"/>
    </row>
    <row r="623" spans="1:29" ht="21.95" customHeight="1">
      <c r="A623" s="562"/>
      <c r="B623" s="563"/>
      <c r="C623" s="2352"/>
      <c r="D623" s="624"/>
      <c r="E623" s="677"/>
      <c r="F623" s="2125"/>
      <c r="G623" s="2126"/>
      <c r="H623" s="949"/>
      <c r="I623" s="1984"/>
      <c r="J623" s="681" t="s">
        <v>4439</v>
      </c>
      <c r="K623" s="3016"/>
      <c r="L623" s="3016"/>
      <c r="M623" s="3016"/>
      <c r="N623" s="3016"/>
      <c r="O623" s="3016"/>
      <c r="P623" s="3016"/>
      <c r="Q623" s="1038">
        <v>500</v>
      </c>
      <c r="R623" s="3229" t="s">
        <v>414</v>
      </c>
      <c r="S623" s="3164">
        <v>2000</v>
      </c>
      <c r="T623" s="684" t="s">
        <v>0</v>
      </c>
      <c r="U623" s="684"/>
      <c r="V623" s="684">
        <v>2</v>
      </c>
      <c r="W623" s="684" t="s">
        <v>3</v>
      </c>
      <c r="X623" s="686" t="s">
        <v>1</v>
      </c>
      <c r="Y623" s="871">
        <f t="shared" si="96"/>
        <v>2000</v>
      </c>
      <c r="Z623" s="2233">
        <f t="shared" si="97"/>
        <v>2000000</v>
      </c>
      <c r="AA623" s="427"/>
      <c r="AB623" s="427"/>
      <c r="AC623" s="192"/>
    </row>
    <row r="624" spans="1:29" ht="21.95" customHeight="1">
      <c r="A624" s="562"/>
      <c r="B624" s="563"/>
      <c r="C624" s="2352"/>
      <c r="D624" s="624"/>
      <c r="E624" s="677" t="s">
        <v>71</v>
      </c>
      <c r="F624" s="2125">
        <f>Y624</f>
        <v>8000</v>
      </c>
      <c r="G624" s="3272">
        <v>8000</v>
      </c>
      <c r="H624" s="949"/>
      <c r="I624" s="1984"/>
      <c r="J624" s="681" t="s">
        <v>224</v>
      </c>
      <c r="K624" s="684"/>
      <c r="L624" s="3016"/>
      <c r="M624" s="3016"/>
      <c r="N624" s="3016"/>
      <c r="O624" s="3016"/>
      <c r="P624" s="3016"/>
      <c r="Q624" s="1038"/>
      <c r="R624" s="3229"/>
      <c r="S624" s="3164"/>
      <c r="T624" s="684"/>
      <c r="U624" s="684"/>
      <c r="V624" s="684"/>
      <c r="W624" s="684"/>
      <c r="X624" s="686"/>
      <c r="Y624" s="871">
        <f t="shared" si="96"/>
        <v>8000</v>
      </c>
      <c r="Z624" s="2233">
        <f>SUM(Z625:Z626)</f>
        <v>8000000</v>
      </c>
      <c r="AA624" s="427"/>
      <c r="AB624" s="427"/>
      <c r="AC624" s="192"/>
    </row>
    <row r="625" spans="1:29" ht="21.95" customHeight="1">
      <c r="A625" s="562"/>
      <c r="B625" s="563"/>
      <c r="C625" s="2352"/>
      <c r="D625" s="624"/>
      <c r="E625" s="677"/>
      <c r="F625" s="2125"/>
      <c r="G625" s="3272"/>
      <c r="H625" s="949"/>
      <c r="I625" s="1984"/>
      <c r="J625" s="681" t="s">
        <v>4440</v>
      </c>
      <c r="K625" s="684"/>
      <c r="L625" s="3016"/>
      <c r="M625" s="3016"/>
      <c r="N625" s="3016"/>
      <c r="O625" s="3016"/>
      <c r="P625" s="3016"/>
      <c r="Q625" s="1038">
        <v>1</v>
      </c>
      <c r="R625" s="3229" t="s">
        <v>142</v>
      </c>
      <c r="S625" s="3164">
        <v>6500000</v>
      </c>
      <c r="T625" s="684" t="s">
        <v>0</v>
      </c>
      <c r="U625" s="684"/>
      <c r="V625" s="684">
        <v>1</v>
      </c>
      <c r="W625" s="684" t="s">
        <v>226</v>
      </c>
      <c r="X625" s="686" t="s">
        <v>1</v>
      </c>
      <c r="Y625" s="871">
        <f t="shared" si="96"/>
        <v>6500</v>
      </c>
      <c r="Z625" s="2233">
        <f t="shared" ref="Z625" si="98">Q625*S625*V625</f>
        <v>6500000</v>
      </c>
      <c r="AA625" s="427"/>
      <c r="AB625" s="427"/>
      <c r="AC625" s="192"/>
    </row>
    <row r="626" spans="1:29" ht="21.95" customHeight="1">
      <c r="A626" s="562"/>
      <c r="B626" s="563"/>
      <c r="C626" s="2352"/>
      <c r="D626" s="624"/>
      <c r="E626" s="677"/>
      <c r="F626" s="2125"/>
      <c r="G626" s="3272"/>
      <c r="H626" s="949"/>
      <c r="I626" s="1984"/>
      <c r="J626" s="681" t="s">
        <v>4441</v>
      </c>
      <c r="K626" s="684"/>
      <c r="L626" s="3016"/>
      <c r="M626" s="3016"/>
      <c r="N626" s="3016"/>
      <c r="O626" s="3016"/>
      <c r="P626" s="3016"/>
      <c r="Q626" s="1038"/>
      <c r="R626" s="3229"/>
      <c r="S626" s="3164">
        <v>1500000</v>
      </c>
      <c r="T626" s="684" t="s">
        <v>0</v>
      </c>
      <c r="U626" s="684"/>
      <c r="V626" s="684">
        <v>1</v>
      </c>
      <c r="W626" s="684" t="s">
        <v>226</v>
      </c>
      <c r="X626" s="686" t="s">
        <v>1</v>
      </c>
      <c r="Y626" s="871">
        <f t="shared" si="96"/>
        <v>1500</v>
      </c>
      <c r="Z626" s="2233">
        <f>S626*V626</f>
        <v>1500000</v>
      </c>
      <c r="AA626" s="427"/>
      <c r="AB626" s="427"/>
      <c r="AC626" s="192"/>
    </row>
    <row r="627" spans="1:29" ht="21.95" customHeight="1">
      <c r="A627" s="562"/>
      <c r="B627" s="563"/>
      <c r="C627" s="2352"/>
      <c r="D627" s="624"/>
      <c r="E627" s="677" t="s">
        <v>62</v>
      </c>
      <c r="F627" s="2125">
        <f>Y627</f>
        <v>7500</v>
      </c>
      <c r="G627" s="3272">
        <v>7500</v>
      </c>
      <c r="H627" s="949"/>
      <c r="I627" s="1984"/>
      <c r="J627" s="681" t="s">
        <v>224</v>
      </c>
      <c r="K627" s="684"/>
      <c r="L627" s="3016"/>
      <c r="M627" s="3016"/>
      <c r="N627" s="3016"/>
      <c r="O627" s="3016"/>
      <c r="P627" s="3016"/>
      <c r="Q627" s="1038"/>
      <c r="R627" s="3229"/>
      <c r="S627" s="3164"/>
      <c r="T627" s="684"/>
      <c r="U627" s="684"/>
      <c r="V627" s="684"/>
      <c r="W627" s="684"/>
      <c r="X627" s="686"/>
      <c r="Y627" s="871">
        <f t="shared" si="96"/>
        <v>7500</v>
      </c>
      <c r="Z627" s="2233">
        <f>SUM(Z628:Z630)</f>
        <v>7500000</v>
      </c>
      <c r="AA627" s="427"/>
      <c r="AB627" s="427"/>
      <c r="AC627" s="192"/>
    </row>
    <row r="628" spans="1:29" ht="21.95" customHeight="1">
      <c r="A628" s="562"/>
      <c r="B628" s="563"/>
      <c r="C628" s="2352"/>
      <c r="D628" s="624"/>
      <c r="E628" s="677"/>
      <c r="F628" s="2125"/>
      <c r="G628" s="3272"/>
      <c r="H628" s="949"/>
      <c r="I628" s="1984"/>
      <c r="J628" s="681" t="s">
        <v>3404</v>
      </c>
      <c r="K628" s="684"/>
      <c r="L628" s="3016"/>
      <c r="M628" s="3016"/>
      <c r="N628" s="3016"/>
      <c r="O628" s="3016"/>
      <c r="P628" s="3016"/>
      <c r="Q628" s="1038">
        <v>10</v>
      </c>
      <c r="R628" s="3229" t="s">
        <v>31</v>
      </c>
      <c r="S628" s="3164">
        <v>300000</v>
      </c>
      <c r="T628" s="684" t="s">
        <v>0</v>
      </c>
      <c r="U628" s="684"/>
      <c r="V628" s="684">
        <v>1</v>
      </c>
      <c r="W628" s="684" t="s">
        <v>226</v>
      </c>
      <c r="X628" s="686" t="s">
        <v>1</v>
      </c>
      <c r="Y628" s="871">
        <f t="shared" si="96"/>
        <v>3000</v>
      </c>
      <c r="Z628" s="2233">
        <f>Q628*S628*V628</f>
        <v>3000000</v>
      </c>
      <c r="AA628" s="427"/>
      <c r="AB628" s="427"/>
      <c r="AC628" s="192"/>
    </row>
    <row r="629" spans="1:29" ht="21.95" customHeight="1">
      <c r="A629" s="562"/>
      <c r="B629" s="563"/>
      <c r="C629" s="2352"/>
      <c r="D629" s="624"/>
      <c r="E629" s="677"/>
      <c r="F629" s="2125"/>
      <c r="G629" s="3272"/>
      <c r="H629" s="949"/>
      <c r="I629" s="1984"/>
      <c r="J629" s="681" t="s">
        <v>3405</v>
      </c>
      <c r="K629" s="684"/>
      <c r="L629" s="3016"/>
      <c r="M629" s="3016"/>
      <c r="N629" s="3016"/>
      <c r="O629" s="3016"/>
      <c r="P629" s="3016"/>
      <c r="Q629" s="1038">
        <v>1</v>
      </c>
      <c r="R629" s="3229" t="s">
        <v>31</v>
      </c>
      <c r="S629" s="3164">
        <v>4000000</v>
      </c>
      <c r="T629" s="684" t="s">
        <v>0</v>
      </c>
      <c r="U629" s="684"/>
      <c r="V629" s="684">
        <v>1</v>
      </c>
      <c r="W629" s="684" t="s">
        <v>226</v>
      </c>
      <c r="X629" s="686" t="s">
        <v>1</v>
      </c>
      <c r="Y629" s="871">
        <f t="shared" si="96"/>
        <v>4000</v>
      </c>
      <c r="Z629" s="2233">
        <f>Q629*S629*V629</f>
        <v>4000000</v>
      </c>
      <c r="AA629" s="427"/>
      <c r="AB629" s="427"/>
      <c r="AC629" s="192"/>
    </row>
    <row r="630" spans="1:29" ht="21.95" customHeight="1">
      <c r="A630" s="562"/>
      <c r="B630" s="563"/>
      <c r="C630" s="2352"/>
      <c r="D630" s="624"/>
      <c r="E630" s="677"/>
      <c r="F630" s="2125"/>
      <c r="G630" s="3272"/>
      <c r="H630" s="949"/>
      <c r="I630" s="1984"/>
      <c r="J630" s="681" t="s">
        <v>4442</v>
      </c>
      <c r="K630" s="684"/>
      <c r="L630" s="3016"/>
      <c r="M630" s="3016"/>
      <c r="N630" s="3016"/>
      <c r="O630" s="3016"/>
      <c r="P630" s="3016"/>
      <c r="Q630" s="1038">
        <v>2</v>
      </c>
      <c r="R630" s="3229" t="s">
        <v>31</v>
      </c>
      <c r="S630" s="3164">
        <v>250000</v>
      </c>
      <c r="T630" s="684" t="s">
        <v>0</v>
      </c>
      <c r="U630" s="684"/>
      <c r="V630" s="684">
        <v>1</v>
      </c>
      <c r="W630" s="684" t="s">
        <v>226</v>
      </c>
      <c r="X630" s="686" t="s">
        <v>1</v>
      </c>
      <c r="Y630" s="871">
        <f t="shared" si="96"/>
        <v>500</v>
      </c>
      <c r="Z630" s="2233">
        <f>Q630*S630*V630</f>
        <v>500000</v>
      </c>
      <c r="AA630" s="427"/>
      <c r="AB630" s="427"/>
      <c r="AC630" s="192"/>
    </row>
    <row r="631" spans="1:29" ht="21.95" customHeight="1" thickBot="1">
      <c r="A631" s="562"/>
      <c r="B631" s="563"/>
      <c r="C631" s="2352"/>
      <c r="D631" s="624"/>
      <c r="E631" s="2039" t="s">
        <v>61</v>
      </c>
      <c r="F631" s="3274">
        <f>Y631</f>
        <v>1500</v>
      </c>
      <c r="G631" s="3275">
        <v>1500</v>
      </c>
      <c r="H631" s="949"/>
      <c r="I631" s="1984"/>
      <c r="J631" s="1268" t="s">
        <v>2558</v>
      </c>
      <c r="K631" s="1049"/>
      <c r="L631" s="1269"/>
      <c r="M631" s="1269"/>
      <c r="N631" s="1269"/>
      <c r="O631" s="1269"/>
      <c r="P631" s="1269"/>
      <c r="Q631" s="1048">
        <v>5</v>
      </c>
      <c r="R631" s="1047" t="s">
        <v>142</v>
      </c>
      <c r="S631" s="1430">
        <v>20000</v>
      </c>
      <c r="T631" s="1049" t="s">
        <v>0</v>
      </c>
      <c r="U631" s="1049"/>
      <c r="V631" s="1049">
        <v>15</v>
      </c>
      <c r="W631" s="1049" t="s">
        <v>3</v>
      </c>
      <c r="X631" s="1272" t="s">
        <v>1</v>
      </c>
      <c r="Y631" s="2000">
        <f t="shared" si="96"/>
        <v>1500</v>
      </c>
      <c r="Z631" s="3481">
        <f>Q631*S631*V631</f>
        <v>1500000</v>
      </c>
      <c r="AA631" s="427"/>
      <c r="AB631" s="427"/>
      <c r="AC631" s="192"/>
    </row>
    <row r="632" spans="1:29" ht="23.1" customHeight="1" thickBot="1">
      <c r="A632" s="2362"/>
      <c r="B632" s="3920" t="s">
        <v>720</v>
      </c>
      <c r="C632" s="3828"/>
      <c r="D632" s="3828"/>
      <c r="E632" s="3829"/>
      <c r="F632" s="2208">
        <f>+F633+F711</f>
        <v>2229200</v>
      </c>
      <c r="G632" s="2208">
        <f>G633+G711</f>
        <v>2272200</v>
      </c>
      <c r="H632" s="1351">
        <f>F632-G632</f>
        <v>-43000</v>
      </c>
      <c r="I632" s="634"/>
      <c r="J632" s="2363"/>
      <c r="K632" s="2364"/>
      <c r="L632" s="2364"/>
      <c r="M632" s="2364"/>
      <c r="N632" s="2364"/>
      <c r="O632" s="2365"/>
      <c r="P632" s="2366"/>
      <c r="Q632" s="2367"/>
      <c r="R632" s="2366"/>
      <c r="S632" s="2365"/>
      <c r="T632" s="2364"/>
      <c r="U632" s="2365"/>
      <c r="V632" s="2364"/>
      <c r="W632" s="2364"/>
      <c r="X632" s="2365"/>
      <c r="Y632" s="1355"/>
      <c r="Z632" s="3482"/>
      <c r="AA632" s="427"/>
      <c r="AB632" s="427"/>
      <c r="AC632" s="192"/>
    </row>
    <row r="633" spans="1:29" ht="23.1" customHeight="1">
      <c r="A633" s="1556"/>
      <c r="B633" s="2368"/>
      <c r="C633" s="3908" t="s">
        <v>76</v>
      </c>
      <c r="D633" s="3909"/>
      <c r="E633" s="3910"/>
      <c r="F633" s="2369">
        <f>+F634+F646+F709</f>
        <v>1644200</v>
      </c>
      <c r="G633" s="2369">
        <f>+G634+G646+G709</f>
        <v>1687200</v>
      </c>
      <c r="H633" s="1298">
        <f>+F633-G633</f>
        <v>-43000</v>
      </c>
      <c r="I633" s="634"/>
      <c r="J633" s="1300"/>
      <c r="K633" s="1301"/>
      <c r="L633" s="1301"/>
      <c r="M633" s="1301"/>
      <c r="N633" s="1301"/>
      <c r="O633" s="1302"/>
      <c r="P633" s="2083"/>
      <c r="Q633" s="1303"/>
      <c r="R633" s="2083"/>
      <c r="S633" s="1302"/>
      <c r="T633" s="1301"/>
      <c r="U633" s="1302"/>
      <c r="V633" s="1301"/>
      <c r="W633" s="1301"/>
      <c r="X633" s="1302"/>
      <c r="Y633" s="1304"/>
      <c r="Z633" s="3483"/>
      <c r="AA633" s="427"/>
      <c r="AB633" s="427"/>
      <c r="AC633" s="192"/>
    </row>
    <row r="634" spans="1:29" ht="23.1" customHeight="1">
      <c r="A634" s="636"/>
      <c r="B634" s="467"/>
      <c r="C634" s="2013"/>
      <c r="D634" s="3911" t="s">
        <v>964</v>
      </c>
      <c r="E634" s="3912"/>
      <c r="F634" s="512">
        <f>SUM(F635:F645)</f>
        <v>587200</v>
      </c>
      <c r="G634" s="512">
        <f>SUM(G635:G645)</f>
        <v>630200</v>
      </c>
      <c r="H634" s="495">
        <f>F634-G634</f>
        <v>-43000</v>
      </c>
      <c r="I634" s="634"/>
      <c r="J634" s="1306"/>
      <c r="K634" s="1307"/>
      <c r="L634" s="1307"/>
      <c r="M634" s="1307"/>
      <c r="N634" s="1307"/>
      <c r="O634" s="1307"/>
      <c r="P634" s="1308"/>
      <c r="Q634" s="1309"/>
      <c r="R634" s="2090"/>
      <c r="S634" s="1310"/>
      <c r="T634" s="2101"/>
      <c r="U634" s="1310"/>
      <c r="V634" s="2101"/>
      <c r="W634" s="2101"/>
      <c r="X634" s="1310"/>
      <c r="Y634" s="1311"/>
      <c r="Z634" s="518">
        <f>+Z635+Z643+Z642</f>
        <v>587200000</v>
      </c>
      <c r="AA634" s="427"/>
      <c r="AB634" s="427"/>
      <c r="AC634" s="192"/>
    </row>
    <row r="635" spans="1:29" ht="23.1" customHeight="1">
      <c r="A635" s="636"/>
      <c r="B635" s="467"/>
      <c r="C635" s="2013"/>
      <c r="D635" s="2013"/>
      <c r="E635" s="624" t="s">
        <v>818</v>
      </c>
      <c r="F635" s="824">
        <f>+Y635</f>
        <v>475600</v>
      </c>
      <c r="G635" s="824">
        <v>510500</v>
      </c>
      <c r="H635" s="486">
        <f>F635-G635</f>
        <v>-34900</v>
      </c>
      <c r="I635" s="634"/>
      <c r="J635" s="1312" t="s">
        <v>768</v>
      </c>
      <c r="K635" s="1313"/>
      <c r="L635" s="1313"/>
      <c r="M635" s="1313"/>
      <c r="N635" s="889"/>
      <c r="O635" s="889"/>
      <c r="P635" s="1313"/>
      <c r="Q635" s="1314"/>
      <c r="R635" s="473"/>
      <c r="S635" s="473"/>
      <c r="T635" s="473"/>
      <c r="U635" s="473"/>
      <c r="V635" s="473"/>
      <c r="W635" s="473"/>
      <c r="X635" s="473"/>
      <c r="Y635" s="1452">
        <f>+INT(Z635/1000)</f>
        <v>475600</v>
      </c>
      <c r="Z635" s="1341">
        <f>+Z636+Z638+Z640</f>
        <v>475600000</v>
      </c>
      <c r="AA635" s="427"/>
      <c r="AB635" s="427"/>
      <c r="AC635" s="192"/>
    </row>
    <row r="636" spans="1:29" ht="23.1" customHeight="1">
      <c r="A636" s="2079"/>
      <c r="B636" s="2035"/>
      <c r="C636" s="631"/>
      <c r="D636" s="2013"/>
      <c r="E636" s="624"/>
      <c r="F636" s="824"/>
      <c r="G636" s="824"/>
      <c r="H636" s="551"/>
      <c r="I636" s="634"/>
      <c r="J636" s="1312" t="s">
        <v>2855</v>
      </c>
      <c r="K636" s="1315"/>
      <c r="L636" s="886"/>
      <c r="M636" s="886"/>
      <c r="N636" s="889"/>
      <c r="O636" s="889"/>
      <c r="P636" s="1313"/>
      <c r="Q636" s="1314" t="s">
        <v>740</v>
      </c>
      <c r="R636" s="473" t="s">
        <v>832</v>
      </c>
      <c r="S636" s="1316"/>
      <c r="T636" s="473"/>
      <c r="U636" s="473"/>
      <c r="V636" s="473"/>
      <c r="W636" s="473"/>
      <c r="X636" s="473"/>
      <c r="Y636" s="1452">
        <f t="shared" ref="Y636:Y643" si="99">+Z636/1000</f>
        <v>408000</v>
      </c>
      <c r="Z636" s="1341">
        <f>SUM(Z637:Z637)</f>
        <v>408000000</v>
      </c>
      <c r="AA636" s="427"/>
      <c r="AB636" s="427"/>
      <c r="AC636" s="192"/>
    </row>
    <row r="637" spans="1:29" ht="23.1" customHeight="1">
      <c r="A637" s="2079"/>
      <c r="B637" s="2035"/>
      <c r="C637" s="631"/>
      <c r="D637" s="2013"/>
      <c r="E637" s="624"/>
      <c r="F637" s="824"/>
      <c r="G637" s="824"/>
      <c r="H637" s="551"/>
      <c r="I637" s="634"/>
      <c r="J637" s="1312"/>
      <c r="K637" s="1317" t="s">
        <v>1785</v>
      </c>
      <c r="L637" s="886"/>
      <c r="M637" s="886"/>
      <c r="N637" s="1318"/>
      <c r="O637" s="1313"/>
      <c r="P637" s="1313"/>
      <c r="Q637" s="1314" t="s">
        <v>6097</v>
      </c>
      <c r="R637" s="473" t="s">
        <v>929</v>
      </c>
      <c r="S637" s="474">
        <v>4250000</v>
      </c>
      <c r="T637" s="473" t="s">
        <v>37</v>
      </c>
      <c r="U637" s="473"/>
      <c r="V637" s="473">
        <v>12</v>
      </c>
      <c r="W637" s="473" t="s">
        <v>830</v>
      </c>
      <c r="X637" s="473" t="s">
        <v>38</v>
      </c>
      <c r="Y637" s="1452">
        <f t="shared" si="99"/>
        <v>408000</v>
      </c>
      <c r="Z637" s="3484">
        <f>ROUNDUP(S637*Q637*V637,-3)</f>
        <v>408000000</v>
      </c>
      <c r="AA637" s="427"/>
      <c r="AB637" s="427"/>
      <c r="AC637" s="192"/>
    </row>
    <row r="638" spans="1:29" ht="23.1" customHeight="1">
      <c r="A638" s="2079"/>
      <c r="B638" s="2035"/>
      <c r="C638" s="631"/>
      <c r="D638" s="2013"/>
      <c r="E638" s="624"/>
      <c r="F638" s="824"/>
      <c r="G638" s="824"/>
      <c r="H638" s="551"/>
      <c r="I638" s="634"/>
      <c r="J638" s="1312" t="s">
        <v>3109</v>
      </c>
      <c r="K638" s="1315"/>
      <c r="L638" s="886"/>
      <c r="M638" s="886"/>
      <c r="N638" s="1318"/>
      <c r="O638" s="1313"/>
      <c r="P638" s="1313"/>
      <c r="Q638" s="1314"/>
      <c r="R638" s="2082"/>
      <c r="S638" s="473"/>
      <c r="T638" s="2082"/>
      <c r="U638" s="473"/>
      <c r="V638" s="473"/>
      <c r="W638" s="473"/>
      <c r="X638" s="473"/>
      <c r="Y638" s="1452">
        <f t="shared" si="99"/>
        <v>48000</v>
      </c>
      <c r="Z638" s="3484">
        <f>SUM(Z639:Z639)</f>
        <v>48000000</v>
      </c>
      <c r="AA638" s="427"/>
      <c r="AB638" s="427"/>
      <c r="AC638" s="192"/>
    </row>
    <row r="639" spans="1:29" ht="23.1" customHeight="1">
      <c r="A639" s="2079"/>
      <c r="B639" s="2035"/>
      <c r="C639" s="631"/>
      <c r="D639" s="2013"/>
      <c r="E639" s="624"/>
      <c r="F639" s="824"/>
      <c r="G639" s="824"/>
      <c r="H639" s="551"/>
      <c r="I639" s="634"/>
      <c r="J639" s="1312"/>
      <c r="K639" s="1317" t="s">
        <v>1785</v>
      </c>
      <c r="L639" s="886"/>
      <c r="M639" s="886"/>
      <c r="N639" s="1318"/>
      <c r="O639" s="1313"/>
      <c r="P639" s="1313"/>
      <c r="Q639" s="1314" t="s">
        <v>1262</v>
      </c>
      <c r="R639" s="473" t="s">
        <v>929</v>
      </c>
      <c r="S639" s="474">
        <v>444444.44444444444</v>
      </c>
      <c r="T639" s="473" t="s">
        <v>37</v>
      </c>
      <c r="U639" s="473"/>
      <c r="V639" s="473">
        <v>12</v>
      </c>
      <c r="W639" s="473" t="s">
        <v>830</v>
      </c>
      <c r="X639" s="473" t="s">
        <v>38</v>
      </c>
      <c r="Y639" s="1452">
        <f t="shared" si="99"/>
        <v>48000</v>
      </c>
      <c r="Z639" s="3484">
        <f>ROUNDUP(S639*Q639*V639,-3)</f>
        <v>48000000</v>
      </c>
      <c r="AA639" s="427">
        <f>52000000-4000000</f>
        <v>48000000</v>
      </c>
      <c r="AB639" s="427">
        <f>AA639/V639/Q639</f>
        <v>444444.44444444444</v>
      </c>
      <c r="AC639" s="192"/>
    </row>
    <row r="640" spans="1:29" ht="23.1" customHeight="1">
      <c r="A640" s="2079"/>
      <c r="B640" s="2035"/>
      <c r="C640" s="631"/>
      <c r="D640" s="2013"/>
      <c r="E640" s="624"/>
      <c r="F640" s="824"/>
      <c r="G640" s="824"/>
      <c r="H640" s="551"/>
      <c r="I640" s="634"/>
      <c r="J640" s="1312" t="s">
        <v>2858</v>
      </c>
      <c r="K640" s="1315"/>
      <c r="L640" s="886"/>
      <c r="M640" s="886"/>
      <c r="N640" s="1318"/>
      <c r="O640" s="1313"/>
      <c r="P640" s="1313"/>
      <c r="Q640" s="1314"/>
      <c r="R640" s="2082"/>
      <c r="S640" s="473"/>
      <c r="T640" s="2082"/>
      <c r="U640" s="473"/>
      <c r="V640" s="473"/>
      <c r="W640" s="473"/>
      <c r="X640" s="473"/>
      <c r="Y640" s="1452">
        <f t="shared" si="99"/>
        <v>19600</v>
      </c>
      <c r="Z640" s="3484">
        <f>SUM(Z641:Z641)</f>
        <v>19600000</v>
      </c>
      <c r="AA640" s="427"/>
      <c r="AB640" s="427"/>
      <c r="AC640" s="192"/>
    </row>
    <row r="641" spans="1:29" ht="23.1" customHeight="1">
      <c r="A641" s="2079"/>
      <c r="B641" s="2035"/>
      <c r="C641" s="631"/>
      <c r="D641" s="2013"/>
      <c r="E641" s="624"/>
      <c r="F641" s="824"/>
      <c r="G641" s="824"/>
      <c r="H641" s="551"/>
      <c r="I641" s="634"/>
      <c r="J641" s="1312"/>
      <c r="K641" s="1317" t="s">
        <v>1785</v>
      </c>
      <c r="L641" s="886"/>
      <c r="M641" s="886"/>
      <c r="N641" s="1318"/>
      <c r="O641" s="1313"/>
      <c r="P641" s="1313"/>
      <c r="Q641" s="1314" t="s">
        <v>1262</v>
      </c>
      <c r="R641" s="473" t="s">
        <v>929</v>
      </c>
      <c r="S641" s="474">
        <v>2177777.777777778</v>
      </c>
      <c r="T641" s="473" t="s">
        <v>37</v>
      </c>
      <c r="U641" s="473"/>
      <c r="V641" s="473">
        <v>1</v>
      </c>
      <c r="W641" s="473" t="s">
        <v>763</v>
      </c>
      <c r="X641" s="473" t="s">
        <v>38</v>
      </c>
      <c r="Y641" s="1452">
        <f t="shared" si="99"/>
        <v>19600</v>
      </c>
      <c r="Z641" s="3484">
        <f>ROUNDUP(S641*Q641*V641,-3)</f>
        <v>19600000</v>
      </c>
      <c r="AA641" s="427">
        <f>18700000+900000</f>
        <v>19600000</v>
      </c>
      <c r="AB641" s="427">
        <f>AA641/Q641</f>
        <v>2177777.777777778</v>
      </c>
      <c r="AC641" s="192"/>
    </row>
    <row r="642" spans="1:29" ht="23.1" customHeight="1">
      <c r="A642" s="2079"/>
      <c r="B642" s="2035"/>
      <c r="C642" s="631"/>
      <c r="D642" s="2013"/>
      <c r="E642" s="1251" t="s">
        <v>1491</v>
      </c>
      <c r="F642" s="598">
        <f>Y642</f>
        <v>57000</v>
      </c>
      <c r="G642" s="598">
        <v>61500</v>
      </c>
      <c r="H642" s="486">
        <f>F642-G642</f>
        <v>-4500</v>
      </c>
      <c r="I642" s="634"/>
      <c r="J642" s="1696" t="s">
        <v>1668</v>
      </c>
      <c r="K642" s="1719"/>
      <c r="L642" s="1307"/>
      <c r="M642" s="1307"/>
      <c r="N642" s="2370"/>
      <c r="O642" s="2370"/>
      <c r="P642" s="1719"/>
      <c r="Q642" s="1720"/>
      <c r="R642" s="621"/>
      <c r="S642" s="545">
        <f>+Z637+Z639</f>
        <v>456000000</v>
      </c>
      <c r="T642" s="621" t="s">
        <v>2617</v>
      </c>
      <c r="U642" s="743">
        <v>12</v>
      </c>
      <c r="V642" s="621" t="s">
        <v>2618</v>
      </c>
      <c r="W642" s="2371">
        <v>1.5</v>
      </c>
      <c r="X642" s="621" t="s">
        <v>38</v>
      </c>
      <c r="Y642" s="1311">
        <f t="shared" si="99"/>
        <v>57000</v>
      </c>
      <c r="Z642" s="3485">
        <f>+(S642/U642*W642)</f>
        <v>57000000</v>
      </c>
      <c r="AA642" s="427"/>
      <c r="AB642" s="427"/>
      <c r="AC642" s="192"/>
    </row>
    <row r="643" spans="1:29" ht="23.1" customHeight="1">
      <c r="A643" s="2079"/>
      <c r="B643" s="2035"/>
      <c r="C643" s="631"/>
      <c r="D643" s="2013"/>
      <c r="E643" s="2372" t="s">
        <v>747</v>
      </c>
      <c r="F643" s="824">
        <f>Y643</f>
        <v>54600</v>
      </c>
      <c r="G643" s="824">
        <v>58200</v>
      </c>
      <c r="H643" s="486">
        <f>F643-G643</f>
        <v>-3600</v>
      </c>
      <c r="I643" s="634"/>
      <c r="J643" s="1312" t="s">
        <v>768</v>
      </c>
      <c r="K643" s="1313"/>
      <c r="L643" s="1313"/>
      <c r="M643" s="1313"/>
      <c r="N643" s="889"/>
      <c r="O643" s="889"/>
      <c r="P643" s="1313"/>
      <c r="Q643" s="1314"/>
      <c r="R643" s="473"/>
      <c r="S643" s="473"/>
      <c r="T643" s="473"/>
      <c r="U643" s="473"/>
      <c r="V643" s="473"/>
      <c r="W643" s="473"/>
      <c r="X643" s="473"/>
      <c r="Y643" s="1452">
        <f t="shared" si="99"/>
        <v>54600</v>
      </c>
      <c r="Z643" s="1341">
        <f>SUM(Z644:Z645)</f>
        <v>54600000</v>
      </c>
      <c r="AA643" s="427"/>
      <c r="AB643" s="427"/>
      <c r="AC643" s="192"/>
    </row>
    <row r="644" spans="1:29" ht="23.1" customHeight="1">
      <c r="A644" s="472"/>
      <c r="B644" s="624"/>
      <c r="C644" s="564"/>
      <c r="D644" s="2013"/>
      <c r="E644" s="624"/>
      <c r="F644" s="824"/>
      <c r="G644" s="824"/>
      <c r="H644" s="551"/>
      <c r="I644" s="634"/>
      <c r="J644" s="1312" t="s">
        <v>835</v>
      </c>
      <c r="K644" s="1313"/>
      <c r="L644" s="1313"/>
      <c r="M644" s="1313"/>
      <c r="N644" s="889"/>
      <c r="O644" s="1313"/>
      <c r="P644" s="1313"/>
      <c r="Q644" s="1314"/>
      <c r="R644" s="473"/>
      <c r="S644" s="474">
        <f>+S642</f>
        <v>456000000</v>
      </c>
      <c r="T644" s="473" t="s">
        <v>37</v>
      </c>
      <c r="U644" s="473"/>
      <c r="V644" s="1330">
        <v>0.1</v>
      </c>
      <c r="W644" s="473"/>
      <c r="X644" s="473" t="s">
        <v>38</v>
      </c>
      <c r="Y644" s="1452">
        <f>+Z644/1000</f>
        <v>45600</v>
      </c>
      <c r="Z644" s="1341">
        <f>ROUNDUP(S644*V644,-3)</f>
        <v>45600000</v>
      </c>
      <c r="AA644" s="427"/>
      <c r="AB644" s="427"/>
      <c r="AC644" s="192"/>
    </row>
    <row r="645" spans="1:29" ht="23.1" customHeight="1">
      <c r="A645" s="2079"/>
      <c r="B645" s="2035"/>
      <c r="C645" s="631"/>
      <c r="D645" s="493"/>
      <c r="E645" s="1331"/>
      <c r="F645" s="823"/>
      <c r="G645" s="823"/>
      <c r="H645" s="1332"/>
      <c r="I645" s="634"/>
      <c r="J645" s="1333" t="s">
        <v>2860</v>
      </c>
      <c r="K645" s="1334"/>
      <c r="L645" s="1334"/>
      <c r="M645" s="1334"/>
      <c r="N645" s="1335"/>
      <c r="O645" s="1335"/>
      <c r="P645" s="1334"/>
      <c r="Q645" s="1336"/>
      <c r="R645" s="510"/>
      <c r="S645" s="617">
        <v>1000000</v>
      </c>
      <c r="T645" s="510" t="s">
        <v>37</v>
      </c>
      <c r="U645" s="510"/>
      <c r="V645" s="1337">
        <v>9</v>
      </c>
      <c r="W645" s="510" t="s">
        <v>824</v>
      </c>
      <c r="X645" s="510" t="s">
        <v>38</v>
      </c>
      <c r="Y645" s="1458">
        <f>+Z645/1000</f>
        <v>9000</v>
      </c>
      <c r="Z645" s="3277">
        <f>ROUNDUP(S645*V645,-3)</f>
        <v>9000000</v>
      </c>
      <c r="AA645" s="427"/>
      <c r="AB645" s="427"/>
      <c r="AC645" s="192"/>
    </row>
    <row r="646" spans="1:29" ht="23.1" customHeight="1">
      <c r="A646" s="2373"/>
      <c r="B646" s="2035"/>
      <c r="C646" s="2013"/>
      <c r="D646" s="3834" t="s">
        <v>161</v>
      </c>
      <c r="E646" s="3913"/>
      <c r="F646" s="2374">
        <f>SUM(F647:F707)</f>
        <v>1052360</v>
      </c>
      <c r="G646" s="2374">
        <f>SUM(G647:G707)</f>
        <v>1052360</v>
      </c>
      <c r="H646" s="1320">
        <f>+F646-G646</f>
        <v>0</v>
      </c>
      <c r="I646" s="634"/>
      <c r="J646" s="514"/>
      <c r="K646" s="515"/>
      <c r="L646" s="515"/>
      <c r="M646" s="515"/>
      <c r="N646" s="515"/>
      <c r="O646" s="515"/>
      <c r="P646" s="516"/>
      <c r="Q646" s="515"/>
      <c r="R646" s="516"/>
      <c r="S646" s="515"/>
      <c r="T646" s="516"/>
      <c r="U646" s="515"/>
      <c r="V646" s="516"/>
      <c r="W646" s="515"/>
      <c r="X646" s="515"/>
      <c r="Y646" s="517"/>
      <c r="Z646" s="518"/>
      <c r="AA646" s="427"/>
      <c r="AB646" s="427"/>
      <c r="AC646" s="192"/>
    </row>
    <row r="647" spans="1:29" ht="23.1" customHeight="1">
      <c r="A647" s="2375"/>
      <c r="B647" s="674"/>
      <c r="C647" s="675"/>
      <c r="D647" s="994"/>
      <c r="E647" s="2131" t="s">
        <v>1127</v>
      </c>
      <c r="F647" s="2222">
        <f>+Y647</f>
        <v>3250</v>
      </c>
      <c r="G647" s="2222">
        <v>3250</v>
      </c>
      <c r="H647" s="2376"/>
      <c r="I647" s="734"/>
      <c r="J647" s="1074" t="s">
        <v>1669</v>
      </c>
      <c r="K647" s="1259"/>
      <c r="L647" s="1259"/>
      <c r="M647" s="1259"/>
      <c r="N647" s="1259"/>
      <c r="O647" s="2112"/>
      <c r="P647" s="1033"/>
      <c r="Q647" s="2112"/>
      <c r="R647" s="1033"/>
      <c r="S647" s="2230">
        <v>250000</v>
      </c>
      <c r="T647" s="1061" t="s">
        <v>0</v>
      </c>
      <c r="U647" s="2112"/>
      <c r="V647" s="1119">
        <v>13</v>
      </c>
      <c r="W647" s="2110" t="s">
        <v>28</v>
      </c>
      <c r="X647" s="1061" t="s">
        <v>38</v>
      </c>
      <c r="Y647" s="965">
        <f t="shared" ref="Y647:Y656" si="100">+Z647/1000</f>
        <v>3250</v>
      </c>
      <c r="Z647" s="2377">
        <f>S647*V647</f>
        <v>3250000</v>
      </c>
      <c r="AA647" s="427"/>
      <c r="AB647" s="427"/>
      <c r="AC647" s="192"/>
    </row>
    <row r="648" spans="1:29" ht="23.1" customHeight="1">
      <c r="A648" s="2375"/>
      <c r="B648" s="674"/>
      <c r="C648" s="675"/>
      <c r="D648" s="2116"/>
      <c r="E648" s="1076" t="s">
        <v>54</v>
      </c>
      <c r="F648" s="2222">
        <f>+Y648</f>
        <v>900</v>
      </c>
      <c r="G648" s="2222">
        <v>900</v>
      </c>
      <c r="H648" s="2376"/>
      <c r="I648" s="734"/>
      <c r="J648" s="1074" t="s">
        <v>1696</v>
      </c>
      <c r="K648" s="1259"/>
      <c r="L648" s="1259"/>
      <c r="M648" s="1259"/>
      <c r="N648" s="1259"/>
      <c r="O648" s="2112"/>
      <c r="P648" s="1033"/>
      <c r="Q648" s="2112"/>
      <c r="R648" s="1033"/>
      <c r="S648" s="2230">
        <v>100000</v>
      </c>
      <c r="T648" s="1061" t="s">
        <v>0</v>
      </c>
      <c r="U648" s="2112"/>
      <c r="V648" s="1119">
        <v>9</v>
      </c>
      <c r="W648" s="2110" t="s">
        <v>28</v>
      </c>
      <c r="X648" s="1061" t="s">
        <v>38</v>
      </c>
      <c r="Y648" s="965">
        <f t="shared" si="100"/>
        <v>900</v>
      </c>
      <c r="Z648" s="2377">
        <f>S648*V648</f>
        <v>900000</v>
      </c>
      <c r="AA648" s="427"/>
      <c r="AB648" s="427"/>
      <c r="AC648" s="192"/>
    </row>
    <row r="649" spans="1:29" ht="23.1" customHeight="1">
      <c r="A649" s="2373"/>
      <c r="B649" s="2035"/>
      <c r="C649" s="2013"/>
      <c r="D649" s="2035"/>
      <c r="E649" s="1319" t="s">
        <v>27</v>
      </c>
      <c r="F649" s="2374">
        <f>+Y649</f>
        <v>7000</v>
      </c>
      <c r="G649" s="2374">
        <v>7000</v>
      </c>
      <c r="H649" s="2378"/>
      <c r="I649" s="634"/>
      <c r="J649" s="1566" t="s">
        <v>768</v>
      </c>
      <c r="K649" s="1326"/>
      <c r="L649" s="1326"/>
      <c r="M649" s="1326"/>
      <c r="N649" s="608"/>
      <c r="O649" s="1326"/>
      <c r="P649" s="1326"/>
      <c r="Q649" s="1344"/>
      <c r="R649" s="1326"/>
      <c r="S649" s="608"/>
      <c r="T649" s="1326"/>
      <c r="U649" s="1326"/>
      <c r="V649" s="1326"/>
      <c r="W649" s="1326"/>
      <c r="X649" s="1326"/>
      <c r="Y649" s="490">
        <f t="shared" si="100"/>
        <v>7000</v>
      </c>
      <c r="Z649" s="3486">
        <f>SUM(Z650:Z651)</f>
        <v>7000000</v>
      </c>
      <c r="AA649" s="427"/>
      <c r="AB649" s="427"/>
      <c r="AC649" s="192"/>
    </row>
    <row r="650" spans="1:29" ht="23.1" customHeight="1">
      <c r="A650" s="2373"/>
      <c r="B650" s="2035"/>
      <c r="C650" s="2013"/>
      <c r="D650" s="2035"/>
      <c r="E650" s="624"/>
      <c r="F650" s="633"/>
      <c r="G650" s="633"/>
      <c r="H650" s="2379"/>
      <c r="I650" s="634"/>
      <c r="J650" s="472" t="s">
        <v>717</v>
      </c>
      <c r="K650" s="473"/>
      <c r="L650" s="473"/>
      <c r="M650" s="473"/>
      <c r="N650" s="474"/>
      <c r="O650" s="473"/>
      <c r="P650" s="473"/>
      <c r="Q650" s="475"/>
      <c r="R650" s="473"/>
      <c r="S650" s="474">
        <v>5000000</v>
      </c>
      <c r="T650" s="473" t="s">
        <v>37</v>
      </c>
      <c r="U650" s="473"/>
      <c r="V650" s="473">
        <v>1</v>
      </c>
      <c r="W650" s="473" t="s">
        <v>39</v>
      </c>
      <c r="X650" s="473" t="s">
        <v>1</v>
      </c>
      <c r="Y650" s="483">
        <f t="shared" si="100"/>
        <v>5000</v>
      </c>
      <c r="Z650" s="1341">
        <f>+S650*V650</f>
        <v>5000000</v>
      </c>
      <c r="AA650" s="427"/>
      <c r="AB650" s="427"/>
      <c r="AC650" s="192"/>
    </row>
    <row r="651" spans="1:29" ht="23.1" customHeight="1">
      <c r="A651" s="2373"/>
      <c r="B651" s="2035"/>
      <c r="C651" s="2013"/>
      <c r="D651" s="2035"/>
      <c r="E651" s="624"/>
      <c r="F651" s="633"/>
      <c r="G651" s="633"/>
      <c r="H651" s="2379"/>
      <c r="I651" s="634"/>
      <c r="J651" s="472" t="s">
        <v>716</v>
      </c>
      <c r="K651" s="473"/>
      <c r="L651" s="473"/>
      <c r="M651" s="473"/>
      <c r="N651" s="474"/>
      <c r="O651" s="473"/>
      <c r="P651" s="473"/>
      <c r="Q651" s="475"/>
      <c r="R651" s="473"/>
      <c r="S651" s="474">
        <v>2000000</v>
      </c>
      <c r="T651" s="473" t="s">
        <v>0</v>
      </c>
      <c r="U651" s="473"/>
      <c r="V651" s="473">
        <v>1</v>
      </c>
      <c r="W651" s="473" t="s">
        <v>763</v>
      </c>
      <c r="X651" s="473" t="s">
        <v>1</v>
      </c>
      <c r="Y651" s="483">
        <f t="shared" si="100"/>
        <v>2000</v>
      </c>
      <c r="Z651" s="1341">
        <f>+S651*V651</f>
        <v>2000000</v>
      </c>
      <c r="AA651" s="427"/>
      <c r="AB651" s="427"/>
      <c r="AC651" s="192"/>
    </row>
    <row r="652" spans="1:29" ht="23.1" customHeight="1">
      <c r="A652" s="2373"/>
      <c r="B652" s="2035"/>
      <c r="C652" s="2013"/>
      <c r="D652" s="2035"/>
      <c r="E652" s="1319" t="s">
        <v>163</v>
      </c>
      <c r="F652" s="2374">
        <f>+Y652</f>
        <v>3600</v>
      </c>
      <c r="G652" s="2374">
        <v>3600</v>
      </c>
      <c r="H652" s="2378"/>
      <c r="I652" s="634"/>
      <c r="J652" s="1348" t="s">
        <v>1677</v>
      </c>
      <c r="K652" s="621"/>
      <c r="L652" s="621"/>
      <c r="M652" s="621"/>
      <c r="N652" s="545"/>
      <c r="O652" s="621"/>
      <c r="P652" s="621"/>
      <c r="Q652" s="1349">
        <v>1</v>
      </c>
      <c r="R652" s="621" t="s">
        <v>715</v>
      </c>
      <c r="S652" s="545">
        <v>300000</v>
      </c>
      <c r="T652" s="621" t="s">
        <v>0</v>
      </c>
      <c r="U652" s="621"/>
      <c r="V652" s="621">
        <v>12</v>
      </c>
      <c r="W652" s="621" t="s">
        <v>2</v>
      </c>
      <c r="X652" s="621" t="s">
        <v>1</v>
      </c>
      <c r="Y652" s="517">
        <f t="shared" si="100"/>
        <v>3600</v>
      </c>
      <c r="Z652" s="3485">
        <f>+Q652*S652*V652</f>
        <v>3600000</v>
      </c>
      <c r="AA652" s="427"/>
      <c r="AB652" s="427"/>
      <c r="AC652" s="192"/>
    </row>
    <row r="653" spans="1:29" ht="23.1" customHeight="1">
      <c r="A653" s="2373"/>
      <c r="B653" s="2035"/>
      <c r="C653" s="2013"/>
      <c r="D653" s="2035"/>
      <c r="E653" s="852" t="s">
        <v>4580</v>
      </c>
      <c r="F653" s="2247">
        <f>+Y653</f>
        <v>21000</v>
      </c>
      <c r="G653" s="2247">
        <v>21000</v>
      </c>
      <c r="H653" s="3276"/>
      <c r="I653" s="734"/>
      <c r="J653" s="856" t="s">
        <v>4557</v>
      </c>
      <c r="K653" s="857"/>
      <c r="L653" s="857"/>
      <c r="M653" s="857"/>
      <c r="N653" s="858"/>
      <c r="O653" s="858"/>
      <c r="P653" s="857"/>
      <c r="Q653" s="859"/>
      <c r="R653" s="857"/>
      <c r="S653" s="857"/>
      <c r="T653" s="857"/>
      <c r="U653" s="857"/>
      <c r="V653" s="857"/>
      <c r="W653" s="857"/>
      <c r="X653" s="857"/>
      <c r="Y653" s="861">
        <f t="shared" si="100"/>
        <v>21000</v>
      </c>
      <c r="Z653" s="3487">
        <f>SUM(Z654:Z656)</f>
        <v>21000000</v>
      </c>
      <c r="AA653" s="427"/>
      <c r="AB653" s="427"/>
      <c r="AC653" s="192"/>
    </row>
    <row r="654" spans="1:29" ht="23.1" customHeight="1">
      <c r="A654" s="2373"/>
      <c r="B654" s="2035"/>
      <c r="C654" s="2013"/>
      <c r="D654" s="2035"/>
      <c r="E654" s="851"/>
      <c r="F654" s="2381"/>
      <c r="G654" s="2381"/>
      <c r="H654" s="2382"/>
      <c r="I654" s="734"/>
      <c r="J654" s="866" t="s">
        <v>4577</v>
      </c>
      <c r="K654" s="3163"/>
      <c r="L654" s="3163"/>
      <c r="M654" s="3163"/>
      <c r="N654" s="3164"/>
      <c r="O654" s="3163"/>
      <c r="P654" s="3163"/>
      <c r="Q654" s="869"/>
      <c r="R654" s="3163"/>
      <c r="S654" s="3164">
        <v>5000000</v>
      </c>
      <c r="T654" s="3163" t="s">
        <v>0</v>
      </c>
      <c r="U654" s="3163"/>
      <c r="V654" s="3163">
        <v>4</v>
      </c>
      <c r="W654" s="3163" t="s">
        <v>3</v>
      </c>
      <c r="X654" s="3163" t="s">
        <v>1</v>
      </c>
      <c r="Y654" s="871">
        <f t="shared" si="100"/>
        <v>20000</v>
      </c>
      <c r="Z654" s="1405">
        <f>+S654*V654</f>
        <v>20000000</v>
      </c>
      <c r="AA654" s="427"/>
      <c r="AB654" s="427"/>
      <c r="AC654" s="192"/>
    </row>
    <row r="655" spans="1:29" ht="23.1" customHeight="1">
      <c r="A655" s="2373"/>
      <c r="B655" s="2035"/>
      <c r="C655" s="2013"/>
      <c r="D655" s="2035"/>
      <c r="E655" s="851"/>
      <c r="F655" s="2381"/>
      <c r="G655" s="2381"/>
      <c r="H655" s="2382"/>
      <c r="I655" s="734"/>
      <c r="J655" s="866" t="s">
        <v>4578</v>
      </c>
      <c r="K655" s="3163"/>
      <c r="L655" s="3163"/>
      <c r="M655" s="3163"/>
      <c r="N655" s="3164"/>
      <c r="O655" s="3163"/>
      <c r="P655" s="3163"/>
      <c r="Q655" s="869"/>
      <c r="R655" s="3163"/>
      <c r="S655" s="3164">
        <v>250000</v>
      </c>
      <c r="T655" s="3163" t="s">
        <v>0</v>
      </c>
      <c r="U655" s="3163"/>
      <c r="V655" s="3163">
        <v>2</v>
      </c>
      <c r="W655" s="3163" t="s">
        <v>3</v>
      </c>
      <c r="X655" s="3163" t="s">
        <v>1</v>
      </c>
      <c r="Y655" s="871">
        <f t="shared" si="100"/>
        <v>500</v>
      </c>
      <c r="Z655" s="1405">
        <f>+S655*V655</f>
        <v>500000</v>
      </c>
      <c r="AA655" s="427"/>
      <c r="AB655" s="427"/>
      <c r="AC655" s="192"/>
    </row>
    <row r="656" spans="1:29" ht="23.1" customHeight="1">
      <c r="A656" s="2373"/>
      <c r="B656" s="2035"/>
      <c r="C656" s="2013"/>
      <c r="D656" s="2035"/>
      <c r="E656" s="851"/>
      <c r="F656" s="2381"/>
      <c r="G656" s="2381"/>
      <c r="H656" s="2382"/>
      <c r="I656" s="734"/>
      <c r="J656" s="866" t="s">
        <v>4579</v>
      </c>
      <c r="K656" s="3163"/>
      <c r="L656" s="3163"/>
      <c r="M656" s="3163"/>
      <c r="N656" s="3164"/>
      <c r="O656" s="3163"/>
      <c r="P656" s="3163"/>
      <c r="Q656" s="869"/>
      <c r="R656" s="3163"/>
      <c r="S656" s="3164">
        <v>50000</v>
      </c>
      <c r="T656" s="3163" t="s">
        <v>0</v>
      </c>
      <c r="U656" s="3163"/>
      <c r="V656" s="3163">
        <v>10</v>
      </c>
      <c r="W656" s="3163" t="s">
        <v>4566</v>
      </c>
      <c r="X656" s="3163" t="s">
        <v>1</v>
      </c>
      <c r="Y656" s="871">
        <f t="shared" si="100"/>
        <v>500</v>
      </c>
      <c r="Z656" s="2187">
        <f>+S656*V656</f>
        <v>500000</v>
      </c>
      <c r="AA656" s="427"/>
      <c r="AB656" s="427"/>
      <c r="AC656" s="192"/>
    </row>
    <row r="657" spans="1:29" ht="23.1" customHeight="1">
      <c r="A657" s="2373"/>
      <c r="B657" s="2035"/>
      <c r="C657" s="2013"/>
      <c r="D657" s="2035"/>
      <c r="E657" s="1319" t="s">
        <v>80</v>
      </c>
      <c r="F657" s="2374">
        <f>+Y657</f>
        <v>11720</v>
      </c>
      <c r="G657" s="2374">
        <v>11720</v>
      </c>
      <c r="H657" s="1320"/>
      <c r="I657" s="634"/>
      <c r="J657" s="1566" t="s">
        <v>2575</v>
      </c>
      <c r="K657" s="1326"/>
      <c r="L657" s="1326"/>
      <c r="M657" s="1326"/>
      <c r="N657" s="608"/>
      <c r="O657" s="608"/>
      <c r="P657" s="1326"/>
      <c r="Q657" s="1344"/>
      <c r="R657" s="1326"/>
      <c r="S657" s="1326"/>
      <c r="T657" s="1326"/>
      <c r="U657" s="1326"/>
      <c r="V657" s="1326"/>
      <c r="W657" s="1326"/>
      <c r="X657" s="1326"/>
      <c r="Y657" s="490">
        <f>SUM(Y658:Y662)</f>
        <v>11720</v>
      </c>
      <c r="Z657" s="3486">
        <f>SUM(Z658:Z662)</f>
        <v>11720000</v>
      </c>
      <c r="AA657" s="427"/>
      <c r="AB657" s="427"/>
      <c r="AC657" s="192"/>
    </row>
    <row r="658" spans="1:29" ht="23.1" customHeight="1">
      <c r="A658" s="2373"/>
      <c r="B658" s="2035"/>
      <c r="C658" s="2013"/>
      <c r="D658" s="2035"/>
      <c r="E658" s="624"/>
      <c r="F658" s="633"/>
      <c r="G658" s="633"/>
      <c r="H658" s="2379"/>
      <c r="I658" s="634"/>
      <c r="J658" s="472" t="s">
        <v>713</v>
      </c>
      <c r="K658" s="473"/>
      <c r="L658" s="473"/>
      <c r="M658" s="473"/>
      <c r="N658" s="474"/>
      <c r="O658" s="473"/>
      <c r="P658" s="473"/>
      <c r="Q658" s="475">
        <v>5</v>
      </c>
      <c r="R658" s="473" t="s">
        <v>40</v>
      </c>
      <c r="S658" s="474">
        <v>30000</v>
      </c>
      <c r="T658" s="473" t="s">
        <v>0</v>
      </c>
      <c r="U658" s="473"/>
      <c r="V658" s="473">
        <v>12</v>
      </c>
      <c r="W658" s="473" t="s">
        <v>2</v>
      </c>
      <c r="X658" s="473" t="s">
        <v>1</v>
      </c>
      <c r="Y658" s="483">
        <f t="shared" ref="Y658:Y666" si="101">+Z658/1000</f>
        <v>1800</v>
      </c>
      <c r="Z658" s="1341">
        <f>+Q658*S658*V658</f>
        <v>1800000</v>
      </c>
      <c r="AA658" s="427"/>
      <c r="AB658" s="427"/>
      <c r="AC658" s="192"/>
    </row>
    <row r="659" spans="1:29" ht="23.1" customHeight="1">
      <c r="A659" s="2373"/>
      <c r="B659" s="2035"/>
      <c r="C659" s="2013"/>
      <c r="D659" s="2013"/>
      <c r="E659" s="624"/>
      <c r="F659" s="633"/>
      <c r="G659" s="633"/>
      <c r="H659" s="2379"/>
      <c r="I659" s="634"/>
      <c r="J659" s="472" t="s">
        <v>712</v>
      </c>
      <c r="K659" s="473"/>
      <c r="L659" s="473"/>
      <c r="M659" s="473"/>
      <c r="N659" s="474"/>
      <c r="O659" s="473"/>
      <c r="P659" s="473"/>
      <c r="Q659" s="475">
        <v>48</v>
      </c>
      <c r="R659" s="473" t="s">
        <v>34</v>
      </c>
      <c r="S659" s="474">
        <v>5000</v>
      </c>
      <c r="T659" s="473" t="s">
        <v>0</v>
      </c>
      <c r="U659" s="473"/>
      <c r="V659" s="2380">
        <v>2</v>
      </c>
      <c r="W659" s="473" t="s">
        <v>2</v>
      </c>
      <c r="X659" s="473" t="s">
        <v>1</v>
      </c>
      <c r="Y659" s="483">
        <f t="shared" si="101"/>
        <v>480</v>
      </c>
      <c r="Z659" s="1341">
        <f>+Q659*S659*V659</f>
        <v>480000</v>
      </c>
      <c r="AA659" s="427"/>
      <c r="AB659" s="427"/>
      <c r="AC659" s="192"/>
    </row>
    <row r="660" spans="1:29" ht="23.1" customHeight="1">
      <c r="A660" s="2373"/>
      <c r="B660" s="2035"/>
      <c r="C660" s="2013"/>
      <c r="D660" s="2013"/>
      <c r="E660" s="624"/>
      <c r="F660" s="633"/>
      <c r="G660" s="633"/>
      <c r="H660" s="2379"/>
      <c r="I660" s="634"/>
      <c r="J660" s="472" t="s">
        <v>711</v>
      </c>
      <c r="K660" s="473"/>
      <c r="L660" s="473"/>
      <c r="M660" s="473"/>
      <c r="N660" s="474"/>
      <c r="O660" s="473"/>
      <c r="P660" s="473"/>
      <c r="Q660" s="475">
        <v>1</v>
      </c>
      <c r="R660" s="473" t="s">
        <v>32</v>
      </c>
      <c r="S660" s="474">
        <v>350000</v>
      </c>
      <c r="T660" s="473" t="s">
        <v>0</v>
      </c>
      <c r="U660" s="473"/>
      <c r="V660" s="2380">
        <v>4</v>
      </c>
      <c r="W660" s="473" t="s">
        <v>3</v>
      </c>
      <c r="X660" s="473" t="s">
        <v>1</v>
      </c>
      <c r="Y660" s="483">
        <f t="shared" si="101"/>
        <v>1400</v>
      </c>
      <c r="Z660" s="1341">
        <f>+Q660*S660*V660</f>
        <v>1400000</v>
      </c>
      <c r="AA660" s="427"/>
      <c r="AB660" s="427"/>
      <c r="AC660" s="192"/>
    </row>
    <row r="661" spans="1:29" ht="23.1" customHeight="1">
      <c r="A661" s="2373"/>
      <c r="B661" s="2035"/>
      <c r="C661" s="2013"/>
      <c r="D661" s="2013"/>
      <c r="E661" s="624"/>
      <c r="F661" s="633"/>
      <c r="G661" s="633"/>
      <c r="H661" s="2379"/>
      <c r="I661" s="634"/>
      <c r="J661" s="472" t="s">
        <v>710</v>
      </c>
      <c r="K661" s="473"/>
      <c r="L661" s="473"/>
      <c r="M661" s="473"/>
      <c r="N661" s="474"/>
      <c r="O661" s="473"/>
      <c r="P661" s="473"/>
      <c r="Q661" s="475"/>
      <c r="R661" s="473"/>
      <c r="S661" s="474">
        <v>170000</v>
      </c>
      <c r="T661" s="473" t="s">
        <v>0</v>
      </c>
      <c r="U661" s="473"/>
      <c r="V661" s="473">
        <v>12</v>
      </c>
      <c r="W661" s="473" t="s">
        <v>2</v>
      </c>
      <c r="X661" s="473" t="s">
        <v>1</v>
      </c>
      <c r="Y661" s="483">
        <f t="shared" si="101"/>
        <v>2040</v>
      </c>
      <c r="Z661" s="1341">
        <f>S661*V661</f>
        <v>2040000</v>
      </c>
      <c r="AA661" s="427"/>
      <c r="AB661" s="427"/>
      <c r="AC661" s="192"/>
    </row>
    <row r="662" spans="1:29" ht="23.1" customHeight="1">
      <c r="A662" s="2373"/>
      <c r="B662" s="2035"/>
      <c r="C662" s="2013"/>
      <c r="D662" s="2013"/>
      <c r="E662" s="1331"/>
      <c r="F662" s="2319"/>
      <c r="G662" s="2319"/>
      <c r="H662" s="2320"/>
      <c r="I662" s="634"/>
      <c r="J662" s="1342" t="s">
        <v>709</v>
      </c>
      <c r="K662" s="510"/>
      <c r="L662" s="510"/>
      <c r="M662" s="510"/>
      <c r="N662" s="617"/>
      <c r="O662" s="510"/>
      <c r="P662" s="510"/>
      <c r="Q662" s="507"/>
      <c r="R662" s="510"/>
      <c r="S662" s="617">
        <v>6000000</v>
      </c>
      <c r="T662" s="510" t="s">
        <v>0</v>
      </c>
      <c r="U662" s="510"/>
      <c r="V662" s="510">
        <v>1</v>
      </c>
      <c r="W662" s="510" t="s">
        <v>226</v>
      </c>
      <c r="X662" s="510" t="s">
        <v>1</v>
      </c>
      <c r="Y662" s="478">
        <f t="shared" si="101"/>
        <v>6000</v>
      </c>
      <c r="Z662" s="1341">
        <f>S662*V662</f>
        <v>6000000</v>
      </c>
      <c r="AA662" s="427"/>
      <c r="AB662" s="427"/>
      <c r="AC662" s="192"/>
    </row>
    <row r="663" spans="1:29" ht="23.1" customHeight="1">
      <c r="A663" s="2373"/>
      <c r="B663" s="2035"/>
      <c r="C663" s="2013"/>
      <c r="D663" s="2013"/>
      <c r="E663" s="1319" t="s">
        <v>166</v>
      </c>
      <c r="F663" s="2374">
        <f>+Y663</f>
        <v>179400</v>
      </c>
      <c r="G663" s="2374">
        <v>179400</v>
      </c>
      <c r="H663" s="1320"/>
      <c r="I663" s="634"/>
      <c r="J663" s="856" t="s">
        <v>224</v>
      </c>
      <c r="K663" s="857"/>
      <c r="L663" s="857"/>
      <c r="M663" s="857"/>
      <c r="N663" s="858"/>
      <c r="O663" s="858"/>
      <c r="P663" s="857"/>
      <c r="Q663" s="859"/>
      <c r="R663" s="857"/>
      <c r="S663" s="857"/>
      <c r="T663" s="857"/>
      <c r="U663" s="857"/>
      <c r="V663" s="857"/>
      <c r="W663" s="857"/>
      <c r="X663" s="857"/>
      <c r="Y663" s="861">
        <f t="shared" si="101"/>
        <v>179400</v>
      </c>
      <c r="Z663" s="1405">
        <f>SUM(Z664:Z666)</f>
        <v>179400000</v>
      </c>
      <c r="AA663" s="427"/>
      <c r="AB663" s="427"/>
      <c r="AC663" s="192"/>
    </row>
    <row r="664" spans="1:29" ht="23.1" customHeight="1">
      <c r="A664" s="2373"/>
      <c r="B664" s="2035"/>
      <c r="C664" s="2013"/>
      <c r="D664" s="2013"/>
      <c r="E664" s="624"/>
      <c r="F664" s="633"/>
      <c r="G664" s="633"/>
      <c r="H664" s="2379"/>
      <c r="I664" s="634"/>
      <c r="J664" s="866" t="s">
        <v>512</v>
      </c>
      <c r="K664" s="3163"/>
      <c r="L664" s="3163"/>
      <c r="M664" s="3163"/>
      <c r="N664" s="3164"/>
      <c r="O664" s="3163"/>
      <c r="P664" s="3163"/>
      <c r="Q664" s="869"/>
      <c r="R664" s="3163"/>
      <c r="S664" s="3164">
        <v>12000000</v>
      </c>
      <c r="T664" s="3163" t="s">
        <v>0</v>
      </c>
      <c r="U664" s="3163"/>
      <c r="V664" s="3163">
        <v>12</v>
      </c>
      <c r="W664" s="3163" t="s">
        <v>2</v>
      </c>
      <c r="X664" s="3163" t="s">
        <v>1</v>
      </c>
      <c r="Y664" s="871">
        <f t="shared" si="101"/>
        <v>144000</v>
      </c>
      <c r="Z664" s="1405">
        <f>+S664*V664</f>
        <v>144000000</v>
      </c>
      <c r="AA664" s="427"/>
      <c r="AB664" s="427"/>
      <c r="AC664" s="192"/>
    </row>
    <row r="665" spans="1:29" ht="23.1" customHeight="1">
      <c r="A665" s="2373"/>
      <c r="B665" s="2035"/>
      <c r="C665" s="2013"/>
      <c r="D665" s="2035"/>
      <c r="E665" s="624"/>
      <c r="F665" s="633"/>
      <c r="G665" s="633"/>
      <c r="H665" s="2379"/>
      <c r="I665" s="634"/>
      <c r="J665" s="866" t="s">
        <v>708</v>
      </c>
      <c r="K665" s="3163"/>
      <c r="L665" s="3163"/>
      <c r="M665" s="3163"/>
      <c r="N665" s="3164"/>
      <c r="O665" s="3163"/>
      <c r="P665" s="3163"/>
      <c r="Q665" s="869"/>
      <c r="R665" s="3163"/>
      <c r="S665" s="3164">
        <v>650000</v>
      </c>
      <c r="T665" s="3163" t="s">
        <v>0</v>
      </c>
      <c r="U665" s="3163"/>
      <c r="V665" s="3163">
        <v>12</v>
      </c>
      <c r="W665" s="3163" t="s">
        <v>2</v>
      </c>
      <c r="X665" s="3163" t="s">
        <v>1</v>
      </c>
      <c r="Y665" s="871">
        <f t="shared" si="101"/>
        <v>7800</v>
      </c>
      <c r="Z665" s="1405">
        <f>+S665*V665</f>
        <v>7800000</v>
      </c>
      <c r="AA665" s="427"/>
      <c r="AB665" s="427"/>
      <c r="AC665" s="192"/>
    </row>
    <row r="666" spans="1:29" ht="23.1" customHeight="1">
      <c r="A666" s="2373"/>
      <c r="B666" s="2035"/>
      <c r="C666" s="2013"/>
      <c r="D666" s="2035"/>
      <c r="E666" s="1331"/>
      <c r="F666" s="2319"/>
      <c r="G666" s="2319"/>
      <c r="H666" s="2320"/>
      <c r="I666" s="634"/>
      <c r="J666" s="1018" t="s">
        <v>3406</v>
      </c>
      <c r="K666" s="978"/>
      <c r="L666" s="978"/>
      <c r="M666" s="978"/>
      <c r="N666" s="979"/>
      <c r="O666" s="978"/>
      <c r="P666" s="978"/>
      <c r="Q666" s="1019">
        <v>1</v>
      </c>
      <c r="R666" s="978" t="s">
        <v>32</v>
      </c>
      <c r="S666" s="979">
        <v>2300000</v>
      </c>
      <c r="T666" s="978" t="s">
        <v>0</v>
      </c>
      <c r="U666" s="978"/>
      <c r="V666" s="978">
        <v>12</v>
      </c>
      <c r="W666" s="978" t="s">
        <v>2</v>
      </c>
      <c r="X666" s="978" t="s">
        <v>1</v>
      </c>
      <c r="Y666" s="981">
        <f t="shared" si="101"/>
        <v>27600</v>
      </c>
      <c r="Z666" s="2187">
        <f>+Q666*S666*V666</f>
        <v>27600000</v>
      </c>
      <c r="AA666" s="427"/>
      <c r="AB666" s="427"/>
      <c r="AC666" s="192"/>
    </row>
    <row r="667" spans="1:29" ht="23.1" customHeight="1">
      <c r="A667" s="2375"/>
      <c r="B667" s="674"/>
      <c r="C667" s="675"/>
      <c r="D667" s="674"/>
      <c r="E667" s="851" t="s">
        <v>707</v>
      </c>
      <c r="F667" s="2381">
        <f>Y667</f>
        <v>2120</v>
      </c>
      <c r="G667" s="2381">
        <v>2120</v>
      </c>
      <c r="H667" s="2382"/>
      <c r="I667" s="734"/>
      <c r="J667" s="866" t="s">
        <v>768</v>
      </c>
      <c r="K667" s="867"/>
      <c r="L667" s="867"/>
      <c r="M667" s="867"/>
      <c r="N667" s="868"/>
      <c r="O667" s="867"/>
      <c r="P667" s="867"/>
      <c r="Q667" s="869"/>
      <c r="R667" s="867"/>
      <c r="S667" s="868"/>
      <c r="T667" s="867"/>
      <c r="U667" s="867"/>
      <c r="V667" s="2383"/>
      <c r="W667" s="2384"/>
      <c r="X667" s="867"/>
      <c r="Y667" s="871">
        <f t="shared" ref="Y667:Y669" si="102">+Z667/1000</f>
        <v>2120</v>
      </c>
      <c r="Z667" s="1405">
        <f>SUM(Z668:Z669)</f>
        <v>2120000</v>
      </c>
      <c r="AA667" s="427"/>
      <c r="AB667" s="427"/>
      <c r="AC667" s="192"/>
    </row>
    <row r="668" spans="1:29" ht="23.1" customHeight="1">
      <c r="A668" s="2373"/>
      <c r="B668" s="2035"/>
      <c r="C668" s="2013"/>
      <c r="D668" s="2035"/>
      <c r="E668" s="624"/>
      <c r="F668" s="633"/>
      <c r="G668" s="633"/>
      <c r="H668" s="2379"/>
      <c r="I668" s="634"/>
      <c r="J668" s="472" t="s">
        <v>1786</v>
      </c>
      <c r="K668" s="473"/>
      <c r="L668" s="473"/>
      <c r="M668" s="473"/>
      <c r="N668" s="474"/>
      <c r="O668" s="473"/>
      <c r="P668" s="473"/>
      <c r="Q668" s="475"/>
      <c r="R668" s="473"/>
      <c r="S668" s="474">
        <v>600000</v>
      </c>
      <c r="T668" s="473" t="s">
        <v>0</v>
      </c>
      <c r="U668" s="473"/>
      <c r="V668" s="2385">
        <v>1</v>
      </c>
      <c r="W668" s="2386" t="s">
        <v>830</v>
      </c>
      <c r="X668" s="473" t="s">
        <v>1</v>
      </c>
      <c r="Y668" s="483">
        <f t="shared" si="102"/>
        <v>600</v>
      </c>
      <c r="Z668" s="1341">
        <f>S668*V668</f>
        <v>600000</v>
      </c>
      <c r="AA668" s="427"/>
      <c r="AB668" s="427"/>
      <c r="AC668" s="192"/>
    </row>
    <row r="669" spans="1:29" ht="23.1" customHeight="1">
      <c r="A669" s="2373"/>
      <c r="B669" s="2035"/>
      <c r="C669" s="2013"/>
      <c r="D669" s="2035"/>
      <c r="E669" s="1331"/>
      <c r="F669" s="2319"/>
      <c r="G669" s="2319"/>
      <c r="H669" s="2320"/>
      <c r="I669" s="634"/>
      <c r="J669" s="1342" t="s">
        <v>1789</v>
      </c>
      <c r="K669" s="510"/>
      <c r="L669" s="510"/>
      <c r="M669" s="510"/>
      <c r="N669" s="617"/>
      <c r="O669" s="510"/>
      <c r="P669" s="510"/>
      <c r="Q669" s="507"/>
      <c r="R669" s="510"/>
      <c r="S669" s="617">
        <v>1520000000</v>
      </c>
      <c r="T669" s="510" t="s">
        <v>0</v>
      </c>
      <c r="U669" s="510"/>
      <c r="V669" s="1345">
        <v>1E-3</v>
      </c>
      <c r="W669" s="2387"/>
      <c r="X669" s="510" t="s">
        <v>1</v>
      </c>
      <c r="Y669" s="478">
        <f t="shared" si="102"/>
        <v>1520</v>
      </c>
      <c r="Z669" s="3277">
        <f>+S669*V669</f>
        <v>1520000</v>
      </c>
      <c r="AA669" s="427"/>
      <c r="AB669" s="427"/>
      <c r="AC669" s="192"/>
    </row>
    <row r="670" spans="1:29" ht="21.6" customHeight="1">
      <c r="A670" s="2373"/>
      <c r="B670" s="2035"/>
      <c r="C670" s="2013"/>
      <c r="D670" s="2035"/>
      <c r="E670" s="624" t="s">
        <v>95</v>
      </c>
      <c r="F670" s="633">
        <f>+Y670</f>
        <v>40800</v>
      </c>
      <c r="G670" s="633">
        <v>40800</v>
      </c>
      <c r="H670" s="2379"/>
      <c r="I670" s="634"/>
      <c r="J670" s="472" t="s">
        <v>768</v>
      </c>
      <c r="K670" s="473"/>
      <c r="L670" s="473"/>
      <c r="M670" s="473"/>
      <c r="N670" s="474"/>
      <c r="O670" s="474"/>
      <c r="P670" s="473"/>
      <c r="Q670" s="475"/>
      <c r="R670" s="473"/>
      <c r="S670" s="473"/>
      <c r="T670" s="473"/>
      <c r="U670" s="473"/>
      <c r="V670" s="473"/>
      <c r="W670" s="473"/>
      <c r="X670" s="473"/>
      <c r="Y670" s="483">
        <f>SUM(Y671:Y673)</f>
        <v>40800</v>
      </c>
      <c r="Z670" s="1341">
        <f>SUM(Z671:Z673)</f>
        <v>40800000</v>
      </c>
      <c r="AA670" s="427"/>
      <c r="AB670" s="427"/>
      <c r="AC670" s="192"/>
    </row>
    <row r="671" spans="1:29" ht="21.6" customHeight="1">
      <c r="A671" s="2373"/>
      <c r="B671" s="2035"/>
      <c r="C671" s="2013"/>
      <c r="D671" s="2035"/>
      <c r="E671" s="624" t="s">
        <v>20</v>
      </c>
      <c r="F671" s="633"/>
      <c r="G671" s="633"/>
      <c r="H671" s="2379"/>
      <c r="I671" s="634"/>
      <c r="J671" s="472" t="s">
        <v>2655</v>
      </c>
      <c r="K671" s="473"/>
      <c r="L671" s="473"/>
      <c r="M671" s="473"/>
      <c r="N671" s="474"/>
      <c r="O671" s="473">
        <v>9</v>
      </c>
      <c r="P671" s="473" t="s">
        <v>25</v>
      </c>
      <c r="Q671" s="475">
        <v>4</v>
      </c>
      <c r="R671" s="473" t="s">
        <v>31</v>
      </c>
      <c r="S671" s="474">
        <v>25000</v>
      </c>
      <c r="T671" s="473" t="s">
        <v>0</v>
      </c>
      <c r="U671" s="473"/>
      <c r="V671" s="473">
        <v>12</v>
      </c>
      <c r="W671" s="473" t="s">
        <v>2</v>
      </c>
      <c r="X671" s="473" t="s">
        <v>1</v>
      </c>
      <c r="Y671" s="483">
        <f>+Z671/1000</f>
        <v>10800</v>
      </c>
      <c r="Z671" s="1341">
        <f>+O671*Q671*S671*V671</f>
        <v>10800000</v>
      </c>
      <c r="AA671" s="427"/>
      <c r="AB671" s="427"/>
      <c r="AC671" s="192"/>
    </row>
    <row r="672" spans="1:29" ht="21.6" customHeight="1">
      <c r="A672" s="2373"/>
      <c r="B672" s="2035"/>
      <c r="C672" s="2013"/>
      <c r="D672" s="2035"/>
      <c r="E672" s="624"/>
      <c r="F672" s="633"/>
      <c r="G672" s="633"/>
      <c r="H672" s="2379"/>
      <c r="I672" s="634"/>
      <c r="J672" s="472" t="s">
        <v>706</v>
      </c>
      <c r="K672" s="473"/>
      <c r="L672" s="473"/>
      <c r="M672" s="473"/>
      <c r="N672" s="474"/>
      <c r="O672" s="473"/>
      <c r="P672" s="473"/>
      <c r="Q672" s="475"/>
      <c r="R672" s="473"/>
      <c r="S672" s="474">
        <v>3000000</v>
      </c>
      <c r="T672" s="473" t="s">
        <v>0</v>
      </c>
      <c r="U672" s="473"/>
      <c r="V672" s="473">
        <v>1</v>
      </c>
      <c r="W672" s="473" t="s">
        <v>824</v>
      </c>
      <c r="X672" s="473" t="s">
        <v>1</v>
      </c>
      <c r="Y672" s="483">
        <f>+Z672/1000</f>
        <v>3000</v>
      </c>
      <c r="Z672" s="1341">
        <f>S672*V672</f>
        <v>3000000</v>
      </c>
      <c r="AA672" s="427"/>
      <c r="AB672" s="427"/>
      <c r="AC672" s="192"/>
    </row>
    <row r="673" spans="1:29" ht="21.6" customHeight="1">
      <c r="A673" s="2373"/>
      <c r="B673" s="2035"/>
      <c r="C673" s="2013"/>
      <c r="D673" s="2035"/>
      <c r="E673" s="624"/>
      <c r="F673" s="633"/>
      <c r="G673" s="633"/>
      <c r="H673" s="2379"/>
      <c r="I673" s="634"/>
      <c r="J673" s="472" t="s">
        <v>1125</v>
      </c>
      <c r="K673" s="473"/>
      <c r="L673" s="473"/>
      <c r="M673" s="473"/>
      <c r="N673" s="474"/>
      <c r="O673" s="473"/>
      <c r="P673" s="473"/>
      <c r="Q673" s="475">
        <v>9</v>
      </c>
      <c r="R673" s="473" t="s">
        <v>929</v>
      </c>
      <c r="S673" s="474">
        <v>250000</v>
      </c>
      <c r="T673" s="473" t="s">
        <v>0</v>
      </c>
      <c r="U673" s="473"/>
      <c r="V673" s="473">
        <v>12</v>
      </c>
      <c r="W673" s="473" t="s">
        <v>2</v>
      </c>
      <c r="X673" s="510" t="s">
        <v>1</v>
      </c>
      <c r="Y673" s="478">
        <f>Z673/1000</f>
        <v>27000</v>
      </c>
      <c r="Z673" s="1341">
        <f>Q673*S673*V673</f>
        <v>27000000</v>
      </c>
      <c r="AA673" s="427"/>
      <c r="AB673" s="427"/>
      <c r="AC673" s="192"/>
    </row>
    <row r="674" spans="1:29" ht="21.6" customHeight="1">
      <c r="A674" s="2373"/>
      <c r="B674" s="2035"/>
      <c r="C674" s="2013"/>
      <c r="D674" s="632"/>
      <c r="E674" s="1319" t="s">
        <v>82</v>
      </c>
      <c r="F674" s="2374">
        <f>+Y674</f>
        <v>132400</v>
      </c>
      <c r="G674" s="2374">
        <v>132400</v>
      </c>
      <c r="H674" s="2378"/>
      <c r="I674" s="634"/>
      <c r="J674" s="1566" t="s">
        <v>768</v>
      </c>
      <c r="K674" s="1326"/>
      <c r="L674" s="1326"/>
      <c r="M674" s="1326"/>
      <c r="N674" s="608"/>
      <c r="O674" s="608"/>
      <c r="P674" s="1326"/>
      <c r="Q674" s="1344"/>
      <c r="R674" s="1326"/>
      <c r="S674" s="608"/>
      <c r="T674" s="1326"/>
      <c r="U674" s="1326"/>
      <c r="V674" s="1326"/>
      <c r="W674" s="1326"/>
      <c r="X674" s="473"/>
      <c r="Y674" s="483">
        <f>SUM(Y675:Y685)</f>
        <v>132400</v>
      </c>
      <c r="Z674" s="3486">
        <f>SUM(Z675:Z685)</f>
        <v>132400000</v>
      </c>
      <c r="AA674" s="427"/>
      <c r="AB674" s="427"/>
      <c r="AC674" s="192"/>
    </row>
    <row r="675" spans="1:29" ht="21.6" customHeight="1">
      <c r="A675" s="2373"/>
      <c r="B675" s="2035"/>
      <c r="C675" s="2013"/>
      <c r="D675" s="632"/>
      <c r="E675" s="624"/>
      <c r="F675" s="633"/>
      <c r="G675" s="633"/>
      <c r="H675" s="2379"/>
      <c r="I675" s="634"/>
      <c r="J675" s="472" t="s">
        <v>705</v>
      </c>
      <c r="K675" s="473"/>
      <c r="L675" s="473"/>
      <c r="M675" s="473"/>
      <c r="N675" s="474"/>
      <c r="O675" s="474"/>
      <c r="P675" s="473"/>
      <c r="Q675" s="475"/>
      <c r="R675" s="473"/>
      <c r="S675" s="474">
        <v>500000</v>
      </c>
      <c r="T675" s="473" t="s">
        <v>0</v>
      </c>
      <c r="U675" s="473"/>
      <c r="V675" s="473">
        <v>4</v>
      </c>
      <c r="W675" s="473" t="s">
        <v>39</v>
      </c>
      <c r="X675" s="473" t="s">
        <v>1</v>
      </c>
      <c r="Y675" s="483">
        <f t="shared" ref="Y675:Y688" si="103">+Z675/1000</f>
        <v>2000</v>
      </c>
      <c r="Z675" s="1341">
        <f>S675*V675</f>
        <v>2000000</v>
      </c>
      <c r="AA675" s="427"/>
      <c r="AB675" s="427"/>
      <c r="AC675" s="192"/>
    </row>
    <row r="676" spans="1:29" ht="21.6" customHeight="1">
      <c r="A676" s="2373"/>
      <c r="B676" s="2035"/>
      <c r="C676" s="2013"/>
      <c r="D676" s="2035"/>
      <c r="E676" s="624"/>
      <c r="F676" s="633"/>
      <c r="G676" s="633"/>
      <c r="H676" s="2379"/>
      <c r="I676" s="634"/>
      <c r="J676" s="472" t="s">
        <v>704</v>
      </c>
      <c r="K676" s="473"/>
      <c r="L676" s="473"/>
      <c r="M676" s="473"/>
      <c r="N676" s="474"/>
      <c r="O676" s="474"/>
      <c r="P676" s="473"/>
      <c r="Q676" s="475"/>
      <c r="R676" s="473"/>
      <c r="S676" s="474">
        <v>500000</v>
      </c>
      <c r="T676" s="473" t="s">
        <v>0</v>
      </c>
      <c r="U676" s="473"/>
      <c r="V676" s="473">
        <v>12</v>
      </c>
      <c r="W676" s="473" t="s">
        <v>830</v>
      </c>
      <c r="X676" s="473" t="s">
        <v>1</v>
      </c>
      <c r="Y676" s="483">
        <f t="shared" si="103"/>
        <v>6000</v>
      </c>
      <c r="Z676" s="1341">
        <f>+S676*V676</f>
        <v>6000000</v>
      </c>
      <c r="AA676" s="427"/>
      <c r="AB676" s="427"/>
      <c r="AC676" s="192"/>
    </row>
    <row r="677" spans="1:29" ht="21.6" customHeight="1">
      <c r="A677" s="2373"/>
      <c r="B677" s="2035"/>
      <c r="C677" s="2013"/>
      <c r="D677" s="2035"/>
      <c r="E677" s="624"/>
      <c r="F677" s="633"/>
      <c r="G677" s="633"/>
      <c r="H677" s="2379"/>
      <c r="I677" s="634"/>
      <c r="J677" s="472" t="s">
        <v>703</v>
      </c>
      <c r="K677" s="473"/>
      <c r="L677" s="473"/>
      <c r="M677" s="473"/>
      <c r="N677" s="474"/>
      <c r="O677" s="474"/>
      <c r="P677" s="473"/>
      <c r="Q677" s="475"/>
      <c r="R677" s="473"/>
      <c r="S677" s="474">
        <v>3500000</v>
      </c>
      <c r="T677" s="473" t="s">
        <v>0</v>
      </c>
      <c r="U677" s="473"/>
      <c r="V677" s="473">
        <v>12</v>
      </c>
      <c r="W677" s="473" t="s">
        <v>2</v>
      </c>
      <c r="X677" s="473" t="s">
        <v>1</v>
      </c>
      <c r="Y677" s="483">
        <f t="shared" si="103"/>
        <v>42000</v>
      </c>
      <c r="Z677" s="1341">
        <f>+S677*V677</f>
        <v>42000000</v>
      </c>
      <c r="AA677" s="427"/>
      <c r="AB677" s="427"/>
      <c r="AC677" s="192"/>
    </row>
    <row r="678" spans="1:29" ht="21.6" customHeight="1">
      <c r="A678" s="2373"/>
      <c r="B678" s="2035"/>
      <c r="C678" s="2013"/>
      <c r="D678" s="2035"/>
      <c r="E678" s="624"/>
      <c r="F678" s="633"/>
      <c r="G678" s="633"/>
      <c r="H678" s="2379"/>
      <c r="I678" s="634"/>
      <c r="J678" s="472" t="s">
        <v>702</v>
      </c>
      <c r="K678" s="473"/>
      <c r="L678" s="473"/>
      <c r="M678" s="473"/>
      <c r="N678" s="474"/>
      <c r="O678" s="473"/>
      <c r="P678" s="473"/>
      <c r="Q678" s="475"/>
      <c r="R678" s="473"/>
      <c r="S678" s="474">
        <v>2500000</v>
      </c>
      <c r="T678" s="473" t="s">
        <v>0</v>
      </c>
      <c r="U678" s="473"/>
      <c r="V678" s="473">
        <v>4</v>
      </c>
      <c r="W678" s="473" t="s">
        <v>3</v>
      </c>
      <c r="X678" s="473" t="s">
        <v>1</v>
      </c>
      <c r="Y678" s="483">
        <f t="shared" si="103"/>
        <v>10000</v>
      </c>
      <c r="Z678" s="1341">
        <f>S678*V678</f>
        <v>10000000</v>
      </c>
      <c r="AA678" s="427"/>
      <c r="AB678" s="427"/>
      <c r="AC678" s="192"/>
    </row>
    <row r="679" spans="1:29" ht="21.6" customHeight="1">
      <c r="A679" s="2373"/>
      <c r="B679" s="2035"/>
      <c r="C679" s="2013"/>
      <c r="D679" s="2035"/>
      <c r="E679" s="624"/>
      <c r="F679" s="633"/>
      <c r="G679" s="633"/>
      <c r="H679" s="2379"/>
      <c r="I679" s="634"/>
      <c r="J679" s="472" t="s">
        <v>3407</v>
      </c>
      <c r="K679" s="473"/>
      <c r="L679" s="473"/>
      <c r="M679" s="473"/>
      <c r="N679" s="474"/>
      <c r="O679" s="473"/>
      <c r="P679" s="473"/>
      <c r="Q679" s="475"/>
      <c r="R679" s="473"/>
      <c r="S679" s="474">
        <v>3350000</v>
      </c>
      <c r="T679" s="473" t="s">
        <v>0</v>
      </c>
      <c r="U679" s="473"/>
      <c r="V679" s="473">
        <v>5</v>
      </c>
      <c r="W679" s="473" t="s">
        <v>39</v>
      </c>
      <c r="X679" s="473" t="s">
        <v>1</v>
      </c>
      <c r="Y679" s="483">
        <f t="shared" si="103"/>
        <v>16750</v>
      </c>
      <c r="Z679" s="1341">
        <f t="shared" ref="Z679:Z685" si="104">+S679*V679</f>
        <v>16750000</v>
      </c>
      <c r="AA679" s="427"/>
      <c r="AB679" s="427"/>
      <c r="AC679" s="192"/>
    </row>
    <row r="680" spans="1:29" ht="21.6" customHeight="1">
      <c r="A680" s="2373"/>
      <c r="B680" s="2035"/>
      <c r="C680" s="2013"/>
      <c r="D680" s="2035"/>
      <c r="E680" s="624"/>
      <c r="F680" s="633"/>
      <c r="G680" s="633"/>
      <c r="H680" s="2379"/>
      <c r="I680" s="634"/>
      <c r="J680" s="472" t="s">
        <v>3408</v>
      </c>
      <c r="K680" s="473"/>
      <c r="L680" s="473"/>
      <c r="M680" s="473"/>
      <c r="N680" s="474"/>
      <c r="O680" s="473"/>
      <c r="P680" s="473"/>
      <c r="Q680" s="475"/>
      <c r="R680" s="473"/>
      <c r="S680" s="474">
        <v>2500000</v>
      </c>
      <c r="T680" s="473" t="s">
        <v>0</v>
      </c>
      <c r="U680" s="473"/>
      <c r="V680" s="473">
        <v>4</v>
      </c>
      <c r="W680" s="473" t="s">
        <v>3</v>
      </c>
      <c r="X680" s="473" t="s">
        <v>1</v>
      </c>
      <c r="Y680" s="483">
        <f t="shared" si="103"/>
        <v>10000</v>
      </c>
      <c r="Z680" s="1341">
        <f t="shared" si="104"/>
        <v>10000000</v>
      </c>
      <c r="AA680" s="427"/>
      <c r="AB680" s="427"/>
      <c r="AC680" s="192"/>
    </row>
    <row r="681" spans="1:29" ht="21.6" customHeight="1">
      <c r="A681" s="2373"/>
      <c r="B681" s="2035"/>
      <c r="C681" s="2013"/>
      <c r="D681" s="2035"/>
      <c r="E681" s="624"/>
      <c r="F681" s="633"/>
      <c r="G681" s="633"/>
      <c r="H681" s="2379"/>
      <c r="I681" s="634"/>
      <c r="J681" s="472" t="s">
        <v>3409</v>
      </c>
      <c r="K681" s="473"/>
      <c r="L681" s="473"/>
      <c r="M681" s="473"/>
      <c r="N681" s="474"/>
      <c r="O681" s="473"/>
      <c r="P681" s="473"/>
      <c r="Q681" s="475"/>
      <c r="R681" s="473"/>
      <c r="S681" s="474">
        <v>2000000</v>
      </c>
      <c r="T681" s="473" t="s">
        <v>0</v>
      </c>
      <c r="U681" s="473"/>
      <c r="V681" s="473">
        <v>4</v>
      </c>
      <c r="W681" s="473" t="s">
        <v>3</v>
      </c>
      <c r="X681" s="473" t="s">
        <v>1</v>
      </c>
      <c r="Y681" s="483">
        <f t="shared" si="103"/>
        <v>8000</v>
      </c>
      <c r="Z681" s="1341">
        <f t="shared" si="104"/>
        <v>8000000</v>
      </c>
      <c r="AA681" s="427"/>
      <c r="AB681" s="427"/>
      <c r="AC681" s="192"/>
    </row>
    <row r="682" spans="1:29" ht="21.6" customHeight="1">
      <c r="A682" s="2373"/>
      <c r="B682" s="2035"/>
      <c r="C682" s="2013"/>
      <c r="D682" s="2035"/>
      <c r="E682" s="624"/>
      <c r="F682" s="633"/>
      <c r="G682" s="633"/>
      <c r="H682" s="2379"/>
      <c r="I682" s="634"/>
      <c r="J682" s="472" t="s">
        <v>701</v>
      </c>
      <c r="K682" s="473"/>
      <c r="L682" s="473"/>
      <c r="M682" s="473"/>
      <c r="N682" s="474"/>
      <c r="O682" s="473"/>
      <c r="P682" s="473"/>
      <c r="Q682" s="475"/>
      <c r="R682" s="473"/>
      <c r="S682" s="474">
        <v>5000000</v>
      </c>
      <c r="T682" s="473" t="s">
        <v>0</v>
      </c>
      <c r="U682" s="473"/>
      <c r="V682" s="473">
        <v>5</v>
      </c>
      <c r="W682" s="473" t="s">
        <v>3</v>
      </c>
      <c r="X682" s="473" t="s">
        <v>1</v>
      </c>
      <c r="Y682" s="483">
        <f t="shared" si="103"/>
        <v>25000</v>
      </c>
      <c r="Z682" s="1341">
        <f t="shared" si="104"/>
        <v>25000000</v>
      </c>
      <c r="AA682" s="427"/>
      <c r="AB682" s="427"/>
      <c r="AC682" s="192"/>
    </row>
    <row r="683" spans="1:29" ht="21.6" customHeight="1">
      <c r="A683" s="2373"/>
      <c r="B683" s="2035"/>
      <c r="C683" s="2013"/>
      <c r="D683" s="2035"/>
      <c r="E683" s="624"/>
      <c r="F683" s="633"/>
      <c r="G683" s="633"/>
      <c r="H683" s="2379"/>
      <c r="I683" s="634"/>
      <c r="J683" s="472" t="s">
        <v>3410</v>
      </c>
      <c r="K683" s="473"/>
      <c r="L683" s="473"/>
      <c r="M683" s="473"/>
      <c r="N683" s="474"/>
      <c r="O683" s="473"/>
      <c r="P683" s="473"/>
      <c r="Q683" s="475"/>
      <c r="R683" s="473"/>
      <c r="S683" s="474">
        <v>1000000</v>
      </c>
      <c r="T683" s="473" t="s">
        <v>0</v>
      </c>
      <c r="U683" s="473"/>
      <c r="V683" s="473">
        <v>1</v>
      </c>
      <c r="W683" s="473" t="s">
        <v>763</v>
      </c>
      <c r="X683" s="473" t="s">
        <v>1</v>
      </c>
      <c r="Y683" s="483">
        <f t="shared" si="103"/>
        <v>1000</v>
      </c>
      <c r="Z683" s="1341">
        <f t="shared" si="104"/>
        <v>1000000</v>
      </c>
      <c r="AA683" s="427"/>
      <c r="AB683" s="427"/>
      <c r="AC683" s="192"/>
    </row>
    <row r="684" spans="1:29" ht="21.6" customHeight="1">
      <c r="A684" s="2373"/>
      <c r="B684" s="2035"/>
      <c r="C684" s="2013"/>
      <c r="D684" s="2035"/>
      <c r="E684" s="624"/>
      <c r="F684" s="633"/>
      <c r="G684" s="633"/>
      <c r="H684" s="2379"/>
      <c r="I684" s="634"/>
      <c r="J684" s="472" t="s">
        <v>3411</v>
      </c>
      <c r="K684" s="473"/>
      <c r="L684" s="473"/>
      <c r="M684" s="473"/>
      <c r="N684" s="474"/>
      <c r="O684" s="473"/>
      <c r="P684" s="473"/>
      <c r="Q684" s="475"/>
      <c r="R684" s="473"/>
      <c r="S684" s="474">
        <f>2000000</f>
        <v>2000000</v>
      </c>
      <c r="T684" s="473" t="s">
        <v>0</v>
      </c>
      <c r="U684" s="473"/>
      <c r="V684" s="473">
        <v>1</v>
      </c>
      <c r="W684" s="473" t="s">
        <v>763</v>
      </c>
      <c r="X684" s="473" t="s">
        <v>1</v>
      </c>
      <c r="Y684" s="483">
        <f t="shared" si="103"/>
        <v>2000</v>
      </c>
      <c r="Z684" s="1341">
        <f t="shared" si="104"/>
        <v>2000000</v>
      </c>
      <c r="AA684" s="427"/>
      <c r="AB684" s="427"/>
      <c r="AC684" s="192"/>
    </row>
    <row r="685" spans="1:29" ht="21.6" customHeight="1">
      <c r="A685" s="2373"/>
      <c r="B685" s="2035"/>
      <c r="C685" s="2013"/>
      <c r="D685" s="2035"/>
      <c r="E685" s="624"/>
      <c r="F685" s="633"/>
      <c r="G685" s="633"/>
      <c r="H685" s="2379"/>
      <c r="I685" s="634"/>
      <c r="J685" s="1342" t="s">
        <v>700</v>
      </c>
      <c r="K685" s="510"/>
      <c r="L685" s="510"/>
      <c r="M685" s="510"/>
      <c r="N685" s="617"/>
      <c r="O685" s="510"/>
      <c r="P685" s="510"/>
      <c r="Q685" s="507"/>
      <c r="R685" s="510"/>
      <c r="S685" s="617">
        <f>5000000-175000</f>
        <v>4825000</v>
      </c>
      <c r="T685" s="510" t="s">
        <v>0</v>
      </c>
      <c r="U685" s="510"/>
      <c r="V685" s="510">
        <v>2</v>
      </c>
      <c r="W685" s="510" t="s">
        <v>3</v>
      </c>
      <c r="X685" s="510" t="s">
        <v>1</v>
      </c>
      <c r="Y685" s="478">
        <f t="shared" si="103"/>
        <v>9650</v>
      </c>
      <c r="Z685" s="3277">
        <f t="shared" si="104"/>
        <v>9650000</v>
      </c>
      <c r="AA685" s="427"/>
      <c r="AB685" s="427"/>
      <c r="AC685" s="192"/>
    </row>
    <row r="686" spans="1:29" ht="21.6" customHeight="1">
      <c r="A686" s="2373"/>
      <c r="B686" s="2035"/>
      <c r="C686" s="2013"/>
      <c r="D686" s="632"/>
      <c r="E686" s="2388" t="s">
        <v>120</v>
      </c>
      <c r="F686" s="2374">
        <f>+Y686</f>
        <v>6500</v>
      </c>
      <c r="G686" s="2389">
        <v>6500</v>
      </c>
      <c r="H686" s="2390"/>
      <c r="I686" s="634"/>
      <c r="J686" s="1566" t="s">
        <v>768</v>
      </c>
      <c r="K686" s="1326"/>
      <c r="L686" s="1326"/>
      <c r="M686" s="1326"/>
      <c r="N686" s="608"/>
      <c r="O686" s="608"/>
      <c r="P686" s="1326"/>
      <c r="Q686" s="1344"/>
      <c r="R686" s="1326"/>
      <c r="S686" s="1326"/>
      <c r="T686" s="1326"/>
      <c r="U686" s="1326"/>
      <c r="V686" s="1326"/>
      <c r="W686" s="1326"/>
      <c r="X686" s="1326"/>
      <c r="Y686" s="490">
        <f t="shared" si="103"/>
        <v>6500</v>
      </c>
      <c r="Z686" s="1341">
        <f>SUM(Z687:Z688)</f>
        <v>6500000</v>
      </c>
      <c r="AA686" s="427"/>
      <c r="AB686" s="427"/>
      <c r="AC686" s="192"/>
    </row>
    <row r="687" spans="1:29" ht="21.6" customHeight="1">
      <c r="A687" s="2373"/>
      <c r="B687" s="2035"/>
      <c r="C687" s="2013"/>
      <c r="D687" s="632"/>
      <c r="E687" s="548"/>
      <c r="F687" s="633"/>
      <c r="G687" s="2391"/>
      <c r="H687" s="2392"/>
      <c r="I687" s="634"/>
      <c r="J687" s="472" t="s">
        <v>699</v>
      </c>
      <c r="K687" s="473"/>
      <c r="L687" s="473"/>
      <c r="M687" s="473"/>
      <c r="N687" s="474"/>
      <c r="O687" s="473"/>
      <c r="P687" s="473"/>
      <c r="Q687" s="475"/>
      <c r="R687" s="473"/>
      <c r="S687" s="474">
        <v>1500000</v>
      </c>
      <c r="T687" s="473" t="s">
        <v>0</v>
      </c>
      <c r="U687" s="473"/>
      <c r="V687" s="473">
        <v>1</v>
      </c>
      <c r="W687" s="473" t="s">
        <v>763</v>
      </c>
      <c r="X687" s="473" t="s">
        <v>1</v>
      </c>
      <c r="Y687" s="483">
        <f t="shared" si="103"/>
        <v>1500</v>
      </c>
      <c r="Z687" s="1341">
        <f>+S687*V687</f>
        <v>1500000</v>
      </c>
      <c r="AA687" s="427"/>
      <c r="AB687" s="427"/>
      <c r="AC687" s="192"/>
    </row>
    <row r="688" spans="1:29" ht="21.6" customHeight="1">
      <c r="A688" s="2373"/>
      <c r="B688" s="2035"/>
      <c r="C688" s="2013"/>
      <c r="D688" s="632"/>
      <c r="E688" s="548"/>
      <c r="F688" s="633"/>
      <c r="G688" s="2391"/>
      <c r="H688" s="2392"/>
      <c r="I688" s="634"/>
      <c r="J688" s="1342" t="s">
        <v>698</v>
      </c>
      <c r="K688" s="510"/>
      <c r="L688" s="510"/>
      <c r="M688" s="510"/>
      <c r="N688" s="617"/>
      <c r="O688" s="510"/>
      <c r="P688" s="510"/>
      <c r="Q688" s="507"/>
      <c r="R688" s="510"/>
      <c r="S688" s="474">
        <v>5000000</v>
      </c>
      <c r="T688" s="473" t="s">
        <v>0</v>
      </c>
      <c r="U688" s="473"/>
      <c r="V688" s="473">
        <v>1</v>
      </c>
      <c r="W688" s="473" t="s">
        <v>763</v>
      </c>
      <c r="X688" s="473" t="s">
        <v>1</v>
      </c>
      <c r="Y688" s="483">
        <f t="shared" si="103"/>
        <v>5000</v>
      </c>
      <c r="Z688" s="1341">
        <f>+S688*V688</f>
        <v>5000000</v>
      </c>
      <c r="AA688" s="427"/>
      <c r="AB688" s="427"/>
      <c r="AC688" s="192"/>
    </row>
    <row r="689" spans="1:29" ht="21.6" customHeight="1">
      <c r="A689" s="2373"/>
      <c r="B689" s="2035"/>
      <c r="C689" s="2013"/>
      <c r="D689" s="2035"/>
      <c r="E689" s="1319" t="s">
        <v>58</v>
      </c>
      <c r="F689" s="2374">
        <f>+Y689</f>
        <v>4200</v>
      </c>
      <c r="G689" s="2374">
        <v>4200</v>
      </c>
      <c r="H689" s="2378"/>
      <c r="I689" s="634"/>
      <c r="J689" s="1566" t="s">
        <v>768</v>
      </c>
      <c r="K689" s="1326"/>
      <c r="L689" s="1326"/>
      <c r="M689" s="1326"/>
      <c r="N689" s="608"/>
      <c r="O689" s="608"/>
      <c r="P689" s="1326"/>
      <c r="Q689" s="1344"/>
      <c r="R689" s="1326"/>
      <c r="S689" s="1326"/>
      <c r="T689" s="1326"/>
      <c r="U689" s="1326"/>
      <c r="V689" s="1326"/>
      <c r="W689" s="1326"/>
      <c r="X689" s="1326"/>
      <c r="Y689" s="490">
        <f>SUM(Y690:Y692)</f>
        <v>4200</v>
      </c>
      <c r="Z689" s="3486">
        <f>SUM(Z690:Z692)</f>
        <v>4200000</v>
      </c>
      <c r="AA689" s="427"/>
      <c r="AB689" s="427"/>
      <c r="AC689" s="192"/>
    </row>
    <row r="690" spans="1:29" ht="21.6" customHeight="1">
      <c r="A690" s="2373"/>
      <c r="B690" s="2035"/>
      <c r="C690" s="2013"/>
      <c r="D690" s="2035"/>
      <c r="E690" s="624"/>
      <c r="F690" s="633"/>
      <c r="G690" s="633"/>
      <c r="H690" s="2379"/>
      <c r="I690" s="634"/>
      <c r="J690" s="472" t="s">
        <v>3412</v>
      </c>
      <c r="K690" s="473"/>
      <c r="L690" s="473"/>
      <c r="M690" s="473"/>
      <c r="N690" s="474"/>
      <c r="O690" s="473"/>
      <c r="P690" s="473"/>
      <c r="Q690" s="475"/>
      <c r="R690" s="473"/>
      <c r="S690" s="474">
        <v>100000</v>
      </c>
      <c r="T690" s="473" t="s">
        <v>0</v>
      </c>
      <c r="U690" s="473"/>
      <c r="V690" s="473">
        <v>3</v>
      </c>
      <c r="W690" s="473" t="s">
        <v>51</v>
      </c>
      <c r="X690" s="473" t="s">
        <v>1</v>
      </c>
      <c r="Y690" s="483">
        <f>+Z690/1000</f>
        <v>300</v>
      </c>
      <c r="Z690" s="1341">
        <f>+S690*V690</f>
        <v>300000</v>
      </c>
      <c r="AA690" s="427"/>
      <c r="AB690" s="427"/>
      <c r="AC690" s="192"/>
    </row>
    <row r="691" spans="1:29" ht="21.6" customHeight="1">
      <c r="A691" s="2373"/>
      <c r="B691" s="2035"/>
      <c r="C691" s="2013"/>
      <c r="D691" s="2035"/>
      <c r="E691" s="624"/>
      <c r="F691" s="633"/>
      <c r="G691" s="633"/>
      <c r="H691" s="2379"/>
      <c r="I691" s="634"/>
      <c r="J691" s="472" t="s">
        <v>696</v>
      </c>
      <c r="K691" s="473"/>
      <c r="L691" s="473"/>
      <c r="M691" s="473"/>
      <c r="N691" s="473"/>
      <c r="O691" s="473"/>
      <c r="P691" s="473"/>
      <c r="Q691" s="475"/>
      <c r="R691" s="473"/>
      <c r="S691" s="474">
        <v>300000</v>
      </c>
      <c r="T691" s="473" t="s">
        <v>37</v>
      </c>
      <c r="U691" s="473"/>
      <c r="V691" s="473">
        <v>1</v>
      </c>
      <c r="W691" s="473" t="s">
        <v>39</v>
      </c>
      <c r="X691" s="473" t="s">
        <v>38</v>
      </c>
      <c r="Y691" s="483">
        <f>+Z691/1000</f>
        <v>300</v>
      </c>
      <c r="Z691" s="1341">
        <f>+S691*V691</f>
        <v>300000</v>
      </c>
      <c r="AA691" s="427"/>
      <c r="AB691" s="427"/>
      <c r="AC691" s="192"/>
    </row>
    <row r="692" spans="1:29" ht="21.6" customHeight="1">
      <c r="A692" s="2373"/>
      <c r="B692" s="2035"/>
      <c r="C692" s="2013"/>
      <c r="D692" s="2035"/>
      <c r="E692" s="624"/>
      <c r="F692" s="633"/>
      <c r="G692" s="633"/>
      <c r="H692" s="2379"/>
      <c r="I692" s="634"/>
      <c r="J692" s="472" t="s">
        <v>3413</v>
      </c>
      <c r="K692" s="473"/>
      <c r="L692" s="473"/>
      <c r="M692" s="473"/>
      <c r="N692" s="473"/>
      <c r="O692" s="473"/>
      <c r="P692" s="473"/>
      <c r="Q692" s="475">
        <v>100</v>
      </c>
      <c r="R692" s="473" t="s">
        <v>695</v>
      </c>
      <c r="S692" s="474">
        <v>3000</v>
      </c>
      <c r="T692" s="473" t="s">
        <v>0</v>
      </c>
      <c r="U692" s="473"/>
      <c r="V692" s="473">
        <v>12</v>
      </c>
      <c r="W692" s="473" t="s">
        <v>830</v>
      </c>
      <c r="X692" s="473" t="s">
        <v>1</v>
      </c>
      <c r="Y692" s="483">
        <f>+Z692/1000</f>
        <v>3600</v>
      </c>
      <c r="Z692" s="1341">
        <f>Q692*S692*V692</f>
        <v>3600000</v>
      </c>
      <c r="AA692" s="427"/>
      <c r="AB692" s="427"/>
      <c r="AC692" s="192"/>
    </row>
    <row r="693" spans="1:29" ht="21.6" customHeight="1">
      <c r="A693" s="2373"/>
      <c r="B693" s="2035"/>
      <c r="C693" s="2013"/>
      <c r="D693" s="2035"/>
      <c r="E693" s="852" t="s">
        <v>1098</v>
      </c>
      <c r="F693" s="2374">
        <f>+Y693</f>
        <v>568070</v>
      </c>
      <c r="G693" s="2374">
        <v>568070</v>
      </c>
      <c r="H693" s="2378"/>
      <c r="I693" s="634"/>
      <c r="J693" s="1566" t="s">
        <v>768</v>
      </c>
      <c r="K693" s="1326"/>
      <c r="L693" s="1326"/>
      <c r="M693" s="1326"/>
      <c r="N693" s="608"/>
      <c r="O693" s="608"/>
      <c r="P693" s="1326"/>
      <c r="Q693" s="1344"/>
      <c r="R693" s="1326"/>
      <c r="S693" s="1326"/>
      <c r="T693" s="1326"/>
      <c r="U693" s="1326"/>
      <c r="V693" s="1326"/>
      <c r="W693" s="1326"/>
      <c r="X693" s="1326"/>
      <c r="Y693" s="490">
        <f>SUM(Y694:Y696)</f>
        <v>568070</v>
      </c>
      <c r="Z693" s="3486">
        <f>SUM(Z694:Z696)</f>
        <v>568070000</v>
      </c>
      <c r="AA693" s="427"/>
      <c r="AB693" s="427"/>
      <c r="AC693" s="192"/>
    </row>
    <row r="694" spans="1:29" ht="21.6" customHeight="1">
      <c r="A694" s="2373"/>
      <c r="B694" s="2035"/>
      <c r="C694" s="2013"/>
      <c r="D694" s="2035"/>
      <c r="E694" s="624"/>
      <c r="F694" s="633"/>
      <c r="G694" s="633"/>
      <c r="H694" s="2379"/>
      <c r="I694" s="634"/>
      <c r="J694" s="472" t="s">
        <v>694</v>
      </c>
      <c r="K694" s="473"/>
      <c r="L694" s="473"/>
      <c r="M694" s="473"/>
      <c r="N694" s="474"/>
      <c r="O694" s="473"/>
      <c r="P694" s="473"/>
      <c r="Q694" s="475"/>
      <c r="R694" s="473"/>
      <c r="S694" s="474">
        <f>Z694</f>
        <v>527400000</v>
      </c>
      <c r="T694" s="473" t="s">
        <v>0</v>
      </c>
      <c r="U694" s="473"/>
      <c r="V694" s="473">
        <v>1</v>
      </c>
      <c r="W694" s="473" t="s">
        <v>763</v>
      </c>
      <c r="X694" s="473" t="s">
        <v>1</v>
      </c>
      <c r="Y694" s="483">
        <f>+S694*V694/1000</f>
        <v>527400</v>
      </c>
      <c r="Z694" s="1341">
        <v>527400000</v>
      </c>
      <c r="AA694" s="427"/>
      <c r="AB694" s="427"/>
      <c r="AC694" s="192"/>
    </row>
    <row r="695" spans="1:29" ht="21.6" customHeight="1">
      <c r="A695" s="2373"/>
      <c r="B695" s="2035"/>
      <c r="C695" s="2013"/>
      <c r="D695" s="2035"/>
      <c r="E695" s="624"/>
      <c r="F695" s="633"/>
      <c r="G695" s="633"/>
      <c r="H695" s="2379"/>
      <c r="I695" s="634"/>
      <c r="J695" s="472" t="s">
        <v>693</v>
      </c>
      <c r="K695" s="473"/>
      <c r="L695" s="473"/>
      <c r="M695" s="473"/>
      <c r="N695" s="474"/>
      <c r="O695" s="473"/>
      <c r="P695" s="473"/>
      <c r="Q695" s="475"/>
      <c r="R695" s="473"/>
      <c r="S695" s="474">
        <f>2000000-210000+225000</f>
        <v>2015000</v>
      </c>
      <c r="T695" s="473" t="s">
        <v>0</v>
      </c>
      <c r="U695" s="473"/>
      <c r="V695" s="473">
        <v>1</v>
      </c>
      <c r="W695" s="473" t="s">
        <v>763</v>
      </c>
      <c r="X695" s="473" t="s">
        <v>1</v>
      </c>
      <c r="Y695" s="483">
        <f>+S695*V695/1000</f>
        <v>2015</v>
      </c>
      <c r="Z695" s="1341">
        <f>+S695*V695</f>
        <v>2015000</v>
      </c>
      <c r="AA695" s="427"/>
      <c r="AB695" s="427"/>
      <c r="AC695" s="192"/>
    </row>
    <row r="696" spans="1:29" ht="21.6" customHeight="1">
      <c r="A696" s="2373"/>
      <c r="B696" s="2035"/>
      <c r="C696" s="2013"/>
      <c r="D696" s="2035"/>
      <c r="E696" s="1331"/>
      <c r="F696" s="2319"/>
      <c r="G696" s="2319"/>
      <c r="H696" s="2320"/>
      <c r="I696" s="634"/>
      <c r="J696" s="1342" t="s">
        <v>3414</v>
      </c>
      <c r="K696" s="510"/>
      <c r="L696" s="510"/>
      <c r="M696" s="510"/>
      <c r="N696" s="617"/>
      <c r="O696" s="510"/>
      <c r="P696" s="510"/>
      <c r="Q696" s="507"/>
      <c r="R696" s="510"/>
      <c r="S696" s="617">
        <f>3000000+221250</f>
        <v>3221250</v>
      </c>
      <c r="T696" s="510" t="s">
        <v>0</v>
      </c>
      <c r="U696" s="510"/>
      <c r="V696" s="510">
        <v>12</v>
      </c>
      <c r="W696" s="510" t="s">
        <v>2</v>
      </c>
      <c r="X696" s="510" t="s">
        <v>1</v>
      </c>
      <c r="Y696" s="478">
        <f>+Z696/1000</f>
        <v>38655</v>
      </c>
      <c r="Z696" s="3277">
        <f>S696*V696</f>
        <v>38655000</v>
      </c>
      <c r="AA696" s="427"/>
      <c r="AB696" s="427"/>
      <c r="AC696" s="192"/>
    </row>
    <row r="697" spans="1:29" ht="21.6" customHeight="1">
      <c r="A697" s="2373"/>
      <c r="B697" s="2035"/>
      <c r="C697" s="2013"/>
      <c r="D697" s="2035"/>
      <c r="E697" s="624" t="s">
        <v>70</v>
      </c>
      <c r="F697" s="633">
        <f>+Y697</f>
        <v>31000</v>
      </c>
      <c r="G697" s="633">
        <v>31000</v>
      </c>
      <c r="H697" s="2378"/>
      <c r="I697" s="634"/>
      <c r="J697" s="3106" t="s">
        <v>4223</v>
      </c>
      <c r="K697" s="3107"/>
      <c r="L697" s="3107"/>
      <c r="M697" s="3107"/>
      <c r="N697" s="3108"/>
      <c r="O697" s="3108"/>
      <c r="P697" s="3107"/>
      <c r="Q697" s="3109"/>
      <c r="R697" s="3107"/>
      <c r="S697" s="3107"/>
      <c r="T697" s="3107"/>
      <c r="U697" s="3107"/>
      <c r="V697" s="3107"/>
      <c r="W697" s="3107"/>
      <c r="X697" s="3107"/>
      <c r="Y697" s="3110">
        <f>SUM(Y698:Y700)</f>
        <v>31000</v>
      </c>
      <c r="Z697" s="1341">
        <f>SUM(Z698:Z700)</f>
        <v>31000000</v>
      </c>
      <c r="AA697" s="427"/>
      <c r="AB697" s="427"/>
      <c r="AC697" s="192"/>
    </row>
    <row r="698" spans="1:29" ht="21.6" customHeight="1">
      <c r="A698" s="2373"/>
      <c r="B698" s="2035"/>
      <c r="C698" s="2013"/>
      <c r="D698" s="2035"/>
      <c r="E698" s="624"/>
      <c r="F698" s="633"/>
      <c r="G698" s="633"/>
      <c r="H698" s="2379"/>
      <c r="I698" s="634"/>
      <c r="J698" s="3106" t="s">
        <v>692</v>
      </c>
      <c r="K698" s="3107"/>
      <c r="L698" s="3107"/>
      <c r="M698" s="3107"/>
      <c r="N698" s="3108"/>
      <c r="O698" s="3108"/>
      <c r="P698" s="3107"/>
      <c r="Q698" s="3109"/>
      <c r="R698" s="3107"/>
      <c r="S698" s="3108">
        <v>800000</v>
      </c>
      <c r="T698" s="3107" t="s">
        <v>0</v>
      </c>
      <c r="U698" s="3107"/>
      <c r="V698" s="3107">
        <v>12</v>
      </c>
      <c r="W698" s="3107" t="s">
        <v>4269</v>
      </c>
      <c r="X698" s="3107" t="s">
        <v>1</v>
      </c>
      <c r="Y698" s="3110">
        <f t="shared" ref="Y698:Y700" si="105">+Z698/1000</f>
        <v>9600</v>
      </c>
      <c r="Z698" s="1341">
        <f>S698*V698</f>
        <v>9600000</v>
      </c>
      <c r="AA698" s="427"/>
      <c r="AB698" s="427"/>
      <c r="AC698" s="192"/>
    </row>
    <row r="699" spans="1:29" ht="21.6" customHeight="1">
      <c r="A699" s="2373"/>
      <c r="B699" s="2035"/>
      <c r="C699" s="2013"/>
      <c r="D699" s="2035"/>
      <c r="E699" s="624"/>
      <c r="F699" s="633"/>
      <c r="G699" s="633"/>
      <c r="H699" s="2379"/>
      <c r="I699" s="634"/>
      <c r="J699" s="3106" t="s">
        <v>4335</v>
      </c>
      <c r="K699" s="3107"/>
      <c r="L699" s="3107"/>
      <c r="M699" s="3107"/>
      <c r="N699" s="3108"/>
      <c r="O699" s="3108"/>
      <c r="P699" s="3107"/>
      <c r="Q699" s="3109"/>
      <c r="R699" s="3107"/>
      <c r="S699" s="3108">
        <v>1000000</v>
      </c>
      <c r="T699" s="3107" t="s">
        <v>0</v>
      </c>
      <c r="U699" s="3107"/>
      <c r="V699" s="3107">
        <v>10</v>
      </c>
      <c r="W699" s="3107" t="s">
        <v>4269</v>
      </c>
      <c r="X699" s="3107" t="s">
        <v>1</v>
      </c>
      <c r="Y699" s="3110">
        <f t="shared" si="105"/>
        <v>10000</v>
      </c>
      <c r="Z699" s="1341">
        <f>S699*V699</f>
        <v>10000000</v>
      </c>
      <c r="AA699" s="427"/>
      <c r="AB699" s="427"/>
      <c r="AC699" s="192"/>
    </row>
    <row r="700" spans="1:29" ht="21.6" customHeight="1">
      <c r="A700" s="2373"/>
      <c r="B700" s="2035"/>
      <c r="C700" s="2013"/>
      <c r="D700" s="2035"/>
      <c r="E700" s="1331"/>
      <c r="F700" s="2319"/>
      <c r="G700" s="2319"/>
      <c r="H700" s="2320"/>
      <c r="I700" s="634"/>
      <c r="J700" s="1342" t="s">
        <v>4336</v>
      </c>
      <c r="K700" s="510"/>
      <c r="L700" s="510"/>
      <c r="M700" s="510"/>
      <c r="N700" s="617"/>
      <c r="O700" s="617"/>
      <c r="P700" s="510"/>
      <c r="Q700" s="507"/>
      <c r="R700" s="510"/>
      <c r="S700" s="617">
        <v>950000</v>
      </c>
      <c r="T700" s="510" t="s">
        <v>0</v>
      </c>
      <c r="U700" s="510"/>
      <c r="V700" s="510">
        <v>12</v>
      </c>
      <c r="W700" s="510" t="s">
        <v>2</v>
      </c>
      <c r="X700" s="510" t="s">
        <v>1</v>
      </c>
      <c r="Y700" s="478">
        <f t="shared" si="105"/>
        <v>11400</v>
      </c>
      <c r="Z700" s="3277">
        <f>S700*V700</f>
        <v>11400000</v>
      </c>
      <c r="AA700" s="427"/>
      <c r="AB700" s="427"/>
      <c r="AC700" s="192"/>
    </row>
    <row r="701" spans="1:29" ht="21.6" customHeight="1">
      <c r="A701" s="2373"/>
      <c r="B701" s="2035"/>
      <c r="C701" s="2013"/>
      <c r="D701" s="2035"/>
      <c r="E701" s="1319" t="s">
        <v>167</v>
      </c>
      <c r="F701" s="2374">
        <f>+Y701</f>
        <v>4099.9999999999918</v>
      </c>
      <c r="G701" s="2374">
        <v>4099.9999999999918</v>
      </c>
      <c r="H701" s="2378"/>
      <c r="I701" s="634"/>
      <c r="J701" s="472" t="s">
        <v>1678</v>
      </c>
      <c r="K701" s="473"/>
      <c r="L701" s="473"/>
      <c r="M701" s="473"/>
      <c r="N701" s="474"/>
      <c r="O701" s="473"/>
      <c r="P701" s="473"/>
      <c r="Q701" s="475">
        <v>1</v>
      </c>
      <c r="R701" s="473" t="s">
        <v>25</v>
      </c>
      <c r="S701" s="474">
        <v>341666.66666666599</v>
      </c>
      <c r="T701" s="473" t="s">
        <v>0</v>
      </c>
      <c r="U701" s="473"/>
      <c r="V701" s="473">
        <v>12</v>
      </c>
      <c r="W701" s="473" t="s">
        <v>2</v>
      </c>
      <c r="X701" s="473" t="s">
        <v>1</v>
      </c>
      <c r="Y701" s="483">
        <f t="shared" ref="Y701:Y708" si="106">+Z701/1000</f>
        <v>4099.9999999999918</v>
      </c>
      <c r="Z701" s="1341">
        <f>S701*Q701*V701</f>
        <v>4099999.9999999916</v>
      </c>
      <c r="AA701" s="427"/>
      <c r="AB701" s="427"/>
      <c r="AC701" s="192"/>
    </row>
    <row r="702" spans="1:29" ht="21.6" customHeight="1">
      <c r="A702" s="2373"/>
      <c r="B702" s="2035"/>
      <c r="C702" s="2013"/>
      <c r="D702" s="2035"/>
      <c r="E702" s="1319" t="s">
        <v>60</v>
      </c>
      <c r="F702" s="2374">
        <f>+Y702</f>
        <v>28200</v>
      </c>
      <c r="G702" s="2374">
        <v>28200</v>
      </c>
      <c r="H702" s="2378"/>
      <c r="I702" s="634"/>
      <c r="J702" s="1566" t="s">
        <v>768</v>
      </c>
      <c r="K702" s="1326"/>
      <c r="L702" s="1326"/>
      <c r="M702" s="1326"/>
      <c r="N702" s="608"/>
      <c r="O702" s="1326"/>
      <c r="P702" s="1326"/>
      <c r="Q702" s="1344"/>
      <c r="R702" s="1326"/>
      <c r="S702" s="608"/>
      <c r="T702" s="1326"/>
      <c r="U702" s="1326"/>
      <c r="V702" s="1326"/>
      <c r="W702" s="1326"/>
      <c r="X702" s="1326"/>
      <c r="Y702" s="490">
        <f t="shared" si="106"/>
        <v>28200</v>
      </c>
      <c r="Z702" s="3486">
        <f>SUM(Z703:Z705)</f>
        <v>28200000</v>
      </c>
      <c r="AA702" s="427"/>
      <c r="AB702" s="427"/>
      <c r="AC702" s="192"/>
    </row>
    <row r="703" spans="1:29" ht="21.6" customHeight="1">
      <c r="A703" s="2373"/>
      <c r="B703" s="2035"/>
      <c r="C703" s="2013"/>
      <c r="D703" s="2035"/>
      <c r="E703" s="1347"/>
      <c r="F703" s="633"/>
      <c r="G703" s="633"/>
      <c r="H703" s="2379"/>
      <c r="I703" s="634"/>
      <c r="J703" s="472" t="s">
        <v>691</v>
      </c>
      <c r="K703" s="473"/>
      <c r="L703" s="473"/>
      <c r="M703" s="473"/>
      <c r="N703" s="474"/>
      <c r="O703" s="473"/>
      <c r="P703" s="473"/>
      <c r="Q703" s="475"/>
      <c r="R703" s="473"/>
      <c r="S703" s="474">
        <v>100000</v>
      </c>
      <c r="T703" s="473" t="s">
        <v>0</v>
      </c>
      <c r="U703" s="473"/>
      <c r="V703" s="473">
        <v>12</v>
      </c>
      <c r="W703" s="473" t="s">
        <v>2</v>
      </c>
      <c r="X703" s="473" t="s">
        <v>1</v>
      </c>
      <c r="Y703" s="483">
        <f t="shared" si="106"/>
        <v>1200</v>
      </c>
      <c r="Z703" s="1341">
        <f>+S703*V703</f>
        <v>1200000</v>
      </c>
      <c r="AA703" s="427"/>
      <c r="AB703" s="427"/>
      <c r="AC703" s="192"/>
    </row>
    <row r="704" spans="1:29" ht="21.6" customHeight="1">
      <c r="A704" s="2373"/>
      <c r="B704" s="2035"/>
      <c r="C704" s="2013"/>
      <c r="D704" s="2035"/>
      <c r="E704" s="1347"/>
      <c r="F704" s="633"/>
      <c r="G704" s="633"/>
      <c r="H704" s="2379"/>
      <c r="I704" s="634"/>
      <c r="J704" s="472" t="s">
        <v>690</v>
      </c>
      <c r="K704" s="473"/>
      <c r="L704" s="473"/>
      <c r="M704" s="473"/>
      <c r="N704" s="474"/>
      <c r="O704" s="473"/>
      <c r="P704" s="473"/>
      <c r="Q704" s="475">
        <v>1</v>
      </c>
      <c r="R704" s="473" t="s">
        <v>41</v>
      </c>
      <c r="S704" s="474">
        <f>2300000-150000</f>
        <v>2150000</v>
      </c>
      <c r="T704" s="473" t="s">
        <v>0</v>
      </c>
      <c r="U704" s="473"/>
      <c r="V704" s="473">
        <v>12</v>
      </c>
      <c r="W704" s="473" t="s">
        <v>2</v>
      </c>
      <c r="X704" s="473" t="s">
        <v>1</v>
      </c>
      <c r="Y704" s="483">
        <f t="shared" si="106"/>
        <v>25800</v>
      </c>
      <c r="Z704" s="1341">
        <f>+Q704*S704*V704</f>
        <v>25800000</v>
      </c>
      <c r="AA704" s="427"/>
      <c r="AB704" s="427"/>
      <c r="AC704" s="192"/>
    </row>
    <row r="705" spans="1:29" ht="21.6" customHeight="1">
      <c r="A705" s="2373"/>
      <c r="B705" s="2035"/>
      <c r="C705" s="2013"/>
      <c r="D705" s="2035"/>
      <c r="E705" s="1331"/>
      <c r="F705" s="2319"/>
      <c r="G705" s="2319"/>
      <c r="H705" s="2320"/>
      <c r="I705" s="634"/>
      <c r="J705" s="1342" t="s">
        <v>689</v>
      </c>
      <c r="K705" s="510"/>
      <c r="L705" s="510"/>
      <c r="M705" s="510"/>
      <c r="N705" s="617"/>
      <c r="O705" s="510"/>
      <c r="P705" s="510"/>
      <c r="Q705" s="507"/>
      <c r="R705" s="510"/>
      <c r="S705" s="617">
        <v>100000</v>
      </c>
      <c r="T705" s="510" t="s">
        <v>0</v>
      </c>
      <c r="U705" s="510"/>
      <c r="V705" s="510">
        <v>12</v>
      </c>
      <c r="W705" s="510" t="s">
        <v>2</v>
      </c>
      <c r="X705" s="510" t="s">
        <v>1</v>
      </c>
      <c r="Y705" s="478">
        <f t="shared" si="106"/>
        <v>1200</v>
      </c>
      <c r="Z705" s="3277">
        <f>+S705*V705</f>
        <v>1200000</v>
      </c>
      <c r="AA705" s="427"/>
      <c r="AB705" s="427"/>
      <c r="AC705" s="192"/>
    </row>
    <row r="706" spans="1:29" ht="21.6" customHeight="1">
      <c r="A706" s="2373"/>
      <c r="B706" s="2035"/>
      <c r="C706" s="2013"/>
      <c r="D706" s="2035"/>
      <c r="E706" s="624" t="s">
        <v>61</v>
      </c>
      <c r="F706" s="633">
        <f>+Y706</f>
        <v>8100</v>
      </c>
      <c r="G706" s="633">
        <v>8100</v>
      </c>
      <c r="H706" s="2379"/>
      <c r="I706" s="634"/>
      <c r="J706" s="472" t="s">
        <v>768</v>
      </c>
      <c r="K706" s="473"/>
      <c r="L706" s="473"/>
      <c r="M706" s="473"/>
      <c r="N706" s="474"/>
      <c r="O706" s="474"/>
      <c r="P706" s="473"/>
      <c r="Q706" s="475"/>
      <c r="R706" s="473"/>
      <c r="S706" s="474"/>
      <c r="T706" s="473"/>
      <c r="U706" s="473"/>
      <c r="V706" s="473"/>
      <c r="W706" s="473"/>
      <c r="X706" s="473"/>
      <c r="Y706" s="483">
        <f t="shared" si="106"/>
        <v>8100</v>
      </c>
      <c r="Z706" s="1341">
        <f>SUM(Z707:Z708)</f>
        <v>8100000</v>
      </c>
      <c r="AA706" s="427"/>
      <c r="AB706" s="427"/>
      <c r="AC706" s="192"/>
    </row>
    <row r="707" spans="1:29" ht="21.6" customHeight="1">
      <c r="A707" s="2373"/>
      <c r="B707" s="2035"/>
      <c r="C707" s="2013"/>
      <c r="D707" s="2035"/>
      <c r="E707" s="624"/>
      <c r="F707" s="633"/>
      <c r="G707" s="633"/>
      <c r="H707" s="2379"/>
      <c r="I707" s="634"/>
      <c r="J707" s="472" t="s">
        <v>688</v>
      </c>
      <c r="K707" s="473"/>
      <c r="L707" s="473"/>
      <c r="M707" s="473"/>
      <c r="N707" s="474"/>
      <c r="O707" s="474"/>
      <c r="P707" s="473"/>
      <c r="Q707" s="475">
        <v>5</v>
      </c>
      <c r="R707" s="473" t="s">
        <v>25</v>
      </c>
      <c r="S707" s="474">
        <v>30000</v>
      </c>
      <c r="T707" s="473" t="s">
        <v>0</v>
      </c>
      <c r="U707" s="473"/>
      <c r="V707" s="473">
        <v>10</v>
      </c>
      <c r="W707" s="473" t="s">
        <v>3</v>
      </c>
      <c r="X707" s="473" t="s">
        <v>1</v>
      </c>
      <c r="Y707" s="483">
        <f t="shared" si="106"/>
        <v>1500</v>
      </c>
      <c r="Z707" s="1341">
        <f>Q707*S707*V707</f>
        <v>1500000</v>
      </c>
      <c r="AA707" s="427"/>
      <c r="AB707" s="427"/>
      <c r="AC707" s="192"/>
    </row>
    <row r="708" spans="1:29" ht="21.6" customHeight="1">
      <c r="A708" s="2373"/>
      <c r="B708" s="2035"/>
      <c r="C708" s="2013"/>
      <c r="D708" s="2035"/>
      <c r="E708" s="624"/>
      <c r="F708" s="633"/>
      <c r="G708" s="633"/>
      <c r="H708" s="2379"/>
      <c r="I708" s="634"/>
      <c r="J708" s="472" t="s">
        <v>1075</v>
      </c>
      <c r="K708" s="473"/>
      <c r="L708" s="473"/>
      <c r="M708" s="473"/>
      <c r="N708" s="474"/>
      <c r="O708" s="474"/>
      <c r="P708" s="473"/>
      <c r="Q708" s="475">
        <v>10</v>
      </c>
      <c r="R708" s="473" t="s">
        <v>25</v>
      </c>
      <c r="S708" s="474">
        <v>30000</v>
      </c>
      <c r="T708" s="473" t="s">
        <v>0</v>
      </c>
      <c r="U708" s="473"/>
      <c r="V708" s="473">
        <v>22</v>
      </c>
      <c r="W708" s="473" t="s">
        <v>3</v>
      </c>
      <c r="X708" s="473" t="s">
        <v>1</v>
      </c>
      <c r="Y708" s="478">
        <f t="shared" si="106"/>
        <v>6600</v>
      </c>
      <c r="Z708" s="1341">
        <f>Q708*S708*V708</f>
        <v>6600000</v>
      </c>
      <c r="AA708" s="427"/>
      <c r="AB708" s="427"/>
      <c r="AC708" s="192"/>
    </row>
    <row r="709" spans="1:29" ht="21.6" customHeight="1">
      <c r="A709" s="2373"/>
      <c r="B709" s="2035"/>
      <c r="C709" s="2013"/>
      <c r="D709" s="3834" t="s">
        <v>170</v>
      </c>
      <c r="E709" s="3913"/>
      <c r="F709" s="2351">
        <f>SUM(F710:F710)</f>
        <v>4640</v>
      </c>
      <c r="G709" s="2351">
        <f>SUM(G710)</f>
        <v>4640</v>
      </c>
      <c r="H709" s="2021">
        <f>F709-G709</f>
        <v>0</v>
      </c>
      <c r="I709" s="634"/>
      <c r="J709" s="514"/>
      <c r="K709" s="515"/>
      <c r="L709" s="515"/>
      <c r="M709" s="515"/>
      <c r="N709" s="515"/>
      <c r="O709" s="515"/>
      <c r="P709" s="516"/>
      <c r="Q709" s="515"/>
      <c r="R709" s="516"/>
      <c r="S709" s="515"/>
      <c r="T709" s="516"/>
      <c r="U709" s="515"/>
      <c r="V709" s="516"/>
      <c r="W709" s="515"/>
      <c r="X709" s="515"/>
      <c r="Y709" s="517"/>
      <c r="Z709" s="518">
        <f>+Z710</f>
        <v>4640000</v>
      </c>
      <c r="AA709" s="427"/>
      <c r="AB709" s="427"/>
      <c r="AC709" s="192"/>
    </row>
    <row r="710" spans="1:29" ht="21.6" customHeight="1" thickBot="1">
      <c r="A710" s="2373"/>
      <c r="B710" s="2035"/>
      <c r="C710" s="2013"/>
      <c r="D710" s="2013"/>
      <c r="E710" s="2013" t="s">
        <v>2728</v>
      </c>
      <c r="F710" s="2326">
        <f>+Y710</f>
        <v>4640</v>
      </c>
      <c r="G710" s="2326">
        <v>4640</v>
      </c>
      <c r="H710" s="470"/>
      <c r="I710" s="634"/>
      <c r="J710" s="2105" t="s">
        <v>2940</v>
      </c>
      <c r="K710" s="2082"/>
      <c r="L710" s="2082"/>
      <c r="M710" s="2082"/>
      <c r="N710" s="2075"/>
      <c r="O710" s="2075"/>
      <c r="P710" s="2075"/>
      <c r="Q710" s="475"/>
      <c r="R710" s="473"/>
      <c r="S710" s="474">
        <f>5500000-860000</f>
        <v>4640000</v>
      </c>
      <c r="T710" s="473" t="s">
        <v>0</v>
      </c>
      <c r="U710" s="473"/>
      <c r="V710" s="473">
        <v>1</v>
      </c>
      <c r="W710" s="473" t="s">
        <v>763</v>
      </c>
      <c r="X710" s="473" t="s">
        <v>1</v>
      </c>
      <c r="Y710" s="483">
        <f>+Z710/1000</f>
        <v>4640</v>
      </c>
      <c r="Z710" s="3277">
        <f>+S710*V710</f>
        <v>4640000</v>
      </c>
      <c r="AA710" s="427"/>
      <c r="AB710" s="427"/>
      <c r="AC710" s="192"/>
    </row>
    <row r="711" spans="1:29" ht="19.5" customHeight="1" thickBot="1">
      <c r="A711" s="2373"/>
      <c r="B711" s="2035"/>
      <c r="C711" s="3914" t="s">
        <v>77</v>
      </c>
      <c r="D711" s="3900"/>
      <c r="E711" s="3901"/>
      <c r="F711" s="2208">
        <f>F712+F764+F809+F817+F825</f>
        <v>585000</v>
      </c>
      <c r="G711" s="2208">
        <f>G712+G764+G809+G817+G825</f>
        <v>585000</v>
      </c>
      <c r="H711" s="1351">
        <f>F711-G711</f>
        <v>0</v>
      </c>
      <c r="I711" s="634"/>
      <c r="J711" s="2393"/>
      <c r="K711" s="2364"/>
      <c r="L711" s="2365"/>
      <c r="M711" s="2365"/>
      <c r="N711" s="2365"/>
      <c r="O711" s="2365"/>
      <c r="P711" s="2365"/>
      <c r="Q711" s="2365"/>
      <c r="R711" s="2367"/>
      <c r="S711" s="2365"/>
      <c r="T711" s="2365"/>
      <c r="U711" s="2365"/>
      <c r="V711" s="2365"/>
      <c r="W711" s="2365"/>
      <c r="X711" s="2394"/>
      <c r="Y711" s="1355"/>
      <c r="Z711" s="2395"/>
      <c r="AA711" s="427"/>
      <c r="AB711" s="427"/>
      <c r="AC711" s="192"/>
    </row>
    <row r="712" spans="1:29" ht="19.5" customHeight="1">
      <c r="A712" s="481" t="s">
        <v>20</v>
      </c>
      <c r="B712" s="2013"/>
      <c r="C712" s="3915" t="s">
        <v>3415</v>
      </c>
      <c r="D712" s="3915"/>
      <c r="E712" s="3916"/>
      <c r="F712" s="2358">
        <f>F713+F735</f>
        <v>231700</v>
      </c>
      <c r="G712" s="2358">
        <f>G713+G735</f>
        <v>231700</v>
      </c>
      <c r="H712" s="495">
        <f>+F712-G712</f>
        <v>0</v>
      </c>
      <c r="I712" s="634"/>
      <c r="J712" s="2396"/>
      <c r="K712" s="2065"/>
      <c r="L712" s="1359"/>
      <c r="M712" s="1359"/>
      <c r="N712" s="1359"/>
      <c r="O712" s="1359"/>
      <c r="P712" s="1359"/>
      <c r="Q712" s="1359"/>
      <c r="R712" s="1360"/>
      <c r="S712" s="1359"/>
      <c r="T712" s="1359"/>
      <c r="U712" s="1359"/>
      <c r="V712" s="1359"/>
      <c r="W712" s="1359"/>
      <c r="X712" s="1359"/>
      <c r="Y712" s="478"/>
      <c r="Z712" s="2405"/>
      <c r="AA712" s="427"/>
      <c r="AB712" s="427"/>
      <c r="AC712" s="192"/>
    </row>
    <row r="713" spans="1:29" ht="19.5" customHeight="1">
      <c r="A713" s="2079"/>
      <c r="B713" s="2035"/>
      <c r="C713" s="631"/>
      <c r="D713" s="3834" t="s">
        <v>3416</v>
      </c>
      <c r="E713" s="3913"/>
      <c r="F713" s="2351">
        <f>SUM(F714:F734)</f>
        <v>96100</v>
      </c>
      <c r="G713" s="2351">
        <f>SUM(G714:G734)</f>
        <v>96100</v>
      </c>
      <c r="H713" s="2021">
        <f>+F713-G713</f>
        <v>0</v>
      </c>
      <c r="I713" s="634"/>
      <c r="J713" s="514"/>
      <c r="K713" s="515"/>
      <c r="L713" s="515"/>
      <c r="M713" s="515"/>
      <c r="N713" s="515"/>
      <c r="O713" s="515"/>
      <c r="P713" s="516"/>
      <c r="Q713" s="515"/>
      <c r="R713" s="516"/>
      <c r="S713" s="515"/>
      <c r="T713" s="516"/>
      <c r="U713" s="515"/>
      <c r="V713" s="516"/>
      <c r="W713" s="515"/>
      <c r="X713" s="515"/>
      <c r="Y713" s="478"/>
      <c r="Z713" s="518"/>
      <c r="AA713" s="427"/>
      <c r="AB713" s="427"/>
      <c r="AC713" s="192"/>
    </row>
    <row r="714" spans="1:29" ht="19.5" customHeight="1">
      <c r="A714" s="2079"/>
      <c r="B714" s="2035"/>
      <c r="C714" s="631"/>
      <c r="D714" s="2035"/>
      <c r="E714" s="851" t="s">
        <v>81</v>
      </c>
      <c r="F714" s="2381">
        <f>Y714</f>
        <v>29100</v>
      </c>
      <c r="G714" s="2404">
        <v>29100</v>
      </c>
      <c r="H714" s="1239">
        <f>F714-G714</f>
        <v>0</v>
      </c>
      <c r="I714" s="734"/>
      <c r="J714" s="866" t="s">
        <v>4902</v>
      </c>
      <c r="K714" s="3163"/>
      <c r="L714" s="3163"/>
      <c r="M714" s="3163"/>
      <c r="N714" s="3164"/>
      <c r="O714" s="3164"/>
      <c r="P714" s="3163"/>
      <c r="Q714" s="869"/>
      <c r="R714" s="3163"/>
      <c r="S714" s="3164"/>
      <c r="T714" s="3163"/>
      <c r="U714" s="3163"/>
      <c r="V714" s="3163"/>
      <c r="W714" s="3163"/>
      <c r="X714" s="3163"/>
      <c r="Y714" s="871">
        <f t="shared" ref="Y714:Y718" si="107">+Z714/1000</f>
        <v>29100</v>
      </c>
      <c r="Z714" s="1405">
        <f>SUM(Z715:Z717)</f>
        <v>29100000</v>
      </c>
      <c r="AA714" s="427"/>
      <c r="AB714" s="427"/>
      <c r="AC714" s="192"/>
    </row>
    <row r="715" spans="1:29" ht="19.5" customHeight="1">
      <c r="A715" s="2079"/>
      <c r="B715" s="2035"/>
      <c r="C715" s="631"/>
      <c r="D715" s="2035"/>
      <c r="E715" s="851"/>
      <c r="F715" s="2381"/>
      <c r="G715" s="2404"/>
      <c r="H715" s="1239"/>
      <c r="I715" s="734"/>
      <c r="J715" s="866" t="s">
        <v>4903</v>
      </c>
      <c r="K715" s="3163"/>
      <c r="L715" s="3163"/>
      <c r="M715" s="3163"/>
      <c r="N715" s="3164"/>
      <c r="O715" s="3164"/>
      <c r="P715" s="3163"/>
      <c r="Q715" s="869">
        <v>1</v>
      </c>
      <c r="R715" s="3163" t="s">
        <v>25</v>
      </c>
      <c r="S715" s="3164">
        <v>2100000</v>
      </c>
      <c r="T715" s="3163" t="s">
        <v>0</v>
      </c>
      <c r="U715" s="3163"/>
      <c r="V715" s="3163">
        <v>12</v>
      </c>
      <c r="W715" s="3163" t="s">
        <v>2</v>
      </c>
      <c r="X715" s="3163" t="s">
        <v>1</v>
      </c>
      <c r="Y715" s="871">
        <f t="shared" si="107"/>
        <v>25200</v>
      </c>
      <c r="Z715" s="1405">
        <f>+Q715*S715*V715</f>
        <v>25200000</v>
      </c>
      <c r="AA715" s="427"/>
      <c r="AB715" s="427"/>
      <c r="AC715" s="192"/>
    </row>
    <row r="716" spans="1:29" ht="19.5" customHeight="1">
      <c r="A716" s="2397"/>
      <c r="B716" s="2398"/>
      <c r="C716" s="467"/>
      <c r="D716" s="2013"/>
      <c r="E716" s="851"/>
      <c r="F716" s="2381"/>
      <c r="G716" s="2381"/>
      <c r="H716" s="1239"/>
      <c r="I716" s="734"/>
      <c r="J716" s="866" t="s">
        <v>4904</v>
      </c>
      <c r="K716" s="3163"/>
      <c r="L716" s="3163"/>
      <c r="M716" s="3163"/>
      <c r="N716" s="3164"/>
      <c r="O716" s="3164"/>
      <c r="P716" s="3163"/>
      <c r="Q716" s="869"/>
      <c r="R716" s="3163"/>
      <c r="S716" s="3164">
        <v>25000000</v>
      </c>
      <c r="T716" s="3163" t="s">
        <v>0</v>
      </c>
      <c r="U716" s="3163"/>
      <c r="V716" s="969">
        <v>0.1</v>
      </c>
      <c r="W716" s="2384"/>
      <c r="X716" s="3163" t="s">
        <v>1</v>
      </c>
      <c r="Y716" s="871">
        <f t="shared" si="107"/>
        <v>2500</v>
      </c>
      <c r="Z716" s="1405">
        <f t="shared" ref="Z716:Z721" si="108">+S716*V716</f>
        <v>2500000</v>
      </c>
      <c r="AA716" s="427"/>
      <c r="AB716" s="427"/>
      <c r="AC716" s="192"/>
    </row>
    <row r="717" spans="1:29" ht="19.5" customHeight="1">
      <c r="A717" s="2079"/>
      <c r="B717" s="2035"/>
      <c r="C717" s="631"/>
      <c r="D717" s="2035"/>
      <c r="E717" s="851"/>
      <c r="F717" s="2381"/>
      <c r="G717" s="2381"/>
      <c r="H717" s="1239"/>
      <c r="I717" s="734"/>
      <c r="J717" s="866" t="s">
        <v>4905</v>
      </c>
      <c r="K717" s="3163"/>
      <c r="L717" s="3163"/>
      <c r="M717" s="3163"/>
      <c r="N717" s="3164"/>
      <c r="O717" s="3164"/>
      <c r="P717" s="3163"/>
      <c r="Q717" s="869"/>
      <c r="R717" s="3163"/>
      <c r="S717" s="3164">
        <v>70000</v>
      </c>
      <c r="T717" s="3163" t="s">
        <v>0</v>
      </c>
      <c r="U717" s="3163"/>
      <c r="V717" s="3163">
        <v>20</v>
      </c>
      <c r="W717" s="3163" t="s">
        <v>4906</v>
      </c>
      <c r="X717" s="3163" t="s">
        <v>1</v>
      </c>
      <c r="Y717" s="871">
        <f t="shared" si="107"/>
        <v>1400</v>
      </c>
      <c r="Z717" s="1405">
        <f t="shared" si="108"/>
        <v>1400000</v>
      </c>
      <c r="AA717" s="427"/>
      <c r="AB717" s="427"/>
      <c r="AC717" s="192"/>
    </row>
    <row r="718" spans="1:29" ht="19.5" customHeight="1">
      <c r="A718" s="2079"/>
      <c r="B718" s="2035"/>
      <c r="C718" s="631"/>
      <c r="D718" s="632"/>
      <c r="E718" s="851" t="s">
        <v>4907</v>
      </c>
      <c r="F718" s="2381">
        <f t="shared" ref="F718:F722" si="109">Y718</f>
        <v>10000</v>
      </c>
      <c r="G718" s="2381">
        <v>10000</v>
      </c>
      <c r="H718" s="1239">
        <f t="shared" ref="H718:H719" si="110">F718-G718</f>
        <v>0</v>
      </c>
      <c r="I718" s="734"/>
      <c r="J718" s="866" t="s">
        <v>4908</v>
      </c>
      <c r="K718" s="3163"/>
      <c r="L718" s="3163"/>
      <c r="M718" s="3163"/>
      <c r="N718" s="3164"/>
      <c r="O718" s="3164"/>
      <c r="P718" s="3163"/>
      <c r="Q718" s="869"/>
      <c r="R718" s="3163"/>
      <c r="S718" s="3164">
        <v>10000</v>
      </c>
      <c r="T718" s="3163" t="s">
        <v>0</v>
      </c>
      <c r="U718" s="3163"/>
      <c r="V718" s="3163">
        <v>1000</v>
      </c>
      <c r="W718" s="3163" t="s">
        <v>4909</v>
      </c>
      <c r="X718" s="3163" t="s">
        <v>1</v>
      </c>
      <c r="Y718" s="871">
        <f t="shared" si="107"/>
        <v>10000</v>
      </c>
      <c r="Z718" s="1405">
        <f t="shared" si="108"/>
        <v>10000000</v>
      </c>
      <c r="AA718" s="427"/>
      <c r="AB718" s="427"/>
      <c r="AC718" s="192"/>
    </row>
    <row r="719" spans="1:29" ht="19.5" customHeight="1">
      <c r="A719" s="2079"/>
      <c r="B719" s="2035"/>
      <c r="C719" s="631"/>
      <c r="D719" s="2035"/>
      <c r="E719" s="851" t="s">
        <v>4910</v>
      </c>
      <c r="F719" s="2381">
        <f t="shared" si="109"/>
        <v>2300</v>
      </c>
      <c r="G719" s="2381">
        <v>2300</v>
      </c>
      <c r="H719" s="1239">
        <f t="shared" si="110"/>
        <v>0</v>
      </c>
      <c r="I719" s="734"/>
      <c r="J719" s="866" t="s">
        <v>4911</v>
      </c>
      <c r="K719" s="3163"/>
      <c r="L719" s="3163"/>
      <c r="M719" s="3163"/>
      <c r="N719" s="3164"/>
      <c r="O719" s="3164"/>
      <c r="P719" s="3163"/>
      <c r="Q719" s="869"/>
      <c r="R719" s="3163"/>
      <c r="S719" s="3164">
        <v>57500</v>
      </c>
      <c r="T719" s="3163" t="s">
        <v>0</v>
      </c>
      <c r="U719" s="3163"/>
      <c r="V719" s="3163">
        <v>40</v>
      </c>
      <c r="W719" s="3163" t="s">
        <v>4912</v>
      </c>
      <c r="X719" s="3163" t="s">
        <v>1</v>
      </c>
      <c r="Y719" s="871">
        <f>+Z719/1000</f>
        <v>2300</v>
      </c>
      <c r="Z719" s="1405">
        <f t="shared" si="108"/>
        <v>2300000</v>
      </c>
      <c r="AA719" s="427"/>
      <c r="AB719" s="427"/>
      <c r="AC719" s="192"/>
    </row>
    <row r="720" spans="1:29" ht="19.5" customHeight="1">
      <c r="A720" s="2079"/>
      <c r="B720" s="2035"/>
      <c r="C720" s="631"/>
      <c r="D720" s="2035"/>
      <c r="E720" s="851" t="s">
        <v>4913</v>
      </c>
      <c r="F720" s="2381">
        <f t="shared" si="109"/>
        <v>7000</v>
      </c>
      <c r="G720" s="2381">
        <v>5000</v>
      </c>
      <c r="H720" s="1239">
        <f>+F720-G720</f>
        <v>2000</v>
      </c>
      <c r="I720" s="734"/>
      <c r="J720" s="866" t="s">
        <v>4914</v>
      </c>
      <c r="K720" s="3163"/>
      <c r="L720" s="3163"/>
      <c r="M720" s="3163"/>
      <c r="N720" s="3164"/>
      <c r="O720" s="3164"/>
      <c r="P720" s="3163"/>
      <c r="Q720" s="869"/>
      <c r="R720" s="3163"/>
      <c r="S720" s="3164">
        <v>700000</v>
      </c>
      <c r="T720" s="3163" t="s">
        <v>0</v>
      </c>
      <c r="U720" s="3163"/>
      <c r="V720" s="3163">
        <v>10</v>
      </c>
      <c r="W720" s="3163" t="s">
        <v>4915</v>
      </c>
      <c r="X720" s="3163" t="s">
        <v>1</v>
      </c>
      <c r="Y720" s="871">
        <f>Z720/1000</f>
        <v>7000</v>
      </c>
      <c r="Z720" s="1405">
        <f t="shared" si="108"/>
        <v>7000000</v>
      </c>
      <c r="AA720" s="427"/>
      <c r="AB720" s="427"/>
      <c r="AC720" s="192"/>
    </row>
    <row r="721" spans="1:29" ht="19.5" customHeight="1">
      <c r="A721" s="2079"/>
      <c r="B721" s="2035"/>
      <c r="C721" s="631"/>
      <c r="D721" s="2013"/>
      <c r="E721" s="851" t="s">
        <v>687</v>
      </c>
      <c r="F721" s="2381">
        <f t="shared" si="109"/>
        <v>12000</v>
      </c>
      <c r="G721" s="2381">
        <v>12000</v>
      </c>
      <c r="H721" s="1239">
        <f>F721-G721</f>
        <v>0</v>
      </c>
      <c r="I721" s="734"/>
      <c r="J721" s="866" t="s">
        <v>5579</v>
      </c>
      <c r="K721" s="3163"/>
      <c r="L721" s="3163"/>
      <c r="M721" s="3163"/>
      <c r="N721" s="3164"/>
      <c r="O721" s="3164"/>
      <c r="P721" s="3163"/>
      <c r="Q721" s="869"/>
      <c r="R721" s="3163"/>
      <c r="S721" s="3164">
        <v>4000000</v>
      </c>
      <c r="T721" s="3163" t="s">
        <v>0</v>
      </c>
      <c r="U721" s="3163"/>
      <c r="V721" s="3163">
        <v>3</v>
      </c>
      <c r="W721" s="3163" t="s">
        <v>4912</v>
      </c>
      <c r="X721" s="3163" t="s">
        <v>1</v>
      </c>
      <c r="Y721" s="871">
        <f>+Z721/1000</f>
        <v>12000</v>
      </c>
      <c r="Z721" s="1405">
        <f t="shared" si="108"/>
        <v>12000000</v>
      </c>
      <c r="AA721" s="427"/>
      <c r="AB721" s="427"/>
      <c r="AC721" s="192"/>
    </row>
    <row r="722" spans="1:29" ht="19.5" customHeight="1">
      <c r="A722" s="2079"/>
      <c r="B722" s="2035"/>
      <c r="C722" s="631"/>
      <c r="D722" s="2035"/>
      <c r="E722" s="851" t="s">
        <v>58</v>
      </c>
      <c r="F722" s="2381">
        <f t="shared" si="109"/>
        <v>7700</v>
      </c>
      <c r="G722" s="2381">
        <v>4700</v>
      </c>
      <c r="H722" s="1239">
        <f>+F722-G722</f>
        <v>3000</v>
      </c>
      <c r="I722" s="734"/>
      <c r="J722" s="866" t="s">
        <v>224</v>
      </c>
      <c r="K722" s="3163"/>
      <c r="L722" s="3163"/>
      <c r="M722" s="3163"/>
      <c r="N722" s="3164"/>
      <c r="O722" s="3164"/>
      <c r="P722" s="3163"/>
      <c r="Q722" s="869"/>
      <c r="R722" s="3163"/>
      <c r="S722" s="3164"/>
      <c r="T722" s="3163"/>
      <c r="U722" s="3163"/>
      <c r="V722" s="3163"/>
      <c r="W722" s="3163"/>
      <c r="X722" s="3163"/>
      <c r="Y722" s="871">
        <f>SUM(Y723:Y725)</f>
        <v>7700</v>
      </c>
      <c r="Z722" s="1405">
        <f>SUM(Z723:Z725)</f>
        <v>7700000</v>
      </c>
      <c r="AA722" s="427"/>
      <c r="AB722" s="427"/>
      <c r="AC722" s="192"/>
    </row>
    <row r="723" spans="1:29" ht="19.5" customHeight="1">
      <c r="A723" s="2079"/>
      <c r="B723" s="2035"/>
      <c r="C723" s="631"/>
      <c r="D723" s="2035"/>
      <c r="E723" s="851"/>
      <c r="F723" s="2381"/>
      <c r="G723" s="2381"/>
      <c r="H723" s="1239"/>
      <c r="I723" s="734"/>
      <c r="J723" s="866" t="s">
        <v>4916</v>
      </c>
      <c r="K723" s="3163"/>
      <c r="L723" s="3163"/>
      <c r="M723" s="3163"/>
      <c r="N723" s="3164"/>
      <c r="O723" s="3164"/>
      <c r="P723" s="3163"/>
      <c r="Q723" s="869"/>
      <c r="R723" s="3163"/>
      <c r="S723" s="3164">
        <v>600000</v>
      </c>
      <c r="T723" s="3163" t="s">
        <v>0</v>
      </c>
      <c r="U723" s="3163"/>
      <c r="V723" s="3163">
        <v>5</v>
      </c>
      <c r="W723" s="3163" t="s">
        <v>4917</v>
      </c>
      <c r="X723" s="3163" t="s">
        <v>1</v>
      </c>
      <c r="Y723" s="871">
        <f>Z723/1000</f>
        <v>3000</v>
      </c>
      <c r="Z723" s="1405">
        <f>S723*V723</f>
        <v>3000000</v>
      </c>
      <c r="AA723" s="427"/>
      <c r="AB723" s="427"/>
      <c r="AC723" s="192"/>
    </row>
    <row r="724" spans="1:29" ht="19.5" customHeight="1">
      <c r="A724" s="2079"/>
      <c r="B724" s="2035"/>
      <c r="C724" s="631"/>
      <c r="D724" s="2035"/>
      <c r="E724" s="851"/>
      <c r="F724" s="2381"/>
      <c r="G724" s="2381"/>
      <c r="H724" s="1239"/>
      <c r="I724" s="734"/>
      <c r="J724" s="866" t="s">
        <v>4918</v>
      </c>
      <c r="K724" s="3163"/>
      <c r="L724" s="3163"/>
      <c r="M724" s="3163"/>
      <c r="N724" s="3164"/>
      <c r="O724" s="3164"/>
      <c r="P724" s="3163"/>
      <c r="Q724" s="869">
        <v>3</v>
      </c>
      <c r="R724" s="3163" t="s">
        <v>25</v>
      </c>
      <c r="S724" s="3164">
        <v>450000</v>
      </c>
      <c r="T724" s="3163" t="s">
        <v>0</v>
      </c>
      <c r="U724" s="3163"/>
      <c r="V724" s="3163">
        <v>2</v>
      </c>
      <c r="W724" s="3163" t="s">
        <v>4917</v>
      </c>
      <c r="X724" s="3163" t="s">
        <v>1</v>
      </c>
      <c r="Y724" s="871">
        <f>Z724/1000</f>
        <v>2700</v>
      </c>
      <c r="Z724" s="1405">
        <f>V724*S724*Q724</f>
        <v>2700000</v>
      </c>
      <c r="AA724" s="427"/>
      <c r="AB724" s="427"/>
      <c r="AC724" s="192"/>
    </row>
    <row r="725" spans="1:29" ht="19.5" customHeight="1">
      <c r="A725" s="2079"/>
      <c r="B725" s="2035"/>
      <c r="C725" s="631"/>
      <c r="D725" s="2035"/>
      <c r="E725" s="851"/>
      <c r="F725" s="2381"/>
      <c r="G725" s="2381"/>
      <c r="H725" s="1239"/>
      <c r="I725" s="734"/>
      <c r="J725" s="866" t="s">
        <v>4919</v>
      </c>
      <c r="K725" s="3163"/>
      <c r="L725" s="3163"/>
      <c r="M725" s="3163"/>
      <c r="N725" s="3164"/>
      <c r="O725" s="3164"/>
      <c r="P725" s="3163"/>
      <c r="Q725" s="869">
        <v>5</v>
      </c>
      <c r="R725" s="3163" t="s">
        <v>25</v>
      </c>
      <c r="S725" s="3164">
        <v>200000</v>
      </c>
      <c r="T725" s="3163" t="s">
        <v>0</v>
      </c>
      <c r="U725" s="3163"/>
      <c r="V725" s="3163">
        <v>2</v>
      </c>
      <c r="W725" s="3163" t="s">
        <v>4917</v>
      </c>
      <c r="X725" s="3163" t="s">
        <v>1</v>
      </c>
      <c r="Y725" s="871">
        <f>Z725/1000</f>
        <v>2000</v>
      </c>
      <c r="Z725" s="1405">
        <f>Q725*S725*V725</f>
        <v>2000000</v>
      </c>
      <c r="AA725" s="427"/>
      <c r="AB725" s="427"/>
      <c r="AC725" s="192"/>
    </row>
    <row r="726" spans="1:29" ht="19.5" customHeight="1">
      <c r="A726" s="2079"/>
      <c r="B726" s="2035"/>
      <c r="C726" s="631"/>
      <c r="D726" s="2035"/>
      <c r="E726" s="851" t="s">
        <v>4920</v>
      </c>
      <c r="F726" s="2381">
        <f>Y726</f>
        <v>4000</v>
      </c>
      <c r="G726" s="2381">
        <v>4000</v>
      </c>
      <c r="H726" s="1239">
        <f>F726-G726</f>
        <v>0</v>
      </c>
      <c r="I726" s="734"/>
      <c r="J726" s="866" t="s">
        <v>224</v>
      </c>
      <c r="K726" s="3163"/>
      <c r="L726" s="3163"/>
      <c r="M726" s="3163"/>
      <c r="N726" s="3164"/>
      <c r="O726" s="3164"/>
      <c r="P726" s="3163"/>
      <c r="Q726" s="869"/>
      <c r="R726" s="3163"/>
      <c r="S726" s="3164"/>
      <c r="T726" s="3163"/>
      <c r="U726" s="3163"/>
      <c r="V726" s="3163"/>
      <c r="W726" s="3163"/>
      <c r="X726" s="3163"/>
      <c r="Y726" s="871">
        <f>SUM(Y727:Y728)</f>
        <v>4000</v>
      </c>
      <c r="Z726" s="1405">
        <f>SUM(Z727:Z729)</f>
        <v>21000000</v>
      </c>
      <c r="AA726" s="427"/>
      <c r="AB726" s="427"/>
      <c r="AC726" s="192"/>
    </row>
    <row r="727" spans="1:29" ht="19.5" customHeight="1">
      <c r="A727" s="2079"/>
      <c r="B727" s="2035"/>
      <c r="C727" s="631"/>
      <c r="D727" s="2035"/>
      <c r="E727" s="851"/>
      <c r="F727" s="2381"/>
      <c r="G727" s="2381"/>
      <c r="H727" s="1239"/>
      <c r="I727" s="734"/>
      <c r="J727" s="866" t="s">
        <v>5578</v>
      </c>
      <c r="K727" s="3163"/>
      <c r="L727" s="3163"/>
      <c r="M727" s="3163"/>
      <c r="N727" s="3164"/>
      <c r="O727" s="3164"/>
      <c r="P727" s="3163"/>
      <c r="Q727" s="869"/>
      <c r="R727" s="3163"/>
      <c r="S727" s="3164">
        <v>500000</v>
      </c>
      <c r="T727" s="3163" t="s">
        <v>0</v>
      </c>
      <c r="U727" s="3163"/>
      <c r="V727" s="3163">
        <v>4</v>
      </c>
      <c r="W727" s="3163" t="s">
        <v>4917</v>
      </c>
      <c r="X727" s="3163" t="s">
        <v>1</v>
      </c>
      <c r="Y727" s="871">
        <f t="shared" ref="Y727:Y728" si="111">Z727/1000</f>
        <v>2000</v>
      </c>
      <c r="Z727" s="1405">
        <f>S727*V727</f>
        <v>2000000</v>
      </c>
      <c r="AA727" s="427"/>
      <c r="AB727" s="427"/>
      <c r="AC727" s="192"/>
    </row>
    <row r="728" spans="1:29" ht="19.5" customHeight="1">
      <c r="A728" s="2079"/>
      <c r="B728" s="2035"/>
      <c r="C728" s="631"/>
      <c r="D728" s="2035"/>
      <c r="E728" s="851"/>
      <c r="F728" s="2381"/>
      <c r="G728" s="2381"/>
      <c r="H728" s="1239"/>
      <c r="I728" s="734"/>
      <c r="J728" s="866" t="s">
        <v>1583</v>
      </c>
      <c r="K728" s="3163"/>
      <c r="L728" s="3163"/>
      <c r="M728" s="3163"/>
      <c r="N728" s="3164"/>
      <c r="O728" s="3164"/>
      <c r="P728" s="3163"/>
      <c r="Q728" s="869"/>
      <c r="R728" s="3163"/>
      <c r="S728" s="3164">
        <v>500000</v>
      </c>
      <c r="T728" s="3163" t="s">
        <v>0</v>
      </c>
      <c r="U728" s="3163"/>
      <c r="V728" s="3163">
        <v>4</v>
      </c>
      <c r="W728" s="3163" t="s">
        <v>4917</v>
      </c>
      <c r="X728" s="3163" t="s">
        <v>1</v>
      </c>
      <c r="Y728" s="871">
        <f t="shared" si="111"/>
        <v>2000</v>
      </c>
      <c r="Z728" s="1405">
        <f>V728*S728</f>
        <v>2000000</v>
      </c>
      <c r="AA728" s="427"/>
      <c r="AB728" s="427"/>
      <c r="AC728" s="192"/>
    </row>
    <row r="729" spans="1:29" ht="19.5" customHeight="1">
      <c r="A729" s="2079"/>
      <c r="B729" s="2035"/>
      <c r="C729" s="631"/>
      <c r="D729" s="2035"/>
      <c r="E729" s="851" t="s">
        <v>4921</v>
      </c>
      <c r="F729" s="2381">
        <f>Y729</f>
        <v>17000</v>
      </c>
      <c r="G729" s="2381">
        <v>22000</v>
      </c>
      <c r="H729" s="1239">
        <f>+F729-G729</f>
        <v>-5000</v>
      </c>
      <c r="I729" s="734"/>
      <c r="J729" s="866" t="s">
        <v>4922</v>
      </c>
      <c r="K729" s="3163"/>
      <c r="L729" s="3163"/>
      <c r="M729" s="3163"/>
      <c r="N729" s="3164"/>
      <c r="O729" s="3164"/>
      <c r="P729" s="3163"/>
      <c r="Q729" s="869"/>
      <c r="R729" s="3163"/>
      <c r="S729" s="3164">
        <v>3400000</v>
      </c>
      <c r="T729" s="3163" t="s">
        <v>0</v>
      </c>
      <c r="U729" s="3163"/>
      <c r="V729" s="3163">
        <v>5</v>
      </c>
      <c r="W729" s="3163" t="s">
        <v>4923</v>
      </c>
      <c r="X729" s="3163" t="s">
        <v>1</v>
      </c>
      <c r="Y729" s="871">
        <f>+Z729/1000</f>
        <v>17000</v>
      </c>
      <c r="Z729" s="1405">
        <f>S729*V729</f>
        <v>17000000</v>
      </c>
      <c r="AA729" s="427"/>
      <c r="AB729" s="427"/>
      <c r="AC729" s="192"/>
    </row>
    <row r="730" spans="1:29" ht="19.5" customHeight="1">
      <c r="A730" s="2079"/>
      <c r="B730" s="2035"/>
      <c r="C730" s="631"/>
      <c r="D730" s="2035"/>
      <c r="E730" s="851" t="s">
        <v>686</v>
      </c>
      <c r="F730" s="2381">
        <f>Y730</f>
        <v>4500</v>
      </c>
      <c r="G730" s="2381">
        <v>4500</v>
      </c>
      <c r="H730" s="1239">
        <f>F730-G730</f>
        <v>0</v>
      </c>
      <c r="I730" s="734"/>
      <c r="J730" s="866" t="s">
        <v>224</v>
      </c>
      <c r="K730" s="3163"/>
      <c r="L730" s="3163"/>
      <c r="M730" s="3163"/>
      <c r="N730" s="3164"/>
      <c r="O730" s="3164"/>
      <c r="P730" s="3163"/>
      <c r="Q730" s="869"/>
      <c r="R730" s="3163"/>
      <c r="S730" s="3164"/>
      <c r="T730" s="3163"/>
      <c r="U730" s="3163"/>
      <c r="V730" s="3163"/>
      <c r="W730" s="3163"/>
      <c r="X730" s="3163"/>
      <c r="Y730" s="871">
        <f>SUM(Y731:Y733)</f>
        <v>4500</v>
      </c>
      <c r="Z730" s="1405">
        <f>SUM(Z731:Z733)</f>
        <v>4500000</v>
      </c>
      <c r="AA730" s="427"/>
      <c r="AB730" s="427"/>
      <c r="AC730" s="192"/>
    </row>
    <row r="731" spans="1:29" ht="19.5" customHeight="1">
      <c r="A731" s="2079"/>
      <c r="B731" s="2035"/>
      <c r="C731" s="631"/>
      <c r="D731" s="2035"/>
      <c r="E731" s="851"/>
      <c r="F731" s="2381"/>
      <c r="G731" s="2381"/>
      <c r="H731" s="1239"/>
      <c r="I731" s="734"/>
      <c r="J731" s="866" t="s">
        <v>4924</v>
      </c>
      <c r="K731" s="3163"/>
      <c r="L731" s="3163"/>
      <c r="M731" s="3163"/>
      <c r="N731" s="3164"/>
      <c r="O731" s="3164"/>
      <c r="P731" s="3163"/>
      <c r="Q731" s="869">
        <v>25</v>
      </c>
      <c r="R731" s="3163" t="s">
        <v>25</v>
      </c>
      <c r="S731" s="3164">
        <v>20000</v>
      </c>
      <c r="T731" s="3163" t="s">
        <v>0</v>
      </c>
      <c r="U731" s="3163"/>
      <c r="V731" s="3163">
        <v>1</v>
      </c>
      <c r="W731" s="3163" t="s">
        <v>3</v>
      </c>
      <c r="X731" s="3163" t="s">
        <v>1</v>
      </c>
      <c r="Y731" s="871">
        <f>Z731/1000</f>
        <v>500</v>
      </c>
      <c r="Z731" s="1405">
        <f>+Q731*S731*V731</f>
        <v>500000</v>
      </c>
      <c r="AA731" s="427"/>
      <c r="AB731" s="427"/>
      <c r="AC731" s="192"/>
    </row>
    <row r="732" spans="1:29" ht="19.5" customHeight="1">
      <c r="A732" s="2079"/>
      <c r="B732" s="2035"/>
      <c r="C732" s="631"/>
      <c r="D732" s="2035"/>
      <c r="E732" s="851"/>
      <c r="F732" s="2381"/>
      <c r="G732" s="2381"/>
      <c r="H732" s="1239"/>
      <c r="I732" s="734"/>
      <c r="J732" s="866" t="s">
        <v>4925</v>
      </c>
      <c r="K732" s="3163"/>
      <c r="L732" s="3163"/>
      <c r="M732" s="3163"/>
      <c r="N732" s="3164"/>
      <c r="O732" s="3164"/>
      <c r="P732" s="3163"/>
      <c r="Q732" s="869">
        <v>25</v>
      </c>
      <c r="R732" s="3163" t="s">
        <v>25</v>
      </c>
      <c r="S732" s="3164">
        <v>20000</v>
      </c>
      <c r="T732" s="3163" t="s">
        <v>0</v>
      </c>
      <c r="U732" s="3163"/>
      <c r="V732" s="3163">
        <v>4</v>
      </c>
      <c r="W732" s="3163" t="s">
        <v>3</v>
      </c>
      <c r="X732" s="3163" t="s">
        <v>1</v>
      </c>
      <c r="Y732" s="871">
        <f>Z732/1000</f>
        <v>2000</v>
      </c>
      <c r="Z732" s="1405">
        <f>V732*S732*Q732</f>
        <v>2000000</v>
      </c>
      <c r="AA732" s="427"/>
      <c r="AB732" s="427"/>
      <c r="AC732" s="192"/>
    </row>
    <row r="733" spans="1:29" ht="19.5" customHeight="1">
      <c r="A733" s="3117"/>
      <c r="B733" s="2035"/>
      <c r="C733" s="631"/>
      <c r="D733" s="2035"/>
      <c r="E733" s="851"/>
      <c r="F733" s="2381"/>
      <c r="G733" s="2381"/>
      <c r="H733" s="1239"/>
      <c r="I733" s="734"/>
      <c r="J733" s="866" t="s">
        <v>4926</v>
      </c>
      <c r="K733" s="3163"/>
      <c r="L733" s="3163"/>
      <c r="M733" s="3163"/>
      <c r="N733" s="3164"/>
      <c r="O733" s="3164"/>
      <c r="P733" s="3163"/>
      <c r="Q733" s="869">
        <v>20</v>
      </c>
      <c r="R733" s="3163" t="s">
        <v>25</v>
      </c>
      <c r="S733" s="3164">
        <v>20000</v>
      </c>
      <c r="T733" s="3163" t="s">
        <v>0</v>
      </c>
      <c r="U733" s="3163"/>
      <c r="V733" s="3163">
        <v>5</v>
      </c>
      <c r="W733" s="3163" t="s">
        <v>3</v>
      </c>
      <c r="X733" s="3163" t="s">
        <v>1</v>
      </c>
      <c r="Y733" s="871">
        <f>Z733/1000</f>
        <v>2000</v>
      </c>
      <c r="Z733" s="1405">
        <f>+Q733*S733*V733</f>
        <v>2000000</v>
      </c>
      <c r="AA733" s="427"/>
      <c r="AB733" s="427"/>
      <c r="AC733" s="192"/>
    </row>
    <row r="734" spans="1:29" ht="19.5" customHeight="1">
      <c r="A734" s="2079"/>
      <c r="B734" s="2035"/>
      <c r="C734" s="631"/>
      <c r="D734" s="2035"/>
      <c r="E734" s="971" t="s">
        <v>685</v>
      </c>
      <c r="F734" s="1983">
        <f>Y734</f>
        <v>2500</v>
      </c>
      <c r="G734" s="1983">
        <v>2500</v>
      </c>
      <c r="H734" s="1239">
        <f>F734-G734</f>
        <v>0</v>
      </c>
      <c r="I734" s="734"/>
      <c r="J734" s="1018" t="s">
        <v>4927</v>
      </c>
      <c r="K734" s="978"/>
      <c r="L734" s="978"/>
      <c r="M734" s="978"/>
      <c r="N734" s="979"/>
      <c r="O734" s="979"/>
      <c r="P734" s="978"/>
      <c r="Q734" s="1019">
        <v>25</v>
      </c>
      <c r="R734" s="978" t="s">
        <v>25</v>
      </c>
      <c r="S734" s="979">
        <v>20000</v>
      </c>
      <c r="T734" s="978" t="s">
        <v>0</v>
      </c>
      <c r="U734" s="978"/>
      <c r="V734" s="978">
        <v>5</v>
      </c>
      <c r="W734" s="978" t="s">
        <v>3</v>
      </c>
      <c r="X734" s="978" t="s">
        <v>1</v>
      </c>
      <c r="Y734" s="981">
        <f>Z734/1000</f>
        <v>2500</v>
      </c>
      <c r="Z734" s="1405">
        <f>+Q734*S734*V734</f>
        <v>2500000</v>
      </c>
      <c r="AA734" s="427"/>
      <c r="AB734" s="427"/>
      <c r="AC734" s="192"/>
    </row>
    <row r="735" spans="1:29" ht="19.5" customHeight="1">
      <c r="A735" s="636"/>
      <c r="B735" s="2035"/>
      <c r="C735" s="631"/>
      <c r="D735" s="3825" t="s">
        <v>727</v>
      </c>
      <c r="E735" s="3826"/>
      <c r="F735" s="2351">
        <f>SUM(F736:F763)</f>
        <v>135600</v>
      </c>
      <c r="G735" s="2351">
        <f>SUM(G736:G763)</f>
        <v>135600</v>
      </c>
      <c r="H735" s="2021">
        <f>F735-G735</f>
        <v>0</v>
      </c>
      <c r="I735" s="634"/>
      <c r="J735" s="1338"/>
      <c r="K735" s="727"/>
      <c r="L735" s="727"/>
      <c r="M735" s="727"/>
      <c r="N735" s="727"/>
      <c r="O735" s="1339"/>
      <c r="P735" s="727"/>
      <c r="Q735" s="1339"/>
      <c r="R735" s="727"/>
      <c r="S735" s="1339"/>
      <c r="T735" s="727"/>
      <c r="U735" s="1339"/>
      <c r="V735" s="727"/>
      <c r="W735" s="727"/>
      <c r="X735" s="2018" t="s">
        <v>20</v>
      </c>
      <c r="Y735" s="478"/>
      <c r="Z735" s="2399"/>
      <c r="AA735" s="427"/>
      <c r="AB735" s="427"/>
      <c r="AC735" s="192"/>
    </row>
    <row r="736" spans="1:29" ht="19.5" customHeight="1">
      <c r="A736" s="2400"/>
      <c r="B736" s="2398"/>
      <c r="C736" s="467"/>
      <c r="D736" s="2013"/>
      <c r="E736" s="851" t="s">
        <v>229</v>
      </c>
      <c r="F736" s="2381">
        <f>+Y736</f>
        <v>14000</v>
      </c>
      <c r="G736" s="2381">
        <v>14000</v>
      </c>
      <c r="H736" s="1239">
        <f>F736-G736</f>
        <v>0</v>
      </c>
      <c r="I736" s="734"/>
      <c r="J736" s="866" t="s">
        <v>2575</v>
      </c>
      <c r="K736" s="3163"/>
      <c r="L736" s="3163"/>
      <c r="M736" s="3163"/>
      <c r="N736" s="3164"/>
      <c r="O736" s="3164"/>
      <c r="P736" s="3163"/>
      <c r="Q736" s="869"/>
      <c r="R736" s="3163"/>
      <c r="S736" s="3164"/>
      <c r="T736" s="3163"/>
      <c r="U736" s="3163"/>
      <c r="V736" s="3163"/>
      <c r="W736" s="3163"/>
      <c r="X736" s="3163"/>
      <c r="Y736" s="871">
        <f>+Z736/1000</f>
        <v>14000</v>
      </c>
      <c r="Z736" s="1405">
        <f>SUM(Z737:Z738)</f>
        <v>14000000</v>
      </c>
      <c r="AA736" s="427"/>
      <c r="AB736" s="427"/>
      <c r="AC736" s="192"/>
    </row>
    <row r="737" spans="1:29" ht="19.5" customHeight="1">
      <c r="A737" s="2400"/>
      <c r="B737" s="2398"/>
      <c r="C737" s="2080"/>
      <c r="D737" s="2013"/>
      <c r="E737" s="851"/>
      <c r="F737" s="2381"/>
      <c r="G737" s="2381"/>
      <c r="H737" s="1239"/>
      <c r="I737" s="734"/>
      <c r="J737" s="866" t="s">
        <v>4133</v>
      </c>
      <c r="K737" s="3163"/>
      <c r="L737" s="3163"/>
      <c r="M737" s="3163"/>
      <c r="N737" s="3164"/>
      <c r="O737" s="3164"/>
      <c r="P737" s="3163"/>
      <c r="Q737" s="869"/>
      <c r="R737" s="3163"/>
      <c r="S737" s="3164">
        <v>2000000</v>
      </c>
      <c r="T737" s="3163" t="s">
        <v>0</v>
      </c>
      <c r="U737" s="3163"/>
      <c r="V737" s="3163">
        <v>2</v>
      </c>
      <c r="W737" s="3163" t="s">
        <v>39</v>
      </c>
      <c r="X737" s="3163" t="s">
        <v>1</v>
      </c>
      <c r="Y737" s="871">
        <f t="shared" ref="Y737:Y740" si="112">+Z737/1000</f>
        <v>4000</v>
      </c>
      <c r="Z737" s="1405">
        <f>+S737*V737</f>
        <v>4000000</v>
      </c>
      <c r="AA737" s="427"/>
      <c r="AB737" s="427"/>
      <c r="AC737" s="192"/>
    </row>
    <row r="738" spans="1:29" ht="19.5" customHeight="1">
      <c r="A738" s="2397"/>
      <c r="B738" s="2398"/>
      <c r="C738" s="2080"/>
      <c r="D738" s="2013"/>
      <c r="E738" s="851"/>
      <c r="F738" s="2381"/>
      <c r="G738" s="2381"/>
      <c r="H738" s="1239"/>
      <c r="I738" s="734"/>
      <c r="J738" s="866" t="s">
        <v>4134</v>
      </c>
      <c r="K738" s="3163"/>
      <c r="L738" s="3163"/>
      <c r="M738" s="3163"/>
      <c r="N738" s="3164"/>
      <c r="O738" s="3164"/>
      <c r="P738" s="3163"/>
      <c r="Q738" s="869"/>
      <c r="R738" s="3163"/>
      <c r="S738" s="3164">
        <v>10000000</v>
      </c>
      <c r="T738" s="3163" t="s">
        <v>0</v>
      </c>
      <c r="U738" s="3163"/>
      <c r="V738" s="3163">
        <v>1</v>
      </c>
      <c r="W738" s="3163" t="s">
        <v>39</v>
      </c>
      <c r="X738" s="3163" t="s">
        <v>1</v>
      </c>
      <c r="Y738" s="871">
        <f t="shared" si="112"/>
        <v>10000</v>
      </c>
      <c r="Z738" s="1405">
        <f>+S738*V738</f>
        <v>10000000</v>
      </c>
      <c r="AA738" s="427"/>
      <c r="AB738" s="427"/>
      <c r="AC738" s="192"/>
    </row>
    <row r="739" spans="1:29" ht="19.5" customHeight="1">
      <c r="A739" s="2397"/>
      <c r="B739" s="2398"/>
      <c r="C739" s="2080"/>
      <c r="D739" s="2013"/>
      <c r="E739" s="851" t="s">
        <v>264</v>
      </c>
      <c r="F739" s="2381">
        <f>+Y739</f>
        <v>6500</v>
      </c>
      <c r="G739" s="2381">
        <v>9500</v>
      </c>
      <c r="H739" s="1239">
        <f>F739-G739</f>
        <v>-3000</v>
      </c>
      <c r="I739" s="734"/>
      <c r="J739" s="866" t="s">
        <v>2575</v>
      </c>
      <c r="K739" s="3163"/>
      <c r="L739" s="3163"/>
      <c r="M739" s="3163"/>
      <c r="N739" s="3164"/>
      <c r="O739" s="3164"/>
      <c r="P739" s="3163"/>
      <c r="Q739" s="869"/>
      <c r="R739" s="3163"/>
      <c r="S739" s="3163"/>
      <c r="T739" s="3163"/>
      <c r="U739" s="3163"/>
      <c r="V739" s="3163"/>
      <c r="W739" s="3163"/>
      <c r="X739" s="3163"/>
      <c r="Y739" s="871">
        <f t="shared" si="112"/>
        <v>6500</v>
      </c>
      <c r="Z739" s="1405">
        <f>SUM(Z740:Z741)</f>
        <v>6500000</v>
      </c>
      <c r="AA739" s="427"/>
      <c r="AB739" s="427"/>
      <c r="AC739" s="192"/>
    </row>
    <row r="740" spans="1:29" ht="19.5" customHeight="1">
      <c r="A740" s="2397"/>
      <c r="B740" s="2398"/>
      <c r="C740" s="2080"/>
      <c r="D740" s="2013"/>
      <c r="E740" s="851"/>
      <c r="F740" s="2381"/>
      <c r="G740" s="2381"/>
      <c r="H740" s="1239"/>
      <c r="I740" s="734"/>
      <c r="J740" s="3698" t="s">
        <v>6124</v>
      </c>
      <c r="K740" s="3163"/>
      <c r="L740" s="3163"/>
      <c r="M740" s="3163"/>
      <c r="N740" s="3164"/>
      <c r="O740" s="3164"/>
      <c r="P740" s="3163"/>
      <c r="Q740" s="869"/>
      <c r="R740" s="3163"/>
      <c r="S740" s="3164">
        <v>500000</v>
      </c>
      <c r="T740" s="3163" t="s">
        <v>0</v>
      </c>
      <c r="U740" s="3163"/>
      <c r="V740" s="3163">
        <v>3</v>
      </c>
      <c r="W740" s="3163" t="s">
        <v>39</v>
      </c>
      <c r="X740" s="3163" t="s">
        <v>1</v>
      </c>
      <c r="Y740" s="871">
        <f t="shared" si="112"/>
        <v>1500</v>
      </c>
      <c r="Z740" s="1405">
        <f>+S740*V740</f>
        <v>1500000</v>
      </c>
      <c r="AA740" s="427"/>
      <c r="AB740" s="427"/>
      <c r="AC740" s="192"/>
    </row>
    <row r="741" spans="1:29" ht="19.5" customHeight="1">
      <c r="A741" s="2397"/>
      <c r="B741" s="2398"/>
      <c r="C741" s="2080"/>
      <c r="D741" s="2013"/>
      <c r="E741" s="851"/>
      <c r="F741" s="2381"/>
      <c r="G741" s="2381"/>
      <c r="H741" s="1239"/>
      <c r="I741" s="734"/>
      <c r="J741" s="3698" t="s">
        <v>6125</v>
      </c>
      <c r="K741" s="3163"/>
      <c r="L741" s="3163"/>
      <c r="M741" s="3163"/>
      <c r="N741" s="3164"/>
      <c r="O741" s="3164"/>
      <c r="P741" s="3163"/>
      <c r="Q741" s="869"/>
      <c r="R741" s="3163"/>
      <c r="S741" s="3164">
        <v>250000</v>
      </c>
      <c r="T741" s="3163" t="s">
        <v>0</v>
      </c>
      <c r="U741" s="3163"/>
      <c r="V741" s="3163">
        <v>20</v>
      </c>
      <c r="W741" s="3163" t="s">
        <v>4135</v>
      </c>
      <c r="X741" s="3163"/>
      <c r="Y741" s="871">
        <f>Z741/1000</f>
        <v>5000</v>
      </c>
      <c r="Z741" s="1405">
        <f>V741*S741</f>
        <v>5000000</v>
      </c>
      <c r="AA741" s="427"/>
      <c r="AB741" s="427"/>
      <c r="AC741" s="192"/>
    </row>
    <row r="742" spans="1:29" ht="19.5" customHeight="1">
      <c r="A742" s="2397"/>
      <c r="B742" s="2398"/>
      <c r="C742" s="2080"/>
      <c r="D742" s="2013"/>
      <c r="E742" s="851" t="s">
        <v>380</v>
      </c>
      <c r="F742" s="2381">
        <f>Y742</f>
        <v>14400</v>
      </c>
      <c r="G742" s="2381">
        <v>14400</v>
      </c>
      <c r="H742" s="1239">
        <f>F742-G742</f>
        <v>0</v>
      </c>
      <c r="I742" s="734"/>
      <c r="J742" s="866" t="s">
        <v>2575</v>
      </c>
      <c r="K742" s="3163"/>
      <c r="L742" s="3163"/>
      <c r="M742" s="3163"/>
      <c r="N742" s="3164"/>
      <c r="O742" s="3164"/>
      <c r="P742" s="3163"/>
      <c r="Q742" s="869"/>
      <c r="R742" s="3163"/>
      <c r="S742" s="3164"/>
      <c r="T742" s="3163"/>
      <c r="U742" s="3163"/>
      <c r="V742" s="3163"/>
      <c r="W742" s="3163"/>
      <c r="X742" s="3163"/>
      <c r="Y742" s="871">
        <f>Z742/1000</f>
        <v>14400</v>
      </c>
      <c r="Z742" s="1405">
        <f>SUM(Z743:Z745)</f>
        <v>14400000</v>
      </c>
      <c r="AA742" s="427"/>
      <c r="AB742" s="427"/>
      <c r="AC742" s="192"/>
    </row>
    <row r="743" spans="1:29" ht="19.5" customHeight="1">
      <c r="A743" s="2397"/>
      <c r="B743" s="2398"/>
      <c r="C743" s="3118"/>
      <c r="D743" s="2013"/>
      <c r="E743" s="851"/>
      <c r="F743" s="2381"/>
      <c r="G743" s="2381"/>
      <c r="H743" s="1239"/>
      <c r="I743" s="734"/>
      <c r="J743" s="866" t="s">
        <v>1872</v>
      </c>
      <c r="K743" s="3163"/>
      <c r="L743" s="3163"/>
      <c r="M743" s="3163"/>
      <c r="N743" s="3164"/>
      <c r="O743" s="3164"/>
      <c r="P743" s="3163"/>
      <c r="Q743" s="869">
        <v>3</v>
      </c>
      <c r="R743" s="3163" t="s">
        <v>227</v>
      </c>
      <c r="S743" s="3164">
        <v>200000</v>
      </c>
      <c r="T743" s="3163" t="s">
        <v>0</v>
      </c>
      <c r="U743" s="3163"/>
      <c r="V743" s="3163">
        <v>6</v>
      </c>
      <c r="W743" s="3163" t="s">
        <v>39</v>
      </c>
      <c r="X743" s="3163" t="s">
        <v>1</v>
      </c>
      <c r="Y743" s="871">
        <f t="shared" ref="Y743:Y759" si="113">+Z743/1000</f>
        <v>3600</v>
      </c>
      <c r="Z743" s="1405">
        <f>V743*S743*Q743</f>
        <v>3600000</v>
      </c>
      <c r="AA743" s="427"/>
      <c r="AB743" s="427"/>
      <c r="AC743" s="192"/>
    </row>
    <row r="744" spans="1:29" ht="19.5" customHeight="1">
      <c r="A744" s="2397"/>
      <c r="B744" s="2398"/>
      <c r="C744" s="2080"/>
      <c r="D744" s="2013"/>
      <c r="E744" s="851"/>
      <c r="F744" s="2381"/>
      <c r="G744" s="2381"/>
      <c r="H744" s="1239"/>
      <c r="I744" s="734"/>
      <c r="J744" s="866" t="s">
        <v>4136</v>
      </c>
      <c r="K744" s="3163"/>
      <c r="L744" s="3163"/>
      <c r="M744" s="3163"/>
      <c r="N744" s="3164"/>
      <c r="O744" s="3164"/>
      <c r="P744" s="3163"/>
      <c r="Q744" s="869">
        <v>18</v>
      </c>
      <c r="R744" s="3163" t="s">
        <v>227</v>
      </c>
      <c r="S744" s="3164">
        <v>200000</v>
      </c>
      <c r="T744" s="3163" t="s">
        <v>0</v>
      </c>
      <c r="U744" s="3163"/>
      <c r="V744" s="3163">
        <v>2</v>
      </c>
      <c r="W744" s="3163" t="s">
        <v>39</v>
      </c>
      <c r="X744" s="3163" t="s">
        <v>1</v>
      </c>
      <c r="Y744" s="871">
        <f t="shared" si="113"/>
        <v>7200</v>
      </c>
      <c r="Z744" s="1405">
        <f>V744*S744*Q744</f>
        <v>7200000</v>
      </c>
      <c r="AA744" s="427"/>
      <c r="AB744" s="427"/>
      <c r="AC744" s="192"/>
    </row>
    <row r="745" spans="1:29" ht="19.5" customHeight="1">
      <c r="A745" s="2397"/>
      <c r="B745" s="2398"/>
      <c r="C745" s="2080"/>
      <c r="D745" s="2013"/>
      <c r="E745" s="851"/>
      <c r="F745" s="2381"/>
      <c r="G745" s="2381"/>
      <c r="H745" s="1239"/>
      <c r="I745" s="734"/>
      <c r="J745" s="866" t="s">
        <v>4137</v>
      </c>
      <c r="K745" s="3163"/>
      <c r="L745" s="3163"/>
      <c r="M745" s="3163"/>
      <c r="N745" s="3164"/>
      <c r="O745" s="3164"/>
      <c r="P745" s="3163"/>
      <c r="Q745" s="869">
        <v>18</v>
      </c>
      <c r="R745" s="3163" t="s">
        <v>227</v>
      </c>
      <c r="S745" s="3164">
        <v>200000</v>
      </c>
      <c r="T745" s="3163" t="s">
        <v>0</v>
      </c>
      <c r="U745" s="3163"/>
      <c r="V745" s="3163">
        <v>1</v>
      </c>
      <c r="W745" s="3163" t="s">
        <v>39</v>
      </c>
      <c r="X745" s="3163" t="s">
        <v>1</v>
      </c>
      <c r="Y745" s="871">
        <f t="shared" si="113"/>
        <v>3600</v>
      </c>
      <c r="Z745" s="1405">
        <f>V745*S745*Q745</f>
        <v>3600000</v>
      </c>
      <c r="AA745" s="427"/>
      <c r="AB745" s="427"/>
      <c r="AC745" s="192"/>
    </row>
    <row r="746" spans="1:29" ht="19.5" customHeight="1">
      <c r="A746" s="2397"/>
      <c r="B746" s="2398"/>
      <c r="C746" s="3118"/>
      <c r="D746" s="2013"/>
      <c r="E746" s="851" t="s">
        <v>431</v>
      </c>
      <c r="F746" s="2381">
        <f>+Y746</f>
        <v>55600</v>
      </c>
      <c r="G746" s="2381">
        <v>35600</v>
      </c>
      <c r="H746" s="1239">
        <f>F746-G746</f>
        <v>20000</v>
      </c>
      <c r="I746" s="734"/>
      <c r="J746" s="866" t="s">
        <v>4138</v>
      </c>
      <c r="K746" s="3163"/>
      <c r="L746" s="3163"/>
      <c r="M746" s="3163"/>
      <c r="N746" s="3164"/>
      <c r="O746" s="3164"/>
      <c r="P746" s="3163"/>
      <c r="Q746" s="869"/>
      <c r="R746" s="3163"/>
      <c r="S746" s="3163"/>
      <c r="T746" s="3163"/>
      <c r="U746" s="3163"/>
      <c r="V746" s="3163"/>
      <c r="W746" s="3163"/>
      <c r="X746" s="3163"/>
      <c r="Y746" s="871">
        <f>SUM(Y747:Y751)</f>
        <v>55600</v>
      </c>
      <c r="Z746" s="1405">
        <f>SUM(Z747:Z751)</f>
        <v>55600000</v>
      </c>
      <c r="AA746" s="427"/>
      <c r="AB746" s="427"/>
      <c r="AC746" s="192"/>
    </row>
    <row r="747" spans="1:29" ht="19.5" customHeight="1">
      <c r="A747" s="2397"/>
      <c r="B747" s="2398"/>
      <c r="C747" s="2080"/>
      <c r="D747" s="2013"/>
      <c r="E747" s="851"/>
      <c r="F747" s="2381"/>
      <c r="G747" s="2381"/>
      <c r="H747" s="1239"/>
      <c r="I747" s="734"/>
      <c r="J747" s="866" t="s">
        <v>4139</v>
      </c>
      <c r="K747" s="3163"/>
      <c r="L747" s="3163"/>
      <c r="M747" s="3163"/>
      <c r="N747" s="3164"/>
      <c r="O747" s="3164"/>
      <c r="P747" s="3163"/>
      <c r="Q747" s="3163"/>
      <c r="R747" s="3163"/>
      <c r="S747" s="3163">
        <v>5000000</v>
      </c>
      <c r="T747" s="3163" t="s">
        <v>0</v>
      </c>
      <c r="U747" s="3163"/>
      <c r="V747" s="3163">
        <v>5</v>
      </c>
      <c r="W747" s="3163" t="s">
        <v>39</v>
      </c>
      <c r="X747" s="3163" t="s">
        <v>1</v>
      </c>
      <c r="Y747" s="871">
        <f>+Z747/1000</f>
        <v>25000</v>
      </c>
      <c r="Z747" s="1405">
        <f>V747*S747</f>
        <v>25000000</v>
      </c>
      <c r="AA747" s="427"/>
      <c r="AB747" s="427"/>
      <c r="AC747" s="192"/>
    </row>
    <row r="748" spans="1:29" ht="19.5" customHeight="1">
      <c r="A748" s="2397"/>
      <c r="B748" s="2398"/>
      <c r="C748" s="2080"/>
      <c r="D748" s="2013"/>
      <c r="E748" s="851"/>
      <c r="F748" s="2381"/>
      <c r="G748" s="2381"/>
      <c r="H748" s="1239"/>
      <c r="I748" s="734"/>
      <c r="J748" s="866" t="s">
        <v>4140</v>
      </c>
      <c r="K748" s="3163"/>
      <c r="L748" s="3163"/>
      <c r="M748" s="3163"/>
      <c r="N748" s="3164"/>
      <c r="O748" s="3164"/>
      <c r="P748" s="3163"/>
      <c r="Q748" s="3163"/>
      <c r="R748" s="3163"/>
      <c r="S748" s="3163">
        <v>2000000</v>
      </c>
      <c r="T748" s="3163" t="s">
        <v>0</v>
      </c>
      <c r="U748" s="3163"/>
      <c r="V748" s="3163">
        <v>8</v>
      </c>
      <c r="W748" s="3163" t="s">
        <v>51</v>
      </c>
      <c r="X748" s="3163" t="s">
        <v>1</v>
      </c>
      <c r="Y748" s="871">
        <f>+Z748/1000</f>
        <v>16000</v>
      </c>
      <c r="Z748" s="1405">
        <f>V748*S748</f>
        <v>16000000</v>
      </c>
      <c r="AA748" s="427"/>
      <c r="AB748" s="427"/>
      <c r="AC748" s="192"/>
    </row>
    <row r="749" spans="1:29" ht="19.5" customHeight="1">
      <c r="A749" s="2397"/>
      <c r="B749" s="2398"/>
      <c r="C749" s="2080"/>
      <c r="D749" s="2013"/>
      <c r="E749" s="851"/>
      <c r="F749" s="2381"/>
      <c r="G749" s="2381"/>
      <c r="H749" s="1239"/>
      <c r="I749" s="734"/>
      <c r="J749" s="866" t="s">
        <v>4141</v>
      </c>
      <c r="K749" s="3163"/>
      <c r="L749" s="3163"/>
      <c r="M749" s="3163"/>
      <c r="N749" s="3163"/>
      <c r="O749" s="3163"/>
      <c r="P749" s="3163"/>
      <c r="Q749" s="3163"/>
      <c r="R749" s="3163"/>
      <c r="S749" s="3163">
        <v>1000000</v>
      </c>
      <c r="T749" s="3163" t="s">
        <v>0</v>
      </c>
      <c r="U749" s="3163"/>
      <c r="V749" s="3163">
        <v>2</v>
      </c>
      <c r="W749" s="3163" t="s">
        <v>39</v>
      </c>
      <c r="X749" s="3163" t="s">
        <v>1</v>
      </c>
      <c r="Y749" s="871">
        <f>+Z749/1000</f>
        <v>2000</v>
      </c>
      <c r="Z749" s="1405">
        <f>V749*S749</f>
        <v>2000000</v>
      </c>
      <c r="AA749" s="427"/>
      <c r="AB749" s="427"/>
      <c r="AC749" s="192"/>
    </row>
    <row r="750" spans="1:29" ht="19.5" customHeight="1">
      <c r="A750" s="2397"/>
      <c r="B750" s="2398"/>
      <c r="C750" s="2080"/>
      <c r="D750" s="2013"/>
      <c r="E750" s="851"/>
      <c r="F750" s="2381"/>
      <c r="G750" s="2381"/>
      <c r="H750" s="1239"/>
      <c r="I750" s="734"/>
      <c r="J750" s="866" t="s">
        <v>4142</v>
      </c>
      <c r="K750" s="3163"/>
      <c r="L750" s="3163"/>
      <c r="M750" s="3163"/>
      <c r="N750" s="3163"/>
      <c r="O750" s="3163"/>
      <c r="P750" s="3163"/>
      <c r="Q750" s="869">
        <v>3</v>
      </c>
      <c r="R750" s="3163" t="s">
        <v>227</v>
      </c>
      <c r="S750" s="3163">
        <v>200000</v>
      </c>
      <c r="T750" s="3163" t="s">
        <v>0</v>
      </c>
      <c r="U750" s="3163"/>
      <c r="V750" s="3163">
        <v>6</v>
      </c>
      <c r="W750" s="3163" t="s">
        <v>39</v>
      </c>
      <c r="X750" s="3163"/>
      <c r="Y750" s="871">
        <f>V750*S750*Q750/1000</f>
        <v>3600</v>
      </c>
      <c r="Z750" s="1405">
        <f>V750*S750*Q750</f>
        <v>3600000</v>
      </c>
      <c r="AA750" s="427"/>
      <c r="AB750" s="427"/>
      <c r="AC750" s="192"/>
    </row>
    <row r="751" spans="1:29" ht="19.5" customHeight="1">
      <c r="A751" s="2397"/>
      <c r="B751" s="2398"/>
      <c r="C751" s="2080"/>
      <c r="D751" s="2013"/>
      <c r="E751" s="851"/>
      <c r="F751" s="2381"/>
      <c r="G751" s="2381"/>
      <c r="H751" s="1239"/>
      <c r="I751" s="734"/>
      <c r="J751" s="866" t="s">
        <v>4143</v>
      </c>
      <c r="K751" s="3163"/>
      <c r="L751" s="3163"/>
      <c r="M751" s="3163"/>
      <c r="N751" s="3164"/>
      <c r="O751" s="3164"/>
      <c r="P751" s="3163"/>
      <c r="Q751" s="869"/>
      <c r="R751" s="3163"/>
      <c r="S751" s="3164">
        <v>3000000</v>
      </c>
      <c r="T751" s="3163" t="s">
        <v>0</v>
      </c>
      <c r="U751" s="3163"/>
      <c r="V751" s="3163">
        <v>3</v>
      </c>
      <c r="W751" s="3163" t="s">
        <v>39</v>
      </c>
      <c r="X751" s="3163" t="s">
        <v>1</v>
      </c>
      <c r="Y751" s="871">
        <f t="shared" ref="Y751" si="114">+Z751/1000</f>
        <v>9000</v>
      </c>
      <c r="Z751" s="1405">
        <f>+S751*V751</f>
        <v>9000000</v>
      </c>
      <c r="AA751" s="427"/>
      <c r="AB751" s="427"/>
      <c r="AC751" s="192"/>
    </row>
    <row r="752" spans="1:29" ht="19.5" customHeight="1">
      <c r="A752" s="2397"/>
      <c r="B752" s="2398"/>
      <c r="C752" s="2080"/>
      <c r="D752" s="2013"/>
      <c r="E752" s="851" t="s">
        <v>262</v>
      </c>
      <c r="F752" s="2381">
        <f>+Y752</f>
        <v>9500</v>
      </c>
      <c r="G752" s="2381">
        <v>16500</v>
      </c>
      <c r="H752" s="1239">
        <f>F752-G752</f>
        <v>-7000</v>
      </c>
      <c r="I752" s="734"/>
      <c r="J752" s="866" t="s">
        <v>4138</v>
      </c>
      <c r="K752" s="3163"/>
      <c r="L752" s="3163"/>
      <c r="M752" s="3163"/>
      <c r="N752" s="3164"/>
      <c r="O752" s="3164"/>
      <c r="P752" s="3163"/>
      <c r="Q752" s="869"/>
      <c r="R752" s="3163"/>
      <c r="S752" s="3163"/>
      <c r="T752" s="3163"/>
      <c r="U752" s="3163"/>
      <c r="V752" s="3163"/>
      <c r="W752" s="3163"/>
      <c r="X752" s="3163"/>
      <c r="Y752" s="871">
        <f t="shared" si="113"/>
        <v>9500</v>
      </c>
      <c r="Z752" s="1405">
        <f>SUM(Z753:Z755)</f>
        <v>9500000</v>
      </c>
      <c r="AA752" s="427"/>
      <c r="AB752" s="427"/>
      <c r="AC752" s="192"/>
    </row>
    <row r="753" spans="1:29" ht="19.5" customHeight="1">
      <c r="A753" s="2397"/>
      <c r="B753" s="2398"/>
      <c r="C753" s="2080"/>
      <c r="D753" s="2013"/>
      <c r="E753" s="851"/>
      <c r="F753" s="2381"/>
      <c r="G753" s="2381"/>
      <c r="H753" s="1239"/>
      <c r="I753" s="734"/>
      <c r="J753" s="866" t="s">
        <v>4144</v>
      </c>
      <c r="K753" s="3163"/>
      <c r="L753" s="3163"/>
      <c r="M753" s="3163"/>
      <c r="N753" s="3164"/>
      <c r="O753" s="3164"/>
      <c r="P753" s="3163"/>
      <c r="Q753" s="3163"/>
      <c r="R753" s="3163"/>
      <c r="S753" s="3163">
        <v>500000</v>
      </c>
      <c r="T753" s="3163" t="s">
        <v>0</v>
      </c>
      <c r="U753" s="3163"/>
      <c r="V753" s="3163">
        <v>3</v>
      </c>
      <c r="W753" s="3163" t="s">
        <v>39</v>
      </c>
      <c r="X753" s="3163" t="s">
        <v>1</v>
      </c>
      <c r="Y753" s="871">
        <f t="shared" si="113"/>
        <v>1500</v>
      </c>
      <c r="Z753" s="1405">
        <f>+S753*V753</f>
        <v>1500000</v>
      </c>
      <c r="AA753" s="427"/>
      <c r="AB753" s="427"/>
      <c r="AC753" s="192"/>
    </row>
    <row r="754" spans="1:29" ht="19.5" customHeight="1">
      <c r="A754" s="2397"/>
      <c r="B754" s="2398"/>
      <c r="C754" s="3118"/>
      <c r="D754" s="2013"/>
      <c r="E754" s="851"/>
      <c r="F754" s="2381"/>
      <c r="G754" s="2381"/>
      <c r="H754" s="1239"/>
      <c r="I754" s="734"/>
      <c r="J754" s="866" t="s">
        <v>4145</v>
      </c>
      <c r="K754" s="3163"/>
      <c r="L754" s="3163"/>
      <c r="M754" s="3163"/>
      <c r="N754" s="3164"/>
      <c r="O754" s="3164"/>
      <c r="P754" s="3163"/>
      <c r="Q754" s="3163"/>
      <c r="R754" s="3163"/>
      <c r="S754" s="3163">
        <v>1000000</v>
      </c>
      <c r="T754" s="3163" t="s">
        <v>0</v>
      </c>
      <c r="U754" s="3163"/>
      <c r="V754" s="3163">
        <v>3</v>
      </c>
      <c r="W754" s="3163" t="s">
        <v>24</v>
      </c>
      <c r="X754" s="3163" t="s">
        <v>1</v>
      </c>
      <c r="Y754" s="871">
        <f t="shared" si="113"/>
        <v>3000</v>
      </c>
      <c r="Z754" s="1405">
        <f>+S754*V754</f>
        <v>3000000</v>
      </c>
      <c r="AA754" s="427"/>
      <c r="AB754" s="427"/>
      <c r="AC754" s="192"/>
    </row>
    <row r="755" spans="1:29" ht="19.5" customHeight="1">
      <c r="A755" s="2397"/>
      <c r="B755" s="2398"/>
      <c r="C755" s="2080"/>
      <c r="D755" s="2013"/>
      <c r="E755" s="851"/>
      <c r="F755" s="2381"/>
      <c r="G755" s="2381"/>
      <c r="H755" s="1239"/>
      <c r="I755" s="734"/>
      <c r="J755" s="866" t="s">
        <v>4146</v>
      </c>
      <c r="K755" s="3163"/>
      <c r="L755" s="3163"/>
      <c r="M755" s="3163"/>
      <c r="N755" s="3164"/>
      <c r="O755" s="3164"/>
      <c r="P755" s="3163"/>
      <c r="Q755" s="869">
        <v>5</v>
      </c>
      <c r="R755" s="3163" t="s">
        <v>3172</v>
      </c>
      <c r="S755" s="3163">
        <v>1000000</v>
      </c>
      <c r="T755" s="3163" t="s">
        <v>0</v>
      </c>
      <c r="U755" s="3163"/>
      <c r="V755" s="3163">
        <v>1</v>
      </c>
      <c r="W755" s="3163" t="s">
        <v>39</v>
      </c>
      <c r="X755" s="3163" t="s">
        <v>1</v>
      </c>
      <c r="Y755" s="871">
        <f t="shared" si="113"/>
        <v>5000</v>
      </c>
      <c r="Z755" s="1405">
        <f>+S755*V755*Q755</f>
        <v>5000000</v>
      </c>
      <c r="AA755" s="427"/>
      <c r="AB755" s="427"/>
      <c r="AC755" s="192"/>
    </row>
    <row r="756" spans="1:29" ht="23.1" customHeight="1">
      <c r="A756" s="2397"/>
      <c r="B756" s="2398"/>
      <c r="C756" s="2080"/>
      <c r="D756" s="2013"/>
      <c r="E756" s="851" t="s">
        <v>261</v>
      </c>
      <c r="F756" s="2381">
        <f>+Y756</f>
        <v>29000</v>
      </c>
      <c r="G756" s="2381">
        <v>37000</v>
      </c>
      <c r="H756" s="1239">
        <f>F756-G756</f>
        <v>-8000</v>
      </c>
      <c r="I756" s="734"/>
      <c r="J756" s="866" t="s">
        <v>2575</v>
      </c>
      <c r="K756" s="3163"/>
      <c r="L756" s="3163"/>
      <c r="M756" s="3163"/>
      <c r="N756" s="3164"/>
      <c r="O756" s="3164"/>
      <c r="P756" s="3163"/>
      <c r="Q756" s="869"/>
      <c r="R756" s="3163"/>
      <c r="S756" s="3164"/>
      <c r="T756" s="3163"/>
      <c r="U756" s="3163"/>
      <c r="V756" s="3163"/>
      <c r="W756" s="3163"/>
      <c r="X756" s="3163"/>
      <c r="Y756" s="871">
        <f t="shared" si="113"/>
        <v>29000</v>
      </c>
      <c r="Z756" s="1405">
        <f>SUM(Z757:Z759)</f>
        <v>29000000</v>
      </c>
      <c r="AA756" s="427"/>
      <c r="AB756" s="427"/>
      <c r="AC756" s="192"/>
    </row>
    <row r="757" spans="1:29" ht="23.1" customHeight="1">
      <c r="A757" s="2397"/>
      <c r="B757" s="2398"/>
      <c r="C757" s="2080"/>
      <c r="D757" s="2013"/>
      <c r="E757" s="851"/>
      <c r="F757" s="2381"/>
      <c r="G757" s="2381"/>
      <c r="H757" s="1239"/>
      <c r="I757" s="734"/>
      <c r="J757" s="866" t="s">
        <v>4147</v>
      </c>
      <c r="K757" s="3163"/>
      <c r="L757" s="3163"/>
      <c r="M757" s="3163"/>
      <c r="N757" s="3164"/>
      <c r="O757" s="3164"/>
      <c r="P757" s="3163"/>
      <c r="Q757" s="869"/>
      <c r="R757" s="3163"/>
      <c r="S757" s="3164">
        <v>3000000</v>
      </c>
      <c r="T757" s="3163" t="s">
        <v>0</v>
      </c>
      <c r="U757" s="3163"/>
      <c r="V757" s="3163">
        <v>2</v>
      </c>
      <c r="W757" s="3163" t="s">
        <v>51</v>
      </c>
      <c r="X757" s="3163" t="s">
        <v>1</v>
      </c>
      <c r="Y757" s="871">
        <f t="shared" si="113"/>
        <v>6000</v>
      </c>
      <c r="Z757" s="1405">
        <f>V757*S757</f>
        <v>6000000</v>
      </c>
      <c r="AA757" s="427"/>
      <c r="AB757" s="427"/>
      <c r="AC757" s="192"/>
    </row>
    <row r="758" spans="1:29" ht="23.1" customHeight="1">
      <c r="A758" s="2079"/>
      <c r="B758" s="2035"/>
      <c r="C758" s="631"/>
      <c r="D758" s="2013"/>
      <c r="E758" s="851"/>
      <c r="F758" s="2381"/>
      <c r="G758" s="2381"/>
      <c r="H758" s="1239"/>
      <c r="I758" s="734"/>
      <c r="J758" s="866" t="s">
        <v>4148</v>
      </c>
      <c r="K758" s="3163"/>
      <c r="L758" s="3163"/>
      <c r="M758" s="3163"/>
      <c r="N758" s="3164"/>
      <c r="O758" s="3164"/>
      <c r="P758" s="3163"/>
      <c r="Q758" s="869"/>
      <c r="R758" s="3163"/>
      <c r="S758" s="3164">
        <v>1000000</v>
      </c>
      <c r="T758" s="3163" t="s">
        <v>0</v>
      </c>
      <c r="U758" s="3163"/>
      <c r="V758" s="3163">
        <v>13</v>
      </c>
      <c r="W758" s="3163" t="s">
        <v>39</v>
      </c>
      <c r="X758" s="3163" t="s">
        <v>1</v>
      </c>
      <c r="Y758" s="871">
        <f t="shared" si="113"/>
        <v>13000</v>
      </c>
      <c r="Z758" s="1405">
        <f>V758*S758</f>
        <v>13000000</v>
      </c>
      <c r="AA758" s="427"/>
      <c r="AB758" s="427"/>
      <c r="AC758" s="192"/>
    </row>
    <row r="759" spans="1:29" ht="23.1" customHeight="1">
      <c r="A759" s="2079"/>
      <c r="B759" s="2035"/>
      <c r="C759" s="631"/>
      <c r="D759" s="2013"/>
      <c r="E759" s="851"/>
      <c r="F759" s="2381"/>
      <c r="G759" s="2381"/>
      <c r="H759" s="1239"/>
      <c r="I759" s="734"/>
      <c r="J759" s="866" t="s">
        <v>4149</v>
      </c>
      <c r="K759" s="3163"/>
      <c r="L759" s="3163"/>
      <c r="M759" s="3163"/>
      <c r="N759" s="3164"/>
      <c r="O759" s="3164"/>
      <c r="P759" s="3163"/>
      <c r="Q759" s="869"/>
      <c r="R759" s="3163"/>
      <c r="S759" s="3164">
        <v>2000000</v>
      </c>
      <c r="T759" s="3163" t="s">
        <v>0</v>
      </c>
      <c r="U759" s="3163"/>
      <c r="V759" s="3163">
        <v>5</v>
      </c>
      <c r="W759" s="3163" t="s">
        <v>39</v>
      </c>
      <c r="X759" s="3163" t="s">
        <v>1</v>
      </c>
      <c r="Y759" s="871">
        <f t="shared" si="113"/>
        <v>10000</v>
      </c>
      <c r="Z759" s="1405">
        <f>+S759*V759</f>
        <v>10000000</v>
      </c>
      <c r="AA759" s="427"/>
      <c r="AB759" s="427"/>
      <c r="AC759" s="192"/>
    </row>
    <row r="760" spans="1:29" ht="23.1" customHeight="1">
      <c r="A760" s="2397"/>
      <c r="B760" s="2398"/>
      <c r="C760" s="2080"/>
      <c r="D760" s="2013"/>
      <c r="E760" s="851" t="s">
        <v>451</v>
      </c>
      <c r="F760" s="2381">
        <f>+Y760</f>
        <v>5500</v>
      </c>
      <c r="G760" s="2381">
        <v>7500</v>
      </c>
      <c r="H760" s="1239">
        <f>F760-G760</f>
        <v>-2000</v>
      </c>
      <c r="I760" s="734"/>
      <c r="J760" s="866" t="s">
        <v>4138</v>
      </c>
      <c r="K760" s="3163"/>
      <c r="L760" s="3163"/>
      <c r="M760" s="3163"/>
      <c r="N760" s="3164"/>
      <c r="O760" s="3164"/>
      <c r="P760" s="3163"/>
      <c r="Q760" s="869"/>
      <c r="R760" s="3163"/>
      <c r="S760" s="3164"/>
      <c r="T760" s="3163"/>
      <c r="U760" s="3163"/>
      <c r="V760" s="3163"/>
      <c r="W760" s="3163"/>
      <c r="X760" s="3163"/>
      <c r="Y760" s="871">
        <f>SUM(Y761:Y762)</f>
        <v>5500</v>
      </c>
      <c r="Z760" s="1405">
        <f>SUM(Z761:Z762)</f>
        <v>5500000</v>
      </c>
      <c r="AA760" s="427"/>
      <c r="AB760" s="427"/>
      <c r="AC760" s="192"/>
    </row>
    <row r="761" spans="1:29" ht="23.1" customHeight="1">
      <c r="A761" s="2397"/>
      <c r="B761" s="2398"/>
      <c r="C761" s="2080"/>
      <c r="D761" s="2013"/>
      <c r="E761" s="851"/>
      <c r="F761" s="2381"/>
      <c r="G761" s="2381"/>
      <c r="H761" s="1239"/>
      <c r="I761" s="734"/>
      <c r="J761" s="866" t="s">
        <v>4150</v>
      </c>
      <c r="K761" s="3163"/>
      <c r="L761" s="3163"/>
      <c r="M761" s="3163"/>
      <c r="N761" s="3164"/>
      <c r="O761" s="3164"/>
      <c r="P761" s="3163"/>
      <c r="Q761" s="869"/>
      <c r="R761" s="3163"/>
      <c r="S761" s="3164">
        <v>500000</v>
      </c>
      <c r="T761" s="3163" t="s">
        <v>0</v>
      </c>
      <c r="U761" s="3163"/>
      <c r="V761" s="3163">
        <v>3</v>
      </c>
      <c r="W761" s="3163" t="s">
        <v>39</v>
      </c>
      <c r="X761" s="3163" t="s">
        <v>1</v>
      </c>
      <c r="Y761" s="871">
        <f>+Z761/1000</f>
        <v>1500</v>
      </c>
      <c r="Z761" s="1405">
        <f>V761*S761</f>
        <v>1500000</v>
      </c>
      <c r="AA761" s="427"/>
      <c r="AB761" s="427"/>
      <c r="AC761" s="192"/>
    </row>
    <row r="762" spans="1:29" ht="23.1" customHeight="1">
      <c r="A762" s="2397"/>
      <c r="B762" s="2398"/>
      <c r="C762" s="3118"/>
      <c r="D762" s="2013"/>
      <c r="E762" s="851"/>
      <c r="F762" s="2381"/>
      <c r="G762" s="2381"/>
      <c r="H762" s="1239"/>
      <c r="I762" s="734"/>
      <c r="J762" s="866" t="s">
        <v>4151</v>
      </c>
      <c r="K762" s="3163"/>
      <c r="L762" s="3163"/>
      <c r="M762" s="3163"/>
      <c r="N762" s="3164"/>
      <c r="O762" s="3164"/>
      <c r="P762" s="3163"/>
      <c r="Q762" s="869"/>
      <c r="R762" s="3163"/>
      <c r="S762" s="3164">
        <v>2000000</v>
      </c>
      <c r="T762" s="3163" t="s">
        <v>0</v>
      </c>
      <c r="U762" s="3163"/>
      <c r="V762" s="3163">
        <v>2</v>
      </c>
      <c r="W762" s="3163" t="s">
        <v>39</v>
      </c>
      <c r="X762" s="3163" t="s">
        <v>1</v>
      </c>
      <c r="Y762" s="871">
        <f>+Z762/1000</f>
        <v>4000</v>
      </c>
      <c r="Z762" s="1405">
        <f>V762*S762</f>
        <v>4000000</v>
      </c>
      <c r="AA762" s="427"/>
      <c r="AB762" s="427"/>
      <c r="AC762" s="192"/>
    </row>
    <row r="763" spans="1:29" ht="23.1" customHeight="1">
      <c r="A763" s="2397"/>
      <c r="B763" s="2398"/>
      <c r="C763" s="2080"/>
      <c r="D763" s="2013"/>
      <c r="E763" s="971" t="s">
        <v>384</v>
      </c>
      <c r="F763" s="1983">
        <f>+Y763</f>
        <v>1100</v>
      </c>
      <c r="G763" s="1983">
        <v>1100</v>
      </c>
      <c r="H763" s="1239">
        <f>F763-G763</f>
        <v>0</v>
      </c>
      <c r="I763" s="734"/>
      <c r="J763" s="1018" t="s">
        <v>4152</v>
      </c>
      <c r="K763" s="978"/>
      <c r="L763" s="978"/>
      <c r="M763" s="978"/>
      <c r="N763" s="979"/>
      <c r="O763" s="979"/>
      <c r="P763" s="978"/>
      <c r="Q763" s="1019"/>
      <c r="R763" s="978"/>
      <c r="S763" s="979">
        <v>100000</v>
      </c>
      <c r="T763" s="978" t="s">
        <v>0</v>
      </c>
      <c r="U763" s="978"/>
      <c r="V763" s="978">
        <v>11</v>
      </c>
      <c r="W763" s="978" t="s">
        <v>39</v>
      </c>
      <c r="X763" s="978" t="s">
        <v>1</v>
      </c>
      <c r="Y763" s="981">
        <f>+Z763/1000</f>
        <v>1100</v>
      </c>
      <c r="Z763" s="2187">
        <f>+S763*V763</f>
        <v>1100000</v>
      </c>
      <c r="AA763" s="427"/>
      <c r="AB763" s="427"/>
      <c r="AC763" s="192"/>
    </row>
    <row r="764" spans="1:29" ht="23.1" customHeight="1">
      <c r="A764" s="481" t="s">
        <v>20</v>
      </c>
      <c r="B764" s="2013"/>
      <c r="C764" s="3834" t="s">
        <v>729</v>
      </c>
      <c r="D764" s="3917"/>
      <c r="E764" s="3913"/>
      <c r="F764" s="2351">
        <f>F765+F778+F788</f>
        <v>241300</v>
      </c>
      <c r="G764" s="2351">
        <f>G765+G778+G788</f>
        <v>241300</v>
      </c>
      <c r="H764" s="2021">
        <f>+F764-G764</f>
        <v>0</v>
      </c>
      <c r="I764" s="634"/>
      <c r="J764" s="2396"/>
      <c r="K764" s="2065"/>
      <c r="L764" s="1359"/>
      <c r="M764" s="1359"/>
      <c r="N764" s="1359"/>
      <c r="O764" s="1359"/>
      <c r="P764" s="1359"/>
      <c r="Q764" s="1359"/>
      <c r="R764" s="1360"/>
      <c r="S764" s="1359"/>
      <c r="T764" s="1359"/>
      <c r="U764" s="1359"/>
      <c r="V764" s="1359"/>
      <c r="W764" s="1359"/>
      <c r="X764" s="1359"/>
      <c r="Y764" s="478"/>
      <c r="Z764" s="2407"/>
      <c r="AA764" s="427"/>
      <c r="AB764" s="427"/>
      <c r="AC764" s="192"/>
    </row>
    <row r="765" spans="1:29" ht="23.1" customHeight="1">
      <c r="A765" s="2079"/>
      <c r="B765" s="2035"/>
      <c r="C765" s="631"/>
      <c r="D765" s="3834" t="s">
        <v>730</v>
      </c>
      <c r="E765" s="3913"/>
      <c r="F765" s="2351">
        <f>SUM(F766:F777)</f>
        <v>54600</v>
      </c>
      <c r="G765" s="2351">
        <f>SUM(G766:G777)</f>
        <v>54600</v>
      </c>
      <c r="H765" s="2021">
        <f>+F765-G765</f>
        <v>0</v>
      </c>
      <c r="I765" s="634"/>
      <c r="J765" s="514"/>
      <c r="K765" s="515"/>
      <c r="L765" s="515"/>
      <c r="M765" s="515"/>
      <c r="N765" s="515"/>
      <c r="O765" s="515"/>
      <c r="P765" s="516"/>
      <c r="Q765" s="515"/>
      <c r="R765" s="516"/>
      <c r="S765" s="515"/>
      <c r="T765" s="516"/>
      <c r="U765" s="515"/>
      <c r="V765" s="516"/>
      <c r="W765" s="515"/>
      <c r="X765" s="515"/>
      <c r="Y765" s="517"/>
      <c r="Z765" s="518"/>
      <c r="AA765" s="427"/>
      <c r="AB765" s="427"/>
      <c r="AC765" s="192"/>
    </row>
    <row r="766" spans="1:29" ht="23.1" customHeight="1">
      <c r="A766" s="2079"/>
      <c r="B766" s="2035"/>
      <c r="C766" s="631"/>
      <c r="D766" s="1464"/>
      <c r="E766" s="852" t="s">
        <v>81</v>
      </c>
      <c r="F766" s="633">
        <f>+Y766</f>
        <v>32660</v>
      </c>
      <c r="G766" s="3558">
        <v>29000</v>
      </c>
      <c r="H766" s="470">
        <f t="shared" ref="H766:H777" si="115">+F766-G766</f>
        <v>3660</v>
      </c>
      <c r="I766" s="634"/>
      <c r="J766" s="856" t="s">
        <v>224</v>
      </c>
      <c r="K766" s="857"/>
      <c r="L766" s="857"/>
      <c r="M766" s="857"/>
      <c r="N766" s="858"/>
      <c r="O766" s="858"/>
      <c r="P766" s="857"/>
      <c r="Q766" s="859"/>
      <c r="R766" s="857"/>
      <c r="S766" s="858"/>
      <c r="T766" s="857"/>
      <c r="U766" s="857"/>
      <c r="V766" s="857"/>
      <c r="W766" s="857"/>
      <c r="X766" s="857"/>
      <c r="Y766" s="861">
        <f>+Z766/1000</f>
        <v>32660</v>
      </c>
      <c r="Z766" s="1405">
        <f>+Z767+Z768+Z769</f>
        <v>32660000</v>
      </c>
      <c r="AA766" s="427"/>
      <c r="AB766" s="427"/>
      <c r="AC766" s="192"/>
    </row>
    <row r="767" spans="1:29" ht="23.1" customHeight="1">
      <c r="A767" s="2079"/>
      <c r="B767" s="2035"/>
      <c r="C767" s="2075"/>
      <c r="D767" s="632"/>
      <c r="E767" s="851"/>
      <c r="F767" s="633"/>
      <c r="G767" s="2404"/>
      <c r="H767" s="470"/>
      <c r="I767" s="634"/>
      <c r="J767" s="866" t="s">
        <v>731</v>
      </c>
      <c r="K767" s="3163"/>
      <c r="L767" s="3163"/>
      <c r="M767" s="3163"/>
      <c r="N767" s="3164"/>
      <c r="O767" s="3164"/>
      <c r="P767" s="3163"/>
      <c r="Q767" s="869">
        <v>1</v>
      </c>
      <c r="R767" s="3163" t="s">
        <v>25</v>
      </c>
      <c r="S767" s="3164">
        <v>2300000</v>
      </c>
      <c r="T767" s="3163" t="s">
        <v>0</v>
      </c>
      <c r="U767" s="3163"/>
      <c r="V767" s="3163">
        <v>12</v>
      </c>
      <c r="W767" s="3163" t="s">
        <v>2</v>
      </c>
      <c r="X767" s="3163" t="s">
        <v>1</v>
      </c>
      <c r="Y767" s="871">
        <f>+Z767/1000</f>
        <v>27600</v>
      </c>
      <c r="Z767" s="1405">
        <f>+Q767*S767*V767</f>
        <v>27600000</v>
      </c>
      <c r="AA767" s="427"/>
      <c r="AB767" s="427"/>
      <c r="AC767" s="192"/>
    </row>
    <row r="768" spans="1:29" ht="23.1" customHeight="1">
      <c r="A768" s="2079"/>
      <c r="B768" s="2035"/>
      <c r="C768" s="2075"/>
      <c r="D768" s="632"/>
      <c r="E768" s="851"/>
      <c r="F768" s="633"/>
      <c r="G768" s="2404"/>
      <c r="H768" s="470"/>
      <c r="I768" s="634"/>
      <c r="J768" s="866" t="s">
        <v>732</v>
      </c>
      <c r="K768" s="3163"/>
      <c r="L768" s="3163"/>
      <c r="M768" s="3163"/>
      <c r="N768" s="3164"/>
      <c r="O768" s="3164"/>
      <c r="P768" s="3163"/>
      <c r="Q768" s="869"/>
      <c r="R768" s="3163"/>
      <c r="S768" s="3164">
        <v>27600000</v>
      </c>
      <c r="T768" s="3163" t="s">
        <v>0</v>
      </c>
      <c r="U768" s="3163"/>
      <c r="V768" s="969">
        <v>0.1</v>
      </c>
      <c r="W768" s="2384"/>
      <c r="X768" s="3163" t="s">
        <v>1</v>
      </c>
      <c r="Y768" s="871">
        <f>+Z768/1000</f>
        <v>2760</v>
      </c>
      <c r="Z768" s="1405">
        <f>+S768*V768</f>
        <v>2760000</v>
      </c>
      <c r="AA768" s="427"/>
      <c r="AB768" s="427"/>
      <c r="AC768" s="192"/>
    </row>
    <row r="769" spans="1:29" ht="23.1" customHeight="1">
      <c r="A769" s="2079"/>
      <c r="B769" s="2035"/>
      <c r="C769" s="631"/>
      <c r="D769" s="632"/>
      <c r="E769" s="851"/>
      <c r="F769" s="633"/>
      <c r="G769" s="2404"/>
      <c r="H769" s="470"/>
      <c r="I769" s="634"/>
      <c r="J769" s="3918" t="s">
        <v>5383</v>
      </c>
      <c r="K769" s="3919"/>
      <c r="L769" s="3919"/>
      <c r="M769" s="3919"/>
      <c r="N769" s="3164"/>
      <c r="O769" s="3164"/>
      <c r="P769" s="3163"/>
      <c r="Q769" s="869">
        <v>1</v>
      </c>
      <c r="R769" s="3163" t="s">
        <v>25</v>
      </c>
      <c r="S769" s="3164">
        <v>2300000</v>
      </c>
      <c r="T769" s="3163" t="s">
        <v>0</v>
      </c>
      <c r="U769" s="3163"/>
      <c r="V769" s="3559">
        <v>1</v>
      </c>
      <c r="W769" s="2384" t="s">
        <v>39</v>
      </c>
      <c r="X769" s="3163" t="s">
        <v>5</v>
      </c>
      <c r="Y769" s="871">
        <f>Z769/1000</f>
        <v>2300</v>
      </c>
      <c r="Z769" s="1405">
        <f>+Q769*S769*V769</f>
        <v>2300000</v>
      </c>
      <c r="AA769" s="427"/>
      <c r="AB769" s="427"/>
      <c r="AC769" s="192"/>
    </row>
    <row r="770" spans="1:29" ht="23.1" customHeight="1">
      <c r="A770" s="2079"/>
      <c r="B770" s="2035"/>
      <c r="C770" s="631"/>
      <c r="D770" s="632"/>
      <c r="E770" s="851" t="s">
        <v>80</v>
      </c>
      <c r="F770" s="633">
        <f>+Y770</f>
        <v>5800</v>
      </c>
      <c r="G770" s="2381">
        <v>5200</v>
      </c>
      <c r="H770" s="470">
        <f t="shared" ref="H770" si="116">+F770-G770</f>
        <v>600</v>
      </c>
      <c r="I770" s="634"/>
      <c r="J770" s="866" t="s">
        <v>1670</v>
      </c>
      <c r="K770" s="3163"/>
      <c r="L770" s="3163"/>
      <c r="M770" s="3163"/>
      <c r="N770" s="3164"/>
      <c r="O770" s="3164"/>
      <c r="P770" s="3163" t="s">
        <v>733</v>
      </c>
      <c r="Q770" s="3163">
        <v>40</v>
      </c>
      <c r="R770" s="3163" t="s">
        <v>36</v>
      </c>
      <c r="S770" s="3163">
        <v>14500</v>
      </c>
      <c r="T770" s="3163" t="s">
        <v>0</v>
      </c>
      <c r="U770" s="3163"/>
      <c r="V770" s="3163">
        <v>10</v>
      </c>
      <c r="W770" s="3163" t="s">
        <v>39</v>
      </c>
      <c r="X770" s="3163" t="s">
        <v>1</v>
      </c>
      <c r="Y770" s="871">
        <f>+Z770/1000</f>
        <v>5800</v>
      </c>
      <c r="Z770" s="1405">
        <f>+Q770*S770*V770</f>
        <v>5800000</v>
      </c>
      <c r="AA770" s="427"/>
      <c r="AB770" s="427"/>
      <c r="AC770" s="192"/>
    </row>
    <row r="771" spans="1:29" ht="23.1" customHeight="1">
      <c r="A771" s="2079"/>
      <c r="B771" s="2035"/>
      <c r="C771" s="631"/>
      <c r="D771" s="632"/>
      <c r="E771" s="851" t="s">
        <v>58</v>
      </c>
      <c r="F771" s="633">
        <f>+Y771</f>
        <v>5600</v>
      </c>
      <c r="G771" s="2381">
        <v>10400</v>
      </c>
      <c r="H771" s="470">
        <f t="shared" si="115"/>
        <v>-4800</v>
      </c>
      <c r="I771" s="634"/>
      <c r="J771" s="866" t="s">
        <v>224</v>
      </c>
      <c r="K771" s="3163"/>
      <c r="L771" s="3163"/>
      <c r="M771" s="3163"/>
      <c r="N771" s="3164"/>
      <c r="O771" s="3164"/>
      <c r="P771" s="3163"/>
      <c r="Q771" s="869"/>
      <c r="R771" s="3163"/>
      <c r="S771" s="3164"/>
      <c r="T771" s="3163"/>
      <c r="U771" s="3163"/>
      <c r="V771" s="3163"/>
      <c r="W771" s="3163"/>
      <c r="X771" s="3163"/>
      <c r="Y771" s="871">
        <f>SUM(Y772:Y773)</f>
        <v>5600</v>
      </c>
      <c r="Z771" s="1405">
        <f>SUM(Z772:Z773)</f>
        <v>5600000</v>
      </c>
      <c r="AA771" s="427"/>
      <c r="AB771" s="427"/>
      <c r="AC771" s="192"/>
    </row>
    <row r="772" spans="1:29" ht="23.1" customHeight="1">
      <c r="A772" s="2079"/>
      <c r="B772" s="2035"/>
      <c r="C772" s="631"/>
      <c r="D772" s="632"/>
      <c r="E772" s="851"/>
      <c r="F772" s="633"/>
      <c r="G772" s="2381"/>
      <c r="H772" s="470"/>
      <c r="I772" s="634"/>
      <c r="J772" s="681" t="s">
        <v>3417</v>
      </c>
      <c r="K772" s="3515"/>
      <c r="L772" s="3515"/>
      <c r="M772" s="3515"/>
      <c r="N772" s="3515"/>
      <c r="O772" s="3163"/>
      <c r="P772" s="3163"/>
      <c r="Q772" s="869">
        <v>2</v>
      </c>
      <c r="R772" s="3163" t="s">
        <v>36</v>
      </c>
      <c r="S772" s="3164">
        <v>300000</v>
      </c>
      <c r="T772" s="3163" t="s">
        <v>0</v>
      </c>
      <c r="U772" s="3163"/>
      <c r="V772" s="3163">
        <v>7</v>
      </c>
      <c r="W772" s="3163" t="s">
        <v>39</v>
      </c>
      <c r="X772" s="3163" t="s">
        <v>1</v>
      </c>
      <c r="Y772" s="871">
        <f t="shared" ref="Y772:Y777" si="117">+Z772/1000</f>
        <v>4200</v>
      </c>
      <c r="Z772" s="1405">
        <f>+Q772*S772*V772</f>
        <v>4200000</v>
      </c>
      <c r="AA772" s="427"/>
      <c r="AB772" s="427"/>
      <c r="AC772" s="192"/>
    </row>
    <row r="773" spans="1:29" ht="23.1" customHeight="1">
      <c r="A773" s="3389"/>
      <c r="B773" s="2035"/>
      <c r="C773" s="631"/>
      <c r="D773" s="632"/>
      <c r="E773" s="851"/>
      <c r="F773" s="633"/>
      <c r="G773" s="2381"/>
      <c r="H773" s="470"/>
      <c r="I773" s="634"/>
      <c r="J773" s="681" t="s">
        <v>3418</v>
      </c>
      <c r="K773" s="3515"/>
      <c r="L773" s="3515"/>
      <c r="M773" s="3515"/>
      <c r="N773" s="3515"/>
      <c r="O773" s="3163"/>
      <c r="P773" s="3163"/>
      <c r="Q773" s="869">
        <v>2</v>
      </c>
      <c r="R773" s="3163" t="s">
        <v>36</v>
      </c>
      <c r="S773" s="3164">
        <v>100000</v>
      </c>
      <c r="T773" s="3163" t="s">
        <v>0</v>
      </c>
      <c r="U773" s="3163"/>
      <c r="V773" s="3163">
        <v>7</v>
      </c>
      <c r="W773" s="3163" t="s">
        <v>39</v>
      </c>
      <c r="X773" s="3163" t="s">
        <v>1</v>
      </c>
      <c r="Y773" s="871">
        <f t="shared" si="117"/>
        <v>1400</v>
      </c>
      <c r="Z773" s="1405">
        <f>+Q773*S773*V773</f>
        <v>1400000</v>
      </c>
      <c r="AA773" s="427"/>
      <c r="AB773" s="427"/>
      <c r="AC773" s="192"/>
    </row>
    <row r="774" spans="1:29" ht="23.1" customHeight="1">
      <c r="A774" s="3389"/>
      <c r="B774" s="2035"/>
      <c r="C774" s="631"/>
      <c r="D774" s="632"/>
      <c r="E774" s="851" t="s">
        <v>5380</v>
      </c>
      <c r="F774" s="633">
        <f>+Y774</f>
        <v>5040</v>
      </c>
      <c r="G774" s="2381">
        <v>7800</v>
      </c>
      <c r="H774" s="470">
        <f t="shared" si="115"/>
        <v>-2760</v>
      </c>
      <c r="I774" s="634"/>
      <c r="J774" s="866" t="s">
        <v>1671</v>
      </c>
      <c r="K774" s="3163"/>
      <c r="L774" s="3163"/>
      <c r="M774" s="3163"/>
      <c r="N774" s="3164"/>
      <c r="O774" s="3164"/>
      <c r="P774" s="3163"/>
      <c r="Q774" s="3163">
        <v>40</v>
      </c>
      <c r="R774" s="3163" t="s">
        <v>36</v>
      </c>
      <c r="S774" s="3163">
        <v>18000</v>
      </c>
      <c r="T774" s="3163" t="s">
        <v>0</v>
      </c>
      <c r="U774" s="3163"/>
      <c r="V774" s="3163">
        <v>7</v>
      </c>
      <c r="W774" s="3163" t="s">
        <v>39</v>
      </c>
      <c r="X774" s="3163" t="s">
        <v>1</v>
      </c>
      <c r="Y774" s="871">
        <f t="shared" si="117"/>
        <v>5040</v>
      </c>
      <c r="Z774" s="1405">
        <f>+Q774*S774*V774</f>
        <v>5040000</v>
      </c>
      <c r="AA774" s="427"/>
      <c r="AB774" s="427"/>
      <c r="AC774" s="192"/>
    </row>
    <row r="775" spans="1:29" ht="23.1" customHeight="1">
      <c r="A775" s="3389"/>
      <c r="B775" s="2035"/>
      <c r="C775" s="631"/>
      <c r="D775" s="632"/>
      <c r="E775" s="851" t="s">
        <v>5381</v>
      </c>
      <c r="F775" s="633">
        <f>+Y775</f>
        <v>700</v>
      </c>
      <c r="G775" s="2381">
        <v>1300</v>
      </c>
      <c r="H775" s="470">
        <f t="shared" si="115"/>
        <v>-600</v>
      </c>
      <c r="I775" s="634"/>
      <c r="J775" s="866" t="s">
        <v>1672</v>
      </c>
      <c r="K775" s="3163"/>
      <c r="L775" s="3163"/>
      <c r="M775" s="3163"/>
      <c r="N775" s="3164"/>
      <c r="O775" s="3164"/>
      <c r="P775" s="3163"/>
      <c r="Q775" s="3163"/>
      <c r="R775" s="3163"/>
      <c r="S775" s="3164">
        <v>100000</v>
      </c>
      <c r="T775" s="3163" t="s">
        <v>0</v>
      </c>
      <c r="U775" s="3163"/>
      <c r="V775" s="3163">
        <v>7</v>
      </c>
      <c r="W775" s="3163" t="s">
        <v>39</v>
      </c>
      <c r="X775" s="3163" t="s">
        <v>1</v>
      </c>
      <c r="Y775" s="871">
        <f t="shared" si="117"/>
        <v>700</v>
      </c>
      <c r="Z775" s="1405">
        <f>+S775*V775</f>
        <v>700000</v>
      </c>
      <c r="AA775" s="427"/>
      <c r="AB775" s="427"/>
      <c r="AC775" s="192"/>
    </row>
    <row r="776" spans="1:29" ht="23.1" customHeight="1">
      <c r="A776" s="2079"/>
      <c r="B776" s="2035"/>
      <c r="C776" s="631"/>
      <c r="D776" s="632"/>
      <c r="E776" s="851" t="s">
        <v>685</v>
      </c>
      <c r="F776" s="633">
        <f>+Y776</f>
        <v>360</v>
      </c>
      <c r="G776" s="2381">
        <v>900</v>
      </c>
      <c r="H776" s="470">
        <f t="shared" si="115"/>
        <v>-540</v>
      </c>
      <c r="I776" s="634"/>
      <c r="J776" s="866" t="s">
        <v>1673</v>
      </c>
      <c r="K776" s="3163"/>
      <c r="L776" s="3163"/>
      <c r="M776" s="3163"/>
      <c r="N776" s="3164"/>
      <c r="O776" s="3164"/>
      <c r="P776" s="3163"/>
      <c r="Q776" s="3163">
        <v>9</v>
      </c>
      <c r="R776" s="3163" t="s">
        <v>36</v>
      </c>
      <c r="S776" s="3163">
        <v>20000</v>
      </c>
      <c r="T776" s="3163" t="s">
        <v>0</v>
      </c>
      <c r="U776" s="3163"/>
      <c r="V776" s="3163">
        <v>2</v>
      </c>
      <c r="W776" s="3163" t="s">
        <v>39</v>
      </c>
      <c r="X776" s="3163" t="s">
        <v>1</v>
      </c>
      <c r="Y776" s="871">
        <f t="shared" si="117"/>
        <v>360</v>
      </c>
      <c r="Z776" s="1405">
        <f>+Q776*S776*V776</f>
        <v>360000</v>
      </c>
      <c r="AA776" s="427"/>
      <c r="AB776" s="427"/>
      <c r="AC776" s="192"/>
    </row>
    <row r="777" spans="1:29" ht="23.1" customHeight="1">
      <c r="A777" s="2079"/>
      <c r="B777" s="2035"/>
      <c r="C777" s="2075"/>
      <c r="D777" s="632"/>
      <c r="E777" s="971" t="s">
        <v>5382</v>
      </c>
      <c r="F777" s="633">
        <f>+Y777</f>
        <v>4440</v>
      </c>
      <c r="G777" s="2381">
        <v>0</v>
      </c>
      <c r="H777" s="470">
        <f t="shared" si="115"/>
        <v>4440</v>
      </c>
      <c r="I777" s="634"/>
      <c r="J777" s="866" t="s">
        <v>5384</v>
      </c>
      <c r="K777" s="3163"/>
      <c r="L777" s="3163"/>
      <c r="M777" s="3163"/>
      <c r="N777" s="3164"/>
      <c r="O777" s="3164"/>
      <c r="P777" s="3163"/>
      <c r="Q777" s="3163"/>
      <c r="R777" s="3163"/>
      <c r="S777" s="3163">
        <v>4440000</v>
      </c>
      <c r="T777" s="3163" t="s">
        <v>0</v>
      </c>
      <c r="U777" s="3163"/>
      <c r="V777" s="3163">
        <v>1</v>
      </c>
      <c r="W777" s="3163" t="s">
        <v>226</v>
      </c>
      <c r="X777" s="3163" t="s">
        <v>5</v>
      </c>
      <c r="Y777" s="871">
        <f t="shared" si="117"/>
        <v>4440</v>
      </c>
      <c r="Z777" s="2187">
        <f>+S777*V777</f>
        <v>4440000</v>
      </c>
      <c r="AA777" s="427"/>
      <c r="AB777" s="427"/>
      <c r="AC777" s="192"/>
    </row>
    <row r="778" spans="1:29" ht="23.1" customHeight="1">
      <c r="A778" s="2079"/>
      <c r="B778" s="2035"/>
      <c r="C778" s="631"/>
      <c r="D778" s="3834" t="s">
        <v>734</v>
      </c>
      <c r="E778" s="3913"/>
      <c r="F778" s="2351">
        <f>SUM(F779:F787)</f>
        <v>46700</v>
      </c>
      <c r="G778" s="2351">
        <f>SUM(G779:G787)</f>
        <v>46700</v>
      </c>
      <c r="H778" s="2021">
        <f>F778-G778</f>
        <v>0</v>
      </c>
      <c r="I778" s="634"/>
      <c r="J778" s="514"/>
      <c r="K778" s="515"/>
      <c r="L778" s="515"/>
      <c r="M778" s="515"/>
      <c r="N778" s="515"/>
      <c r="O778" s="515"/>
      <c r="P778" s="516"/>
      <c r="Q778" s="515"/>
      <c r="R778" s="516"/>
      <c r="S778" s="515"/>
      <c r="T778" s="516"/>
      <c r="U778" s="515"/>
      <c r="V778" s="516"/>
      <c r="W778" s="515"/>
      <c r="X778" s="515"/>
      <c r="Y778" s="517"/>
      <c r="Z778" s="2339"/>
      <c r="AA778" s="427"/>
      <c r="AB778" s="427"/>
      <c r="AC778" s="192"/>
    </row>
    <row r="779" spans="1:29" ht="23.1" customHeight="1">
      <c r="A779" s="2397"/>
      <c r="B779" s="2398"/>
      <c r="C779" s="467"/>
      <c r="D779" s="2013"/>
      <c r="E779" s="624" t="s">
        <v>964</v>
      </c>
      <c r="F779" s="633">
        <f>+Y779</f>
        <v>27700</v>
      </c>
      <c r="G779" s="633">
        <v>27700</v>
      </c>
      <c r="H779" s="551"/>
      <c r="I779" s="634"/>
      <c r="J779" s="472" t="s">
        <v>768</v>
      </c>
      <c r="K779" s="473"/>
      <c r="L779" s="473"/>
      <c r="M779" s="473"/>
      <c r="N779" s="474"/>
      <c r="O779" s="474"/>
      <c r="P779" s="473"/>
      <c r="Q779" s="475"/>
      <c r="R779" s="473"/>
      <c r="S779" s="474"/>
      <c r="T779" s="473"/>
      <c r="U779" s="473"/>
      <c r="V779" s="473"/>
      <c r="W779" s="473"/>
      <c r="X779" s="473"/>
      <c r="Y779" s="483">
        <f t="shared" ref="Y779:Y783" si="118">+Z779/1000</f>
        <v>27700</v>
      </c>
      <c r="Z779" s="1341">
        <f>+Z780+Z781</f>
        <v>27700000</v>
      </c>
      <c r="AA779" s="427"/>
      <c r="AB779" s="427"/>
      <c r="AC779" s="192"/>
    </row>
    <row r="780" spans="1:29" ht="23.1" customHeight="1">
      <c r="A780" s="2397"/>
      <c r="B780" s="2398"/>
      <c r="C780" s="467"/>
      <c r="D780" s="2013"/>
      <c r="E780" s="624"/>
      <c r="F780" s="633"/>
      <c r="G780" s="633"/>
      <c r="H780" s="470"/>
      <c r="I780" s="634"/>
      <c r="J780" s="472" t="s">
        <v>731</v>
      </c>
      <c r="K780" s="473"/>
      <c r="L780" s="473"/>
      <c r="M780" s="473"/>
      <c r="N780" s="474"/>
      <c r="O780" s="474"/>
      <c r="P780" s="473"/>
      <c r="Q780" s="475">
        <v>1</v>
      </c>
      <c r="R780" s="473" t="s">
        <v>25</v>
      </c>
      <c r="S780" s="474">
        <v>2100000</v>
      </c>
      <c r="T780" s="473" t="s">
        <v>0</v>
      </c>
      <c r="U780" s="473"/>
      <c r="V780" s="473">
        <v>12</v>
      </c>
      <c r="W780" s="473" t="s">
        <v>2</v>
      </c>
      <c r="X780" s="473" t="s">
        <v>1</v>
      </c>
      <c r="Y780" s="483">
        <f t="shared" si="118"/>
        <v>25200</v>
      </c>
      <c r="Z780" s="1341">
        <f>+Q780*S780*V780</f>
        <v>25200000</v>
      </c>
      <c r="AA780" s="427"/>
      <c r="AB780" s="427"/>
      <c r="AC780" s="192"/>
    </row>
    <row r="781" spans="1:29" ht="23.1" customHeight="1">
      <c r="A781" s="2397"/>
      <c r="B781" s="2398"/>
      <c r="C781" s="467"/>
      <c r="D781" s="2013"/>
      <c r="E781" s="624"/>
      <c r="F781" s="633"/>
      <c r="G781" s="633"/>
      <c r="H781" s="470"/>
      <c r="I781" s="634"/>
      <c r="J781" s="472" t="s">
        <v>732</v>
      </c>
      <c r="K781" s="473"/>
      <c r="L781" s="473"/>
      <c r="M781" s="473"/>
      <c r="N781" s="474"/>
      <c r="O781" s="474"/>
      <c r="P781" s="473"/>
      <c r="Q781" s="475"/>
      <c r="R781" s="473"/>
      <c r="S781" s="474">
        <v>25000000</v>
      </c>
      <c r="T781" s="473" t="s">
        <v>0</v>
      </c>
      <c r="U781" s="473"/>
      <c r="V781" s="1330">
        <v>0.1</v>
      </c>
      <c r="W781" s="2386"/>
      <c r="X781" s="473" t="s">
        <v>1</v>
      </c>
      <c r="Y781" s="483">
        <f t="shared" si="118"/>
        <v>2500</v>
      </c>
      <c r="Z781" s="1341">
        <f>+S781*V781</f>
        <v>2500000</v>
      </c>
      <c r="AA781" s="427"/>
      <c r="AB781" s="427"/>
      <c r="AC781" s="192"/>
    </row>
    <row r="782" spans="1:29" ht="23.1" customHeight="1">
      <c r="A782" s="2079"/>
      <c r="B782" s="2035"/>
      <c r="C782" s="631"/>
      <c r="D782" s="632"/>
      <c r="E782" s="624" t="s">
        <v>80</v>
      </c>
      <c r="F782" s="633">
        <f>Y782</f>
        <v>5000</v>
      </c>
      <c r="G782" s="633">
        <v>5000</v>
      </c>
      <c r="H782" s="551"/>
      <c r="I782" s="634"/>
      <c r="J782" s="472" t="s">
        <v>1674</v>
      </c>
      <c r="K782" s="473"/>
      <c r="L782" s="473"/>
      <c r="M782" s="473"/>
      <c r="N782" s="474"/>
      <c r="O782" s="474"/>
      <c r="P782" s="473"/>
      <c r="Q782" s="475">
        <v>100</v>
      </c>
      <c r="R782" s="473" t="s">
        <v>25</v>
      </c>
      <c r="S782" s="474">
        <v>5000</v>
      </c>
      <c r="T782" s="473" t="s">
        <v>0</v>
      </c>
      <c r="U782" s="473"/>
      <c r="V782" s="473">
        <v>10</v>
      </c>
      <c r="W782" s="473" t="s">
        <v>39</v>
      </c>
      <c r="X782" s="473" t="s">
        <v>1</v>
      </c>
      <c r="Y782" s="483">
        <f>+Z782/1000</f>
        <v>5000</v>
      </c>
      <c r="Z782" s="1341">
        <f>+Q782*S782*V782</f>
        <v>5000000</v>
      </c>
      <c r="AA782" s="427"/>
      <c r="AB782" s="427"/>
      <c r="AC782" s="192"/>
    </row>
    <row r="783" spans="1:29" ht="23.1" customHeight="1">
      <c r="A783" s="2079"/>
      <c r="B783" s="2035"/>
      <c r="C783" s="631"/>
      <c r="D783" s="2035"/>
      <c r="E783" s="624" t="s">
        <v>58</v>
      </c>
      <c r="F783" s="633">
        <f>Y783</f>
        <v>14000</v>
      </c>
      <c r="G783" s="633">
        <v>14000</v>
      </c>
      <c r="H783" s="551"/>
      <c r="I783" s="634"/>
      <c r="J783" s="472" t="s">
        <v>768</v>
      </c>
      <c r="K783" s="473"/>
      <c r="L783" s="473"/>
      <c r="M783" s="473"/>
      <c r="N783" s="474"/>
      <c r="O783" s="474"/>
      <c r="P783" s="473"/>
      <c r="Q783" s="475"/>
      <c r="R783" s="473"/>
      <c r="S783" s="474"/>
      <c r="T783" s="473"/>
      <c r="U783" s="473"/>
      <c r="V783" s="473"/>
      <c r="W783" s="473"/>
      <c r="X783" s="473"/>
      <c r="Y783" s="483">
        <f t="shared" si="118"/>
        <v>14000</v>
      </c>
      <c r="Z783" s="1341">
        <f>+Z784+Z787</f>
        <v>14000000</v>
      </c>
      <c r="AA783" s="427"/>
      <c r="AB783" s="427"/>
      <c r="AC783" s="192"/>
    </row>
    <row r="784" spans="1:29" ht="23.1" customHeight="1">
      <c r="A784" s="2079"/>
      <c r="B784" s="2035"/>
      <c r="C784" s="631"/>
      <c r="D784" s="2035"/>
      <c r="E784" s="624"/>
      <c r="F784" s="633"/>
      <c r="G784" s="633"/>
      <c r="H784" s="551"/>
      <c r="I784" s="634"/>
      <c r="J784" s="472" t="s">
        <v>735</v>
      </c>
      <c r="K784" s="2082"/>
      <c r="L784" s="2082"/>
      <c r="M784" s="2082"/>
      <c r="N784" s="2082"/>
      <c r="O784" s="2082"/>
      <c r="P784" s="2015"/>
      <c r="Q784" s="2106"/>
      <c r="R784" s="2092"/>
      <c r="S784" s="2106"/>
      <c r="T784" s="473"/>
      <c r="U784" s="2015"/>
      <c r="V784" s="2106"/>
      <c r="W784" s="2092"/>
      <c r="X784" s="473"/>
      <c r="Y784" s="483">
        <f>+Z784/1000</f>
        <v>12000</v>
      </c>
      <c r="Z784" s="1341">
        <f>SUM(Z785:Z786)</f>
        <v>12000000</v>
      </c>
      <c r="AA784" s="427"/>
      <c r="AB784" s="427"/>
      <c r="AC784" s="192"/>
    </row>
    <row r="785" spans="1:29" ht="23.1" customHeight="1">
      <c r="A785" s="2079"/>
      <c r="B785" s="2035"/>
      <c r="C785" s="631"/>
      <c r="D785" s="2035"/>
      <c r="E785" s="624"/>
      <c r="F785" s="633"/>
      <c r="G785" s="633"/>
      <c r="H785" s="551"/>
      <c r="I785" s="634"/>
      <c r="J785" s="2105" t="s">
        <v>1679</v>
      </c>
      <c r="K785" s="2082"/>
      <c r="L785" s="2082"/>
      <c r="M785" s="2082"/>
      <c r="N785" s="2082"/>
      <c r="O785" s="473"/>
      <c r="P785" s="473"/>
      <c r="Q785" s="473">
        <v>4</v>
      </c>
      <c r="R785" s="473" t="s">
        <v>929</v>
      </c>
      <c r="S785" s="473">
        <v>200000</v>
      </c>
      <c r="T785" s="473" t="s">
        <v>0</v>
      </c>
      <c r="U785" s="473"/>
      <c r="V785" s="473">
        <v>10</v>
      </c>
      <c r="W785" s="473" t="s">
        <v>39</v>
      </c>
      <c r="X785" s="473" t="s">
        <v>1</v>
      </c>
      <c r="Y785" s="483">
        <f t="shared" ref="Y785:Y787" si="119">+Z785/1000</f>
        <v>8000</v>
      </c>
      <c r="Z785" s="1341">
        <f>+Q785*S785*V785</f>
        <v>8000000</v>
      </c>
      <c r="AA785" s="427"/>
      <c r="AB785" s="427"/>
      <c r="AC785" s="192"/>
    </row>
    <row r="786" spans="1:29" ht="23.1" customHeight="1">
      <c r="A786" s="2079"/>
      <c r="B786" s="2035"/>
      <c r="C786" s="631"/>
      <c r="D786" s="2035"/>
      <c r="E786" s="624"/>
      <c r="F786" s="633"/>
      <c r="G786" s="633"/>
      <c r="H786" s="551"/>
      <c r="I786" s="634"/>
      <c r="J786" s="2105" t="s">
        <v>1680</v>
      </c>
      <c r="K786" s="2082"/>
      <c r="L786" s="2082"/>
      <c r="M786" s="2082"/>
      <c r="N786" s="2082"/>
      <c r="O786" s="473"/>
      <c r="P786" s="473"/>
      <c r="Q786" s="473">
        <v>4</v>
      </c>
      <c r="R786" s="473" t="s">
        <v>929</v>
      </c>
      <c r="S786" s="474">
        <v>100000</v>
      </c>
      <c r="T786" s="473" t="s">
        <v>0</v>
      </c>
      <c r="U786" s="473"/>
      <c r="V786" s="473">
        <v>10</v>
      </c>
      <c r="W786" s="473" t="s">
        <v>39</v>
      </c>
      <c r="X786" s="473" t="s">
        <v>1</v>
      </c>
      <c r="Y786" s="483">
        <f t="shared" si="119"/>
        <v>4000</v>
      </c>
      <c r="Z786" s="1341">
        <f>+Q786*S786*V786</f>
        <v>4000000</v>
      </c>
      <c r="AA786" s="427"/>
      <c r="AB786" s="427"/>
      <c r="AC786" s="192"/>
    </row>
    <row r="787" spans="1:29" ht="23.1" customHeight="1">
      <c r="A787" s="2079"/>
      <c r="B787" s="2035"/>
      <c r="C787" s="631"/>
      <c r="D787" s="2035"/>
      <c r="E787" s="624"/>
      <c r="F787" s="633"/>
      <c r="G787" s="633"/>
      <c r="H787" s="551"/>
      <c r="I787" s="634"/>
      <c r="J787" s="2105" t="s">
        <v>736</v>
      </c>
      <c r="K787" s="2082"/>
      <c r="L787" s="2082"/>
      <c r="M787" s="2082"/>
      <c r="N787" s="2082"/>
      <c r="O787" s="473"/>
      <c r="P787" s="473"/>
      <c r="Q787" s="475">
        <v>1</v>
      </c>
      <c r="R787" s="473" t="s">
        <v>929</v>
      </c>
      <c r="S787" s="474">
        <v>200000</v>
      </c>
      <c r="T787" s="473" t="s">
        <v>0</v>
      </c>
      <c r="U787" s="473"/>
      <c r="V787" s="473">
        <v>10</v>
      </c>
      <c r="W787" s="473" t="s">
        <v>39</v>
      </c>
      <c r="X787" s="473" t="s">
        <v>1</v>
      </c>
      <c r="Y787" s="483">
        <f t="shared" si="119"/>
        <v>2000</v>
      </c>
      <c r="Z787" s="1341">
        <f>+Q787*S787*V787</f>
        <v>2000000</v>
      </c>
      <c r="AA787" s="427"/>
      <c r="AB787" s="427"/>
      <c r="AC787" s="192"/>
    </row>
    <row r="788" spans="1:29" ht="23.1" customHeight="1">
      <c r="A788" s="481"/>
      <c r="B788" s="2013"/>
      <c r="C788" s="2080"/>
      <c r="D788" s="3825" t="s">
        <v>762</v>
      </c>
      <c r="E788" s="3826"/>
      <c r="F788" s="2351">
        <f>SUM(F789:F807)</f>
        <v>140000</v>
      </c>
      <c r="G788" s="2351">
        <f>SUM(G789:G807)</f>
        <v>140000</v>
      </c>
      <c r="H788" s="2021">
        <v>0</v>
      </c>
      <c r="I788" s="634"/>
      <c r="J788" s="514"/>
      <c r="K788" s="515"/>
      <c r="L788" s="515"/>
      <c r="M788" s="515"/>
      <c r="N788" s="515"/>
      <c r="O788" s="515"/>
      <c r="P788" s="516"/>
      <c r="Q788" s="515"/>
      <c r="R788" s="516"/>
      <c r="S788" s="515"/>
      <c r="T788" s="516"/>
      <c r="U788" s="515"/>
      <c r="V788" s="516"/>
      <c r="W788" s="515"/>
      <c r="X788" s="515"/>
      <c r="Y788" s="517"/>
      <c r="Z788" s="518">
        <v>142000000</v>
      </c>
      <c r="AA788" s="427"/>
      <c r="AB788" s="427"/>
      <c r="AC788" s="192"/>
    </row>
    <row r="789" spans="1:29" ht="23.1" customHeight="1">
      <c r="A789" s="481"/>
      <c r="B789" s="2013"/>
      <c r="C789" s="2080"/>
      <c r="D789" s="2402"/>
      <c r="E789" s="851" t="s">
        <v>975</v>
      </c>
      <c r="F789" s="2381">
        <f>+Y789</f>
        <v>6000</v>
      </c>
      <c r="G789" s="2381">
        <v>6000</v>
      </c>
      <c r="H789" s="949"/>
      <c r="I789" s="634"/>
      <c r="J789" s="866" t="s">
        <v>1681</v>
      </c>
      <c r="K789" s="867"/>
      <c r="L789" s="867"/>
      <c r="M789" s="867"/>
      <c r="N789" s="868"/>
      <c r="O789" s="868"/>
      <c r="P789" s="867"/>
      <c r="Q789" s="869"/>
      <c r="R789" s="867"/>
      <c r="S789" s="868">
        <v>3000000</v>
      </c>
      <c r="T789" s="867" t="s">
        <v>0</v>
      </c>
      <c r="U789" s="867"/>
      <c r="V789" s="867">
        <v>2</v>
      </c>
      <c r="W789" s="867" t="s">
        <v>674</v>
      </c>
      <c r="X789" s="867" t="s">
        <v>1</v>
      </c>
      <c r="Y789" s="871">
        <f t="shared" ref="Y789:Y808" si="120">Z789/1000</f>
        <v>6000</v>
      </c>
      <c r="Z789" s="1405">
        <f>+S789*V789</f>
        <v>6000000</v>
      </c>
      <c r="AA789" s="427"/>
      <c r="AB789" s="427"/>
      <c r="AC789" s="192"/>
    </row>
    <row r="790" spans="1:29" ht="23.1" customHeight="1">
      <c r="A790" s="481"/>
      <c r="B790" s="2013"/>
      <c r="C790" s="2080"/>
      <c r="D790" s="2403"/>
      <c r="E790" s="851" t="s">
        <v>80</v>
      </c>
      <c r="F790" s="2381">
        <f t="shared" ref="F790:F806" si="121">+Y790</f>
        <v>25500</v>
      </c>
      <c r="G790" s="2381">
        <v>25500</v>
      </c>
      <c r="H790" s="949"/>
      <c r="I790" s="634"/>
      <c r="J790" s="472" t="s">
        <v>768</v>
      </c>
      <c r="K790" s="867"/>
      <c r="L790" s="867"/>
      <c r="M790" s="867"/>
      <c r="N790" s="868"/>
      <c r="O790" s="868"/>
      <c r="P790" s="867"/>
      <c r="Q790" s="869"/>
      <c r="R790" s="867"/>
      <c r="S790" s="867"/>
      <c r="T790" s="867"/>
      <c r="U790" s="867"/>
      <c r="V790" s="867"/>
      <c r="W790" s="867"/>
      <c r="X790" s="867"/>
      <c r="Y790" s="871">
        <f t="shared" si="120"/>
        <v>25500</v>
      </c>
      <c r="Z790" s="1405">
        <f>SUM(Z791:Z793)</f>
        <v>25500000</v>
      </c>
      <c r="AA790" s="427"/>
      <c r="AB790" s="427"/>
      <c r="AC790" s="192"/>
    </row>
    <row r="791" spans="1:29" ht="23.1" customHeight="1">
      <c r="A791" s="481"/>
      <c r="B791" s="2013"/>
      <c r="C791" s="2080"/>
      <c r="D791" s="2402"/>
      <c r="E791" s="851"/>
      <c r="F791" s="2381"/>
      <c r="G791" s="2381"/>
      <c r="H791" s="949"/>
      <c r="I791" s="634"/>
      <c r="J791" s="681" t="s">
        <v>1689</v>
      </c>
      <c r="K791" s="682"/>
      <c r="L791" s="682"/>
      <c r="M791" s="682"/>
      <c r="N791" s="682"/>
      <c r="O791" s="867"/>
      <c r="P791" s="867"/>
      <c r="Q791" s="867">
        <v>100</v>
      </c>
      <c r="R791" s="867" t="s">
        <v>929</v>
      </c>
      <c r="S791" s="867">
        <v>10000</v>
      </c>
      <c r="T791" s="867" t="s">
        <v>0</v>
      </c>
      <c r="U791" s="867"/>
      <c r="V791" s="867">
        <v>15</v>
      </c>
      <c r="W791" s="867" t="s">
        <v>39</v>
      </c>
      <c r="X791" s="867" t="s">
        <v>1</v>
      </c>
      <c r="Y791" s="871">
        <f t="shared" si="120"/>
        <v>15000</v>
      </c>
      <c r="Z791" s="1405">
        <f>+Q791*S791*V791</f>
        <v>15000000</v>
      </c>
      <c r="AA791" s="427"/>
      <c r="AB791" s="427"/>
      <c r="AC791" s="192"/>
    </row>
    <row r="792" spans="1:29" ht="23.1" customHeight="1">
      <c r="A792" s="481"/>
      <c r="B792" s="2013"/>
      <c r="C792" s="2080"/>
      <c r="D792" s="2402"/>
      <c r="E792" s="851"/>
      <c r="F792" s="2381"/>
      <c r="G792" s="2381"/>
      <c r="H792" s="949"/>
      <c r="I792" s="634"/>
      <c r="J792" s="681" t="s">
        <v>1690</v>
      </c>
      <c r="K792" s="682"/>
      <c r="L792" s="682"/>
      <c r="M792" s="682"/>
      <c r="N792" s="682"/>
      <c r="O792" s="867"/>
      <c r="P792" s="867"/>
      <c r="Q792" s="867">
        <v>15</v>
      </c>
      <c r="R792" s="867" t="s">
        <v>929</v>
      </c>
      <c r="S792" s="867">
        <v>100000</v>
      </c>
      <c r="T792" s="867" t="s">
        <v>0</v>
      </c>
      <c r="U792" s="867"/>
      <c r="V792" s="867">
        <v>1</v>
      </c>
      <c r="W792" s="867" t="s">
        <v>39</v>
      </c>
      <c r="X792" s="867" t="s">
        <v>1</v>
      </c>
      <c r="Y792" s="871">
        <f t="shared" si="120"/>
        <v>1500</v>
      </c>
      <c r="Z792" s="1405">
        <f>+Q792*S792*V792</f>
        <v>1500000</v>
      </c>
      <c r="AA792" s="427"/>
      <c r="AB792" s="427"/>
      <c r="AC792" s="192"/>
    </row>
    <row r="793" spans="1:29" ht="23.1" customHeight="1">
      <c r="A793" s="481"/>
      <c r="B793" s="2013"/>
      <c r="C793" s="2080"/>
      <c r="D793" s="2402"/>
      <c r="E793" s="851"/>
      <c r="F793" s="2381"/>
      <c r="G793" s="2381"/>
      <c r="H793" s="949"/>
      <c r="I793" s="734"/>
      <c r="J793" s="681" t="s">
        <v>1691</v>
      </c>
      <c r="K793" s="682"/>
      <c r="L793" s="682"/>
      <c r="M793" s="682"/>
      <c r="N793" s="682"/>
      <c r="O793" s="867"/>
      <c r="P793" s="867"/>
      <c r="Q793" s="867">
        <v>6</v>
      </c>
      <c r="R793" s="867" t="s">
        <v>929</v>
      </c>
      <c r="S793" s="867">
        <v>1500000</v>
      </c>
      <c r="T793" s="867" t="s">
        <v>0</v>
      </c>
      <c r="U793" s="867"/>
      <c r="V793" s="867">
        <v>1</v>
      </c>
      <c r="W793" s="867" t="s">
        <v>39</v>
      </c>
      <c r="X793" s="867" t="s">
        <v>1</v>
      </c>
      <c r="Y793" s="871">
        <f t="shared" si="120"/>
        <v>9000</v>
      </c>
      <c r="Z793" s="1405">
        <v>9000000</v>
      </c>
      <c r="AA793" s="427"/>
      <c r="AB793" s="427"/>
      <c r="AC793" s="192"/>
    </row>
    <row r="794" spans="1:29" ht="23.1" customHeight="1">
      <c r="A794" s="481"/>
      <c r="B794" s="2013"/>
      <c r="C794" s="2080"/>
      <c r="D794" s="2402"/>
      <c r="E794" s="851" t="s">
        <v>58</v>
      </c>
      <c r="F794" s="2381">
        <f t="shared" si="121"/>
        <v>32500</v>
      </c>
      <c r="G794" s="2381">
        <v>32500</v>
      </c>
      <c r="H794" s="949"/>
      <c r="I794" s="734"/>
      <c r="J794" s="472" t="s">
        <v>768</v>
      </c>
      <c r="K794" s="867"/>
      <c r="L794" s="867"/>
      <c r="M794" s="867"/>
      <c r="N794" s="868"/>
      <c r="O794" s="868"/>
      <c r="P794" s="867"/>
      <c r="Q794" s="869"/>
      <c r="R794" s="867"/>
      <c r="S794" s="868"/>
      <c r="T794" s="867"/>
      <c r="U794" s="867"/>
      <c r="V794" s="867"/>
      <c r="W794" s="867"/>
      <c r="X794" s="867"/>
      <c r="Y794" s="871">
        <f t="shared" si="120"/>
        <v>32500</v>
      </c>
      <c r="Z794" s="1405">
        <f>+Z795+Z796+Z797+Z798+Z799</f>
        <v>32500000</v>
      </c>
      <c r="AA794" s="427"/>
      <c r="AB794" s="427"/>
      <c r="AC794" s="192"/>
    </row>
    <row r="795" spans="1:29" ht="23.1" customHeight="1">
      <c r="A795" s="481"/>
      <c r="B795" s="2013"/>
      <c r="C795" s="2080"/>
      <c r="D795" s="2402"/>
      <c r="E795" s="851"/>
      <c r="F795" s="2381"/>
      <c r="G795" s="2381"/>
      <c r="H795" s="949"/>
      <c r="I795" s="734"/>
      <c r="J795" s="681" t="s">
        <v>1682</v>
      </c>
      <c r="K795" s="682"/>
      <c r="L795" s="682"/>
      <c r="M795" s="682"/>
      <c r="N795" s="682"/>
      <c r="O795" s="867"/>
      <c r="P795" s="867"/>
      <c r="Q795" s="867">
        <v>5</v>
      </c>
      <c r="R795" s="867" t="s">
        <v>929</v>
      </c>
      <c r="S795" s="867">
        <v>200000</v>
      </c>
      <c r="T795" s="867" t="s">
        <v>0</v>
      </c>
      <c r="U795" s="867"/>
      <c r="V795" s="867">
        <v>15</v>
      </c>
      <c r="W795" s="867" t="s">
        <v>39</v>
      </c>
      <c r="X795" s="867" t="s">
        <v>1</v>
      </c>
      <c r="Y795" s="871">
        <f t="shared" si="120"/>
        <v>15000</v>
      </c>
      <c r="Z795" s="1405">
        <f>+Q795*S795*V795</f>
        <v>15000000</v>
      </c>
      <c r="AA795" s="427"/>
      <c r="AB795" s="427"/>
      <c r="AC795" s="192"/>
    </row>
    <row r="796" spans="1:29" ht="23.1" customHeight="1">
      <c r="A796" s="481"/>
      <c r="B796" s="2013"/>
      <c r="C796" s="2080"/>
      <c r="D796" s="2402"/>
      <c r="E796" s="851"/>
      <c r="F796" s="2381"/>
      <c r="G796" s="2381"/>
      <c r="H796" s="949"/>
      <c r="I796" s="734"/>
      <c r="J796" s="681" t="s">
        <v>1683</v>
      </c>
      <c r="K796" s="682"/>
      <c r="L796" s="682"/>
      <c r="M796" s="682"/>
      <c r="N796" s="682"/>
      <c r="O796" s="867"/>
      <c r="P796" s="867"/>
      <c r="Q796" s="867">
        <v>5</v>
      </c>
      <c r="R796" s="867" t="s">
        <v>929</v>
      </c>
      <c r="S796" s="867">
        <v>100000</v>
      </c>
      <c r="T796" s="867" t="s">
        <v>0</v>
      </c>
      <c r="U796" s="867"/>
      <c r="V796" s="867">
        <v>15</v>
      </c>
      <c r="W796" s="867" t="s">
        <v>39</v>
      </c>
      <c r="X796" s="867" t="s">
        <v>1</v>
      </c>
      <c r="Y796" s="871">
        <f t="shared" si="120"/>
        <v>7500</v>
      </c>
      <c r="Z796" s="1405">
        <f>+Q796*S796*V796</f>
        <v>7500000</v>
      </c>
      <c r="AA796" s="427"/>
      <c r="AB796" s="427"/>
      <c r="AC796" s="192"/>
    </row>
    <row r="797" spans="1:29" ht="23.1" customHeight="1">
      <c r="A797" s="481"/>
      <c r="B797" s="2013"/>
      <c r="C797" s="2080"/>
      <c r="D797" s="2402"/>
      <c r="E797" s="851"/>
      <c r="F797" s="2381"/>
      <c r="G797" s="2381"/>
      <c r="H797" s="949"/>
      <c r="I797" s="734"/>
      <c r="J797" s="681" t="s">
        <v>1684</v>
      </c>
      <c r="K797" s="682"/>
      <c r="L797" s="682"/>
      <c r="M797" s="682"/>
      <c r="N797" s="682"/>
      <c r="O797" s="867"/>
      <c r="P797" s="867"/>
      <c r="Q797" s="867">
        <v>1</v>
      </c>
      <c r="R797" s="867" t="s">
        <v>929</v>
      </c>
      <c r="S797" s="867">
        <v>200000</v>
      </c>
      <c r="T797" s="867" t="s">
        <v>0</v>
      </c>
      <c r="U797" s="867"/>
      <c r="V797" s="867">
        <v>16</v>
      </c>
      <c r="W797" s="867" t="s">
        <v>39</v>
      </c>
      <c r="X797" s="867" t="s">
        <v>1</v>
      </c>
      <c r="Y797" s="871">
        <f t="shared" si="120"/>
        <v>3000</v>
      </c>
      <c r="Z797" s="1405">
        <v>3000000</v>
      </c>
      <c r="AA797" s="427"/>
      <c r="AB797" s="427"/>
      <c r="AC797" s="192"/>
    </row>
    <row r="798" spans="1:29" ht="23.1" customHeight="1">
      <c r="A798" s="481"/>
      <c r="B798" s="2013"/>
      <c r="C798" s="2080"/>
      <c r="D798" s="2402"/>
      <c r="E798" s="851"/>
      <c r="F798" s="2381"/>
      <c r="G798" s="2381"/>
      <c r="H798" s="949"/>
      <c r="I798" s="734"/>
      <c r="J798" s="681" t="s">
        <v>1685</v>
      </c>
      <c r="K798" s="682"/>
      <c r="L798" s="682"/>
      <c r="M798" s="682"/>
      <c r="N798" s="682"/>
      <c r="O798" s="867"/>
      <c r="P798" s="867"/>
      <c r="Q798" s="867">
        <v>2</v>
      </c>
      <c r="R798" s="867" t="s">
        <v>929</v>
      </c>
      <c r="S798" s="867">
        <v>200000</v>
      </c>
      <c r="T798" s="867" t="s">
        <v>0</v>
      </c>
      <c r="U798" s="867"/>
      <c r="V798" s="867">
        <v>10</v>
      </c>
      <c r="W798" s="867" t="s">
        <v>39</v>
      </c>
      <c r="X798" s="867" t="s">
        <v>1</v>
      </c>
      <c r="Y798" s="871">
        <f t="shared" si="120"/>
        <v>4000</v>
      </c>
      <c r="Z798" s="1405">
        <f>+Q798*S798*V798</f>
        <v>4000000</v>
      </c>
      <c r="AA798" s="427"/>
      <c r="AB798" s="427"/>
      <c r="AC798" s="192"/>
    </row>
    <row r="799" spans="1:29" ht="23.1" customHeight="1">
      <c r="A799" s="481"/>
      <c r="B799" s="2013"/>
      <c r="C799" s="2080"/>
      <c r="D799" s="2402"/>
      <c r="E799" s="851"/>
      <c r="F799" s="2381"/>
      <c r="G799" s="2381"/>
      <c r="H799" s="949"/>
      <c r="I799" s="734"/>
      <c r="J799" s="866" t="s">
        <v>1686</v>
      </c>
      <c r="K799" s="682"/>
      <c r="L799" s="682"/>
      <c r="M799" s="682"/>
      <c r="N799" s="682"/>
      <c r="O799" s="867"/>
      <c r="P799" s="867"/>
      <c r="Q799" s="867">
        <v>15</v>
      </c>
      <c r="R799" s="867" t="s">
        <v>929</v>
      </c>
      <c r="S799" s="867">
        <v>200000</v>
      </c>
      <c r="T799" s="867" t="s">
        <v>0</v>
      </c>
      <c r="U799" s="867"/>
      <c r="V799" s="867">
        <v>1</v>
      </c>
      <c r="W799" s="867" t="s">
        <v>39</v>
      </c>
      <c r="X799" s="867" t="s">
        <v>1</v>
      </c>
      <c r="Y799" s="871">
        <f t="shared" si="120"/>
        <v>3000</v>
      </c>
      <c r="Z799" s="1405">
        <f>+Q799*S799*V799</f>
        <v>3000000</v>
      </c>
      <c r="AA799" s="427"/>
      <c r="AB799" s="427"/>
      <c r="AC799" s="192"/>
    </row>
    <row r="800" spans="1:29" ht="23.1" customHeight="1">
      <c r="A800" s="481"/>
      <c r="B800" s="2013"/>
      <c r="C800" s="2080"/>
      <c r="D800" s="2403"/>
      <c r="E800" s="851" t="s">
        <v>1098</v>
      </c>
      <c r="F800" s="2381">
        <f>+Y800</f>
        <v>69000</v>
      </c>
      <c r="G800" s="2381">
        <v>69000</v>
      </c>
      <c r="H800" s="949"/>
      <c r="I800" s="734"/>
      <c r="J800" s="472" t="s">
        <v>768</v>
      </c>
      <c r="K800" s="867"/>
      <c r="L800" s="867"/>
      <c r="M800" s="867"/>
      <c r="N800" s="868"/>
      <c r="O800" s="868"/>
      <c r="P800" s="867"/>
      <c r="Q800" s="869"/>
      <c r="R800" s="867"/>
      <c r="S800" s="867"/>
      <c r="T800" s="867"/>
      <c r="U800" s="867"/>
      <c r="V800" s="867"/>
      <c r="W800" s="867"/>
      <c r="X800" s="867"/>
      <c r="Y800" s="871">
        <f t="shared" si="120"/>
        <v>69000</v>
      </c>
      <c r="Z800" s="1405">
        <f>+Z801+Z802+Z803+Z804</f>
        <v>69000000</v>
      </c>
      <c r="AA800" s="427"/>
      <c r="AB800" s="427"/>
      <c r="AC800" s="192"/>
    </row>
    <row r="801" spans="1:29" ht="23.1" customHeight="1">
      <c r="A801" s="481"/>
      <c r="B801" s="2013"/>
      <c r="C801" s="2080"/>
      <c r="D801" s="2403"/>
      <c r="E801" s="851"/>
      <c r="F801" s="2381"/>
      <c r="G801" s="2381"/>
      <c r="H801" s="949"/>
      <c r="I801" s="734"/>
      <c r="J801" s="866" t="s">
        <v>3419</v>
      </c>
      <c r="K801" s="682"/>
      <c r="L801" s="682"/>
      <c r="M801" s="682"/>
      <c r="N801" s="682"/>
      <c r="O801" s="682"/>
      <c r="P801" s="683"/>
      <c r="Q801" s="684">
        <v>100</v>
      </c>
      <c r="R801" s="685" t="s">
        <v>929</v>
      </c>
      <c r="S801" s="684">
        <v>30000</v>
      </c>
      <c r="T801" s="867" t="s">
        <v>37</v>
      </c>
      <c r="U801" s="683"/>
      <c r="V801" s="684">
        <v>15</v>
      </c>
      <c r="W801" s="685" t="s">
        <v>39</v>
      </c>
      <c r="X801" s="867" t="s">
        <v>1</v>
      </c>
      <c r="Y801" s="871">
        <f t="shared" si="120"/>
        <v>45000</v>
      </c>
      <c r="Z801" s="1405">
        <v>45000000</v>
      </c>
      <c r="AA801" s="427"/>
      <c r="AB801" s="427"/>
      <c r="AC801" s="192"/>
    </row>
    <row r="802" spans="1:29" ht="23.1" customHeight="1">
      <c r="A802" s="481"/>
      <c r="B802" s="2013"/>
      <c r="C802" s="2080"/>
      <c r="D802" s="2403"/>
      <c r="E802" s="851"/>
      <c r="F802" s="2381"/>
      <c r="G802" s="2381"/>
      <c r="H802" s="949"/>
      <c r="I802" s="734"/>
      <c r="J802" s="681" t="s">
        <v>913</v>
      </c>
      <c r="K802" s="682"/>
      <c r="L802" s="682"/>
      <c r="M802" s="682"/>
      <c r="N802" s="682"/>
      <c r="O802" s="867"/>
      <c r="P802" s="867"/>
      <c r="Q802" s="867">
        <v>4</v>
      </c>
      <c r="R802" s="867" t="s">
        <v>929</v>
      </c>
      <c r="S802" s="867">
        <v>1000000</v>
      </c>
      <c r="T802" s="867" t="s">
        <v>0</v>
      </c>
      <c r="U802" s="867"/>
      <c r="V802" s="867">
        <v>2</v>
      </c>
      <c r="W802" s="867" t="s">
        <v>39</v>
      </c>
      <c r="X802" s="867" t="s">
        <v>1</v>
      </c>
      <c r="Y802" s="871">
        <f t="shared" si="120"/>
        <v>8000</v>
      </c>
      <c r="Z802" s="1405">
        <f>+Q802*S802*V802</f>
        <v>8000000</v>
      </c>
      <c r="AA802" s="427"/>
      <c r="AB802" s="427"/>
      <c r="AC802" s="192"/>
    </row>
    <row r="803" spans="1:29" ht="23.1" customHeight="1">
      <c r="A803" s="481"/>
      <c r="B803" s="2013"/>
      <c r="C803" s="2080"/>
      <c r="D803" s="2403"/>
      <c r="E803" s="851"/>
      <c r="F803" s="2381"/>
      <c r="G803" s="2381"/>
      <c r="H803" s="949"/>
      <c r="I803" s="734"/>
      <c r="J803" s="681" t="s">
        <v>3420</v>
      </c>
      <c r="K803" s="682"/>
      <c r="L803" s="682"/>
      <c r="M803" s="682"/>
      <c r="N803" s="682"/>
      <c r="O803" s="867"/>
      <c r="P803" s="867"/>
      <c r="Q803" s="867"/>
      <c r="R803" s="867"/>
      <c r="S803" s="867">
        <v>5000000</v>
      </c>
      <c r="T803" s="867" t="s">
        <v>0</v>
      </c>
      <c r="U803" s="867"/>
      <c r="V803" s="867">
        <v>2</v>
      </c>
      <c r="W803" s="867" t="s">
        <v>763</v>
      </c>
      <c r="X803" s="867" t="s">
        <v>1</v>
      </c>
      <c r="Y803" s="871">
        <f t="shared" si="120"/>
        <v>10000</v>
      </c>
      <c r="Z803" s="1405">
        <f t="shared" ref="Z803:Z804" si="122">+S803*V803</f>
        <v>10000000</v>
      </c>
      <c r="AA803" s="427"/>
      <c r="AB803" s="427"/>
      <c r="AC803" s="192"/>
    </row>
    <row r="804" spans="1:29" ht="23.1" customHeight="1">
      <c r="A804" s="481"/>
      <c r="B804" s="2013"/>
      <c r="C804" s="2080"/>
      <c r="D804" s="2403"/>
      <c r="E804" s="851"/>
      <c r="F804" s="2381"/>
      <c r="G804" s="2381"/>
      <c r="H804" s="949"/>
      <c r="I804" s="734"/>
      <c r="J804" s="681" t="s">
        <v>914</v>
      </c>
      <c r="K804" s="682"/>
      <c r="L804" s="682"/>
      <c r="M804" s="682"/>
      <c r="N804" s="682"/>
      <c r="O804" s="867"/>
      <c r="P804" s="867"/>
      <c r="Q804" s="867"/>
      <c r="R804" s="867"/>
      <c r="S804" s="867">
        <v>3000000</v>
      </c>
      <c r="T804" s="867" t="s">
        <v>0</v>
      </c>
      <c r="U804" s="867"/>
      <c r="V804" s="867">
        <v>2</v>
      </c>
      <c r="W804" s="867" t="s">
        <v>674</v>
      </c>
      <c r="X804" s="867" t="s">
        <v>1</v>
      </c>
      <c r="Y804" s="871">
        <f t="shared" si="120"/>
        <v>6000</v>
      </c>
      <c r="Z804" s="1405">
        <f t="shared" si="122"/>
        <v>6000000</v>
      </c>
      <c r="AA804" s="427"/>
      <c r="AB804" s="427"/>
      <c r="AC804" s="192"/>
    </row>
    <row r="805" spans="1:29" ht="23.1" customHeight="1">
      <c r="A805" s="481"/>
      <c r="B805" s="2013"/>
      <c r="C805" s="2080"/>
      <c r="D805" s="2035"/>
      <c r="E805" s="851" t="s">
        <v>943</v>
      </c>
      <c r="F805" s="2381">
        <f t="shared" si="121"/>
        <v>3000</v>
      </c>
      <c r="G805" s="2381">
        <v>3000</v>
      </c>
      <c r="H805" s="949"/>
      <c r="I805" s="734"/>
      <c r="J805" s="472" t="s">
        <v>1675</v>
      </c>
      <c r="K805" s="682"/>
      <c r="L805" s="682"/>
      <c r="M805" s="682"/>
      <c r="N805" s="682"/>
      <c r="O805" s="867"/>
      <c r="P805" s="867"/>
      <c r="Q805" s="867"/>
      <c r="R805" s="867"/>
      <c r="S805" s="867">
        <v>200000</v>
      </c>
      <c r="T805" s="867" t="s">
        <v>0</v>
      </c>
      <c r="U805" s="867"/>
      <c r="V805" s="867">
        <v>15</v>
      </c>
      <c r="W805" s="867" t="s">
        <v>39</v>
      </c>
      <c r="X805" s="867" t="s">
        <v>1</v>
      </c>
      <c r="Y805" s="871">
        <f t="shared" si="120"/>
        <v>3000</v>
      </c>
      <c r="Z805" s="1405">
        <f>+S805*V805</f>
        <v>3000000</v>
      </c>
      <c r="AA805" s="427"/>
      <c r="AB805" s="427"/>
      <c r="AC805" s="192"/>
    </row>
    <row r="806" spans="1:29" ht="23.1" customHeight="1">
      <c r="A806" s="481"/>
      <c r="B806" s="2013"/>
      <c r="C806" s="2080"/>
      <c r="D806" s="2035"/>
      <c r="E806" s="851" t="s">
        <v>942</v>
      </c>
      <c r="F806" s="2381">
        <f t="shared" si="121"/>
        <v>4000</v>
      </c>
      <c r="G806" s="2381">
        <v>4000</v>
      </c>
      <c r="H806" s="949"/>
      <c r="I806" s="734"/>
      <c r="J806" s="472" t="s">
        <v>768</v>
      </c>
      <c r="K806" s="867"/>
      <c r="L806" s="867"/>
      <c r="M806" s="867"/>
      <c r="N806" s="868"/>
      <c r="O806" s="868"/>
      <c r="P806" s="867"/>
      <c r="Q806" s="869"/>
      <c r="R806" s="867"/>
      <c r="S806" s="867"/>
      <c r="T806" s="867"/>
      <c r="U806" s="867"/>
      <c r="V806" s="867"/>
      <c r="W806" s="867"/>
      <c r="X806" s="867"/>
      <c r="Y806" s="871">
        <f t="shared" si="120"/>
        <v>4000</v>
      </c>
      <c r="Z806" s="1405">
        <v>4000000</v>
      </c>
      <c r="AA806" s="427"/>
      <c r="AB806" s="427"/>
      <c r="AC806" s="192"/>
    </row>
    <row r="807" spans="1:29" ht="23.1" customHeight="1">
      <c r="A807" s="481"/>
      <c r="B807" s="2013"/>
      <c r="C807" s="2080"/>
      <c r="D807" s="2035"/>
      <c r="E807" s="851"/>
      <c r="F807" s="2381"/>
      <c r="G807" s="2404"/>
      <c r="H807" s="949"/>
      <c r="I807" s="734"/>
      <c r="J807" s="681" t="s">
        <v>1692</v>
      </c>
      <c r="K807" s="682"/>
      <c r="L807" s="682"/>
      <c r="M807" s="682"/>
      <c r="N807" s="682"/>
      <c r="O807" s="867"/>
      <c r="P807" s="867"/>
      <c r="Q807" s="867">
        <v>15</v>
      </c>
      <c r="R807" s="867" t="s">
        <v>929</v>
      </c>
      <c r="S807" s="867">
        <v>20000</v>
      </c>
      <c r="T807" s="867" t="s">
        <v>0</v>
      </c>
      <c r="U807" s="867"/>
      <c r="V807" s="867">
        <v>10</v>
      </c>
      <c r="W807" s="867" t="s">
        <v>39</v>
      </c>
      <c r="X807" s="867" t="s">
        <v>1</v>
      </c>
      <c r="Y807" s="871">
        <f t="shared" si="120"/>
        <v>3000</v>
      </c>
      <c r="Z807" s="1405">
        <f>+Q807*S807*V807</f>
        <v>3000000</v>
      </c>
      <c r="AA807" s="427"/>
      <c r="AB807" s="427"/>
      <c r="AC807" s="192"/>
    </row>
    <row r="808" spans="1:29" ht="23.1" customHeight="1">
      <c r="A808" s="481"/>
      <c r="B808" s="2013"/>
      <c r="C808" s="2080"/>
      <c r="D808" s="2035"/>
      <c r="E808" s="968"/>
      <c r="F808" s="2381"/>
      <c r="G808" s="2404"/>
      <c r="H808" s="949"/>
      <c r="I808" s="734"/>
      <c r="J808" s="681" t="s">
        <v>1693</v>
      </c>
      <c r="K808" s="682"/>
      <c r="L808" s="682"/>
      <c r="M808" s="682"/>
      <c r="N808" s="682"/>
      <c r="O808" s="867"/>
      <c r="P808" s="867"/>
      <c r="Q808" s="867">
        <v>10</v>
      </c>
      <c r="R808" s="867" t="s">
        <v>929</v>
      </c>
      <c r="S808" s="867">
        <v>100000</v>
      </c>
      <c r="T808" s="867" t="s">
        <v>37</v>
      </c>
      <c r="U808" s="867"/>
      <c r="V808" s="867">
        <v>1</v>
      </c>
      <c r="W808" s="867" t="s">
        <v>39</v>
      </c>
      <c r="X808" s="867" t="s">
        <v>1</v>
      </c>
      <c r="Y808" s="871">
        <f t="shared" si="120"/>
        <v>1000</v>
      </c>
      <c r="Z808" s="1405">
        <v>1000000</v>
      </c>
      <c r="AA808" s="427"/>
      <c r="AB808" s="427"/>
      <c r="AC808" s="192"/>
    </row>
    <row r="809" spans="1:29" ht="23.1" customHeight="1">
      <c r="A809" s="481" t="s">
        <v>20</v>
      </c>
      <c r="B809" s="2013"/>
      <c r="C809" s="3834" t="s">
        <v>737</v>
      </c>
      <c r="D809" s="3917"/>
      <c r="E809" s="3913"/>
      <c r="F809" s="2351">
        <f>+F810</f>
        <v>50000</v>
      </c>
      <c r="G809" s="2351">
        <f>G810</f>
        <v>50000</v>
      </c>
      <c r="H809" s="2021">
        <f>+F809-G809</f>
        <v>0</v>
      </c>
      <c r="I809" s="634"/>
      <c r="J809" s="2401"/>
      <c r="K809" s="2101"/>
      <c r="L809" s="1310"/>
      <c r="M809" s="1310"/>
      <c r="N809" s="1310"/>
      <c r="O809" s="1310"/>
      <c r="P809" s="1310"/>
      <c r="Q809" s="1310"/>
      <c r="R809" s="1374"/>
      <c r="S809" s="1310"/>
      <c r="T809" s="1310"/>
      <c r="U809" s="1310"/>
      <c r="V809" s="1310"/>
      <c r="W809" s="1310"/>
      <c r="X809" s="1310"/>
      <c r="Y809" s="517"/>
      <c r="Z809" s="2405">
        <f>+Z810</f>
        <v>50000000</v>
      </c>
      <c r="AA809" s="427"/>
      <c r="AB809" s="427"/>
      <c r="AC809" s="192"/>
    </row>
    <row r="810" spans="1:29" ht="23.1" customHeight="1">
      <c r="A810" s="2397"/>
      <c r="B810" s="2398"/>
      <c r="C810" s="2080"/>
      <c r="D810" s="3825" t="s">
        <v>738</v>
      </c>
      <c r="E810" s="3826"/>
      <c r="F810" s="2351">
        <f>SUM(F811:F816)</f>
        <v>50000</v>
      </c>
      <c r="G810" s="2351">
        <f>SUM(G811:G816)</f>
        <v>50000</v>
      </c>
      <c r="H810" s="2021">
        <f>F810-G810</f>
        <v>0</v>
      </c>
      <c r="I810" s="634"/>
      <c r="J810" s="514"/>
      <c r="K810" s="515"/>
      <c r="L810" s="515"/>
      <c r="M810" s="515"/>
      <c r="N810" s="515"/>
      <c r="O810" s="516"/>
      <c r="P810" s="515"/>
      <c r="Q810" s="516"/>
      <c r="R810" s="515"/>
      <c r="S810" s="516"/>
      <c r="T810" s="515"/>
      <c r="U810" s="516"/>
      <c r="V810" s="515"/>
      <c r="W810" s="515"/>
      <c r="X810" s="645" t="s">
        <v>20</v>
      </c>
      <c r="Y810" s="517">
        <f t="shared" ref="Y810:Y816" si="123">+Z810/1000</f>
        <v>50000</v>
      </c>
      <c r="Z810" s="2406">
        <f>+Z811+Z814+Z815+Z816</f>
        <v>50000000</v>
      </c>
      <c r="AA810" s="427"/>
      <c r="AB810" s="427"/>
      <c r="AC810" s="192"/>
    </row>
    <row r="811" spans="1:29" ht="23.1" customHeight="1">
      <c r="A811" s="2397"/>
      <c r="B811" s="2398"/>
      <c r="C811" s="2080"/>
      <c r="D811" s="2013"/>
      <c r="E811" s="624" t="s">
        <v>964</v>
      </c>
      <c r="F811" s="633">
        <f>+Y811</f>
        <v>26400</v>
      </c>
      <c r="G811" s="633">
        <v>26400</v>
      </c>
      <c r="H811" s="551"/>
      <c r="I811" s="634"/>
      <c r="J811" s="472" t="s">
        <v>768</v>
      </c>
      <c r="K811" s="473"/>
      <c r="L811" s="473"/>
      <c r="M811" s="473"/>
      <c r="N811" s="474"/>
      <c r="O811" s="474"/>
      <c r="P811" s="473"/>
      <c r="Q811" s="475"/>
      <c r="R811" s="473"/>
      <c r="S811" s="474"/>
      <c r="T811" s="473"/>
      <c r="U811" s="473"/>
      <c r="V811" s="473"/>
      <c r="W811" s="473"/>
      <c r="X811" s="473"/>
      <c r="Y811" s="483">
        <f t="shared" si="123"/>
        <v>26400</v>
      </c>
      <c r="Z811" s="1341">
        <f>+Z812+Z813</f>
        <v>26400000</v>
      </c>
      <c r="AA811" s="427"/>
      <c r="AB811" s="427"/>
      <c r="AC811" s="192"/>
    </row>
    <row r="812" spans="1:29" ht="23.1" customHeight="1">
      <c r="A812" s="2397"/>
      <c r="B812" s="2398"/>
      <c r="C812" s="467"/>
      <c r="D812" s="2013"/>
      <c r="E812" s="624"/>
      <c r="F812" s="633"/>
      <c r="G812" s="633"/>
      <c r="H812" s="470"/>
      <c r="I812" s="634"/>
      <c r="J812" s="472" t="s">
        <v>731</v>
      </c>
      <c r="K812" s="473"/>
      <c r="L812" s="473"/>
      <c r="M812" s="473"/>
      <c r="N812" s="474"/>
      <c r="O812" s="474"/>
      <c r="P812" s="473"/>
      <c r="Q812" s="475">
        <v>1</v>
      </c>
      <c r="R812" s="473" t="s">
        <v>25</v>
      </c>
      <c r="S812" s="474">
        <v>2000000</v>
      </c>
      <c r="T812" s="473" t="s">
        <v>0</v>
      </c>
      <c r="U812" s="473"/>
      <c r="V812" s="473">
        <v>12</v>
      </c>
      <c r="W812" s="473" t="s">
        <v>2</v>
      </c>
      <c r="X812" s="473" t="s">
        <v>1</v>
      </c>
      <c r="Y812" s="483">
        <f t="shared" si="123"/>
        <v>24000</v>
      </c>
      <c r="Z812" s="1341">
        <f>+Q812*S812*V812</f>
        <v>24000000</v>
      </c>
      <c r="AA812" s="427"/>
      <c r="AB812" s="427"/>
      <c r="AC812" s="192"/>
    </row>
    <row r="813" spans="1:29" ht="23.1" customHeight="1">
      <c r="A813" s="2397"/>
      <c r="B813" s="2398"/>
      <c r="C813" s="467"/>
      <c r="D813" s="2013"/>
      <c r="E813" s="624"/>
      <c r="F813" s="633"/>
      <c r="G813" s="633"/>
      <c r="H813" s="470"/>
      <c r="I813" s="634"/>
      <c r="J813" s="472" t="s">
        <v>732</v>
      </c>
      <c r="K813" s="473"/>
      <c r="L813" s="473"/>
      <c r="M813" s="473"/>
      <c r="N813" s="474"/>
      <c r="O813" s="474"/>
      <c r="P813" s="473"/>
      <c r="Q813" s="475"/>
      <c r="R813" s="473"/>
      <c r="S813" s="474">
        <f>+Z812</f>
        <v>24000000</v>
      </c>
      <c r="T813" s="473" t="s">
        <v>0</v>
      </c>
      <c r="U813" s="473"/>
      <c r="V813" s="1330">
        <v>0.1</v>
      </c>
      <c r="W813" s="2386"/>
      <c r="X813" s="473" t="s">
        <v>1</v>
      </c>
      <c r="Y813" s="483">
        <f t="shared" si="123"/>
        <v>2400</v>
      </c>
      <c r="Z813" s="1341">
        <f>+S813*V813</f>
        <v>2400000</v>
      </c>
      <c r="AA813" s="427"/>
      <c r="AB813" s="427"/>
      <c r="AC813" s="192"/>
    </row>
    <row r="814" spans="1:29" ht="23.1" customHeight="1">
      <c r="A814" s="2079"/>
      <c r="B814" s="2035"/>
      <c r="C814" s="631"/>
      <c r="D814" s="2035"/>
      <c r="E814" s="624" t="s">
        <v>728</v>
      </c>
      <c r="F814" s="633">
        <f>Y814</f>
        <v>20000</v>
      </c>
      <c r="G814" s="633">
        <v>20000</v>
      </c>
      <c r="H814" s="551"/>
      <c r="I814" s="634"/>
      <c r="J814" s="472" t="s">
        <v>1687</v>
      </c>
      <c r="K814" s="473"/>
      <c r="L814" s="473"/>
      <c r="M814" s="473"/>
      <c r="N814" s="474"/>
      <c r="O814" s="474"/>
      <c r="P814" s="473"/>
      <c r="Q814" s="475"/>
      <c r="R814" s="473"/>
      <c r="S814" s="474">
        <v>4000000</v>
      </c>
      <c r="T814" s="473" t="s">
        <v>0</v>
      </c>
      <c r="U814" s="473"/>
      <c r="V814" s="473">
        <v>5</v>
      </c>
      <c r="W814" s="473" t="s">
        <v>51</v>
      </c>
      <c r="X814" s="473" t="s">
        <v>1</v>
      </c>
      <c r="Y814" s="483">
        <f t="shared" si="123"/>
        <v>20000</v>
      </c>
      <c r="Z814" s="1341">
        <f t="shared" ref="Z814:Z815" si="124">+S814*V814</f>
        <v>20000000</v>
      </c>
      <c r="AA814" s="427"/>
      <c r="AB814" s="427"/>
      <c r="AC814" s="192"/>
    </row>
    <row r="815" spans="1:29" ht="23.1" customHeight="1">
      <c r="A815" s="2079"/>
      <c r="B815" s="2035"/>
      <c r="C815" s="2075"/>
      <c r="D815" s="2035"/>
      <c r="E815" s="624" t="s">
        <v>943</v>
      </c>
      <c r="F815" s="633">
        <f>+Y815</f>
        <v>2600</v>
      </c>
      <c r="G815" s="633">
        <v>2600</v>
      </c>
      <c r="H815" s="551"/>
      <c r="I815" s="634"/>
      <c r="J815" s="472" t="s">
        <v>1676</v>
      </c>
      <c r="K815" s="473"/>
      <c r="L815" s="473"/>
      <c r="M815" s="473"/>
      <c r="N815" s="474"/>
      <c r="O815" s="474"/>
      <c r="P815" s="473"/>
      <c r="Q815" s="473"/>
      <c r="R815" s="473"/>
      <c r="S815" s="473">
        <v>2600000</v>
      </c>
      <c r="T815" s="473" t="s">
        <v>37</v>
      </c>
      <c r="U815" s="473"/>
      <c r="V815" s="473">
        <v>1</v>
      </c>
      <c r="W815" s="473" t="s">
        <v>763</v>
      </c>
      <c r="X815" s="473" t="s">
        <v>38</v>
      </c>
      <c r="Y815" s="483">
        <f t="shared" si="123"/>
        <v>2600</v>
      </c>
      <c r="Z815" s="1341">
        <f t="shared" si="124"/>
        <v>2600000</v>
      </c>
      <c r="AA815" s="427"/>
      <c r="AB815" s="427"/>
      <c r="AC815" s="192"/>
    </row>
    <row r="816" spans="1:29" ht="23.1" customHeight="1">
      <c r="A816" s="2397"/>
      <c r="B816" s="2398"/>
      <c r="C816" s="2080"/>
      <c r="D816" s="2013"/>
      <c r="E816" s="624" t="s">
        <v>942</v>
      </c>
      <c r="F816" s="633">
        <f>+Y816</f>
        <v>1000</v>
      </c>
      <c r="G816" s="633">
        <v>1000</v>
      </c>
      <c r="H816" s="551"/>
      <c r="I816" s="634"/>
      <c r="J816" s="472" t="s">
        <v>3421</v>
      </c>
      <c r="K816" s="473"/>
      <c r="L816" s="473"/>
      <c r="M816" s="473"/>
      <c r="N816" s="474"/>
      <c r="O816" s="474"/>
      <c r="P816" s="473"/>
      <c r="Q816" s="473">
        <v>5</v>
      </c>
      <c r="R816" s="473" t="s">
        <v>929</v>
      </c>
      <c r="S816" s="473">
        <v>20000</v>
      </c>
      <c r="T816" s="473" t="s">
        <v>0</v>
      </c>
      <c r="U816" s="473"/>
      <c r="V816" s="473">
        <v>10</v>
      </c>
      <c r="W816" s="473" t="s">
        <v>39</v>
      </c>
      <c r="X816" s="473" t="s">
        <v>1</v>
      </c>
      <c r="Y816" s="478">
        <f t="shared" si="123"/>
        <v>1000</v>
      </c>
      <c r="Z816" s="3277">
        <f>+Q816*S816*V816</f>
        <v>1000000</v>
      </c>
      <c r="AA816" s="427"/>
      <c r="AB816" s="427"/>
      <c r="AC816" s="192"/>
    </row>
    <row r="817" spans="1:29" ht="23.1" customHeight="1">
      <c r="A817" s="481" t="s">
        <v>20</v>
      </c>
      <c r="B817" s="2013"/>
      <c r="C817" s="3917" t="s">
        <v>3350</v>
      </c>
      <c r="D817" s="3917"/>
      <c r="E817" s="3913"/>
      <c r="F817" s="2351">
        <f>+F818</f>
        <v>12000</v>
      </c>
      <c r="G817" s="2351">
        <f>G818</f>
        <v>12000</v>
      </c>
      <c r="H817" s="2021">
        <f>+F817-G817</f>
        <v>0</v>
      </c>
      <c r="I817" s="634"/>
      <c r="J817" s="2401"/>
      <c r="K817" s="2101"/>
      <c r="L817" s="1310"/>
      <c r="M817" s="1310"/>
      <c r="N817" s="1310"/>
      <c r="O817" s="1310"/>
      <c r="P817" s="1310"/>
      <c r="Q817" s="1310"/>
      <c r="R817" s="1374"/>
      <c r="S817" s="1310"/>
      <c r="T817" s="1310"/>
      <c r="U817" s="1310"/>
      <c r="V817" s="1310"/>
      <c r="W817" s="1310"/>
      <c r="X817" s="1310"/>
      <c r="Y817" s="517"/>
      <c r="Z817" s="2407"/>
      <c r="AA817" s="427"/>
      <c r="AB817" s="427"/>
      <c r="AC817" s="192"/>
    </row>
    <row r="818" spans="1:29" ht="23.1" customHeight="1">
      <c r="A818" s="481"/>
      <c r="B818" s="2013"/>
      <c r="C818" s="2075"/>
      <c r="D818" s="2085" t="s">
        <v>684</v>
      </c>
      <c r="E818" s="2086"/>
      <c r="F818" s="2351">
        <f>SUM(F819:F824)</f>
        <v>12000</v>
      </c>
      <c r="G818" s="2351">
        <f>SUM(G819:G824)</f>
        <v>12000</v>
      </c>
      <c r="H818" s="2021">
        <f>F818-G818</f>
        <v>0</v>
      </c>
      <c r="I818" s="634"/>
      <c r="J818" s="2408"/>
      <c r="K818" s="2409"/>
      <c r="L818" s="2409"/>
      <c r="M818" s="2409"/>
      <c r="N818" s="2409"/>
      <c r="O818" s="2409"/>
      <c r="P818" s="2409"/>
      <c r="Q818" s="2410"/>
      <c r="R818" s="646"/>
      <c r="S818" s="2411"/>
      <c r="T818" s="621"/>
      <c r="U818" s="2101"/>
      <c r="V818" s="2410"/>
      <c r="W818" s="2410"/>
      <c r="X818" s="621"/>
      <c r="Y818" s="517"/>
      <c r="Z818" s="518"/>
      <c r="AA818" s="427"/>
      <c r="AB818" s="427"/>
      <c r="AC818" s="192"/>
    </row>
    <row r="819" spans="1:29" ht="23.1" customHeight="1">
      <c r="A819" s="481"/>
      <c r="B819" s="2013"/>
      <c r="C819" s="2075"/>
      <c r="D819" s="2050"/>
      <c r="E819" s="2013" t="s">
        <v>137</v>
      </c>
      <c r="F819" s="2326">
        <f>+Y819</f>
        <v>3000</v>
      </c>
      <c r="G819" s="2326">
        <v>3000</v>
      </c>
      <c r="H819" s="470"/>
      <c r="I819" s="634"/>
      <c r="J819" s="2105" t="s">
        <v>1688</v>
      </c>
      <c r="K819" s="2082"/>
      <c r="L819" s="2082"/>
      <c r="M819" s="2082"/>
      <c r="N819" s="2082"/>
      <c r="O819" s="2082"/>
      <c r="P819" s="2015"/>
      <c r="Q819" s="473"/>
      <c r="R819" s="473"/>
      <c r="S819" s="473">
        <v>1000000</v>
      </c>
      <c r="T819" s="473" t="s">
        <v>0</v>
      </c>
      <c r="U819" s="473"/>
      <c r="V819" s="473">
        <v>3</v>
      </c>
      <c r="W819" s="473" t="s">
        <v>39</v>
      </c>
      <c r="X819" s="473" t="s">
        <v>1</v>
      </c>
      <c r="Y819" s="483">
        <f t="shared" ref="Y819:Y824" si="125">+Z819/1000</f>
        <v>3000</v>
      </c>
      <c r="Z819" s="1341">
        <f>+S819*V819</f>
        <v>3000000</v>
      </c>
      <c r="AA819" s="427"/>
      <c r="AB819" s="427"/>
      <c r="AC819" s="192"/>
    </row>
    <row r="820" spans="1:29" ht="23.1" customHeight="1">
      <c r="A820" s="481"/>
      <c r="B820" s="2013"/>
      <c r="C820" s="2075"/>
      <c r="D820" s="2050"/>
      <c r="E820" s="2013" t="s">
        <v>57</v>
      </c>
      <c r="F820" s="2326">
        <f>+Y820</f>
        <v>8000</v>
      </c>
      <c r="G820" s="2326">
        <v>8000</v>
      </c>
      <c r="H820" s="470"/>
      <c r="I820" s="634"/>
      <c r="J820" s="472" t="s">
        <v>768</v>
      </c>
      <c r="K820" s="473"/>
      <c r="L820" s="473"/>
      <c r="M820" s="473"/>
      <c r="N820" s="474"/>
      <c r="O820" s="474"/>
      <c r="P820" s="473"/>
      <c r="Q820" s="475"/>
      <c r="R820" s="473"/>
      <c r="S820" s="474"/>
      <c r="T820" s="473"/>
      <c r="U820" s="473"/>
      <c r="V820" s="473"/>
      <c r="W820" s="473"/>
      <c r="X820" s="473"/>
      <c r="Y820" s="483">
        <f t="shared" si="125"/>
        <v>8000</v>
      </c>
      <c r="Z820" s="1341">
        <f>SUM(Z821:Z823)</f>
        <v>8000000</v>
      </c>
      <c r="AA820" s="427"/>
      <c r="AB820" s="427"/>
      <c r="AC820" s="192"/>
    </row>
    <row r="821" spans="1:29" ht="23.1" customHeight="1">
      <c r="A821" s="481"/>
      <c r="B821" s="2013"/>
      <c r="C821" s="2075"/>
      <c r="D821" s="2050"/>
      <c r="E821" s="2013"/>
      <c r="F821" s="2326"/>
      <c r="G821" s="2326"/>
      <c r="H821" s="470"/>
      <c r="I821" s="634"/>
      <c r="J821" s="472" t="s">
        <v>683</v>
      </c>
      <c r="K821" s="473"/>
      <c r="L821" s="473"/>
      <c r="M821" s="473"/>
      <c r="N821" s="474"/>
      <c r="O821" s="474"/>
      <c r="P821" s="473"/>
      <c r="Q821" s="475"/>
      <c r="R821" s="473"/>
      <c r="S821" s="473">
        <v>2000</v>
      </c>
      <c r="T821" s="473" t="s">
        <v>0</v>
      </c>
      <c r="U821" s="473"/>
      <c r="V821" s="473">
        <v>1000</v>
      </c>
      <c r="W821" s="473" t="s">
        <v>676</v>
      </c>
      <c r="X821" s="473" t="s">
        <v>1</v>
      </c>
      <c r="Y821" s="483">
        <f t="shared" si="125"/>
        <v>2000</v>
      </c>
      <c r="Z821" s="1341">
        <f t="shared" ref="Z821:Z824" si="126">+S821*V821</f>
        <v>2000000</v>
      </c>
      <c r="AA821" s="427"/>
      <c r="AB821" s="427"/>
      <c r="AC821" s="192"/>
    </row>
    <row r="822" spans="1:29" ht="23.1" customHeight="1">
      <c r="A822" s="481"/>
      <c r="B822" s="2013"/>
      <c r="C822" s="2075"/>
      <c r="D822" s="2050"/>
      <c r="E822" s="2013"/>
      <c r="F822" s="2326"/>
      <c r="G822" s="2326"/>
      <c r="H822" s="470"/>
      <c r="I822" s="634"/>
      <c r="J822" s="472" t="s">
        <v>3422</v>
      </c>
      <c r="K822" s="473"/>
      <c r="L822" s="473"/>
      <c r="M822" s="473"/>
      <c r="N822" s="474"/>
      <c r="O822" s="474"/>
      <c r="P822" s="473"/>
      <c r="Q822" s="475"/>
      <c r="R822" s="473"/>
      <c r="S822" s="473">
        <v>2000</v>
      </c>
      <c r="T822" s="473" t="s">
        <v>0</v>
      </c>
      <c r="U822" s="473"/>
      <c r="V822" s="473">
        <v>2000</v>
      </c>
      <c r="W822" s="473" t="s">
        <v>676</v>
      </c>
      <c r="X822" s="473" t="s">
        <v>1</v>
      </c>
      <c r="Y822" s="483">
        <f t="shared" si="125"/>
        <v>4000</v>
      </c>
      <c r="Z822" s="1341">
        <f t="shared" si="126"/>
        <v>4000000</v>
      </c>
      <c r="AA822" s="427"/>
      <c r="AB822" s="427"/>
      <c r="AC822" s="192"/>
    </row>
    <row r="823" spans="1:29" ht="23.1" customHeight="1">
      <c r="A823" s="481"/>
      <c r="B823" s="2013"/>
      <c r="C823" s="2075"/>
      <c r="D823" s="2050"/>
      <c r="E823" s="2013"/>
      <c r="F823" s="2326"/>
      <c r="G823" s="2326"/>
      <c r="H823" s="470"/>
      <c r="I823" s="634"/>
      <c r="J823" s="472" t="s">
        <v>3423</v>
      </c>
      <c r="K823" s="473"/>
      <c r="L823" s="473"/>
      <c r="M823" s="473"/>
      <c r="N823" s="474"/>
      <c r="O823" s="474"/>
      <c r="P823" s="473"/>
      <c r="Q823" s="475"/>
      <c r="R823" s="473"/>
      <c r="S823" s="473">
        <v>500</v>
      </c>
      <c r="T823" s="473" t="s">
        <v>0</v>
      </c>
      <c r="U823" s="473"/>
      <c r="V823" s="473">
        <v>4000</v>
      </c>
      <c r="W823" s="473" t="s">
        <v>2773</v>
      </c>
      <c r="X823" s="473" t="s">
        <v>1</v>
      </c>
      <c r="Y823" s="483">
        <f t="shared" si="125"/>
        <v>2000</v>
      </c>
      <c r="Z823" s="1341">
        <f t="shared" si="126"/>
        <v>2000000</v>
      </c>
      <c r="AA823" s="427"/>
      <c r="AB823" s="427"/>
      <c r="AC823" s="192"/>
    </row>
    <row r="824" spans="1:29" ht="23.1" customHeight="1">
      <c r="A824" s="481"/>
      <c r="B824" s="2013"/>
      <c r="C824" s="2075"/>
      <c r="D824" s="2050"/>
      <c r="E824" s="2013" t="s">
        <v>60</v>
      </c>
      <c r="F824" s="2326">
        <f>+Y824</f>
        <v>1000</v>
      </c>
      <c r="G824" s="2326">
        <v>1000</v>
      </c>
      <c r="H824" s="470"/>
      <c r="I824" s="634"/>
      <c r="J824" s="472" t="s">
        <v>1197</v>
      </c>
      <c r="K824" s="473"/>
      <c r="L824" s="473"/>
      <c r="M824" s="473"/>
      <c r="N824" s="474"/>
      <c r="O824" s="474"/>
      <c r="P824" s="473"/>
      <c r="Q824" s="475"/>
      <c r="R824" s="473"/>
      <c r="S824" s="474">
        <v>100000</v>
      </c>
      <c r="T824" s="473" t="s">
        <v>0</v>
      </c>
      <c r="U824" s="473"/>
      <c r="V824" s="2199">
        <v>10</v>
      </c>
      <c r="W824" s="473" t="s">
        <v>2</v>
      </c>
      <c r="X824" s="473" t="s">
        <v>1</v>
      </c>
      <c r="Y824" s="483">
        <f t="shared" si="125"/>
        <v>1000</v>
      </c>
      <c r="Z824" s="1341">
        <f t="shared" si="126"/>
        <v>1000000</v>
      </c>
      <c r="AA824" s="427"/>
      <c r="AB824" s="427"/>
      <c r="AC824" s="192"/>
    </row>
    <row r="825" spans="1:29" ht="23.1" customHeight="1">
      <c r="A825" s="481"/>
      <c r="B825" s="2013"/>
      <c r="C825" s="2101" t="s">
        <v>1253</v>
      </c>
      <c r="D825" s="2101"/>
      <c r="E825" s="2086"/>
      <c r="F825" s="2351">
        <f>+F826</f>
        <v>50000</v>
      </c>
      <c r="G825" s="2351">
        <f>+G826</f>
        <v>50000</v>
      </c>
      <c r="H825" s="2021">
        <f>F825-G825</f>
        <v>0</v>
      </c>
      <c r="I825" s="634"/>
      <c r="J825" s="2408"/>
      <c r="K825" s="2409"/>
      <c r="L825" s="2409"/>
      <c r="M825" s="2409"/>
      <c r="N825" s="2409"/>
      <c r="O825" s="2409"/>
      <c r="P825" s="2409"/>
      <c r="Q825" s="2410"/>
      <c r="R825" s="646"/>
      <c r="S825" s="2411"/>
      <c r="T825" s="621"/>
      <c r="U825" s="2101"/>
      <c r="V825" s="2410"/>
      <c r="W825" s="2410"/>
      <c r="X825" s="621"/>
      <c r="Y825" s="517"/>
      <c r="Z825" s="518" t="e">
        <f>+#REF!</f>
        <v>#REF!</v>
      </c>
      <c r="AA825" s="427"/>
      <c r="AB825" s="427"/>
      <c r="AC825" s="192"/>
    </row>
    <row r="826" spans="1:29" ht="23.1" customHeight="1">
      <c r="A826" s="481"/>
      <c r="B826" s="2013"/>
      <c r="C826" s="2075"/>
      <c r="D826" s="2085" t="s">
        <v>1248</v>
      </c>
      <c r="E826" s="2086"/>
      <c r="F826" s="2351">
        <f>SUM(F827:F827)</f>
        <v>50000</v>
      </c>
      <c r="G826" s="2351">
        <f>SUM(G827:G827)</f>
        <v>50000</v>
      </c>
      <c r="H826" s="2021">
        <f>F826-G826</f>
        <v>0</v>
      </c>
      <c r="I826" s="634"/>
      <c r="J826" s="2408"/>
      <c r="K826" s="2409"/>
      <c r="L826" s="2409"/>
      <c r="M826" s="2409"/>
      <c r="N826" s="2409"/>
      <c r="O826" s="2409"/>
      <c r="P826" s="2409"/>
      <c r="Q826" s="2410"/>
      <c r="R826" s="646"/>
      <c r="S826" s="2411"/>
      <c r="T826" s="621"/>
      <c r="U826" s="2101"/>
      <c r="V826" s="2410"/>
      <c r="W826" s="2410"/>
      <c r="X826" s="621"/>
      <c r="Y826" s="517">
        <f t="shared" ref="Y826:Y831" si="127">+Z826/1000</f>
        <v>50000</v>
      </c>
      <c r="Z826" s="2412">
        <f>+Z827</f>
        <v>50000000</v>
      </c>
      <c r="AA826" s="427"/>
      <c r="AB826" s="427"/>
      <c r="AC826" s="192"/>
    </row>
    <row r="827" spans="1:29" ht="23.1" customHeight="1">
      <c r="A827" s="481"/>
      <c r="B827" s="2013"/>
      <c r="C827" s="2075"/>
      <c r="D827" s="2050"/>
      <c r="E827" s="2013" t="s">
        <v>1098</v>
      </c>
      <c r="F827" s="2326">
        <f>+Y827</f>
        <v>50000</v>
      </c>
      <c r="G827" s="2326">
        <v>50000</v>
      </c>
      <c r="H827" s="486"/>
      <c r="I827" s="634"/>
      <c r="J827" s="2105" t="s">
        <v>768</v>
      </c>
      <c r="K827" s="2082"/>
      <c r="L827" s="2082"/>
      <c r="M827" s="2082"/>
      <c r="N827" s="2082"/>
      <c r="O827" s="2082"/>
      <c r="P827" s="2015"/>
      <c r="Q827" s="2106"/>
      <c r="R827" s="2092"/>
      <c r="S827" s="2106"/>
      <c r="T827" s="473"/>
      <c r="U827" s="2015"/>
      <c r="V827" s="2106"/>
      <c r="W827" s="2092"/>
      <c r="X827" s="473"/>
      <c r="Y827" s="483">
        <f t="shared" si="127"/>
        <v>50000</v>
      </c>
      <c r="Z827" s="1341">
        <f>+Z828+Z829+Z830+Z831</f>
        <v>50000000</v>
      </c>
      <c r="AA827" s="427"/>
      <c r="AB827" s="427"/>
      <c r="AC827" s="192"/>
    </row>
    <row r="828" spans="1:29" ht="23.1" customHeight="1">
      <c r="A828" s="481"/>
      <c r="B828" s="2013"/>
      <c r="C828" s="2075"/>
      <c r="D828" s="2050"/>
      <c r="E828" s="2013"/>
      <c r="F828" s="2326"/>
      <c r="G828" s="2326"/>
      <c r="H828" s="470"/>
      <c r="I828" s="634"/>
      <c r="J828" s="472" t="s">
        <v>1249</v>
      </c>
      <c r="K828" s="473"/>
      <c r="L828" s="473"/>
      <c r="M828" s="473"/>
      <c r="N828" s="474"/>
      <c r="O828" s="474"/>
      <c r="P828" s="473"/>
      <c r="Q828" s="475"/>
      <c r="R828" s="473"/>
      <c r="S828" s="473">
        <v>20000000</v>
      </c>
      <c r="T828" s="473" t="s">
        <v>0</v>
      </c>
      <c r="U828" s="473"/>
      <c r="V828" s="473">
        <v>1</v>
      </c>
      <c r="W828" s="473" t="s">
        <v>763</v>
      </c>
      <c r="X828" s="473" t="s">
        <v>1</v>
      </c>
      <c r="Y828" s="483">
        <f t="shared" si="127"/>
        <v>20000</v>
      </c>
      <c r="Z828" s="1341">
        <f t="shared" ref="Z828:Z831" si="128">+S828*V828</f>
        <v>20000000</v>
      </c>
      <c r="AA828" s="427"/>
      <c r="AB828" s="427"/>
      <c r="AC828" s="192"/>
    </row>
    <row r="829" spans="1:29" ht="23.1" customHeight="1">
      <c r="A829" s="481"/>
      <c r="B829" s="2013"/>
      <c r="C829" s="2075"/>
      <c r="D829" s="2050"/>
      <c r="E829" s="2013"/>
      <c r="F829" s="2326"/>
      <c r="G829" s="2326"/>
      <c r="H829" s="470"/>
      <c r="I829" s="634"/>
      <c r="J829" s="472" t="s">
        <v>1250</v>
      </c>
      <c r="K829" s="473"/>
      <c r="L829" s="473"/>
      <c r="M829" s="473"/>
      <c r="N829" s="474"/>
      <c r="O829" s="474"/>
      <c r="P829" s="473"/>
      <c r="Q829" s="475"/>
      <c r="R829" s="473"/>
      <c r="S829" s="473">
        <v>10000000</v>
      </c>
      <c r="T829" s="473" t="s">
        <v>0</v>
      </c>
      <c r="U829" s="473"/>
      <c r="V829" s="473">
        <v>1</v>
      </c>
      <c r="W829" s="473" t="s">
        <v>763</v>
      </c>
      <c r="X829" s="473" t="s">
        <v>1</v>
      </c>
      <c r="Y829" s="483">
        <f t="shared" si="127"/>
        <v>10000</v>
      </c>
      <c r="Z829" s="1341">
        <f t="shared" si="128"/>
        <v>10000000</v>
      </c>
      <c r="AA829" s="427"/>
      <c r="AB829" s="427"/>
      <c r="AC829" s="192"/>
    </row>
    <row r="830" spans="1:29" ht="23.1" customHeight="1">
      <c r="A830" s="1565"/>
      <c r="B830" s="2013"/>
      <c r="C830" s="2075"/>
      <c r="D830" s="2050"/>
      <c r="E830" s="2013"/>
      <c r="F830" s="2326"/>
      <c r="G830" s="2326"/>
      <c r="H830" s="470"/>
      <c r="I830" s="634"/>
      <c r="J830" s="472" t="s">
        <v>1251</v>
      </c>
      <c r="K830" s="473"/>
      <c r="L830" s="473"/>
      <c r="M830" s="473"/>
      <c r="N830" s="474"/>
      <c r="O830" s="474"/>
      <c r="P830" s="473"/>
      <c r="Q830" s="475"/>
      <c r="R830" s="473"/>
      <c r="S830" s="473">
        <v>10000000</v>
      </c>
      <c r="T830" s="473" t="s">
        <v>0</v>
      </c>
      <c r="U830" s="473"/>
      <c r="V830" s="473">
        <v>1</v>
      </c>
      <c r="W830" s="473" t="s">
        <v>763</v>
      </c>
      <c r="X830" s="473" t="s">
        <v>1</v>
      </c>
      <c r="Y830" s="483">
        <f t="shared" si="127"/>
        <v>10000</v>
      </c>
      <c r="Z830" s="1341">
        <f t="shared" si="128"/>
        <v>10000000</v>
      </c>
      <c r="AA830" s="427"/>
      <c r="AB830" s="427"/>
      <c r="AC830" s="192"/>
    </row>
    <row r="831" spans="1:29" ht="23.1" customHeight="1" thickBot="1">
      <c r="A831" s="1565"/>
      <c r="B831" s="2022"/>
      <c r="C831" s="2076"/>
      <c r="D831" s="773"/>
      <c r="E831" s="2022"/>
      <c r="F831" s="2361"/>
      <c r="G831" s="2361"/>
      <c r="H831" s="2413"/>
      <c r="I831" s="634"/>
      <c r="J831" s="639" t="s">
        <v>1252</v>
      </c>
      <c r="K831" s="640"/>
      <c r="L831" s="640"/>
      <c r="M831" s="640"/>
      <c r="N831" s="641"/>
      <c r="O831" s="641"/>
      <c r="P831" s="640"/>
      <c r="Q831" s="642"/>
      <c r="R831" s="640"/>
      <c r="S831" s="640">
        <v>10000000</v>
      </c>
      <c r="T831" s="640" t="s">
        <v>0</v>
      </c>
      <c r="U831" s="640"/>
      <c r="V831" s="640">
        <v>1</v>
      </c>
      <c r="W831" s="640" t="s">
        <v>763</v>
      </c>
      <c r="X831" s="640" t="s">
        <v>1</v>
      </c>
      <c r="Y831" s="522">
        <f t="shared" si="127"/>
        <v>10000</v>
      </c>
      <c r="Z831" s="3488">
        <f t="shared" si="128"/>
        <v>10000000</v>
      </c>
      <c r="AA831" s="427"/>
      <c r="AB831" s="427"/>
      <c r="AC831" s="192"/>
    </row>
    <row r="832" spans="1:29" ht="21.95" customHeight="1" thickBot="1">
      <c r="A832" s="636"/>
      <c r="B832" s="3920" t="s">
        <v>3424</v>
      </c>
      <c r="C832" s="3828"/>
      <c r="D832" s="3828"/>
      <c r="E832" s="3829"/>
      <c r="F832" s="2414">
        <f>+F833+F872</f>
        <v>544307</v>
      </c>
      <c r="G832" s="2414">
        <f>+G833+G872</f>
        <v>530507</v>
      </c>
      <c r="H832" s="1351">
        <f>F832-G832</f>
        <v>13800</v>
      </c>
      <c r="I832" s="2014"/>
      <c r="J832" s="2415"/>
      <c r="K832" s="2416"/>
      <c r="L832" s="2416"/>
      <c r="M832" s="2416"/>
      <c r="N832" s="2416"/>
      <c r="O832" s="2416"/>
      <c r="P832" s="2417"/>
      <c r="Q832" s="2417"/>
      <c r="R832" s="2418"/>
      <c r="S832" s="2419"/>
      <c r="T832" s="2420"/>
      <c r="U832" s="2417"/>
      <c r="V832" s="2421"/>
      <c r="W832" s="2364"/>
      <c r="X832" s="2422"/>
      <c r="Y832" s="2423"/>
      <c r="Z832" s="3489"/>
      <c r="AA832" s="427"/>
      <c r="AB832" s="427"/>
      <c r="AC832" s="192"/>
    </row>
    <row r="833" spans="1:29" ht="21.95" customHeight="1">
      <c r="A833" s="1579"/>
      <c r="B833" s="2368"/>
      <c r="C833" s="3921" t="s">
        <v>817</v>
      </c>
      <c r="D833" s="3922"/>
      <c r="E833" s="3923"/>
      <c r="F833" s="1253">
        <f>F834+F846+F870</f>
        <v>482000</v>
      </c>
      <c r="G833" s="1253">
        <f>G834+G846+G870</f>
        <v>482000</v>
      </c>
      <c r="H833" s="531">
        <f>+F833-G833</f>
        <v>0</v>
      </c>
      <c r="I833" s="1299"/>
      <c r="J833" s="2424"/>
      <c r="K833" s="2277"/>
      <c r="L833" s="2277"/>
      <c r="M833" s="2277"/>
      <c r="N833" s="1553"/>
      <c r="O833" s="1553"/>
      <c r="P833" s="1553"/>
      <c r="Q833" s="2281"/>
      <c r="R833" s="2277"/>
      <c r="S833" s="2425"/>
      <c r="T833" s="2277"/>
      <c r="U833" s="2277"/>
      <c r="V833" s="2277"/>
      <c r="W833" s="2277"/>
      <c r="X833" s="2426"/>
      <c r="Y833" s="2427"/>
      <c r="Z833" s="3299"/>
      <c r="AA833" s="427"/>
      <c r="AB833" s="427"/>
      <c r="AC833" s="192"/>
    </row>
    <row r="834" spans="1:29" ht="21.95" customHeight="1">
      <c r="A834" s="636"/>
      <c r="B834" s="2035"/>
      <c r="C834" s="624"/>
      <c r="D834" s="3906" t="s">
        <v>964</v>
      </c>
      <c r="E834" s="3907"/>
      <c r="F834" s="1253">
        <f>SUM(F835:F845)</f>
        <v>460000</v>
      </c>
      <c r="G834" s="1253">
        <f>SUM(G835:G845)</f>
        <v>460000</v>
      </c>
      <c r="H834" s="531">
        <f>+F834-G834</f>
        <v>0</v>
      </c>
      <c r="I834" s="2014"/>
      <c r="J834" s="538"/>
      <c r="K834" s="2068"/>
      <c r="L834" s="2068"/>
      <c r="M834" s="2068"/>
      <c r="N834" s="2101"/>
      <c r="O834" s="2101"/>
      <c r="P834" s="2101"/>
      <c r="Q834" s="2026"/>
      <c r="R834" s="2068"/>
      <c r="S834" s="742"/>
      <c r="T834" s="2068"/>
      <c r="U834" s="2068"/>
      <c r="V834" s="2068"/>
      <c r="W834" s="2068"/>
      <c r="X834" s="585"/>
      <c r="Y834" s="594"/>
      <c r="Z834" s="1898"/>
      <c r="AA834" s="427"/>
      <c r="AB834" s="427"/>
      <c r="AC834" s="192"/>
    </row>
    <row r="835" spans="1:29" ht="21.95" customHeight="1">
      <c r="A835" s="636"/>
      <c r="B835" s="2035"/>
      <c r="C835" s="624"/>
      <c r="D835" s="2020"/>
      <c r="E835" s="2428" t="s">
        <v>739</v>
      </c>
      <c r="F835" s="1588">
        <f>Y835</f>
        <v>374000</v>
      </c>
      <c r="G835" s="1588">
        <v>374000</v>
      </c>
      <c r="H835" s="2138"/>
      <c r="I835" s="2014"/>
      <c r="J835" s="2081" t="s">
        <v>768</v>
      </c>
      <c r="K835" s="2082"/>
      <c r="L835" s="2082"/>
      <c r="M835" s="2082"/>
      <c r="N835" s="2075"/>
      <c r="O835" s="2075"/>
      <c r="P835" s="308"/>
      <c r="Q835" s="2106"/>
      <c r="R835" s="2082"/>
      <c r="S835" s="547"/>
      <c r="T835" s="2082"/>
      <c r="U835" s="2082"/>
      <c r="V835" s="2082"/>
      <c r="W835" s="2082"/>
      <c r="X835" s="542"/>
      <c r="Y835" s="1257">
        <f>SUM(Y836,Y838,Y840)</f>
        <v>374000</v>
      </c>
      <c r="Z835" s="1898">
        <f t="shared" ref="Z835:Z871" si="129">Y835*1000</f>
        <v>374000000</v>
      </c>
      <c r="AA835" s="427"/>
      <c r="AB835" s="427"/>
      <c r="AC835" s="192"/>
    </row>
    <row r="836" spans="1:29" ht="21.95" customHeight="1">
      <c r="A836" s="2079"/>
      <c r="B836" s="2035"/>
      <c r="C836" s="624"/>
      <c r="D836" s="2020"/>
      <c r="E836" s="561"/>
      <c r="F836" s="593"/>
      <c r="G836" s="593"/>
      <c r="H836" s="643"/>
      <c r="I836" s="2014"/>
      <c r="J836" s="3868" t="s">
        <v>2604</v>
      </c>
      <c r="K836" s="3869"/>
      <c r="L836" s="3869"/>
      <c r="M836" s="3869"/>
      <c r="N836" s="2075"/>
      <c r="O836" s="2075"/>
      <c r="P836" s="308"/>
      <c r="Q836" s="2106"/>
      <c r="R836" s="2092"/>
      <c r="S836" s="547" t="s">
        <v>740</v>
      </c>
      <c r="T836" s="2106" t="s">
        <v>740</v>
      </c>
      <c r="U836" s="2106" t="s">
        <v>740</v>
      </c>
      <c r="V836" s="2106" t="s">
        <v>740</v>
      </c>
      <c r="W836" s="2106" t="s">
        <v>740</v>
      </c>
      <c r="X836" s="2030" t="s">
        <v>740</v>
      </c>
      <c r="Y836" s="1257">
        <f>SUM(Y837:Y837)</f>
        <v>335400</v>
      </c>
      <c r="Z836" s="1898">
        <f t="shared" si="129"/>
        <v>335400000</v>
      </c>
      <c r="AA836" s="427"/>
      <c r="AB836" s="427"/>
      <c r="AC836" s="192"/>
    </row>
    <row r="837" spans="1:29" ht="21.95" customHeight="1">
      <c r="A837" s="2079"/>
      <c r="B837" s="2035"/>
      <c r="C837" s="624"/>
      <c r="D837" s="2020"/>
      <c r="E837" s="561"/>
      <c r="F837" s="593"/>
      <c r="G837" s="593"/>
      <c r="H837" s="643"/>
      <c r="I837" s="2014"/>
      <c r="J837" s="2105"/>
      <c r="K837" s="2082" t="s">
        <v>2606</v>
      </c>
      <c r="L837" s="2082"/>
      <c r="M837" s="2082"/>
      <c r="N837" s="2075"/>
      <c r="O837" s="2075"/>
      <c r="P837" s="308"/>
      <c r="Q837" s="2106">
        <v>5</v>
      </c>
      <c r="R837" s="2092" t="s">
        <v>929</v>
      </c>
      <c r="S837" s="2429">
        <v>5590000</v>
      </c>
      <c r="T837" s="2106" t="s">
        <v>37</v>
      </c>
      <c r="U837" s="2106"/>
      <c r="V837" s="2106">
        <v>12</v>
      </c>
      <c r="W837" s="2106" t="s">
        <v>830</v>
      </c>
      <c r="X837" s="2030" t="s">
        <v>742</v>
      </c>
      <c r="Y837" s="1257">
        <f>(Q837*S837*V837)/1000</f>
        <v>335400</v>
      </c>
      <c r="Z837" s="1898">
        <f t="shared" si="129"/>
        <v>335400000</v>
      </c>
      <c r="AA837" s="427"/>
      <c r="AB837" s="427"/>
      <c r="AC837" s="192"/>
    </row>
    <row r="838" spans="1:29" ht="21.95" customHeight="1">
      <c r="A838" s="2079"/>
      <c r="B838" s="2035"/>
      <c r="C838" s="624"/>
      <c r="D838" s="2020"/>
      <c r="E838" s="561"/>
      <c r="F838" s="593"/>
      <c r="G838" s="593"/>
      <c r="H838" s="643"/>
      <c r="I838" s="2014"/>
      <c r="J838" s="2091" t="s">
        <v>746</v>
      </c>
      <c r="K838" s="2092"/>
      <c r="L838" s="2092"/>
      <c r="M838" s="2092"/>
      <c r="N838" s="2092"/>
      <c r="O838" s="2092"/>
      <c r="P838" s="2092"/>
      <c r="Q838" s="2092"/>
      <c r="R838" s="2092"/>
      <c r="S838" s="547"/>
      <c r="T838" s="2106"/>
      <c r="U838" s="2106"/>
      <c r="V838" s="2106"/>
      <c r="W838" s="2106"/>
      <c r="X838" s="2030"/>
      <c r="Y838" s="1257">
        <f>SUM(Y839:Y839)</f>
        <v>24600</v>
      </c>
      <c r="Z838" s="1898">
        <f t="shared" si="129"/>
        <v>24600000</v>
      </c>
      <c r="AA838" s="427"/>
      <c r="AB838" s="427"/>
      <c r="AC838" s="192"/>
    </row>
    <row r="839" spans="1:29" ht="21.95" customHeight="1">
      <c r="A839" s="2079"/>
      <c r="B839" s="2035"/>
      <c r="C839" s="624"/>
      <c r="D839" s="2020"/>
      <c r="E839" s="561"/>
      <c r="F839" s="593"/>
      <c r="G839" s="593"/>
      <c r="H839" s="643"/>
      <c r="I839" s="2014"/>
      <c r="J839" s="2105"/>
      <c r="K839" s="2082" t="s">
        <v>2606</v>
      </c>
      <c r="L839" s="2082"/>
      <c r="M839" s="2082"/>
      <c r="N839" s="2075"/>
      <c r="O839" s="2075"/>
      <c r="P839" s="308"/>
      <c r="Q839" s="2106">
        <v>5</v>
      </c>
      <c r="R839" s="2092" t="s">
        <v>929</v>
      </c>
      <c r="S839" s="547">
        <v>410000</v>
      </c>
      <c r="T839" s="2106" t="s">
        <v>37</v>
      </c>
      <c r="U839" s="2106"/>
      <c r="V839" s="477">
        <v>12</v>
      </c>
      <c r="W839" s="2106" t="s">
        <v>830</v>
      </c>
      <c r="X839" s="2030" t="s">
        <v>742</v>
      </c>
      <c r="Y839" s="1257">
        <f>(Q839*S839*V839)/1000</f>
        <v>24600</v>
      </c>
      <c r="Z839" s="1898">
        <f t="shared" si="129"/>
        <v>24600000</v>
      </c>
      <c r="AA839" s="427"/>
      <c r="AB839" s="427"/>
      <c r="AC839" s="192"/>
    </row>
    <row r="840" spans="1:29" ht="21.95" customHeight="1">
      <c r="A840" s="2079"/>
      <c r="B840" s="2035"/>
      <c r="C840" s="624"/>
      <c r="D840" s="2020"/>
      <c r="E840" s="561"/>
      <c r="F840" s="593"/>
      <c r="G840" s="593"/>
      <c r="H840" s="643"/>
      <c r="I840" s="2014"/>
      <c r="J840" s="2091" t="s">
        <v>2613</v>
      </c>
      <c r="K840" s="2092"/>
      <c r="L840" s="2092"/>
      <c r="M840" s="2092"/>
      <c r="N840" s="2092"/>
      <c r="O840" s="2092"/>
      <c r="P840" s="2092"/>
      <c r="Q840" s="2092"/>
      <c r="R840" s="2092"/>
      <c r="S840" s="547"/>
      <c r="T840" s="2106"/>
      <c r="U840" s="2106"/>
      <c r="V840" s="2106"/>
      <c r="W840" s="2106"/>
      <c r="X840" s="2030"/>
      <c r="Y840" s="1257">
        <f>SUM(Y841:Y841)</f>
        <v>14000</v>
      </c>
      <c r="Z840" s="1898">
        <f t="shared" si="129"/>
        <v>14000000</v>
      </c>
      <c r="AA840" s="427"/>
      <c r="AB840" s="427"/>
      <c r="AC840" s="192"/>
    </row>
    <row r="841" spans="1:29" ht="21.95" customHeight="1">
      <c r="A841" s="2079"/>
      <c r="B841" s="2035"/>
      <c r="C841" s="624"/>
      <c r="D841" s="2020"/>
      <c r="E841" s="561"/>
      <c r="F841" s="593"/>
      <c r="G841" s="593"/>
      <c r="H841" s="643"/>
      <c r="I841" s="2014"/>
      <c r="J841" s="2105"/>
      <c r="K841" s="2082" t="s">
        <v>2606</v>
      </c>
      <c r="L841" s="2082"/>
      <c r="M841" s="2082"/>
      <c r="N841" s="2075"/>
      <c r="O841" s="2075"/>
      <c r="P841" s="308"/>
      <c r="Q841" s="2106">
        <v>5</v>
      </c>
      <c r="R841" s="2092" t="s">
        <v>929</v>
      </c>
      <c r="S841" s="547">
        <v>2800000</v>
      </c>
      <c r="T841" s="2106" t="s">
        <v>37</v>
      </c>
      <c r="U841" s="2106"/>
      <c r="V841" s="477">
        <v>1</v>
      </c>
      <c r="W841" s="2106" t="s">
        <v>763</v>
      </c>
      <c r="X841" s="2030" t="s">
        <v>742</v>
      </c>
      <c r="Y841" s="1257">
        <f>(Q841*S841*V841)/1000</f>
        <v>14000</v>
      </c>
      <c r="Z841" s="1898">
        <f t="shared" si="129"/>
        <v>14000000</v>
      </c>
      <c r="AA841" s="427"/>
      <c r="AB841" s="427"/>
      <c r="AC841" s="192"/>
    </row>
    <row r="842" spans="1:29" ht="21.95" customHeight="1">
      <c r="A842" s="2079"/>
      <c r="B842" s="2035"/>
      <c r="C842" s="624"/>
      <c r="D842" s="2020"/>
      <c r="E842" s="2430" t="s">
        <v>1491</v>
      </c>
      <c r="F842" s="1253">
        <f>Y842</f>
        <v>45000</v>
      </c>
      <c r="G842" s="1253">
        <v>45000</v>
      </c>
      <c r="H842" s="531"/>
      <c r="I842" s="2014"/>
      <c r="J842" s="2431" t="s">
        <v>1668</v>
      </c>
      <c r="K842" s="2068"/>
      <c r="L842" s="2068"/>
      <c r="M842" s="2068"/>
      <c r="N842" s="2101"/>
      <c r="O842" s="2101"/>
      <c r="P842" s="2101"/>
      <c r="Q842" s="2026"/>
      <c r="R842" s="2027"/>
      <c r="S842" s="742">
        <f>+Z837+Z839</f>
        <v>360000000</v>
      </c>
      <c r="T842" s="2026" t="s">
        <v>725</v>
      </c>
      <c r="U842" s="2026">
        <v>12</v>
      </c>
      <c r="V842" s="2026" t="s">
        <v>53</v>
      </c>
      <c r="W842" s="2432">
        <v>1.5</v>
      </c>
      <c r="X842" s="2028" t="s">
        <v>38</v>
      </c>
      <c r="Y842" s="594">
        <f>INT((S842/U842*W842)/1000)</f>
        <v>45000</v>
      </c>
      <c r="Z842" s="1898">
        <f t="shared" si="129"/>
        <v>45000000</v>
      </c>
      <c r="AA842" s="427"/>
      <c r="AB842" s="427"/>
      <c r="AC842" s="192"/>
    </row>
    <row r="843" spans="1:29" ht="21.95" customHeight="1">
      <c r="A843" s="2079"/>
      <c r="B843" s="2035"/>
      <c r="C843" s="624"/>
      <c r="D843" s="2020"/>
      <c r="E843" s="2433" t="s">
        <v>747</v>
      </c>
      <c r="F843" s="593">
        <f>Y843</f>
        <v>41000</v>
      </c>
      <c r="G843" s="593">
        <v>41000</v>
      </c>
      <c r="H843" s="643"/>
      <c r="I843" s="2014"/>
      <c r="J843" s="2091" t="s">
        <v>768</v>
      </c>
      <c r="K843" s="2082"/>
      <c r="L843" s="2082"/>
      <c r="M843" s="2082"/>
      <c r="N843" s="2075"/>
      <c r="O843" s="2075"/>
      <c r="P843" s="2075"/>
      <c r="Q843" s="556"/>
      <c r="R843" s="2080"/>
      <c r="S843" s="547"/>
      <c r="T843" s="2106"/>
      <c r="U843" s="2075"/>
      <c r="V843" s="2106"/>
      <c r="W843" s="2106"/>
      <c r="X843" s="2030"/>
      <c r="Y843" s="1257">
        <f>+Z843/1000</f>
        <v>41000</v>
      </c>
      <c r="Z843" s="1898">
        <f>+Z844+Z845</f>
        <v>41000000</v>
      </c>
      <c r="AA843" s="427"/>
      <c r="AB843" s="427"/>
      <c r="AC843" s="192"/>
    </row>
    <row r="844" spans="1:29" ht="21.95" customHeight="1">
      <c r="A844" s="2079"/>
      <c r="B844" s="2035"/>
      <c r="C844" s="624"/>
      <c r="D844" s="2020"/>
      <c r="E844" s="561"/>
      <c r="F844" s="593"/>
      <c r="G844" s="593"/>
      <c r="H844" s="643"/>
      <c r="I844" s="2014"/>
      <c r="J844" s="2091" t="s">
        <v>835</v>
      </c>
      <c r="K844" s="2082"/>
      <c r="L844" s="2082"/>
      <c r="M844" s="2082"/>
      <c r="N844" s="2075"/>
      <c r="O844" s="2075"/>
      <c r="P844" s="2075"/>
      <c r="Q844" s="556"/>
      <c r="R844" s="2080"/>
      <c r="S844" s="547">
        <f>S842</f>
        <v>360000000</v>
      </c>
      <c r="T844" s="2106" t="s">
        <v>0</v>
      </c>
      <c r="U844" s="2075"/>
      <c r="V844" s="2434">
        <v>0.1</v>
      </c>
      <c r="W844" s="2106"/>
      <c r="X844" s="2030" t="s">
        <v>1</v>
      </c>
      <c r="Y844" s="1257">
        <f>INT((S844*V844)/1000)</f>
        <v>36000</v>
      </c>
      <c r="Z844" s="1898">
        <f t="shared" si="129"/>
        <v>36000000</v>
      </c>
      <c r="AA844" s="427"/>
      <c r="AB844" s="427"/>
      <c r="AC844" s="192"/>
    </row>
    <row r="845" spans="1:29" ht="21.95" customHeight="1">
      <c r="A845" s="2079"/>
      <c r="B845" s="2035"/>
      <c r="C845" s="624"/>
      <c r="D845" s="611"/>
      <c r="E845" s="2435"/>
      <c r="F845" s="1587"/>
      <c r="G845" s="1587"/>
      <c r="H845" s="2011"/>
      <c r="I845" s="2014"/>
      <c r="J845" s="2436" t="s">
        <v>1694</v>
      </c>
      <c r="K845" s="2072"/>
      <c r="L845" s="2072"/>
      <c r="M845" s="2072"/>
      <c r="N845" s="2065"/>
      <c r="O845" s="2065"/>
      <c r="P845" s="2065"/>
      <c r="Q845" s="615"/>
      <c r="R845" s="2070"/>
      <c r="S845" s="758">
        <v>1000000</v>
      </c>
      <c r="T845" s="618" t="s">
        <v>37</v>
      </c>
      <c r="U845" s="2065"/>
      <c r="V845" s="618">
        <v>5</v>
      </c>
      <c r="W845" s="618" t="s">
        <v>824</v>
      </c>
      <c r="X845" s="619" t="s">
        <v>1</v>
      </c>
      <c r="Y845" s="1593">
        <f>INT((S845*V845)/1000)</f>
        <v>5000</v>
      </c>
      <c r="Z845" s="1898">
        <f t="shared" si="129"/>
        <v>5000000</v>
      </c>
      <c r="AA845" s="427"/>
      <c r="AB845" s="427"/>
      <c r="AC845" s="192"/>
    </row>
    <row r="846" spans="1:29" ht="21.95" customHeight="1">
      <c r="A846" s="2079"/>
      <c r="B846" s="2035"/>
      <c r="C846" s="624"/>
      <c r="D846" s="3906" t="s">
        <v>1497</v>
      </c>
      <c r="E846" s="3907"/>
      <c r="F846" s="1253">
        <f>SUM(F847:F869)</f>
        <v>20499.999999999993</v>
      </c>
      <c r="G846" s="1253">
        <f>SUM(G847:G869)</f>
        <v>20499.999999999993</v>
      </c>
      <c r="H846" s="531">
        <f>+F846-G846</f>
        <v>0</v>
      </c>
      <c r="I846" s="2014"/>
      <c r="J846" s="2436"/>
      <c r="K846" s="2072"/>
      <c r="L846" s="2072"/>
      <c r="M846" s="2072"/>
      <c r="N846" s="2065"/>
      <c r="O846" s="2065"/>
      <c r="P846" s="2065"/>
      <c r="Q846" s="615"/>
      <c r="R846" s="2070"/>
      <c r="S846" s="758"/>
      <c r="T846" s="618"/>
      <c r="U846" s="2065"/>
      <c r="V846" s="618"/>
      <c r="W846" s="618"/>
      <c r="X846" s="619"/>
      <c r="Y846" s="756"/>
      <c r="Z846" s="1898">
        <f t="shared" si="129"/>
        <v>0</v>
      </c>
      <c r="AA846" s="427"/>
      <c r="AB846" s="427"/>
      <c r="AC846" s="192"/>
    </row>
    <row r="847" spans="1:29" ht="21.95" customHeight="1">
      <c r="A847" s="2437"/>
      <c r="B847" s="2438"/>
      <c r="C847" s="564"/>
      <c r="D847" s="624"/>
      <c r="E847" s="2439" t="s">
        <v>1127</v>
      </c>
      <c r="F847" s="1568">
        <f t="shared" ref="F847:F852" si="130">Y847</f>
        <v>2000</v>
      </c>
      <c r="G847" s="1568">
        <v>2000</v>
      </c>
      <c r="H847" s="1561"/>
      <c r="I847" s="2014"/>
      <c r="J847" s="472" t="s">
        <v>1695</v>
      </c>
      <c r="K847" s="473"/>
      <c r="L847" s="473"/>
      <c r="M847" s="473"/>
      <c r="N847" s="474"/>
      <c r="O847" s="473"/>
      <c r="P847" s="473"/>
      <c r="Q847" s="475">
        <v>8</v>
      </c>
      <c r="R847" s="473" t="s">
        <v>25</v>
      </c>
      <c r="S847" s="308">
        <v>250000</v>
      </c>
      <c r="T847" s="473" t="s">
        <v>0</v>
      </c>
      <c r="U847" s="473"/>
      <c r="V847" s="473">
        <v>1</v>
      </c>
      <c r="W847" s="473" t="s">
        <v>3</v>
      </c>
      <c r="X847" s="542" t="s">
        <v>1</v>
      </c>
      <c r="Y847" s="1257">
        <f>INT((Q847*S847)/1000)</f>
        <v>2000</v>
      </c>
      <c r="Z847" s="1898">
        <f t="shared" si="129"/>
        <v>2000000</v>
      </c>
      <c r="AA847" s="427"/>
      <c r="AB847" s="427"/>
      <c r="AC847" s="192"/>
    </row>
    <row r="848" spans="1:29" ht="21.95" customHeight="1">
      <c r="A848" s="2437"/>
      <c r="B848" s="2438"/>
      <c r="C848" s="564"/>
      <c r="D848" s="624"/>
      <c r="E848" s="1319" t="s">
        <v>54</v>
      </c>
      <c r="F848" s="1568">
        <f t="shared" si="130"/>
        <v>500</v>
      </c>
      <c r="G848" s="1568">
        <v>500</v>
      </c>
      <c r="H848" s="1561"/>
      <c r="I848" s="2014"/>
      <c r="J848" s="1348" t="s">
        <v>1696</v>
      </c>
      <c r="K848" s="621"/>
      <c r="L848" s="621"/>
      <c r="M848" s="621"/>
      <c r="N848" s="545"/>
      <c r="O848" s="621"/>
      <c r="P848" s="621"/>
      <c r="Q848" s="1349">
        <v>5</v>
      </c>
      <c r="R848" s="621" t="s">
        <v>25</v>
      </c>
      <c r="S848" s="743">
        <v>100000</v>
      </c>
      <c r="T848" s="621" t="s">
        <v>0</v>
      </c>
      <c r="U848" s="621"/>
      <c r="V848" s="621">
        <v>1</v>
      </c>
      <c r="W848" s="621" t="s">
        <v>3</v>
      </c>
      <c r="X848" s="585" t="s">
        <v>1</v>
      </c>
      <c r="Y848" s="594">
        <f>INT((Q848*S848)/1000)</f>
        <v>500</v>
      </c>
      <c r="Z848" s="1898">
        <f t="shared" si="129"/>
        <v>500000</v>
      </c>
      <c r="AA848" s="427"/>
      <c r="AB848" s="427"/>
      <c r="AC848" s="192"/>
    </row>
    <row r="849" spans="1:29" ht="21.95" customHeight="1">
      <c r="A849" s="2079"/>
      <c r="B849" s="2035"/>
      <c r="C849" s="624"/>
      <c r="D849" s="2020"/>
      <c r="E849" s="2428" t="s">
        <v>1437</v>
      </c>
      <c r="F849" s="1588">
        <f t="shared" si="130"/>
        <v>300</v>
      </c>
      <c r="G849" s="1588">
        <v>300</v>
      </c>
      <c r="H849" s="2138"/>
      <c r="I849" s="2014"/>
      <c r="J849" s="2105" t="s">
        <v>1697</v>
      </c>
      <c r="K849" s="2082"/>
      <c r="L849" s="2082"/>
      <c r="M849" s="2082"/>
      <c r="N849" s="2075"/>
      <c r="O849" s="2075"/>
      <c r="P849" s="2075"/>
      <c r="Q849" s="556"/>
      <c r="R849" s="2080"/>
      <c r="S849" s="502">
        <v>300000</v>
      </c>
      <c r="T849" s="2106" t="s">
        <v>37</v>
      </c>
      <c r="U849" s="2075"/>
      <c r="V849" s="2106">
        <v>1</v>
      </c>
      <c r="W849" s="2106" t="s">
        <v>763</v>
      </c>
      <c r="X849" s="2030" t="s">
        <v>1</v>
      </c>
      <c r="Y849" s="1257">
        <f>INT((V849*S849)/1000)</f>
        <v>300</v>
      </c>
      <c r="Z849" s="1898">
        <f t="shared" si="129"/>
        <v>300000</v>
      </c>
      <c r="AA849" s="427"/>
      <c r="AB849" s="427"/>
      <c r="AC849" s="192"/>
    </row>
    <row r="850" spans="1:29" ht="21.95" customHeight="1">
      <c r="A850" s="2079"/>
      <c r="B850" s="2035"/>
      <c r="C850" s="624"/>
      <c r="D850" s="2020"/>
      <c r="E850" s="2428" t="s">
        <v>1212</v>
      </c>
      <c r="F850" s="1588">
        <f t="shared" si="130"/>
        <v>2400</v>
      </c>
      <c r="G850" s="1588">
        <v>2400</v>
      </c>
      <c r="H850" s="2138"/>
      <c r="I850" s="2014"/>
      <c r="J850" s="2025" t="s">
        <v>1698</v>
      </c>
      <c r="K850" s="2068"/>
      <c r="L850" s="2068"/>
      <c r="M850" s="2068"/>
      <c r="N850" s="2101"/>
      <c r="O850" s="2101"/>
      <c r="P850" s="2101"/>
      <c r="Q850" s="2322">
        <v>1</v>
      </c>
      <c r="R850" s="2090" t="s">
        <v>3425</v>
      </c>
      <c r="S850" s="2440">
        <v>200000</v>
      </c>
      <c r="T850" s="2026" t="s">
        <v>0</v>
      </c>
      <c r="U850" s="2101"/>
      <c r="V850" s="2322">
        <v>12</v>
      </c>
      <c r="W850" s="2090" t="s">
        <v>657</v>
      </c>
      <c r="X850" s="2028" t="s">
        <v>1</v>
      </c>
      <c r="Y850" s="594">
        <f>INT((Q850*S850*V850)/1000)</f>
        <v>2400</v>
      </c>
      <c r="Z850" s="1898">
        <f t="shared" si="129"/>
        <v>2400000</v>
      </c>
      <c r="AA850" s="427"/>
      <c r="AB850" s="427"/>
      <c r="AC850" s="192"/>
    </row>
    <row r="851" spans="1:29" ht="21.95" customHeight="1">
      <c r="A851" s="2079"/>
      <c r="B851" s="2035"/>
      <c r="C851" s="624"/>
      <c r="D851" s="2020"/>
      <c r="E851" s="2428" t="s">
        <v>18</v>
      </c>
      <c r="F851" s="1588">
        <f t="shared" si="130"/>
        <v>300</v>
      </c>
      <c r="G851" s="1588">
        <v>300</v>
      </c>
      <c r="H851" s="2138"/>
      <c r="I851" s="2014"/>
      <c r="J851" s="2105" t="s">
        <v>1699</v>
      </c>
      <c r="K851" s="2082"/>
      <c r="L851" s="2082"/>
      <c r="M851" s="2082"/>
      <c r="N851" s="2075"/>
      <c r="O851" s="2075"/>
      <c r="P851" s="2075"/>
      <c r="Q851" s="556"/>
      <c r="R851" s="2080"/>
      <c r="S851" s="502">
        <v>300000</v>
      </c>
      <c r="T851" s="2106" t="s">
        <v>37</v>
      </c>
      <c r="U851" s="2075"/>
      <c r="V851" s="2106">
        <v>1</v>
      </c>
      <c r="W851" s="2106" t="s">
        <v>763</v>
      </c>
      <c r="X851" s="2030" t="s">
        <v>38</v>
      </c>
      <c r="Y851" s="1257">
        <f>S851/1000</f>
        <v>300</v>
      </c>
      <c r="Z851" s="1898">
        <f t="shared" si="129"/>
        <v>300000</v>
      </c>
      <c r="AA851" s="427"/>
      <c r="AB851" s="427"/>
      <c r="AC851" s="192"/>
    </row>
    <row r="852" spans="1:29" ht="21.95" customHeight="1">
      <c r="A852" s="2079"/>
      <c r="B852" s="2035"/>
      <c r="C852" s="624"/>
      <c r="D852" s="2020"/>
      <c r="E852" s="2428" t="s">
        <v>934</v>
      </c>
      <c r="F852" s="1588">
        <f t="shared" si="130"/>
        <v>450</v>
      </c>
      <c r="G852" s="1588">
        <v>1950</v>
      </c>
      <c r="H852" s="2138">
        <f>F852-G852</f>
        <v>-1500</v>
      </c>
      <c r="I852" s="2014"/>
      <c r="J852" s="2025" t="s">
        <v>5729</v>
      </c>
      <c r="K852" s="3513"/>
      <c r="L852" s="3513"/>
      <c r="M852" s="3513"/>
      <c r="N852" s="3529"/>
      <c r="O852" s="3529"/>
      <c r="P852" s="2074"/>
      <c r="Q852" s="606">
        <v>3</v>
      </c>
      <c r="R852" s="2078" t="s">
        <v>40</v>
      </c>
      <c r="S852" s="3557">
        <v>25000</v>
      </c>
      <c r="T852" s="609" t="s">
        <v>0</v>
      </c>
      <c r="U852" s="2074"/>
      <c r="V852" s="609">
        <v>6</v>
      </c>
      <c r="W852" s="609" t="s">
        <v>5691</v>
      </c>
      <c r="X852" s="610" t="s">
        <v>1</v>
      </c>
      <c r="Y852" s="2442">
        <f>INT((Q852*S852*V852)/1000)</f>
        <v>450</v>
      </c>
      <c r="Z852" s="1884">
        <f t="shared" ref="Z852" si="131">Y852*1000</f>
        <v>450000</v>
      </c>
      <c r="AA852" s="2441"/>
      <c r="AB852" s="605"/>
      <c r="AC852" s="192"/>
    </row>
    <row r="853" spans="1:29" ht="21.95" customHeight="1">
      <c r="A853" s="2079"/>
      <c r="B853" s="2035"/>
      <c r="C853" s="624"/>
      <c r="D853" s="2020"/>
      <c r="E853" s="2428" t="s">
        <v>831</v>
      </c>
      <c r="F853" s="1588">
        <f>Y853</f>
        <v>600</v>
      </c>
      <c r="G853" s="1588">
        <v>600</v>
      </c>
      <c r="H853" s="2138"/>
      <c r="I853" s="2014"/>
      <c r="J853" s="2025" t="s">
        <v>1787</v>
      </c>
      <c r="K853" s="3513"/>
      <c r="L853" s="3513"/>
      <c r="M853" s="3513"/>
      <c r="N853" s="3529"/>
      <c r="O853" s="3529"/>
      <c r="P853" s="3529"/>
      <c r="Q853" s="2322"/>
      <c r="R853" s="3518"/>
      <c r="S853" s="2440">
        <v>600000</v>
      </c>
      <c r="T853" s="2026" t="s">
        <v>0</v>
      </c>
      <c r="U853" s="3529"/>
      <c r="V853" s="2322">
        <v>1</v>
      </c>
      <c r="W853" s="3518" t="s">
        <v>657</v>
      </c>
      <c r="X853" s="2028" t="s">
        <v>1</v>
      </c>
      <c r="Y853" s="594">
        <f>INT((S853*V853)/1000)</f>
        <v>600</v>
      </c>
      <c r="Z853" s="1898">
        <f t="shared" si="129"/>
        <v>600000</v>
      </c>
      <c r="AA853" s="427"/>
      <c r="AB853" s="427"/>
      <c r="AC853" s="192"/>
    </row>
    <row r="854" spans="1:29" ht="21.95" customHeight="1">
      <c r="A854" s="2079"/>
      <c r="B854" s="2035"/>
      <c r="C854" s="624"/>
      <c r="D854" s="2020"/>
      <c r="E854" s="2428" t="s">
        <v>928</v>
      </c>
      <c r="F854" s="1588">
        <f>Y854</f>
        <v>1960</v>
      </c>
      <c r="G854" s="1588">
        <v>960</v>
      </c>
      <c r="H854" s="2138">
        <f>F854-G854</f>
        <v>1000</v>
      </c>
      <c r="I854" s="2014"/>
      <c r="J854" s="3530" t="s">
        <v>5730</v>
      </c>
      <c r="K854" s="3527"/>
      <c r="L854" s="3527"/>
      <c r="M854" s="3527"/>
      <c r="N854" s="2075"/>
      <c r="O854" s="2075"/>
      <c r="P854" s="2075"/>
      <c r="Q854" s="556">
        <v>10</v>
      </c>
      <c r="R854" s="3532" t="s">
        <v>5683</v>
      </c>
      <c r="S854" s="502">
        <v>80000</v>
      </c>
      <c r="T854" s="3531" t="s">
        <v>5684</v>
      </c>
      <c r="U854" s="2075"/>
      <c r="V854" s="3531">
        <v>24.5</v>
      </c>
      <c r="W854" s="3531" t="s">
        <v>5688</v>
      </c>
      <c r="X854" s="2030" t="s">
        <v>5731</v>
      </c>
      <c r="Y854" s="1257">
        <f>INT((S854*V854)/1000)</f>
        <v>1960</v>
      </c>
      <c r="Z854" s="308">
        <f t="shared" si="129"/>
        <v>1960000</v>
      </c>
      <c r="AA854" s="427"/>
      <c r="AB854" s="427"/>
      <c r="AC854" s="192"/>
    </row>
    <row r="855" spans="1:29" ht="21.95" customHeight="1">
      <c r="A855" s="2079"/>
      <c r="B855" s="2035"/>
      <c r="C855" s="624"/>
      <c r="D855" s="2020"/>
      <c r="E855" s="2428" t="s">
        <v>2277</v>
      </c>
      <c r="F855" s="1588">
        <f>Y855</f>
        <v>240</v>
      </c>
      <c r="G855" s="1588">
        <v>240</v>
      </c>
      <c r="H855" s="2138"/>
      <c r="I855" s="2014"/>
      <c r="J855" s="2441" t="s">
        <v>768</v>
      </c>
      <c r="K855" s="605"/>
      <c r="L855" s="605"/>
      <c r="M855" s="605"/>
      <c r="N855" s="2443"/>
      <c r="O855" s="2074"/>
      <c r="P855" s="2074"/>
      <c r="Q855" s="606"/>
      <c r="R855" s="2078"/>
      <c r="S855" s="2444"/>
      <c r="T855" s="609"/>
      <c r="U855" s="2074"/>
      <c r="V855" s="609"/>
      <c r="W855" s="609"/>
      <c r="X855" s="610"/>
      <c r="Y855" s="2442">
        <f>SUM(Y856:Y857)</f>
        <v>240</v>
      </c>
      <c r="Z855" s="1898">
        <f t="shared" si="129"/>
        <v>240000</v>
      </c>
      <c r="AA855" s="427"/>
      <c r="AB855" s="427"/>
      <c r="AC855" s="192"/>
    </row>
    <row r="856" spans="1:29" ht="21.95" customHeight="1">
      <c r="A856" s="2079"/>
      <c r="B856" s="2035"/>
      <c r="C856" s="624"/>
      <c r="D856" s="2020"/>
      <c r="E856" s="561"/>
      <c r="F856" s="593"/>
      <c r="G856" s="593"/>
      <c r="H856" s="643"/>
      <c r="I856" s="2014"/>
      <c r="J856" s="3224" t="s">
        <v>3426</v>
      </c>
      <c r="K856" s="3236"/>
      <c r="L856" s="3236"/>
      <c r="M856" s="3236"/>
      <c r="N856" s="2075"/>
      <c r="O856" s="2075"/>
      <c r="P856" s="2075"/>
      <c r="Q856" s="556">
        <v>1</v>
      </c>
      <c r="R856" s="3180" t="s">
        <v>1927</v>
      </c>
      <c r="S856" s="547">
        <v>15000</v>
      </c>
      <c r="T856" s="3241" t="s">
        <v>37</v>
      </c>
      <c r="U856" s="2075"/>
      <c r="V856" s="3241">
        <v>12</v>
      </c>
      <c r="W856" s="3241" t="s">
        <v>2899</v>
      </c>
      <c r="X856" s="2030" t="s">
        <v>742</v>
      </c>
      <c r="Y856" s="1257">
        <f>INT((Q856*S856*V856)/1000)</f>
        <v>180</v>
      </c>
      <c r="Z856" s="1898">
        <f t="shared" si="129"/>
        <v>180000</v>
      </c>
      <c r="AA856" s="427"/>
      <c r="AB856" s="427"/>
      <c r="AC856" s="192"/>
    </row>
    <row r="857" spans="1:29" ht="21.95" customHeight="1">
      <c r="A857" s="2079"/>
      <c r="B857" s="2035"/>
      <c r="C857" s="624"/>
      <c r="D857" s="2020"/>
      <c r="E857" s="561"/>
      <c r="F857" s="593"/>
      <c r="G857" s="593"/>
      <c r="H857" s="643"/>
      <c r="I857" s="2014"/>
      <c r="J857" s="3224" t="s">
        <v>3427</v>
      </c>
      <c r="K857" s="3236"/>
      <c r="L857" s="3236"/>
      <c r="M857" s="3236"/>
      <c r="N857" s="2075"/>
      <c r="O857" s="2075"/>
      <c r="P857" s="2075"/>
      <c r="Q857" s="556">
        <v>2</v>
      </c>
      <c r="R857" s="3180" t="s">
        <v>3428</v>
      </c>
      <c r="S857" s="547">
        <v>15000</v>
      </c>
      <c r="T857" s="3241" t="s">
        <v>37</v>
      </c>
      <c r="U857" s="2075"/>
      <c r="V857" s="3241">
        <v>2</v>
      </c>
      <c r="W857" s="3241" t="s">
        <v>2370</v>
      </c>
      <c r="X857" s="2030" t="s">
        <v>742</v>
      </c>
      <c r="Y857" s="1257">
        <f>INT((Q857*S857*V857)/1000)</f>
        <v>60</v>
      </c>
      <c r="Z857" s="1898">
        <f t="shared" si="129"/>
        <v>60000</v>
      </c>
      <c r="AA857" s="427"/>
      <c r="AB857" s="427"/>
      <c r="AC857" s="192"/>
    </row>
    <row r="858" spans="1:29" ht="21.95" customHeight="1">
      <c r="A858" s="2079"/>
      <c r="B858" s="2035"/>
      <c r="C858" s="624"/>
      <c r="D858" s="2020"/>
      <c r="E858" s="2428" t="s">
        <v>931</v>
      </c>
      <c r="F858" s="1588">
        <f>Y858</f>
        <v>1010</v>
      </c>
      <c r="G858" s="1588">
        <v>1010</v>
      </c>
      <c r="H858" s="2138"/>
      <c r="I858" s="2014"/>
      <c r="J858" s="2441" t="s">
        <v>2804</v>
      </c>
      <c r="K858" s="605"/>
      <c r="L858" s="605"/>
      <c r="M858" s="605"/>
      <c r="N858" s="2074"/>
      <c r="O858" s="2074"/>
      <c r="P858" s="2074"/>
      <c r="Q858" s="606"/>
      <c r="R858" s="2078"/>
      <c r="S858" s="2444"/>
      <c r="T858" s="609"/>
      <c r="U858" s="2074"/>
      <c r="V858" s="609"/>
      <c r="W858" s="609"/>
      <c r="X858" s="610"/>
      <c r="Y858" s="2442">
        <f>SUM(Y859:Y861)</f>
        <v>1010</v>
      </c>
      <c r="Z858" s="1898">
        <f t="shared" si="129"/>
        <v>1010000</v>
      </c>
      <c r="AA858" s="427"/>
      <c r="AB858" s="427"/>
      <c r="AC858" s="192"/>
    </row>
    <row r="859" spans="1:29" ht="21.95" customHeight="1">
      <c r="A859" s="2079"/>
      <c r="B859" s="2035"/>
      <c r="C859" s="624"/>
      <c r="D859" s="2020"/>
      <c r="E859" s="561"/>
      <c r="F859" s="593"/>
      <c r="G859" s="593"/>
      <c r="H859" s="643"/>
      <c r="I859" s="2014"/>
      <c r="J859" s="3240" t="s">
        <v>3429</v>
      </c>
      <c r="K859" s="3236"/>
      <c r="L859" s="3236"/>
      <c r="M859" s="3236"/>
      <c r="N859" s="2075"/>
      <c r="O859" s="2075"/>
      <c r="P859" s="2075"/>
      <c r="Q859" s="556"/>
      <c r="R859" s="3180"/>
      <c r="S859" s="502">
        <v>55000</v>
      </c>
      <c r="T859" s="3241" t="s">
        <v>0</v>
      </c>
      <c r="U859" s="2075"/>
      <c r="V859" s="3241">
        <v>2</v>
      </c>
      <c r="W859" s="3241" t="s">
        <v>39</v>
      </c>
      <c r="X859" s="2030" t="s">
        <v>1</v>
      </c>
      <c r="Y859" s="1257">
        <f>INT((S859*V859)/1000)</f>
        <v>110</v>
      </c>
      <c r="Z859" s="1898">
        <f t="shared" si="129"/>
        <v>110000</v>
      </c>
      <c r="AA859" s="427"/>
      <c r="AB859" s="427"/>
      <c r="AC859" s="192"/>
    </row>
    <row r="860" spans="1:29" ht="21.95" customHeight="1">
      <c r="A860" s="2079"/>
      <c r="B860" s="2035"/>
      <c r="C860" s="624"/>
      <c r="D860" s="2020"/>
      <c r="E860" s="561"/>
      <c r="F860" s="593"/>
      <c r="G860" s="593"/>
      <c r="H860" s="643"/>
      <c r="I860" s="2014"/>
      <c r="J860" s="3868" t="s">
        <v>3430</v>
      </c>
      <c r="K860" s="3869"/>
      <c r="L860" s="3869"/>
      <c r="M860" s="3869"/>
      <c r="N860" s="2075"/>
      <c r="O860" s="2075"/>
      <c r="P860" s="2075"/>
      <c r="Q860" s="556">
        <v>2</v>
      </c>
      <c r="R860" s="3180" t="s">
        <v>929</v>
      </c>
      <c r="S860" s="502">
        <v>200000</v>
      </c>
      <c r="T860" s="3241" t="s">
        <v>37</v>
      </c>
      <c r="U860" s="2075"/>
      <c r="V860" s="3241">
        <v>2</v>
      </c>
      <c r="W860" s="3241" t="s">
        <v>3</v>
      </c>
      <c r="X860" s="2030" t="s">
        <v>1</v>
      </c>
      <c r="Y860" s="1257">
        <f>INT((Q860*S860*V860)/1000)</f>
        <v>800</v>
      </c>
      <c r="Z860" s="1898">
        <f t="shared" si="129"/>
        <v>800000</v>
      </c>
      <c r="AA860" s="427"/>
      <c r="AB860" s="427"/>
      <c r="AC860" s="192"/>
    </row>
    <row r="861" spans="1:29" ht="21.95" customHeight="1">
      <c r="A861" s="2079"/>
      <c r="B861" s="2035"/>
      <c r="C861" s="624"/>
      <c r="D861" s="2020"/>
      <c r="E861" s="561"/>
      <c r="F861" s="593"/>
      <c r="G861" s="593"/>
      <c r="H861" s="643"/>
      <c r="I861" s="2014"/>
      <c r="J861" s="3240" t="s">
        <v>3413</v>
      </c>
      <c r="K861" s="3236"/>
      <c r="L861" s="3236"/>
      <c r="M861" s="3236"/>
      <c r="N861" s="2075"/>
      <c r="O861" s="2075"/>
      <c r="P861" s="2075"/>
      <c r="Q861" s="556"/>
      <c r="R861" s="3180"/>
      <c r="S861" s="502">
        <v>20000</v>
      </c>
      <c r="T861" s="3241" t="s">
        <v>0</v>
      </c>
      <c r="U861" s="2075"/>
      <c r="V861" s="556">
        <v>5</v>
      </c>
      <c r="W861" s="3180" t="s">
        <v>39</v>
      </c>
      <c r="X861" s="2030" t="s">
        <v>1</v>
      </c>
      <c r="Y861" s="1257">
        <f>INT((S861*V861)/1000)</f>
        <v>100</v>
      </c>
      <c r="Z861" s="1898">
        <f t="shared" si="129"/>
        <v>100000</v>
      </c>
      <c r="AA861" s="427"/>
      <c r="AB861" s="427"/>
      <c r="AC861" s="192"/>
    </row>
    <row r="862" spans="1:29" ht="21.95" customHeight="1">
      <c r="A862" s="2079"/>
      <c r="B862" s="2035"/>
      <c r="C862" s="624"/>
      <c r="D862" s="2020"/>
      <c r="E862" s="2428" t="s">
        <v>1098</v>
      </c>
      <c r="F862" s="1588">
        <f>Y862</f>
        <v>600</v>
      </c>
      <c r="G862" s="1588">
        <v>600</v>
      </c>
      <c r="H862" s="2138"/>
      <c r="I862" s="2014"/>
      <c r="J862" s="2441" t="s">
        <v>768</v>
      </c>
      <c r="K862" s="607"/>
      <c r="L862" s="607"/>
      <c r="M862" s="605"/>
      <c r="N862" s="2074"/>
      <c r="O862" s="2074"/>
      <c r="P862" s="2074"/>
      <c r="Q862" s="606"/>
      <c r="R862" s="2078"/>
      <c r="S862" s="2444"/>
      <c r="T862" s="609"/>
      <c r="U862" s="2074"/>
      <c r="V862" s="609"/>
      <c r="W862" s="609"/>
      <c r="X862" s="610"/>
      <c r="Y862" s="2442">
        <f>SUM(Y863:Y865)</f>
        <v>600</v>
      </c>
      <c r="Z862" s="1898">
        <f t="shared" si="129"/>
        <v>600000</v>
      </c>
      <c r="AA862" s="427"/>
      <c r="AB862" s="427"/>
      <c r="AC862" s="192"/>
    </row>
    <row r="863" spans="1:29" ht="21.95" customHeight="1">
      <c r="A863" s="2079"/>
      <c r="B863" s="2035"/>
      <c r="C863" s="624"/>
      <c r="D863" s="2020"/>
      <c r="E863" s="561"/>
      <c r="F863" s="593"/>
      <c r="G863" s="593"/>
      <c r="H863" s="643"/>
      <c r="I863" s="2014"/>
      <c r="J863" s="3868" t="s">
        <v>3431</v>
      </c>
      <c r="K863" s="3869"/>
      <c r="L863" s="3869"/>
      <c r="M863" s="3869"/>
      <c r="N863" s="2075"/>
      <c r="O863" s="2075"/>
      <c r="P863" s="2075"/>
      <c r="Q863" s="556">
        <v>1</v>
      </c>
      <c r="R863" s="3180" t="s">
        <v>1928</v>
      </c>
      <c r="S863" s="502">
        <v>300000</v>
      </c>
      <c r="T863" s="3241" t="s">
        <v>37</v>
      </c>
      <c r="U863" s="2075"/>
      <c r="V863" s="3241">
        <v>1</v>
      </c>
      <c r="W863" s="3241" t="s">
        <v>39</v>
      </c>
      <c r="X863" s="2030" t="s">
        <v>38</v>
      </c>
      <c r="Y863" s="1257">
        <f>INT((Q863*S863*V863)/1000)</f>
        <v>300</v>
      </c>
      <c r="Z863" s="1898">
        <f t="shared" si="129"/>
        <v>300000</v>
      </c>
      <c r="AA863" s="427"/>
      <c r="AB863" s="427"/>
      <c r="AC863" s="192"/>
    </row>
    <row r="864" spans="1:29" ht="21.95" customHeight="1">
      <c r="A864" s="2079"/>
      <c r="B864" s="2035"/>
      <c r="C864" s="624"/>
      <c r="D864" s="2020"/>
      <c r="E864" s="561"/>
      <c r="F864" s="593"/>
      <c r="G864" s="593"/>
      <c r="H864" s="643"/>
      <c r="I864" s="2014"/>
      <c r="J864" s="3868" t="s">
        <v>3432</v>
      </c>
      <c r="K864" s="3869"/>
      <c r="L864" s="3869"/>
      <c r="M864" s="3869"/>
      <c r="N864" s="3869"/>
      <c r="O864" s="2075"/>
      <c r="P864" s="2075"/>
      <c r="Q864" s="556"/>
      <c r="R864" s="3180"/>
      <c r="S864" s="502">
        <v>100000</v>
      </c>
      <c r="T864" s="3241" t="s">
        <v>37</v>
      </c>
      <c r="U864" s="2075"/>
      <c r="V864" s="3241">
        <v>2</v>
      </c>
      <c r="W864" s="3241" t="s">
        <v>39</v>
      </c>
      <c r="X864" s="2030" t="s">
        <v>38</v>
      </c>
      <c r="Y864" s="1257">
        <f>INT((S864*V864)/1000)</f>
        <v>200</v>
      </c>
      <c r="Z864" s="1898">
        <f t="shared" si="129"/>
        <v>200000</v>
      </c>
      <c r="AA864" s="427"/>
      <c r="AB864" s="427"/>
      <c r="AC864" s="192"/>
    </row>
    <row r="865" spans="1:29" ht="21.95" customHeight="1">
      <c r="A865" s="2079"/>
      <c r="B865" s="2035"/>
      <c r="C865" s="624"/>
      <c r="D865" s="2020"/>
      <c r="E865" s="561"/>
      <c r="F865" s="593"/>
      <c r="G865" s="593"/>
      <c r="H865" s="643"/>
      <c r="I865" s="2014"/>
      <c r="J865" s="3868" t="s">
        <v>3433</v>
      </c>
      <c r="K865" s="3869"/>
      <c r="L865" s="3869"/>
      <c r="M865" s="3869"/>
      <c r="N865" s="3869"/>
      <c r="O865" s="2075"/>
      <c r="P865" s="2075"/>
      <c r="Q865" s="556"/>
      <c r="R865" s="3180"/>
      <c r="S865" s="502">
        <v>100000</v>
      </c>
      <c r="T865" s="3241" t="s">
        <v>37</v>
      </c>
      <c r="U865" s="2075"/>
      <c r="V865" s="3241">
        <v>1</v>
      </c>
      <c r="W865" s="3241" t="s">
        <v>39</v>
      </c>
      <c r="X865" s="2030" t="s">
        <v>38</v>
      </c>
      <c r="Y865" s="1257">
        <f>INT((S865*V865)/1000)</f>
        <v>100</v>
      </c>
      <c r="Z865" s="1898">
        <f t="shared" si="129"/>
        <v>100000</v>
      </c>
      <c r="AA865" s="427"/>
      <c r="AB865" s="427"/>
      <c r="AC865" s="192"/>
    </row>
    <row r="866" spans="1:29" ht="21.95" customHeight="1">
      <c r="A866" s="2079"/>
      <c r="B866" s="2035"/>
      <c r="C866" s="624"/>
      <c r="D866" s="2020"/>
      <c r="E866" s="2428" t="s">
        <v>671</v>
      </c>
      <c r="F866" s="1588">
        <f>Y866</f>
        <v>4200</v>
      </c>
      <c r="G866" s="1588">
        <v>4200</v>
      </c>
      <c r="H866" s="2138"/>
      <c r="I866" s="2014"/>
      <c r="J866" s="2431" t="s">
        <v>1700</v>
      </c>
      <c r="K866" s="2027"/>
      <c r="L866" s="2027"/>
      <c r="M866" s="3222"/>
      <c r="N866" s="3239"/>
      <c r="O866" s="3239"/>
      <c r="P866" s="3239"/>
      <c r="Q866" s="2322"/>
      <c r="R866" s="3226"/>
      <c r="S866" s="2440">
        <v>350000</v>
      </c>
      <c r="T866" s="2026" t="s">
        <v>37</v>
      </c>
      <c r="U866" s="3239"/>
      <c r="V866" s="2026">
        <v>12</v>
      </c>
      <c r="W866" s="2026" t="s">
        <v>830</v>
      </c>
      <c r="X866" s="2028" t="s">
        <v>38</v>
      </c>
      <c r="Y866" s="594">
        <f>INT((S866*V866)/1000)</f>
        <v>4200</v>
      </c>
      <c r="Z866" s="1898">
        <f t="shared" si="129"/>
        <v>4200000</v>
      </c>
      <c r="AA866" s="427"/>
      <c r="AB866" s="427"/>
      <c r="AC866" s="192"/>
    </row>
    <row r="867" spans="1:29" ht="21.95" customHeight="1">
      <c r="A867" s="2079"/>
      <c r="B867" s="2035"/>
      <c r="C867" s="624"/>
      <c r="D867" s="2020"/>
      <c r="E867" s="2428" t="s">
        <v>3434</v>
      </c>
      <c r="F867" s="1588">
        <f>+Y867</f>
        <v>4099.9999999999918</v>
      </c>
      <c r="G867" s="1588">
        <v>4099.9999999999918</v>
      </c>
      <c r="H867" s="2138"/>
      <c r="I867" s="2014"/>
      <c r="J867" s="3240" t="s">
        <v>1678</v>
      </c>
      <c r="K867" s="3241"/>
      <c r="L867" s="3241"/>
      <c r="M867" s="3236"/>
      <c r="N867" s="2075"/>
      <c r="O867" s="2075"/>
      <c r="P867" s="2075"/>
      <c r="Q867" s="556">
        <v>1</v>
      </c>
      <c r="R867" s="3180" t="s">
        <v>929</v>
      </c>
      <c r="S867" s="502">
        <v>341666.66666666599</v>
      </c>
      <c r="T867" s="3241" t="s">
        <v>37</v>
      </c>
      <c r="U867" s="2075"/>
      <c r="V867" s="3241">
        <v>12</v>
      </c>
      <c r="W867" s="3241" t="s">
        <v>830</v>
      </c>
      <c r="X867" s="2030" t="s">
        <v>742</v>
      </c>
      <c r="Y867" s="1257">
        <f>(Q867*S867*V867)/1000</f>
        <v>4099.9999999999918</v>
      </c>
      <c r="Z867" s="1898">
        <f t="shared" si="129"/>
        <v>4099999.9999999916</v>
      </c>
      <c r="AA867" s="427"/>
      <c r="AB867" s="427"/>
      <c r="AC867" s="192"/>
    </row>
    <row r="868" spans="1:29" ht="21.95" customHeight="1">
      <c r="A868" s="2079"/>
      <c r="B868" s="2035"/>
      <c r="C868" s="624"/>
      <c r="D868" s="2020"/>
      <c r="E868" s="2428" t="s">
        <v>17</v>
      </c>
      <c r="F868" s="1588">
        <f>Y868</f>
        <v>400</v>
      </c>
      <c r="G868" s="1588">
        <v>400</v>
      </c>
      <c r="H868" s="2138"/>
      <c r="I868" s="2014"/>
      <c r="J868" s="2025" t="s">
        <v>3435</v>
      </c>
      <c r="K868" s="3222"/>
      <c r="L868" s="3222"/>
      <c r="M868" s="3222"/>
      <c r="N868" s="3239"/>
      <c r="O868" s="3239"/>
      <c r="P868" s="3239"/>
      <c r="Q868" s="2322"/>
      <c r="R868" s="3226"/>
      <c r="S868" s="2440">
        <v>20000</v>
      </c>
      <c r="T868" s="2026" t="s">
        <v>37</v>
      </c>
      <c r="U868" s="3239"/>
      <c r="V868" s="2026">
        <v>20</v>
      </c>
      <c r="W868" s="2026" t="s">
        <v>39</v>
      </c>
      <c r="X868" s="2028" t="s">
        <v>38</v>
      </c>
      <c r="Y868" s="594">
        <f>INT((S868*V868)/1000)</f>
        <v>400</v>
      </c>
      <c r="Z868" s="1898">
        <f t="shared" si="129"/>
        <v>400000</v>
      </c>
      <c r="AA868" s="427"/>
      <c r="AB868" s="427"/>
      <c r="AC868" s="192"/>
    </row>
    <row r="869" spans="1:29" ht="21.95" customHeight="1">
      <c r="A869" s="2079"/>
      <c r="B869" s="2035"/>
      <c r="C869" s="624"/>
      <c r="D869" s="611"/>
      <c r="E869" s="2428" t="s">
        <v>4370</v>
      </c>
      <c r="F869" s="1253">
        <f>Y869</f>
        <v>1440</v>
      </c>
      <c r="G869" s="1253">
        <v>940</v>
      </c>
      <c r="H869" s="531">
        <f>F869-G869</f>
        <v>500</v>
      </c>
      <c r="I869" s="2014"/>
      <c r="J869" s="2431" t="s">
        <v>5732</v>
      </c>
      <c r="K869" s="2027"/>
      <c r="L869" s="2027"/>
      <c r="M869" s="3513"/>
      <c r="N869" s="3529"/>
      <c r="O869" s="3529"/>
      <c r="P869" s="3529"/>
      <c r="Q869" s="2026">
        <v>4</v>
      </c>
      <c r="R869" s="2026" t="s">
        <v>5733</v>
      </c>
      <c r="S869" s="2440">
        <v>20000</v>
      </c>
      <c r="T869" s="2026" t="s">
        <v>5684</v>
      </c>
      <c r="U869" s="2065"/>
      <c r="V869" s="618">
        <v>18</v>
      </c>
      <c r="W869" s="618" t="s">
        <v>5691</v>
      </c>
      <c r="X869" s="619" t="s">
        <v>5731</v>
      </c>
      <c r="Y869" s="594">
        <f>INT((Q869*S869*V869)/1000)</f>
        <v>1440</v>
      </c>
      <c r="Z869" s="308">
        <f t="shared" si="129"/>
        <v>1440000</v>
      </c>
      <c r="AA869" s="427"/>
      <c r="AB869" s="427"/>
      <c r="AC869" s="192"/>
    </row>
    <row r="870" spans="1:29" ht="21.95" customHeight="1">
      <c r="A870" s="2079"/>
      <c r="B870" s="2035"/>
      <c r="C870" s="624"/>
      <c r="D870" s="3877" t="s">
        <v>3436</v>
      </c>
      <c r="E870" s="3878"/>
      <c r="F870" s="1587">
        <f>F871</f>
        <v>1500</v>
      </c>
      <c r="G870" s="1587">
        <f>SUM(G871)</f>
        <v>1500</v>
      </c>
      <c r="H870" s="2011">
        <f>H871</f>
        <v>0</v>
      </c>
      <c r="I870" s="2014"/>
      <c r="J870" s="2017"/>
      <c r="K870" s="2072"/>
      <c r="L870" s="2072"/>
      <c r="M870" s="2072"/>
      <c r="N870" s="2065"/>
      <c r="O870" s="2065"/>
      <c r="P870" s="2065"/>
      <c r="Q870" s="615"/>
      <c r="R870" s="2070"/>
      <c r="S870" s="2445"/>
      <c r="T870" s="618"/>
      <c r="U870" s="2065"/>
      <c r="V870" s="618"/>
      <c r="W870" s="618"/>
      <c r="X870" s="619"/>
      <c r="Y870" s="1593"/>
      <c r="Z870" s="1898">
        <f t="shared" si="129"/>
        <v>0</v>
      </c>
      <c r="AA870" s="427"/>
      <c r="AB870" s="427"/>
      <c r="AC870" s="192"/>
    </row>
    <row r="871" spans="1:29" ht="21.95" customHeight="1" thickBot="1">
      <c r="A871" s="2079"/>
      <c r="B871" s="2035"/>
      <c r="C871" s="638"/>
      <c r="D871" s="2063"/>
      <c r="E871" s="2446" t="s">
        <v>2728</v>
      </c>
      <c r="F871" s="1660">
        <f>Y871</f>
        <v>1500</v>
      </c>
      <c r="G871" s="1660">
        <v>1500</v>
      </c>
      <c r="H871" s="2134"/>
      <c r="I871" s="2014"/>
      <c r="J871" s="2056" t="s">
        <v>3437</v>
      </c>
      <c r="K871" s="2057"/>
      <c r="L871" s="2057"/>
      <c r="M871" s="2057"/>
      <c r="N871" s="2076"/>
      <c r="O871" s="2076"/>
      <c r="P871" s="2076"/>
      <c r="Q871" s="1388"/>
      <c r="R871" s="1292"/>
      <c r="S871" s="2447">
        <v>1500000</v>
      </c>
      <c r="T871" s="2058" t="s">
        <v>37</v>
      </c>
      <c r="U871" s="2076"/>
      <c r="V871" s="2058">
        <v>1</v>
      </c>
      <c r="W871" s="2058" t="s">
        <v>763</v>
      </c>
      <c r="X871" s="2059" t="s">
        <v>38</v>
      </c>
      <c r="Y871" s="2448">
        <f>INT((V871*S871)/1000)</f>
        <v>1500</v>
      </c>
      <c r="Z871" s="1898">
        <f t="shared" si="129"/>
        <v>1500000</v>
      </c>
      <c r="AA871" s="427"/>
      <c r="AB871" s="427"/>
      <c r="AC871" s="192"/>
    </row>
    <row r="872" spans="1:29" ht="21.95" customHeight="1" thickBot="1">
      <c r="A872" s="2373"/>
      <c r="B872" s="2035"/>
      <c r="C872" s="3914" t="s">
        <v>77</v>
      </c>
      <c r="D872" s="3900"/>
      <c r="E872" s="3901"/>
      <c r="F872" s="2208">
        <f>F873+F943+F987+F996+F1005</f>
        <v>62307</v>
      </c>
      <c r="G872" s="2208">
        <f>G873+G943+G987+G996+G1005</f>
        <v>48507</v>
      </c>
      <c r="H872" s="1351">
        <f>F872-G872</f>
        <v>13800</v>
      </c>
      <c r="I872" s="634"/>
      <c r="J872" s="2393"/>
      <c r="K872" s="2364"/>
      <c r="L872" s="2365"/>
      <c r="M872" s="2365"/>
      <c r="N872" s="2365"/>
      <c r="O872" s="2365"/>
      <c r="P872" s="2365"/>
      <c r="Q872" s="2365"/>
      <c r="R872" s="2367"/>
      <c r="S872" s="2365"/>
      <c r="T872" s="2365"/>
      <c r="U872" s="2365"/>
      <c r="V872" s="2365"/>
      <c r="W872" s="2365"/>
      <c r="X872" s="2394"/>
      <c r="Y872" s="1355"/>
      <c r="Z872" s="2395"/>
      <c r="AA872" s="427"/>
      <c r="AB872" s="427"/>
      <c r="AC872" s="192"/>
    </row>
    <row r="873" spans="1:29" ht="21.95" customHeight="1">
      <c r="A873" s="481" t="s">
        <v>20</v>
      </c>
      <c r="B873" s="2013"/>
      <c r="C873" s="3915" t="s">
        <v>1278</v>
      </c>
      <c r="D873" s="3915"/>
      <c r="E873" s="3916"/>
      <c r="F873" s="2358">
        <f>F874+F890+F897</f>
        <v>62307</v>
      </c>
      <c r="G873" s="2358">
        <f>G874+G890+G897</f>
        <v>48507</v>
      </c>
      <c r="H873" s="495">
        <f>+F873-G873</f>
        <v>13800</v>
      </c>
      <c r="I873" s="634"/>
      <c r="J873" s="2396"/>
      <c r="K873" s="2065"/>
      <c r="L873" s="1359"/>
      <c r="M873" s="1359"/>
      <c r="N873" s="1359"/>
      <c r="O873" s="1359"/>
      <c r="P873" s="1359"/>
      <c r="Q873" s="1359"/>
      <c r="R873" s="1360"/>
      <c r="S873" s="1359"/>
      <c r="T873" s="1359"/>
      <c r="U873" s="1359"/>
      <c r="V873" s="1359"/>
      <c r="W873" s="1359"/>
      <c r="X873" s="1359"/>
      <c r="Y873" s="478"/>
      <c r="Z873" s="2405"/>
      <c r="AA873" s="427"/>
      <c r="AB873" s="427"/>
      <c r="AC873" s="192"/>
    </row>
    <row r="874" spans="1:29" ht="21.95" customHeight="1">
      <c r="A874" s="2079"/>
      <c r="B874" s="2035"/>
      <c r="C874" s="631"/>
      <c r="D874" s="3825" t="s">
        <v>1277</v>
      </c>
      <c r="E874" s="3826"/>
      <c r="F874" s="2351">
        <f>SUM(F875:F889)</f>
        <v>30000</v>
      </c>
      <c r="G874" s="2351">
        <f>SUM(G875:G889)</f>
        <v>30000</v>
      </c>
      <c r="H874" s="2021">
        <f>+F874-G874</f>
        <v>0</v>
      </c>
      <c r="I874" s="634"/>
      <c r="J874" s="514"/>
      <c r="K874" s="515"/>
      <c r="L874" s="515"/>
      <c r="M874" s="515"/>
      <c r="N874" s="515"/>
      <c r="O874" s="515"/>
      <c r="P874" s="516"/>
      <c r="Q874" s="515"/>
      <c r="R874" s="516"/>
      <c r="S874" s="515"/>
      <c r="T874" s="516"/>
      <c r="U874" s="515"/>
      <c r="V874" s="516"/>
      <c r="W874" s="515"/>
      <c r="X874" s="515"/>
      <c r="Y874" s="478"/>
      <c r="Z874" s="518"/>
      <c r="AA874" s="427"/>
      <c r="AB874" s="427"/>
      <c r="AC874" s="192"/>
    </row>
    <row r="875" spans="1:29" ht="21.95" customHeight="1">
      <c r="A875" s="2079"/>
      <c r="B875" s="2035"/>
      <c r="C875" s="631"/>
      <c r="D875" s="632"/>
      <c r="E875" s="624" t="s">
        <v>975</v>
      </c>
      <c r="F875" s="633">
        <f t="shared" ref="F875:F883" si="132">Y875</f>
        <v>11000</v>
      </c>
      <c r="G875" s="633">
        <v>11000</v>
      </c>
      <c r="H875" s="470"/>
      <c r="I875" s="634"/>
      <c r="J875" s="472" t="s">
        <v>768</v>
      </c>
      <c r="K875" s="473"/>
      <c r="L875" s="473"/>
      <c r="M875" s="473"/>
      <c r="N875" s="474"/>
      <c r="O875" s="474"/>
      <c r="P875" s="473"/>
      <c r="Q875" s="475"/>
      <c r="R875" s="473"/>
      <c r="S875" s="474"/>
      <c r="T875" s="473"/>
      <c r="U875" s="473"/>
      <c r="V875" s="473"/>
      <c r="W875" s="473"/>
      <c r="X875" s="473"/>
      <c r="Y875" s="483">
        <f>+Y876+Y877</f>
        <v>11000</v>
      </c>
      <c r="Z875" s="1341">
        <f>+Z876+Z877</f>
        <v>11000000</v>
      </c>
      <c r="AA875" s="427"/>
      <c r="AB875" s="427"/>
      <c r="AC875" s="192"/>
    </row>
    <row r="876" spans="1:29" ht="21.95" customHeight="1">
      <c r="A876" s="2079"/>
      <c r="B876" s="2035"/>
      <c r="C876" s="631"/>
      <c r="D876" s="632"/>
      <c r="E876" s="624"/>
      <c r="F876" s="633"/>
      <c r="G876" s="633"/>
      <c r="H876" s="470"/>
      <c r="I876" s="634"/>
      <c r="J876" s="472" t="s">
        <v>1258</v>
      </c>
      <c r="K876" s="473"/>
      <c r="L876" s="473"/>
      <c r="M876" s="473"/>
      <c r="N876" s="474"/>
      <c r="O876" s="474"/>
      <c r="P876" s="473"/>
      <c r="Q876" s="475"/>
      <c r="R876" s="473"/>
      <c r="S876" s="474">
        <v>10000</v>
      </c>
      <c r="T876" s="473" t="s">
        <v>0</v>
      </c>
      <c r="U876" s="473"/>
      <c r="V876" s="473">
        <v>300</v>
      </c>
      <c r="W876" s="473" t="s">
        <v>676</v>
      </c>
      <c r="X876" s="473" t="s">
        <v>1</v>
      </c>
      <c r="Y876" s="483">
        <f>Z876/1000</f>
        <v>3000</v>
      </c>
      <c r="Z876" s="1341">
        <f>S876*V876</f>
        <v>3000000</v>
      </c>
      <c r="AA876" s="427"/>
      <c r="AB876" s="427"/>
      <c r="AC876" s="192"/>
    </row>
    <row r="877" spans="1:29" ht="21.95" customHeight="1">
      <c r="A877" s="2079"/>
      <c r="B877" s="2035"/>
      <c r="C877" s="631"/>
      <c r="D877" s="632"/>
      <c r="E877" s="624"/>
      <c r="F877" s="633"/>
      <c r="G877" s="633"/>
      <c r="H877" s="470"/>
      <c r="I877" s="634"/>
      <c r="J877" s="472" t="s">
        <v>1530</v>
      </c>
      <c r="K877" s="473"/>
      <c r="L877" s="473"/>
      <c r="M877" s="473"/>
      <c r="N877" s="474"/>
      <c r="O877" s="474"/>
      <c r="P877" s="473"/>
      <c r="Q877" s="475"/>
      <c r="R877" s="473"/>
      <c r="S877" s="474">
        <v>20000</v>
      </c>
      <c r="T877" s="473" t="s">
        <v>0</v>
      </c>
      <c r="U877" s="473"/>
      <c r="V877" s="473">
        <v>400</v>
      </c>
      <c r="W877" s="473" t="s">
        <v>676</v>
      </c>
      <c r="X877" s="473" t="s">
        <v>1</v>
      </c>
      <c r="Y877" s="483">
        <f>Z877/1000</f>
        <v>8000</v>
      </c>
      <c r="Z877" s="1341">
        <f>S877*V877</f>
        <v>8000000</v>
      </c>
      <c r="AA877" s="427"/>
      <c r="AB877" s="427"/>
      <c r="AC877" s="192"/>
    </row>
    <row r="878" spans="1:29" ht="21.95" customHeight="1">
      <c r="A878" s="2079"/>
      <c r="B878" s="2035"/>
      <c r="C878" s="624"/>
      <c r="D878" s="2020"/>
      <c r="E878" s="561" t="s">
        <v>934</v>
      </c>
      <c r="F878" s="593">
        <f>Y878</f>
        <v>800</v>
      </c>
      <c r="G878" s="593">
        <v>800</v>
      </c>
      <c r="H878" s="643"/>
      <c r="I878" s="2014"/>
      <c r="J878" s="2091" t="s">
        <v>1701</v>
      </c>
      <c r="K878" s="2082"/>
      <c r="L878" s="2082"/>
      <c r="M878" s="2082"/>
      <c r="N878" s="2075"/>
      <c r="O878" s="2075"/>
      <c r="P878" s="2075"/>
      <c r="Q878" s="556"/>
      <c r="R878" s="2080"/>
      <c r="S878" s="474">
        <v>200000</v>
      </c>
      <c r="T878" s="473" t="s">
        <v>0</v>
      </c>
      <c r="U878" s="473"/>
      <c r="V878" s="473">
        <v>4</v>
      </c>
      <c r="W878" s="473" t="s">
        <v>39</v>
      </c>
      <c r="X878" s="473" t="s">
        <v>1</v>
      </c>
      <c r="Y878" s="483">
        <f>+Z878/1000</f>
        <v>800</v>
      </c>
      <c r="Z878" s="1341">
        <f>+S878*V878</f>
        <v>800000</v>
      </c>
      <c r="AA878" s="427"/>
      <c r="AB878" s="427"/>
      <c r="AC878" s="192"/>
    </row>
    <row r="879" spans="1:29" ht="21.95" customHeight="1">
      <c r="A879" s="2079"/>
      <c r="B879" s="2035"/>
      <c r="C879" s="631"/>
      <c r="D879" s="2013"/>
      <c r="E879" s="624" t="s">
        <v>687</v>
      </c>
      <c r="F879" s="633">
        <f t="shared" si="132"/>
        <v>3000</v>
      </c>
      <c r="G879" s="633">
        <v>3000</v>
      </c>
      <c r="H879" s="470"/>
      <c r="I879" s="634"/>
      <c r="J879" s="472" t="s">
        <v>1321</v>
      </c>
      <c r="K879" s="473"/>
      <c r="L879" s="473"/>
      <c r="M879" s="473"/>
      <c r="N879" s="474"/>
      <c r="O879" s="474"/>
      <c r="P879" s="473"/>
      <c r="Q879" s="475">
        <v>3</v>
      </c>
      <c r="R879" s="473" t="s">
        <v>25</v>
      </c>
      <c r="S879" s="474">
        <v>100000</v>
      </c>
      <c r="T879" s="473" t="s">
        <v>0</v>
      </c>
      <c r="U879" s="473"/>
      <c r="V879" s="473">
        <v>10</v>
      </c>
      <c r="W879" s="473" t="s">
        <v>830</v>
      </c>
      <c r="X879" s="473" t="s">
        <v>1</v>
      </c>
      <c r="Y879" s="483">
        <f>+Z879/1000</f>
        <v>3000</v>
      </c>
      <c r="Z879" s="1341">
        <f>+Q879*S879*V879</f>
        <v>3000000</v>
      </c>
      <c r="AA879" s="427"/>
      <c r="AB879" s="427"/>
      <c r="AC879" s="192"/>
    </row>
    <row r="880" spans="1:29" ht="21.95" customHeight="1">
      <c r="A880" s="2079"/>
      <c r="B880" s="2035"/>
      <c r="C880" s="631"/>
      <c r="D880" s="2035"/>
      <c r="E880" s="624" t="s">
        <v>931</v>
      </c>
      <c r="F880" s="633">
        <f>+Y880</f>
        <v>6100</v>
      </c>
      <c r="G880" s="633">
        <v>6100</v>
      </c>
      <c r="H880" s="470"/>
      <c r="I880" s="634"/>
      <c r="J880" s="472" t="s">
        <v>768</v>
      </c>
      <c r="K880" s="473"/>
      <c r="L880" s="473"/>
      <c r="M880" s="473"/>
      <c r="N880" s="474"/>
      <c r="O880" s="474"/>
      <c r="P880" s="473"/>
      <c r="Q880" s="475"/>
      <c r="R880" s="473"/>
      <c r="S880" s="474"/>
      <c r="T880" s="473"/>
      <c r="U880" s="473"/>
      <c r="V880" s="473"/>
      <c r="W880" s="473"/>
      <c r="X880" s="473"/>
      <c r="Y880" s="483">
        <f>+Y881+Y882</f>
        <v>6100</v>
      </c>
      <c r="Z880" s="1341">
        <f>+Z881+Z882</f>
        <v>6100000</v>
      </c>
      <c r="AA880" s="427"/>
      <c r="AB880" s="427"/>
      <c r="AC880" s="192"/>
    </row>
    <row r="881" spans="1:29" ht="21.95" customHeight="1">
      <c r="A881" s="2079"/>
      <c r="B881" s="2035"/>
      <c r="C881" s="631"/>
      <c r="D881" s="2035"/>
      <c r="E881" s="2015"/>
      <c r="F881" s="633"/>
      <c r="G881" s="633"/>
      <c r="H881" s="470"/>
      <c r="I881" s="634"/>
      <c r="J881" s="472" t="s">
        <v>1254</v>
      </c>
      <c r="K881" s="473"/>
      <c r="L881" s="473"/>
      <c r="M881" s="473"/>
      <c r="N881" s="474"/>
      <c r="O881" s="474"/>
      <c r="P881" s="473"/>
      <c r="Q881" s="475">
        <v>3</v>
      </c>
      <c r="R881" s="473" t="s">
        <v>25</v>
      </c>
      <c r="S881" s="474">
        <v>300000</v>
      </c>
      <c r="T881" s="473" t="s">
        <v>0</v>
      </c>
      <c r="U881" s="473"/>
      <c r="V881" s="473">
        <v>5</v>
      </c>
      <c r="W881" s="473" t="s">
        <v>39</v>
      </c>
      <c r="X881" s="473" t="s">
        <v>1</v>
      </c>
      <c r="Y881" s="483">
        <f>Z881/1000</f>
        <v>4500</v>
      </c>
      <c r="Z881" s="1341">
        <f>Q881*S881*V881</f>
        <v>4500000</v>
      </c>
      <c r="AA881" s="427"/>
      <c r="AB881" s="427"/>
      <c r="AC881" s="192"/>
    </row>
    <row r="882" spans="1:29" ht="21.95" customHeight="1">
      <c r="A882" s="2079"/>
      <c r="B882" s="2035"/>
      <c r="C882" s="631"/>
      <c r="D882" s="2035"/>
      <c r="E882" s="624"/>
      <c r="F882" s="633"/>
      <c r="G882" s="633"/>
      <c r="H882" s="470"/>
      <c r="I882" s="634"/>
      <c r="J882" s="472" t="s">
        <v>1255</v>
      </c>
      <c r="K882" s="473"/>
      <c r="L882" s="473"/>
      <c r="M882" s="473"/>
      <c r="N882" s="474"/>
      <c r="O882" s="474"/>
      <c r="P882" s="473"/>
      <c r="Q882" s="475">
        <v>2</v>
      </c>
      <c r="R882" s="473" t="s">
        <v>25</v>
      </c>
      <c r="S882" s="474">
        <v>80000</v>
      </c>
      <c r="T882" s="473" t="s">
        <v>0</v>
      </c>
      <c r="U882" s="473"/>
      <c r="V882" s="473">
        <v>10</v>
      </c>
      <c r="W882" s="473" t="s">
        <v>24</v>
      </c>
      <c r="X882" s="473" t="s">
        <v>1</v>
      </c>
      <c r="Y882" s="483">
        <f>Z882/1000</f>
        <v>1600</v>
      </c>
      <c r="Z882" s="1341">
        <f>Q882*S882*V882</f>
        <v>1600000</v>
      </c>
      <c r="AA882" s="427"/>
      <c r="AB882" s="427"/>
      <c r="AC882" s="192"/>
    </row>
    <row r="883" spans="1:29" ht="21.95" customHeight="1">
      <c r="A883" s="2079"/>
      <c r="B883" s="2035"/>
      <c r="C883" s="631"/>
      <c r="D883" s="2035"/>
      <c r="E883" s="624" t="s">
        <v>1098</v>
      </c>
      <c r="F883" s="633">
        <f t="shared" si="132"/>
        <v>1500</v>
      </c>
      <c r="G883" s="633">
        <v>1500</v>
      </c>
      <c r="H883" s="470"/>
      <c r="I883" s="634"/>
      <c r="J883" s="472" t="s">
        <v>1702</v>
      </c>
      <c r="K883" s="473"/>
      <c r="L883" s="473"/>
      <c r="M883" s="473"/>
      <c r="N883" s="474"/>
      <c r="O883" s="474"/>
      <c r="P883" s="473"/>
      <c r="Q883" s="475"/>
      <c r="R883" s="473"/>
      <c r="S883" s="474">
        <v>1500000</v>
      </c>
      <c r="T883" s="473" t="s">
        <v>0</v>
      </c>
      <c r="U883" s="473"/>
      <c r="V883" s="473">
        <v>1</v>
      </c>
      <c r="W883" s="473" t="s">
        <v>763</v>
      </c>
      <c r="X883" s="473" t="s">
        <v>1</v>
      </c>
      <c r="Y883" s="483">
        <f>Z883/1000</f>
        <v>1500</v>
      </c>
      <c r="Z883" s="1341">
        <f>S883*V883</f>
        <v>1500000</v>
      </c>
      <c r="AA883" s="427"/>
      <c r="AB883" s="427"/>
      <c r="AC883" s="192"/>
    </row>
    <row r="884" spans="1:29" ht="21.95" customHeight="1">
      <c r="A884" s="2079"/>
      <c r="B884" s="2035"/>
      <c r="C884" s="631"/>
      <c r="D884" s="2035"/>
      <c r="E884" s="624" t="s">
        <v>671</v>
      </c>
      <c r="F884" s="633">
        <f>Y884</f>
        <v>1500</v>
      </c>
      <c r="G884" s="633">
        <v>1500</v>
      </c>
      <c r="H884" s="470"/>
      <c r="I884" s="634"/>
      <c r="J884" s="472" t="s">
        <v>1703</v>
      </c>
      <c r="K884" s="473"/>
      <c r="L884" s="473"/>
      <c r="M884" s="473"/>
      <c r="N884" s="474"/>
      <c r="O884" s="474"/>
      <c r="P884" s="473"/>
      <c r="Q884" s="475"/>
      <c r="R884" s="473"/>
      <c r="S884" s="474">
        <v>300000</v>
      </c>
      <c r="T884" s="473" t="s">
        <v>0</v>
      </c>
      <c r="U884" s="473"/>
      <c r="V884" s="473">
        <v>5</v>
      </c>
      <c r="W884" s="473" t="s">
        <v>39</v>
      </c>
      <c r="X884" s="473" t="s">
        <v>1</v>
      </c>
      <c r="Y884" s="483">
        <f>+Z884/1000</f>
        <v>1500</v>
      </c>
      <c r="Z884" s="1341">
        <f>+S884*V884</f>
        <v>1500000</v>
      </c>
      <c r="AA884" s="427"/>
      <c r="AB884" s="427"/>
      <c r="AC884" s="192"/>
    </row>
    <row r="885" spans="1:29" ht="21.95" customHeight="1">
      <c r="A885" s="636"/>
      <c r="B885" s="2035"/>
      <c r="C885" s="631"/>
      <c r="D885" s="2035"/>
      <c r="E885" s="624" t="s">
        <v>883</v>
      </c>
      <c r="F885" s="633">
        <f>Y885</f>
        <v>800</v>
      </c>
      <c r="G885" s="633">
        <v>800</v>
      </c>
      <c r="H885" s="470"/>
      <c r="I885" s="634"/>
      <c r="J885" s="472" t="s">
        <v>1704</v>
      </c>
      <c r="K885" s="473"/>
      <c r="L885" s="473"/>
      <c r="M885" s="473"/>
      <c r="N885" s="474"/>
      <c r="O885" s="474"/>
      <c r="P885" s="473"/>
      <c r="Q885" s="475"/>
      <c r="R885" s="473"/>
      <c r="S885" s="474">
        <v>80000</v>
      </c>
      <c r="T885" s="473" t="s">
        <v>0</v>
      </c>
      <c r="U885" s="473"/>
      <c r="V885" s="473">
        <v>10</v>
      </c>
      <c r="W885" s="473" t="s">
        <v>657</v>
      </c>
      <c r="X885" s="473" t="s">
        <v>1</v>
      </c>
      <c r="Y885" s="483">
        <f>Z885/1000</f>
        <v>800</v>
      </c>
      <c r="Z885" s="1341">
        <f>S885*V885</f>
        <v>800000</v>
      </c>
      <c r="AA885" s="427"/>
      <c r="AB885" s="427"/>
      <c r="AC885" s="192"/>
    </row>
    <row r="886" spans="1:29" ht="21.95" customHeight="1">
      <c r="A886" s="2079"/>
      <c r="B886" s="2035"/>
      <c r="C886" s="631"/>
      <c r="D886" s="2035"/>
      <c r="E886" s="624" t="s">
        <v>686</v>
      </c>
      <c r="F886" s="633">
        <f>+Y886</f>
        <v>1500</v>
      </c>
      <c r="G886" s="633">
        <v>1500</v>
      </c>
      <c r="H886" s="470"/>
      <c r="I886" s="634"/>
      <c r="J886" s="472" t="s">
        <v>1705</v>
      </c>
      <c r="K886" s="473"/>
      <c r="L886" s="473"/>
      <c r="M886" s="473"/>
      <c r="N886" s="474"/>
      <c r="O886" s="474"/>
      <c r="P886" s="473"/>
      <c r="Q886" s="475"/>
      <c r="R886" s="473"/>
      <c r="S886" s="474">
        <v>300000</v>
      </c>
      <c r="T886" s="473" t="s">
        <v>0</v>
      </c>
      <c r="U886" s="473"/>
      <c r="V886" s="473">
        <v>5</v>
      </c>
      <c r="W886" s="473" t="s">
        <v>39</v>
      </c>
      <c r="X886" s="473" t="s">
        <v>1</v>
      </c>
      <c r="Y886" s="483">
        <f t="shared" ref="Y886" si="133">+Z886/1000</f>
        <v>1500</v>
      </c>
      <c r="Z886" s="1341">
        <f t="shared" ref="Z886" si="134">+S886*V886</f>
        <v>1500000</v>
      </c>
      <c r="AA886" s="427"/>
      <c r="AB886" s="427"/>
      <c r="AC886" s="192"/>
    </row>
    <row r="887" spans="1:29" ht="21.95" customHeight="1">
      <c r="A887" s="636"/>
      <c r="B887" s="2035"/>
      <c r="C887" s="631"/>
      <c r="D887" s="2035"/>
      <c r="E887" s="624" t="s">
        <v>942</v>
      </c>
      <c r="F887" s="633">
        <f>Y887</f>
        <v>3800</v>
      </c>
      <c r="G887" s="633">
        <v>3800</v>
      </c>
      <c r="H887" s="470"/>
      <c r="I887" s="634"/>
      <c r="J887" s="472" t="s">
        <v>768</v>
      </c>
      <c r="K887" s="473"/>
      <c r="L887" s="473"/>
      <c r="M887" s="473"/>
      <c r="N887" s="474"/>
      <c r="O887" s="474"/>
      <c r="P887" s="473"/>
      <c r="Q887" s="475"/>
      <c r="R887" s="473"/>
      <c r="S887" s="474"/>
      <c r="T887" s="473"/>
      <c r="U887" s="473"/>
      <c r="V887" s="473"/>
      <c r="W887" s="473"/>
      <c r="X887" s="473"/>
      <c r="Y887" s="483">
        <f>+Y888+Y889</f>
        <v>3800</v>
      </c>
      <c r="Z887" s="1341">
        <f>+Z888+Z889</f>
        <v>3800000</v>
      </c>
      <c r="AA887" s="427"/>
      <c r="AB887" s="427"/>
      <c r="AC887" s="192"/>
    </row>
    <row r="888" spans="1:29" ht="21.95" customHeight="1">
      <c r="A888" s="636"/>
      <c r="B888" s="2035"/>
      <c r="C888" s="631"/>
      <c r="D888" s="2035"/>
      <c r="E888" s="624"/>
      <c r="F888" s="633"/>
      <c r="G888" s="633"/>
      <c r="H888" s="470"/>
      <c r="I888" s="634"/>
      <c r="J888" s="472" t="s">
        <v>1256</v>
      </c>
      <c r="K888" s="473"/>
      <c r="L888" s="473"/>
      <c r="M888" s="473"/>
      <c r="N888" s="474"/>
      <c r="O888" s="474"/>
      <c r="P888" s="473"/>
      <c r="Q888" s="475">
        <v>10</v>
      </c>
      <c r="R888" s="473" t="s">
        <v>25</v>
      </c>
      <c r="S888" s="474">
        <v>20000</v>
      </c>
      <c r="T888" s="473" t="s">
        <v>0</v>
      </c>
      <c r="U888" s="473"/>
      <c r="V888" s="473">
        <v>10</v>
      </c>
      <c r="W888" s="473" t="s">
        <v>39</v>
      </c>
      <c r="X888" s="473" t="s">
        <v>1</v>
      </c>
      <c r="Y888" s="483">
        <f>Z888/1000</f>
        <v>2000</v>
      </c>
      <c r="Z888" s="1341">
        <f>Q888*S888*V888</f>
        <v>2000000</v>
      </c>
      <c r="AA888" s="427"/>
      <c r="AB888" s="427"/>
      <c r="AC888" s="192"/>
    </row>
    <row r="889" spans="1:29" ht="21.95" customHeight="1">
      <c r="A889" s="636"/>
      <c r="B889" s="2035"/>
      <c r="C889" s="631"/>
      <c r="D889" s="2035"/>
      <c r="E889" s="624"/>
      <c r="F889" s="633"/>
      <c r="G889" s="633"/>
      <c r="H889" s="470"/>
      <c r="I889" s="634"/>
      <c r="J889" s="472" t="s">
        <v>1257</v>
      </c>
      <c r="K889" s="473"/>
      <c r="L889" s="473"/>
      <c r="M889" s="473"/>
      <c r="N889" s="474"/>
      <c r="O889" s="474"/>
      <c r="P889" s="473"/>
      <c r="Q889" s="475">
        <v>30</v>
      </c>
      <c r="R889" s="473" t="s">
        <v>25</v>
      </c>
      <c r="S889" s="474">
        <v>20000</v>
      </c>
      <c r="T889" s="473" t="s">
        <v>0</v>
      </c>
      <c r="U889" s="473"/>
      <c r="V889" s="473">
        <v>3</v>
      </c>
      <c r="W889" s="473" t="s">
        <v>39</v>
      </c>
      <c r="X889" s="473" t="s">
        <v>1</v>
      </c>
      <c r="Y889" s="483">
        <f>Z889/1000</f>
        <v>1800</v>
      </c>
      <c r="Z889" s="1341">
        <f>Q889*S889*V889</f>
        <v>1800000</v>
      </c>
      <c r="AA889" s="427"/>
      <c r="AB889" s="427"/>
      <c r="AC889" s="192"/>
    </row>
    <row r="890" spans="1:29" ht="21.95" customHeight="1">
      <c r="A890" s="2079"/>
      <c r="B890" s="2035"/>
      <c r="C890" s="631"/>
      <c r="D890" s="3825" t="s">
        <v>1977</v>
      </c>
      <c r="E890" s="3826"/>
      <c r="F890" s="2351">
        <f>SUM(F891:F896)</f>
        <v>18507</v>
      </c>
      <c r="G890" s="2351">
        <f>SUM(G891:G896)</f>
        <v>18507</v>
      </c>
      <c r="H890" s="2021">
        <f>+F890-G890</f>
        <v>0</v>
      </c>
      <c r="I890" s="634"/>
      <c r="J890" s="514"/>
      <c r="K890" s="515"/>
      <c r="L890" s="515"/>
      <c r="M890" s="515"/>
      <c r="N890" s="515"/>
      <c r="O890" s="515"/>
      <c r="P890" s="516"/>
      <c r="Q890" s="515"/>
      <c r="R890" s="516"/>
      <c r="S890" s="515"/>
      <c r="T890" s="516"/>
      <c r="U890" s="515"/>
      <c r="V890" s="516"/>
      <c r="W890" s="515"/>
      <c r="X890" s="515"/>
      <c r="Y890" s="517"/>
      <c r="Z890" s="518"/>
      <c r="AA890" s="427"/>
      <c r="AB890" s="427"/>
      <c r="AC890" s="192"/>
    </row>
    <row r="891" spans="1:29" ht="21.95" customHeight="1">
      <c r="A891" s="2079"/>
      <c r="B891" s="2035"/>
      <c r="C891" s="624"/>
      <c r="D891" s="2020"/>
      <c r="E891" s="624" t="s">
        <v>975</v>
      </c>
      <c r="F891" s="633">
        <f t="shared" ref="F891:F896" si="135">Y891</f>
        <v>5500</v>
      </c>
      <c r="G891" s="633">
        <v>5500</v>
      </c>
      <c r="H891" s="470"/>
      <c r="I891" s="634"/>
      <c r="J891" s="472" t="s">
        <v>1702</v>
      </c>
      <c r="K891" s="473" t="s">
        <v>3439</v>
      </c>
      <c r="L891" s="473"/>
      <c r="M891" s="473"/>
      <c r="N891" s="474"/>
      <c r="O891" s="474"/>
      <c r="P891" s="473"/>
      <c r="Q891" s="475"/>
      <c r="R891" s="473"/>
      <c r="S891" s="474">
        <v>27500</v>
      </c>
      <c r="T891" s="473" t="s">
        <v>0</v>
      </c>
      <c r="U891" s="473"/>
      <c r="V891" s="3107">
        <v>200</v>
      </c>
      <c r="W891" s="3107" t="s">
        <v>254</v>
      </c>
      <c r="X891" s="473" t="s">
        <v>1</v>
      </c>
      <c r="Y891" s="3110">
        <f>Z891/1000</f>
        <v>5500</v>
      </c>
      <c r="Z891" s="1341">
        <f>S891*V891</f>
        <v>5500000</v>
      </c>
      <c r="AA891" s="427"/>
      <c r="AB891" s="427"/>
      <c r="AC891" s="192"/>
    </row>
    <row r="892" spans="1:29" ht="21.95" customHeight="1">
      <c r="A892" s="2079"/>
      <c r="B892" s="2035"/>
      <c r="C892" s="631"/>
      <c r="D892" s="2035"/>
      <c r="E892" s="624" t="s">
        <v>2374</v>
      </c>
      <c r="F892" s="633">
        <f t="shared" si="135"/>
        <v>1851</v>
      </c>
      <c r="G892" s="633">
        <v>1851</v>
      </c>
      <c r="H892" s="470"/>
      <c r="I892" s="634"/>
      <c r="J892" s="472" t="s">
        <v>1702</v>
      </c>
      <c r="K892" s="473" t="s">
        <v>2576</v>
      </c>
      <c r="L892" s="473"/>
      <c r="M892" s="473"/>
      <c r="N892" s="474"/>
      <c r="O892" s="474"/>
      <c r="P892" s="473"/>
      <c r="Q892" s="475"/>
      <c r="R892" s="473"/>
      <c r="S892" s="474">
        <v>18510000</v>
      </c>
      <c r="T892" s="473" t="s">
        <v>0</v>
      </c>
      <c r="U892" s="473"/>
      <c r="V892" s="2434">
        <v>0.1</v>
      </c>
      <c r="W892" s="3385"/>
      <c r="X892" s="473" t="s">
        <v>1</v>
      </c>
      <c r="Y892" s="3110">
        <f>Z892/1000</f>
        <v>1851</v>
      </c>
      <c r="Z892" s="1341">
        <f>S892*V892</f>
        <v>1851000</v>
      </c>
      <c r="AA892" s="427"/>
      <c r="AB892" s="427"/>
      <c r="AC892" s="192"/>
    </row>
    <row r="893" spans="1:29" ht="21.95" customHeight="1">
      <c r="A893" s="2079"/>
      <c r="B893" s="2035"/>
      <c r="C893" s="631"/>
      <c r="D893" s="2035"/>
      <c r="E893" s="624" t="s">
        <v>934</v>
      </c>
      <c r="F893" s="633">
        <f t="shared" si="135"/>
        <v>66</v>
      </c>
      <c r="G893" s="633">
        <v>66</v>
      </c>
      <c r="H893" s="551"/>
      <c r="I893" s="634"/>
      <c r="J893" s="472" t="s">
        <v>768</v>
      </c>
      <c r="K893" s="473" t="s">
        <v>3443</v>
      </c>
      <c r="L893" s="473"/>
      <c r="M893" s="473"/>
      <c r="N893" s="474"/>
      <c r="O893" s="474"/>
      <c r="P893" s="473"/>
      <c r="Q893" s="475"/>
      <c r="R893" s="473"/>
      <c r="S893" s="474">
        <v>66000</v>
      </c>
      <c r="T893" s="473" t="s">
        <v>0</v>
      </c>
      <c r="U893" s="473"/>
      <c r="V893" s="473">
        <v>1</v>
      </c>
      <c r="W893" s="473" t="s">
        <v>763</v>
      </c>
      <c r="X893" s="473" t="s">
        <v>1</v>
      </c>
      <c r="Y893" s="483">
        <f>+Z893/1000</f>
        <v>66</v>
      </c>
      <c r="Z893" s="1341">
        <f>+S893*V893</f>
        <v>66000</v>
      </c>
      <c r="AA893" s="427"/>
      <c r="AB893" s="427"/>
      <c r="AC893" s="192"/>
    </row>
    <row r="894" spans="1:29" ht="21.95" customHeight="1">
      <c r="A894" s="2079"/>
      <c r="B894" s="2035"/>
      <c r="C894" s="631"/>
      <c r="D894" s="2035"/>
      <c r="E894" s="624" t="s">
        <v>928</v>
      </c>
      <c r="F894" s="633">
        <f t="shared" si="135"/>
        <v>260</v>
      </c>
      <c r="G894" s="633">
        <v>260</v>
      </c>
      <c r="H894" s="551"/>
      <c r="I894" s="634"/>
      <c r="J894" s="472" t="s">
        <v>1705</v>
      </c>
      <c r="K894" s="473" t="s">
        <v>3442</v>
      </c>
      <c r="L894" s="473"/>
      <c r="M894" s="473"/>
      <c r="N894" s="474"/>
      <c r="O894" s="474"/>
      <c r="P894" s="473"/>
      <c r="Q894" s="473">
        <v>2</v>
      </c>
      <c r="R894" s="473" t="s">
        <v>929</v>
      </c>
      <c r="S894" s="473">
        <v>130000</v>
      </c>
      <c r="T894" s="473" t="s">
        <v>0</v>
      </c>
      <c r="U894" s="473"/>
      <c r="V894" s="473">
        <v>1</v>
      </c>
      <c r="W894" s="473" t="s">
        <v>830</v>
      </c>
      <c r="X894" s="473" t="s">
        <v>1</v>
      </c>
      <c r="Y894" s="483">
        <v>260</v>
      </c>
      <c r="Z894" s="1341">
        <v>260000</v>
      </c>
      <c r="AA894" s="427"/>
      <c r="AB894" s="427"/>
      <c r="AC894" s="192"/>
    </row>
    <row r="895" spans="1:29" ht="21.95" customHeight="1">
      <c r="A895" s="2079"/>
      <c r="B895" s="2035"/>
      <c r="C895" s="631"/>
      <c r="D895" s="632"/>
      <c r="E895" s="624" t="s">
        <v>931</v>
      </c>
      <c r="F895" s="633">
        <f t="shared" si="135"/>
        <v>10500</v>
      </c>
      <c r="G895" s="633">
        <v>10500</v>
      </c>
      <c r="H895" s="551"/>
      <c r="I895" s="634"/>
      <c r="J895" s="472" t="s">
        <v>768</v>
      </c>
      <c r="K895" s="473" t="s">
        <v>3438</v>
      </c>
      <c r="L895" s="473"/>
      <c r="M895" s="473"/>
      <c r="N895" s="474"/>
      <c r="O895" s="474"/>
      <c r="P895" s="473"/>
      <c r="Q895" s="475">
        <v>5</v>
      </c>
      <c r="R895" s="473" t="s">
        <v>25</v>
      </c>
      <c r="S895" s="474">
        <v>10000</v>
      </c>
      <c r="T895" s="473" t="s">
        <v>0</v>
      </c>
      <c r="U895" s="473"/>
      <c r="V895" s="473">
        <v>210</v>
      </c>
      <c r="W895" s="473" t="s">
        <v>2773</v>
      </c>
      <c r="X895" s="473" t="s">
        <v>1</v>
      </c>
      <c r="Y895" s="483">
        <v>10500</v>
      </c>
      <c r="Z895" s="1341">
        <v>10500000</v>
      </c>
      <c r="AA895" s="427"/>
      <c r="AB895" s="427"/>
      <c r="AC895" s="192"/>
    </row>
    <row r="896" spans="1:29" ht="21.95" customHeight="1">
      <c r="A896" s="2079"/>
      <c r="B896" s="2035"/>
      <c r="C896" s="624"/>
      <c r="D896" s="2020"/>
      <c r="E896" s="624" t="s">
        <v>943</v>
      </c>
      <c r="F896" s="633">
        <f t="shared" si="135"/>
        <v>330</v>
      </c>
      <c r="G896" s="633">
        <v>330</v>
      </c>
      <c r="H896" s="470"/>
      <c r="I896" s="634"/>
      <c r="J896" s="472" t="s">
        <v>1703</v>
      </c>
      <c r="K896" s="473" t="s">
        <v>3440</v>
      </c>
      <c r="L896" s="473"/>
      <c r="M896" s="473" t="s">
        <v>3441</v>
      </c>
      <c r="N896" s="474"/>
      <c r="O896" s="474"/>
      <c r="P896" s="473"/>
      <c r="Q896" s="475">
        <v>6</v>
      </c>
      <c r="R896" s="473" t="s">
        <v>25</v>
      </c>
      <c r="S896" s="474">
        <v>11000</v>
      </c>
      <c r="T896" s="473" t="s">
        <v>0</v>
      </c>
      <c r="U896" s="473"/>
      <c r="V896" s="473">
        <v>5</v>
      </c>
      <c r="W896" s="473" t="s">
        <v>39</v>
      </c>
      <c r="X896" s="473" t="s">
        <v>1</v>
      </c>
      <c r="Y896" s="483">
        <v>330</v>
      </c>
      <c r="Z896" s="1341">
        <v>330000</v>
      </c>
      <c r="AA896" s="427"/>
      <c r="AB896" s="427"/>
      <c r="AC896" s="192"/>
    </row>
    <row r="897" spans="1:29" ht="21.95" customHeight="1">
      <c r="A897" s="3419"/>
      <c r="B897" s="2035"/>
      <c r="C897" s="2075"/>
      <c r="D897" s="3825" t="s">
        <v>5495</v>
      </c>
      <c r="E897" s="3826"/>
      <c r="F897" s="2351">
        <f>SUM(F898:F906)</f>
        <v>13800</v>
      </c>
      <c r="G897" s="2351">
        <f>SUM(G898:G906)</f>
        <v>0</v>
      </c>
      <c r="H897" s="2021">
        <f>+F897-G897</f>
        <v>13800</v>
      </c>
      <c r="I897" s="634"/>
      <c r="J897" s="514"/>
      <c r="K897" s="515"/>
      <c r="L897" s="515"/>
      <c r="M897" s="515"/>
      <c r="N897" s="515"/>
      <c r="O897" s="515"/>
      <c r="P897" s="516"/>
      <c r="Q897" s="515"/>
      <c r="R897" s="516"/>
      <c r="S897" s="515"/>
      <c r="T897" s="516"/>
      <c r="U897" s="515"/>
      <c r="V897" s="516"/>
      <c r="W897" s="515"/>
      <c r="X897" s="515"/>
      <c r="Y897" s="517"/>
      <c r="Z897" s="518"/>
      <c r="AA897" s="427"/>
      <c r="AB897" s="427"/>
      <c r="AC897" s="192"/>
    </row>
    <row r="898" spans="1:29" s="566" customFormat="1" ht="21.95" customHeight="1">
      <c r="A898" s="3462"/>
      <c r="B898" s="2035"/>
      <c r="C898" s="2075"/>
      <c r="D898" s="632"/>
      <c r="E898" s="624" t="s">
        <v>229</v>
      </c>
      <c r="F898" s="633">
        <f t="shared" ref="F898" si="136">Y898</f>
        <v>6000</v>
      </c>
      <c r="G898" s="633"/>
      <c r="H898" s="470">
        <f>F898-G898</f>
        <v>6000</v>
      </c>
      <c r="I898" s="634"/>
      <c r="J898" s="3106" t="s">
        <v>5496</v>
      </c>
      <c r="K898" s="3107"/>
      <c r="L898" s="3107"/>
      <c r="M898" s="3107"/>
      <c r="N898" s="3108"/>
      <c r="O898" s="3108"/>
      <c r="P898" s="3107"/>
      <c r="Q898" s="3109"/>
      <c r="R898" s="3107"/>
      <c r="S898" s="3108">
        <v>6000</v>
      </c>
      <c r="T898" s="3107" t="s">
        <v>0</v>
      </c>
      <c r="U898" s="3107"/>
      <c r="V898" s="3107">
        <v>1000</v>
      </c>
      <c r="W898" s="3107" t="s">
        <v>254</v>
      </c>
      <c r="X898" s="3107" t="s">
        <v>1</v>
      </c>
      <c r="Y898" s="3110">
        <f>Z898/1000</f>
        <v>6000</v>
      </c>
      <c r="Z898" s="1341">
        <f>S898*V898</f>
        <v>6000000</v>
      </c>
      <c r="AA898" s="308"/>
      <c r="AB898" s="308"/>
      <c r="AC898" s="2678"/>
    </row>
    <row r="899" spans="1:29" s="566" customFormat="1" ht="21.95" customHeight="1">
      <c r="A899" s="3462"/>
      <c r="B899" s="2035"/>
      <c r="C899" s="2075"/>
      <c r="D899" s="2020"/>
      <c r="E899" s="561" t="s">
        <v>18</v>
      </c>
      <c r="F899" s="593">
        <f>Y899</f>
        <v>1254</v>
      </c>
      <c r="G899" s="593"/>
      <c r="H899" s="470">
        <f t="shared" ref="H899:H901" si="137">F899-G899</f>
        <v>1254</v>
      </c>
      <c r="I899" s="2014"/>
      <c r="J899" s="3452" t="s">
        <v>5497</v>
      </c>
      <c r="K899" s="3456"/>
      <c r="L899" s="3456"/>
      <c r="M899" s="3456"/>
      <c r="N899" s="2075"/>
      <c r="O899" s="2075"/>
      <c r="P899" s="2075"/>
      <c r="Q899" s="556"/>
      <c r="R899" s="3462"/>
      <c r="S899" s="3108">
        <v>12540000</v>
      </c>
      <c r="T899" s="3107" t="s">
        <v>0</v>
      </c>
      <c r="U899" s="3107"/>
      <c r="V899" s="2434">
        <v>0.1</v>
      </c>
      <c r="W899" s="3458"/>
      <c r="X899" s="3107" t="s">
        <v>1</v>
      </c>
      <c r="Y899" s="3110">
        <f>Z899/1000</f>
        <v>1254</v>
      </c>
      <c r="Z899" s="1341">
        <f>S899*V899</f>
        <v>1254000</v>
      </c>
      <c r="AA899" s="308"/>
      <c r="AB899" s="308"/>
      <c r="AC899" s="2678"/>
    </row>
    <row r="900" spans="1:29" s="566" customFormat="1" ht="21.95" customHeight="1">
      <c r="A900" s="3462"/>
      <c r="B900" s="2035"/>
      <c r="C900" s="2075"/>
      <c r="D900" s="2013"/>
      <c r="E900" s="624" t="s">
        <v>687</v>
      </c>
      <c r="F900" s="633">
        <f t="shared" ref="F900" si="138">Y900</f>
        <v>480</v>
      </c>
      <c r="G900" s="633"/>
      <c r="H900" s="470">
        <f t="shared" si="137"/>
        <v>480</v>
      </c>
      <c r="I900" s="634"/>
      <c r="J900" s="3106" t="s">
        <v>1321</v>
      </c>
      <c r="K900" s="3107"/>
      <c r="L900" s="3107"/>
      <c r="M900" s="3107"/>
      <c r="N900" s="3108"/>
      <c r="O900" s="3108"/>
      <c r="P900" s="3107"/>
      <c r="Q900" s="3109">
        <v>2</v>
      </c>
      <c r="R900" s="3107" t="s">
        <v>25</v>
      </c>
      <c r="S900" s="3108">
        <v>40000</v>
      </c>
      <c r="T900" s="3107" t="s">
        <v>0</v>
      </c>
      <c r="U900" s="3107"/>
      <c r="V900" s="3107">
        <v>6</v>
      </c>
      <c r="W900" s="3107" t="s">
        <v>24</v>
      </c>
      <c r="X900" s="3107" t="s">
        <v>1</v>
      </c>
      <c r="Y900" s="3110">
        <f>+Z900/1000</f>
        <v>480</v>
      </c>
      <c r="Z900" s="1341">
        <f>+Q900*S900*V900</f>
        <v>480000</v>
      </c>
      <c r="AA900" s="308"/>
      <c r="AB900" s="308"/>
      <c r="AC900" s="2678"/>
    </row>
    <row r="901" spans="1:29" s="566" customFormat="1" ht="21.95" customHeight="1">
      <c r="A901" s="3462"/>
      <c r="B901" s="2035"/>
      <c r="C901" s="2075"/>
      <c r="D901" s="2035"/>
      <c r="E901" s="624" t="s">
        <v>15</v>
      </c>
      <c r="F901" s="633">
        <f>+Y901</f>
        <v>4939</v>
      </c>
      <c r="G901" s="633"/>
      <c r="H901" s="470">
        <f t="shared" si="137"/>
        <v>4939</v>
      </c>
      <c r="I901" s="634"/>
      <c r="J901" s="3106" t="s">
        <v>224</v>
      </c>
      <c r="K901" s="3107"/>
      <c r="L901" s="3107"/>
      <c r="M901" s="3107"/>
      <c r="N901" s="3108"/>
      <c r="O901" s="3108"/>
      <c r="P901" s="3107"/>
      <c r="Q901" s="3109"/>
      <c r="R901" s="3107"/>
      <c r="S901" s="3108"/>
      <c r="T901" s="3107"/>
      <c r="U901" s="3107"/>
      <c r="V901" s="3107"/>
      <c r="W901" s="3107"/>
      <c r="X901" s="3107"/>
      <c r="Y901" s="3110">
        <f>+Y902+Y903+Y904</f>
        <v>4939</v>
      </c>
      <c r="Z901" s="1341">
        <f>+Z902+Z903</f>
        <v>4500000</v>
      </c>
      <c r="AA901" s="308"/>
      <c r="AB901" s="308"/>
      <c r="AC901" s="2678"/>
    </row>
    <row r="902" spans="1:29" s="566" customFormat="1" ht="21.95" customHeight="1">
      <c r="A902" s="3462"/>
      <c r="B902" s="2035"/>
      <c r="C902" s="2075"/>
      <c r="D902" s="2035"/>
      <c r="E902" s="3119"/>
      <c r="F902" s="633"/>
      <c r="G902" s="633"/>
      <c r="H902" s="470"/>
      <c r="I902" s="634"/>
      <c r="J902" s="3106" t="s">
        <v>5499</v>
      </c>
      <c r="K902" s="3107"/>
      <c r="L902" s="3107"/>
      <c r="M902" s="3107"/>
      <c r="N902" s="3108"/>
      <c r="O902" s="3108"/>
      <c r="P902" s="3107"/>
      <c r="Q902" s="3109">
        <v>1</v>
      </c>
      <c r="R902" s="3107" t="s">
        <v>25</v>
      </c>
      <c r="S902" s="3108">
        <v>10000</v>
      </c>
      <c r="T902" s="3107" t="s">
        <v>0</v>
      </c>
      <c r="U902" s="3107"/>
      <c r="V902" s="3107">
        <v>50</v>
      </c>
      <c r="W902" s="3107" t="s">
        <v>389</v>
      </c>
      <c r="X902" s="3107" t="s">
        <v>1</v>
      </c>
      <c r="Y902" s="3110">
        <f>Z902/1000</f>
        <v>500</v>
      </c>
      <c r="Z902" s="1341">
        <f>Q902*S902*V902</f>
        <v>500000</v>
      </c>
      <c r="AA902" s="308"/>
      <c r="AB902" s="308"/>
      <c r="AC902" s="2678"/>
    </row>
    <row r="903" spans="1:29" s="566" customFormat="1" ht="21.95" customHeight="1">
      <c r="A903" s="3462"/>
      <c r="B903" s="2035"/>
      <c r="C903" s="2075"/>
      <c r="D903" s="2035"/>
      <c r="E903" s="624"/>
      <c r="F903" s="633"/>
      <c r="G903" s="633"/>
      <c r="H903" s="470"/>
      <c r="I903" s="634"/>
      <c r="J903" s="3106" t="s">
        <v>1366</v>
      </c>
      <c r="K903" s="3107"/>
      <c r="L903" s="3107"/>
      <c r="M903" s="3107"/>
      <c r="N903" s="3108"/>
      <c r="O903" s="3108"/>
      <c r="P903" s="3107"/>
      <c r="Q903" s="3109">
        <v>5</v>
      </c>
      <c r="R903" s="3107" t="s">
        <v>25</v>
      </c>
      <c r="S903" s="3108">
        <v>200000</v>
      </c>
      <c r="T903" s="3107" t="s">
        <v>0</v>
      </c>
      <c r="U903" s="3107"/>
      <c r="V903" s="3107">
        <v>4</v>
      </c>
      <c r="W903" s="3107" t="s">
        <v>39</v>
      </c>
      <c r="X903" s="3107" t="s">
        <v>1</v>
      </c>
      <c r="Y903" s="3110">
        <f>Z903/1000</f>
        <v>4000</v>
      </c>
      <c r="Z903" s="1341">
        <f>Q903*S903*V903</f>
        <v>4000000</v>
      </c>
      <c r="AA903" s="308"/>
      <c r="AB903" s="308"/>
      <c r="AC903" s="2678"/>
    </row>
    <row r="904" spans="1:29" s="566" customFormat="1" ht="21.95" customHeight="1">
      <c r="A904" s="3462"/>
      <c r="B904" s="2035"/>
      <c r="C904" s="2075"/>
      <c r="D904" s="2035"/>
      <c r="E904" s="624"/>
      <c r="F904" s="633"/>
      <c r="G904" s="633"/>
      <c r="H904" s="470"/>
      <c r="I904" s="634"/>
      <c r="J904" s="3106" t="s">
        <v>5498</v>
      </c>
      <c r="K904" s="3107"/>
      <c r="L904" s="3107"/>
      <c r="M904" s="3107"/>
      <c r="N904" s="3108"/>
      <c r="O904" s="3108"/>
      <c r="P904" s="3107"/>
      <c r="Q904" s="3109"/>
      <c r="R904" s="3107"/>
      <c r="S904" s="3108">
        <v>439000</v>
      </c>
      <c r="T904" s="3107" t="s">
        <v>0</v>
      </c>
      <c r="U904" s="3107"/>
      <c r="V904" s="3107">
        <v>1</v>
      </c>
      <c r="W904" s="3107" t="s">
        <v>39</v>
      </c>
      <c r="X904" s="3107" t="s">
        <v>5500</v>
      </c>
      <c r="Y904" s="3110">
        <f t="shared" ref="Y904" si="139">+Z904/1000</f>
        <v>439</v>
      </c>
      <c r="Z904" s="1341">
        <f t="shared" ref="Z904" si="140">+S904*V904</f>
        <v>439000</v>
      </c>
      <c r="AA904" s="308"/>
      <c r="AB904" s="308"/>
      <c r="AC904" s="2678"/>
    </row>
    <row r="905" spans="1:29" s="566" customFormat="1" ht="21.95" customHeight="1">
      <c r="A905" s="3462"/>
      <c r="B905" s="2035"/>
      <c r="C905" s="2075"/>
      <c r="D905" s="2035"/>
      <c r="E905" s="624" t="s">
        <v>686</v>
      </c>
      <c r="F905" s="633">
        <f>+Y905</f>
        <v>487</v>
      </c>
      <c r="G905" s="633"/>
      <c r="H905" s="470">
        <f t="shared" ref="H905:H906" si="141">F905-G905</f>
        <v>487</v>
      </c>
      <c r="I905" s="634"/>
      <c r="J905" s="3106" t="s">
        <v>5501</v>
      </c>
      <c r="K905" s="3107"/>
      <c r="L905" s="3107"/>
      <c r="M905" s="3107"/>
      <c r="N905" s="3108"/>
      <c r="O905" s="3108"/>
      <c r="P905" s="3107"/>
      <c r="Q905" s="3109">
        <v>1</v>
      </c>
      <c r="R905" s="3107" t="s">
        <v>5502</v>
      </c>
      <c r="S905" s="3108">
        <v>487000</v>
      </c>
      <c r="T905" s="3107" t="s">
        <v>0</v>
      </c>
      <c r="U905" s="3107"/>
      <c r="V905" s="3107">
        <v>1</v>
      </c>
      <c r="W905" s="3107" t="s">
        <v>39</v>
      </c>
      <c r="X905" s="3107" t="s">
        <v>1</v>
      </c>
      <c r="Y905" s="3110">
        <f t="shared" ref="Y905" si="142">+Z905/1000</f>
        <v>487</v>
      </c>
      <c r="Z905" s="1341">
        <f t="shared" ref="Z905" si="143">+S905*V905</f>
        <v>487000</v>
      </c>
      <c r="AA905" s="308"/>
      <c r="AB905" s="308"/>
      <c r="AC905" s="2678"/>
    </row>
    <row r="906" spans="1:29" s="566" customFormat="1" ht="21.95" customHeight="1" thickBot="1">
      <c r="A906" s="3462"/>
      <c r="B906" s="2035"/>
      <c r="C906" s="2075"/>
      <c r="D906" s="2035"/>
      <c r="E906" s="624" t="s">
        <v>14</v>
      </c>
      <c r="F906" s="633">
        <f>Y906</f>
        <v>640</v>
      </c>
      <c r="G906" s="633"/>
      <c r="H906" s="470">
        <f t="shared" si="141"/>
        <v>640</v>
      </c>
      <c r="I906" s="634"/>
      <c r="J906" s="3106" t="s">
        <v>5503</v>
      </c>
      <c r="K906" s="3107"/>
      <c r="L906" s="3107"/>
      <c r="M906" s="3107"/>
      <c r="N906" s="3108"/>
      <c r="O906" s="3108"/>
      <c r="P906" s="3107"/>
      <c r="Q906" s="3109">
        <v>8</v>
      </c>
      <c r="R906" s="3107" t="s">
        <v>25</v>
      </c>
      <c r="S906" s="3108">
        <v>20000</v>
      </c>
      <c r="T906" s="3107" t="s">
        <v>0</v>
      </c>
      <c r="U906" s="3107"/>
      <c r="V906" s="3107">
        <v>4</v>
      </c>
      <c r="W906" s="3107" t="s">
        <v>39</v>
      </c>
      <c r="X906" s="3107" t="s">
        <v>1</v>
      </c>
      <c r="Y906" s="3110">
        <f>Z906/1000</f>
        <v>640</v>
      </c>
      <c r="Z906" s="3488">
        <f>Q906*S906*V906</f>
        <v>640000</v>
      </c>
      <c r="AA906" s="308"/>
      <c r="AB906" s="308"/>
      <c r="AC906" s="2678"/>
    </row>
    <row r="907" spans="1:29" ht="23.1" customHeight="1">
      <c r="A907" s="3419"/>
      <c r="B907" s="3419"/>
      <c r="C907" s="2075"/>
      <c r="D907" s="2075"/>
      <c r="E907" s="3107"/>
      <c r="F907" s="2197"/>
      <c r="G907" s="2197"/>
      <c r="H907" s="1881"/>
      <c r="I907" s="2075"/>
      <c r="J907" s="3107"/>
      <c r="K907" s="3107"/>
      <c r="L907" s="3107"/>
      <c r="M907" s="3107"/>
      <c r="N907" s="3108"/>
      <c r="O907" s="3108"/>
      <c r="P907" s="3107"/>
      <c r="Q907" s="3109"/>
      <c r="R907" s="3107"/>
      <c r="S907" s="3108"/>
      <c r="T907" s="3107"/>
      <c r="U907" s="3107"/>
      <c r="V907" s="3107"/>
      <c r="W907" s="3107"/>
      <c r="X907" s="3107"/>
      <c r="Y907" s="3108"/>
      <c r="Z907" s="3107"/>
    </row>
    <row r="908" spans="1:29" ht="23.1" customHeight="1">
      <c r="A908" s="3419"/>
      <c r="B908" s="3419"/>
      <c r="C908" s="2075"/>
      <c r="D908" s="2075"/>
      <c r="E908" s="3107"/>
      <c r="F908" s="2197"/>
      <c r="G908" s="2197"/>
      <c r="H908" s="1881"/>
      <c r="I908" s="2075"/>
      <c r="J908" s="3107"/>
      <c r="K908" s="3107"/>
      <c r="L908" s="3107"/>
      <c r="M908" s="3107"/>
      <c r="N908" s="3108"/>
      <c r="O908" s="3108"/>
      <c r="P908" s="3107"/>
      <c r="Q908" s="3109"/>
      <c r="R908" s="3107"/>
      <c r="S908" s="3108"/>
      <c r="T908" s="3107"/>
      <c r="U908" s="3107"/>
      <c r="V908" s="3107"/>
      <c r="W908" s="3107"/>
      <c r="X908" s="3107"/>
      <c r="Y908" s="3108"/>
      <c r="Z908" s="3107"/>
    </row>
    <row r="909" spans="1:29" ht="23.1" customHeight="1">
      <c r="A909" s="3419"/>
      <c r="B909" s="3419"/>
      <c r="C909" s="2075"/>
      <c r="D909" s="2075"/>
      <c r="E909" s="3107"/>
      <c r="F909" s="2197"/>
      <c r="G909" s="2197"/>
      <c r="H909" s="1881"/>
      <c r="I909" s="2075"/>
      <c r="J909" s="3107"/>
      <c r="K909" s="3107"/>
      <c r="L909" s="3107"/>
      <c r="M909" s="3107"/>
      <c r="N909" s="3108"/>
      <c r="O909" s="3108"/>
      <c r="P909" s="3107"/>
      <c r="Q909" s="3109"/>
      <c r="R909" s="3107"/>
      <c r="S909" s="3108"/>
      <c r="T909" s="3107"/>
      <c r="U909" s="3107"/>
      <c r="V909" s="3107"/>
      <c r="W909" s="3107"/>
      <c r="X909" s="3107"/>
      <c r="Y909" s="3108"/>
      <c r="Z909" s="3107"/>
    </row>
    <row r="910" spans="1:29" ht="23.1" customHeight="1">
      <c r="A910" s="3419"/>
      <c r="B910" s="3419"/>
      <c r="C910" s="2075"/>
      <c r="D910" s="2075"/>
      <c r="E910" s="3107"/>
      <c r="F910" s="2197"/>
      <c r="G910" s="2197"/>
      <c r="H910" s="1881"/>
      <c r="I910" s="2075"/>
      <c r="J910" s="3107"/>
      <c r="K910" s="3107"/>
      <c r="L910" s="3107"/>
      <c r="M910" s="3107"/>
      <c r="N910" s="3108"/>
      <c r="O910" s="3108"/>
      <c r="P910" s="3107"/>
      <c r="Q910" s="3109"/>
      <c r="R910" s="3107"/>
      <c r="S910" s="3108"/>
      <c r="T910" s="3107"/>
      <c r="U910" s="3107"/>
      <c r="V910" s="3107"/>
      <c r="W910" s="3107"/>
      <c r="X910" s="3107"/>
      <c r="Y910" s="3108"/>
      <c r="Z910" s="3107"/>
    </row>
    <row r="911" spans="1:29" ht="23.1" customHeight="1">
      <c r="A911" s="3419"/>
      <c r="B911" s="3419"/>
      <c r="C911" s="2075"/>
      <c r="D911" s="2075"/>
      <c r="E911" s="3107"/>
      <c r="F911" s="2197"/>
      <c r="G911" s="2197"/>
      <c r="H911" s="1881"/>
      <c r="I911" s="2075"/>
      <c r="J911" s="3107"/>
      <c r="K911" s="3107"/>
      <c r="L911" s="3107"/>
      <c r="M911" s="3107"/>
      <c r="N911" s="3108"/>
      <c r="O911" s="3108"/>
      <c r="P911" s="3107"/>
      <c r="Q911" s="3109"/>
      <c r="R911" s="3107"/>
      <c r="S911" s="3108"/>
      <c r="T911" s="3107"/>
      <c r="U911" s="3107"/>
      <c r="V911" s="3107"/>
      <c r="W911" s="3107"/>
      <c r="X911" s="3107"/>
      <c r="Y911" s="3108"/>
      <c r="Z911" s="3107"/>
    </row>
    <row r="912" spans="1:29" ht="23.1" customHeight="1">
      <c r="A912" s="3419"/>
      <c r="B912" s="3419"/>
      <c r="C912" s="2075"/>
      <c r="D912" s="2075"/>
      <c r="E912" s="3107"/>
      <c r="F912" s="2197"/>
      <c r="G912" s="2197"/>
      <c r="H912" s="1881"/>
      <c r="I912" s="2075"/>
      <c r="J912" s="3107"/>
      <c r="K912" s="3107"/>
      <c r="L912" s="3107"/>
      <c r="M912" s="3107"/>
      <c r="N912" s="3108"/>
      <c r="O912" s="3108"/>
      <c r="P912" s="3107"/>
      <c r="Q912" s="3109"/>
      <c r="R912" s="3107"/>
      <c r="S912" s="3108"/>
      <c r="T912" s="3107"/>
      <c r="U912" s="3107"/>
      <c r="V912" s="3107"/>
      <c r="W912" s="3107"/>
      <c r="X912" s="3107"/>
      <c r="Y912" s="3108"/>
      <c r="Z912" s="3107"/>
    </row>
    <row r="913" spans="1:26" ht="23.1" customHeight="1">
      <c r="A913" s="3419"/>
      <c r="B913" s="3419"/>
      <c r="C913" s="2075"/>
      <c r="D913" s="2075"/>
      <c r="E913" s="3107"/>
      <c r="F913" s="2197"/>
      <c r="G913" s="2197"/>
      <c r="H913" s="1881"/>
      <c r="I913" s="2075"/>
      <c r="J913" s="3107"/>
      <c r="K913" s="3107"/>
      <c r="L913" s="3107"/>
      <c r="M913" s="3107"/>
      <c r="N913" s="3108"/>
      <c r="O913" s="3108"/>
      <c r="P913" s="3107"/>
      <c r="Q913" s="3109"/>
      <c r="R913" s="3107"/>
      <c r="S913" s="3108"/>
      <c r="T913" s="3107"/>
      <c r="U913" s="3107"/>
      <c r="V913" s="3107"/>
      <c r="W913" s="3107"/>
      <c r="X913" s="3107"/>
      <c r="Y913" s="3108"/>
      <c r="Z913" s="3107"/>
    </row>
    <row r="914" spans="1:26" ht="23.1" customHeight="1">
      <c r="A914" s="3419"/>
      <c r="B914" s="3419"/>
      <c r="C914" s="2075"/>
      <c r="D914" s="2075"/>
      <c r="E914" s="3107"/>
      <c r="F914" s="2197"/>
      <c r="G914" s="2197"/>
      <c r="H914" s="1881"/>
      <c r="I914" s="2075"/>
      <c r="J914" s="3107"/>
      <c r="K914" s="3107"/>
      <c r="L914" s="3107"/>
      <c r="M914" s="3107"/>
      <c r="N914" s="3108"/>
      <c r="O914" s="3108"/>
      <c r="P914" s="3107"/>
      <c r="Q914" s="3109"/>
      <c r="R914" s="3107"/>
      <c r="S914" s="3108"/>
      <c r="T914" s="3107"/>
      <c r="U914" s="3107"/>
      <c r="V914" s="3107"/>
      <c r="W914" s="3107"/>
      <c r="X914" s="3107"/>
      <c r="Y914" s="3108"/>
      <c r="Z914" s="3107"/>
    </row>
    <row r="915" spans="1:26" ht="23.1" customHeight="1">
      <c r="A915" s="3419"/>
      <c r="B915" s="3419"/>
      <c r="C915" s="2075"/>
      <c r="D915" s="2075"/>
      <c r="E915" s="3107"/>
      <c r="F915" s="2197"/>
      <c r="G915" s="2197"/>
      <c r="H915" s="1881"/>
      <c r="I915" s="2075"/>
      <c r="J915" s="3107"/>
      <c r="K915" s="3107"/>
      <c r="L915" s="3107"/>
      <c r="M915" s="3107"/>
      <c r="N915" s="3108"/>
      <c r="O915" s="3108"/>
      <c r="P915" s="3107"/>
      <c r="Q915" s="3109"/>
      <c r="R915" s="3107"/>
      <c r="S915" s="3108"/>
      <c r="T915" s="3107"/>
      <c r="U915" s="3107"/>
      <c r="V915" s="3107"/>
      <c r="W915" s="3107"/>
      <c r="X915" s="3107"/>
      <c r="Y915" s="3108"/>
      <c r="Z915" s="3107"/>
    </row>
    <row r="916" spans="1:26" ht="18.75" customHeight="1"/>
  </sheetData>
  <autoFilter ref="A4:AB633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10">
    <mergeCell ref="D897:E897"/>
    <mergeCell ref="D460:E460"/>
    <mergeCell ref="C462:E462"/>
    <mergeCell ref="D463:E463"/>
    <mergeCell ref="D477:E477"/>
    <mergeCell ref="D486:E486"/>
    <mergeCell ref="D494:E494"/>
    <mergeCell ref="D505:E505"/>
    <mergeCell ref="D515:E515"/>
    <mergeCell ref="D523:E523"/>
    <mergeCell ref="C539:E539"/>
    <mergeCell ref="D540:E540"/>
    <mergeCell ref="D565:E565"/>
    <mergeCell ref="C576:E576"/>
    <mergeCell ref="D577:E577"/>
    <mergeCell ref="D592:E592"/>
    <mergeCell ref="D601:E601"/>
    <mergeCell ref="D609:E609"/>
    <mergeCell ref="B632:E632"/>
    <mergeCell ref="C872:E872"/>
    <mergeCell ref="C873:E873"/>
    <mergeCell ref="D874:E874"/>
    <mergeCell ref="D890:E890"/>
    <mergeCell ref="D405:E405"/>
    <mergeCell ref="C428:E428"/>
    <mergeCell ref="D429:E429"/>
    <mergeCell ref="D312:E312"/>
    <mergeCell ref="D291:E291"/>
    <mergeCell ref="D342:E342"/>
    <mergeCell ref="D357:E357"/>
    <mergeCell ref="D374:E374"/>
    <mergeCell ref="D378:E378"/>
    <mergeCell ref="J45:O45"/>
    <mergeCell ref="J39:O39"/>
    <mergeCell ref="J40:O40"/>
    <mergeCell ref="J42:O42"/>
    <mergeCell ref="J43:O43"/>
    <mergeCell ref="J44:O44"/>
    <mergeCell ref="A1:Y1"/>
    <mergeCell ref="A3:E3"/>
    <mergeCell ref="F3:F4"/>
    <mergeCell ref="G3:G4"/>
    <mergeCell ref="H3:H4"/>
    <mergeCell ref="J3:Y4"/>
    <mergeCell ref="J35:O35"/>
    <mergeCell ref="J37:O37"/>
    <mergeCell ref="J38:O38"/>
    <mergeCell ref="J30:O30"/>
    <mergeCell ref="J31:O31"/>
    <mergeCell ref="J32:O32"/>
    <mergeCell ref="J33:O33"/>
    <mergeCell ref="J34:O34"/>
    <mergeCell ref="C135:E135"/>
    <mergeCell ref="C7:E7"/>
    <mergeCell ref="D8:E8"/>
    <mergeCell ref="D109:E109"/>
    <mergeCell ref="D21:E21"/>
    <mergeCell ref="C112:E112"/>
    <mergeCell ref="D113:E113"/>
    <mergeCell ref="D121:E121"/>
    <mergeCell ref="D128:E128"/>
    <mergeCell ref="D90:E90"/>
    <mergeCell ref="D101:E101"/>
    <mergeCell ref="C46:E46"/>
    <mergeCell ref="D47:E47"/>
    <mergeCell ref="D64:E64"/>
    <mergeCell ref="D55:E55"/>
    <mergeCell ref="J860:M860"/>
    <mergeCell ref="J863:M863"/>
    <mergeCell ref="J864:N864"/>
    <mergeCell ref="J865:N865"/>
    <mergeCell ref="D870:E870"/>
    <mergeCell ref="D765:E765"/>
    <mergeCell ref="D778:E778"/>
    <mergeCell ref="D136:E136"/>
    <mergeCell ref="D153:E153"/>
    <mergeCell ref="D167:E167"/>
    <mergeCell ref="C174:E174"/>
    <mergeCell ref="C274:E274"/>
    <mergeCell ref="D175:E175"/>
    <mergeCell ref="D199:E199"/>
    <mergeCell ref="C214:E214"/>
    <mergeCell ref="D215:E215"/>
    <mergeCell ref="C234:E234"/>
    <mergeCell ref="D235:E235"/>
    <mergeCell ref="D251:E251"/>
    <mergeCell ref="D268:E268"/>
    <mergeCell ref="D275:E275"/>
    <mergeCell ref="D389:E389"/>
    <mergeCell ref="D393:E393"/>
    <mergeCell ref="D400:E400"/>
    <mergeCell ref="J836:M836"/>
    <mergeCell ref="D846:E846"/>
    <mergeCell ref="C633:E633"/>
    <mergeCell ref="D634:E634"/>
    <mergeCell ref="D646:E646"/>
    <mergeCell ref="D709:E709"/>
    <mergeCell ref="C711:E711"/>
    <mergeCell ref="C712:E712"/>
    <mergeCell ref="D713:E713"/>
    <mergeCell ref="D735:E735"/>
    <mergeCell ref="C764:E764"/>
    <mergeCell ref="J769:M769"/>
    <mergeCell ref="D788:E788"/>
    <mergeCell ref="C809:E809"/>
    <mergeCell ref="D810:E810"/>
    <mergeCell ref="C817:E817"/>
    <mergeCell ref="B832:E832"/>
    <mergeCell ref="C833:E833"/>
    <mergeCell ref="D834:E834"/>
  </mergeCells>
  <phoneticPr fontId="15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4" fitToHeight="100" orientation="landscape" r:id="rId1"/>
  <headerFooter scaleWithDoc="0" alignWithMargins="0"/>
  <rowBreaks count="14" manualBreakCount="14">
    <brk id="290" max="24" man="1"/>
    <brk id="322" max="24" man="1"/>
    <brk id="399" max="24" man="1"/>
    <brk id="434" max="24" man="1"/>
    <brk id="508" max="24" man="1"/>
    <brk id="546" max="24" man="1"/>
    <brk id="575" max="24" man="1"/>
    <brk id="608" max="24" man="1"/>
    <brk id="645" max="24" man="1"/>
    <brk id="721" max="25" man="1"/>
    <brk id="755" max="24" man="1"/>
    <brk id="793" max="24" man="1"/>
    <brk id="831" max="24" man="1"/>
    <brk id="87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24</vt:i4>
      </vt:variant>
      <vt:variant>
        <vt:lpstr>이름이 지정된 범위</vt:lpstr>
      </vt:variant>
      <vt:variant>
        <vt:i4>46</vt:i4>
      </vt:variant>
    </vt:vector>
  </HeadingPairs>
  <TitlesOfParts>
    <vt:vector size="70" baseType="lpstr">
      <vt:lpstr>예산총칙</vt:lpstr>
      <vt:lpstr>수입예산 총괄</vt:lpstr>
      <vt:lpstr>지출예산 총괄</vt:lpstr>
      <vt:lpstr>1.목적(수입)</vt:lpstr>
      <vt:lpstr>1.목적(지출총괄)</vt:lpstr>
      <vt:lpstr>1-1목적(정책실)</vt:lpstr>
      <vt:lpstr>1-2목적(경영관리비)</vt:lpstr>
      <vt:lpstr>1-3목적(경영본부사업)</vt:lpstr>
      <vt:lpstr>1-4목적(문예본부)</vt:lpstr>
      <vt:lpstr>1-5목적(연구원)</vt:lpstr>
      <vt:lpstr>1-6목적(도박)</vt:lpstr>
      <vt:lpstr>1-7목적(미술관)</vt:lpstr>
      <vt:lpstr>1-8목적(백남준)</vt:lpstr>
      <vt:lpstr>1-9목적(실학)</vt:lpstr>
      <vt:lpstr>1-10목적(선사)</vt:lpstr>
      <vt:lpstr>1-11목적(어박)</vt:lpstr>
      <vt:lpstr>1-12예비비</vt:lpstr>
      <vt:lpstr>2.외부(수입)</vt:lpstr>
      <vt:lpstr>2-1외부지출(공기관,보조금,지원)</vt:lpstr>
      <vt:lpstr>공기관,보조금,지원(세부산출)</vt:lpstr>
      <vt:lpstr>2-2외부지출(위탁)</vt:lpstr>
      <vt:lpstr>위탁(세부산출)</vt:lpstr>
      <vt:lpstr>3.반납비</vt:lpstr>
      <vt:lpstr>4.명시이월</vt:lpstr>
      <vt:lpstr>'1.목적(수입)'!Print_Area</vt:lpstr>
      <vt:lpstr>'1.목적(지출총괄)'!Print_Area</vt:lpstr>
      <vt:lpstr>'1-10목적(선사)'!Print_Area</vt:lpstr>
      <vt:lpstr>'1-11목적(어박)'!Print_Area</vt:lpstr>
      <vt:lpstr>'1-12예비비'!Print_Area</vt:lpstr>
      <vt:lpstr>'1-1목적(정책실)'!Print_Area</vt:lpstr>
      <vt:lpstr>'1-2목적(경영관리비)'!Print_Area</vt:lpstr>
      <vt:lpstr>'1-3목적(경영본부사업)'!Print_Area</vt:lpstr>
      <vt:lpstr>'1-4목적(문예본부)'!Print_Area</vt:lpstr>
      <vt:lpstr>'1-5목적(연구원)'!Print_Area</vt:lpstr>
      <vt:lpstr>'1-6목적(도박)'!Print_Area</vt:lpstr>
      <vt:lpstr>'1-7목적(미술관)'!Print_Area</vt:lpstr>
      <vt:lpstr>'1-8목적(백남준)'!Print_Area</vt:lpstr>
      <vt:lpstr>'1-9목적(실학)'!Print_Area</vt:lpstr>
      <vt:lpstr>'2.외부(수입)'!Print_Area</vt:lpstr>
      <vt:lpstr>'2-1외부지출(공기관,보조금,지원)'!Print_Area</vt:lpstr>
      <vt:lpstr>'2-2외부지출(위탁)'!Print_Area</vt:lpstr>
      <vt:lpstr>'3.반납비'!Print_Area</vt:lpstr>
      <vt:lpstr>'4.명시이월'!Print_Area</vt:lpstr>
      <vt:lpstr>'공기관,보조금,지원(세부산출)'!Print_Area</vt:lpstr>
      <vt:lpstr>'수입예산 총괄'!Print_Area</vt:lpstr>
      <vt:lpstr>예산총칙!Print_Area</vt:lpstr>
      <vt:lpstr>'위탁(세부산출)'!Print_Area</vt:lpstr>
      <vt:lpstr>'지출예산 총괄'!Print_Area</vt:lpstr>
      <vt:lpstr>'1.목적(수입)'!Print_Titles</vt:lpstr>
      <vt:lpstr>'1.목적(지출총괄)'!Print_Titles</vt:lpstr>
      <vt:lpstr>'1-10목적(선사)'!Print_Titles</vt:lpstr>
      <vt:lpstr>'1-11목적(어박)'!Print_Titles</vt:lpstr>
      <vt:lpstr>'1-12예비비'!Print_Titles</vt:lpstr>
      <vt:lpstr>'1-1목적(정책실)'!Print_Titles</vt:lpstr>
      <vt:lpstr>'1-2목적(경영관리비)'!Print_Titles</vt:lpstr>
      <vt:lpstr>'1-3목적(경영본부사업)'!Print_Titles</vt:lpstr>
      <vt:lpstr>'1-4목적(문예본부)'!Print_Titles</vt:lpstr>
      <vt:lpstr>'1-5목적(연구원)'!Print_Titles</vt:lpstr>
      <vt:lpstr>'1-6목적(도박)'!Print_Titles</vt:lpstr>
      <vt:lpstr>'1-7목적(미술관)'!Print_Titles</vt:lpstr>
      <vt:lpstr>'1-8목적(백남준)'!Print_Titles</vt:lpstr>
      <vt:lpstr>'1-9목적(실학)'!Print_Titles</vt:lpstr>
      <vt:lpstr>'2.외부(수입)'!Print_Titles</vt:lpstr>
      <vt:lpstr>'2-1외부지출(공기관,보조금,지원)'!Print_Titles</vt:lpstr>
      <vt:lpstr>'2-2외부지출(위탁)'!Print_Titles</vt:lpstr>
      <vt:lpstr>'3.반납비'!Print_Titles</vt:lpstr>
      <vt:lpstr>'4.명시이월'!Print_Titles</vt:lpstr>
      <vt:lpstr>'공기관,보조금,지원(세부산출)'!Print_Titles</vt:lpstr>
      <vt:lpstr>'위탁(세부산출)'!Print_Titles</vt:lpstr>
      <vt:lpstr>'지출예산 총괄'!Print_Titles</vt:lpstr>
    </vt:vector>
  </TitlesOfParts>
  <Company>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최종 이사회 상정안건</dc:description>
  <cp:lastModifiedBy>user</cp:lastModifiedBy>
  <cp:lastPrinted>2018-03-22T01:15:28Z</cp:lastPrinted>
  <dcterms:created xsi:type="dcterms:W3CDTF">2002-01-04T05:33:22Z</dcterms:created>
  <dcterms:modified xsi:type="dcterms:W3CDTF">2018-06-29T00:25:44Z</dcterms:modified>
</cp:coreProperties>
</file>